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24226"/>
  <mc:AlternateContent xmlns:mc="http://schemas.openxmlformats.org/markup-compatibility/2006">
    <mc:Choice Requires="x15">
      <x15ac:absPath xmlns:x15ac="http://schemas.microsoft.com/office/spreadsheetml/2010/11/ac" url="D:\DATA INTELLIGENCE Dropbox\DI Monitoreo II\000 AGENCIA INFORMACION DI\"/>
    </mc:Choice>
  </mc:AlternateContent>
  <xr:revisionPtr revIDLastSave="0" documentId="13_ncr:1_{ECE4ED1B-121A-41D4-A1FB-43826229EAF9}" xr6:coauthVersionLast="47" xr6:coauthVersionMax="47" xr10:uidLastSave="{00000000-0000-0000-0000-000000000000}"/>
  <bookViews>
    <workbookView xWindow="-108" yWindow="-108" windowWidth="23256" windowHeight="12720" activeTab="2" xr2:uid="{00000000-000D-0000-FFFF-FFFF00000000}"/>
  </bookViews>
  <sheets>
    <sheet name="Resumen" sheetId="7" r:id="rId1"/>
    <sheet name="Hoja3" sheetId="10" r:id="rId2"/>
    <sheet name="Agencia" sheetId="4" r:id="rId3"/>
    <sheet name="Estructura" sheetId="6" r:id="rId4"/>
    <sheet name="TD" sheetId="5" r:id="rId5"/>
  </sheets>
  <definedNames>
    <definedName name="SegmentaciónDeDatos_contenido">#N/A</definedName>
    <definedName name="SegmentaciónDeDatos_contenido1">#N/A</definedName>
    <definedName name="SegmentaciónDeDatos_escala">#N/A</definedName>
    <definedName name="SegmentaciónDeDatos_escala1">#N/A</definedName>
    <definedName name="SegmentaciónDeDatos_Filtro_Integrado">#N/A</definedName>
    <definedName name="SegmentaciónDeDatos_Muestra">#N/A</definedName>
    <definedName name="SegmentaciónDeDatos_sector">#N/A</definedName>
    <definedName name="SegmentaciónDeDatos_sector1">#N/A</definedName>
    <definedName name="SegmentaciónDeDatos_tema">#N/A</definedName>
    <definedName name="SegmentaciónDeDatos_tema1">#N/A</definedName>
    <definedName name="SegmentaciónDeDatos_temporalidad">#N/A</definedName>
    <definedName name="SegmentaciónDeDatos_territorio">#N/A</definedName>
    <definedName name="SegmentaciónDeDatos_territorio1">#N/A</definedName>
    <definedName name="SegmentaciónDeDatos_visualizacion">#N/A</definedName>
  </definedNames>
  <calcPr calcId="191029"/>
  <pivotCaches>
    <pivotCache cacheId="36" r:id="rId6"/>
    <pivotCache cacheId="37"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036" i="4" l="1"/>
  <c r="S1035" i="4"/>
  <c r="S1034" i="4"/>
  <c r="S1033" i="4"/>
  <c r="S1032" i="4"/>
  <c r="S1031" i="4"/>
  <c r="S1030" i="4"/>
  <c r="S1029" i="4"/>
  <c r="S1028" i="4"/>
  <c r="S1027" i="4"/>
  <c r="S1026" i="4"/>
  <c r="S1025" i="4"/>
  <c r="S1024" i="4"/>
  <c r="S1023" i="4"/>
  <c r="S1022" i="4"/>
  <c r="S1021" i="4"/>
  <c r="R1709" i="4"/>
  <c r="R1710" i="4"/>
  <c r="R1711" i="4"/>
  <c r="R1712" i="4"/>
  <c r="R1713" i="4"/>
  <c r="R1714" i="4"/>
  <c r="R1715" i="4"/>
  <c r="R1716" i="4"/>
  <c r="R1717" i="4"/>
  <c r="R1718" i="4"/>
  <c r="R1719" i="4"/>
  <c r="R1720" i="4"/>
  <c r="R1721" i="4"/>
  <c r="R1722" i="4"/>
  <c r="R1723" i="4"/>
  <c r="R1708" i="4"/>
  <c r="R1707" i="4"/>
  <c r="R1693" i="4"/>
  <c r="R1694" i="4"/>
  <c r="R1695" i="4"/>
  <c r="R1696" i="4"/>
  <c r="R1697" i="4"/>
  <c r="R1698" i="4"/>
  <c r="R1699" i="4"/>
  <c r="R1700" i="4"/>
  <c r="R1701" i="4"/>
  <c r="R1702" i="4"/>
  <c r="R1703" i="4"/>
  <c r="R1704" i="4"/>
  <c r="R1705" i="4"/>
  <c r="R1706" i="4"/>
  <c r="R1692" i="4"/>
  <c r="R1691" i="4"/>
  <c r="R1676" i="4"/>
  <c r="R1677" i="4"/>
  <c r="R1678" i="4"/>
  <c r="R1679" i="4"/>
  <c r="R1680" i="4"/>
  <c r="R1681" i="4"/>
  <c r="R1682" i="4"/>
  <c r="R1683" i="4"/>
  <c r="R1684" i="4"/>
  <c r="R1685" i="4"/>
  <c r="R1686" i="4"/>
  <c r="R1687" i="4"/>
  <c r="R1688" i="4"/>
  <c r="R1689" i="4"/>
  <c r="R1690" i="4"/>
  <c r="R1674" i="4"/>
  <c r="R1675" i="4"/>
  <c r="R1673" i="4"/>
  <c r="R1672" i="4"/>
  <c r="R1671" i="4"/>
  <c r="R1670" i="4"/>
  <c r="R1669" i="4"/>
  <c r="R1668" i="4"/>
  <c r="R1667" i="4"/>
  <c r="R1666" i="4"/>
  <c r="R1665" i="4"/>
  <c r="R1664" i="4"/>
  <c r="R1663" i="4"/>
  <c r="R1662" i="4"/>
  <c r="R1661" i="4"/>
  <c r="R1660" i="4"/>
  <c r="R1659" i="4"/>
  <c r="R1658" i="4"/>
  <c r="R1657" i="4"/>
  <c r="R1656" i="4"/>
  <c r="R1655" i="4"/>
  <c r="R1654" i="4"/>
  <c r="R1653" i="4"/>
  <c r="R1650" i="4"/>
  <c r="R1651" i="4"/>
  <c r="R1652" i="4"/>
  <c r="R1649" i="4"/>
  <c r="R1648" i="4"/>
  <c r="R1558" i="4"/>
  <c r="R1559" i="4"/>
  <c r="R1560" i="4"/>
  <c r="R1561" i="4"/>
  <c r="R1562" i="4"/>
  <c r="R1563" i="4"/>
  <c r="R1564" i="4"/>
  <c r="R1565" i="4"/>
  <c r="R1566" i="4"/>
  <c r="R1567" i="4"/>
  <c r="R1568" i="4"/>
  <c r="R1569" i="4"/>
  <c r="R1570" i="4"/>
  <c r="R1571" i="4"/>
  <c r="R1572" i="4"/>
  <c r="R1557" i="4"/>
  <c r="R1556" i="4"/>
  <c r="R1541" i="4"/>
  <c r="R1542" i="4"/>
  <c r="R1543" i="4"/>
  <c r="R1544" i="4"/>
  <c r="R1545" i="4"/>
  <c r="R1546" i="4"/>
  <c r="R1547" i="4"/>
  <c r="R1548" i="4"/>
  <c r="R1549" i="4"/>
  <c r="R1550" i="4"/>
  <c r="R1551" i="4"/>
  <c r="R1552" i="4"/>
  <c r="R1553" i="4"/>
  <c r="R1554" i="4"/>
  <c r="R1555" i="4"/>
  <c r="R1540" i="4"/>
  <c r="R1539" i="4"/>
  <c r="R1209" i="4"/>
  <c r="R1210" i="4"/>
  <c r="R1211" i="4"/>
  <c r="R1212" i="4"/>
  <c r="R1213" i="4"/>
  <c r="R1214" i="4"/>
  <c r="R1215" i="4"/>
  <c r="R1216" i="4"/>
  <c r="R1217" i="4"/>
  <c r="R1218" i="4"/>
  <c r="R1219" i="4"/>
  <c r="R1220" i="4"/>
  <c r="R1221" i="4"/>
  <c r="R1222" i="4"/>
  <c r="R1223" i="4"/>
  <c r="R1208" i="4"/>
  <c r="R1207" i="4"/>
  <c r="R1192" i="4"/>
  <c r="R1193" i="4"/>
  <c r="R1194" i="4"/>
  <c r="R1195" i="4"/>
  <c r="R1196" i="4"/>
  <c r="R1197" i="4"/>
  <c r="R1198" i="4"/>
  <c r="R1199" i="4"/>
  <c r="R1200" i="4"/>
  <c r="R1201" i="4"/>
  <c r="R1202" i="4"/>
  <c r="R1203" i="4"/>
  <c r="R1204" i="4"/>
  <c r="R1205" i="4"/>
  <c r="R1206" i="4"/>
  <c r="R1191" i="4"/>
  <c r="R1190" i="4"/>
  <c r="R1189" i="4"/>
  <c r="R1175" i="4"/>
  <c r="R1176" i="4"/>
  <c r="R1177" i="4"/>
  <c r="R1178" i="4"/>
  <c r="R1179" i="4"/>
  <c r="R1180" i="4"/>
  <c r="R1181" i="4"/>
  <c r="R1182" i="4"/>
  <c r="R1183" i="4"/>
  <c r="R1184" i="4"/>
  <c r="R1185" i="4"/>
  <c r="R1186" i="4"/>
  <c r="R1187" i="4"/>
  <c r="R1188" i="4"/>
  <c r="R1174" i="4"/>
  <c r="R1173" i="4"/>
  <c r="R1172" i="4"/>
  <c r="R1158" i="4"/>
  <c r="R1159" i="4"/>
  <c r="R1160" i="4"/>
  <c r="R1161" i="4"/>
  <c r="R1162" i="4"/>
  <c r="R1163" i="4"/>
  <c r="R1164" i="4"/>
  <c r="R1165" i="4"/>
  <c r="R1166" i="4"/>
  <c r="R1167" i="4"/>
  <c r="R1168" i="4"/>
  <c r="R1169" i="4"/>
  <c r="R1170" i="4"/>
  <c r="R1171" i="4"/>
  <c r="R1157" i="4"/>
  <c r="R1156" i="4"/>
  <c r="R1155" i="4"/>
  <c r="R1141" i="4"/>
  <c r="R1142" i="4"/>
  <c r="R1143" i="4"/>
  <c r="R1144" i="4"/>
  <c r="R1145" i="4"/>
  <c r="R1146" i="4"/>
  <c r="R1147" i="4"/>
  <c r="R1148" i="4"/>
  <c r="R1149" i="4"/>
  <c r="R1150" i="4"/>
  <c r="R1151" i="4"/>
  <c r="R1152" i="4"/>
  <c r="R1153" i="4"/>
  <c r="R1154" i="4"/>
  <c r="R1140" i="4"/>
  <c r="R1139" i="4"/>
  <c r="R1138" i="4"/>
  <c r="R1107" i="4"/>
  <c r="R1108" i="4"/>
  <c r="R1109" i="4"/>
  <c r="R1110" i="4"/>
  <c r="R1111" i="4"/>
  <c r="R1112" i="4"/>
  <c r="R1113" i="4"/>
  <c r="R1114" i="4"/>
  <c r="R1115" i="4"/>
  <c r="R1116" i="4"/>
  <c r="R1117" i="4"/>
  <c r="R1118" i="4"/>
  <c r="R1119" i="4"/>
  <c r="R1120" i="4"/>
  <c r="R1121" i="4"/>
  <c r="R1106" i="4"/>
  <c r="R1105" i="4"/>
  <c r="R1104" i="4"/>
  <c r="R410" i="4"/>
  <c r="R1523" i="4"/>
  <c r="R1525" i="4"/>
  <c r="R1524" i="4"/>
  <c r="R1421" i="4"/>
  <c r="R1422" i="4"/>
  <c r="R1423" i="4"/>
  <c r="R1424" i="4"/>
  <c r="R1425" i="4"/>
  <c r="R1426" i="4"/>
  <c r="R1427" i="4"/>
  <c r="R1428" i="4"/>
  <c r="R1429" i="4"/>
  <c r="R1430" i="4"/>
  <c r="R1431" i="4"/>
  <c r="R1432" i="4"/>
  <c r="R1433" i="4"/>
  <c r="R1434" i="4"/>
  <c r="R1435" i="4"/>
  <c r="R1436" i="4"/>
  <c r="R1420" i="4"/>
  <c r="R1437" i="4"/>
  <c r="R1438" i="4"/>
  <c r="R1439" i="4"/>
  <c r="R1440" i="4"/>
  <c r="R1441" i="4"/>
  <c r="R1442" i="4"/>
  <c r="R1443" i="4"/>
  <c r="R1444" i="4"/>
  <c r="R1446" i="4"/>
  <c r="R1447" i="4"/>
  <c r="R1448" i="4"/>
  <c r="R1449" i="4"/>
  <c r="R1450" i="4"/>
  <c r="R1451" i="4"/>
  <c r="R1452" i="4"/>
  <c r="R1453" i="4"/>
  <c r="R1445" i="4"/>
  <c r="R1507" i="4"/>
  <c r="R1508" i="4"/>
  <c r="R1509" i="4"/>
  <c r="R1510" i="4"/>
  <c r="R1511" i="4"/>
  <c r="R1512" i="4"/>
  <c r="R1513" i="4"/>
  <c r="R1514" i="4"/>
  <c r="R1515" i="4"/>
  <c r="R1516" i="4"/>
  <c r="R1517" i="4"/>
  <c r="R1518" i="4"/>
  <c r="R1519" i="4"/>
  <c r="R1520" i="4"/>
  <c r="R1521" i="4"/>
  <c r="R1522" i="4"/>
  <c r="R1506" i="4"/>
  <c r="R1490" i="4"/>
  <c r="R1491" i="4"/>
  <c r="R1492" i="4"/>
  <c r="R1493" i="4"/>
  <c r="R1494" i="4"/>
  <c r="R1495" i="4"/>
  <c r="R1496" i="4"/>
  <c r="R1497" i="4"/>
  <c r="R1498" i="4"/>
  <c r="R1499" i="4"/>
  <c r="R1500" i="4"/>
  <c r="R1501" i="4"/>
  <c r="R1502" i="4"/>
  <c r="R1503" i="4"/>
  <c r="R1504" i="4"/>
  <c r="R1505" i="4"/>
  <c r="R1489" i="4"/>
  <c r="R1488"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54" i="4"/>
  <c r="R1826" i="4"/>
  <c r="R1828" i="4"/>
  <c r="R1827" i="4"/>
  <c r="R1934" i="4"/>
  <c r="R1935" i="4"/>
  <c r="R1936" i="4"/>
  <c r="R1937" i="4"/>
  <c r="R1938" i="4"/>
  <c r="R1939" i="4"/>
  <c r="R1940" i="4"/>
  <c r="R1941" i="4"/>
  <c r="R1942" i="4"/>
  <c r="R1943" i="4"/>
  <c r="R1944" i="4"/>
  <c r="R1945" i="4"/>
  <c r="R1946" i="4"/>
  <c r="R1947" i="4"/>
  <c r="R1948" i="4"/>
  <c r="R1933" i="4"/>
  <c r="R1932" i="4"/>
  <c r="R1917" i="4"/>
  <c r="R1918" i="4"/>
  <c r="R1919" i="4"/>
  <c r="R1920" i="4"/>
  <c r="R1921" i="4"/>
  <c r="R1922" i="4"/>
  <c r="R1923" i="4"/>
  <c r="R1924" i="4"/>
  <c r="R1925" i="4"/>
  <c r="R1926" i="4"/>
  <c r="R1927" i="4"/>
  <c r="R1928" i="4"/>
  <c r="R1929" i="4"/>
  <c r="R1930" i="4"/>
  <c r="R1931" i="4"/>
  <c r="R1916" i="4"/>
  <c r="R1915"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881" i="4"/>
  <c r="R1866" i="4"/>
  <c r="R1867" i="4"/>
  <c r="R1868" i="4"/>
  <c r="R1869" i="4"/>
  <c r="R1870" i="4"/>
  <c r="R1871" i="4"/>
  <c r="R1872" i="4"/>
  <c r="R1873" i="4"/>
  <c r="R1874" i="4"/>
  <c r="R1875" i="4"/>
  <c r="R1876" i="4"/>
  <c r="R1877" i="4"/>
  <c r="R1878" i="4"/>
  <c r="R1879" i="4"/>
  <c r="R1880" i="4"/>
  <c r="R1865" i="4"/>
  <c r="R1863" i="4"/>
  <c r="R1864" i="4"/>
  <c r="R1775" i="4"/>
  <c r="O1777" i="4"/>
  <c r="O1778" i="4"/>
  <c r="O1779" i="4"/>
  <c r="O1780" i="4"/>
  <c r="O1781" i="4"/>
  <c r="O1782" i="4"/>
  <c r="O1783" i="4"/>
  <c r="O1784" i="4"/>
  <c r="O1785" i="4"/>
  <c r="O1786" i="4"/>
  <c r="O1787" i="4"/>
  <c r="O1788" i="4"/>
  <c r="O1789" i="4"/>
  <c r="O1790" i="4"/>
  <c r="O1791" i="4"/>
  <c r="O1776" i="4"/>
  <c r="O1775" i="4"/>
  <c r="R1811" i="4"/>
  <c r="R1812" i="4"/>
  <c r="R1813" i="4"/>
  <c r="R1814" i="4"/>
  <c r="R1815" i="4"/>
  <c r="R1816" i="4"/>
  <c r="R1817" i="4"/>
  <c r="R1818" i="4"/>
  <c r="R1819" i="4"/>
  <c r="R1820" i="4"/>
  <c r="R1821" i="4"/>
  <c r="R1822" i="4"/>
  <c r="R1823" i="4"/>
  <c r="R1824" i="4"/>
  <c r="R1825" i="4"/>
  <c r="R1810" i="4"/>
  <c r="R1809" i="4"/>
  <c r="R1794" i="4"/>
  <c r="R1795" i="4"/>
  <c r="R1796" i="4"/>
  <c r="R1797" i="4"/>
  <c r="R1798" i="4"/>
  <c r="R1799" i="4"/>
  <c r="R1800" i="4"/>
  <c r="R1801" i="4"/>
  <c r="R1802" i="4"/>
  <c r="R1803" i="4"/>
  <c r="R1804" i="4"/>
  <c r="R1805" i="4"/>
  <c r="R1806" i="4"/>
  <c r="R1807" i="4"/>
  <c r="R1808" i="4"/>
  <c r="R1793" i="4"/>
  <c r="R1792" i="4"/>
  <c r="R1777" i="4"/>
  <c r="R1778" i="4"/>
  <c r="R1779" i="4"/>
  <c r="R1780" i="4"/>
  <c r="R1781" i="4"/>
  <c r="R1782" i="4"/>
  <c r="R1783" i="4"/>
  <c r="R1784" i="4"/>
  <c r="R1785" i="4"/>
  <c r="R1786" i="4"/>
  <c r="R1787" i="4"/>
  <c r="R1788" i="4"/>
  <c r="R1789" i="4"/>
  <c r="R1790" i="4"/>
  <c r="R1791" i="4"/>
  <c r="R1776" i="4"/>
  <c r="R1575" i="4"/>
  <c r="R1574" i="4"/>
  <c r="R1573" i="4"/>
  <c r="R1526" i="4"/>
  <c r="R1532" i="4"/>
  <c r="R1533" i="4"/>
  <c r="R1534" i="4"/>
  <c r="R1535" i="4"/>
  <c r="R1536" i="4"/>
  <c r="R1531" i="4"/>
  <c r="R1537" i="4"/>
  <c r="R1538" i="4"/>
  <c r="R1530" i="4"/>
  <c r="R1528" i="4"/>
  <c r="R1529" i="4"/>
  <c r="R1527" i="4"/>
  <c r="R1402" i="4"/>
  <c r="R1405" i="4"/>
  <c r="R1406" i="4"/>
  <c r="R1407" i="4"/>
  <c r="R1408" i="4"/>
  <c r="R1409" i="4"/>
  <c r="R1410" i="4"/>
  <c r="R1411" i="4"/>
  <c r="R1412" i="4"/>
  <c r="R1413" i="4"/>
  <c r="R1414" i="4"/>
  <c r="R1415" i="4"/>
  <c r="R1416" i="4"/>
  <c r="R1417" i="4"/>
  <c r="R1418" i="4"/>
  <c r="R1419" i="4"/>
  <c r="R1404" i="4"/>
  <c r="R1403" i="4"/>
  <c r="R12" i="4"/>
  <c r="R1847" i="4"/>
  <c r="R1848" i="4"/>
  <c r="R1849" i="4"/>
  <c r="R1850" i="4"/>
  <c r="R1851" i="4"/>
  <c r="R1852" i="4"/>
  <c r="R1853" i="4"/>
  <c r="R1854" i="4"/>
  <c r="R1855" i="4"/>
  <c r="R1856" i="4"/>
  <c r="R1857" i="4"/>
  <c r="R1858" i="4"/>
  <c r="R1859" i="4"/>
  <c r="R1860" i="4"/>
  <c r="R1861" i="4"/>
  <c r="R1862" i="4"/>
  <c r="R1846" i="4"/>
  <c r="R1831" i="4"/>
  <c r="R1832" i="4"/>
  <c r="R1833" i="4"/>
  <c r="R1834" i="4"/>
  <c r="R1835" i="4"/>
  <c r="R1836" i="4"/>
  <c r="R1837" i="4"/>
  <c r="R1838" i="4"/>
  <c r="R1839" i="4"/>
  <c r="R1840" i="4"/>
  <c r="R1841" i="4"/>
  <c r="R1842" i="4"/>
  <c r="R1843" i="4"/>
  <c r="R1844" i="4"/>
  <c r="R1845" i="4"/>
  <c r="R1830" i="4"/>
  <c r="R1829" i="4"/>
  <c r="R1595" i="4"/>
  <c r="R1596" i="4"/>
  <c r="R1597" i="4"/>
  <c r="R1598" i="4"/>
  <c r="R1599" i="4"/>
  <c r="R1600" i="4"/>
  <c r="R1601" i="4"/>
  <c r="R1602" i="4"/>
  <c r="R1603" i="4"/>
  <c r="R1604" i="4"/>
  <c r="R1605" i="4"/>
  <c r="R1606" i="4"/>
  <c r="R1607" i="4"/>
  <c r="R1608" i="4"/>
  <c r="R1609" i="4"/>
  <c r="R1594" i="4"/>
  <c r="R1593" i="4"/>
  <c r="R1578" i="4"/>
  <c r="R1579" i="4"/>
  <c r="R1580" i="4"/>
  <c r="R1581" i="4"/>
  <c r="R1582" i="4"/>
  <c r="R1583" i="4"/>
  <c r="R1584" i="4"/>
  <c r="R1585" i="4"/>
  <c r="R1586" i="4"/>
  <c r="R1587" i="4"/>
  <c r="R1588" i="4"/>
  <c r="R1589" i="4"/>
  <c r="R1590" i="4"/>
  <c r="R1591" i="4"/>
  <c r="R1592" i="4"/>
  <c r="R1577" i="4"/>
  <c r="R1576" i="4"/>
  <c r="R1368" i="4"/>
  <c r="R1369" i="4"/>
  <c r="R1370" i="4"/>
  <c r="R1371" i="4"/>
  <c r="R1372" i="4"/>
  <c r="R1373" i="4"/>
  <c r="R1374" i="4"/>
  <c r="R1375" i="4"/>
  <c r="R1376" i="4"/>
  <c r="R1377" i="4"/>
  <c r="R1378" i="4"/>
  <c r="R1379" i="4"/>
  <c r="R1380" i="4"/>
  <c r="R1381" i="4"/>
  <c r="R1382" i="4"/>
  <c r="R1367" i="4"/>
  <c r="R1366" i="4"/>
  <c r="R1351" i="4"/>
  <c r="R1352" i="4"/>
  <c r="R1353" i="4"/>
  <c r="R1354" i="4"/>
  <c r="R1355" i="4"/>
  <c r="R1356" i="4"/>
  <c r="R1357" i="4"/>
  <c r="R1358" i="4"/>
  <c r="R1359" i="4"/>
  <c r="R1360" i="4"/>
  <c r="R1361" i="4"/>
  <c r="R1362" i="4"/>
  <c r="R1363" i="4"/>
  <c r="R1364" i="4"/>
  <c r="R1365" i="4"/>
  <c r="R1350" i="4"/>
  <c r="R1349" i="4"/>
  <c r="R1334" i="4"/>
  <c r="R1335" i="4"/>
  <c r="R1336" i="4"/>
  <c r="R1337" i="4"/>
  <c r="R1338" i="4"/>
  <c r="R1339" i="4"/>
  <c r="R1340" i="4"/>
  <c r="R1341" i="4"/>
  <c r="R1342" i="4"/>
  <c r="R1343" i="4"/>
  <c r="R1344" i="4"/>
  <c r="R1345" i="4"/>
  <c r="R1346" i="4"/>
  <c r="R1347" i="4"/>
  <c r="R1348" i="4"/>
  <c r="R1333" i="4"/>
  <c r="R1332" i="4"/>
  <c r="R1387" i="4"/>
  <c r="R1388" i="4"/>
  <c r="R1389" i="4"/>
  <c r="R1390" i="4"/>
  <c r="R1391" i="4"/>
  <c r="R1392" i="4"/>
  <c r="R1393" i="4"/>
  <c r="R1394" i="4"/>
  <c r="R1395" i="4"/>
  <c r="R1396" i="4"/>
  <c r="R1397" i="4"/>
  <c r="R1398" i="4"/>
  <c r="R1399" i="4"/>
  <c r="R1400" i="4"/>
  <c r="R1401" i="4"/>
  <c r="R1386" i="4"/>
  <c r="R1385" i="4"/>
  <c r="R1384" i="4"/>
  <c r="R1383" i="4"/>
  <c r="O224" i="4"/>
  <c r="R1279" i="4"/>
  <c r="R1265" i="4"/>
  <c r="R1266" i="4"/>
  <c r="R1267" i="4"/>
  <c r="R1268" i="4"/>
  <c r="R1269" i="4"/>
  <c r="R1270" i="4"/>
  <c r="R1271" i="4"/>
  <c r="R1272" i="4"/>
  <c r="R1273" i="4"/>
  <c r="R1274" i="4"/>
  <c r="R1275" i="4"/>
  <c r="R1276" i="4"/>
  <c r="R1277" i="4"/>
  <c r="R1278" i="4"/>
  <c r="R1264" i="4"/>
  <c r="R1263" i="4"/>
  <c r="R1262" i="4"/>
  <c r="R1261" i="4"/>
  <c r="R1124" i="4"/>
  <c r="R1125" i="4"/>
  <c r="R1126" i="4"/>
  <c r="R1127" i="4"/>
  <c r="R1128" i="4"/>
  <c r="R1129" i="4"/>
  <c r="R1130" i="4"/>
  <c r="R1131" i="4"/>
  <c r="R1132" i="4"/>
  <c r="R1133" i="4"/>
  <c r="R1134" i="4"/>
  <c r="R1135" i="4"/>
  <c r="R1136" i="4"/>
  <c r="R1137" i="4"/>
  <c r="R1123" i="4"/>
  <c r="R1122" i="4"/>
  <c r="R1090" i="4"/>
  <c r="R1091" i="4"/>
  <c r="R1092" i="4"/>
  <c r="R1093" i="4"/>
  <c r="R1094" i="4"/>
  <c r="R1095" i="4"/>
  <c r="R1096" i="4"/>
  <c r="R1097" i="4"/>
  <c r="R1098" i="4"/>
  <c r="R1099" i="4"/>
  <c r="R1100" i="4"/>
  <c r="R1101" i="4"/>
  <c r="R1102" i="4"/>
  <c r="R1103" i="4"/>
  <c r="R1089" i="4"/>
  <c r="R1088" i="4"/>
  <c r="R1073" i="4"/>
  <c r="R1074" i="4"/>
  <c r="R1075" i="4"/>
  <c r="R1076" i="4"/>
  <c r="R1077" i="4"/>
  <c r="R1078" i="4"/>
  <c r="R1079" i="4"/>
  <c r="R1080" i="4"/>
  <c r="R1081" i="4"/>
  <c r="R1082" i="4"/>
  <c r="R1083" i="4"/>
  <c r="R1084" i="4"/>
  <c r="R1085" i="4"/>
  <c r="R1086" i="4"/>
  <c r="R1087" i="4"/>
  <c r="R1072" i="4"/>
  <c r="R1071" i="4"/>
  <c r="R1056" i="4"/>
  <c r="R1057" i="4"/>
  <c r="R1058" i="4"/>
  <c r="R1059" i="4"/>
  <c r="R1060" i="4"/>
  <c r="R1061" i="4"/>
  <c r="R1062" i="4"/>
  <c r="R1063" i="4"/>
  <c r="R1064" i="4"/>
  <c r="R1065" i="4"/>
  <c r="R1066" i="4"/>
  <c r="R1067" i="4"/>
  <c r="R1068" i="4"/>
  <c r="R1069" i="4"/>
  <c r="R1070" i="4"/>
  <c r="R1055" i="4"/>
  <c r="R1054"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616" i="4"/>
  <c r="R1615" i="4"/>
  <c r="O307" i="4"/>
  <c r="K817" i="4"/>
  <c r="R1645" i="4"/>
  <c r="R1646" i="4"/>
  <c r="R1647" i="4"/>
  <c r="R1644" i="4"/>
  <c r="R1643" i="4"/>
  <c r="R1640" i="4"/>
  <c r="R1641" i="4"/>
  <c r="R1642" i="4"/>
  <c r="R1639" i="4"/>
  <c r="R1638" i="4"/>
  <c r="R1622" i="4"/>
  <c r="R1623" i="4"/>
  <c r="R1624" i="4"/>
  <c r="R1625" i="4"/>
  <c r="R1626" i="4"/>
  <c r="R1627" i="4"/>
  <c r="R1628" i="4"/>
  <c r="R1629" i="4"/>
  <c r="R1630" i="4"/>
  <c r="R1631" i="4"/>
  <c r="R1632" i="4"/>
  <c r="R1633" i="4"/>
  <c r="R1634" i="4"/>
  <c r="R1635" i="4"/>
  <c r="R1636" i="4"/>
  <c r="R1637" i="4"/>
  <c r="R1621" i="4"/>
  <c r="R1617" i="4"/>
  <c r="R1618" i="4"/>
  <c r="R1619" i="4"/>
  <c r="R1620" i="4"/>
  <c r="R1759" i="4"/>
  <c r="R1760" i="4"/>
  <c r="R1761" i="4"/>
  <c r="R1762" i="4"/>
  <c r="R1763" i="4"/>
  <c r="R1764" i="4"/>
  <c r="R1765" i="4"/>
  <c r="R1766" i="4"/>
  <c r="R1767" i="4"/>
  <c r="R1768" i="4"/>
  <c r="R1769" i="4"/>
  <c r="R1770" i="4"/>
  <c r="R1771" i="4"/>
  <c r="R1772" i="4"/>
  <c r="R1773" i="4"/>
  <c r="R1774" i="4"/>
  <c r="R1758" i="4"/>
  <c r="R1742" i="4"/>
  <c r="R1743" i="4"/>
  <c r="R1744" i="4"/>
  <c r="R1745" i="4"/>
  <c r="R1746" i="4"/>
  <c r="R1747" i="4"/>
  <c r="R1748" i="4"/>
  <c r="R1749" i="4"/>
  <c r="R1750" i="4"/>
  <c r="R1751" i="4"/>
  <c r="R1752" i="4"/>
  <c r="R1753" i="4"/>
  <c r="R1754" i="4"/>
  <c r="R1755" i="4"/>
  <c r="R1756" i="4"/>
  <c r="R1757" i="4"/>
  <c r="R1741" i="4"/>
  <c r="R1726" i="4"/>
  <c r="R1727" i="4"/>
  <c r="R1728" i="4"/>
  <c r="R1729" i="4"/>
  <c r="R1730" i="4"/>
  <c r="R1731" i="4"/>
  <c r="R1732" i="4"/>
  <c r="R1733" i="4"/>
  <c r="R1734" i="4"/>
  <c r="R1735" i="4"/>
  <c r="R1736" i="4"/>
  <c r="R1737" i="4"/>
  <c r="R1738" i="4"/>
  <c r="R1739" i="4"/>
  <c r="R1740" i="4"/>
  <c r="R1725" i="4"/>
  <c r="R1724" i="4"/>
  <c r="R1284" i="4"/>
  <c r="R1614" i="4"/>
  <c r="R1613" i="4"/>
  <c r="R1612" i="4"/>
  <c r="R1611" i="4"/>
  <c r="R1610" i="4"/>
  <c r="R1318" i="4"/>
  <c r="R1319" i="4"/>
  <c r="R1320" i="4"/>
  <c r="R1321" i="4"/>
  <c r="R1322" i="4"/>
  <c r="R1323" i="4"/>
  <c r="R1324" i="4"/>
  <c r="R1325" i="4"/>
  <c r="R1326" i="4"/>
  <c r="R1327" i="4"/>
  <c r="R1328" i="4"/>
  <c r="R1329" i="4"/>
  <c r="R1330" i="4"/>
  <c r="R1331" i="4"/>
  <c r="R1316" i="4"/>
  <c r="R1317" i="4"/>
  <c r="R1315" i="4"/>
  <c r="R1301" i="4"/>
  <c r="R1302" i="4"/>
  <c r="R1303" i="4"/>
  <c r="R1304" i="4"/>
  <c r="R1305" i="4"/>
  <c r="R1306" i="4"/>
  <c r="R1307" i="4"/>
  <c r="R1308" i="4"/>
  <c r="R1309" i="4"/>
  <c r="R1310" i="4"/>
  <c r="R1311" i="4"/>
  <c r="R1312" i="4"/>
  <c r="R1313" i="4"/>
  <c r="R1314" i="4"/>
  <c r="R1300" i="4"/>
  <c r="R1299" i="4"/>
  <c r="R1285" i="4"/>
  <c r="R1286" i="4"/>
  <c r="R1287" i="4"/>
  <c r="R1288" i="4"/>
  <c r="R1289" i="4"/>
  <c r="R1290" i="4"/>
  <c r="R1291" i="4"/>
  <c r="R1292" i="4"/>
  <c r="R1293" i="4"/>
  <c r="R1294" i="4"/>
  <c r="R1295" i="4"/>
  <c r="R1296" i="4"/>
  <c r="R1297" i="4"/>
  <c r="R1298" i="4"/>
  <c r="R1283" i="4"/>
  <c r="R1282" i="4"/>
  <c r="R1281" i="4"/>
  <c r="R1280" i="4"/>
  <c r="O239" i="4"/>
  <c r="D1950" i="4"/>
  <c r="D1951" i="4" s="1"/>
  <c r="D1952" i="4" s="1"/>
  <c r="D1953" i="4" s="1"/>
  <c r="D1954" i="4" s="1"/>
  <c r="D1955" i="4" s="1"/>
  <c r="D1956" i="4" s="1"/>
  <c r="D1957" i="4" s="1"/>
  <c r="D1958" i="4" s="1"/>
  <c r="D1959" i="4" s="1"/>
  <c r="D1960" i="4" s="1"/>
  <c r="D1961" i="4" s="1"/>
  <c r="D1962" i="4" s="1"/>
  <c r="D1963" i="4" s="1"/>
  <c r="D1964" i="4" s="1"/>
  <c r="D1965" i="4" s="1"/>
  <c r="D1966" i="4" s="1"/>
  <c r="D1967" i="4" s="1"/>
  <c r="D1968" i="4" s="1"/>
  <c r="D1969" i="4" s="1"/>
  <c r="D1970" i="4" s="1"/>
  <c r="D1971" i="4" s="1"/>
  <c r="D1972" i="4" s="1"/>
  <c r="D1973" i="4" s="1"/>
  <c r="D1974" i="4" s="1"/>
  <c r="D1975" i="4" s="1"/>
  <c r="D1976" i="4" s="1"/>
  <c r="D1977" i="4" s="1"/>
  <c r="D1978" i="4" s="1"/>
  <c r="D1979" i="4" s="1"/>
  <c r="D1980" i="4" s="1"/>
  <c r="D1981" i="4" s="1"/>
  <c r="D1982" i="4" s="1"/>
  <c r="D1983" i="4" s="1"/>
  <c r="D1984" i="4" s="1"/>
  <c r="D1985" i="4" s="1"/>
  <c r="D1986" i="4" s="1"/>
  <c r="D1987" i="4" s="1"/>
  <c r="D1988" i="4" s="1"/>
  <c r="D1989" i="4" s="1"/>
  <c r="D1990" i="4" s="1"/>
  <c r="D1991" i="4" s="1"/>
  <c r="D1992" i="4" s="1"/>
  <c r="D1993" i="4" s="1"/>
  <c r="D1994" i="4" s="1"/>
  <c r="D1995" i="4" s="1"/>
  <c r="D1996" i="4" s="1"/>
  <c r="D1997" i="4" s="1"/>
  <c r="D1998" i="4" s="1"/>
  <c r="D1999" i="4" s="1"/>
  <c r="D2000" i="4" s="1"/>
  <c r="D2001" i="4" s="1"/>
  <c r="D2002" i="4" s="1"/>
  <c r="C1949" i="4"/>
  <c r="C1950" i="4" s="1"/>
  <c r="C1951" i="4" s="1"/>
  <c r="C1952" i="4" s="1"/>
  <c r="C1953" i="4" s="1"/>
  <c r="C1954" i="4" s="1"/>
  <c r="C1955" i="4" s="1"/>
  <c r="C1956" i="4" s="1"/>
  <c r="C1957" i="4" s="1"/>
  <c r="C1958" i="4" s="1"/>
  <c r="C1959" i="4" s="1"/>
  <c r="C1960" i="4" s="1"/>
  <c r="C1961" i="4" s="1"/>
  <c r="C1962" i="4" s="1"/>
  <c r="C1963" i="4" s="1"/>
  <c r="C1964" i="4" s="1"/>
  <c r="C1965" i="4" s="1"/>
  <c r="C1966" i="4" s="1"/>
  <c r="C1967" i="4" s="1"/>
  <c r="C1968" i="4" s="1"/>
  <c r="C1969" i="4" s="1"/>
  <c r="C1970" i="4" s="1"/>
  <c r="C1971" i="4" s="1"/>
  <c r="C1972" i="4" s="1"/>
  <c r="C1973" i="4" s="1"/>
  <c r="C1974" i="4" s="1"/>
  <c r="C1975" i="4" s="1"/>
  <c r="C1976" i="4" s="1"/>
  <c r="C1977" i="4" s="1"/>
  <c r="C1978" i="4" s="1"/>
  <c r="C1979" i="4" s="1"/>
  <c r="C1980" i="4" s="1"/>
  <c r="C1981" i="4" s="1"/>
  <c r="C1982" i="4" s="1"/>
  <c r="C1983" i="4" s="1"/>
  <c r="C1984" i="4" s="1"/>
  <c r="C1985" i="4" s="1"/>
  <c r="C1986" i="4" s="1"/>
  <c r="C1987" i="4" s="1"/>
  <c r="C1988" i="4" s="1"/>
  <c r="C1989" i="4" s="1"/>
  <c r="C1990" i="4" s="1"/>
  <c r="C1991" i="4" s="1"/>
  <c r="C1992" i="4" s="1"/>
  <c r="C1993" i="4" s="1"/>
  <c r="C1994" i="4" s="1"/>
  <c r="C1995" i="4" s="1"/>
  <c r="C1996" i="4" s="1"/>
  <c r="C1997" i="4" s="1"/>
  <c r="C1998" i="4" s="1"/>
  <c r="C1999" i="4" s="1"/>
  <c r="C2000" i="4" s="1"/>
  <c r="C2001" i="4" s="1"/>
  <c r="C2002" i="4" s="1"/>
  <c r="B1949" i="4"/>
  <c r="B1950" i="4" s="1"/>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Q752" i="4"/>
  <c r="K752" i="4"/>
  <c r="L752" i="4"/>
  <c r="M752" i="4"/>
  <c r="N752" i="4"/>
  <c r="J752" i="4"/>
  <c r="D752" i="4"/>
  <c r="Q325" i="4"/>
  <c r="K325" i="4"/>
  <c r="L325" i="4"/>
  <c r="M325" i="4"/>
  <c r="N325" i="4"/>
  <c r="J325" i="4"/>
  <c r="D325" i="4"/>
  <c r="J227" i="4"/>
  <c r="S532" i="4"/>
  <c r="R2002" i="4" l="1"/>
  <c r="R1963" i="4"/>
  <c r="R1972" i="4"/>
  <c r="R2001" i="4"/>
  <c r="R1962" i="4"/>
  <c r="R1954" i="4"/>
  <c r="R1971" i="4"/>
  <c r="R1980" i="4"/>
  <c r="R1991" i="4"/>
  <c r="R2000" i="4"/>
  <c r="R1955" i="4"/>
  <c r="R1981" i="4"/>
  <c r="R1949" i="4"/>
  <c r="R1959" i="4"/>
  <c r="R1951" i="4"/>
  <c r="R1968" i="4"/>
  <c r="R1977" i="4"/>
  <c r="R1988" i="4"/>
  <c r="R1997" i="4"/>
  <c r="R1986" i="4"/>
  <c r="R1966" i="4"/>
  <c r="R1958" i="4"/>
  <c r="R1950" i="4"/>
  <c r="R1975" i="4"/>
  <c r="R1976" i="4"/>
  <c r="R1987" i="4"/>
  <c r="R1996" i="4"/>
  <c r="R1965" i="4"/>
  <c r="R1961" i="4"/>
  <c r="R1957" i="4"/>
  <c r="R1953" i="4"/>
  <c r="R1967" i="4"/>
  <c r="R1970" i="4"/>
  <c r="R1983" i="4"/>
  <c r="R1979" i="4"/>
  <c r="R1984" i="4"/>
  <c r="R1990" i="4"/>
  <c r="R1993" i="4"/>
  <c r="R1999" i="4"/>
  <c r="R1995" i="4"/>
  <c r="R1964" i="4"/>
  <c r="R1960" i="4"/>
  <c r="R1956" i="4"/>
  <c r="R1952" i="4"/>
  <c r="R1973" i="4"/>
  <c r="R1969" i="4"/>
  <c r="R1982" i="4"/>
  <c r="R1978" i="4"/>
  <c r="R1985" i="4"/>
  <c r="R1989" i="4"/>
  <c r="R1998" i="4"/>
  <c r="R1994" i="4"/>
  <c r="V1949" i="4"/>
  <c r="B1951" i="4"/>
  <c r="V1950" i="4"/>
  <c r="B1952" i="4" l="1"/>
  <c r="V1951" i="4"/>
  <c r="S244" i="4"/>
  <c r="T244" i="4"/>
  <c r="Q246" i="4"/>
  <c r="Q247" i="4" s="1"/>
  <c r="Q248" i="4" s="1"/>
  <c r="S245" i="4"/>
  <c r="T245" i="4"/>
  <c r="S246" i="4"/>
  <c r="T246" i="4"/>
  <c r="S247" i="4"/>
  <c r="T247" i="4"/>
  <c r="S248" i="4"/>
  <c r="T248" i="4"/>
  <c r="B1953" i="4" l="1"/>
  <c r="V1952" i="4"/>
  <c r="T747" i="4"/>
  <c r="T736" i="4"/>
  <c r="T737" i="4"/>
  <c r="T738" i="4"/>
  <c r="T739" i="4"/>
  <c r="T740" i="4"/>
  <c r="T741" i="4"/>
  <c r="T742" i="4"/>
  <c r="T743" i="4"/>
  <c r="T744" i="4"/>
  <c r="T745" i="4"/>
  <c r="T746" i="4"/>
  <c r="T748" i="4"/>
  <c r="T749" i="4"/>
  <c r="T750" i="4"/>
  <c r="T735" i="4"/>
  <c r="B1954" i="4" l="1"/>
  <c r="V1953" i="4"/>
  <c r="T620" i="4"/>
  <c r="T609" i="4"/>
  <c r="T610" i="4"/>
  <c r="T611" i="4"/>
  <c r="T612" i="4"/>
  <c r="T613" i="4"/>
  <c r="T614" i="4"/>
  <c r="T615" i="4"/>
  <c r="T616" i="4"/>
  <c r="T617" i="4"/>
  <c r="T618" i="4"/>
  <c r="T619" i="4"/>
  <c r="T621" i="4"/>
  <c r="T622" i="4"/>
  <c r="T623" i="4"/>
  <c r="T608" i="4"/>
  <c r="M1708" i="4"/>
  <c r="M1709" i="4" s="1"/>
  <c r="M1710" i="4" s="1"/>
  <c r="M1711" i="4" s="1"/>
  <c r="M1712" i="4" s="1"/>
  <c r="M1713" i="4" s="1"/>
  <c r="M1714" i="4" s="1"/>
  <c r="M1715" i="4" s="1"/>
  <c r="M1716" i="4" s="1"/>
  <c r="M1717" i="4" s="1"/>
  <c r="M1718" i="4" s="1"/>
  <c r="M1719" i="4" s="1"/>
  <c r="M1720" i="4" s="1"/>
  <c r="M1721" i="4" s="1"/>
  <c r="M1722" i="4" s="1"/>
  <c r="M1723" i="4" s="1"/>
  <c r="M1675" i="4"/>
  <c r="M1676" i="4" s="1"/>
  <c r="M1677" i="4" s="1"/>
  <c r="M1678" i="4" s="1"/>
  <c r="M1679" i="4" s="1"/>
  <c r="M1680" i="4" s="1"/>
  <c r="M1681" i="4" s="1"/>
  <c r="M1682" i="4" s="1"/>
  <c r="M1683" i="4" s="1"/>
  <c r="M1684" i="4" s="1"/>
  <c r="M1685" i="4" s="1"/>
  <c r="M1686" i="4" s="1"/>
  <c r="M1687" i="4" s="1"/>
  <c r="M1688" i="4" s="1"/>
  <c r="M1689" i="4" s="1"/>
  <c r="M1690" i="4" s="1"/>
  <c r="O1709" i="4"/>
  <c r="O1710" i="4"/>
  <c r="O1711" i="4"/>
  <c r="O1712" i="4"/>
  <c r="O1713" i="4"/>
  <c r="O1714" i="4"/>
  <c r="O1715" i="4"/>
  <c r="O1716" i="4"/>
  <c r="O1717" i="4"/>
  <c r="O1718" i="4"/>
  <c r="O1719" i="4"/>
  <c r="O1720" i="4"/>
  <c r="O1721" i="4"/>
  <c r="O1722" i="4"/>
  <c r="O1723" i="4"/>
  <c r="O1708" i="4"/>
  <c r="O1693" i="4"/>
  <c r="O1694" i="4"/>
  <c r="O1695" i="4"/>
  <c r="O1696" i="4"/>
  <c r="O1697" i="4"/>
  <c r="O1698" i="4"/>
  <c r="O1699" i="4"/>
  <c r="O1700" i="4"/>
  <c r="O1701" i="4"/>
  <c r="O1702" i="4"/>
  <c r="O1703" i="4"/>
  <c r="O1704" i="4"/>
  <c r="O1705" i="4"/>
  <c r="O1706" i="4"/>
  <c r="O1692" i="4"/>
  <c r="O1690" i="4"/>
  <c r="O1676" i="4"/>
  <c r="O1677" i="4"/>
  <c r="O1678" i="4"/>
  <c r="O1679" i="4"/>
  <c r="O1680" i="4"/>
  <c r="O1681" i="4"/>
  <c r="O1682" i="4"/>
  <c r="O1683" i="4"/>
  <c r="O1684" i="4"/>
  <c r="O1685" i="4"/>
  <c r="O1686" i="4"/>
  <c r="O1687" i="4"/>
  <c r="O1688" i="4"/>
  <c r="O1689" i="4"/>
  <c r="O1675" i="4"/>
  <c r="O1674" i="4"/>
  <c r="S308" i="4"/>
  <c r="B1955" i="4" l="1"/>
  <c r="V1954" i="4"/>
  <c r="S320" i="4"/>
  <c r="S319" i="4"/>
  <c r="B1956" i="4" l="1"/>
  <c r="V1955" i="4"/>
  <c r="S1725" i="4"/>
  <c r="T729" i="4"/>
  <c r="T717" i="4"/>
  <c r="T718" i="4"/>
  <c r="T719" i="4"/>
  <c r="T720" i="4"/>
  <c r="T721" i="4"/>
  <c r="T722" i="4"/>
  <c r="T723" i="4"/>
  <c r="T724" i="4"/>
  <c r="T725" i="4"/>
  <c r="T726" i="4"/>
  <c r="T727" i="4"/>
  <c r="T728" i="4"/>
  <c r="T730" i="4"/>
  <c r="T731" i="4"/>
  <c r="T732" i="4"/>
  <c r="S357" i="4"/>
  <c r="S358" i="4"/>
  <c r="S359" i="4"/>
  <c r="S360" i="4"/>
  <c r="S361" i="4"/>
  <c r="S362" i="4"/>
  <c r="S363" i="4"/>
  <c r="S364" i="4"/>
  <c r="S365" i="4"/>
  <c r="S366" i="4"/>
  <c r="S367" i="4"/>
  <c r="S368" i="4"/>
  <c r="S369" i="4"/>
  <c r="S370" i="4"/>
  <c r="S371" i="4"/>
  <c r="S356" i="4"/>
  <c r="B1957" i="4" l="1"/>
  <c r="V1956" i="4"/>
  <c r="S966" i="4"/>
  <c r="T966" i="4"/>
  <c r="S1558" i="4"/>
  <c r="S1559" i="4"/>
  <c r="S1560" i="4"/>
  <c r="S1561" i="4"/>
  <c r="S1562" i="4"/>
  <c r="S1563" i="4"/>
  <c r="S1564" i="4"/>
  <c r="S1565" i="4"/>
  <c r="S1566" i="4"/>
  <c r="S1567" i="4"/>
  <c r="S1568" i="4"/>
  <c r="S1569" i="4"/>
  <c r="S1570" i="4"/>
  <c r="S1571" i="4"/>
  <c r="S1572" i="4"/>
  <c r="S1557" i="4"/>
  <c r="S1541" i="4"/>
  <c r="S1542" i="4"/>
  <c r="S1543" i="4"/>
  <c r="S1544" i="4"/>
  <c r="S1545" i="4"/>
  <c r="S1546" i="4"/>
  <c r="S1547" i="4"/>
  <c r="S1548" i="4"/>
  <c r="S1549" i="4"/>
  <c r="S1550" i="4"/>
  <c r="S1551" i="4"/>
  <c r="S1552" i="4"/>
  <c r="S1553" i="4"/>
  <c r="S1554" i="4"/>
  <c r="S1555" i="4"/>
  <c r="S1540" i="4"/>
  <c r="P815" i="4"/>
  <c r="P814" i="4"/>
  <c r="P813" i="4"/>
  <c r="P812" i="4"/>
  <c r="P811" i="4"/>
  <c r="P810" i="4"/>
  <c r="P809" i="4"/>
  <c r="P808" i="4"/>
  <c r="P807" i="4"/>
  <c r="P806" i="4"/>
  <c r="P805" i="4"/>
  <c r="P804" i="4"/>
  <c r="P803" i="4"/>
  <c r="P802" i="4"/>
  <c r="P801" i="4"/>
  <c r="P800" i="4"/>
  <c r="S31" i="4"/>
  <c r="S32" i="4"/>
  <c r="S33" i="4"/>
  <c r="S34" i="4"/>
  <c r="S35" i="4"/>
  <c r="S36" i="4"/>
  <c r="S37" i="4"/>
  <c r="S38" i="4"/>
  <c r="S39" i="4"/>
  <c r="S40" i="4"/>
  <c r="S41" i="4"/>
  <c r="S42" i="4"/>
  <c r="S43" i="4"/>
  <c r="S44" i="4"/>
  <c r="S30" i="4"/>
  <c r="O410" i="4"/>
  <c r="S1748" i="4"/>
  <c r="S1743" i="4"/>
  <c r="S1744" i="4"/>
  <c r="S1745" i="4"/>
  <c r="S1746" i="4"/>
  <c r="S1747" i="4"/>
  <c r="S1749" i="4"/>
  <c r="S1750" i="4"/>
  <c r="S1751" i="4"/>
  <c r="S1752" i="4"/>
  <c r="S1753" i="4"/>
  <c r="S1754" i="4"/>
  <c r="S1755" i="4"/>
  <c r="S1756" i="4"/>
  <c r="S1757" i="4"/>
  <c r="S1742" i="4"/>
  <c r="S1735" i="4"/>
  <c r="S1726" i="4"/>
  <c r="S1727" i="4"/>
  <c r="S1728" i="4"/>
  <c r="S1729" i="4"/>
  <c r="S1730" i="4"/>
  <c r="S1731" i="4"/>
  <c r="S1732" i="4"/>
  <c r="S1733" i="4"/>
  <c r="S1734" i="4"/>
  <c r="S1736" i="4"/>
  <c r="S1737" i="4"/>
  <c r="S1738" i="4"/>
  <c r="S1739" i="4"/>
  <c r="S1740" i="4"/>
  <c r="O782" i="4"/>
  <c r="T764" i="4"/>
  <c r="B1958" i="4" l="1"/>
  <c r="V1957" i="4"/>
  <c r="B1959" i="4" l="1"/>
  <c r="V1958" i="4"/>
  <c r="S541" i="4"/>
  <c r="S540" i="4"/>
  <c r="S520" i="4"/>
  <c r="S521" i="4"/>
  <c r="S522" i="4"/>
  <c r="S523" i="4"/>
  <c r="S524" i="4"/>
  <c r="S525" i="4"/>
  <c r="S526" i="4"/>
  <c r="S527" i="4"/>
  <c r="S528" i="4"/>
  <c r="S529" i="4"/>
  <c r="S530" i="4"/>
  <c r="S531" i="4"/>
  <c r="S533" i="4"/>
  <c r="S534" i="4"/>
  <c r="S519" i="4"/>
  <c r="S503" i="4"/>
  <c r="S504" i="4"/>
  <c r="S505" i="4"/>
  <c r="S506" i="4"/>
  <c r="S507" i="4"/>
  <c r="S508" i="4"/>
  <c r="S509" i="4"/>
  <c r="S510" i="4"/>
  <c r="S511" i="4"/>
  <c r="S512" i="4"/>
  <c r="S513" i="4"/>
  <c r="S514" i="4"/>
  <c r="S515" i="4"/>
  <c r="S516" i="4"/>
  <c r="S517" i="4"/>
  <c r="S502" i="4"/>
  <c r="S937" i="4"/>
  <c r="S938" i="4"/>
  <c r="S939" i="4"/>
  <c r="S940" i="4"/>
  <c r="S941" i="4"/>
  <c r="S942" i="4"/>
  <c r="S943" i="4"/>
  <c r="S944" i="4"/>
  <c r="S945" i="4"/>
  <c r="S946" i="4"/>
  <c r="S947" i="4"/>
  <c r="S948" i="4"/>
  <c r="S949" i="4"/>
  <c r="S950" i="4"/>
  <c r="S951" i="4"/>
  <c r="S936" i="4"/>
  <c r="S626" i="4"/>
  <c r="S627" i="4"/>
  <c r="S628" i="4"/>
  <c r="S629" i="4"/>
  <c r="S630" i="4"/>
  <c r="S631" i="4"/>
  <c r="S632" i="4"/>
  <c r="S633" i="4"/>
  <c r="S634" i="4"/>
  <c r="S635" i="4"/>
  <c r="S636" i="4"/>
  <c r="S637" i="4"/>
  <c r="S638" i="4"/>
  <c r="S639" i="4"/>
  <c r="S640" i="4"/>
  <c r="S625" i="4"/>
  <c r="S609" i="4"/>
  <c r="S610" i="4"/>
  <c r="S611" i="4"/>
  <c r="S612" i="4"/>
  <c r="S613" i="4"/>
  <c r="S614" i="4"/>
  <c r="S615" i="4"/>
  <c r="S616" i="4"/>
  <c r="S617" i="4"/>
  <c r="S618" i="4"/>
  <c r="S619" i="4"/>
  <c r="S620" i="4"/>
  <c r="S621" i="4"/>
  <c r="S622" i="4"/>
  <c r="S623" i="4"/>
  <c r="S608" i="4"/>
  <c r="S575" i="4"/>
  <c r="S576" i="4"/>
  <c r="S577" i="4"/>
  <c r="S578" i="4"/>
  <c r="S579" i="4"/>
  <c r="S580" i="4"/>
  <c r="S581" i="4"/>
  <c r="S582" i="4"/>
  <c r="S583" i="4"/>
  <c r="S584" i="4"/>
  <c r="S585" i="4"/>
  <c r="S586" i="4"/>
  <c r="S587" i="4"/>
  <c r="S588" i="4"/>
  <c r="S589" i="4"/>
  <c r="S574" i="4"/>
  <c r="S558" i="4"/>
  <c r="S559" i="4"/>
  <c r="S560" i="4"/>
  <c r="S561" i="4"/>
  <c r="S562" i="4"/>
  <c r="S563" i="4"/>
  <c r="S564" i="4"/>
  <c r="S565" i="4"/>
  <c r="S566" i="4"/>
  <c r="S567" i="4"/>
  <c r="S568" i="4"/>
  <c r="S569" i="4"/>
  <c r="S570" i="4"/>
  <c r="S571" i="4"/>
  <c r="S572" i="4"/>
  <c r="S557" i="4"/>
  <c r="S486" i="4"/>
  <c r="S487" i="4"/>
  <c r="S488" i="4"/>
  <c r="S489" i="4"/>
  <c r="S490" i="4"/>
  <c r="S491" i="4"/>
  <c r="S492" i="4"/>
  <c r="S493" i="4"/>
  <c r="S494" i="4"/>
  <c r="S495" i="4"/>
  <c r="S496" i="4"/>
  <c r="S497" i="4"/>
  <c r="S498" i="4"/>
  <c r="S499" i="4"/>
  <c r="S500" i="4"/>
  <c r="S485" i="4"/>
  <c r="S469" i="4"/>
  <c r="S470" i="4"/>
  <c r="S471" i="4"/>
  <c r="S472" i="4"/>
  <c r="S473" i="4"/>
  <c r="S474" i="4"/>
  <c r="S475" i="4"/>
  <c r="S476" i="4"/>
  <c r="S477" i="4"/>
  <c r="S478" i="4"/>
  <c r="S479" i="4"/>
  <c r="S480" i="4"/>
  <c r="S481" i="4"/>
  <c r="S482" i="4"/>
  <c r="S483" i="4"/>
  <c r="S468" i="4"/>
  <c r="S452" i="4"/>
  <c r="S453" i="4"/>
  <c r="S454" i="4"/>
  <c r="S455" i="4"/>
  <c r="S457" i="4"/>
  <c r="S458" i="4"/>
  <c r="S459" i="4"/>
  <c r="S460" i="4"/>
  <c r="S461" i="4"/>
  <c r="S462" i="4"/>
  <c r="S463" i="4"/>
  <c r="S464" i="4"/>
  <c r="S465" i="4"/>
  <c r="S466" i="4"/>
  <c r="S451" i="4"/>
  <c r="S435" i="4"/>
  <c r="S436" i="4"/>
  <c r="S437" i="4"/>
  <c r="S438" i="4"/>
  <c r="S439" i="4"/>
  <c r="S440" i="4"/>
  <c r="S441" i="4"/>
  <c r="S442" i="4"/>
  <c r="S443" i="4"/>
  <c r="S444" i="4"/>
  <c r="S445" i="4"/>
  <c r="S446" i="4"/>
  <c r="S447" i="4"/>
  <c r="S448" i="4"/>
  <c r="S449" i="4"/>
  <c r="S434" i="4"/>
  <c r="S339" i="4"/>
  <c r="S542" i="4"/>
  <c r="S543" i="4"/>
  <c r="S544" i="4"/>
  <c r="S545" i="4"/>
  <c r="S546" i="4"/>
  <c r="S547" i="4"/>
  <c r="S548" i="4"/>
  <c r="S549" i="4"/>
  <c r="S550" i="4"/>
  <c r="S551" i="4"/>
  <c r="S552" i="4"/>
  <c r="S553" i="4"/>
  <c r="S554" i="4"/>
  <c r="S555" i="4"/>
  <c r="B109" i="6"/>
  <c r="C109" i="6"/>
  <c r="B110" i="6"/>
  <c r="C110" i="6"/>
  <c r="B111" i="6"/>
  <c r="C111" i="6"/>
  <c r="B112" i="6"/>
  <c r="C112" i="6"/>
  <c r="B113" i="6"/>
  <c r="C113" i="6"/>
  <c r="B114" i="6"/>
  <c r="C114" i="6"/>
  <c r="B115" i="6"/>
  <c r="C115" i="6"/>
  <c r="B116" i="6"/>
  <c r="C116" i="6"/>
  <c r="K26" i="6"/>
  <c r="K27" i="6"/>
  <c r="K28" i="6"/>
  <c r="K29" i="6"/>
  <c r="K30" i="6"/>
  <c r="K31" i="6"/>
  <c r="K32" i="6"/>
  <c r="K33" i="6"/>
  <c r="K34" i="6"/>
  <c r="K35" i="6"/>
  <c r="K36" i="6"/>
  <c r="B1960" i="4" l="1"/>
  <c r="V1959" i="4"/>
  <c r="O1405" i="4"/>
  <c r="O1406" i="4"/>
  <c r="O1407" i="4"/>
  <c r="O1408" i="4"/>
  <c r="O1409" i="4"/>
  <c r="O1410" i="4"/>
  <c r="O1411" i="4"/>
  <c r="O1412" i="4"/>
  <c r="O1413" i="4"/>
  <c r="O1414" i="4"/>
  <c r="O1415" i="4"/>
  <c r="O1416" i="4"/>
  <c r="O1417" i="4"/>
  <c r="O1418" i="4"/>
  <c r="O1419" i="4"/>
  <c r="O1404" i="4"/>
  <c r="O1403" i="4"/>
  <c r="O1402" i="4"/>
  <c r="O1422" i="4"/>
  <c r="O1423" i="4"/>
  <c r="O1424" i="4"/>
  <c r="O1425" i="4"/>
  <c r="O1426" i="4"/>
  <c r="O1427" i="4"/>
  <c r="O1428" i="4"/>
  <c r="O1429" i="4"/>
  <c r="O1430" i="4"/>
  <c r="O1431" i="4"/>
  <c r="O1432" i="4"/>
  <c r="O1433" i="4"/>
  <c r="O1434" i="4"/>
  <c r="O1435" i="4"/>
  <c r="O1436" i="4"/>
  <c r="O1421" i="4"/>
  <c r="O1420" i="4"/>
  <c r="T982" i="4"/>
  <c r="T971" i="4"/>
  <c r="T972" i="4"/>
  <c r="T973" i="4"/>
  <c r="T974" i="4"/>
  <c r="T975" i="4"/>
  <c r="T976" i="4"/>
  <c r="T977" i="4"/>
  <c r="T978" i="4"/>
  <c r="T979" i="4"/>
  <c r="T980" i="4"/>
  <c r="T981" i="4"/>
  <c r="T983" i="4"/>
  <c r="T984" i="4"/>
  <c r="T985" i="4"/>
  <c r="T970" i="4"/>
  <c r="S971" i="4"/>
  <c r="S972" i="4"/>
  <c r="S973" i="4"/>
  <c r="S974" i="4"/>
  <c r="S975" i="4"/>
  <c r="S976" i="4"/>
  <c r="S977" i="4"/>
  <c r="S978" i="4"/>
  <c r="S979" i="4"/>
  <c r="S980" i="4"/>
  <c r="S981" i="4"/>
  <c r="S982" i="4"/>
  <c r="S983" i="4"/>
  <c r="S984" i="4"/>
  <c r="S985" i="4"/>
  <c r="S970" i="4"/>
  <c r="V12" i="4"/>
  <c r="B1961" i="4" l="1"/>
  <c r="V1960" i="4"/>
  <c r="N180" i="6"/>
  <c r="O180" i="6"/>
  <c r="N181" i="6"/>
  <c r="O181" i="6"/>
  <c r="N182" i="6"/>
  <c r="O182" i="6"/>
  <c r="N183" i="6"/>
  <c r="O183" i="6"/>
  <c r="N184" i="6"/>
  <c r="O184" i="6"/>
  <c r="N185" i="6"/>
  <c r="O185" i="6"/>
  <c r="N186" i="6"/>
  <c r="O186" i="6"/>
  <c r="N187" i="6"/>
  <c r="O187" i="6"/>
  <c r="N188" i="6"/>
  <c r="O188" i="6"/>
  <c r="N189" i="6"/>
  <c r="O189" i="6"/>
  <c r="N190" i="6"/>
  <c r="O190" i="6"/>
  <c r="N191" i="6"/>
  <c r="O191" i="6"/>
  <c r="N192" i="6"/>
  <c r="O192" i="6"/>
  <c r="N193" i="6"/>
  <c r="O193" i="6"/>
  <c r="N194" i="6"/>
  <c r="O194" i="6"/>
  <c r="N195" i="6"/>
  <c r="O195" i="6"/>
  <c r="N196" i="6"/>
  <c r="O196" i="6"/>
  <c r="N197" i="6"/>
  <c r="O197" i="6"/>
  <c r="N198" i="6"/>
  <c r="O198" i="6"/>
  <c r="N199" i="6"/>
  <c r="O199" i="6"/>
  <c r="N200" i="6"/>
  <c r="O200" i="6"/>
  <c r="N201" i="6"/>
  <c r="O201" i="6"/>
  <c r="N202" i="6"/>
  <c r="O202" i="6"/>
  <c r="N203" i="6"/>
  <c r="O203" i="6"/>
  <c r="N204" i="6"/>
  <c r="O204" i="6"/>
  <c r="N205" i="6"/>
  <c r="O205" i="6"/>
  <c r="N206" i="6"/>
  <c r="O206" i="6"/>
  <c r="N207" i="6"/>
  <c r="O207" i="6"/>
  <c r="N208" i="6"/>
  <c r="O208" i="6"/>
  <c r="N209" i="6"/>
  <c r="O209" i="6"/>
  <c r="N210" i="6"/>
  <c r="O210" i="6"/>
  <c r="N211" i="6"/>
  <c r="O211" i="6"/>
  <c r="N212" i="6"/>
  <c r="O212" i="6"/>
  <c r="N213" i="6"/>
  <c r="O213" i="6"/>
  <c r="N214" i="6"/>
  <c r="O214" i="6"/>
  <c r="N215" i="6"/>
  <c r="O215" i="6"/>
  <c r="N216" i="6"/>
  <c r="O216" i="6"/>
  <c r="N217" i="6"/>
  <c r="O217" i="6"/>
  <c r="N218" i="6"/>
  <c r="O218" i="6"/>
  <c r="N219" i="6"/>
  <c r="O219" i="6"/>
  <c r="N220" i="6"/>
  <c r="O220" i="6"/>
  <c r="N221" i="6"/>
  <c r="O221" i="6"/>
  <c r="N222" i="6"/>
  <c r="O222" i="6"/>
  <c r="N223" i="6"/>
  <c r="O223" i="6"/>
  <c r="N224" i="6"/>
  <c r="O224" i="6"/>
  <c r="N225" i="6"/>
  <c r="O225" i="6"/>
  <c r="N226" i="6"/>
  <c r="O226" i="6"/>
  <c r="N227" i="6"/>
  <c r="O227" i="6"/>
  <c r="N228" i="6"/>
  <c r="O228" i="6"/>
  <c r="N229" i="6"/>
  <c r="O229" i="6"/>
  <c r="N230" i="6"/>
  <c r="O230" i="6"/>
  <c r="N231" i="6"/>
  <c r="O231" i="6"/>
  <c r="N232" i="6"/>
  <c r="O232" i="6"/>
  <c r="N233" i="6"/>
  <c r="O233" i="6"/>
  <c r="N234" i="6"/>
  <c r="O234" i="6"/>
  <c r="N235" i="6"/>
  <c r="O235" i="6"/>
  <c r="N236" i="6"/>
  <c r="O236" i="6"/>
  <c r="N237" i="6"/>
  <c r="O237" i="6"/>
  <c r="N238" i="6"/>
  <c r="O238" i="6"/>
  <c r="N239" i="6"/>
  <c r="O239" i="6"/>
  <c r="N240" i="6"/>
  <c r="O240" i="6"/>
  <c r="N241" i="6"/>
  <c r="O241" i="6"/>
  <c r="N242" i="6"/>
  <c r="O242" i="6"/>
  <c r="N243" i="6"/>
  <c r="O243" i="6"/>
  <c r="N244" i="6"/>
  <c r="O244" i="6"/>
  <c r="N245" i="6"/>
  <c r="O245" i="6"/>
  <c r="N246" i="6"/>
  <c r="O246" i="6"/>
  <c r="N247" i="6"/>
  <c r="O247" i="6"/>
  <c r="N248" i="6"/>
  <c r="O248" i="6"/>
  <c r="N249" i="6"/>
  <c r="O249" i="6"/>
  <c r="N250" i="6"/>
  <c r="O250" i="6"/>
  <c r="N251" i="6"/>
  <c r="O251" i="6"/>
  <c r="N252" i="6"/>
  <c r="O252" i="6"/>
  <c r="N253" i="6"/>
  <c r="O253" i="6"/>
  <c r="N254" i="6"/>
  <c r="O254" i="6"/>
  <c r="N255" i="6"/>
  <c r="O255" i="6"/>
  <c r="N256" i="6"/>
  <c r="O256" i="6"/>
  <c r="N257" i="6"/>
  <c r="O257" i="6"/>
  <c r="N258" i="6"/>
  <c r="O258" i="6"/>
  <c r="N259" i="6"/>
  <c r="O259" i="6"/>
  <c r="N260" i="6"/>
  <c r="O260" i="6"/>
  <c r="N261" i="6"/>
  <c r="O261" i="6"/>
  <c r="N262" i="6"/>
  <c r="O262" i="6"/>
  <c r="N263" i="6"/>
  <c r="O263" i="6"/>
  <c r="N264" i="6"/>
  <c r="O264" i="6"/>
  <c r="N265" i="6"/>
  <c r="O265" i="6"/>
  <c r="N266" i="6"/>
  <c r="O266" i="6"/>
  <c r="N267" i="6"/>
  <c r="O267" i="6"/>
  <c r="J26" i="6"/>
  <c r="J27" i="6"/>
  <c r="J28" i="6"/>
  <c r="J29" i="6"/>
  <c r="J30" i="6"/>
  <c r="G1038" i="4"/>
  <c r="T1053" i="4"/>
  <c r="T1052" i="4"/>
  <c r="T1051" i="4"/>
  <c r="T1050" i="4"/>
  <c r="T1049" i="4"/>
  <c r="T1048" i="4"/>
  <c r="T1047" i="4"/>
  <c r="T1046" i="4"/>
  <c r="T1045" i="4"/>
  <c r="T1044" i="4"/>
  <c r="T1043" i="4"/>
  <c r="T1042" i="4"/>
  <c r="T1041" i="4"/>
  <c r="T1040" i="4"/>
  <c r="T1039" i="4"/>
  <c r="T1038" i="4"/>
  <c r="B1962" i="4" l="1"/>
  <c r="V1961" i="4"/>
  <c r="G1039" i="4"/>
  <c r="F1038" i="4"/>
  <c r="S1039" i="4"/>
  <c r="S1040" i="4"/>
  <c r="S1041" i="4"/>
  <c r="S1042" i="4"/>
  <c r="S1043" i="4"/>
  <c r="S1044" i="4"/>
  <c r="S1045" i="4"/>
  <c r="S1046" i="4"/>
  <c r="S1047" i="4"/>
  <c r="S1048" i="4"/>
  <c r="S1049" i="4"/>
  <c r="S1050" i="4"/>
  <c r="S1051" i="4"/>
  <c r="S1052" i="4"/>
  <c r="S1053" i="4"/>
  <c r="S1038" i="4"/>
  <c r="O1037" i="4"/>
  <c r="J1039" i="4"/>
  <c r="Q1038" i="4"/>
  <c r="Q1039" i="4" s="1"/>
  <c r="Q1040" i="4" s="1"/>
  <c r="Q1041" i="4" s="1"/>
  <c r="Q1042" i="4" s="1"/>
  <c r="Q1043" i="4" s="1"/>
  <c r="Q1044" i="4" s="1"/>
  <c r="Q1045" i="4" s="1"/>
  <c r="Q1046" i="4" s="1"/>
  <c r="Q1047" i="4" s="1"/>
  <c r="Q1048" i="4" s="1"/>
  <c r="Q1049" i="4" s="1"/>
  <c r="Q1050" i="4" s="1"/>
  <c r="Q1051" i="4" s="1"/>
  <c r="Q1052" i="4" s="1"/>
  <c r="Q1053" i="4" s="1"/>
  <c r="N1038" i="4"/>
  <c r="N1039" i="4" s="1"/>
  <c r="N1040" i="4" s="1"/>
  <c r="N1041" i="4" s="1"/>
  <c r="N1042" i="4" s="1"/>
  <c r="N1043" i="4" s="1"/>
  <c r="N1044" i="4" s="1"/>
  <c r="N1045" i="4" s="1"/>
  <c r="N1046" i="4" s="1"/>
  <c r="N1047" i="4" s="1"/>
  <c r="N1048" i="4" s="1"/>
  <c r="N1049" i="4" s="1"/>
  <c r="N1050" i="4" s="1"/>
  <c r="N1051" i="4" s="1"/>
  <c r="N1052" i="4" s="1"/>
  <c r="N1053" i="4" s="1"/>
  <c r="M1038" i="4"/>
  <c r="M1039" i="4" s="1"/>
  <c r="M1040" i="4" s="1"/>
  <c r="M1041" i="4" s="1"/>
  <c r="M1042" i="4" s="1"/>
  <c r="M1043" i="4" s="1"/>
  <c r="M1044" i="4" s="1"/>
  <c r="M1045" i="4" s="1"/>
  <c r="M1046" i="4" s="1"/>
  <c r="M1047" i="4" s="1"/>
  <c r="M1048" i="4" s="1"/>
  <c r="M1049" i="4" s="1"/>
  <c r="M1050" i="4" s="1"/>
  <c r="M1051" i="4" s="1"/>
  <c r="M1052" i="4" s="1"/>
  <c r="M1053" i="4" s="1"/>
  <c r="L1038" i="4"/>
  <c r="L1039" i="4" s="1"/>
  <c r="L1040" i="4" s="1"/>
  <c r="L1041" i="4" s="1"/>
  <c r="L1042" i="4" s="1"/>
  <c r="L1043" i="4" s="1"/>
  <c r="L1044" i="4" s="1"/>
  <c r="L1045" i="4" s="1"/>
  <c r="L1046" i="4" s="1"/>
  <c r="L1047" i="4" s="1"/>
  <c r="L1048" i="4" s="1"/>
  <c r="L1049" i="4" s="1"/>
  <c r="L1050" i="4" s="1"/>
  <c r="L1051" i="4" s="1"/>
  <c r="L1052" i="4" s="1"/>
  <c r="L1053" i="4" s="1"/>
  <c r="O1053" i="4" s="1"/>
  <c r="D1038" i="4"/>
  <c r="D1039" i="4" s="1"/>
  <c r="D1040" i="4" s="1"/>
  <c r="D1041" i="4" s="1"/>
  <c r="D1042" i="4" s="1"/>
  <c r="D1043" i="4" s="1"/>
  <c r="D1044" i="4" s="1"/>
  <c r="D1045" i="4" s="1"/>
  <c r="D1046" i="4" s="1"/>
  <c r="D1047" i="4" s="1"/>
  <c r="D1048" i="4" s="1"/>
  <c r="D1049" i="4" s="1"/>
  <c r="D1050" i="4" s="1"/>
  <c r="D1051" i="4" s="1"/>
  <c r="D1052" i="4" s="1"/>
  <c r="D1053" i="4" s="1"/>
  <c r="B1963" i="4" l="1"/>
  <c r="V1962" i="4"/>
  <c r="J1040" i="4"/>
  <c r="F1039" i="4"/>
  <c r="G1040" i="4"/>
  <c r="O1051" i="4"/>
  <c r="O1047" i="4"/>
  <c r="O1043" i="4"/>
  <c r="O1039" i="4"/>
  <c r="O1038" i="4"/>
  <c r="O1050" i="4"/>
  <c r="O1046" i="4"/>
  <c r="O1042" i="4"/>
  <c r="O1049" i="4"/>
  <c r="O1045" i="4"/>
  <c r="O1041" i="4"/>
  <c r="O1052" i="4"/>
  <c r="O1048" i="4"/>
  <c r="O1044" i="4"/>
  <c r="O1040" i="4"/>
  <c r="B1964" i="4" l="1"/>
  <c r="V1963" i="4"/>
  <c r="F1040" i="4"/>
  <c r="G1041" i="4"/>
  <c r="J1041" i="4"/>
  <c r="B1965" i="4" l="1"/>
  <c r="V1964" i="4"/>
  <c r="G1042" i="4"/>
  <c r="J1042" i="4"/>
  <c r="F1041" i="4"/>
  <c r="B1966" i="4" l="1"/>
  <c r="V1965" i="4"/>
  <c r="J1043" i="4"/>
  <c r="F1042" i="4"/>
  <c r="G1043" i="4"/>
  <c r="B1967" i="4" l="1"/>
  <c r="V1966" i="4"/>
  <c r="F1043" i="4"/>
  <c r="G1044" i="4"/>
  <c r="J1044" i="4"/>
  <c r="B1968" i="4" l="1"/>
  <c r="V1967" i="4"/>
  <c r="G1045" i="4"/>
  <c r="J1045" i="4"/>
  <c r="F1044" i="4"/>
  <c r="B1969" i="4" l="1"/>
  <c r="V1968" i="4"/>
  <c r="J1046" i="4"/>
  <c r="F1045" i="4"/>
  <c r="G1046" i="4"/>
  <c r="B1970" i="4" l="1"/>
  <c r="V1969" i="4"/>
  <c r="F1046" i="4"/>
  <c r="G1047" i="4"/>
  <c r="J1047" i="4"/>
  <c r="B1971" i="4" l="1"/>
  <c r="V1970" i="4"/>
  <c r="G1048" i="4"/>
  <c r="J1048" i="4"/>
  <c r="F1047" i="4"/>
  <c r="B1972" i="4" l="1"/>
  <c r="V1971" i="4"/>
  <c r="J1049" i="4"/>
  <c r="F1048" i="4"/>
  <c r="G1049" i="4"/>
  <c r="B1973" i="4" l="1"/>
  <c r="V1972" i="4"/>
  <c r="F1049" i="4"/>
  <c r="G1050" i="4"/>
  <c r="J1050" i="4"/>
  <c r="B1974" i="4" l="1"/>
  <c r="V1973" i="4"/>
  <c r="G1051" i="4"/>
  <c r="J1051" i="4"/>
  <c r="F1050" i="4"/>
  <c r="B1975" i="4" l="1"/>
  <c r="V1974" i="4"/>
  <c r="J1052" i="4"/>
  <c r="F1051" i="4"/>
  <c r="G1052" i="4"/>
  <c r="B1976" i="4" l="1"/>
  <c r="V1975" i="4"/>
  <c r="F1052" i="4"/>
  <c r="G1053" i="4"/>
  <c r="J1053" i="4"/>
  <c r="B1977" i="4" l="1"/>
  <c r="V1976" i="4"/>
  <c r="F1053" i="4"/>
  <c r="B1978" i="4" l="1"/>
  <c r="V1977" i="4"/>
  <c r="O642" i="4"/>
  <c r="O1020" i="4"/>
  <c r="T1036" i="4"/>
  <c r="T1035" i="4"/>
  <c r="T1034" i="4"/>
  <c r="T1033" i="4"/>
  <c r="T1032" i="4"/>
  <c r="T1031" i="4"/>
  <c r="T1030" i="4"/>
  <c r="T1029" i="4"/>
  <c r="T1028" i="4"/>
  <c r="T1027" i="4"/>
  <c r="T1026" i="4"/>
  <c r="T1025" i="4"/>
  <c r="T1024" i="4"/>
  <c r="T1023" i="4"/>
  <c r="T1022" i="4"/>
  <c r="J1022" i="4"/>
  <c r="T1021" i="4"/>
  <c r="Q1021" i="4"/>
  <c r="Q1022" i="4" s="1"/>
  <c r="Q1023" i="4" s="1"/>
  <c r="Q1024" i="4" s="1"/>
  <c r="Q1025" i="4" s="1"/>
  <c r="Q1026" i="4" s="1"/>
  <c r="Q1027" i="4" s="1"/>
  <c r="Q1028" i="4" s="1"/>
  <c r="Q1029" i="4" s="1"/>
  <c r="Q1030" i="4" s="1"/>
  <c r="Q1031" i="4" s="1"/>
  <c r="Q1032" i="4" s="1"/>
  <c r="Q1033" i="4" s="1"/>
  <c r="Q1034" i="4" s="1"/>
  <c r="Q1035" i="4" s="1"/>
  <c r="Q1036" i="4" s="1"/>
  <c r="N1021" i="4"/>
  <c r="N1022" i="4" s="1"/>
  <c r="N1023" i="4" s="1"/>
  <c r="N1024" i="4" s="1"/>
  <c r="N1025" i="4" s="1"/>
  <c r="N1026" i="4" s="1"/>
  <c r="N1027" i="4" s="1"/>
  <c r="N1028" i="4" s="1"/>
  <c r="N1029" i="4" s="1"/>
  <c r="N1030" i="4" s="1"/>
  <c r="N1031" i="4" s="1"/>
  <c r="N1032" i="4" s="1"/>
  <c r="N1033" i="4" s="1"/>
  <c r="N1034" i="4" s="1"/>
  <c r="N1035" i="4" s="1"/>
  <c r="N1036" i="4" s="1"/>
  <c r="M1021" i="4"/>
  <c r="M1022" i="4" s="1"/>
  <c r="M1023" i="4" s="1"/>
  <c r="M1024" i="4" s="1"/>
  <c r="M1025" i="4" s="1"/>
  <c r="M1026" i="4" s="1"/>
  <c r="M1027" i="4" s="1"/>
  <c r="M1028" i="4" s="1"/>
  <c r="M1029" i="4" s="1"/>
  <c r="M1030" i="4" s="1"/>
  <c r="M1031" i="4" s="1"/>
  <c r="M1032" i="4" s="1"/>
  <c r="M1033" i="4" s="1"/>
  <c r="M1034" i="4" s="1"/>
  <c r="M1035" i="4" s="1"/>
  <c r="M1036" i="4" s="1"/>
  <c r="L1021" i="4"/>
  <c r="O1021" i="4" s="1"/>
  <c r="D1021" i="4"/>
  <c r="D1022" i="4" s="1"/>
  <c r="D1023" i="4" s="1"/>
  <c r="D1024" i="4" s="1"/>
  <c r="D1025" i="4" s="1"/>
  <c r="D1026" i="4" s="1"/>
  <c r="D1027" i="4" s="1"/>
  <c r="D1028" i="4" s="1"/>
  <c r="D1029" i="4" s="1"/>
  <c r="D1030" i="4" s="1"/>
  <c r="D1031" i="4" s="1"/>
  <c r="D1032" i="4" s="1"/>
  <c r="D1033" i="4" s="1"/>
  <c r="D1034" i="4" s="1"/>
  <c r="D1035" i="4" s="1"/>
  <c r="D1036" i="4" s="1"/>
  <c r="S1005" i="4"/>
  <c r="S1006" i="4"/>
  <c r="S1007" i="4"/>
  <c r="S1008" i="4"/>
  <c r="S1009" i="4"/>
  <c r="S1010" i="4"/>
  <c r="S1011" i="4"/>
  <c r="S1012" i="4"/>
  <c r="S1013" i="4"/>
  <c r="S1014" i="4"/>
  <c r="S1015" i="4"/>
  <c r="S1016" i="4"/>
  <c r="S1017" i="4"/>
  <c r="S1018" i="4"/>
  <c r="S1019" i="4"/>
  <c r="S1004" i="4"/>
  <c r="O1003" i="4"/>
  <c r="S988" i="4"/>
  <c r="S989" i="4"/>
  <c r="S990" i="4"/>
  <c r="S991" i="4"/>
  <c r="S992" i="4"/>
  <c r="S993" i="4"/>
  <c r="S994" i="4"/>
  <c r="S995" i="4"/>
  <c r="S996" i="4"/>
  <c r="S997" i="4"/>
  <c r="S998" i="4"/>
  <c r="S999" i="4"/>
  <c r="S1000" i="4"/>
  <c r="S1001" i="4"/>
  <c r="S1002" i="4"/>
  <c r="S987" i="4"/>
  <c r="O986" i="4"/>
  <c r="T1019" i="4"/>
  <c r="T1018" i="4"/>
  <c r="T1017" i="4"/>
  <c r="T1016" i="4"/>
  <c r="T1015" i="4"/>
  <c r="T1014" i="4"/>
  <c r="T1013" i="4"/>
  <c r="T1012" i="4"/>
  <c r="T1011" i="4"/>
  <c r="T1010" i="4"/>
  <c r="T1009" i="4"/>
  <c r="T1008" i="4"/>
  <c r="T1007" i="4"/>
  <c r="T1006" i="4"/>
  <c r="T1005" i="4"/>
  <c r="J1005" i="4"/>
  <c r="T1004" i="4"/>
  <c r="Q1004" i="4"/>
  <c r="Q1005" i="4" s="1"/>
  <c r="Q1006" i="4" s="1"/>
  <c r="Q1007" i="4" s="1"/>
  <c r="Q1008" i="4" s="1"/>
  <c r="Q1009" i="4" s="1"/>
  <c r="Q1010" i="4" s="1"/>
  <c r="Q1011" i="4" s="1"/>
  <c r="Q1012" i="4" s="1"/>
  <c r="Q1013" i="4" s="1"/>
  <c r="Q1014" i="4" s="1"/>
  <c r="Q1015" i="4" s="1"/>
  <c r="Q1016" i="4" s="1"/>
  <c r="Q1017" i="4" s="1"/>
  <c r="Q1018" i="4" s="1"/>
  <c r="Q1019" i="4" s="1"/>
  <c r="N1004" i="4"/>
  <c r="N1005" i="4" s="1"/>
  <c r="N1006" i="4" s="1"/>
  <c r="N1007" i="4" s="1"/>
  <c r="N1008" i="4" s="1"/>
  <c r="N1009" i="4" s="1"/>
  <c r="N1010" i="4" s="1"/>
  <c r="N1011" i="4" s="1"/>
  <c r="N1012" i="4" s="1"/>
  <c r="N1013" i="4" s="1"/>
  <c r="N1014" i="4" s="1"/>
  <c r="N1015" i="4" s="1"/>
  <c r="N1016" i="4" s="1"/>
  <c r="N1017" i="4" s="1"/>
  <c r="N1018" i="4" s="1"/>
  <c r="N1019" i="4" s="1"/>
  <c r="M1004" i="4"/>
  <c r="M1005" i="4" s="1"/>
  <c r="M1006" i="4" s="1"/>
  <c r="M1007" i="4" s="1"/>
  <c r="M1008" i="4" s="1"/>
  <c r="M1009" i="4" s="1"/>
  <c r="M1010" i="4" s="1"/>
  <c r="M1011" i="4" s="1"/>
  <c r="M1012" i="4" s="1"/>
  <c r="M1013" i="4" s="1"/>
  <c r="M1014" i="4" s="1"/>
  <c r="M1015" i="4" s="1"/>
  <c r="M1016" i="4" s="1"/>
  <c r="M1017" i="4" s="1"/>
  <c r="M1018" i="4" s="1"/>
  <c r="M1019" i="4" s="1"/>
  <c r="L1004" i="4"/>
  <c r="O1004" i="4" s="1"/>
  <c r="D1004" i="4"/>
  <c r="D1005" i="4" s="1"/>
  <c r="D1006" i="4" s="1"/>
  <c r="D1007" i="4" s="1"/>
  <c r="D1008" i="4" s="1"/>
  <c r="D1009" i="4" s="1"/>
  <c r="D1010" i="4" s="1"/>
  <c r="D1011" i="4" s="1"/>
  <c r="D1012" i="4" s="1"/>
  <c r="D1013" i="4" s="1"/>
  <c r="D1014" i="4" s="1"/>
  <c r="D1015" i="4" s="1"/>
  <c r="D1016" i="4" s="1"/>
  <c r="D1017" i="4" s="1"/>
  <c r="D1018" i="4" s="1"/>
  <c r="D1019" i="4" s="1"/>
  <c r="T1002" i="4"/>
  <c r="T1001" i="4"/>
  <c r="T1000" i="4"/>
  <c r="T999" i="4"/>
  <c r="T998" i="4"/>
  <c r="T997" i="4"/>
  <c r="T996" i="4"/>
  <c r="T995" i="4"/>
  <c r="T994" i="4"/>
  <c r="T993" i="4"/>
  <c r="T992" i="4"/>
  <c r="T991" i="4"/>
  <c r="T990" i="4"/>
  <c r="T989" i="4"/>
  <c r="T988" i="4"/>
  <c r="J988" i="4"/>
  <c r="T987" i="4"/>
  <c r="Q987" i="4"/>
  <c r="Q988" i="4" s="1"/>
  <c r="Q989" i="4" s="1"/>
  <c r="Q990" i="4" s="1"/>
  <c r="Q991" i="4" s="1"/>
  <c r="Q992" i="4" s="1"/>
  <c r="Q993" i="4" s="1"/>
  <c r="Q994" i="4" s="1"/>
  <c r="Q995" i="4" s="1"/>
  <c r="Q996" i="4" s="1"/>
  <c r="Q997" i="4" s="1"/>
  <c r="Q998" i="4" s="1"/>
  <c r="Q999" i="4" s="1"/>
  <c r="Q1000" i="4" s="1"/>
  <c r="Q1001" i="4" s="1"/>
  <c r="Q1002" i="4" s="1"/>
  <c r="N987" i="4"/>
  <c r="N988" i="4" s="1"/>
  <c r="N989" i="4" s="1"/>
  <c r="N990" i="4" s="1"/>
  <c r="N991" i="4" s="1"/>
  <c r="N992" i="4" s="1"/>
  <c r="N993" i="4" s="1"/>
  <c r="N994" i="4" s="1"/>
  <c r="N995" i="4" s="1"/>
  <c r="N996" i="4" s="1"/>
  <c r="N997" i="4" s="1"/>
  <c r="N998" i="4" s="1"/>
  <c r="N999" i="4" s="1"/>
  <c r="N1000" i="4" s="1"/>
  <c r="N1001" i="4" s="1"/>
  <c r="N1002" i="4" s="1"/>
  <c r="M987" i="4"/>
  <c r="M988" i="4" s="1"/>
  <c r="M989" i="4" s="1"/>
  <c r="M990" i="4" s="1"/>
  <c r="M991" i="4" s="1"/>
  <c r="M992" i="4" s="1"/>
  <c r="M993" i="4" s="1"/>
  <c r="M994" i="4" s="1"/>
  <c r="M995" i="4" s="1"/>
  <c r="M996" i="4" s="1"/>
  <c r="M997" i="4" s="1"/>
  <c r="M998" i="4" s="1"/>
  <c r="M999" i="4" s="1"/>
  <c r="M1000" i="4" s="1"/>
  <c r="M1001" i="4" s="1"/>
  <c r="M1002" i="4" s="1"/>
  <c r="L987" i="4"/>
  <c r="L988" i="4" s="1"/>
  <c r="O988" i="4" s="1"/>
  <c r="D987" i="4"/>
  <c r="D988" i="4" s="1"/>
  <c r="D989" i="4" s="1"/>
  <c r="D990" i="4" s="1"/>
  <c r="D991" i="4" s="1"/>
  <c r="D992" i="4" s="1"/>
  <c r="D993" i="4" s="1"/>
  <c r="D994" i="4" s="1"/>
  <c r="D995" i="4" s="1"/>
  <c r="D996" i="4" s="1"/>
  <c r="D997" i="4" s="1"/>
  <c r="D998" i="4" s="1"/>
  <c r="D999" i="4" s="1"/>
  <c r="D1000" i="4" s="1"/>
  <c r="D1001" i="4" s="1"/>
  <c r="D1002" i="4" s="1"/>
  <c r="S82" i="4"/>
  <c r="S83" i="4"/>
  <c r="S84" i="4"/>
  <c r="S85" i="4"/>
  <c r="S86" i="4"/>
  <c r="S87" i="4"/>
  <c r="S88" i="4"/>
  <c r="S89" i="4"/>
  <c r="S90" i="4"/>
  <c r="S91" i="4"/>
  <c r="S92" i="4"/>
  <c r="S93" i="4"/>
  <c r="S94" i="4"/>
  <c r="S95" i="4"/>
  <c r="S81" i="4"/>
  <c r="K146" i="4"/>
  <c r="N146" i="4"/>
  <c r="J146" i="4"/>
  <c r="D146" i="4"/>
  <c r="D147" i="4" s="1"/>
  <c r="D148" i="4" s="1"/>
  <c r="D149" i="4" s="1"/>
  <c r="D150" i="4" s="1"/>
  <c r="D151" i="4" s="1"/>
  <c r="D152" i="4" s="1"/>
  <c r="D153" i="4" s="1"/>
  <c r="D154" i="4" s="1"/>
  <c r="D136" i="4"/>
  <c r="D137" i="4" s="1"/>
  <c r="D138" i="4" s="1"/>
  <c r="D139" i="4" s="1"/>
  <c r="D140" i="4" s="1"/>
  <c r="D141" i="4" s="1"/>
  <c r="D142" i="4" s="1"/>
  <c r="D143" i="4" s="1"/>
  <c r="D144" i="4" s="1"/>
  <c r="M136" i="4"/>
  <c r="M137" i="4" s="1"/>
  <c r="M138" i="4" s="1"/>
  <c r="M139" i="4" s="1"/>
  <c r="M140" i="4" s="1"/>
  <c r="M141" i="4" s="1"/>
  <c r="M142" i="4" s="1"/>
  <c r="M143" i="4" s="1"/>
  <c r="M144" i="4" s="1"/>
  <c r="N136" i="4"/>
  <c r="N137" i="4" s="1"/>
  <c r="N138" i="4" s="1"/>
  <c r="N139" i="4" s="1"/>
  <c r="N140" i="4" s="1"/>
  <c r="N141" i="4" s="1"/>
  <c r="N142" i="4" s="1"/>
  <c r="N143" i="4" s="1"/>
  <c r="N144" i="4" s="1"/>
  <c r="L136" i="4"/>
  <c r="L137" i="4" s="1"/>
  <c r="L138" i="4" s="1"/>
  <c r="L139" i="4" s="1"/>
  <c r="L140" i="4" s="1"/>
  <c r="L141" i="4" s="1"/>
  <c r="L142" i="4" s="1"/>
  <c r="L143" i="4" s="1"/>
  <c r="L144" i="4" s="1"/>
  <c r="J136" i="4"/>
  <c r="S146" i="4"/>
  <c r="S147" i="4"/>
  <c r="S148" i="4"/>
  <c r="S149" i="4"/>
  <c r="S150" i="4"/>
  <c r="S151" i="4"/>
  <c r="S152" i="4"/>
  <c r="S153" i="4"/>
  <c r="S154" i="4"/>
  <c r="B1979" i="4" l="1"/>
  <c r="V1978" i="4"/>
  <c r="J1006" i="4"/>
  <c r="J989" i="4"/>
  <c r="O987" i="4"/>
  <c r="J1023" i="4"/>
  <c r="L1022" i="4"/>
  <c r="L1005" i="4"/>
  <c r="O1005" i="4" s="1"/>
  <c r="L989" i="4"/>
  <c r="O989" i="4" s="1"/>
  <c r="S144" i="4"/>
  <c r="S143" i="4"/>
  <c r="S136" i="4"/>
  <c r="S137" i="4"/>
  <c r="S138" i="4"/>
  <c r="S139" i="4"/>
  <c r="S140" i="4"/>
  <c r="S141" i="4"/>
  <c r="S142" i="4"/>
  <c r="S98" i="4"/>
  <c r="S99" i="4"/>
  <c r="S100" i="4"/>
  <c r="S101" i="4"/>
  <c r="S102" i="4"/>
  <c r="S103" i="4"/>
  <c r="S104" i="4"/>
  <c r="S105" i="4"/>
  <c r="S106" i="4"/>
  <c r="S107" i="4"/>
  <c r="S108" i="4"/>
  <c r="S109" i="4"/>
  <c r="S110" i="4"/>
  <c r="S111" i="4"/>
  <c r="S112" i="4"/>
  <c r="S97" i="4"/>
  <c r="O969" i="4"/>
  <c r="T968" i="4"/>
  <c r="T967" i="4"/>
  <c r="T965" i="4"/>
  <c r="T964" i="4"/>
  <c r="T963" i="4"/>
  <c r="T962" i="4"/>
  <c r="T961" i="4"/>
  <c r="T960" i="4"/>
  <c r="T959" i="4"/>
  <c r="T958" i="4"/>
  <c r="T957" i="4"/>
  <c r="T956" i="4"/>
  <c r="T955" i="4"/>
  <c r="T954" i="4"/>
  <c r="T953" i="4"/>
  <c r="T951" i="4"/>
  <c r="T950" i="4"/>
  <c r="T949" i="4"/>
  <c r="T948" i="4"/>
  <c r="T947" i="4"/>
  <c r="T946" i="4"/>
  <c r="T945" i="4"/>
  <c r="T944" i="4"/>
  <c r="T943" i="4"/>
  <c r="T942" i="4"/>
  <c r="T941" i="4"/>
  <c r="T940" i="4"/>
  <c r="T939" i="4"/>
  <c r="T938" i="4"/>
  <c r="T937" i="4"/>
  <c r="T936" i="4"/>
  <c r="S955" i="4"/>
  <c r="S956" i="4"/>
  <c r="S957" i="4"/>
  <c r="S958" i="4"/>
  <c r="S959" i="4"/>
  <c r="S960" i="4"/>
  <c r="S961" i="4"/>
  <c r="S962" i="4"/>
  <c r="S963" i="4"/>
  <c r="S964" i="4"/>
  <c r="S965" i="4"/>
  <c r="S967" i="4"/>
  <c r="S968" i="4"/>
  <c r="S954" i="4"/>
  <c r="S953" i="4"/>
  <c r="O952" i="4"/>
  <c r="O935" i="4"/>
  <c r="T934" i="4"/>
  <c r="T933" i="4"/>
  <c r="T932" i="4"/>
  <c r="T931" i="4"/>
  <c r="T930" i="4"/>
  <c r="T929" i="4"/>
  <c r="T928" i="4"/>
  <c r="T927" i="4"/>
  <c r="T926" i="4"/>
  <c r="T925" i="4"/>
  <c r="T924" i="4"/>
  <c r="T923" i="4"/>
  <c r="T922" i="4"/>
  <c r="T921" i="4"/>
  <c r="T920" i="4"/>
  <c r="T919" i="4"/>
  <c r="S921" i="4"/>
  <c r="S922" i="4"/>
  <c r="S923" i="4"/>
  <c r="S924" i="4"/>
  <c r="S925" i="4"/>
  <c r="S926" i="4"/>
  <c r="S927" i="4"/>
  <c r="S928" i="4"/>
  <c r="S929" i="4"/>
  <c r="S930" i="4"/>
  <c r="S931" i="4"/>
  <c r="S932" i="4"/>
  <c r="S933" i="4"/>
  <c r="S934" i="4"/>
  <c r="S920" i="4"/>
  <c r="S919" i="4"/>
  <c r="O918" i="4"/>
  <c r="T917" i="4"/>
  <c r="T916" i="4"/>
  <c r="T915" i="4"/>
  <c r="T914" i="4"/>
  <c r="T913" i="4"/>
  <c r="T912" i="4"/>
  <c r="T911" i="4"/>
  <c r="T910" i="4"/>
  <c r="T909" i="4"/>
  <c r="T908" i="4"/>
  <c r="T907" i="4"/>
  <c r="T906" i="4"/>
  <c r="T905" i="4"/>
  <c r="T904" i="4"/>
  <c r="T903" i="4"/>
  <c r="T902" i="4"/>
  <c r="S903" i="4"/>
  <c r="S904" i="4"/>
  <c r="S905" i="4"/>
  <c r="S906" i="4"/>
  <c r="S907" i="4"/>
  <c r="S908" i="4"/>
  <c r="S909" i="4"/>
  <c r="S910" i="4"/>
  <c r="S911" i="4"/>
  <c r="S912" i="4"/>
  <c r="S913" i="4"/>
  <c r="S914" i="4"/>
  <c r="S915" i="4"/>
  <c r="S916" i="4"/>
  <c r="S917" i="4"/>
  <c r="S902" i="4"/>
  <c r="O901" i="4"/>
  <c r="J971" i="4"/>
  <c r="Q970" i="4"/>
  <c r="Q971" i="4" s="1"/>
  <c r="Q972" i="4" s="1"/>
  <c r="Q973" i="4" s="1"/>
  <c r="Q974" i="4" s="1"/>
  <c r="Q975" i="4" s="1"/>
  <c r="Q976" i="4" s="1"/>
  <c r="Q977" i="4" s="1"/>
  <c r="Q978" i="4" s="1"/>
  <c r="Q979" i="4" s="1"/>
  <c r="Q980" i="4" s="1"/>
  <c r="Q981" i="4" s="1"/>
  <c r="Q982" i="4" s="1"/>
  <c r="Q983" i="4" s="1"/>
  <c r="Q984" i="4" s="1"/>
  <c r="Q985" i="4" s="1"/>
  <c r="N970" i="4"/>
  <c r="N971" i="4" s="1"/>
  <c r="N972" i="4" s="1"/>
  <c r="N973" i="4" s="1"/>
  <c r="N974" i="4" s="1"/>
  <c r="N975" i="4" s="1"/>
  <c r="N976" i="4" s="1"/>
  <c r="N977" i="4" s="1"/>
  <c r="N978" i="4" s="1"/>
  <c r="N979" i="4" s="1"/>
  <c r="N980" i="4" s="1"/>
  <c r="N981" i="4" s="1"/>
  <c r="N982" i="4" s="1"/>
  <c r="N983" i="4" s="1"/>
  <c r="N984" i="4" s="1"/>
  <c r="N985" i="4" s="1"/>
  <c r="M970" i="4"/>
  <c r="M971" i="4" s="1"/>
  <c r="M972" i="4" s="1"/>
  <c r="M973" i="4" s="1"/>
  <c r="M974" i="4" s="1"/>
  <c r="M975" i="4" s="1"/>
  <c r="M976" i="4" s="1"/>
  <c r="M977" i="4" s="1"/>
  <c r="M978" i="4" s="1"/>
  <c r="M979" i="4" s="1"/>
  <c r="M980" i="4" s="1"/>
  <c r="M981" i="4" s="1"/>
  <c r="M982" i="4" s="1"/>
  <c r="M983" i="4" s="1"/>
  <c r="M984" i="4" s="1"/>
  <c r="M985" i="4" s="1"/>
  <c r="L970" i="4"/>
  <c r="O970" i="4" s="1"/>
  <c r="D970" i="4"/>
  <c r="D971" i="4" s="1"/>
  <c r="D972" i="4" s="1"/>
  <c r="D973" i="4" s="1"/>
  <c r="D974" i="4" s="1"/>
  <c r="D975" i="4" s="1"/>
  <c r="D976" i="4" s="1"/>
  <c r="D977" i="4" s="1"/>
  <c r="D978" i="4" s="1"/>
  <c r="D979" i="4" s="1"/>
  <c r="D980" i="4" s="1"/>
  <c r="D981" i="4" s="1"/>
  <c r="D982" i="4" s="1"/>
  <c r="D983" i="4" s="1"/>
  <c r="D984" i="4" s="1"/>
  <c r="D985" i="4" s="1"/>
  <c r="J954" i="4"/>
  <c r="Q953" i="4"/>
  <c r="Q954" i="4" s="1"/>
  <c r="Q955" i="4" s="1"/>
  <c r="Q956" i="4" s="1"/>
  <c r="Q957" i="4" s="1"/>
  <c r="Q958" i="4" s="1"/>
  <c r="Q959" i="4" s="1"/>
  <c r="Q960" i="4" s="1"/>
  <c r="Q961" i="4" s="1"/>
  <c r="Q962" i="4" s="1"/>
  <c r="Q963" i="4" s="1"/>
  <c r="Q964" i="4" s="1"/>
  <c r="Q965" i="4" s="1"/>
  <c r="N953" i="4"/>
  <c r="N954" i="4" s="1"/>
  <c r="N955" i="4" s="1"/>
  <c r="N956" i="4" s="1"/>
  <c r="N957" i="4" s="1"/>
  <c r="N958" i="4" s="1"/>
  <c r="N959" i="4" s="1"/>
  <c r="N960" i="4" s="1"/>
  <c r="N961" i="4" s="1"/>
  <c r="N962" i="4" s="1"/>
  <c r="N963" i="4" s="1"/>
  <c r="N964" i="4" s="1"/>
  <c r="N965" i="4" s="1"/>
  <c r="N966" i="4" s="1"/>
  <c r="N967" i="4" s="1"/>
  <c r="N968" i="4" s="1"/>
  <c r="M953" i="4"/>
  <c r="M954" i="4" s="1"/>
  <c r="M955" i="4" s="1"/>
  <c r="M956" i="4" s="1"/>
  <c r="M957" i="4" s="1"/>
  <c r="M958" i="4" s="1"/>
  <c r="M959" i="4" s="1"/>
  <c r="M960" i="4" s="1"/>
  <c r="M961" i="4" s="1"/>
  <c r="M962" i="4" s="1"/>
  <c r="M963" i="4" s="1"/>
  <c r="M964" i="4" s="1"/>
  <c r="M965" i="4" s="1"/>
  <c r="M966" i="4" s="1"/>
  <c r="M967" i="4" s="1"/>
  <c r="M968" i="4" s="1"/>
  <c r="L953" i="4"/>
  <c r="O953" i="4" s="1"/>
  <c r="D953" i="4"/>
  <c r="D954" i="4" s="1"/>
  <c r="D955" i="4" s="1"/>
  <c r="D956" i="4" s="1"/>
  <c r="D957" i="4" s="1"/>
  <c r="D958" i="4" s="1"/>
  <c r="D959" i="4" s="1"/>
  <c r="D960" i="4" s="1"/>
  <c r="D961" i="4" s="1"/>
  <c r="D962" i="4" s="1"/>
  <c r="D963" i="4" s="1"/>
  <c r="D964" i="4" s="1"/>
  <c r="D965" i="4" s="1"/>
  <c r="D966" i="4" s="1"/>
  <c r="D967" i="4" s="1"/>
  <c r="D968" i="4" s="1"/>
  <c r="J937" i="4"/>
  <c r="Q936" i="4"/>
  <c r="Q937" i="4" s="1"/>
  <c r="Q938" i="4" s="1"/>
  <c r="Q939" i="4" s="1"/>
  <c r="Q940" i="4" s="1"/>
  <c r="Q941" i="4" s="1"/>
  <c r="Q942" i="4" s="1"/>
  <c r="Q943" i="4" s="1"/>
  <c r="Q944" i="4" s="1"/>
  <c r="Q945" i="4" s="1"/>
  <c r="Q946" i="4" s="1"/>
  <c r="Q947" i="4" s="1"/>
  <c r="Q948" i="4" s="1"/>
  <c r="Q949" i="4" s="1"/>
  <c r="Q950" i="4" s="1"/>
  <c r="Q951" i="4" s="1"/>
  <c r="N936" i="4"/>
  <c r="N937" i="4" s="1"/>
  <c r="N938" i="4" s="1"/>
  <c r="N939" i="4" s="1"/>
  <c r="N940" i="4" s="1"/>
  <c r="N941" i="4" s="1"/>
  <c r="N942" i="4" s="1"/>
  <c r="N943" i="4" s="1"/>
  <c r="N944" i="4" s="1"/>
  <c r="N945" i="4" s="1"/>
  <c r="N946" i="4" s="1"/>
  <c r="N947" i="4" s="1"/>
  <c r="N948" i="4" s="1"/>
  <c r="N949" i="4" s="1"/>
  <c r="N950" i="4" s="1"/>
  <c r="N951" i="4" s="1"/>
  <c r="M936" i="4"/>
  <c r="M937" i="4" s="1"/>
  <c r="M938" i="4" s="1"/>
  <c r="M939" i="4" s="1"/>
  <c r="M940" i="4" s="1"/>
  <c r="M941" i="4" s="1"/>
  <c r="M942" i="4" s="1"/>
  <c r="M943" i="4" s="1"/>
  <c r="M944" i="4" s="1"/>
  <c r="M945" i="4" s="1"/>
  <c r="M946" i="4" s="1"/>
  <c r="M947" i="4" s="1"/>
  <c r="M948" i="4" s="1"/>
  <c r="M949" i="4" s="1"/>
  <c r="M950" i="4" s="1"/>
  <c r="M951" i="4" s="1"/>
  <c r="L936" i="4"/>
  <c r="O936" i="4" s="1"/>
  <c r="D936" i="4"/>
  <c r="D937" i="4" s="1"/>
  <c r="D938" i="4" s="1"/>
  <c r="D939" i="4" s="1"/>
  <c r="D940" i="4" s="1"/>
  <c r="D941" i="4" s="1"/>
  <c r="D942" i="4" s="1"/>
  <c r="D943" i="4" s="1"/>
  <c r="D944" i="4" s="1"/>
  <c r="D945" i="4" s="1"/>
  <c r="D946" i="4" s="1"/>
  <c r="D947" i="4" s="1"/>
  <c r="D948" i="4" s="1"/>
  <c r="D949" i="4" s="1"/>
  <c r="D950" i="4" s="1"/>
  <c r="D951" i="4" s="1"/>
  <c r="J920" i="4"/>
  <c r="Q919" i="4"/>
  <c r="Q920" i="4" s="1"/>
  <c r="Q921" i="4" s="1"/>
  <c r="Q922" i="4" s="1"/>
  <c r="Q923" i="4" s="1"/>
  <c r="Q924" i="4" s="1"/>
  <c r="Q925" i="4" s="1"/>
  <c r="Q926" i="4" s="1"/>
  <c r="Q927" i="4" s="1"/>
  <c r="Q928" i="4" s="1"/>
  <c r="Q929" i="4" s="1"/>
  <c r="Q930" i="4" s="1"/>
  <c r="Q931" i="4" s="1"/>
  <c r="Q932" i="4" s="1"/>
  <c r="Q933" i="4" s="1"/>
  <c r="Q934" i="4" s="1"/>
  <c r="N919" i="4"/>
  <c r="N920" i="4" s="1"/>
  <c r="N921" i="4" s="1"/>
  <c r="N922" i="4" s="1"/>
  <c r="N923" i="4" s="1"/>
  <c r="N924" i="4" s="1"/>
  <c r="N925" i="4" s="1"/>
  <c r="N926" i="4" s="1"/>
  <c r="N927" i="4" s="1"/>
  <c r="N928" i="4" s="1"/>
  <c r="N929" i="4" s="1"/>
  <c r="N930" i="4" s="1"/>
  <c r="N931" i="4" s="1"/>
  <c r="N932" i="4" s="1"/>
  <c r="N933" i="4" s="1"/>
  <c r="N934" i="4" s="1"/>
  <c r="M919" i="4"/>
  <c r="M920" i="4" s="1"/>
  <c r="M921" i="4" s="1"/>
  <c r="M922" i="4" s="1"/>
  <c r="M923" i="4" s="1"/>
  <c r="M924" i="4" s="1"/>
  <c r="M925" i="4" s="1"/>
  <c r="M926" i="4" s="1"/>
  <c r="M927" i="4" s="1"/>
  <c r="M928" i="4" s="1"/>
  <c r="M929" i="4" s="1"/>
  <c r="M930" i="4" s="1"/>
  <c r="M931" i="4" s="1"/>
  <c r="M932" i="4" s="1"/>
  <c r="M933" i="4" s="1"/>
  <c r="M934" i="4" s="1"/>
  <c r="L919" i="4"/>
  <c r="O919" i="4" s="1"/>
  <c r="D919" i="4"/>
  <c r="D920" i="4" s="1"/>
  <c r="D921" i="4" s="1"/>
  <c r="D922" i="4" s="1"/>
  <c r="D923" i="4" s="1"/>
  <c r="D924" i="4" s="1"/>
  <c r="D925" i="4" s="1"/>
  <c r="D926" i="4" s="1"/>
  <c r="D927" i="4" s="1"/>
  <c r="D928" i="4" s="1"/>
  <c r="D929" i="4" s="1"/>
  <c r="D930" i="4" s="1"/>
  <c r="D931" i="4" s="1"/>
  <c r="D932" i="4" s="1"/>
  <c r="D933" i="4" s="1"/>
  <c r="D934" i="4" s="1"/>
  <c r="J903" i="4"/>
  <c r="Q902" i="4"/>
  <c r="Q903" i="4" s="1"/>
  <c r="Q904" i="4" s="1"/>
  <c r="Q905" i="4" s="1"/>
  <c r="Q906" i="4" s="1"/>
  <c r="Q907" i="4" s="1"/>
  <c r="Q908" i="4" s="1"/>
  <c r="Q909" i="4" s="1"/>
  <c r="Q910" i="4" s="1"/>
  <c r="Q911" i="4" s="1"/>
  <c r="Q912" i="4" s="1"/>
  <c r="Q913" i="4" s="1"/>
  <c r="Q914" i="4" s="1"/>
  <c r="Q915" i="4" s="1"/>
  <c r="Q916" i="4" s="1"/>
  <c r="Q917" i="4" s="1"/>
  <c r="N902" i="4"/>
  <c r="N903" i="4" s="1"/>
  <c r="N904" i="4" s="1"/>
  <c r="N905" i="4" s="1"/>
  <c r="N906" i="4" s="1"/>
  <c r="N907" i="4" s="1"/>
  <c r="N908" i="4" s="1"/>
  <c r="N909" i="4" s="1"/>
  <c r="N910" i="4" s="1"/>
  <c r="N911" i="4" s="1"/>
  <c r="N912" i="4" s="1"/>
  <c r="N913" i="4" s="1"/>
  <c r="N914" i="4" s="1"/>
  <c r="N915" i="4" s="1"/>
  <c r="N916" i="4" s="1"/>
  <c r="N917" i="4" s="1"/>
  <c r="M902" i="4"/>
  <c r="M903" i="4" s="1"/>
  <c r="M904" i="4" s="1"/>
  <c r="M905" i="4" s="1"/>
  <c r="M906" i="4" s="1"/>
  <c r="M907" i="4" s="1"/>
  <c r="M908" i="4" s="1"/>
  <c r="M909" i="4" s="1"/>
  <c r="M910" i="4" s="1"/>
  <c r="M911" i="4" s="1"/>
  <c r="M912" i="4" s="1"/>
  <c r="M913" i="4" s="1"/>
  <c r="M914" i="4" s="1"/>
  <c r="M915" i="4" s="1"/>
  <c r="M916" i="4" s="1"/>
  <c r="M917" i="4" s="1"/>
  <c r="L902" i="4"/>
  <c r="L903" i="4" s="1"/>
  <c r="L904" i="4" s="1"/>
  <c r="O904" i="4" s="1"/>
  <c r="D902" i="4"/>
  <c r="D903" i="4" s="1"/>
  <c r="D904" i="4" s="1"/>
  <c r="D905" i="4" s="1"/>
  <c r="D906" i="4" s="1"/>
  <c r="D907" i="4" s="1"/>
  <c r="D908" i="4" s="1"/>
  <c r="D909" i="4" s="1"/>
  <c r="D910" i="4" s="1"/>
  <c r="D911" i="4" s="1"/>
  <c r="D912" i="4" s="1"/>
  <c r="D913" i="4" s="1"/>
  <c r="D914" i="4" s="1"/>
  <c r="D915" i="4" s="1"/>
  <c r="D916" i="4" s="1"/>
  <c r="D917" i="4" s="1"/>
  <c r="O884" i="4"/>
  <c r="T900" i="4"/>
  <c r="T899" i="4"/>
  <c r="T898" i="4"/>
  <c r="T897" i="4"/>
  <c r="T896" i="4"/>
  <c r="T895" i="4"/>
  <c r="T894" i="4"/>
  <c r="T893" i="4"/>
  <c r="T892" i="4"/>
  <c r="T891" i="4"/>
  <c r="T890" i="4"/>
  <c r="T889" i="4"/>
  <c r="T888" i="4"/>
  <c r="T887" i="4"/>
  <c r="T886" i="4"/>
  <c r="T885" i="4"/>
  <c r="S886" i="4"/>
  <c r="S887" i="4"/>
  <c r="S888" i="4"/>
  <c r="S889" i="4"/>
  <c r="S890" i="4"/>
  <c r="S891" i="4"/>
  <c r="S892" i="4"/>
  <c r="S893" i="4"/>
  <c r="S894" i="4"/>
  <c r="S895" i="4"/>
  <c r="S896" i="4"/>
  <c r="S897" i="4"/>
  <c r="S898" i="4"/>
  <c r="S899" i="4"/>
  <c r="S900" i="4"/>
  <c r="S885" i="4"/>
  <c r="T883" i="4"/>
  <c r="T882" i="4"/>
  <c r="T881" i="4"/>
  <c r="T880" i="4"/>
  <c r="T879" i="4"/>
  <c r="T878" i="4"/>
  <c r="T877" i="4"/>
  <c r="T876" i="4"/>
  <c r="T875" i="4"/>
  <c r="T874" i="4"/>
  <c r="T873" i="4"/>
  <c r="T872" i="4"/>
  <c r="T871" i="4"/>
  <c r="T870" i="4"/>
  <c r="T869" i="4"/>
  <c r="T868" i="4"/>
  <c r="S869" i="4"/>
  <c r="S870" i="4"/>
  <c r="S871" i="4"/>
  <c r="S872" i="4"/>
  <c r="S873" i="4"/>
  <c r="S874" i="4"/>
  <c r="S875" i="4"/>
  <c r="S876" i="4"/>
  <c r="S877" i="4"/>
  <c r="S878" i="4"/>
  <c r="S879" i="4"/>
  <c r="S880" i="4"/>
  <c r="S881" i="4"/>
  <c r="S882" i="4"/>
  <c r="S883" i="4"/>
  <c r="S868" i="4"/>
  <c r="O867" i="4"/>
  <c r="S852" i="4"/>
  <c r="S853" i="4"/>
  <c r="S854" i="4"/>
  <c r="S855" i="4"/>
  <c r="S856" i="4"/>
  <c r="S857" i="4"/>
  <c r="S858" i="4"/>
  <c r="S859" i="4"/>
  <c r="S860" i="4"/>
  <c r="S861" i="4"/>
  <c r="S862" i="4"/>
  <c r="S863" i="4"/>
  <c r="S864" i="4"/>
  <c r="S865" i="4"/>
  <c r="S866" i="4"/>
  <c r="S851" i="4"/>
  <c r="O850" i="4"/>
  <c r="J886" i="4"/>
  <c r="Q885" i="4"/>
  <c r="Q886" i="4" s="1"/>
  <c r="Q887" i="4" s="1"/>
  <c r="Q888" i="4" s="1"/>
  <c r="Q889" i="4" s="1"/>
  <c r="Q890" i="4" s="1"/>
  <c r="Q891" i="4" s="1"/>
  <c r="Q892" i="4" s="1"/>
  <c r="Q893" i="4" s="1"/>
  <c r="Q894" i="4" s="1"/>
  <c r="Q895" i="4" s="1"/>
  <c r="Q896" i="4" s="1"/>
  <c r="Q897" i="4" s="1"/>
  <c r="Q898" i="4" s="1"/>
  <c r="Q899" i="4" s="1"/>
  <c r="Q900" i="4" s="1"/>
  <c r="N885" i="4"/>
  <c r="N886" i="4" s="1"/>
  <c r="N887" i="4" s="1"/>
  <c r="N888" i="4" s="1"/>
  <c r="N889" i="4" s="1"/>
  <c r="N890" i="4" s="1"/>
  <c r="N891" i="4" s="1"/>
  <c r="N892" i="4" s="1"/>
  <c r="N893" i="4" s="1"/>
  <c r="N894" i="4" s="1"/>
  <c r="N895" i="4" s="1"/>
  <c r="N896" i="4" s="1"/>
  <c r="N897" i="4" s="1"/>
  <c r="N898" i="4" s="1"/>
  <c r="N899" i="4" s="1"/>
  <c r="N900" i="4" s="1"/>
  <c r="M885" i="4"/>
  <c r="M886" i="4" s="1"/>
  <c r="M887" i="4" s="1"/>
  <c r="M888" i="4" s="1"/>
  <c r="M889" i="4" s="1"/>
  <c r="M890" i="4" s="1"/>
  <c r="M891" i="4" s="1"/>
  <c r="M892" i="4" s="1"/>
  <c r="M893" i="4" s="1"/>
  <c r="M894" i="4" s="1"/>
  <c r="M895" i="4" s="1"/>
  <c r="M896" i="4" s="1"/>
  <c r="M897" i="4" s="1"/>
  <c r="M898" i="4" s="1"/>
  <c r="M899" i="4" s="1"/>
  <c r="M900" i="4" s="1"/>
  <c r="L885" i="4"/>
  <c r="O885" i="4" s="1"/>
  <c r="D885" i="4"/>
  <c r="D886" i="4" s="1"/>
  <c r="D887" i="4" s="1"/>
  <c r="D888" i="4" s="1"/>
  <c r="D889" i="4" s="1"/>
  <c r="D890" i="4" s="1"/>
  <c r="D891" i="4" s="1"/>
  <c r="D892" i="4" s="1"/>
  <c r="D893" i="4" s="1"/>
  <c r="D894" i="4" s="1"/>
  <c r="D895" i="4" s="1"/>
  <c r="D896" i="4" s="1"/>
  <c r="D897" i="4" s="1"/>
  <c r="D898" i="4" s="1"/>
  <c r="D899" i="4" s="1"/>
  <c r="D900" i="4" s="1"/>
  <c r="J869" i="4"/>
  <c r="Q868" i="4"/>
  <c r="Q869" i="4" s="1"/>
  <c r="Q870" i="4" s="1"/>
  <c r="Q871" i="4" s="1"/>
  <c r="Q872" i="4" s="1"/>
  <c r="Q873" i="4" s="1"/>
  <c r="Q874" i="4" s="1"/>
  <c r="Q875" i="4" s="1"/>
  <c r="Q876" i="4" s="1"/>
  <c r="Q877" i="4" s="1"/>
  <c r="Q878" i="4" s="1"/>
  <c r="Q879" i="4" s="1"/>
  <c r="Q880" i="4" s="1"/>
  <c r="Q881" i="4" s="1"/>
  <c r="Q882" i="4" s="1"/>
  <c r="Q883" i="4" s="1"/>
  <c r="N868" i="4"/>
  <c r="N869" i="4" s="1"/>
  <c r="N870" i="4" s="1"/>
  <c r="N871" i="4" s="1"/>
  <c r="N872" i="4" s="1"/>
  <c r="N873" i="4" s="1"/>
  <c r="N874" i="4" s="1"/>
  <c r="N875" i="4" s="1"/>
  <c r="N876" i="4" s="1"/>
  <c r="N877" i="4" s="1"/>
  <c r="N878" i="4" s="1"/>
  <c r="N879" i="4" s="1"/>
  <c r="N880" i="4" s="1"/>
  <c r="N881" i="4" s="1"/>
  <c r="N882" i="4" s="1"/>
  <c r="N883" i="4" s="1"/>
  <c r="M868" i="4"/>
  <c r="M869" i="4" s="1"/>
  <c r="M870" i="4" s="1"/>
  <c r="M871" i="4" s="1"/>
  <c r="M872" i="4" s="1"/>
  <c r="M873" i="4" s="1"/>
  <c r="M874" i="4" s="1"/>
  <c r="M875" i="4" s="1"/>
  <c r="M876" i="4" s="1"/>
  <c r="M877" i="4" s="1"/>
  <c r="M878" i="4" s="1"/>
  <c r="M879" i="4" s="1"/>
  <c r="M880" i="4" s="1"/>
  <c r="M881" i="4" s="1"/>
  <c r="M882" i="4" s="1"/>
  <c r="M883" i="4" s="1"/>
  <c r="L868" i="4"/>
  <c r="O868" i="4" s="1"/>
  <c r="D868" i="4"/>
  <c r="D869" i="4" s="1"/>
  <c r="D870" i="4" s="1"/>
  <c r="D871" i="4" s="1"/>
  <c r="D872" i="4" s="1"/>
  <c r="D873" i="4" s="1"/>
  <c r="D874" i="4" s="1"/>
  <c r="D875" i="4" s="1"/>
  <c r="D876" i="4" s="1"/>
  <c r="D877" i="4" s="1"/>
  <c r="D878" i="4" s="1"/>
  <c r="D879" i="4" s="1"/>
  <c r="D880" i="4" s="1"/>
  <c r="D881" i="4" s="1"/>
  <c r="D882" i="4" s="1"/>
  <c r="D883" i="4" s="1"/>
  <c r="T866" i="4"/>
  <c r="T865" i="4"/>
  <c r="T864" i="4"/>
  <c r="T863" i="4"/>
  <c r="T862" i="4"/>
  <c r="T861" i="4"/>
  <c r="T860" i="4"/>
  <c r="T859" i="4"/>
  <c r="T858" i="4"/>
  <c r="T857" i="4"/>
  <c r="T856" i="4"/>
  <c r="T855" i="4"/>
  <c r="T854" i="4"/>
  <c r="T853" i="4"/>
  <c r="T852" i="4"/>
  <c r="J852" i="4"/>
  <c r="T851" i="4"/>
  <c r="Q851" i="4"/>
  <c r="Q852" i="4" s="1"/>
  <c r="Q853" i="4" s="1"/>
  <c r="Q854" i="4" s="1"/>
  <c r="Q855" i="4" s="1"/>
  <c r="Q856" i="4" s="1"/>
  <c r="Q857" i="4" s="1"/>
  <c r="Q858" i="4" s="1"/>
  <c r="Q859" i="4" s="1"/>
  <c r="Q860" i="4" s="1"/>
  <c r="Q861" i="4" s="1"/>
  <c r="Q862" i="4" s="1"/>
  <c r="Q863" i="4" s="1"/>
  <c r="Q864" i="4" s="1"/>
  <c r="Q865" i="4" s="1"/>
  <c r="Q866" i="4" s="1"/>
  <c r="N851" i="4"/>
  <c r="N852" i="4" s="1"/>
  <c r="N853" i="4" s="1"/>
  <c r="N854" i="4" s="1"/>
  <c r="N855" i="4" s="1"/>
  <c r="N856" i="4" s="1"/>
  <c r="N857" i="4" s="1"/>
  <c r="N858" i="4" s="1"/>
  <c r="N859" i="4" s="1"/>
  <c r="N860" i="4" s="1"/>
  <c r="N861" i="4" s="1"/>
  <c r="N862" i="4" s="1"/>
  <c r="N863" i="4" s="1"/>
  <c r="N864" i="4" s="1"/>
  <c r="N865" i="4" s="1"/>
  <c r="N866" i="4" s="1"/>
  <c r="M851" i="4"/>
  <c r="M852" i="4" s="1"/>
  <c r="M853" i="4" s="1"/>
  <c r="M854" i="4" s="1"/>
  <c r="M855" i="4" s="1"/>
  <c r="M856" i="4" s="1"/>
  <c r="M857" i="4" s="1"/>
  <c r="M858" i="4" s="1"/>
  <c r="M859" i="4" s="1"/>
  <c r="M860" i="4" s="1"/>
  <c r="M861" i="4" s="1"/>
  <c r="M862" i="4" s="1"/>
  <c r="M863" i="4" s="1"/>
  <c r="M864" i="4" s="1"/>
  <c r="M865" i="4" s="1"/>
  <c r="M866" i="4" s="1"/>
  <c r="L851" i="4"/>
  <c r="O851" i="4" s="1"/>
  <c r="D851" i="4"/>
  <c r="D852" i="4" s="1"/>
  <c r="D853" i="4" s="1"/>
  <c r="D854" i="4" s="1"/>
  <c r="D855" i="4" s="1"/>
  <c r="D856" i="4" s="1"/>
  <c r="D857" i="4" s="1"/>
  <c r="D858" i="4" s="1"/>
  <c r="D859" i="4" s="1"/>
  <c r="D860" i="4" s="1"/>
  <c r="D861" i="4" s="1"/>
  <c r="D862" i="4" s="1"/>
  <c r="D863" i="4" s="1"/>
  <c r="D864" i="4" s="1"/>
  <c r="D865" i="4" s="1"/>
  <c r="D866" i="4" s="1"/>
  <c r="S835" i="4"/>
  <c r="S836" i="4"/>
  <c r="S837" i="4"/>
  <c r="S838" i="4"/>
  <c r="S839" i="4"/>
  <c r="S840" i="4"/>
  <c r="S841" i="4"/>
  <c r="S842" i="4"/>
  <c r="S843" i="4"/>
  <c r="S844" i="4"/>
  <c r="S845" i="4"/>
  <c r="S846" i="4"/>
  <c r="S847" i="4"/>
  <c r="S848" i="4"/>
  <c r="S849" i="4"/>
  <c r="S834" i="4"/>
  <c r="O833" i="4"/>
  <c r="S818" i="4"/>
  <c r="S819" i="4"/>
  <c r="S820" i="4"/>
  <c r="S821" i="4"/>
  <c r="S822" i="4"/>
  <c r="S823" i="4"/>
  <c r="S824" i="4"/>
  <c r="S825" i="4"/>
  <c r="S826" i="4"/>
  <c r="S827" i="4"/>
  <c r="S828" i="4"/>
  <c r="S829" i="4"/>
  <c r="S830" i="4"/>
  <c r="S831" i="4"/>
  <c r="S832" i="4"/>
  <c r="S817" i="4"/>
  <c r="L834" i="4"/>
  <c r="L835" i="4" s="1"/>
  <c r="L836" i="4" s="1"/>
  <c r="L837" i="4" s="1"/>
  <c r="L838" i="4" s="1"/>
  <c r="L839" i="4" s="1"/>
  <c r="L840" i="4" s="1"/>
  <c r="L841" i="4" s="1"/>
  <c r="L842" i="4" s="1"/>
  <c r="L843" i="4" s="1"/>
  <c r="L844" i="4" s="1"/>
  <c r="L845" i="4" s="1"/>
  <c r="L846" i="4" s="1"/>
  <c r="L847" i="4" s="1"/>
  <c r="L848" i="4" s="1"/>
  <c r="L849" i="4" s="1"/>
  <c r="O849" i="4" s="1"/>
  <c r="O816" i="4"/>
  <c r="T849" i="4"/>
  <c r="T848" i="4"/>
  <c r="T847" i="4"/>
  <c r="T846" i="4"/>
  <c r="T845" i="4"/>
  <c r="T844" i="4"/>
  <c r="T843" i="4"/>
  <c r="T842" i="4"/>
  <c r="T841" i="4"/>
  <c r="T840" i="4"/>
  <c r="T839" i="4"/>
  <c r="T838" i="4"/>
  <c r="T837" i="4"/>
  <c r="T836" i="4"/>
  <c r="T835" i="4"/>
  <c r="J835" i="4"/>
  <c r="T834" i="4"/>
  <c r="Q834" i="4"/>
  <c r="Q835" i="4" s="1"/>
  <c r="Q836" i="4" s="1"/>
  <c r="Q837" i="4" s="1"/>
  <c r="Q838" i="4" s="1"/>
  <c r="Q839" i="4" s="1"/>
  <c r="Q840" i="4" s="1"/>
  <c r="Q841" i="4" s="1"/>
  <c r="Q842" i="4" s="1"/>
  <c r="Q843" i="4" s="1"/>
  <c r="Q844" i="4" s="1"/>
  <c r="Q845" i="4" s="1"/>
  <c r="Q846" i="4" s="1"/>
  <c r="Q847" i="4" s="1"/>
  <c r="Q848" i="4" s="1"/>
  <c r="Q849" i="4" s="1"/>
  <c r="N834" i="4"/>
  <c r="N835" i="4" s="1"/>
  <c r="N836" i="4" s="1"/>
  <c r="N837" i="4" s="1"/>
  <c r="N838" i="4" s="1"/>
  <c r="N839" i="4" s="1"/>
  <c r="N840" i="4" s="1"/>
  <c r="N841" i="4" s="1"/>
  <c r="N842" i="4" s="1"/>
  <c r="N843" i="4" s="1"/>
  <c r="N844" i="4" s="1"/>
  <c r="N845" i="4" s="1"/>
  <c r="N846" i="4" s="1"/>
  <c r="N847" i="4" s="1"/>
  <c r="N848" i="4" s="1"/>
  <c r="N849" i="4" s="1"/>
  <c r="M834" i="4"/>
  <c r="M835" i="4" s="1"/>
  <c r="M836" i="4" s="1"/>
  <c r="M837" i="4" s="1"/>
  <c r="M838" i="4" s="1"/>
  <c r="M839" i="4" s="1"/>
  <c r="M840" i="4" s="1"/>
  <c r="M841" i="4" s="1"/>
  <c r="M842" i="4" s="1"/>
  <c r="M843" i="4" s="1"/>
  <c r="M844" i="4" s="1"/>
  <c r="M845" i="4" s="1"/>
  <c r="M846" i="4" s="1"/>
  <c r="M847" i="4" s="1"/>
  <c r="M848" i="4" s="1"/>
  <c r="M849" i="4" s="1"/>
  <c r="D834" i="4"/>
  <c r="D835" i="4" s="1"/>
  <c r="D836" i="4" s="1"/>
  <c r="D837" i="4" s="1"/>
  <c r="D838" i="4" s="1"/>
  <c r="D839" i="4" s="1"/>
  <c r="D840" i="4" s="1"/>
  <c r="D841" i="4" s="1"/>
  <c r="D842" i="4" s="1"/>
  <c r="D843" i="4" s="1"/>
  <c r="D844" i="4" s="1"/>
  <c r="D845" i="4" s="1"/>
  <c r="D846" i="4" s="1"/>
  <c r="D847" i="4" s="1"/>
  <c r="D848" i="4" s="1"/>
  <c r="D849" i="4" s="1"/>
  <c r="T832" i="4"/>
  <c r="T831" i="4"/>
  <c r="T830" i="4"/>
  <c r="T829" i="4"/>
  <c r="T828" i="4"/>
  <c r="T827" i="4"/>
  <c r="T826" i="4"/>
  <c r="T825" i="4"/>
  <c r="T824" i="4"/>
  <c r="T823" i="4"/>
  <c r="T822" i="4"/>
  <c r="T821" i="4"/>
  <c r="T820" i="4"/>
  <c r="T819" i="4"/>
  <c r="T818" i="4"/>
  <c r="K818" i="4"/>
  <c r="J818" i="4"/>
  <c r="T817" i="4"/>
  <c r="Q817" i="4"/>
  <c r="Q818" i="4" s="1"/>
  <c r="Q819" i="4" s="1"/>
  <c r="Q820" i="4" s="1"/>
  <c r="Q821" i="4" s="1"/>
  <c r="Q822" i="4" s="1"/>
  <c r="Q823" i="4" s="1"/>
  <c r="Q824" i="4" s="1"/>
  <c r="Q825" i="4" s="1"/>
  <c r="Q826" i="4" s="1"/>
  <c r="Q827" i="4" s="1"/>
  <c r="Q828" i="4" s="1"/>
  <c r="Q829" i="4" s="1"/>
  <c r="Q830" i="4" s="1"/>
  <c r="Q831" i="4" s="1"/>
  <c r="Q832" i="4" s="1"/>
  <c r="N817" i="4"/>
  <c r="N818" i="4" s="1"/>
  <c r="N819" i="4" s="1"/>
  <c r="N820" i="4" s="1"/>
  <c r="N821" i="4" s="1"/>
  <c r="N822" i="4" s="1"/>
  <c r="N823" i="4" s="1"/>
  <c r="N824" i="4" s="1"/>
  <c r="N825" i="4" s="1"/>
  <c r="N826" i="4" s="1"/>
  <c r="N827" i="4" s="1"/>
  <c r="N828" i="4" s="1"/>
  <c r="N829" i="4" s="1"/>
  <c r="N830" i="4" s="1"/>
  <c r="N831" i="4" s="1"/>
  <c r="N832" i="4" s="1"/>
  <c r="M817" i="4"/>
  <c r="M818" i="4" s="1"/>
  <c r="M819" i="4" s="1"/>
  <c r="M820" i="4" s="1"/>
  <c r="M821" i="4" s="1"/>
  <c r="M822" i="4" s="1"/>
  <c r="M823" i="4" s="1"/>
  <c r="M824" i="4" s="1"/>
  <c r="M825" i="4" s="1"/>
  <c r="M826" i="4" s="1"/>
  <c r="M827" i="4" s="1"/>
  <c r="M828" i="4" s="1"/>
  <c r="M829" i="4" s="1"/>
  <c r="M830" i="4" s="1"/>
  <c r="M831" i="4" s="1"/>
  <c r="M832" i="4" s="1"/>
  <c r="L817" i="4"/>
  <c r="L818" i="4" s="1"/>
  <c r="L819" i="4" s="1"/>
  <c r="L820" i="4" s="1"/>
  <c r="L821" i="4" s="1"/>
  <c r="L822" i="4" s="1"/>
  <c r="L823" i="4" s="1"/>
  <c r="L824" i="4" s="1"/>
  <c r="L825" i="4" s="1"/>
  <c r="L826" i="4" s="1"/>
  <c r="L827" i="4" s="1"/>
  <c r="L828" i="4" s="1"/>
  <c r="L829" i="4" s="1"/>
  <c r="L830" i="4" s="1"/>
  <c r="L831" i="4" s="1"/>
  <c r="L832" i="4" s="1"/>
  <c r="O832" i="4" s="1"/>
  <c r="D817" i="4"/>
  <c r="D818" i="4" s="1"/>
  <c r="D819" i="4" s="1"/>
  <c r="D820" i="4" s="1"/>
  <c r="D821" i="4" s="1"/>
  <c r="D822" i="4" s="1"/>
  <c r="D823" i="4" s="1"/>
  <c r="D824" i="4" s="1"/>
  <c r="D825" i="4" s="1"/>
  <c r="D826" i="4" s="1"/>
  <c r="D827" i="4" s="1"/>
  <c r="D828" i="4" s="1"/>
  <c r="D829" i="4" s="1"/>
  <c r="D830" i="4" s="1"/>
  <c r="D831" i="4" s="1"/>
  <c r="D832" i="4" s="1"/>
  <c r="O801" i="4"/>
  <c r="O802" i="4"/>
  <c r="O803" i="4"/>
  <c r="O804" i="4"/>
  <c r="O805" i="4"/>
  <c r="O806" i="4"/>
  <c r="O807" i="4"/>
  <c r="O808" i="4"/>
  <c r="O809" i="4"/>
  <c r="O810" i="4"/>
  <c r="O811" i="4"/>
  <c r="O812" i="4"/>
  <c r="O813" i="4"/>
  <c r="O814" i="4"/>
  <c r="O815" i="4"/>
  <c r="O800" i="4"/>
  <c r="O799" i="4"/>
  <c r="T815" i="4"/>
  <c r="T814" i="4"/>
  <c r="T813" i="4"/>
  <c r="T812" i="4"/>
  <c r="T811" i="4"/>
  <c r="T810" i="4"/>
  <c r="T809" i="4"/>
  <c r="T808" i="4"/>
  <c r="T807" i="4"/>
  <c r="T806" i="4"/>
  <c r="T805" i="4"/>
  <c r="T804" i="4"/>
  <c r="T803" i="4"/>
  <c r="T802" i="4"/>
  <c r="T801" i="4"/>
  <c r="T800" i="4"/>
  <c r="T798" i="4"/>
  <c r="T797" i="4"/>
  <c r="T796" i="4"/>
  <c r="T795" i="4"/>
  <c r="T794" i="4"/>
  <c r="T793" i="4"/>
  <c r="T792" i="4"/>
  <c r="T791" i="4"/>
  <c r="T790" i="4"/>
  <c r="T789" i="4"/>
  <c r="T788" i="4"/>
  <c r="T787" i="4"/>
  <c r="T786" i="4"/>
  <c r="T785" i="4"/>
  <c r="T784" i="4"/>
  <c r="T783" i="4"/>
  <c r="J801" i="4"/>
  <c r="Q800" i="4"/>
  <c r="Q801" i="4" s="1"/>
  <c r="Q802" i="4" s="1"/>
  <c r="Q803" i="4" s="1"/>
  <c r="Q804" i="4" s="1"/>
  <c r="Q805" i="4" s="1"/>
  <c r="Q806" i="4" s="1"/>
  <c r="Q807" i="4" s="1"/>
  <c r="Q808" i="4" s="1"/>
  <c r="Q809" i="4" s="1"/>
  <c r="Q810" i="4" s="1"/>
  <c r="Q811" i="4" s="1"/>
  <c r="Q812" i="4" s="1"/>
  <c r="Q813" i="4" s="1"/>
  <c r="Q814" i="4" s="1"/>
  <c r="Q815" i="4" s="1"/>
  <c r="N800" i="4"/>
  <c r="N801" i="4" s="1"/>
  <c r="N802" i="4" s="1"/>
  <c r="N803" i="4" s="1"/>
  <c r="N804" i="4" s="1"/>
  <c r="N805" i="4" s="1"/>
  <c r="N806" i="4" s="1"/>
  <c r="N807" i="4" s="1"/>
  <c r="N808" i="4" s="1"/>
  <c r="N809" i="4" s="1"/>
  <c r="N810" i="4" s="1"/>
  <c r="N811" i="4" s="1"/>
  <c r="N812" i="4" s="1"/>
  <c r="N813" i="4" s="1"/>
  <c r="N814" i="4" s="1"/>
  <c r="N815" i="4" s="1"/>
  <c r="M800" i="4"/>
  <c r="M801" i="4" s="1"/>
  <c r="M802" i="4" s="1"/>
  <c r="M803" i="4" s="1"/>
  <c r="M804" i="4" s="1"/>
  <c r="M805" i="4" s="1"/>
  <c r="M806" i="4" s="1"/>
  <c r="M807" i="4" s="1"/>
  <c r="M808" i="4" s="1"/>
  <c r="M809" i="4" s="1"/>
  <c r="M810" i="4" s="1"/>
  <c r="M811" i="4" s="1"/>
  <c r="M812" i="4" s="1"/>
  <c r="M813" i="4" s="1"/>
  <c r="M814" i="4" s="1"/>
  <c r="M815" i="4" s="1"/>
  <c r="L800" i="4"/>
  <c r="L801" i="4" s="1"/>
  <c r="D800" i="4"/>
  <c r="D801" i="4" s="1"/>
  <c r="D802" i="4" s="1"/>
  <c r="D803" i="4" s="1"/>
  <c r="D804" i="4" s="1"/>
  <c r="D805" i="4" s="1"/>
  <c r="D806" i="4" s="1"/>
  <c r="D807" i="4" s="1"/>
  <c r="D808" i="4" s="1"/>
  <c r="D809" i="4" s="1"/>
  <c r="D810" i="4" s="1"/>
  <c r="D811" i="4" s="1"/>
  <c r="D812" i="4" s="1"/>
  <c r="D813" i="4" s="1"/>
  <c r="D814" i="4" s="1"/>
  <c r="D815" i="4" s="1"/>
  <c r="Q783" i="4"/>
  <c r="Q784" i="4" s="1"/>
  <c r="Q785" i="4" s="1"/>
  <c r="Q786" i="4" s="1"/>
  <c r="Q787" i="4" s="1"/>
  <c r="Q788" i="4" s="1"/>
  <c r="Q789" i="4" s="1"/>
  <c r="Q790" i="4" s="1"/>
  <c r="Q791" i="4" s="1"/>
  <c r="Q792" i="4" s="1"/>
  <c r="Q793" i="4" s="1"/>
  <c r="Q794" i="4" s="1"/>
  <c r="Q795" i="4" s="1"/>
  <c r="Q796" i="4" s="1"/>
  <c r="Q797" i="4" s="1"/>
  <c r="Q798" i="4" s="1"/>
  <c r="N783" i="4"/>
  <c r="N784" i="4" s="1"/>
  <c r="N785" i="4" s="1"/>
  <c r="N786" i="4" s="1"/>
  <c r="N787" i="4" s="1"/>
  <c r="N788" i="4" s="1"/>
  <c r="N789" i="4" s="1"/>
  <c r="N790" i="4" s="1"/>
  <c r="N791" i="4" s="1"/>
  <c r="N792" i="4" s="1"/>
  <c r="N793" i="4" s="1"/>
  <c r="N794" i="4" s="1"/>
  <c r="N795" i="4" s="1"/>
  <c r="N796" i="4" s="1"/>
  <c r="N797" i="4" s="1"/>
  <c r="N798" i="4" s="1"/>
  <c r="M783" i="4"/>
  <c r="M784" i="4" s="1"/>
  <c r="M785" i="4" s="1"/>
  <c r="M786" i="4" s="1"/>
  <c r="M787" i="4" s="1"/>
  <c r="M788" i="4" s="1"/>
  <c r="M789" i="4" s="1"/>
  <c r="M790" i="4" s="1"/>
  <c r="M791" i="4" s="1"/>
  <c r="M792" i="4" s="1"/>
  <c r="M793" i="4" s="1"/>
  <c r="M794" i="4" s="1"/>
  <c r="M795" i="4" s="1"/>
  <c r="M796" i="4" s="1"/>
  <c r="M797" i="4" s="1"/>
  <c r="M798" i="4" s="1"/>
  <c r="L783" i="4"/>
  <c r="O783" i="4" s="1"/>
  <c r="J784" i="4"/>
  <c r="D783" i="4"/>
  <c r="D784" i="4" s="1"/>
  <c r="D785" i="4" s="1"/>
  <c r="D786" i="4" s="1"/>
  <c r="D787" i="4" s="1"/>
  <c r="D788" i="4" s="1"/>
  <c r="D789" i="4" s="1"/>
  <c r="D790" i="4" s="1"/>
  <c r="D791" i="4" s="1"/>
  <c r="D792" i="4" s="1"/>
  <c r="D793" i="4" s="1"/>
  <c r="D794" i="4" s="1"/>
  <c r="D795" i="4" s="1"/>
  <c r="D796" i="4" s="1"/>
  <c r="D797" i="4" s="1"/>
  <c r="D798" i="4" s="1"/>
  <c r="O765" i="4"/>
  <c r="T781" i="4"/>
  <c r="T780" i="4"/>
  <c r="T779" i="4"/>
  <c r="T778" i="4"/>
  <c r="T777" i="4"/>
  <c r="T776" i="4"/>
  <c r="T775" i="4"/>
  <c r="T774" i="4"/>
  <c r="T773" i="4"/>
  <c r="T772" i="4"/>
  <c r="T771" i="4"/>
  <c r="T770" i="4"/>
  <c r="T769" i="4"/>
  <c r="T768" i="4"/>
  <c r="T767" i="4"/>
  <c r="K767" i="4"/>
  <c r="T766" i="4"/>
  <c r="Q766" i="4"/>
  <c r="Q767" i="4" s="1"/>
  <c r="Q768" i="4" s="1"/>
  <c r="Q769" i="4" s="1"/>
  <c r="Q770" i="4" s="1"/>
  <c r="Q771" i="4" s="1"/>
  <c r="Q772" i="4" s="1"/>
  <c r="Q773" i="4" s="1"/>
  <c r="Q774" i="4" s="1"/>
  <c r="Q775" i="4" s="1"/>
  <c r="Q776" i="4" s="1"/>
  <c r="Q777" i="4" s="1"/>
  <c r="Q778" i="4" s="1"/>
  <c r="Q779" i="4" s="1"/>
  <c r="Q780" i="4" s="1"/>
  <c r="Q781" i="4" s="1"/>
  <c r="N766" i="4"/>
  <c r="N767" i="4" s="1"/>
  <c r="N768" i="4" s="1"/>
  <c r="N769" i="4" s="1"/>
  <c r="N770" i="4" s="1"/>
  <c r="N771" i="4" s="1"/>
  <c r="N772" i="4" s="1"/>
  <c r="N773" i="4" s="1"/>
  <c r="N774" i="4" s="1"/>
  <c r="N775" i="4" s="1"/>
  <c r="N776" i="4" s="1"/>
  <c r="N777" i="4" s="1"/>
  <c r="N778" i="4" s="1"/>
  <c r="N779" i="4" s="1"/>
  <c r="N780" i="4" s="1"/>
  <c r="N781" i="4" s="1"/>
  <c r="L766" i="4"/>
  <c r="O766" i="4" s="1"/>
  <c r="J766" i="4"/>
  <c r="D766" i="4"/>
  <c r="D767" i="4" s="1"/>
  <c r="D768" i="4" s="1"/>
  <c r="D769" i="4" s="1"/>
  <c r="D770" i="4" s="1"/>
  <c r="D771" i="4" s="1"/>
  <c r="D772" i="4" s="1"/>
  <c r="D773" i="4" s="1"/>
  <c r="D774" i="4" s="1"/>
  <c r="D775" i="4" s="1"/>
  <c r="D776" i="4" s="1"/>
  <c r="D777" i="4" s="1"/>
  <c r="D778" i="4" s="1"/>
  <c r="D779" i="4" s="1"/>
  <c r="D780" i="4" s="1"/>
  <c r="D781" i="4" s="1"/>
  <c r="T763" i="4"/>
  <c r="T762" i="4"/>
  <c r="T761" i="4"/>
  <c r="T760" i="4"/>
  <c r="T759" i="4"/>
  <c r="T758" i="4"/>
  <c r="T757" i="4"/>
  <c r="T756" i="4"/>
  <c r="T755" i="4"/>
  <c r="T754" i="4"/>
  <c r="T753" i="4"/>
  <c r="T752" i="4"/>
  <c r="O751" i="4"/>
  <c r="Q753" i="4"/>
  <c r="Q754" i="4" s="1"/>
  <c r="Q755" i="4" s="1"/>
  <c r="Q756" i="4" s="1"/>
  <c r="Q757" i="4" s="1"/>
  <c r="Q758" i="4" s="1"/>
  <c r="Q759" i="4" s="1"/>
  <c r="Q760" i="4" s="1"/>
  <c r="Q761" i="4" s="1"/>
  <c r="Q762" i="4" s="1"/>
  <c r="Q763" i="4" s="1"/>
  <c r="Q764" i="4" s="1"/>
  <c r="N753" i="4"/>
  <c r="N754" i="4" s="1"/>
  <c r="N755" i="4" s="1"/>
  <c r="N756" i="4" s="1"/>
  <c r="N757" i="4" s="1"/>
  <c r="N758" i="4" s="1"/>
  <c r="N759" i="4" s="1"/>
  <c r="N760" i="4" s="1"/>
  <c r="N761" i="4" s="1"/>
  <c r="N762" i="4" s="1"/>
  <c r="N763" i="4" s="1"/>
  <c r="N764" i="4" s="1"/>
  <c r="M753" i="4"/>
  <c r="M754" i="4" s="1"/>
  <c r="M755" i="4" s="1"/>
  <c r="M756" i="4" s="1"/>
  <c r="M757" i="4" s="1"/>
  <c r="M758" i="4" s="1"/>
  <c r="M759" i="4" s="1"/>
  <c r="M760" i="4" s="1"/>
  <c r="M761" i="4" s="1"/>
  <c r="M762" i="4" s="1"/>
  <c r="M763" i="4" s="1"/>
  <c r="D753" i="4"/>
  <c r="D754" i="4" s="1"/>
  <c r="D755" i="4" s="1"/>
  <c r="D756" i="4" s="1"/>
  <c r="D757" i="4" s="1"/>
  <c r="D758" i="4" s="1"/>
  <c r="D759" i="4" s="1"/>
  <c r="D760" i="4" s="1"/>
  <c r="D761" i="4" s="1"/>
  <c r="D762" i="4" s="1"/>
  <c r="D763" i="4" s="1"/>
  <c r="D764" i="4" s="1"/>
  <c r="O734" i="4"/>
  <c r="T658" i="4"/>
  <c r="T657" i="4"/>
  <c r="T656" i="4"/>
  <c r="T655" i="4"/>
  <c r="T654" i="4"/>
  <c r="T653" i="4"/>
  <c r="T652" i="4"/>
  <c r="T651" i="4"/>
  <c r="T650" i="4"/>
  <c r="T649" i="4"/>
  <c r="T648" i="4"/>
  <c r="T647" i="4"/>
  <c r="T646" i="4"/>
  <c r="T645" i="4"/>
  <c r="T644" i="4"/>
  <c r="T643" i="4"/>
  <c r="T640" i="4"/>
  <c r="T639" i="4"/>
  <c r="T638" i="4"/>
  <c r="T637" i="4"/>
  <c r="T636" i="4"/>
  <c r="T635" i="4"/>
  <c r="T634" i="4"/>
  <c r="T633" i="4"/>
  <c r="T632" i="4"/>
  <c r="T631" i="4"/>
  <c r="T630" i="4"/>
  <c r="T629" i="4"/>
  <c r="T628" i="4"/>
  <c r="T627" i="4"/>
  <c r="T626" i="4"/>
  <c r="T625" i="4"/>
  <c r="T534" i="4"/>
  <c r="T533" i="4"/>
  <c r="T532" i="4"/>
  <c r="T531" i="4"/>
  <c r="T530" i="4"/>
  <c r="T529" i="4"/>
  <c r="T528" i="4"/>
  <c r="T527" i="4"/>
  <c r="T526" i="4"/>
  <c r="T525" i="4"/>
  <c r="T524" i="4"/>
  <c r="T523" i="4"/>
  <c r="T522" i="4"/>
  <c r="T521" i="4"/>
  <c r="T520" i="4"/>
  <c r="T519" i="4"/>
  <c r="T371" i="4"/>
  <c r="T370" i="4"/>
  <c r="T369" i="4"/>
  <c r="T368" i="4"/>
  <c r="T367" i="4"/>
  <c r="T366" i="4"/>
  <c r="T365" i="4"/>
  <c r="T364" i="4"/>
  <c r="T363" i="4"/>
  <c r="T362" i="4"/>
  <c r="T361" i="4"/>
  <c r="T360" i="4"/>
  <c r="T359" i="4"/>
  <c r="T358" i="4"/>
  <c r="T357" i="4"/>
  <c r="T356" i="4"/>
  <c r="T354" i="4"/>
  <c r="T353" i="4"/>
  <c r="T352" i="4"/>
  <c r="T351" i="4"/>
  <c r="T350" i="4"/>
  <c r="T349" i="4"/>
  <c r="T348" i="4"/>
  <c r="T347" i="4"/>
  <c r="T346" i="4"/>
  <c r="T345" i="4"/>
  <c r="T344" i="4"/>
  <c r="T343" i="4"/>
  <c r="T342" i="4"/>
  <c r="T341" i="4"/>
  <c r="T340" i="4"/>
  <c r="T339" i="4"/>
  <c r="T334" i="4"/>
  <c r="T333" i="4"/>
  <c r="T332" i="4"/>
  <c r="T331" i="4"/>
  <c r="T330" i="4"/>
  <c r="T329" i="4"/>
  <c r="T328" i="4"/>
  <c r="T327" i="4"/>
  <c r="T326" i="4"/>
  <c r="T325" i="4"/>
  <c r="T323" i="4"/>
  <c r="T322" i="4"/>
  <c r="T321" i="4"/>
  <c r="T320" i="4"/>
  <c r="T319" i="4"/>
  <c r="T318" i="4"/>
  <c r="T317" i="4"/>
  <c r="T316" i="4"/>
  <c r="T315" i="4"/>
  <c r="T314" i="4"/>
  <c r="T313" i="4"/>
  <c r="T312" i="4"/>
  <c r="T311" i="4"/>
  <c r="T310" i="4"/>
  <c r="T309" i="4"/>
  <c r="T308" i="4"/>
  <c r="T305" i="4"/>
  <c r="T304" i="4"/>
  <c r="T303" i="4"/>
  <c r="T302" i="4"/>
  <c r="T301" i="4"/>
  <c r="T300" i="4"/>
  <c r="T299" i="4"/>
  <c r="T298" i="4"/>
  <c r="T297" i="4"/>
  <c r="T296" i="4"/>
  <c r="T295" i="4"/>
  <c r="T294" i="4"/>
  <c r="T293" i="4"/>
  <c r="T292" i="4"/>
  <c r="T291" i="4"/>
  <c r="T290" i="4"/>
  <c r="T284" i="4"/>
  <c r="T283" i="4"/>
  <c r="T282" i="4"/>
  <c r="T281" i="4"/>
  <c r="T280" i="4"/>
  <c r="T279" i="4"/>
  <c r="T278" i="4"/>
  <c r="T277" i="4"/>
  <c r="T276" i="4"/>
  <c r="T275" i="4"/>
  <c r="T274" i="4"/>
  <c r="T273" i="4"/>
  <c r="T272" i="4"/>
  <c r="T271" i="4"/>
  <c r="T270" i="4"/>
  <c r="T269" i="4"/>
  <c r="T241" i="4"/>
  <c r="T242" i="4"/>
  <c r="T243" i="4"/>
  <c r="T249" i="4"/>
  <c r="T240" i="4"/>
  <c r="T252" i="4"/>
  <c r="T253" i="4"/>
  <c r="T254" i="4"/>
  <c r="T255" i="4"/>
  <c r="T206" i="4"/>
  <c r="T205" i="4"/>
  <c r="T204" i="4"/>
  <c r="T203" i="4"/>
  <c r="T202" i="4"/>
  <c r="T201" i="4"/>
  <c r="T200" i="4"/>
  <c r="T199" i="4"/>
  <c r="T198" i="4"/>
  <c r="T197" i="4"/>
  <c r="T196" i="4"/>
  <c r="T195" i="4"/>
  <c r="T194" i="4"/>
  <c r="T193" i="4"/>
  <c r="T192" i="4"/>
  <c r="T191" i="4"/>
  <c r="T154" i="4"/>
  <c r="T153" i="4"/>
  <c r="T152" i="4"/>
  <c r="T151" i="4"/>
  <c r="T150" i="4"/>
  <c r="T149" i="4"/>
  <c r="T148" i="4"/>
  <c r="T147" i="4"/>
  <c r="T146" i="4"/>
  <c r="T144" i="4"/>
  <c r="T143" i="4"/>
  <c r="T142" i="4"/>
  <c r="T141" i="4"/>
  <c r="T140" i="4"/>
  <c r="T139" i="4"/>
  <c r="T138" i="4"/>
  <c r="T137" i="4"/>
  <c r="T136" i="4"/>
  <c r="T131" i="4"/>
  <c r="T130" i="4"/>
  <c r="T129" i="4"/>
  <c r="T128" i="4"/>
  <c r="T127" i="4"/>
  <c r="T126" i="4"/>
  <c r="T125" i="4"/>
  <c r="T124" i="4"/>
  <c r="T123" i="4"/>
  <c r="T122" i="4"/>
  <c r="T121" i="4"/>
  <c r="T120" i="4"/>
  <c r="T119" i="4"/>
  <c r="T118" i="4"/>
  <c r="T117" i="4"/>
  <c r="T116" i="4"/>
  <c r="T606" i="4"/>
  <c r="T605" i="4"/>
  <c r="T604" i="4"/>
  <c r="T603" i="4"/>
  <c r="T602" i="4"/>
  <c r="T601" i="4"/>
  <c r="T600" i="4"/>
  <c r="T599" i="4"/>
  <c r="T598" i="4"/>
  <c r="T597" i="4"/>
  <c r="T596" i="4"/>
  <c r="T595" i="4"/>
  <c r="T594" i="4"/>
  <c r="T593" i="4"/>
  <c r="T592" i="4"/>
  <c r="T591" i="4"/>
  <c r="T589" i="4"/>
  <c r="T588" i="4"/>
  <c r="T587" i="4"/>
  <c r="T586" i="4"/>
  <c r="T585" i="4"/>
  <c r="T584" i="4"/>
  <c r="T583" i="4"/>
  <c r="T582" i="4"/>
  <c r="T581" i="4"/>
  <c r="T580" i="4"/>
  <c r="T579" i="4"/>
  <c r="T578" i="4"/>
  <c r="T577" i="4"/>
  <c r="T576" i="4"/>
  <c r="T575" i="4"/>
  <c r="T574" i="4"/>
  <c r="T572" i="4"/>
  <c r="T571" i="4"/>
  <c r="T570" i="4"/>
  <c r="T569" i="4"/>
  <c r="T568" i="4"/>
  <c r="T567" i="4"/>
  <c r="T566" i="4"/>
  <c r="T565" i="4"/>
  <c r="T564" i="4"/>
  <c r="T563" i="4"/>
  <c r="T562" i="4"/>
  <c r="T561" i="4"/>
  <c r="T560" i="4"/>
  <c r="T559" i="4"/>
  <c r="T558" i="4"/>
  <c r="T557" i="4"/>
  <c r="T555" i="4"/>
  <c r="T554" i="4"/>
  <c r="T553" i="4"/>
  <c r="T552" i="4"/>
  <c r="T551" i="4"/>
  <c r="T550" i="4"/>
  <c r="T549" i="4"/>
  <c r="T548" i="4"/>
  <c r="T547" i="4"/>
  <c r="T546" i="4"/>
  <c r="T545" i="4"/>
  <c r="T544" i="4"/>
  <c r="T543" i="4"/>
  <c r="T542" i="4"/>
  <c r="T541" i="4"/>
  <c r="T540" i="4"/>
  <c r="T409" i="4"/>
  <c r="T408" i="4"/>
  <c r="T407" i="4"/>
  <c r="T406" i="4"/>
  <c r="T405" i="4"/>
  <c r="T404" i="4"/>
  <c r="T403" i="4"/>
  <c r="T402" i="4"/>
  <c r="T401" i="4"/>
  <c r="T400" i="4"/>
  <c r="T399" i="4"/>
  <c r="T398" i="4"/>
  <c r="T397" i="4"/>
  <c r="T396" i="4"/>
  <c r="T395" i="4"/>
  <c r="T394" i="4"/>
  <c r="T392" i="4"/>
  <c r="T391" i="4"/>
  <c r="T390" i="4"/>
  <c r="T389" i="4"/>
  <c r="T388" i="4"/>
  <c r="T387" i="4"/>
  <c r="T386" i="4"/>
  <c r="T385" i="4"/>
  <c r="T384" i="4"/>
  <c r="T383" i="4"/>
  <c r="T382" i="4"/>
  <c r="T381" i="4"/>
  <c r="T380" i="4"/>
  <c r="T379" i="4"/>
  <c r="T378" i="4"/>
  <c r="T377" i="4"/>
  <c r="T267" i="4"/>
  <c r="T266" i="4"/>
  <c r="T265" i="4"/>
  <c r="T264" i="4"/>
  <c r="T263" i="4"/>
  <c r="T262" i="4"/>
  <c r="T261" i="4"/>
  <c r="T260" i="4"/>
  <c r="T259" i="4"/>
  <c r="T258" i="4"/>
  <c r="T257" i="4"/>
  <c r="T256" i="4"/>
  <c r="T238" i="4"/>
  <c r="T237" i="4"/>
  <c r="T236" i="4"/>
  <c r="T235" i="4"/>
  <c r="T234" i="4"/>
  <c r="T233" i="4"/>
  <c r="T232" i="4"/>
  <c r="T231" i="4"/>
  <c r="T230" i="4"/>
  <c r="T229" i="4"/>
  <c r="T228" i="4"/>
  <c r="T227" i="4"/>
  <c r="T226" i="4"/>
  <c r="T223" i="4"/>
  <c r="T222" i="4"/>
  <c r="T221" i="4"/>
  <c r="T220" i="4"/>
  <c r="T219" i="4"/>
  <c r="T218" i="4"/>
  <c r="T217" i="4"/>
  <c r="T216" i="4"/>
  <c r="T215" i="4"/>
  <c r="T214" i="4"/>
  <c r="T213" i="4"/>
  <c r="T212" i="4"/>
  <c r="T211" i="4"/>
  <c r="T210" i="4"/>
  <c r="T209" i="4"/>
  <c r="T208" i="4"/>
  <c r="T188" i="4"/>
  <c r="T187" i="4"/>
  <c r="T186" i="4"/>
  <c r="T185" i="4"/>
  <c r="T184" i="4"/>
  <c r="T183" i="4"/>
  <c r="T182" i="4"/>
  <c r="T181" i="4"/>
  <c r="T180" i="4"/>
  <c r="T179" i="4"/>
  <c r="T178" i="4"/>
  <c r="T177" i="4"/>
  <c r="T176" i="4"/>
  <c r="T175" i="4"/>
  <c r="T174" i="4"/>
  <c r="T173" i="4"/>
  <c r="T171" i="4"/>
  <c r="T170" i="4"/>
  <c r="T169" i="4"/>
  <c r="T168" i="4"/>
  <c r="T167" i="4"/>
  <c r="T166" i="4"/>
  <c r="T165" i="4"/>
  <c r="T164" i="4"/>
  <c r="T163" i="4"/>
  <c r="T162" i="4"/>
  <c r="T161" i="4"/>
  <c r="T160" i="4"/>
  <c r="T159" i="4"/>
  <c r="T158" i="4"/>
  <c r="T157" i="4"/>
  <c r="T156" i="4"/>
  <c r="T112" i="4"/>
  <c r="T111" i="4"/>
  <c r="T110" i="4"/>
  <c r="T109" i="4"/>
  <c r="T108" i="4"/>
  <c r="T107" i="4"/>
  <c r="T106" i="4"/>
  <c r="T105" i="4"/>
  <c r="T104" i="4"/>
  <c r="T103" i="4"/>
  <c r="T102" i="4"/>
  <c r="T101" i="4"/>
  <c r="T100" i="4"/>
  <c r="T99" i="4"/>
  <c r="T98" i="4"/>
  <c r="T97" i="4"/>
  <c r="T95" i="4"/>
  <c r="T94" i="4"/>
  <c r="T93" i="4"/>
  <c r="T92" i="4"/>
  <c r="T91" i="4"/>
  <c r="T90" i="4"/>
  <c r="T89" i="4"/>
  <c r="T88" i="4"/>
  <c r="T87" i="4"/>
  <c r="T86" i="4"/>
  <c r="T85" i="4"/>
  <c r="T84" i="4"/>
  <c r="T83" i="4"/>
  <c r="T82" i="4"/>
  <c r="T81" i="4"/>
  <c r="T79" i="4"/>
  <c r="T78" i="4"/>
  <c r="T77" i="4"/>
  <c r="T76" i="4"/>
  <c r="T75" i="4"/>
  <c r="T74" i="4"/>
  <c r="T73" i="4"/>
  <c r="T72" i="4"/>
  <c r="T71" i="4"/>
  <c r="T70" i="4"/>
  <c r="T69" i="4"/>
  <c r="T68" i="4"/>
  <c r="T67" i="4"/>
  <c r="T66" i="4"/>
  <c r="T65" i="4"/>
  <c r="T64" i="4"/>
  <c r="T61" i="4"/>
  <c r="T60" i="4"/>
  <c r="T59" i="4"/>
  <c r="T58" i="4"/>
  <c r="T57" i="4"/>
  <c r="T56" i="4"/>
  <c r="T55" i="4"/>
  <c r="T54" i="4"/>
  <c r="T53" i="4"/>
  <c r="T52" i="4"/>
  <c r="T51" i="4"/>
  <c r="T50" i="4"/>
  <c r="T49" i="4"/>
  <c r="T48" i="4"/>
  <c r="T47" i="4"/>
  <c r="T46" i="4"/>
  <c r="T41" i="4"/>
  <c r="T31" i="4"/>
  <c r="T32" i="4"/>
  <c r="T33" i="4"/>
  <c r="T34" i="4"/>
  <c r="T35" i="4"/>
  <c r="T36" i="4"/>
  <c r="T37" i="4"/>
  <c r="T38" i="4"/>
  <c r="T39" i="4"/>
  <c r="T40" i="4"/>
  <c r="T42" i="4"/>
  <c r="T43" i="4"/>
  <c r="T44" i="4"/>
  <c r="T30" i="4"/>
  <c r="T28" i="4"/>
  <c r="O733" i="4"/>
  <c r="S718" i="4"/>
  <c r="S719" i="4"/>
  <c r="S720" i="4"/>
  <c r="S721" i="4"/>
  <c r="S722" i="4"/>
  <c r="S723" i="4"/>
  <c r="S724" i="4"/>
  <c r="S725" i="4"/>
  <c r="S726" i="4"/>
  <c r="S727" i="4"/>
  <c r="S728" i="4"/>
  <c r="S729" i="4"/>
  <c r="S730" i="4"/>
  <c r="S731" i="4"/>
  <c r="S732" i="4"/>
  <c r="S717" i="4"/>
  <c r="O716" i="4"/>
  <c r="O715" i="4"/>
  <c r="O698" i="4"/>
  <c r="T714" i="4"/>
  <c r="T713" i="4"/>
  <c r="T712" i="4"/>
  <c r="T711" i="4"/>
  <c r="T710" i="4"/>
  <c r="T709" i="4"/>
  <c r="T708" i="4"/>
  <c r="T707" i="4"/>
  <c r="T706" i="4"/>
  <c r="T705" i="4"/>
  <c r="T704" i="4"/>
  <c r="T703" i="4"/>
  <c r="T702" i="4"/>
  <c r="T701" i="4"/>
  <c r="T700" i="4"/>
  <c r="T699" i="4"/>
  <c r="S700" i="4"/>
  <c r="S701" i="4"/>
  <c r="S702" i="4"/>
  <c r="S703" i="4"/>
  <c r="S704" i="4"/>
  <c r="S705" i="4"/>
  <c r="S706" i="4"/>
  <c r="S707" i="4"/>
  <c r="S708" i="4"/>
  <c r="S709" i="4"/>
  <c r="S710" i="4"/>
  <c r="S711" i="4"/>
  <c r="S712" i="4"/>
  <c r="S713" i="4"/>
  <c r="S714" i="4"/>
  <c r="S699" i="4"/>
  <c r="O697" i="4"/>
  <c r="O696" i="4"/>
  <c r="O695" i="4"/>
  <c r="O694" i="4"/>
  <c r="O693" i="4"/>
  <c r="T692" i="4"/>
  <c r="T691" i="4"/>
  <c r="T690" i="4"/>
  <c r="T689" i="4"/>
  <c r="T688" i="4"/>
  <c r="T687" i="4"/>
  <c r="T686" i="4"/>
  <c r="T685" i="4"/>
  <c r="T684" i="4"/>
  <c r="T683" i="4"/>
  <c r="T682" i="4"/>
  <c r="T681" i="4"/>
  <c r="T680" i="4"/>
  <c r="T679" i="4"/>
  <c r="T678" i="4"/>
  <c r="T677" i="4"/>
  <c r="S678" i="4"/>
  <c r="S679" i="4"/>
  <c r="S680" i="4"/>
  <c r="S681" i="4"/>
  <c r="S682" i="4"/>
  <c r="S683" i="4"/>
  <c r="S684" i="4"/>
  <c r="S685" i="4"/>
  <c r="S686" i="4"/>
  <c r="S687" i="4"/>
  <c r="S688" i="4"/>
  <c r="S689" i="4"/>
  <c r="S690" i="4"/>
  <c r="S691" i="4"/>
  <c r="S692" i="4"/>
  <c r="S677" i="4"/>
  <c r="O676" i="4"/>
  <c r="T675" i="4"/>
  <c r="T674" i="4"/>
  <c r="T673" i="4"/>
  <c r="T672" i="4"/>
  <c r="T671" i="4"/>
  <c r="T670" i="4"/>
  <c r="T669" i="4"/>
  <c r="T668" i="4"/>
  <c r="T667" i="4"/>
  <c r="T666" i="4"/>
  <c r="T665" i="4"/>
  <c r="T664" i="4"/>
  <c r="T663" i="4"/>
  <c r="T662" i="4"/>
  <c r="T661" i="4"/>
  <c r="T660" i="4"/>
  <c r="S661" i="4"/>
  <c r="S662" i="4"/>
  <c r="S663" i="4"/>
  <c r="S664" i="4"/>
  <c r="S665" i="4"/>
  <c r="S666" i="4"/>
  <c r="S667" i="4"/>
  <c r="S668" i="4"/>
  <c r="S669" i="4"/>
  <c r="S670" i="4"/>
  <c r="S671" i="4"/>
  <c r="S672" i="4"/>
  <c r="S673" i="4"/>
  <c r="S674" i="4"/>
  <c r="S675" i="4"/>
  <c r="S660" i="4"/>
  <c r="O659" i="4"/>
  <c r="S648" i="4"/>
  <c r="S649" i="4"/>
  <c r="S650" i="4"/>
  <c r="S651" i="4"/>
  <c r="S652" i="4"/>
  <c r="S653" i="4"/>
  <c r="S654" i="4"/>
  <c r="S655" i="4"/>
  <c r="S656" i="4"/>
  <c r="S657" i="4"/>
  <c r="S658" i="4"/>
  <c r="S647" i="4"/>
  <c r="S644" i="4"/>
  <c r="S645" i="4"/>
  <c r="S646" i="4"/>
  <c r="S643" i="4"/>
  <c r="R641" i="4"/>
  <c r="O641" i="4"/>
  <c r="B1980" i="4" l="1"/>
  <c r="V1979" i="4"/>
  <c r="M764" i="4"/>
  <c r="M765" i="4" s="1"/>
  <c r="M766" i="4" s="1"/>
  <c r="M767" i="4" s="1"/>
  <c r="M768" i="4" s="1"/>
  <c r="M769" i="4" s="1"/>
  <c r="M770" i="4" s="1"/>
  <c r="M771" i="4" s="1"/>
  <c r="M772" i="4" s="1"/>
  <c r="M773" i="4" s="1"/>
  <c r="M774" i="4" s="1"/>
  <c r="M775" i="4" s="1"/>
  <c r="M776" i="4" s="1"/>
  <c r="M777" i="4" s="1"/>
  <c r="M778" i="4" s="1"/>
  <c r="M779" i="4" s="1"/>
  <c r="M780" i="4" s="1"/>
  <c r="M781" i="4" s="1"/>
  <c r="Q966" i="4"/>
  <c r="Q967" i="4" s="1"/>
  <c r="Q968" i="4" s="1"/>
  <c r="J1007" i="4"/>
  <c r="J990" i="4"/>
  <c r="J802" i="4"/>
  <c r="K819" i="4"/>
  <c r="J870" i="4"/>
  <c r="J887" i="4"/>
  <c r="J767" i="4"/>
  <c r="J904" i="4"/>
  <c r="J921" i="4"/>
  <c r="J955" i="4"/>
  <c r="K768" i="4"/>
  <c r="J938" i="4"/>
  <c r="J1024" i="4"/>
  <c r="L1023" i="4"/>
  <c r="O1022" i="4"/>
  <c r="L1006" i="4"/>
  <c r="O1006" i="4" s="1"/>
  <c r="L990" i="4"/>
  <c r="O990" i="4" s="1"/>
  <c r="J972" i="4"/>
  <c r="O903" i="4"/>
  <c r="O902" i="4"/>
  <c r="L971" i="4"/>
  <c r="O971" i="4" s="1"/>
  <c r="L954" i="4"/>
  <c r="O954" i="4" s="1"/>
  <c r="L937" i="4"/>
  <c r="O937" i="4" s="1"/>
  <c r="L920" i="4"/>
  <c r="O920" i="4" s="1"/>
  <c r="O821" i="4"/>
  <c r="O817" i="4"/>
  <c r="O829" i="4"/>
  <c r="O827" i="4"/>
  <c r="O819" i="4"/>
  <c r="O825" i="4"/>
  <c r="O831" i="4"/>
  <c r="O823" i="4"/>
  <c r="O837" i="4"/>
  <c r="O830" i="4"/>
  <c r="O826" i="4"/>
  <c r="O822" i="4"/>
  <c r="O818" i="4"/>
  <c r="O848" i="4"/>
  <c r="O844" i="4"/>
  <c r="O840" i="4"/>
  <c r="O836" i="4"/>
  <c r="J853" i="4"/>
  <c r="O845" i="4"/>
  <c r="O847" i="4"/>
  <c r="O843" i="4"/>
  <c r="O839" i="4"/>
  <c r="O835" i="4"/>
  <c r="O841" i="4"/>
  <c r="O828" i="4"/>
  <c r="O824" i="4"/>
  <c r="O820" i="4"/>
  <c r="O834" i="4"/>
  <c r="O846" i="4"/>
  <c r="O842" i="4"/>
  <c r="O838" i="4"/>
  <c r="L905" i="4"/>
  <c r="O905" i="4" s="1"/>
  <c r="L886" i="4"/>
  <c r="O886" i="4" s="1"/>
  <c r="L869" i="4"/>
  <c r="O869" i="4" s="1"/>
  <c r="L852" i="4"/>
  <c r="O852" i="4" s="1"/>
  <c r="J836" i="4"/>
  <c r="J819" i="4"/>
  <c r="L802" i="4"/>
  <c r="L784" i="4"/>
  <c r="O784" i="4" s="1"/>
  <c r="J785" i="4"/>
  <c r="L767" i="4"/>
  <c r="O767" i="4" s="1"/>
  <c r="T480" i="4"/>
  <c r="T463" i="4"/>
  <c r="T446" i="4"/>
  <c r="T25" i="4"/>
  <c r="T514" i="4"/>
  <c r="T497" i="4"/>
  <c r="T429" i="4"/>
  <c r="B1981" i="4" l="1"/>
  <c r="V1980" i="4"/>
  <c r="J1008" i="4"/>
  <c r="J768" i="4"/>
  <c r="J871" i="4"/>
  <c r="J939" i="4"/>
  <c r="J991" i="4"/>
  <c r="J905" i="4"/>
  <c r="J956" i="4"/>
  <c r="J803" i="4"/>
  <c r="J922" i="4"/>
  <c r="K769" i="4"/>
  <c r="K820" i="4"/>
  <c r="J888" i="4"/>
  <c r="J973" i="4"/>
  <c r="J854" i="4"/>
  <c r="J1025" i="4"/>
  <c r="O1023" i="4"/>
  <c r="L1024" i="4"/>
  <c r="L1007" i="4"/>
  <c r="O1007" i="4" s="1"/>
  <c r="L991" i="4"/>
  <c r="O991" i="4" s="1"/>
  <c r="L972" i="4"/>
  <c r="O972" i="4" s="1"/>
  <c r="L955" i="4"/>
  <c r="O955" i="4" s="1"/>
  <c r="L938" i="4"/>
  <c r="O938" i="4" s="1"/>
  <c r="L921" i="4"/>
  <c r="O921" i="4" s="1"/>
  <c r="L906" i="4"/>
  <c r="O906" i="4" s="1"/>
  <c r="L887" i="4"/>
  <c r="O887" i="4" s="1"/>
  <c r="L870" i="4"/>
  <c r="O870" i="4" s="1"/>
  <c r="L853" i="4"/>
  <c r="O853" i="4" s="1"/>
  <c r="J837" i="4"/>
  <c r="J820" i="4"/>
  <c r="L803" i="4"/>
  <c r="J786" i="4"/>
  <c r="L785" i="4"/>
  <c r="O785" i="4" s="1"/>
  <c r="L768" i="4"/>
  <c r="O768" i="4" s="1"/>
  <c r="O752" i="4"/>
  <c r="K753" i="4"/>
  <c r="T14" i="4"/>
  <c r="T15" i="4"/>
  <c r="T16" i="4"/>
  <c r="T17" i="4"/>
  <c r="T18" i="4"/>
  <c r="T19" i="4"/>
  <c r="T20" i="4"/>
  <c r="T21" i="4"/>
  <c r="T22" i="4"/>
  <c r="T23" i="4"/>
  <c r="T24" i="4"/>
  <c r="T26" i="4"/>
  <c r="T27" i="4"/>
  <c r="T13" i="4"/>
  <c r="B1982" i="4" l="1"/>
  <c r="V1981" i="4"/>
  <c r="J872" i="4"/>
  <c r="J873" i="4" s="1"/>
  <c r="J1009" i="4"/>
  <c r="J769" i="4"/>
  <c r="J753" i="4"/>
  <c r="J906" i="4"/>
  <c r="J940" i="4"/>
  <c r="K770" i="4"/>
  <c r="J992" i="4"/>
  <c r="K821" i="4"/>
  <c r="J957" i="4"/>
  <c r="J804" i="4"/>
  <c r="J889" i="4"/>
  <c r="J923" i="4"/>
  <c r="J974" i="4"/>
  <c r="J855" i="4"/>
  <c r="J1026" i="4"/>
  <c r="L1025" i="4"/>
  <c r="O1024" i="4"/>
  <c r="L1008" i="4"/>
  <c r="O1008" i="4" s="1"/>
  <c r="L992" i="4"/>
  <c r="O992" i="4" s="1"/>
  <c r="L973" i="4"/>
  <c r="O973" i="4" s="1"/>
  <c r="L956" i="4"/>
  <c r="O956" i="4" s="1"/>
  <c r="L939" i="4"/>
  <c r="O939" i="4" s="1"/>
  <c r="L922" i="4"/>
  <c r="O922" i="4" s="1"/>
  <c r="L907" i="4"/>
  <c r="O907" i="4" s="1"/>
  <c r="L888" i="4"/>
  <c r="O888" i="4" s="1"/>
  <c r="L871" i="4"/>
  <c r="O871" i="4" s="1"/>
  <c r="L854" i="4"/>
  <c r="O854" i="4" s="1"/>
  <c r="J838" i="4"/>
  <c r="J821" i="4"/>
  <c r="L804" i="4"/>
  <c r="J787" i="4"/>
  <c r="L786" i="4"/>
  <c r="O786" i="4" s="1"/>
  <c r="L769" i="4"/>
  <c r="O769" i="4" s="1"/>
  <c r="K754" i="4"/>
  <c r="L753" i="4"/>
  <c r="O753" i="4" s="1"/>
  <c r="B1983" i="4" l="1"/>
  <c r="V1982" i="4"/>
  <c r="J770" i="4"/>
  <c r="J1010" i="4"/>
  <c r="J754" i="4"/>
  <c r="J907" i="4"/>
  <c r="K771" i="4"/>
  <c r="J941" i="4"/>
  <c r="J993" i="4"/>
  <c r="J924" i="4"/>
  <c r="J958" i="4"/>
  <c r="J805" i="4"/>
  <c r="J975" i="4"/>
  <c r="J890" i="4"/>
  <c r="K822" i="4"/>
  <c r="J856" i="4"/>
  <c r="J1027" i="4"/>
  <c r="O1025" i="4"/>
  <c r="L1026" i="4"/>
  <c r="L1009" i="4"/>
  <c r="O1009" i="4" s="1"/>
  <c r="L993" i="4"/>
  <c r="O993" i="4" s="1"/>
  <c r="L974" i="4"/>
  <c r="O974" i="4" s="1"/>
  <c r="L957" i="4"/>
  <c r="O957" i="4" s="1"/>
  <c r="L940" i="4"/>
  <c r="O940" i="4" s="1"/>
  <c r="L923" i="4"/>
  <c r="O923" i="4" s="1"/>
  <c r="L908" i="4"/>
  <c r="O908" i="4" s="1"/>
  <c r="L889" i="4"/>
  <c r="O889" i="4" s="1"/>
  <c r="J874" i="4"/>
  <c r="L872" i="4"/>
  <c r="O872" i="4" s="1"/>
  <c r="L855" i="4"/>
  <c r="O855" i="4" s="1"/>
  <c r="J839" i="4"/>
  <c r="J822" i="4"/>
  <c r="L805" i="4"/>
  <c r="L787" i="4"/>
  <c r="O787" i="4" s="1"/>
  <c r="J788" i="4"/>
  <c r="L770" i="4"/>
  <c r="O770" i="4" s="1"/>
  <c r="K755" i="4"/>
  <c r="L754" i="4"/>
  <c r="O754" i="4" s="1"/>
  <c r="O624" i="4"/>
  <c r="O607" i="4"/>
  <c r="O590" i="4"/>
  <c r="S591" i="4"/>
  <c r="S592" i="4"/>
  <c r="S593" i="4"/>
  <c r="S594" i="4"/>
  <c r="S599" i="4"/>
  <c r="S600" i="4"/>
  <c r="S601" i="4"/>
  <c r="S602" i="4"/>
  <c r="S603" i="4"/>
  <c r="S604" i="4"/>
  <c r="S605" i="4"/>
  <c r="S606" i="4"/>
  <c r="S596" i="4"/>
  <c r="S597" i="4"/>
  <c r="S598" i="4"/>
  <c r="S595" i="4"/>
  <c r="O556" i="4"/>
  <c r="O573" i="4"/>
  <c r="O539" i="4"/>
  <c r="O537" i="4"/>
  <c r="O536" i="4"/>
  <c r="O535" i="4"/>
  <c r="B1984" i="4" l="1"/>
  <c r="V1983" i="4"/>
  <c r="J771" i="4"/>
  <c r="J772" i="4" s="1"/>
  <c r="J1011" i="4"/>
  <c r="J1012" i="4" s="1"/>
  <c r="J755" i="4"/>
  <c r="J908" i="4"/>
  <c r="K772" i="4"/>
  <c r="J942" i="4"/>
  <c r="J959" i="4"/>
  <c r="J994" i="4"/>
  <c r="J925" i="4"/>
  <c r="J857" i="4"/>
  <c r="J806" i="4"/>
  <c r="J891" i="4"/>
  <c r="J976" i="4"/>
  <c r="K823" i="4"/>
  <c r="L1027" i="4"/>
  <c r="O1026" i="4"/>
  <c r="J1028" i="4"/>
  <c r="L1010" i="4"/>
  <c r="O1010" i="4" s="1"/>
  <c r="L994" i="4"/>
  <c r="O994" i="4" s="1"/>
  <c r="L975" i="4"/>
  <c r="O975" i="4" s="1"/>
  <c r="L958" i="4"/>
  <c r="O958" i="4" s="1"/>
  <c r="L941" i="4"/>
  <c r="O941" i="4" s="1"/>
  <c r="L924" i="4"/>
  <c r="O924" i="4" s="1"/>
  <c r="L909" i="4"/>
  <c r="O909" i="4" s="1"/>
  <c r="L890" i="4"/>
  <c r="O890" i="4" s="1"/>
  <c r="L873" i="4"/>
  <c r="O873" i="4" s="1"/>
  <c r="J875" i="4"/>
  <c r="L856" i="4"/>
  <c r="O856" i="4" s="1"/>
  <c r="J840" i="4"/>
  <c r="J823" i="4"/>
  <c r="L806" i="4"/>
  <c r="L788" i="4"/>
  <c r="O788" i="4" s="1"/>
  <c r="J789" i="4"/>
  <c r="L771" i="4"/>
  <c r="O771" i="4" s="1"/>
  <c r="K756" i="4"/>
  <c r="L755" i="4"/>
  <c r="O755" i="4" s="1"/>
  <c r="B1985" i="4" l="1"/>
  <c r="V1984" i="4"/>
  <c r="J960" i="4"/>
  <c r="J961" i="4" s="1"/>
  <c r="J756" i="4"/>
  <c r="J757" i="4" s="1"/>
  <c r="J909" i="4"/>
  <c r="K773" i="4"/>
  <c r="K774" i="4" s="1"/>
  <c r="J943" i="4"/>
  <c r="J858" i="4"/>
  <c r="J995" i="4"/>
  <c r="J892" i="4"/>
  <c r="J807" i="4"/>
  <c r="J926" i="4"/>
  <c r="K824" i="4"/>
  <c r="J977" i="4"/>
  <c r="O1027" i="4"/>
  <c r="L1028" i="4"/>
  <c r="J1029" i="4"/>
  <c r="L1011" i="4"/>
  <c r="O1011" i="4" s="1"/>
  <c r="J1013" i="4"/>
  <c r="L995" i="4"/>
  <c r="O995" i="4" s="1"/>
  <c r="L976" i="4"/>
  <c r="O976" i="4" s="1"/>
  <c r="L959" i="4"/>
  <c r="O959" i="4" s="1"/>
  <c r="L942" i="4"/>
  <c r="O942" i="4" s="1"/>
  <c r="L925" i="4"/>
  <c r="O925" i="4" s="1"/>
  <c r="L910" i="4"/>
  <c r="O910" i="4" s="1"/>
  <c r="L891" i="4"/>
  <c r="O891" i="4" s="1"/>
  <c r="L874" i="4"/>
  <c r="O874" i="4" s="1"/>
  <c r="J876" i="4"/>
  <c r="L857" i="4"/>
  <c r="O857" i="4" s="1"/>
  <c r="J841" i="4"/>
  <c r="J824" i="4"/>
  <c r="L807" i="4"/>
  <c r="L789" i="4"/>
  <c r="O789" i="4" s="1"/>
  <c r="J790" i="4"/>
  <c r="L772" i="4"/>
  <c r="O772" i="4" s="1"/>
  <c r="J773" i="4"/>
  <c r="L756" i="4"/>
  <c r="O756" i="4" s="1"/>
  <c r="K757" i="4"/>
  <c r="O518" i="4"/>
  <c r="T517" i="4"/>
  <c r="T516" i="4"/>
  <c r="T515" i="4"/>
  <c r="T513" i="4"/>
  <c r="T512" i="4"/>
  <c r="T511" i="4"/>
  <c r="T510" i="4"/>
  <c r="T509" i="4"/>
  <c r="T508" i="4"/>
  <c r="T507" i="4"/>
  <c r="T506" i="4"/>
  <c r="T505" i="4"/>
  <c r="T504" i="4"/>
  <c r="T503" i="4"/>
  <c r="T502" i="4"/>
  <c r="O501" i="4"/>
  <c r="B1986" i="4" l="1"/>
  <c r="V1985" i="4"/>
  <c r="J944" i="4"/>
  <c r="J945" i="4" s="1"/>
  <c r="J910" i="4"/>
  <c r="J859" i="4"/>
  <c r="J978" i="4"/>
  <c r="J893" i="4"/>
  <c r="J996" i="4"/>
  <c r="J808" i="4"/>
  <c r="J927" i="4"/>
  <c r="K825" i="4"/>
  <c r="J1030" i="4"/>
  <c r="L1029" i="4"/>
  <c r="O1028" i="4"/>
  <c r="L1012" i="4"/>
  <c r="O1012" i="4" s="1"/>
  <c r="J1014" i="4"/>
  <c r="L996" i="4"/>
  <c r="O996" i="4" s="1"/>
  <c r="L977" i="4"/>
  <c r="O977" i="4" s="1"/>
  <c r="J962" i="4"/>
  <c r="L960" i="4"/>
  <c r="O960" i="4" s="1"/>
  <c r="L943" i="4"/>
  <c r="O943" i="4" s="1"/>
  <c r="L926" i="4"/>
  <c r="O926" i="4" s="1"/>
  <c r="L911" i="4"/>
  <c r="O911" i="4" s="1"/>
  <c r="L892" i="4"/>
  <c r="O892" i="4" s="1"/>
  <c r="J877" i="4"/>
  <c r="L875" i="4"/>
  <c r="O875" i="4" s="1"/>
  <c r="L858" i="4"/>
  <c r="O858" i="4" s="1"/>
  <c r="J842" i="4"/>
  <c r="J825" i="4"/>
  <c r="L808" i="4"/>
  <c r="L790" i="4"/>
  <c r="O790" i="4" s="1"/>
  <c r="J791" i="4"/>
  <c r="L773" i="4"/>
  <c r="O773" i="4" s="1"/>
  <c r="K775" i="4"/>
  <c r="J774" i="4"/>
  <c r="J758" i="4"/>
  <c r="L757" i="4"/>
  <c r="O757" i="4" s="1"/>
  <c r="K758" i="4"/>
  <c r="T500" i="4"/>
  <c r="T499" i="4"/>
  <c r="T498" i="4"/>
  <c r="T496" i="4"/>
  <c r="T495" i="4"/>
  <c r="T494" i="4"/>
  <c r="T493" i="4"/>
  <c r="T492" i="4"/>
  <c r="T491" i="4"/>
  <c r="T490" i="4"/>
  <c r="T489" i="4"/>
  <c r="T488" i="4"/>
  <c r="T487" i="4"/>
  <c r="T486" i="4"/>
  <c r="T485" i="4"/>
  <c r="O484" i="4"/>
  <c r="T483" i="4"/>
  <c r="T482" i="4"/>
  <c r="T481" i="4"/>
  <c r="T479" i="4"/>
  <c r="T478" i="4"/>
  <c r="T477" i="4"/>
  <c r="T476" i="4"/>
  <c r="T475" i="4"/>
  <c r="T474" i="4"/>
  <c r="T473" i="4"/>
  <c r="T472" i="4"/>
  <c r="T471" i="4"/>
  <c r="T470" i="4"/>
  <c r="T469" i="4"/>
  <c r="T468" i="4"/>
  <c r="O467" i="4"/>
  <c r="T466" i="4"/>
  <c r="T465" i="4"/>
  <c r="T464" i="4"/>
  <c r="T462" i="4"/>
  <c r="T461" i="4"/>
  <c r="T460" i="4"/>
  <c r="T459" i="4"/>
  <c r="T458" i="4"/>
  <c r="T457" i="4"/>
  <c r="T456" i="4"/>
  <c r="T455" i="4"/>
  <c r="T454" i="4"/>
  <c r="T453" i="4"/>
  <c r="T452" i="4"/>
  <c r="T451" i="4"/>
  <c r="T435" i="4"/>
  <c r="T436" i="4"/>
  <c r="T437" i="4"/>
  <c r="T438" i="4"/>
  <c r="T439" i="4"/>
  <c r="T440" i="4"/>
  <c r="T441" i="4"/>
  <c r="T442" i="4"/>
  <c r="T443" i="4"/>
  <c r="T444" i="4"/>
  <c r="T445" i="4"/>
  <c r="T447" i="4"/>
  <c r="T448" i="4"/>
  <c r="T449" i="4"/>
  <c r="T434" i="4"/>
  <c r="O450" i="4"/>
  <c r="T432" i="4"/>
  <c r="T417" i="4"/>
  <c r="T418" i="4"/>
  <c r="T419" i="4"/>
  <c r="T420" i="4"/>
  <c r="T421" i="4"/>
  <c r="T422" i="4"/>
  <c r="T423" i="4"/>
  <c r="T424" i="4"/>
  <c r="T425" i="4"/>
  <c r="T426" i="4"/>
  <c r="T427" i="4"/>
  <c r="T428" i="4"/>
  <c r="T430" i="4"/>
  <c r="T431" i="4"/>
  <c r="O433" i="4"/>
  <c r="S420" i="4"/>
  <c r="S421" i="4"/>
  <c r="S422" i="4"/>
  <c r="S423" i="4"/>
  <c r="S424" i="4"/>
  <c r="S425" i="4"/>
  <c r="S426" i="4"/>
  <c r="S427" i="4"/>
  <c r="S428" i="4"/>
  <c r="S429" i="4"/>
  <c r="S430" i="4"/>
  <c r="S431" i="4"/>
  <c r="S432" i="4"/>
  <c r="S418" i="4"/>
  <c r="S419" i="4"/>
  <c r="S417" i="4"/>
  <c r="S342" i="4"/>
  <c r="S343" i="4"/>
  <c r="S344" i="4"/>
  <c r="S345" i="4"/>
  <c r="S346" i="4"/>
  <c r="S347" i="4"/>
  <c r="S348" i="4"/>
  <c r="S349" i="4"/>
  <c r="S350" i="4"/>
  <c r="S351" i="4"/>
  <c r="S352" i="4"/>
  <c r="S353" i="4"/>
  <c r="S354" i="4"/>
  <c r="S340" i="4"/>
  <c r="S341" i="4"/>
  <c r="S309" i="4"/>
  <c r="S310" i="4"/>
  <c r="S311" i="4"/>
  <c r="S312" i="4"/>
  <c r="S313" i="4"/>
  <c r="S314" i="4"/>
  <c r="S315" i="4"/>
  <c r="S316" i="4"/>
  <c r="S317" i="4"/>
  <c r="S318" i="4"/>
  <c r="S321" i="4"/>
  <c r="S322" i="4"/>
  <c r="S323" i="4"/>
  <c r="S169" i="4"/>
  <c r="S170" i="4"/>
  <c r="S171" i="4"/>
  <c r="S156" i="4"/>
  <c r="S157" i="4"/>
  <c r="S158" i="4"/>
  <c r="S159" i="4"/>
  <c r="S160" i="4"/>
  <c r="S161" i="4"/>
  <c r="S162" i="4"/>
  <c r="S163" i="4"/>
  <c r="S164" i="4"/>
  <c r="S165" i="4"/>
  <c r="S166" i="4"/>
  <c r="S167" i="4"/>
  <c r="S168" i="4"/>
  <c r="B1987" i="4" l="1"/>
  <c r="V1986" i="4"/>
  <c r="J911" i="4"/>
  <c r="J912" i="4" s="1"/>
  <c r="J860" i="4"/>
  <c r="J809" i="4"/>
  <c r="J979" i="4"/>
  <c r="J894" i="4"/>
  <c r="J997" i="4"/>
  <c r="K826" i="4"/>
  <c r="J928" i="4"/>
  <c r="O1029" i="4"/>
  <c r="L1030" i="4"/>
  <c r="J1031" i="4"/>
  <c r="J1015" i="4"/>
  <c r="L1013" i="4"/>
  <c r="O1013" i="4" s="1"/>
  <c r="L997" i="4"/>
  <c r="O997" i="4" s="1"/>
  <c r="L978" i="4"/>
  <c r="O978" i="4" s="1"/>
  <c r="L961" i="4"/>
  <c r="O961" i="4" s="1"/>
  <c r="J963" i="4"/>
  <c r="L944" i="4"/>
  <c r="O944" i="4" s="1"/>
  <c r="J946" i="4"/>
  <c r="L927" i="4"/>
  <c r="O927" i="4" s="1"/>
  <c r="L912" i="4"/>
  <c r="O912" i="4" s="1"/>
  <c r="L893" i="4"/>
  <c r="O893" i="4" s="1"/>
  <c r="J878" i="4"/>
  <c r="L876" i="4"/>
  <c r="O876" i="4" s="1"/>
  <c r="L859" i="4"/>
  <c r="O859" i="4" s="1"/>
  <c r="J843" i="4"/>
  <c r="J826" i="4"/>
  <c r="L809" i="4"/>
  <c r="J792" i="4"/>
  <c r="L791" i="4"/>
  <c r="O791" i="4" s="1"/>
  <c r="K776" i="4"/>
  <c r="L774" i="4"/>
  <c r="O774" i="4" s="1"/>
  <c r="J775" i="4"/>
  <c r="K759" i="4"/>
  <c r="L758" i="4"/>
  <c r="O758" i="4" s="1"/>
  <c r="J759" i="4"/>
  <c r="S325" i="4"/>
  <c r="S326" i="4"/>
  <c r="S327" i="4"/>
  <c r="S328" i="4"/>
  <c r="S331" i="4"/>
  <c r="S332" i="4"/>
  <c r="S333" i="4"/>
  <c r="S334" i="4"/>
  <c r="S330" i="4"/>
  <c r="S329" i="4"/>
  <c r="S275" i="4"/>
  <c r="S276" i="4"/>
  <c r="S277" i="4"/>
  <c r="S278" i="4"/>
  <c r="S279" i="4"/>
  <c r="S280" i="4"/>
  <c r="S281" i="4"/>
  <c r="S282" i="4"/>
  <c r="S283" i="4"/>
  <c r="S284" i="4"/>
  <c r="S269" i="4"/>
  <c r="S270" i="4"/>
  <c r="S271" i="4"/>
  <c r="S272" i="4"/>
  <c r="S274" i="4"/>
  <c r="S273" i="4"/>
  <c r="Q240" i="4"/>
  <c r="K240" i="4"/>
  <c r="L240" i="4"/>
  <c r="O240" i="4" s="1"/>
  <c r="M240" i="4"/>
  <c r="N240" i="4"/>
  <c r="J240" i="4"/>
  <c r="B1988" i="4" l="1"/>
  <c r="V1987" i="4"/>
  <c r="J861" i="4"/>
  <c r="J862" i="4" s="1"/>
  <c r="J810" i="4"/>
  <c r="J811" i="4" s="1"/>
  <c r="J980" i="4"/>
  <c r="J981" i="4" s="1"/>
  <c r="J998" i="4"/>
  <c r="J895" i="4"/>
  <c r="K827" i="4"/>
  <c r="J929" i="4"/>
  <c r="J930" i="4" s="1"/>
  <c r="L1031" i="4"/>
  <c r="O1030" i="4"/>
  <c r="J1032" i="4"/>
  <c r="L1014" i="4"/>
  <c r="O1014" i="4" s="1"/>
  <c r="J1016" i="4"/>
  <c r="L998" i="4"/>
  <c r="O998" i="4" s="1"/>
  <c r="L979" i="4"/>
  <c r="O979" i="4" s="1"/>
  <c r="J964" i="4"/>
  <c r="L962" i="4"/>
  <c r="O962" i="4" s="1"/>
  <c r="J947" i="4"/>
  <c r="L945" i="4"/>
  <c r="O945" i="4" s="1"/>
  <c r="L928" i="4"/>
  <c r="O928" i="4" s="1"/>
  <c r="J913" i="4"/>
  <c r="L913" i="4"/>
  <c r="O913" i="4" s="1"/>
  <c r="L894" i="4"/>
  <c r="O894" i="4" s="1"/>
  <c r="J879" i="4"/>
  <c r="L877" i="4"/>
  <c r="O877" i="4" s="1"/>
  <c r="L860" i="4"/>
  <c r="O860" i="4" s="1"/>
  <c r="J844" i="4"/>
  <c r="J827" i="4"/>
  <c r="L810" i="4"/>
  <c r="J793" i="4"/>
  <c r="L792" i="4"/>
  <c r="O792" i="4" s="1"/>
  <c r="L775" i="4"/>
  <c r="O775" i="4" s="1"/>
  <c r="J776" i="4"/>
  <c r="K777" i="4"/>
  <c r="J760" i="4"/>
  <c r="K760" i="4"/>
  <c r="L759" i="4"/>
  <c r="O759" i="4" s="1"/>
  <c r="S254" i="4"/>
  <c r="S255" i="4"/>
  <c r="S256" i="4"/>
  <c r="S257" i="4"/>
  <c r="S258" i="4"/>
  <c r="S259" i="4"/>
  <c r="S260" i="4"/>
  <c r="S261" i="4"/>
  <c r="S262" i="4"/>
  <c r="S263" i="4"/>
  <c r="S264" i="4"/>
  <c r="S265" i="4"/>
  <c r="S266" i="4"/>
  <c r="S267" i="4"/>
  <c r="S253" i="4"/>
  <c r="S252" i="4"/>
  <c r="S240" i="4"/>
  <c r="S241" i="4"/>
  <c r="S242" i="4"/>
  <c r="S243" i="4"/>
  <c r="S249" i="4"/>
  <c r="B1989" i="4" l="1"/>
  <c r="V1988" i="4"/>
  <c r="K828" i="4"/>
  <c r="K829" i="4" s="1"/>
  <c r="J999" i="4"/>
  <c r="J1000" i="4" s="1"/>
  <c r="J896" i="4"/>
  <c r="J897" i="4" s="1"/>
  <c r="O1031" i="4"/>
  <c r="L1032" i="4"/>
  <c r="J1033" i="4"/>
  <c r="J1017" i="4"/>
  <c r="L1015" i="4"/>
  <c r="O1015" i="4" s="1"/>
  <c r="L999" i="4"/>
  <c r="O999" i="4" s="1"/>
  <c r="J982" i="4"/>
  <c r="L980" i="4"/>
  <c r="O980" i="4" s="1"/>
  <c r="L963" i="4"/>
  <c r="O963" i="4" s="1"/>
  <c r="J965" i="4"/>
  <c r="L946" i="4"/>
  <c r="O946" i="4" s="1"/>
  <c r="J948" i="4"/>
  <c r="L929" i="4"/>
  <c r="O929" i="4" s="1"/>
  <c r="J931" i="4"/>
  <c r="L914" i="4"/>
  <c r="O914" i="4" s="1"/>
  <c r="J914" i="4"/>
  <c r="L895" i="4"/>
  <c r="O895" i="4" s="1"/>
  <c r="L878" i="4"/>
  <c r="O878" i="4" s="1"/>
  <c r="J880" i="4"/>
  <c r="L861" i="4"/>
  <c r="O861" i="4" s="1"/>
  <c r="J863" i="4"/>
  <c r="J845" i="4"/>
  <c r="J828" i="4"/>
  <c r="J812" i="4"/>
  <c r="L811" i="4"/>
  <c r="L793" i="4"/>
  <c r="O793" i="4" s="1"/>
  <c r="J794" i="4"/>
  <c r="L776" i="4"/>
  <c r="O776" i="4" s="1"/>
  <c r="K778" i="4"/>
  <c r="J777" i="4"/>
  <c r="L760" i="4"/>
  <c r="O760" i="4" s="1"/>
  <c r="K761" i="4"/>
  <c r="J761" i="4"/>
  <c r="O416" i="4"/>
  <c r="O415" i="4"/>
  <c r="O414" i="4"/>
  <c r="O413" i="4"/>
  <c r="O412" i="4"/>
  <c r="O411" i="4"/>
  <c r="O393" i="4"/>
  <c r="O376" i="4"/>
  <c r="B1990" i="4" l="1"/>
  <c r="V1989" i="4"/>
  <c r="J1034" i="4"/>
  <c r="L1033" i="4"/>
  <c r="O1032" i="4"/>
  <c r="L1016" i="4"/>
  <c r="O1016" i="4" s="1"/>
  <c r="J1018" i="4"/>
  <c r="J1001" i="4"/>
  <c r="L1000" i="4"/>
  <c r="O1000" i="4" s="1"/>
  <c r="L981" i="4"/>
  <c r="O981" i="4" s="1"/>
  <c r="J983" i="4"/>
  <c r="J966" i="4"/>
  <c r="L964" i="4"/>
  <c r="O964" i="4" s="1"/>
  <c r="J949" i="4"/>
  <c r="L947" i="4"/>
  <c r="O947" i="4" s="1"/>
  <c r="J932" i="4"/>
  <c r="L930" i="4"/>
  <c r="O930" i="4" s="1"/>
  <c r="L915" i="4"/>
  <c r="O915" i="4" s="1"/>
  <c r="J915" i="4"/>
  <c r="L896" i="4"/>
  <c r="O896" i="4" s="1"/>
  <c r="J898" i="4"/>
  <c r="L879" i="4"/>
  <c r="O879" i="4" s="1"/>
  <c r="J881" i="4"/>
  <c r="L862" i="4"/>
  <c r="O862" i="4" s="1"/>
  <c r="J864" i="4"/>
  <c r="J846" i="4"/>
  <c r="J829" i="4"/>
  <c r="K830" i="4"/>
  <c r="L812" i="4"/>
  <c r="J813" i="4"/>
  <c r="L794" i="4"/>
  <c r="O794" i="4" s="1"/>
  <c r="J795" i="4"/>
  <c r="J778" i="4"/>
  <c r="L777" i="4"/>
  <c r="O777" i="4" s="1"/>
  <c r="K779" i="4"/>
  <c r="J762" i="4"/>
  <c r="K762" i="4"/>
  <c r="L761" i="4"/>
  <c r="O761" i="4" s="1"/>
  <c r="J377" i="4"/>
  <c r="M377" i="4"/>
  <c r="M378" i="4" s="1"/>
  <c r="M379" i="4" s="1"/>
  <c r="M380" i="4" s="1"/>
  <c r="M381" i="4" s="1"/>
  <c r="M382" i="4" s="1"/>
  <c r="M383" i="4" s="1"/>
  <c r="M384" i="4" s="1"/>
  <c r="M385" i="4" s="1"/>
  <c r="M386" i="4" s="1"/>
  <c r="M387" i="4" s="1"/>
  <c r="M388" i="4" s="1"/>
  <c r="M389" i="4" s="1"/>
  <c r="M390" i="4" s="1"/>
  <c r="M391" i="4" s="1"/>
  <c r="M392" i="4" s="1"/>
  <c r="M394" i="4" s="1"/>
  <c r="M395" i="4" s="1"/>
  <c r="M396" i="4" s="1"/>
  <c r="M397" i="4" s="1"/>
  <c r="M398" i="4" s="1"/>
  <c r="M399" i="4" s="1"/>
  <c r="M400" i="4" s="1"/>
  <c r="M401" i="4" s="1"/>
  <c r="M402" i="4" s="1"/>
  <c r="M403" i="4" s="1"/>
  <c r="M404" i="4" s="1"/>
  <c r="M405" i="4" s="1"/>
  <c r="M406" i="4" s="1"/>
  <c r="M407" i="4" s="1"/>
  <c r="M408" i="4" s="1"/>
  <c r="M409" i="4" s="1"/>
  <c r="M417" i="4" s="1"/>
  <c r="M418" i="4" s="1"/>
  <c r="M419" i="4" s="1"/>
  <c r="M420" i="4" s="1"/>
  <c r="M421" i="4" s="1"/>
  <c r="M422" i="4" s="1"/>
  <c r="M423" i="4" s="1"/>
  <c r="M424" i="4" s="1"/>
  <c r="M425" i="4" s="1"/>
  <c r="M426" i="4" s="1"/>
  <c r="M427" i="4" s="1"/>
  <c r="M428" i="4" s="1"/>
  <c r="M429" i="4" s="1"/>
  <c r="M430" i="4" s="1"/>
  <c r="M431" i="4" s="1"/>
  <c r="M432" i="4" s="1"/>
  <c r="M434" i="4" s="1"/>
  <c r="M435" i="4" s="1"/>
  <c r="M436" i="4" s="1"/>
  <c r="M437" i="4" s="1"/>
  <c r="M438" i="4" s="1"/>
  <c r="M439" i="4" s="1"/>
  <c r="M440" i="4" s="1"/>
  <c r="M441" i="4" s="1"/>
  <c r="M442" i="4" s="1"/>
  <c r="M443" i="4" s="1"/>
  <c r="M444" i="4" s="1"/>
  <c r="M445" i="4" s="1"/>
  <c r="M446" i="4" s="1"/>
  <c r="M447" i="4" s="1"/>
  <c r="M448" i="4" s="1"/>
  <c r="M449" i="4" s="1"/>
  <c r="M451" i="4" s="1"/>
  <c r="M452" i="4" s="1"/>
  <c r="M453" i="4" s="1"/>
  <c r="M454" i="4" s="1"/>
  <c r="M455" i="4" s="1"/>
  <c r="M456" i="4" s="1"/>
  <c r="M457" i="4" s="1"/>
  <c r="M458" i="4" s="1"/>
  <c r="M459" i="4" s="1"/>
  <c r="M460" i="4" s="1"/>
  <c r="M461" i="4" s="1"/>
  <c r="M462" i="4" s="1"/>
  <c r="M463" i="4" s="1"/>
  <c r="M464" i="4" s="1"/>
  <c r="M465" i="4" s="1"/>
  <c r="M466" i="4" s="1"/>
  <c r="M468" i="4" s="1"/>
  <c r="M469" i="4" s="1"/>
  <c r="M470" i="4" s="1"/>
  <c r="M471" i="4" s="1"/>
  <c r="M472" i="4" s="1"/>
  <c r="M473" i="4" s="1"/>
  <c r="M474" i="4" s="1"/>
  <c r="M475" i="4" s="1"/>
  <c r="M476" i="4" s="1"/>
  <c r="M477" i="4" s="1"/>
  <c r="M478" i="4" s="1"/>
  <c r="M479" i="4" s="1"/>
  <c r="M480" i="4" s="1"/>
  <c r="M481" i="4" s="1"/>
  <c r="M482" i="4" s="1"/>
  <c r="M483" i="4" s="1"/>
  <c r="M485" i="4" s="1"/>
  <c r="M486" i="4" s="1"/>
  <c r="M487" i="4" s="1"/>
  <c r="M488" i="4" s="1"/>
  <c r="M489" i="4" s="1"/>
  <c r="M490" i="4" s="1"/>
  <c r="M491" i="4" s="1"/>
  <c r="M492" i="4" s="1"/>
  <c r="M493" i="4" s="1"/>
  <c r="M494" i="4" s="1"/>
  <c r="M495" i="4" s="1"/>
  <c r="M496" i="4" s="1"/>
  <c r="M497" i="4" s="1"/>
  <c r="M498" i="4" s="1"/>
  <c r="M499" i="4" s="1"/>
  <c r="M500" i="4" s="1"/>
  <c r="M502" i="4" s="1"/>
  <c r="M503" i="4" s="1"/>
  <c r="M504" i="4" s="1"/>
  <c r="M505" i="4" s="1"/>
  <c r="M506" i="4" s="1"/>
  <c r="M507" i="4" s="1"/>
  <c r="M508" i="4" s="1"/>
  <c r="M509" i="4" s="1"/>
  <c r="M510" i="4" s="1"/>
  <c r="M511" i="4" s="1"/>
  <c r="M512" i="4" s="1"/>
  <c r="M513" i="4" s="1"/>
  <c r="M514" i="4" s="1"/>
  <c r="M515" i="4" s="1"/>
  <c r="M516" i="4" s="1"/>
  <c r="M517" i="4" s="1"/>
  <c r="M519" i="4" s="1"/>
  <c r="M520" i="4" s="1"/>
  <c r="M521" i="4" s="1"/>
  <c r="M522" i="4" s="1"/>
  <c r="M523" i="4" s="1"/>
  <c r="M524" i="4" s="1"/>
  <c r="M525" i="4" s="1"/>
  <c r="M526" i="4" s="1"/>
  <c r="M527" i="4" s="1"/>
  <c r="M528" i="4" s="1"/>
  <c r="M529" i="4" s="1"/>
  <c r="M530" i="4" s="1"/>
  <c r="M531" i="4" s="1"/>
  <c r="M532" i="4" s="1"/>
  <c r="M533" i="4" s="1"/>
  <c r="M534" i="4" s="1"/>
  <c r="M540" i="4" s="1"/>
  <c r="M541" i="4" s="1"/>
  <c r="M542" i="4" s="1"/>
  <c r="M543" i="4" s="1"/>
  <c r="M544" i="4" s="1"/>
  <c r="M545" i="4" s="1"/>
  <c r="M546" i="4" s="1"/>
  <c r="M547" i="4" s="1"/>
  <c r="M548" i="4" s="1"/>
  <c r="M549" i="4" s="1"/>
  <c r="M550" i="4" s="1"/>
  <c r="M551" i="4" s="1"/>
  <c r="M552" i="4" s="1"/>
  <c r="M553" i="4" s="1"/>
  <c r="M554" i="4" s="1"/>
  <c r="M555" i="4" s="1"/>
  <c r="M557" i="4" s="1"/>
  <c r="M558" i="4" s="1"/>
  <c r="M559" i="4" s="1"/>
  <c r="M560" i="4" s="1"/>
  <c r="M561" i="4" s="1"/>
  <c r="M562" i="4" s="1"/>
  <c r="M563" i="4" s="1"/>
  <c r="M564" i="4" s="1"/>
  <c r="M565" i="4" s="1"/>
  <c r="M566" i="4" s="1"/>
  <c r="M567" i="4" s="1"/>
  <c r="M568" i="4" s="1"/>
  <c r="M569" i="4" s="1"/>
  <c r="M570" i="4" s="1"/>
  <c r="M571" i="4" s="1"/>
  <c r="M572" i="4" s="1"/>
  <c r="M574" i="4" s="1"/>
  <c r="M575" i="4" s="1"/>
  <c r="M576" i="4" s="1"/>
  <c r="M577" i="4" s="1"/>
  <c r="M578" i="4" s="1"/>
  <c r="M579" i="4" s="1"/>
  <c r="M580" i="4" s="1"/>
  <c r="M581" i="4" s="1"/>
  <c r="M582" i="4" s="1"/>
  <c r="M583" i="4" s="1"/>
  <c r="M584" i="4" s="1"/>
  <c r="M585" i="4" s="1"/>
  <c r="M586" i="4" s="1"/>
  <c r="M587" i="4" s="1"/>
  <c r="M588" i="4" s="1"/>
  <c r="M589" i="4" s="1"/>
  <c r="M591" i="4" s="1"/>
  <c r="M592" i="4" s="1"/>
  <c r="M593" i="4" s="1"/>
  <c r="M594" i="4" s="1"/>
  <c r="M595" i="4" s="1"/>
  <c r="M596" i="4" s="1"/>
  <c r="M597" i="4" s="1"/>
  <c r="M598" i="4" s="1"/>
  <c r="M599" i="4" s="1"/>
  <c r="M600" i="4" s="1"/>
  <c r="M601" i="4" s="1"/>
  <c r="M602" i="4" s="1"/>
  <c r="M603" i="4" s="1"/>
  <c r="M604" i="4" s="1"/>
  <c r="M605" i="4" s="1"/>
  <c r="M606" i="4" s="1"/>
  <c r="M608" i="4" s="1"/>
  <c r="M609" i="4" s="1"/>
  <c r="M610" i="4" s="1"/>
  <c r="M611" i="4" s="1"/>
  <c r="M612" i="4" s="1"/>
  <c r="M613" i="4" s="1"/>
  <c r="M614" i="4" s="1"/>
  <c r="M615" i="4" s="1"/>
  <c r="M616" i="4" s="1"/>
  <c r="M617" i="4" s="1"/>
  <c r="M618" i="4" s="1"/>
  <c r="M619" i="4" s="1"/>
  <c r="M620" i="4" s="1"/>
  <c r="M621" i="4" s="1"/>
  <c r="M622" i="4" s="1"/>
  <c r="M623" i="4" s="1"/>
  <c r="M625" i="4" s="1"/>
  <c r="M626" i="4" s="1"/>
  <c r="M627" i="4" s="1"/>
  <c r="M628" i="4" s="1"/>
  <c r="M629" i="4" s="1"/>
  <c r="M630" i="4" s="1"/>
  <c r="M631" i="4" s="1"/>
  <c r="M632" i="4" s="1"/>
  <c r="M633" i="4" s="1"/>
  <c r="M634" i="4" s="1"/>
  <c r="M635" i="4" s="1"/>
  <c r="M636" i="4" s="1"/>
  <c r="M637" i="4" s="1"/>
  <c r="M638" i="4" s="1"/>
  <c r="M639" i="4" s="1"/>
  <c r="M640" i="4" s="1"/>
  <c r="M643" i="4" s="1"/>
  <c r="M644" i="4" s="1"/>
  <c r="M645" i="4" s="1"/>
  <c r="M646" i="4" s="1"/>
  <c r="M647" i="4" s="1"/>
  <c r="M648" i="4" s="1"/>
  <c r="M649" i="4" s="1"/>
  <c r="M650" i="4" s="1"/>
  <c r="M651" i="4" s="1"/>
  <c r="M652" i="4" s="1"/>
  <c r="M653" i="4" s="1"/>
  <c r="M654" i="4" s="1"/>
  <c r="M655" i="4" s="1"/>
  <c r="M656" i="4" s="1"/>
  <c r="M657" i="4" s="1"/>
  <c r="M658" i="4" s="1"/>
  <c r="M660" i="4" s="1"/>
  <c r="M661" i="4" s="1"/>
  <c r="M662" i="4" s="1"/>
  <c r="M663" i="4" s="1"/>
  <c r="M664" i="4" s="1"/>
  <c r="M665" i="4" s="1"/>
  <c r="M666" i="4" s="1"/>
  <c r="M667" i="4" s="1"/>
  <c r="M668" i="4" s="1"/>
  <c r="M669" i="4" s="1"/>
  <c r="M670" i="4" s="1"/>
  <c r="M671" i="4" s="1"/>
  <c r="M672" i="4" s="1"/>
  <c r="M673" i="4" s="1"/>
  <c r="M674" i="4" s="1"/>
  <c r="M675" i="4" s="1"/>
  <c r="M677" i="4" s="1"/>
  <c r="M678" i="4" s="1"/>
  <c r="M679" i="4" s="1"/>
  <c r="M680" i="4" s="1"/>
  <c r="M681" i="4" s="1"/>
  <c r="M682" i="4" s="1"/>
  <c r="M683" i="4" s="1"/>
  <c r="M684" i="4" s="1"/>
  <c r="M685" i="4" s="1"/>
  <c r="M686" i="4" s="1"/>
  <c r="M687" i="4" s="1"/>
  <c r="M688" i="4" s="1"/>
  <c r="M689" i="4" s="1"/>
  <c r="M690" i="4" s="1"/>
  <c r="M691" i="4" s="1"/>
  <c r="M692" i="4" s="1"/>
  <c r="M699" i="4" s="1"/>
  <c r="M700" i="4" s="1"/>
  <c r="M701" i="4" s="1"/>
  <c r="M702" i="4" s="1"/>
  <c r="M703" i="4" s="1"/>
  <c r="M704" i="4" s="1"/>
  <c r="M705" i="4" s="1"/>
  <c r="M706" i="4" s="1"/>
  <c r="M707" i="4" s="1"/>
  <c r="M708" i="4" s="1"/>
  <c r="M709" i="4" s="1"/>
  <c r="M710" i="4" s="1"/>
  <c r="M711" i="4" s="1"/>
  <c r="M712" i="4" s="1"/>
  <c r="M713" i="4" s="1"/>
  <c r="M714" i="4" s="1"/>
  <c r="M717" i="4" s="1"/>
  <c r="M718" i="4" s="1"/>
  <c r="M719" i="4" s="1"/>
  <c r="M720" i="4" s="1"/>
  <c r="M721" i="4" s="1"/>
  <c r="M722" i="4" s="1"/>
  <c r="M723" i="4" s="1"/>
  <c r="M724" i="4" s="1"/>
  <c r="M725" i="4" s="1"/>
  <c r="M726" i="4" s="1"/>
  <c r="M727" i="4" s="1"/>
  <c r="M728" i="4" s="1"/>
  <c r="M729" i="4" s="1"/>
  <c r="M730" i="4" s="1"/>
  <c r="M731" i="4" s="1"/>
  <c r="M732" i="4" s="1"/>
  <c r="M735" i="4" s="1"/>
  <c r="M736" i="4" s="1"/>
  <c r="M737" i="4" s="1"/>
  <c r="M738" i="4" s="1"/>
  <c r="M739" i="4" s="1"/>
  <c r="M740" i="4" s="1"/>
  <c r="M741" i="4" s="1"/>
  <c r="M742" i="4" s="1"/>
  <c r="M743" i="4" s="1"/>
  <c r="M744" i="4" s="1"/>
  <c r="M745" i="4" s="1"/>
  <c r="M746" i="4" s="1"/>
  <c r="M747" i="4" s="1"/>
  <c r="M748" i="4" s="1"/>
  <c r="M749" i="4" s="1"/>
  <c r="M750" i="4" s="1"/>
  <c r="N377" i="4"/>
  <c r="N378" i="4" s="1"/>
  <c r="N379" i="4" s="1"/>
  <c r="N380" i="4" s="1"/>
  <c r="N381" i="4" s="1"/>
  <c r="N382" i="4" s="1"/>
  <c r="N383" i="4" s="1"/>
  <c r="N384" i="4" s="1"/>
  <c r="N385" i="4" s="1"/>
  <c r="N386" i="4" s="1"/>
  <c r="N387" i="4" s="1"/>
  <c r="N388" i="4" s="1"/>
  <c r="N389" i="4" s="1"/>
  <c r="N390" i="4" s="1"/>
  <c r="N391" i="4" s="1"/>
  <c r="N392" i="4" s="1"/>
  <c r="N394" i="4" s="1"/>
  <c r="N395" i="4" s="1"/>
  <c r="N396" i="4" s="1"/>
  <c r="N397" i="4" s="1"/>
  <c r="N398" i="4" s="1"/>
  <c r="N399" i="4" s="1"/>
  <c r="N400" i="4" s="1"/>
  <c r="N401" i="4" s="1"/>
  <c r="N402" i="4" s="1"/>
  <c r="N403" i="4" s="1"/>
  <c r="N404" i="4" s="1"/>
  <c r="N405" i="4" s="1"/>
  <c r="N406" i="4" s="1"/>
  <c r="N407" i="4" s="1"/>
  <c r="N408" i="4" s="1"/>
  <c r="N409" i="4" s="1"/>
  <c r="N417" i="4" s="1"/>
  <c r="N418" i="4" s="1"/>
  <c r="N419" i="4" s="1"/>
  <c r="N420" i="4" s="1"/>
  <c r="N421" i="4" s="1"/>
  <c r="N422" i="4" s="1"/>
  <c r="N423" i="4" s="1"/>
  <c r="N424" i="4" s="1"/>
  <c r="N425" i="4" s="1"/>
  <c r="N426" i="4" s="1"/>
  <c r="N427" i="4" s="1"/>
  <c r="N428" i="4" s="1"/>
  <c r="N429" i="4" s="1"/>
  <c r="N430" i="4" s="1"/>
  <c r="N431" i="4" s="1"/>
  <c r="N432" i="4" s="1"/>
  <c r="N434" i="4" s="1"/>
  <c r="N435" i="4" s="1"/>
  <c r="N436" i="4" s="1"/>
  <c r="N437" i="4" s="1"/>
  <c r="N438" i="4" s="1"/>
  <c r="N439" i="4" s="1"/>
  <c r="N440" i="4" s="1"/>
  <c r="N441" i="4" s="1"/>
  <c r="N442" i="4" s="1"/>
  <c r="N443" i="4" s="1"/>
  <c r="N444" i="4" s="1"/>
  <c r="N445" i="4" s="1"/>
  <c r="N446" i="4" s="1"/>
  <c r="N447" i="4" s="1"/>
  <c r="N448" i="4" s="1"/>
  <c r="N449" i="4" s="1"/>
  <c r="N451" i="4" s="1"/>
  <c r="N452" i="4" s="1"/>
  <c r="N453" i="4" s="1"/>
  <c r="N454" i="4" s="1"/>
  <c r="N455" i="4" s="1"/>
  <c r="N456" i="4" s="1"/>
  <c r="N457" i="4" s="1"/>
  <c r="N458" i="4" s="1"/>
  <c r="N459" i="4" s="1"/>
  <c r="N460" i="4" s="1"/>
  <c r="N461" i="4" s="1"/>
  <c r="N462" i="4" s="1"/>
  <c r="N463" i="4" s="1"/>
  <c r="N464" i="4" s="1"/>
  <c r="N465" i="4" s="1"/>
  <c r="N466" i="4" s="1"/>
  <c r="N468" i="4" s="1"/>
  <c r="N469" i="4" s="1"/>
  <c r="N470" i="4" s="1"/>
  <c r="N471" i="4" s="1"/>
  <c r="N472" i="4" s="1"/>
  <c r="N473" i="4" s="1"/>
  <c r="N474" i="4" s="1"/>
  <c r="N475" i="4" s="1"/>
  <c r="N476" i="4" s="1"/>
  <c r="N477" i="4" s="1"/>
  <c r="N478" i="4" s="1"/>
  <c r="N479" i="4" s="1"/>
  <c r="N480" i="4" s="1"/>
  <c r="N481" i="4" s="1"/>
  <c r="N482" i="4" s="1"/>
  <c r="N483" i="4" s="1"/>
  <c r="N485" i="4" s="1"/>
  <c r="N486" i="4" s="1"/>
  <c r="N487" i="4" s="1"/>
  <c r="N488" i="4" s="1"/>
  <c r="N489" i="4" s="1"/>
  <c r="N490" i="4" s="1"/>
  <c r="N491" i="4" s="1"/>
  <c r="N492" i="4" s="1"/>
  <c r="N493" i="4" s="1"/>
  <c r="N494" i="4" s="1"/>
  <c r="N495" i="4" s="1"/>
  <c r="N496" i="4" s="1"/>
  <c r="N497" i="4" s="1"/>
  <c r="N498" i="4" s="1"/>
  <c r="N499" i="4" s="1"/>
  <c r="N500" i="4" s="1"/>
  <c r="N502" i="4" s="1"/>
  <c r="N503" i="4" s="1"/>
  <c r="N504" i="4" s="1"/>
  <c r="N505" i="4" s="1"/>
  <c r="N506" i="4" s="1"/>
  <c r="N507" i="4" s="1"/>
  <c r="N508" i="4" s="1"/>
  <c r="N509" i="4" s="1"/>
  <c r="N510" i="4" s="1"/>
  <c r="N511" i="4" s="1"/>
  <c r="N512" i="4" s="1"/>
  <c r="N513" i="4" s="1"/>
  <c r="N514" i="4" s="1"/>
  <c r="N515" i="4" s="1"/>
  <c r="N516" i="4" s="1"/>
  <c r="D377" i="4"/>
  <c r="D378" i="4" s="1"/>
  <c r="D379" i="4" s="1"/>
  <c r="D380" i="4" s="1"/>
  <c r="D381" i="4" s="1"/>
  <c r="D382" i="4" s="1"/>
  <c r="D383" i="4" s="1"/>
  <c r="D384" i="4" s="1"/>
  <c r="D385" i="4" s="1"/>
  <c r="D386" i="4" s="1"/>
  <c r="D387" i="4" s="1"/>
  <c r="D388" i="4" s="1"/>
  <c r="D389" i="4" s="1"/>
  <c r="D390" i="4" s="1"/>
  <c r="D391" i="4" s="1"/>
  <c r="D392" i="4" s="1"/>
  <c r="D394" i="4" s="1"/>
  <c r="D395" i="4" s="1"/>
  <c r="D396" i="4" s="1"/>
  <c r="D397" i="4" s="1"/>
  <c r="D398" i="4" s="1"/>
  <c r="D399" i="4" s="1"/>
  <c r="D400" i="4" s="1"/>
  <c r="D401" i="4" s="1"/>
  <c r="D402" i="4" s="1"/>
  <c r="D403" i="4" s="1"/>
  <c r="D404" i="4" s="1"/>
  <c r="D405" i="4" s="1"/>
  <c r="D406" i="4" s="1"/>
  <c r="D407" i="4" s="1"/>
  <c r="D408" i="4" s="1"/>
  <c r="D409" i="4" s="1"/>
  <c r="D413" i="4" s="1"/>
  <c r="Q377" i="4"/>
  <c r="Q378" i="4" s="1"/>
  <c r="Q379" i="4" s="1"/>
  <c r="Q380" i="4" s="1"/>
  <c r="Q381" i="4" s="1"/>
  <c r="Q382" i="4" s="1"/>
  <c r="Q383" i="4" s="1"/>
  <c r="Q384" i="4" s="1"/>
  <c r="Q385" i="4" s="1"/>
  <c r="Q386" i="4" s="1"/>
  <c r="Q387" i="4" s="1"/>
  <c r="Q388" i="4" s="1"/>
  <c r="Q389" i="4" s="1"/>
  <c r="Q390" i="4" s="1"/>
  <c r="Q391" i="4" s="1"/>
  <c r="Q392" i="4" s="1"/>
  <c r="Q394" i="4" s="1"/>
  <c r="Q395" i="4" s="1"/>
  <c r="Q396" i="4" s="1"/>
  <c r="Q397" i="4" s="1"/>
  <c r="Q398" i="4" s="1"/>
  <c r="Q399" i="4" s="1"/>
  <c r="Q400" i="4" s="1"/>
  <c r="Q401" i="4" s="1"/>
  <c r="Q402" i="4" s="1"/>
  <c r="Q403" i="4" s="1"/>
  <c r="Q404" i="4" s="1"/>
  <c r="Q405" i="4" s="1"/>
  <c r="Q406" i="4" s="1"/>
  <c r="Q407" i="4" s="1"/>
  <c r="Q408" i="4" s="1"/>
  <c r="Q409" i="4" s="1"/>
  <c r="Q417" i="4" s="1"/>
  <c r="Q418" i="4" s="1"/>
  <c r="Q419" i="4" s="1"/>
  <c r="Q420" i="4" s="1"/>
  <c r="Q421" i="4" s="1"/>
  <c r="Q422" i="4" s="1"/>
  <c r="Q423" i="4" s="1"/>
  <c r="Q424" i="4" s="1"/>
  <c r="Q425" i="4" s="1"/>
  <c r="Q426" i="4" s="1"/>
  <c r="Q427" i="4" s="1"/>
  <c r="Q428" i="4" s="1"/>
  <c r="Q429" i="4" s="1"/>
  <c r="Q430" i="4" s="1"/>
  <c r="Q431" i="4" s="1"/>
  <c r="Q432" i="4" s="1"/>
  <c r="Q434" i="4" s="1"/>
  <c r="Q435" i="4" s="1"/>
  <c r="Q436" i="4" s="1"/>
  <c r="Q437" i="4" s="1"/>
  <c r="Q438" i="4" s="1"/>
  <c r="Q439" i="4" s="1"/>
  <c r="Q440" i="4" s="1"/>
  <c r="Q441" i="4" s="1"/>
  <c r="Q442" i="4" s="1"/>
  <c r="Q443" i="4" s="1"/>
  <c r="Q444" i="4" s="1"/>
  <c r="Q445" i="4" s="1"/>
  <c r="Q446" i="4" s="1"/>
  <c r="Q447" i="4" s="1"/>
  <c r="Q448" i="4" s="1"/>
  <c r="Q449" i="4" s="1"/>
  <c r="Q451" i="4" s="1"/>
  <c r="Q452" i="4" s="1"/>
  <c r="Q453" i="4" s="1"/>
  <c r="Q454" i="4" s="1"/>
  <c r="Q455" i="4" s="1"/>
  <c r="Q456" i="4" s="1"/>
  <c r="Q457" i="4" s="1"/>
  <c r="Q458" i="4" s="1"/>
  <c r="Q459" i="4" s="1"/>
  <c r="Q460" i="4" s="1"/>
  <c r="Q461" i="4" s="1"/>
  <c r="Q462" i="4" s="1"/>
  <c r="Q463" i="4" s="1"/>
  <c r="Q464" i="4" s="1"/>
  <c r="Q465" i="4" s="1"/>
  <c r="Q466" i="4" s="1"/>
  <c r="Q468" i="4" s="1"/>
  <c r="Q469" i="4" s="1"/>
  <c r="Q470" i="4" s="1"/>
  <c r="Q471" i="4" s="1"/>
  <c r="Q472" i="4" s="1"/>
  <c r="Q473" i="4" s="1"/>
  <c r="Q474" i="4" s="1"/>
  <c r="Q475" i="4" s="1"/>
  <c r="Q476" i="4" s="1"/>
  <c r="Q477" i="4" s="1"/>
  <c r="Q478" i="4" s="1"/>
  <c r="Q479" i="4" s="1"/>
  <c r="Q480" i="4" s="1"/>
  <c r="Q481" i="4" s="1"/>
  <c r="Q482" i="4" s="1"/>
  <c r="Q483" i="4" s="1"/>
  <c r="Q485" i="4" s="1"/>
  <c r="Q486" i="4" s="1"/>
  <c r="Q487" i="4" s="1"/>
  <c r="Q488" i="4" s="1"/>
  <c r="Q489" i="4" s="1"/>
  <c r="Q490" i="4" s="1"/>
  <c r="Q491" i="4" s="1"/>
  <c r="Q492" i="4" s="1"/>
  <c r="Q493" i="4" s="1"/>
  <c r="Q494" i="4" s="1"/>
  <c r="Q495" i="4" s="1"/>
  <c r="Q496" i="4" s="1"/>
  <c r="Q497" i="4" s="1"/>
  <c r="Q498" i="4" s="1"/>
  <c r="Q499" i="4" s="1"/>
  <c r="Q500" i="4" s="1"/>
  <c r="Q502" i="4" s="1"/>
  <c r="Q503" i="4" s="1"/>
  <c r="Q504" i="4" s="1"/>
  <c r="Q505" i="4" s="1"/>
  <c r="Q506" i="4" s="1"/>
  <c r="Q507" i="4" s="1"/>
  <c r="Q508" i="4" s="1"/>
  <c r="Q509" i="4" s="1"/>
  <c r="Q510" i="4" s="1"/>
  <c r="Q511" i="4" s="1"/>
  <c r="Q512" i="4" s="1"/>
  <c r="Q513" i="4" s="1"/>
  <c r="Q514" i="4" s="1"/>
  <c r="Q515" i="4" s="1"/>
  <c r="Q516" i="4" s="1"/>
  <c r="Q517" i="4" s="1"/>
  <c r="Q519" i="4" s="1"/>
  <c r="Q520" i="4" s="1"/>
  <c r="Q521" i="4" s="1"/>
  <c r="Q522" i="4" s="1"/>
  <c r="Q523" i="4" s="1"/>
  <c r="Q524" i="4" s="1"/>
  <c r="Q525" i="4" s="1"/>
  <c r="Q526" i="4" s="1"/>
  <c r="Q527" i="4" s="1"/>
  <c r="Q528" i="4" s="1"/>
  <c r="Q529" i="4" s="1"/>
  <c r="Q530" i="4" s="1"/>
  <c r="Q531" i="4" s="1"/>
  <c r="Q532" i="4" s="1"/>
  <c r="Q533" i="4" s="1"/>
  <c r="Q534" i="4" s="1"/>
  <c r="Q540" i="4" s="1"/>
  <c r="Q541" i="4" s="1"/>
  <c r="Q542" i="4" s="1"/>
  <c r="Q543" i="4" s="1"/>
  <c r="Q544" i="4" s="1"/>
  <c r="Q545" i="4" s="1"/>
  <c r="Q546" i="4" s="1"/>
  <c r="Q547" i="4" s="1"/>
  <c r="Q548" i="4" s="1"/>
  <c r="Q549" i="4" s="1"/>
  <c r="Q550" i="4" s="1"/>
  <c r="Q551" i="4" s="1"/>
  <c r="Q552" i="4" s="1"/>
  <c r="Q553" i="4" s="1"/>
  <c r="Q554" i="4" s="1"/>
  <c r="Q555" i="4" s="1"/>
  <c r="Q557" i="4" s="1"/>
  <c r="Q558" i="4" s="1"/>
  <c r="Q559" i="4" s="1"/>
  <c r="Q560" i="4" s="1"/>
  <c r="Q561" i="4" s="1"/>
  <c r="Q562" i="4" s="1"/>
  <c r="Q563" i="4" s="1"/>
  <c r="Q564" i="4" s="1"/>
  <c r="Q565" i="4" s="1"/>
  <c r="Q566" i="4" s="1"/>
  <c r="Q567" i="4" s="1"/>
  <c r="Q568" i="4" s="1"/>
  <c r="Q569" i="4" s="1"/>
  <c r="Q570" i="4" s="1"/>
  <c r="Q571" i="4" s="1"/>
  <c r="Q572" i="4" s="1"/>
  <c r="Q574" i="4" s="1"/>
  <c r="Q575" i="4" s="1"/>
  <c r="Q576" i="4" s="1"/>
  <c r="Q577" i="4" s="1"/>
  <c r="Q578" i="4" s="1"/>
  <c r="Q579" i="4" s="1"/>
  <c r="Q580" i="4" s="1"/>
  <c r="Q581" i="4" s="1"/>
  <c r="Q582" i="4" s="1"/>
  <c r="Q583" i="4" s="1"/>
  <c r="Q584" i="4" s="1"/>
  <c r="Q585" i="4" s="1"/>
  <c r="Q586" i="4" s="1"/>
  <c r="Q587" i="4" s="1"/>
  <c r="Q588" i="4" s="1"/>
  <c r="Q589" i="4" s="1"/>
  <c r="Q590" i="4" s="1"/>
  <c r="Q591" i="4" s="1"/>
  <c r="Q592" i="4" s="1"/>
  <c r="Q593" i="4" s="1"/>
  <c r="Q594" i="4" s="1"/>
  <c r="Q595" i="4" s="1"/>
  <c r="Q596" i="4" s="1"/>
  <c r="Q597" i="4" s="1"/>
  <c r="Q598" i="4" s="1"/>
  <c r="Q599" i="4" s="1"/>
  <c r="Q600" i="4" s="1"/>
  <c r="Q601" i="4" s="1"/>
  <c r="Q602" i="4" s="1"/>
  <c r="Q603" i="4" s="1"/>
  <c r="Q604" i="4" s="1"/>
  <c r="Q605" i="4" s="1"/>
  <c r="Q606" i="4" s="1"/>
  <c r="Q608" i="4" s="1"/>
  <c r="Q609" i="4" s="1"/>
  <c r="Q610" i="4" s="1"/>
  <c r="Q611" i="4" s="1"/>
  <c r="Q612" i="4" s="1"/>
  <c r="Q613" i="4" s="1"/>
  <c r="Q614" i="4" s="1"/>
  <c r="Q615" i="4" s="1"/>
  <c r="Q616" i="4" s="1"/>
  <c r="Q617" i="4" s="1"/>
  <c r="Q618" i="4" s="1"/>
  <c r="Q619" i="4" s="1"/>
  <c r="Q620" i="4" s="1"/>
  <c r="Q621" i="4" s="1"/>
  <c r="Q622" i="4" s="1"/>
  <c r="Q623" i="4" s="1"/>
  <c r="Q625" i="4" s="1"/>
  <c r="Q626" i="4" s="1"/>
  <c r="Q627" i="4" s="1"/>
  <c r="Q628" i="4" s="1"/>
  <c r="Q629" i="4" s="1"/>
  <c r="Q630" i="4" s="1"/>
  <c r="Q631" i="4" s="1"/>
  <c r="Q632" i="4" s="1"/>
  <c r="Q633" i="4" s="1"/>
  <c r="Q634" i="4" s="1"/>
  <c r="Q635" i="4" s="1"/>
  <c r="Q636" i="4" s="1"/>
  <c r="Q637" i="4" s="1"/>
  <c r="Q638" i="4" s="1"/>
  <c r="Q639" i="4" s="1"/>
  <c r="Q640" i="4" s="1"/>
  <c r="Q643" i="4" s="1"/>
  <c r="Q644" i="4" s="1"/>
  <c r="Q645" i="4" s="1"/>
  <c r="Q646" i="4" s="1"/>
  <c r="Q647" i="4" s="1"/>
  <c r="Q648" i="4" s="1"/>
  <c r="Q649" i="4" s="1"/>
  <c r="Q650" i="4" s="1"/>
  <c r="Q651" i="4" s="1"/>
  <c r="Q652" i="4" s="1"/>
  <c r="Q653" i="4" s="1"/>
  <c r="Q654" i="4" s="1"/>
  <c r="Q655" i="4" s="1"/>
  <c r="Q656" i="4" s="1"/>
  <c r="Q657" i="4" s="1"/>
  <c r="Q658" i="4" s="1"/>
  <c r="Q660" i="4" s="1"/>
  <c r="Q661" i="4" s="1"/>
  <c r="Q662" i="4" s="1"/>
  <c r="Q663" i="4" s="1"/>
  <c r="Q664" i="4" s="1"/>
  <c r="Q665" i="4" s="1"/>
  <c r="Q666" i="4" s="1"/>
  <c r="Q667" i="4" s="1"/>
  <c r="Q668" i="4" s="1"/>
  <c r="Q669" i="4" s="1"/>
  <c r="Q670" i="4" s="1"/>
  <c r="Q671" i="4" s="1"/>
  <c r="Q672" i="4" s="1"/>
  <c r="Q673" i="4" s="1"/>
  <c r="Q674" i="4" s="1"/>
  <c r="Q675" i="4" s="1"/>
  <c r="Q677" i="4" s="1"/>
  <c r="Q678" i="4" s="1"/>
  <c r="Q679" i="4" s="1"/>
  <c r="Q680" i="4" s="1"/>
  <c r="Q681" i="4" s="1"/>
  <c r="Q682" i="4" s="1"/>
  <c r="Q683" i="4" s="1"/>
  <c r="Q684" i="4" s="1"/>
  <c r="Q685" i="4" s="1"/>
  <c r="Q686" i="4" s="1"/>
  <c r="Q687" i="4" s="1"/>
  <c r="Q688" i="4" s="1"/>
  <c r="Q689" i="4" s="1"/>
  <c r="Q690" i="4" s="1"/>
  <c r="Q691" i="4" s="1"/>
  <c r="Q692" i="4" s="1"/>
  <c r="Q699" i="4" s="1"/>
  <c r="Q700" i="4" s="1"/>
  <c r="Q701" i="4" s="1"/>
  <c r="Q702" i="4" s="1"/>
  <c r="Q703" i="4" s="1"/>
  <c r="Q704" i="4" s="1"/>
  <c r="Q705" i="4" s="1"/>
  <c r="Q706" i="4" s="1"/>
  <c r="Q707" i="4" s="1"/>
  <c r="Q708" i="4" s="1"/>
  <c r="Q709" i="4" s="1"/>
  <c r="Q710" i="4" s="1"/>
  <c r="Q711" i="4" s="1"/>
  <c r="Q712" i="4" s="1"/>
  <c r="Q713" i="4" s="1"/>
  <c r="Q714" i="4" s="1"/>
  <c r="Q717" i="4" s="1"/>
  <c r="Q718" i="4" s="1"/>
  <c r="Q719" i="4" s="1"/>
  <c r="Q720" i="4" s="1"/>
  <c r="Q721" i="4" s="1"/>
  <c r="Q722" i="4" s="1"/>
  <c r="Q723" i="4" s="1"/>
  <c r="Q724" i="4" s="1"/>
  <c r="Q725" i="4" s="1"/>
  <c r="Q726" i="4" s="1"/>
  <c r="Q727" i="4" s="1"/>
  <c r="Q728" i="4" s="1"/>
  <c r="Q729" i="4" s="1"/>
  <c r="Q730" i="4" s="1"/>
  <c r="Q731" i="4" s="1"/>
  <c r="Q732" i="4" s="1"/>
  <c r="Q735" i="4" s="1"/>
  <c r="Q736" i="4" s="1"/>
  <c r="Q737" i="4" s="1"/>
  <c r="Q738" i="4" s="1"/>
  <c r="Q739" i="4" s="1"/>
  <c r="Q740" i="4" s="1"/>
  <c r="Q741" i="4" s="1"/>
  <c r="Q742" i="4" s="1"/>
  <c r="Q743" i="4" s="1"/>
  <c r="Q744" i="4" s="1"/>
  <c r="Q745" i="4" s="1"/>
  <c r="Q746" i="4" s="1"/>
  <c r="Q747" i="4" s="1"/>
  <c r="Q748" i="4" s="1"/>
  <c r="Q749" i="4" s="1"/>
  <c r="Q750" i="4" s="1"/>
  <c r="O374" i="4"/>
  <c r="O373" i="4"/>
  <c r="O372" i="4"/>
  <c r="O63" i="4"/>
  <c r="S65" i="4"/>
  <c r="S64" i="4"/>
  <c r="S67" i="4"/>
  <c r="S66" i="4"/>
  <c r="S68" i="4"/>
  <c r="S69" i="4"/>
  <c r="S70" i="4"/>
  <c r="S71" i="4"/>
  <c r="S72" i="4"/>
  <c r="S73" i="4"/>
  <c r="S74" i="4"/>
  <c r="S75" i="4"/>
  <c r="S76" i="4"/>
  <c r="S77" i="4"/>
  <c r="S78" i="4"/>
  <c r="S79" i="4"/>
  <c r="S47" i="4"/>
  <c r="S48" i="4"/>
  <c r="S49" i="4"/>
  <c r="S50" i="4"/>
  <c r="S51" i="4"/>
  <c r="S52" i="4"/>
  <c r="S53" i="4"/>
  <c r="S54" i="4"/>
  <c r="S55" i="4"/>
  <c r="S56" i="4"/>
  <c r="S57" i="4"/>
  <c r="S58" i="4"/>
  <c r="S59" i="4"/>
  <c r="S60" i="4"/>
  <c r="S61" i="4"/>
  <c r="S46" i="4"/>
  <c r="O45" i="4"/>
  <c r="S26" i="4"/>
  <c r="S27" i="4"/>
  <c r="S28" i="4"/>
  <c r="S13" i="4"/>
  <c r="S14" i="4"/>
  <c r="S15" i="4"/>
  <c r="S16" i="4"/>
  <c r="S17" i="4"/>
  <c r="S18" i="4"/>
  <c r="S19" i="4"/>
  <c r="S20" i="4"/>
  <c r="S21" i="4"/>
  <c r="S22" i="4"/>
  <c r="S23" i="4"/>
  <c r="S24" i="4"/>
  <c r="S25" i="4"/>
  <c r="N147" i="4"/>
  <c r="N148" i="4" s="1"/>
  <c r="N149" i="4" s="1"/>
  <c r="N150" i="4" s="1"/>
  <c r="N151" i="4" s="1"/>
  <c r="N152" i="4" s="1"/>
  <c r="N153" i="4" s="1"/>
  <c r="N154" i="4" s="1"/>
  <c r="Q146" i="4"/>
  <c r="Q147" i="4"/>
  <c r="Q148" i="4"/>
  <c r="Q149" i="4"/>
  <c r="Q150" i="4"/>
  <c r="Q151" i="4"/>
  <c r="Q152" i="4"/>
  <c r="Q153" i="4"/>
  <c r="Q154" i="4"/>
  <c r="Q155" i="4"/>
  <c r="O135" i="4"/>
  <c r="Q136" i="4"/>
  <c r="Q137" i="4"/>
  <c r="Q138" i="4"/>
  <c r="Q139" i="4"/>
  <c r="Q140" i="4"/>
  <c r="Q141" i="4"/>
  <c r="Q142" i="4"/>
  <c r="Q143" i="4"/>
  <c r="Q144" i="4"/>
  <c r="O355" i="4"/>
  <c r="D356" i="4"/>
  <c r="O337" i="4"/>
  <c r="O336" i="4"/>
  <c r="O324" i="4"/>
  <c r="O306" i="4"/>
  <c r="O335" i="4"/>
  <c r="O289" i="4"/>
  <c r="S290" i="4"/>
  <c r="S291" i="4"/>
  <c r="S292" i="4"/>
  <c r="S293" i="4"/>
  <c r="S294" i="4"/>
  <c r="S295" i="4"/>
  <c r="S296" i="4"/>
  <c r="S297" i="4"/>
  <c r="S298" i="4"/>
  <c r="S299" i="4"/>
  <c r="S300" i="4"/>
  <c r="S301" i="4"/>
  <c r="S303" i="4"/>
  <c r="S304" i="4"/>
  <c r="S305" i="4"/>
  <c r="S302" i="4"/>
  <c r="O172" i="4"/>
  <c r="O288" i="4"/>
  <c r="O287" i="4"/>
  <c r="O286" i="4"/>
  <c r="O285" i="4"/>
  <c r="O268" i="4"/>
  <c r="O251" i="4"/>
  <c r="B1991" i="4" l="1"/>
  <c r="V1990" i="4"/>
  <c r="N519" i="4"/>
  <c r="N520" i="4" s="1"/>
  <c r="N521" i="4" s="1"/>
  <c r="N522" i="4" s="1"/>
  <c r="N523" i="4" s="1"/>
  <c r="N524" i="4" s="1"/>
  <c r="N525" i="4" s="1"/>
  <c r="N526" i="4" s="1"/>
  <c r="N527" i="4" s="1"/>
  <c r="N528" i="4" s="1"/>
  <c r="N529" i="4" s="1"/>
  <c r="N530" i="4" s="1"/>
  <c r="N531" i="4" s="1"/>
  <c r="N532" i="4" s="1"/>
  <c r="N533" i="4" s="1"/>
  <c r="N534" i="4" s="1"/>
  <c r="N540" i="4" s="1"/>
  <c r="N541" i="4" s="1"/>
  <c r="N542" i="4" s="1"/>
  <c r="N543" i="4" s="1"/>
  <c r="N544" i="4" s="1"/>
  <c r="N545" i="4" s="1"/>
  <c r="N546" i="4" s="1"/>
  <c r="N547" i="4" s="1"/>
  <c r="N548" i="4" s="1"/>
  <c r="N549" i="4" s="1"/>
  <c r="N550" i="4" s="1"/>
  <c r="N551" i="4" s="1"/>
  <c r="N552" i="4" s="1"/>
  <c r="N553" i="4" s="1"/>
  <c r="N554" i="4" s="1"/>
  <c r="N555" i="4" s="1"/>
  <c r="N557" i="4" s="1"/>
  <c r="N558" i="4" s="1"/>
  <c r="N559" i="4" s="1"/>
  <c r="N560" i="4" s="1"/>
  <c r="N561" i="4" s="1"/>
  <c r="N562" i="4" s="1"/>
  <c r="N563" i="4" s="1"/>
  <c r="N564" i="4" s="1"/>
  <c r="N565" i="4" s="1"/>
  <c r="N566" i="4" s="1"/>
  <c r="N567" i="4" s="1"/>
  <c r="N568" i="4" s="1"/>
  <c r="N569" i="4" s="1"/>
  <c r="N570" i="4" s="1"/>
  <c r="N571" i="4" s="1"/>
  <c r="N572" i="4" s="1"/>
  <c r="N574" i="4" s="1"/>
  <c r="N575" i="4" s="1"/>
  <c r="N576" i="4" s="1"/>
  <c r="N577" i="4" s="1"/>
  <c r="N578" i="4" s="1"/>
  <c r="N579" i="4" s="1"/>
  <c r="N580" i="4" s="1"/>
  <c r="N581" i="4" s="1"/>
  <c r="N582" i="4" s="1"/>
  <c r="N583" i="4" s="1"/>
  <c r="N584" i="4" s="1"/>
  <c r="N585" i="4" s="1"/>
  <c r="N586" i="4" s="1"/>
  <c r="N587" i="4" s="1"/>
  <c r="N588" i="4" s="1"/>
  <c r="N589" i="4" s="1"/>
  <c r="N591" i="4" s="1"/>
  <c r="N592" i="4" s="1"/>
  <c r="N593" i="4" s="1"/>
  <c r="N594" i="4" s="1"/>
  <c r="N595" i="4" s="1"/>
  <c r="N596" i="4" s="1"/>
  <c r="N597" i="4" s="1"/>
  <c r="N598" i="4" s="1"/>
  <c r="N599" i="4" s="1"/>
  <c r="N600" i="4" s="1"/>
  <c r="N601" i="4" s="1"/>
  <c r="N602" i="4" s="1"/>
  <c r="N603" i="4" s="1"/>
  <c r="N604" i="4" s="1"/>
  <c r="N605" i="4" s="1"/>
  <c r="N606" i="4" s="1"/>
  <c r="N608" i="4" s="1"/>
  <c r="N609" i="4" s="1"/>
  <c r="N610" i="4" s="1"/>
  <c r="N611" i="4" s="1"/>
  <c r="N612" i="4" s="1"/>
  <c r="N613" i="4" s="1"/>
  <c r="N614" i="4" s="1"/>
  <c r="N615" i="4" s="1"/>
  <c r="N616" i="4" s="1"/>
  <c r="N617" i="4" s="1"/>
  <c r="N618" i="4" s="1"/>
  <c r="N619" i="4" s="1"/>
  <c r="N620" i="4" s="1"/>
  <c r="N621" i="4" s="1"/>
  <c r="N622" i="4" s="1"/>
  <c r="N623" i="4" s="1"/>
  <c r="N625" i="4" s="1"/>
  <c r="N626" i="4" s="1"/>
  <c r="N627" i="4" s="1"/>
  <c r="N628" i="4" s="1"/>
  <c r="N629" i="4" s="1"/>
  <c r="N630" i="4" s="1"/>
  <c r="N631" i="4" s="1"/>
  <c r="N632" i="4" s="1"/>
  <c r="N633" i="4" s="1"/>
  <c r="N634" i="4" s="1"/>
  <c r="N635" i="4" s="1"/>
  <c r="N636" i="4" s="1"/>
  <c r="N637" i="4" s="1"/>
  <c r="N638" i="4" s="1"/>
  <c r="N639" i="4" s="1"/>
  <c r="N640" i="4" s="1"/>
  <c r="N643" i="4" s="1"/>
  <c r="N644" i="4" s="1"/>
  <c r="N645" i="4" s="1"/>
  <c r="N646" i="4" s="1"/>
  <c r="N647" i="4" s="1"/>
  <c r="N648" i="4" s="1"/>
  <c r="N649" i="4" s="1"/>
  <c r="N650" i="4" s="1"/>
  <c r="N651" i="4" s="1"/>
  <c r="N652" i="4" s="1"/>
  <c r="N653" i="4" s="1"/>
  <c r="N654" i="4" s="1"/>
  <c r="N655" i="4" s="1"/>
  <c r="N656" i="4" s="1"/>
  <c r="N657" i="4" s="1"/>
  <c r="N658" i="4" s="1"/>
  <c r="N660" i="4" s="1"/>
  <c r="N661" i="4" s="1"/>
  <c r="N662" i="4" s="1"/>
  <c r="N663" i="4" s="1"/>
  <c r="N664" i="4" s="1"/>
  <c r="N665" i="4" s="1"/>
  <c r="N666" i="4" s="1"/>
  <c r="N667" i="4" s="1"/>
  <c r="N668" i="4" s="1"/>
  <c r="N669" i="4" s="1"/>
  <c r="N670" i="4" s="1"/>
  <c r="N671" i="4" s="1"/>
  <c r="N672" i="4" s="1"/>
  <c r="N673" i="4" s="1"/>
  <c r="N674" i="4" s="1"/>
  <c r="N675" i="4" s="1"/>
  <c r="N677" i="4" s="1"/>
  <c r="N678" i="4" s="1"/>
  <c r="N679" i="4" s="1"/>
  <c r="N680" i="4" s="1"/>
  <c r="N681" i="4" s="1"/>
  <c r="N682" i="4" s="1"/>
  <c r="N683" i="4" s="1"/>
  <c r="N684" i="4" s="1"/>
  <c r="N685" i="4" s="1"/>
  <c r="N686" i="4" s="1"/>
  <c r="N687" i="4" s="1"/>
  <c r="N688" i="4" s="1"/>
  <c r="N689" i="4" s="1"/>
  <c r="N690" i="4" s="1"/>
  <c r="N691" i="4" s="1"/>
  <c r="N692" i="4" s="1"/>
  <c r="N699" i="4" s="1"/>
  <c r="N700" i="4" s="1"/>
  <c r="N701" i="4" s="1"/>
  <c r="N702" i="4" s="1"/>
  <c r="N703" i="4" s="1"/>
  <c r="N704" i="4" s="1"/>
  <c r="N705" i="4" s="1"/>
  <c r="N706" i="4" s="1"/>
  <c r="N707" i="4" s="1"/>
  <c r="N708" i="4" s="1"/>
  <c r="N709" i="4" s="1"/>
  <c r="N710" i="4" s="1"/>
  <c r="N711" i="4" s="1"/>
  <c r="N712" i="4" s="1"/>
  <c r="N713" i="4" s="1"/>
  <c r="N714" i="4" s="1"/>
  <c r="N717" i="4" s="1"/>
  <c r="N718" i="4" s="1"/>
  <c r="N719" i="4" s="1"/>
  <c r="N720" i="4" s="1"/>
  <c r="N721" i="4" s="1"/>
  <c r="N722" i="4" s="1"/>
  <c r="N723" i="4" s="1"/>
  <c r="N724" i="4" s="1"/>
  <c r="N725" i="4" s="1"/>
  <c r="N726" i="4" s="1"/>
  <c r="N727" i="4" s="1"/>
  <c r="N728" i="4" s="1"/>
  <c r="N729" i="4" s="1"/>
  <c r="N730" i="4" s="1"/>
  <c r="N731" i="4" s="1"/>
  <c r="N732" i="4" s="1"/>
  <c r="N735" i="4" s="1"/>
  <c r="N736" i="4" s="1"/>
  <c r="N737" i="4" s="1"/>
  <c r="N738" i="4" s="1"/>
  <c r="N739" i="4" s="1"/>
  <c r="N740" i="4" s="1"/>
  <c r="N741" i="4" s="1"/>
  <c r="N742" i="4" s="1"/>
  <c r="N743" i="4" s="1"/>
  <c r="N744" i="4" s="1"/>
  <c r="N745" i="4" s="1"/>
  <c r="N746" i="4" s="1"/>
  <c r="N747" i="4" s="1"/>
  <c r="N748" i="4" s="1"/>
  <c r="N749" i="4" s="1"/>
  <c r="N750" i="4" s="1"/>
  <c r="N517" i="4"/>
  <c r="J378" i="4"/>
  <c r="O1033" i="4"/>
  <c r="L1034" i="4"/>
  <c r="J1035" i="4"/>
  <c r="L1017" i="4"/>
  <c r="O1017" i="4" s="1"/>
  <c r="J1019" i="4"/>
  <c r="L1001" i="4"/>
  <c r="O1001" i="4" s="1"/>
  <c r="J1002" i="4"/>
  <c r="J984" i="4"/>
  <c r="L982" i="4"/>
  <c r="O982" i="4" s="1"/>
  <c r="L965" i="4"/>
  <c r="O965" i="4" s="1"/>
  <c r="J967" i="4"/>
  <c r="L948" i="4"/>
  <c r="O948" i="4" s="1"/>
  <c r="J950" i="4"/>
  <c r="L931" i="4"/>
  <c r="O931" i="4" s="1"/>
  <c r="J933" i="4"/>
  <c r="J916" i="4"/>
  <c r="L916" i="4"/>
  <c r="O916" i="4" s="1"/>
  <c r="J899" i="4"/>
  <c r="L897" i="4"/>
  <c r="O897" i="4" s="1"/>
  <c r="J882" i="4"/>
  <c r="L880" i="4"/>
  <c r="O880" i="4" s="1"/>
  <c r="L863" i="4"/>
  <c r="O863" i="4" s="1"/>
  <c r="J865" i="4"/>
  <c r="J847" i="4"/>
  <c r="K831" i="4"/>
  <c r="J830" i="4"/>
  <c r="J814" i="4"/>
  <c r="L813" i="4"/>
  <c r="L795" i="4"/>
  <c r="O795" i="4" s="1"/>
  <c r="J796" i="4"/>
  <c r="L778" i="4"/>
  <c r="O778" i="4" s="1"/>
  <c r="K780" i="4"/>
  <c r="J779" i="4"/>
  <c r="K763" i="4"/>
  <c r="K764" i="4" s="1"/>
  <c r="J763" i="4"/>
  <c r="J764" i="4" s="1"/>
  <c r="L762" i="4"/>
  <c r="O762" i="4" s="1"/>
  <c r="D417" i="4"/>
  <c r="D418" i="4" s="1"/>
  <c r="D419" i="4" s="1"/>
  <c r="D420" i="4" s="1"/>
  <c r="D421" i="4" s="1"/>
  <c r="D422" i="4" s="1"/>
  <c r="D423" i="4" s="1"/>
  <c r="D424" i="4" s="1"/>
  <c r="D425" i="4" s="1"/>
  <c r="D426" i="4" s="1"/>
  <c r="D427" i="4" s="1"/>
  <c r="D428" i="4" s="1"/>
  <c r="D429" i="4" s="1"/>
  <c r="D430" i="4" s="1"/>
  <c r="D431" i="4" s="1"/>
  <c r="D432" i="4" s="1"/>
  <c r="D434" i="4" s="1"/>
  <c r="D435" i="4" s="1"/>
  <c r="D436" i="4" s="1"/>
  <c r="D437" i="4" s="1"/>
  <c r="D438" i="4" s="1"/>
  <c r="D439" i="4" s="1"/>
  <c r="D440" i="4" s="1"/>
  <c r="D441" i="4" s="1"/>
  <c r="D442" i="4" s="1"/>
  <c r="D443" i="4" s="1"/>
  <c r="D444" i="4" s="1"/>
  <c r="D445" i="4" s="1"/>
  <c r="D446" i="4" s="1"/>
  <c r="D447" i="4" s="1"/>
  <c r="D448" i="4" s="1"/>
  <c r="D449" i="4" s="1"/>
  <c r="D451" i="4" s="1"/>
  <c r="D452" i="4" s="1"/>
  <c r="D453" i="4" s="1"/>
  <c r="D454" i="4" s="1"/>
  <c r="D455" i="4" s="1"/>
  <c r="D456" i="4" s="1"/>
  <c r="D457" i="4" s="1"/>
  <c r="D458" i="4" s="1"/>
  <c r="D459" i="4" s="1"/>
  <c r="D460" i="4" s="1"/>
  <c r="D461" i="4" s="1"/>
  <c r="D462" i="4" s="1"/>
  <c r="D463" i="4" s="1"/>
  <c r="D464" i="4" s="1"/>
  <c r="D465" i="4" s="1"/>
  <c r="D466" i="4" s="1"/>
  <c r="D468" i="4" s="1"/>
  <c r="D469" i="4" s="1"/>
  <c r="D470" i="4" s="1"/>
  <c r="D471" i="4" s="1"/>
  <c r="D472" i="4" s="1"/>
  <c r="D473" i="4" s="1"/>
  <c r="D474" i="4" s="1"/>
  <c r="D475" i="4" s="1"/>
  <c r="D476" i="4" s="1"/>
  <c r="D477" i="4" s="1"/>
  <c r="D478" i="4" s="1"/>
  <c r="D479" i="4" s="1"/>
  <c r="D480" i="4" s="1"/>
  <c r="D481" i="4" s="1"/>
  <c r="D482" i="4" s="1"/>
  <c r="D483" i="4" s="1"/>
  <c r="D485" i="4" s="1"/>
  <c r="D486" i="4" s="1"/>
  <c r="D487" i="4" s="1"/>
  <c r="D488" i="4" s="1"/>
  <c r="D489" i="4" s="1"/>
  <c r="D490" i="4" s="1"/>
  <c r="D491" i="4" s="1"/>
  <c r="D492" i="4" s="1"/>
  <c r="D493" i="4" s="1"/>
  <c r="D494" i="4" s="1"/>
  <c r="D495" i="4" s="1"/>
  <c r="D496" i="4" s="1"/>
  <c r="D497" i="4" s="1"/>
  <c r="D498" i="4" s="1"/>
  <c r="D499" i="4" s="1"/>
  <c r="D500" i="4" s="1"/>
  <c r="D502" i="4" s="1"/>
  <c r="D503" i="4" s="1"/>
  <c r="D504" i="4" s="1"/>
  <c r="D505" i="4" s="1"/>
  <c r="D506" i="4" s="1"/>
  <c r="D507" i="4" s="1"/>
  <c r="D508" i="4" s="1"/>
  <c r="D509" i="4" s="1"/>
  <c r="D510" i="4" s="1"/>
  <c r="D511" i="4" s="1"/>
  <c r="D512" i="4" s="1"/>
  <c r="D513" i="4" s="1"/>
  <c r="D514" i="4" s="1"/>
  <c r="D515" i="4" s="1"/>
  <c r="D516" i="4" s="1"/>
  <c r="D517" i="4" s="1"/>
  <c r="D519" i="4" s="1"/>
  <c r="D520" i="4" s="1"/>
  <c r="D521" i="4" s="1"/>
  <c r="D522" i="4" s="1"/>
  <c r="D523" i="4" s="1"/>
  <c r="D524" i="4" s="1"/>
  <c r="D525" i="4" s="1"/>
  <c r="D526" i="4" s="1"/>
  <c r="D527" i="4" s="1"/>
  <c r="D528" i="4" s="1"/>
  <c r="D529" i="4" s="1"/>
  <c r="D530" i="4" s="1"/>
  <c r="D531" i="4" s="1"/>
  <c r="D532" i="4" s="1"/>
  <c r="D533" i="4" s="1"/>
  <c r="D534" i="4" s="1"/>
  <c r="D540" i="4" s="1"/>
  <c r="D541" i="4" s="1"/>
  <c r="D542" i="4" s="1"/>
  <c r="D543" i="4" s="1"/>
  <c r="D544" i="4" s="1"/>
  <c r="D545" i="4" s="1"/>
  <c r="D546" i="4" s="1"/>
  <c r="D547" i="4" s="1"/>
  <c r="D548" i="4" s="1"/>
  <c r="D549" i="4" s="1"/>
  <c r="D550" i="4" s="1"/>
  <c r="D551" i="4" s="1"/>
  <c r="D552" i="4" s="1"/>
  <c r="D553" i="4" s="1"/>
  <c r="D554" i="4" s="1"/>
  <c r="D555" i="4" s="1"/>
  <c r="D557" i="4" s="1"/>
  <c r="D558" i="4" s="1"/>
  <c r="D559" i="4" s="1"/>
  <c r="D560" i="4" s="1"/>
  <c r="D561" i="4" s="1"/>
  <c r="D562" i="4" s="1"/>
  <c r="D563" i="4" s="1"/>
  <c r="D564" i="4" s="1"/>
  <c r="D565" i="4" s="1"/>
  <c r="D566" i="4" s="1"/>
  <c r="D567" i="4" s="1"/>
  <c r="D568" i="4" s="1"/>
  <c r="D569" i="4" s="1"/>
  <c r="D570" i="4" s="1"/>
  <c r="D571" i="4" s="1"/>
  <c r="D572" i="4" s="1"/>
  <c r="D574" i="4" s="1"/>
  <c r="D575" i="4" s="1"/>
  <c r="D576" i="4" s="1"/>
  <c r="D577" i="4" s="1"/>
  <c r="D578" i="4" s="1"/>
  <c r="D579" i="4" s="1"/>
  <c r="D580" i="4" s="1"/>
  <c r="D581" i="4" s="1"/>
  <c r="D582" i="4" s="1"/>
  <c r="D583" i="4" s="1"/>
  <c r="D584" i="4" s="1"/>
  <c r="D585" i="4" s="1"/>
  <c r="D586" i="4" s="1"/>
  <c r="D587" i="4" s="1"/>
  <c r="D588" i="4" s="1"/>
  <c r="D589" i="4" s="1"/>
  <c r="D591" i="4" s="1"/>
  <c r="D592" i="4" s="1"/>
  <c r="D593" i="4" s="1"/>
  <c r="D594" i="4" s="1"/>
  <c r="D595" i="4" s="1"/>
  <c r="D596" i="4" s="1"/>
  <c r="D597" i="4" s="1"/>
  <c r="D598" i="4" s="1"/>
  <c r="D599" i="4" s="1"/>
  <c r="D600" i="4" s="1"/>
  <c r="D601" i="4" s="1"/>
  <c r="D602" i="4" s="1"/>
  <c r="D603" i="4" s="1"/>
  <c r="D604" i="4" s="1"/>
  <c r="D605" i="4" s="1"/>
  <c r="D606" i="4" s="1"/>
  <c r="D608" i="4" s="1"/>
  <c r="D609" i="4" s="1"/>
  <c r="D610" i="4" s="1"/>
  <c r="D611" i="4" s="1"/>
  <c r="D612" i="4" s="1"/>
  <c r="D613" i="4" s="1"/>
  <c r="D614" i="4" s="1"/>
  <c r="D615" i="4" s="1"/>
  <c r="D616" i="4" s="1"/>
  <c r="D617" i="4" s="1"/>
  <c r="D618" i="4" s="1"/>
  <c r="D619" i="4" s="1"/>
  <c r="D620" i="4" s="1"/>
  <c r="D621" i="4" s="1"/>
  <c r="D622" i="4" s="1"/>
  <c r="D623" i="4" s="1"/>
  <c r="D625" i="4" s="1"/>
  <c r="D626" i="4" s="1"/>
  <c r="D627" i="4" s="1"/>
  <c r="D628" i="4" s="1"/>
  <c r="D629" i="4" s="1"/>
  <c r="D630" i="4" s="1"/>
  <c r="D631" i="4" s="1"/>
  <c r="D632" i="4" s="1"/>
  <c r="D633" i="4" s="1"/>
  <c r="D634" i="4" s="1"/>
  <c r="D635" i="4" s="1"/>
  <c r="D636" i="4" s="1"/>
  <c r="D637" i="4" s="1"/>
  <c r="D638" i="4" s="1"/>
  <c r="D639" i="4" s="1"/>
  <c r="D640" i="4" s="1"/>
  <c r="D643" i="4" s="1"/>
  <c r="D644" i="4" s="1"/>
  <c r="D645" i="4" s="1"/>
  <c r="D646" i="4" s="1"/>
  <c r="D647" i="4" s="1"/>
  <c r="D648" i="4" s="1"/>
  <c r="D649" i="4" s="1"/>
  <c r="D650" i="4" s="1"/>
  <c r="D651" i="4" s="1"/>
  <c r="D652" i="4" s="1"/>
  <c r="D653" i="4" s="1"/>
  <c r="D654" i="4" s="1"/>
  <c r="D655" i="4" s="1"/>
  <c r="D656" i="4" s="1"/>
  <c r="D657" i="4" s="1"/>
  <c r="D658" i="4" s="1"/>
  <c r="D660" i="4" s="1"/>
  <c r="D661" i="4" s="1"/>
  <c r="D662" i="4" s="1"/>
  <c r="D663" i="4" s="1"/>
  <c r="D664" i="4" s="1"/>
  <c r="D665" i="4" s="1"/>
  <c r="D666" i="4" s="1"/>
  <c r="D667" i="4" s="1"/>
  <c r="D668" i="4" s="1"/>
  <c r="D669" i="4" s="1"/>
  <c r="D670" i="4" s="1"/>
  <c r="D671" i="4" s="1"/>
  <c r="D672" i="4" s="1"/>
  <c r="D673" i="4" s="1"/>
  <c r="D674" i="4" s="1"/>
  <c r="D675" i="4" s="1"/>
  <c r="D677" i="4" s="1"/>
  <c r="D678" i="4" s="1"/>
  <c r="D679" i="4" s="1"/>
  <c r="D680" i="4" s="1"/>
  <c r="D681" i="4" s="1"/>
  <c r="D682" i="4" s="1"/>
  <c r="D683" i="4" s="1"/>
  <c r="D684" i="4" s="1"/>
  <c r="D685" i="4" s="1"/>
  <c r="D686" i="4" s="1"/>
  <c r="D687" i="4" s="1"/>
  <c r="D688" i="4" s="1"/>
  <c r="D689" i="4" s="1"/>
  <c r="D690" i="4" s="1"/>
  <c r="D691" i="4" s="1"/>
  <c r="D692" i="4" s="1"/>
  <c r="D699" i="4" s="1"/>
  <c r="D700" i="4" s="1"/>
  <c r="D701" i="4" s="1"/>
  <c r="D702" i="4" s="1"/>
  <c r="D703" i="4" s="1"/>
  <c r="D704" i="4" s="1"/>
  <c r="D705" i="4" s="1"/>
  <c r="D706" i="4" s="1"/>
  <c r="D707" i="4" s="1"/>
  <c r="D708" i="4" s="1"/>
  <c r="D709" i="4" s="1"/>
  <c r="D710" i="4" s="1"/>
  <c r="D711" i="4" s="1"/>
  <c r="D712" i="4" s="1"/>
  <c r="D713" i="4" s="1"/>
  <c r="D714" i="4" s="1"/>
  <c r="D717" i="4" s="1"/>
  <c r="D718" i="4" s="1"/>
  <c r="D719" i="4" s="1"/>
  <c r="D720" i="4" s="1"/>
  <c r="D721" i="4" s="1"/>
  <c r="D722" i="4" s="1"/>
  <c r="D723" i="4" s="1"/>
  <c r="D724" i="4" s="1"/>
  <c r="D725" i="4" s="1"/>
  <c r="D726" i="4" s="1"/>
  <c r="D727" i="4" s="1"/>
  <c r="D728" i="4" s="1"/>
  <c r="D729" i="4" s="1"/>
  <c r="D730" i="4" s="1"/>
  <c r="D731" i="4" s="1"/>
  <c r="D732" i="4" s="1"/>
  <c r="D735" i="4" s="1"/>
  <c r="D736" i="4" s="1"/>
  <c r="D737" i="4" s="1"/>
  <c r="D738" i="4" s="1"/>
  <c r="D739" i="4" s="1"/>
  <c r="D740" i="4" s="1"/>
  <c r="D741" i="4" s="1"/>
  <c r="D742" i="4" s="1"/>
  <c r="D743" i="4" s="1"/>
  <c r="D744" i="4" s="1"/>
  <c r="D745" i="4" s="1"/>
  <c r="D746" i="4" s="1"/>
  <c r="D747" i="4" s="1"/>
  <c r="D748" i="4" s="1"/>
  <c r="D749" i="4" s="1"/>
  <c r="D750" i="4" s="1"/>
  <c r="D414" i="4"/>
  <c r="L377" i="4"/>
  <c r="S117" i="4"/>
  <c r="S118" i="4"/>
  <c r="S119" i="4"/>
  <c r="S120" i="4"/>
  <c r="S121" i="4"/>
  <c r="S122" i="4"/>
  <c r="S123" i="4"/>
  <c r="S124" i="4"/>
  <c r="S125" i="4"/>
  <c r="S126" i="4"/>
  <c r="S127" i="4"/>
  <c r="S128" i="4"/>
  <c r="S129" i="4"/>
  <c r="S130" i="4"/>
  <c r="S131" i="4"/>
  <c r="S116" i="4"/>
  <c r="N208" i="4"/>
  <c r="S226" i="4"/>
  <c r="S227" i="4"/>
  <c r="S228" i="4"/>
  <c r="S229" i="4"/>
  <c r="S230" i="4"/>
  <c r="S231" i="4"/>
  <c r="S232" i="4"/>
  <c r="S233" i="4"/>
  <c r="S234" i="4"/>
  <c r="S236" i="4"/>
  <c r="S237" i="4"/>
  <c r="S238" i="4"/>
  <c r="S235" i="4"/>
  <c r="B1992" i="4" l="1"/>
  <c r="V1991" i="4"/>
  <c r="J379" i="4"/>
  <c r="L1035" i="4"/>
  <c r="O1034" i="4"/>
  <c r="J1036" i="4"/>
  <c r="L1018" i="4"/>
  <c r="O1018" i="4" s="1"/>
  <c r="L1002" i="4"/>
  <c r="O1002" i="4" s="1"/>
  <c r="J985" i="4"/>
  <c r="L983" i="4"/>
  <c r="O983" i="4" s="1"/>
  <c r="L966" i="4"/>
  <c r="O966" i="4" s="1"/>
  <c r="J968" i="4"/>
  <c r="J951" i="4"/>
  <c r="L949" i="4"/>
  <c r="O949" i="4" s="1"/>
  <c r="J934" i="4"/>
  <c r="L932" i="4"/>
  <c r="O932" i="4" s="1"/>
  <c r="J917" i="4"/>
  <c r="L917" i="4"/>
  <c r="O917" i="4" s="1"/>
  <c r="L898" i="4"/>
  <c r="O898" i="4" s="1"/>
  <c r="J900" i="4"/>
  <c r="J883" i="4"/>
  <c r="L881" i="4"/>
  <c r="O881" i="4" s="1"/>
  <c r="J866" i="4"/>
  <c r="L864" i="4"/>
  <c r="O864" i="4" s="1"/>
  <c r="J848" i="4"/>
  <c r="J831" i="4"/>
  <c r="K832" i="4"/>
  <c r="L814" i="4"/>
  <c r="J815" i="4"/>
  <c r="L796" i="4"/>
  <c r="O796" i="4" s="1"/>
  <c r="J797" i="4"/>
  <c r="J780" i="4"/>
  <c r="L779" i="4"/>
  <c r="O779" i="4" s="1"/>
  <c r="K781" i="4"/>
  <c r="L763" i="4"/>
  <c r="L378" i="4"/>
  <c r="O377" i="4"/>
  <c r="K147" i="4"/>
  <c r="J137" i="4"/>
  <c r="K137" i="4"/>
  <c r="O190" i="4"/>
  <c r="O31" i="4"/>
  <c r="O32" i="4"/>
  <c r="O33" i="4"/>
  <c r="O34" i="4"/>
  <c r="O35" i="4"/>
  <c r="O36" i="4"/>
  <c r="O37" i="4"/>
  <c r="O38" i="4"/>
  <c r="O39" i="4"/>
  <c r="O40" i="4"/>
  <c r="O41" i="4"/>
  <c r="O42" i="4"/>
  <c r="O43" i="4"/>
  <c r="O44" i="4"/>
  <c r="O30" i="4"/>
  <c r="K191" i="4"/>
  <c r="Q190" i="4"/>
  <c r="S192" i="4"/>
  <c r="S193" i="4"/>
  <c r="S194" i="4"/>
  <c r="S195" i="4"/>
  <c r="S196" i="4"/>
  <c r="S197" i="4"/>
  <c r="S198" i="4"/>
  <c r="S199" i="4"/>
  <c r="S200" i="4"/>
  <c r="S201" i="4"/>
  <c r="S202" i="4"/>
  <c r="S203" i="4"/>
  <c r="S204" i="4"/>
  <c r="S205" i="4"/>
  <c r="S206" i="4"/>
  <c r="S191" i="4"/>
  <c r="S209" i="4"/>
  <c r="S210" i="4"/>
  <c r="S211" i="4"/>
  <c r="S212" i="4"/>
  <c r="S213" i="4"/>
  <c r="S214" i="4"/>
  <c r="S215" i="4"/>
  <c r="S216" i="4"/>
  <c r="S217" i="4"/>
  <c r="S218" i="4"/>
  <c r="S219" i="4"/>
  <c r="S220" i="4"/>
  <c r="S221" i="4"/>
  <c r="S222" i="4"/>
  <c r="S223" i="4"/>
  <c r="S208" i="4"/>
  <c r="B1993" i="4" l="1"/>
  <c r="V1992" i="4"/>
  <c r="O763" i="4"/>
  <c r="L764" i="4"/>
  <c r="K138" i="4"/>
  <c r="J138" i="4"/>
  <c r="J380" i="4"/>
  <c r="K148" i="4"/>
  <c r="O1035" i="4"/>
  <c r="L1036" i="4"/>
  <c r="O1036" i="4" s="1"/>
  <c r="L1019" i="4"/>
  <c r="O1019" i="4" s="1"/>
  <c r="L984" i="4"/>
  <c r="O984" i="4" s="1"/>
  <c r="L967" i="4"/>
  <c r="O967" i="4" s="1"/>
  <c r="L950" i="4"/>
  <c r="O950" i="4" s="1"/>
  <c r="L933" i="4"/>
  <c r="O933" i="4" s="1"/>
  <c r="L899" i="4"/>
  <c r="O899" i="4" s="1"/>
  <c r="L882" i="4"/>
  <c r="O882" i="4" s="1"/>
  <c r="L865" i="4"/>
  <c r="O865" i="4" s="1"/>
  <c r="J849" i="4"/>
  <c r="J832" i="4"/>
  <c r="L815" i="4"/>
  <c r="J798" i="4"/>
  <c r="L797" i="4"/>
  <c r="O797" i="4" s="1"/>
  <c r="J781" i="4"/>
  <c r="L780" i="4"/>
  <c r="O780" i="4" s="1"/>
  <c r="L379" i="4"/>
  <c r="O378" i="4"/>
  <c r="J147" i="4"/>
  <c r="O207" i="4"/>
  <c r="O192" i="4"/>
  <c r="O193" i="4"/>
  <c r="O194" i="4"/>
  <c r="O195" i="4"/>
  <c r="O196" i="4"/>
  <c r="O197" i="4"/>
  <c r="O198" i="4"/>
  <c r="O199" i="4"/>
  <c r="O200" i="4"/>
  <c r="O201" i="4"/>
  <c r="O202" i="4"/>
  <c r="O203" i="4"/>
  <c r="O204" i="4"/>
  <c r="O205" i="4"/>
  <c r="O206" i="4"/>
  <c r="O191" i="4"/>
  <c r="B1994" i="4" l="1"/>
  <c r="V1993" i="4"/>
  <c r="J148" i="4"/>
  <c r="J381" i="4"/>
  <c r="K149" i="4"/>
  <c r="J139" i="4"/>
  <c r="L985" i="4"/>
  <c r="O985" i="4" s="1"/>
  <c r="L968" i="4"/>
  <c r="O968" i="4" s="1"/>
  <c r="L951" i="4"/>
  <c r="O951" i="4" s="1"/>
  <c r="L934" i="4"/>
  <c r="O934" i="4" s="1"/>
  <c r="L900" i="4"/>
  <c r="O900" i="4" s="1"/>
  <c r="L883" i="4"/>
  <c r="O883" i="4" s="1"/>
  <c r="L866" i="4"/>
  <c r="O866" i="4" s="1"/>
  <c r="L798" i="4"/>
  <c r="O798" i="4" s="1"/>
  <c r="L781" i="4"/>
  <c r="O781" i="4" s="1"/>
  <c r="O764" i="4"/>
  <c r="L380" i="4"/>
  <c r="O379" i="4"/>
  <c r="O136" i="4"/>
  <c r="B1995" i="4" l="1"/>
  <c r="V1994" i="4"/>
  <c r="J140" i="4"/>
  <c r="J382" i="4"/>
  <c r="K150" i="4"/>
  <c r="J149" i="4"/>
  <c r="L381" i="4"/>
  <c r="O380" i="4"/>
  <c r="O137" i="4"/>
  <c r="K139" i="4"/>
  <c r="L145" i="4"/>
  <c r="L146" i="4" s="1"/>
  <c r="M145" i="4"/>
  <c r="B1996" i="4" l="1"/>
  <c r="V1995" i="4"/>
  <c r="J150" i="4"/>
  <c r="J383" i="4"/>
  <c r="K151" i="4"/>
  <c r="J141" i="4"/>
  <c r="M146" i="4"/>
  <c r="M147" i="4" s="1"/>
  <c r="M148" i="4" s="1"/>
  <c r="M149" i="4" s="1"/>
  <c r="M150" i="4" s="1"/>
  <c r="M151" i="4" s="1"/>
  <c r="M152" i="4" s="1"/>
  <c r="M153" i="4" s="1"/>
  <c r="M154" i="4" s="1"/>
  <c r="L382" i="4"/>
  <c r="O381" i="4"/>
  <c r="O145" i="4"/>
  <c r="K140" i="4"/>
  <c r="M97" i="4"/>
  <c r="K81" i="4"/>
  <c r="B1997" i="4" l="1"/>
  <c r="V1996" i="4"/>
  <c r="J142" i="4"/>
  <c r="J384" i="4"/>
  <c r="K152" i="4"/>
  <c r="J151" i="4"/>
  <c r="L383" i="4"/>
  <c r="O382" i="4"/>
  <c r="O138" i="4"/>
  <c r="K141" i="4"/>
  <c r="B1998" i="4" l="1"/>
  <c r="V1997" i="4"/>
  <c r="K142" i="4"/>
  <c r="J152" i="4"/>
  <c r="J385" i="4"/>
  <c r="K153" i="4"/>
  <c r="J143" i="4"/>
  <c r="L384" i="4"/>
  <c r="O383" i="4"/>
  <c r="O139" i="4"/>
  <c r="M13" i="4"/>
  <c r="B1999" i="4" l="1"/>
  <c r="V1998" i="4"/>
  <c r="K154" i="4"/>
  <c r="J153" i="4"/>
  <c r="J144" i="4"/>
  <c r="J386" i="4"/>
  <c r="K143" i="4"/>
  <c r="L385" i="4"/>
  <c r="O384" i="4"/>
  <c r="O140" i="4"/>
  <c r="K14" i="4"/>
  <c r="B2000" i="4" l="1"/>
  <c r="V1999" i="4"/>
  <c r="K15" i="4"/>
  <c r="J387" i="4"/>
  <c r="J154" i="4"/>
  <c r="L386" i="4"/>
  <c r="O385" i="4"/>
  <c r="L147" i="4"/>
  <c r="L148" i="4" s="1"/>
  <c r="L149" i="4" s="1"/>
  <c r="L150" i="4" s="1"/>
  <c r="L151" i="4" s="1"/>
  <c r="L152" i="4" s="1"/>
  <c r="L153" i="4" s="1"/>
  <c r="L154" i="4" s="1"/>
  <c r="O146" i="4"/>
  <c r="O141" i="4"/>
  <c r="O115" i="4"/>
  <c r="O113" i="4"/>
  <c r="O96" i="4"/>
  <c r="M98" i="4"/>
  <c r="M99" i="4" s="1"/>
  <c r="M100" i="4" s="1"/>
  <c r="M101" i="4" s="1"/>
  <c r="M102" i="4" s="1"/>
  <c r="M103" i="4" s="1"/>
  <c r="M104" i="4" s="1"/>
  <c r="M105" i="4" s="1"/>
  <c r="M106" i="4" s="1"/>
  <c r="M107" i="4" s="1"/>
  <c r="M108" i="4" s="1"/>
  <c r="M109" i="4" s="1"/>
  <c r="M110" i="4" s="1"/>
  <c r="M111" i="4" s="1"/>
  <c r="M112" i="4" s="1"/>
  <c r="M116" i="4" s="1"/>
  <c r="M117" i="4" s="1"/>
  <c r="M118" i="4" s="1"/>
  <c r="M119" i="4" s="1"/>
  <c r="M120" i="4" s="1"/>
  <c r="M121" i="4" s="1"/>
  <c r="M122" i="4" s="1"/>
  <c r="M123" i="4" s="1"/>
  <c r="M124" i="4" s="1"/>
  <c r="M125" i="4" s="1"/>
  <c r="M126" i="4" s="1"/>
  <c r="M127" i="4" s="1"/>
  <c r="M128" i="4" s="1"/>
  <c r="M129" i="4" s="1"/>
  <c r="M130" i="4" s="1"/>
  <c r="M131" i="4" s="1"/>
  <c r="M156" i="4" s="1"/>
  <c r="M157" i="4" s="1"/>
  <c r="M158" i="4" s="1"/>
  <c r="M159" i="4" s="1"/>
  <c r="M160" i="4" s="1"/>
  <c r="M161" i="4" s="1"/>
  <c r="M162" i="4" s="1"/>
  <c r="M163" i="4" s="1"/>
  <c r="M164" i="4" s="1"/>
  <c r="M165" i="4" s="1"/>
  <c r="M166" i="4" s="1"/>
  <c r="M167" i="4" s="1"/>
  <c r="M168" i="4" s="1"/>
  <c r="M169" i="4" s="1"/>
  <c r="M170" i="4" s="1"/>
  <c r="M171" i="4" s="1"/>
  <c r="M173" i="4" s="1"/>
  <c r="M174" i="4" s="1"/>
  <c r="M175" i="4" s="1"/>
  <c r="M176" i="4" s="1"/>
  <c r="M177" i="4" s="1"/>
  <c r="M178" i="4" s="1"/>
  <c r="M179" i="4" s="1"/>
  <c r="M180" i="4" s="1"/>
  <c r="M181" i="4" s="1"/>
  <c r="M182" i="4" s="1"/>
  <c r="M183" i="4" s="1"/>
  <c r="M184" i="4" s="1"/>
  <c r="M185" i="4" s="1"/>
  <c r="M186" i="4" s="1"/>
  <c r="M187" i="4" s="1"/>
  <c r="M188" i="4" s="1"/>
  <c r="M191" i="4" s="1"/>
  <c r="M192" i="4" s="1"/>
  <c r="M193" i="4" s="1"/>
  <c r="M194" i="4" s="1"/>
  <c r="M195" i="4" s="1"/>
  <c r="M196" i="4" s="1"/>
  <c r="M197" i="4" s="1"/>
  <c r="M198" i="4" s="1"/>
  <c r="M199" i="4" s="1"/>
  <c r="M200" i="4" s="1"/>
  <c r="M201" i="4" s="1"/>
  <c r="M202" i="4" s="1"/>
  <c r="M203" i="4" s="1"/>
  <c r="M204" i="4" s="1"/>
  <c r="M205" i="4" s="1"/>
  <c r="M206" i="4" s="1"/>
  <c r="M208" i="4" s="1"/>
  <c r="M209" i="4" s="1"/>
  <c r="M210" i="4" s="1"/>
  <c r="M211" i="4" s="1"/>
  <c r="M212" i="4" s="1"/>
  <c r="M213" i="4" s="1"/>
  <c r="M214" i="4" s="1"/>
  <c r="M215" i="4" s="1"/>
  <c r="M216" i="4" s="1"/>
  <c r="M217" i="4" s="1"/>
  <c r="M218" i="4" s="1"/>
  <c r="M219" i="4" s="1"/>
  <c r="M220" i="4" s="1"/>
  <c r="M221" i="4" s="1"/>
  <c r="M222" i="4" s="1"/>
  <c r="M223" i="4" s="1"/>
  <c r="M225" i="4" s="1"/>
  <c r="M226" i="4" s="1"/>
  <c r="N97" i="4"/>
  <c r="N98" i="4" s="1"/>
  <c r="N99" i="4" s="1"/>
  <c r="N100" i="4" s="1"/>
  <c r="N101" i="4" s="1"/>
  <c r="N102" i="4" s="1"/>
  <c r="N103" i="4" s="1"/>
  <c r="N104" i="4" s="1"/>
  <c r="N105" i="4" s="1"/>
  <c r="N106" i="4" s="1"/>
  <c r="N107" i="4" s="1"/>
  <c r="N108" i="4" s="1"/>
  <c r="N109" i="4" s="1"/>
  <c r="N110" i="4" s="1"/>
  <c r="N111" i="4" s="1"/>
  <c r="N112" i="4" s="1"/>
  <c r="N116" i="4" s="1"/>
  <c r="N117" i="4" s="1"/>
  <c r="N118" i="4" s="1"/>
  <c r="N119" i="4" s="1"/>
  <c r="N120" i="4" s="1"/>
  <c r="N121" i="4" s="1"/>
  <c r="N122" i="4" s="1"/>
  <c r="N123" i="4" s="1"/>
  <c r="N124" i="4" s="1"/>
  <c r="N125" i="4" s="1"/>
  <c r="N126" i="4" s="1"/>
  <c r="N127" i="4" s="1"/>
  <c r="N128" i="4" s="1"/>
  <c r="N129" i="4" s="1"/>
  <c r="N130" i="4" s="1"/>
  <c r="N131" i="4" s="1"/>
  <c r="N156" i="4" s="1"/>
  <c r="N157" i="4" s="1"/>
  <c r="N158" i="4" s="1"/>
  <c r="N159" i="4" s="1"/>
  <c r="N160" i="4" s="1"/>
  <c r="N161" i="4" s="1"/>
  <c r="N162" i="4" s="1"/>
  <c r="N163" i="4" s="1"/>
  <c r="N164" i="4" s="1"/>
  <c r="N165" i="4" s="1"/>
  <c r="N166" i="4" s="1"/>
  <c r="N167" i="4" s="1"/>
  <c r="N168" i="4" s="1"/>
  <c r="N169" i="4" s="1"/>
  <c r="N170" i="4" s="1"/>
  <c r="N171" i="4" s="1"/>
  <c r="N173" i="4" s="1"/>
  <c r="N174" i="4" s="1"/>
  <c r="N175" i="4" s="1"/>
  <c r="N176" i="4" s="1"/>
  <c r="N177" i="4" s="1"/>
  <c r="N178" i="4" s="1"/>
  <c r="N179" i="4" s="1"/>
  <c r="N180" i="4" s="1"/>
  <c r="N181" i="4" s="1"/>
  <c r="N182" i="4" s="1"/>
  <c r="N183" i="4" s="1"/>
  <c r="N184" i="4" s="1"/>
  <c r="N185" i="4" s="1"/>
  <c r="N186" i="4" s="1"/>
  <c r="N187" i="4" s="1"/>
  <c r="N188" i="4" s="1"/>
  <c r="N192" i="4" s="1"/>
  <c r="N193" i="4" s="1"/>
  <c r="N194" i="4" s="1"/>
  <c r="N195" i="4" s="1"/>
  <c r="N196" i="4" s="1"/>
  <c r="N197" i="4" s="1"/>
  <c r="N198" i="4" s="1"/>
  <c r="N199" i="4" s="1"/>
  <c r="N200" i="4" s="1"/>
  <c r="N201" i="4" s="1"/>
  <c r="N202" i="4" s="1"/>
  <c r="N203" i="4" s="1"/>
  <c r="N204" i="4" s="1"/>
  <c r="N205" i="4" s="1"/>
  <c r="N206" i="4" s="1"/>
  <c r="N209" i="4" s="1"/>
  <c r="N210" i="4" s="1"/>
  <c r="N211" i="4" s="1"/>
  <c r="N212" i="4" s="1"/>
  <c r="N213" i="4" s="1"/>
  <c r="N214" i="4" s="1"/>
  <c r="N215" i="4" s="1"/>
  <c r="N216" i="4" s="1"/>
  <c r="N217" i="4" s="1"/>
  <c r="N218" i="4" s="1"/>
  <c r="N219" i="4" s="1"/>
  <c r="N220" i="4" s="1"/>
  <c r="N221" i="4" s="1"/>
  <c r="N222" i="4" s="1"/>
  <c r="N223" i="4" s="1"/>
  <c r="N226" i="4" s="1"/>
  <c r="K97" i="4"/>
  <c r="L97" i="4"/>
  <c r="O97" i="4" s="1"/>
  <c r="J97" i="4"/>
  <c r="D97" i="4"/>
  <c r="D98" i="4" s="1"/>
  <c r="D99" i="4" s="1"/>
  <c r="D100" i="4" s="1"/>
  <c r="D101" i="4" s="1"/>
  <c r="D102" i="4" s="1"/>
  <c r="D103" i="4" s="1"/>
  <c r="D104" i="4" s="1"/>
  <c r="D105" i="4" s="1"/>
  <c r="D106" i="4" s="1"/>
  <c r="D107" i="4" s="1"/>
  <c r="D108" i="4" s="1"/>
  <c r="D109" i="4" s="1"/>
  <c r="D110" i="4" s="1"/>
  <c r="D111" i="4" s="1"/>
  <c r="D112" i="4" s="1"/>
  <c r="D116" i="4" s="1"/>
  <c r="D117" i="4" s="1"/>
  <c r="D118" i="4" s="1"/>
  <c r="D119" i="4" s="1"/>
  <c r="D120" i="4" s="1"/>
  <c r="D121" i="4" s="1"/>
  <c r="D122" i="4" s="1"/>
  <c r="D123" i="4" s="1"/>
  <c r="D124" i="4" s="1"/>
  <c r="D125" i="4" s="1"/>
  <c r="D126" i="4" s="1"/>
  <c r="D127" i="4" s="1"/>
  <c r="D128" i="4" s="1"/>
  <c r="D129" i="4" s="1"/>
  <c r="D130" i="4" s="1"/>
  <c r="D131" i="4" s="1"/>
  <c r="D133" i="4" s="1"/>
  <c r="D156" i="4" s="1"/>
  <c r="D157" i="4" s="1"/>
  <c r="D158" i="4" s="1"/>
  <c r="D159" i="4" s="1"/>
  <c r="D160" i="4" s="1"/>
  <c r="D161" i="4" s="1"/>
  <c r="D162" i="4" s="1"/>
  <c r="D163" i="4" s="1"/>
  <c r="D164" i="4" s="1"/>
  <c r="D165" i="4" s="1"/>
  <c r="D166" i="4" s="1"/>
  <c r="D167" i="4" s="1"/>
  <c r="D168" i="4" s="1"/>
  <c r="D169" i="4" s="1"/>
  <c r="D170" i="4" s="1"/>
  <c r="D171" i="4" s="1"/>
  <c r="D173" i="4" s="1"/>
  <c r="D174" i="4" s="1"/>
  <c r="D175" i="4" s="1"/>
  <c r="D176" i="4" s="1"/>
  <c r="D177" i="4" s="1"/>
  <c r="D178" i="4" s="1"/>
  <c r="D179" i="4" s="1"/>
  <c r="D180" i="4" s="1"/>
  <c r="D181" i="4" s="1"/>
  <c r="D182" i="4" s="1"/>
  <c r="D183" i="4" s="1"/>
  <c r="D184" i="4" s="1"/>
  <c r="D185" i="4" s="1"/>
  <c r="D186" i="4" s="1"/>
  <c r="D187" i="4" s="1"/>
  <c r="D188" i="4" s="1"/>
  <c r="D192" i="4" s="1"/>
  <c r="D193"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5" i="4" s="1"/>
  <c r="D226" i="4" s="1"/>
  <c r="D81" i="4"/>
  <c r="D82" i="4" s="1"/>
  <c r="D83" i="4" s="1"/>
  <c r="D84" i="4" s="1"/>
  <c r="D85" i="4" s="1"/>
  <c r="D86" i="4" s="1"/>
  <c r="D87" i="4" s="1"/>
  <c r="D88" i="4" s="1"/>
  <c r="D89" i="4" s="1"/>
  <c r="D90" i="4" s="1"/>
  <c r="D91" i="4" s="1"/>
  <c r="D92" i="4" s="1"/>
  <c r="D93" i="4" s="1"/>
  <c r="D94" i="4" s="1"/>
  <c r="D95" i="4" s="1"/>
  <c r="O80" i="4"/>
  <c r="N81" i="4"/>
  <c r="N82" i="4" s="1"/>
  <c r="N83" i="4" s="1"/>
  <c r="N84" i="4" s="1"/>
  <c r="N85" i="4" s="1"/>
  <c r="N86" i="4" s="1"/>
  <c r="N87" i="4" s="1"/>
  <c r="N88" i="4" s="1"/>
  <c r="N89" i="4" s="1"/>
  <c r="N90" i="4" s="1"/>
  <c r="N91" i="4" s="1"/>
  <c r="N92" i="4" s="1"/>
  <c r="N93" i="4" s="1"/>
  <c r="N94" i="4" s="1"/>
  <c r="N95" i="4" s="1"/>
  <c r="L81" i="4"/>
  <c r="L82" i="4" s="1"/>
  <c r="M81" i="4"/>
  <c r="M82" i="4" s="1"/>
  <c r="M83" i="4" s="1"/>
  <c r="M84" i="4" s="1"/>
  <c r="M85" i="4" s="1"/>
  <c r="M86" i="4" s="1"/>
  <c r="M87" i="4" s="1"/>
  <c r="M88" i="4" s="1"/>
  <c r="M89" i="4" s="1"/>
  <c r="M90" i="4" s="1"/>
  <c r="M91" i="4" s="1"/>
  <c r="M92" i="4" s="1"/>
  <c r="M93" i="4" s="1"/>
  <c r="M94" i="4" s="1"/>
  <c r="M95" i="4" s="1"/>
  <c r="M64" i="4"/>
  <c r="M65" i="4" s="1"/>
  <c r="M66" i="4" s="1"/>
  <c r="M67" i="4" s="1"/>
  <c r="M68" i="4" s="1"/>
  <c r="M69" i="4" s="1"/>
  <c r="M70" i="4" s="1"/>
  <c r="M71" i="4" s="1"/>
  <c r="M72" i="4" s="1"/>
  <c r="M73" i="4" s="1"/>
  <c r="M74" i="4" s="1"/>
  <c r="M75" i="4" s="1"/>
  <c r="M76" i="4" s="1"/>
  <c r="M77" i="4" s="1"/>
  <c r="M78" i="4" s="1"/>
  <c r="M79" i="4" s="1"/>
  <c r="K64" i="4"/>
  <c r="N64" i="4"/>
  <c r="N65" i="4" s="1"/>
  <c r="N66" i="4" s="1"/>
  <c r="N67" i="4" s="1"/>
  <c r="N68" i="4" s="1"/>
  <c r="N69" i="4" s="1"/>
  <c r="N70" i="4" s="1"/>
  <c r="N71" i="4" s="1"/>
  <c r="N72" i="4" s="1"/>
  <c r="N73" i="4" s="1"/>
  <c r="N74" i="4" s="1"/>
  <c r="N75" i="4" s="1"/>
  <c r="N76" i="4" s="1"/>
  <c r="N77" i="4" s="1"/>
  <c r="N78" i="4" s="1"/>
  <c r="N79" i="4" s="1"/>
  <c r="B2001" i="4" l="1"/>
  <c r="V2000" i="4"/>
  <c r="M227" i="4"/>
  <c r="M228" i="4" s="1"/>
  <c r="M229" i="4" s="1"/>
  <c r="M230" i="4" s="1"/>
  <c r="M231" i="4" s="1"/>
  <c r="M232" i="4" s="1"/>
  <c r="M233" i="4" s="1"/>
  <c r="M234" i="4" s="1"/>
  <c r="D227" i="4"/>
  <c r="D228" i="4" s="1"/>
  <c r="D229" i="4" s="1"/>
  <c r="D230" i="4" s="1"/>
  <c r="D231" i="4" s="1"/>
  <c r="D232" i="4" s="1"/>
  <c r="D233" i="4" s="1"/>
  <c r="D234" i="4" s="1"/>
  <c r="N227" i="4"/>
  <c r="N228" i="4" s="1"/>
  <c r="N229" i="4" s="1"/>
  <c r="N230" i="4" s="1"/>
  <c r="N231" i="4" s="1"/>
  <c r="N232" i="4" s="1"/>
  <c r="N233" i="4" s="1"/>
  <c r="N234" i="4" s="1"/>
  <c r="J388" i="4"/>
  <c r="J98" i="4"/>
  <c r="K65" i="4"/>
  <c r="K16" i="4"/>
  <c r="M252" i="4"/>
  <c r="M253" i="4" s="1"/>
  <c r="M254" i="4" s="1"/>
  <c r="M255" i="4" s="1"/>
  <c r="M256" i="4" s="1"/>
  <c r="M257" i="4" s="1"/>
  <c r="M258" i="4" s="1"/>
  <c r="M259" i="4" s="1"/>
  <c r="M260" i="4" s="1"/>
  <c r="M261" i="4" s="1"/>
  <c r="M262" i="4" s="1"/>
  <c r="M263" i="4" s="1"/>
  <c r="M264" i="4" s="1"/>
  <c r="M265" i="4" s="1"/>
  <c r="M266" i="4" s="1"/>
  <c r="M267" i="4" s="1"/>
  <c r="M269" i="4" s="1"/>
  <c r="M270" i="4" s="1"/>
  <c r="M271" i="4" s="1"/>
  <c r="M272" i="4" s="1"/>
  <c r="M273" i="4" s="1"/>
  <c r="M274" i="4" s="1"/>
  <c r="M275" i="4" s="1"/>
  <c r="M276" i="4" s="1"/>
  <c r="M277" i="4" s="1"/>
  <c r="M278" i="4" s="1"/>
  <c r="M279" i="4" s="1"/>
  <c r="M280" i="4" s="1"/>
  <c r="M281" i="4" s="1"/>
  <c r="M282" i="4" s="1"/>
  <c r="M283" i="4" s="1"/>
  <c r="M284" i="4" s="1"/>
  <c r="M290" i="4" s="1"/>
  <c r="M291" i="4" s="1"/>
  <c r="M292" i="4" s="1"/>
  <c r="M293" i="4" s="1"/>
  <c r="M294" i="4" s="1"/>
  <c r="M295" i="4" s="1"/>
  <c r="M296" i="4" s="1"/>
  <c r="M297" i="4" s="1"/>
  <c r="M298" i="4" s="1"/>
  <c r="M299" i="4" s="1"/>
  <c r="M300" i="4" s="1"/>
  <c r="M301" i="4" s="1"/>
  <c r="M302" i="4" s="1"/>
  <c r="M303" i="4" s="1"/>
  <c r="M304" i="4" s="1"/>
  <c r="M305" i="4" s="1"/>
  <c r="M308" i="4" s="1"/>
  <c r="M309" i="4" s="1"/>
  <c r="M310" i="4" s="1"/>
  <c r="M311" i="4" s="1"/>
  <c r="M312" i="4" s="1"/>
  <c r="M313" i="4" s="1"/>
  <c r="M314" i="4" s="1"/>
  <c r="M315" i="4" s="1"/>
  <c r="M316" i="4" s="1"/>
  <c r="M317" i="4" s="1"/>
  <c r="M318" i="4" s="1"/>
  <c r="M319" i="4" s="1"/>
  <c r="M320" i="4" s="1"/>
  <c r="M321" i="4" s="1"/>
  <c r="M322" i="4" s="1"/>
  <c r="M323" i="4" s="1"/>
  <c r="M326" i="4" s="1"/>
  <c r="M327" i="4" s="1"/>
  <c r="M328" i="4" s="1"/>
  <c r="M329" i="4" s="1"/>
  <c r="M330" i="4" s="1"/>
  <c r="M331" i="4" s="1"/>
  <c r="N252" i="4"/>
  <c r="N253" i="4" s="1"/>
  <c r="N254" i="4" s="1"/>
  <c r="N255" i="4" s="1"/>
  <c r="N256" i="4" s="1"/>
  <c r="N257" i="4" s="1"/>
  <c r="N258" i="4" s="1"/>
  <c r="N259" i="4" s="1"/>
  <c r="N260" i="4" s="1"/>
  <c r="N261" i="4" s="1"/>
  <c r="N262" i="4" s="1"/>
  <c r="N263" i="4" s="1"/>
  <c r="N264" i="4" s="1"/>
  <c r="N265" i="4" s="1"/>
  <c r="N266" i="4" s="1"/>
  <c r="N267" i="4" s="1"/>
  <c r="N269" i="4" s="1"/>
  <c r="N270" i="4" s="1"/>
  <c r="N271" i="4" s="1"/>
  <c r="N272" i="4" s="1"/>
  <c r="N273" i="4" s="1"/>
  <c r="N274" i="4" s="1"/>
  <c r="N275" i="4" s="1"/>
  <c r="N276" i="4" s="1"/>
  <c r="N277" i="4" s="1"/>
  <c r="N278" i="4" s="1"/>
  <c r="N279" i="4" s="1"/>
  <c r="N280" i="4" s="1"/>
  <c r="N281" i="4" s="1"/>
  <c r="N282" i="4" s="1"/>
  <c r="N283" i="4" s="1"/>
  <c r="N284" i="4" s="1"/>
  <c r="N290" i="4" s="1"/>
  <c r="N291" i="4" s="1"/>
  <c r="N292" i="4" s="1"/>
  <c r="N293" i="4" s="1"/>
  <c r="N294" i="4" s="1"/>
  <c r="N295" i="4" s="1"/>
  <c r="N296" i="4" s="1"/>
  <c r="N297" i="4" s="1"/>
  <c r="N298" i="4" s="1"/>
  <c r="N299" i="4" s="1"/>
  <c r="N300" i="4" s="1"/>
  <c r="N301" i="4" s="1"/>
  <c r="N302" i="4" s="1"/>
  <c r="N303" i="4" s="1"/>
  <c r="N304" i="4" s="1"/>
  <c r="N305" i="4" s="1"/>
  <c r="N308" i="4" s="1"/>
  <c r="N309" i="4" s="1"/>
  <c r="N310" i="4" s="1"/>
  <c r="N311" i="4" s="1"/>
  <c r="N312" i="4" s="1"/>
  <c r="N313" i="4" s="1"/>
  <c r="N314" i="4" s="1"/>
  <c r="N315" i="4" s="1"/>
  <c r="N316" i="4" s="1"/>
  <c r="N317" i="4" s="1"/>
  <c r="N318" i="4" s="1"/>
  <c r="N319" i="4" s="1"/>
  <c r="N320" i="4" s="1"/>
  <c r="N321" i="4" s="1"/>
  <c r="N322" i="4" s="1"/>
  <c r="N323" i="4" s="1"/>
  <c r="N326" i="4" s="1"/>
  <c r="N327" i="4" s="1"/>
  <c r="N328" i="4" s="1"/>
  <c r="N329" i="4" s="1"/>
  <c r="N330" i="4" s="1"/>
  <c r="N331" i="4" s="1"/>
  <c r="L387" i="4"/>
  <c r="O386" i="4"/>
  <c r="O147" i="4"/>
  <c r="O81" i="4"/>
  <c r="K98" i="4"/>
  <c r="L98" i="4"/>
  <c r="L83" i="4"/>
  <c r="O82" i="4"/>
  <c r="K82" i="4"/>
  <c r="J82" i="4"/>
  <c r="F47" i="6"/>
  <c r="G47" i="6"/>
  <c r="F48" i="6"/>
  <c r="G48" i="6"/>
  <c r="F49" i="6"/>
  <c r="G49" i="6"/>
  <c r="F50" i="6"/>
  <c r="G50" i="6"/>
  <c r="F51" i="6"/>
  <c r="G51" i="6"/>
  <c r="F52" i="6"/>
  <c r="G52" i="6"/>
  <c r="F53" i="6"/>
  <c r="G53" i="6"/>
  <c r="F54" i="6"/>
  <c r="G54" i="6"/>
  <c r="F55" i="6"/>
  <c r="G55" i="6"/>
  <c r="F56" i="6"/>
  <c r="G56" i="6"/>
  <c r="F57" i="6"/>
  <c r="G57" i="6"/>
  <c r="F58" i="6"/>
  <c r="G58" i="6"/>
  <c r="F59" i="6"/>
  <c r="G59" i="6"/>
  <c r="F60" i="6"/>
  <c r="G60" i="6"/>
  <c r="F61" i="6"/>
  <c r="G61" i="6"/>
  <c r="F62" i="6"/>
  <c r="G62" i="6"/>
  <c r="F63" i="6"/>
  <c r="G63" i="6"/>
  <c r="F64" i="6"/>
  <c r="G64" i="6"/>
  <c r="F65" i="6"/>
  <c r="G65" i="6"/>
  <c r="F66" i="6"/>
  <c r="G66" i="6"/>
  <c r="F67" i="6"/>
  <c r="G67" i="6"/>
  <c r="F68" i="6"/>
  <c r="G68" i="6"/>
  <c r="F69" i="6"/>
  <c r="G69" i="6"/>
  <c r="F70" i="6"/>
  <c r="G70" i="6"/>
  <c r="F71" i="6"/>
  <c r="G71" i="6"/>
  <c r="F72" i="6"/>
  <c r="G72" i="6"/>
  <c r="F73" i="6"/>
  <c r="G73" i="6"/>
  <c r="F74" i="6"/>
  <c r="G74" i="6"/>
  <c r="F75" i="6"/>
  <c r="G75" i="6"/>
  <c r="F76" i="6"/>
  <c r="G76" i="6"/>
  <c r="F77" i="6"/>
  <c r="G77" i="6"/>
  <c r="F78" i="6"/>
  <c r="G78" i="6"/>
  <c r="F79" i="6"/>
  <c r="G79" i="6"/>
  <c r="F80" i="6"/>
  <c r="G80" i="6"/>
  <c r="F81" i="6"/>
  <c r="G81" i="6"/>
  <c r="F82" i="6"/>
  <c r="G82" i="6"/>
  <c r="F83" i="6"/>
  <c r="G83" i="6"/>
  <c r="F84" i="6"/>
  <c r="G84" i="6"/>
  <c r="F85" i="6"/>
  <c r="G85" i="6"/>
  <c r="F86" i="6"/>
  <c r="G86" i="6"/>
  <c r="F87" i="6"/>
  <c r="G87" i="6"/>
  <c r="F88" i="6"/>
  <c r="G88" i="6"/>
  <c r="F89" i="6"/>
  <c r="G89" i="6"/>
  <c r="F90" i="6"/>
  <c r="G90" i="6"/>
  <c r="F91" i="6"/>
  <c r="G91" i="6"/>
  <c r="F92" i="6"/>
  <c r="G92" i="6"/>
  <c r="F93" i="6"/>
  <c r="G93" i="6"/>
  <c r="F94" i="6"/>
  <c r="G94" i="6"/>
  <c r="F95" i="6"/>
  <c r="G95" i="6"/>
  <c r="F96" i="6"/>
  <c r="G96" i="6"/>
  <c r="F97" i="6"/>
  <c r="G97" i="6"/>
  <c r="F98" i="6"/>
  <c r="G98" i="6"/>
  <c r="F99" i="6"/>
  <c r="G99" i="6"/>
  <c r="F100" i="6"/>
  <c r="G100" i="6"/>
  <c r="Q7" i="6"/>
  <c r="Q8" i="6"/>
  <c r="Q9" i="6"/>
  <c r="Q10" i="6"/>
  <c r="Q11" i="6"/>
  <c r="Q12" i="6"/>
  <c r="Q13" i="6"/>
  <c r="Q14" i="6"/>
  <c r="Q15" i="6"/>
  <c r="Q16" i="6"/>
  <c r="B2002" i="4" l="1"/>
  <c r="V2002" i="4" s="1"/>
  <c r="V2001" i="4"/>
  <c r="M332" i="4"/>
  <c r="M333" i="4" s="1"/>
  <c r="N332" i="4"/>
  <c r="N333" i="4" s="1"/>
  <c r="D235" i="4"/>
  <c r="D236" i="4" s="1"/>
  <c r="D237" i="4" s="1"/>
  <c r="D238" i="4" s="1"/>
  <c r="D239" i="4" s="1"/>
  <c r="D240" i="4" s="1"/>
  <c r="D241" i="4" s="1"/>
  <c r="D242" i="4" s="1"/>
  <c r="D243" i="4" s="1"/>
  <c r="D244" i="4" s="1"/>
  <c r="D245" i="4" s="1"/>
  <c r="D246" i="4" s="1"/>
  <c r="D247" i="4" s="1"/>
  <c r="D248" i="4" s="1"/>
  <c r="D249" i="4" s="1"/>
  <c r="N235" i="4"/>
  <c r="N236" i="4" s="1"/>
  <c r="N237" i="4" s="1"/>
  <c r="N238" i="4" s="1"/>
  <c r="N241" i="4" s="1"/>
  <c r="N242" i="4" s="1"/>
  <c r="N243" i="4" s="1"/>
  <c r="N244" i="4" s="1"/>
  <c r="N245" i="4" s="1"/>
  <c r="N246" i="4" s="1"/>
  <c r="N247" i="4" s="1"/>
  <c r="N248" i="4" s="1"/>
  <c r="N249" i="4" s="1"/>
  <c r="M235" i="4"/>
  <c r="M236" i="4" s="1"/>
  <c r="M237" i="4" s="1"/>
  <c r="M238" i="4" s="1"/>
  <c r="M241" i="4" s="1"/>
  <c r="M242" i="4" s="1"/>
  <c r="M243" i="4" s="1"/>
  <c r="M244" i="4" s="1"/>
  <c r="M245" i="4" s="1"/>
  <c r="M246" i="4" s="1"/>
  <c r="M247" i="4" s="1"/>
  <c r="M248" i="4" s="1"/>
  <c r="M249" i="4" s="1"/>
  <c r="K66" i="4"/>
  <c r="J99" i="4"/>
  <c r="K17" i="4"/>
  <c r="J389" i="4"/>
  <c r="D252" i="4"/>
  <c r="D253" i="4" s="1"/>
  <c r="D254" i="4" s="1"/>
  <c r="D255" i="4" s="1"/>
  <c r="D256" i="4" s="1"/>
  <c r="D257" i="4" s="1"/>
  <c r="D258" i="4" s="1"/>
  <c r="D259" i="4" s="1"/>
  <c r="D260" i="4" s="1"/>
  <c r="D261" i="4" s="1"/>
  <c r="D262" i="4" s="1"/>
  <c r="D263" i="4" s="1"/>
  <c r="D264" i="4" s="1"/>
  <c r="D265" i="4" s="1"/>
  <c r="D266" i="4" s="1"/>
  <c r="D267" i="4" s="1"/>
  <c r="D269" i="4" s="1"/>
  <c r="D270" i="4" s="1"/>
  <c r="D271" i="4" s="1"/>
  <c r="D272" i="4" s="1"/>
  <c r="D273" i="4" s="1"/>
  <c r="D274" i="4" s="1"/>
  <c r="D275" i="4" s="1"/>
  <c r="D276" i="4" s="1"/>
  <c r="D277" i="4" s="1"/>
  <c r="D278" i="4" s="1"/>
  <c r="D279" i="4" s="1"/>
  <c r="D280" i="4" s="1"/>
  <c r="D281" i="4" s="1"/>
  <c r="D282" i="4" s="1"/>
  <c r="D283" i="4" s="1"/>
  <c r="D284" i="4" s="1"/>
  <c r="D290" i="4" s="1"/>
  <c r="D291" i="4" s="1"/>
  <c r="D292" i="4" s="1"/>
  <c r="D293" i="4" s="1"/>
  <c r="D294" i="4" s="1"/>
  <c r="D295" i="4" s="1"/>
  <c r="D296" i="4" s="1"/>
  <c r="D297" i="4" s="1"/>
  <c r="D298" i="4" s="1"/>
  <c r="D299" i="4" s="1"/>
  <c r="D300" i="4" s="1"/>
  <c r="D301" i="4" s="1"/>
  <c r="D302" i="4" s="1"/>
  <c r="D303" i="4" s="1"/>
  <c r="D304" i="4" s="1"/>
  <c r="D305" i="4" s="1"/>
  <c r="D308" i="4" s="1"/>
  <c r="D309" i="4" s="1"/>
  <c r="D310" i="4" s="1"/>
  <c r="D311" i="4" s="1"/>
  <c r="D312" i="4" s="1"/>
  <c r="D313" i="4" s="1"/>
  <c r="D314" i="4" s="1"/>
  <c r="D315" i="4" s="1"/>
  <c r="D316" i="4" s="1"/>
  <c r="D317" i="4" s="1"/>
  <c r="D318" i="4" s="1"/>
  <c r="D319" i="4" s="1"/>
  <c r="D320" i="4" s="1"/>
  <c r="D321" i="4" s="1"/>
  <c r="D322" i="4" s="1"/>
  <c r="D323" i="4" s="1"/>
  <c r="D326" i="4" s="1"/>
  <c r="D327" i="4" s="1"/>
  <c r="D328" i="4" s="1"/>
  <c r="D329" i="4" s="1"/>
  <c r="D330" i="4" s="1"/>
  <c r="D331" i="4" s="1"/>
  <c r="L388" i="4"/>
  <c r="O387" i="4"/>
  <c r="O98" i="4"/>
  <c r="L99" i="4"/>
  <c r="K99" i="4"/>
  <c r="L84" i="4"/>
  <c r="O83" i="4"/>
  <c r="J83" i="4"/>
  <c r="K83" i="4"/>
  <c r="D64" i="4"/>
  <c r="D65" i="4" s="1"/>
  <c r="D66" i="4" s="1"/>
  <c r="D67" i="4" s="1"/>
  <c r="D68" i="4" s="1"/>
  <c r="D69" i="4" s="1"/>
  <c r="D70" i="4" s="1"/>
  <c r="D71" i="4" s="1"/>
  <c r="D72" i="4" s="1"/>
  <c r="D73" i="4" s="1"/>
  <c r="D74" i="4" s="1"/>
  <c r="D75" i="4" s="1"/>
  <c r="D76" i="4" s="1"/>
  <c r="D77" i="4" s="1"/>
  <c r="D78" i="4" s="1"/>
  <c r="D79" i="4" s="1"/>
  <c r="M46" i="4"/>
  <c r="M47" i="4" s="1"/>
  <c r="M48" i="4" s="1"/>
  <c r="M49" i="4" s="1"/>
  <c r="M50" i="4" s="1"/>
  <c r="M51" i="4" s="1"/>
  <c r="M52" i="4" s="1"/>
  <c r="M53" i="4" s="1"/>
  <c r="M54" i="4" s="1"/>
  <c r="M55" i="4" s="1"/>
  <c r="M56" i="4" s="1"/>
  <c r="M57" i="4" s="1"/>
  <c r="M58" i="4" s="1"/>
  <c r="M59" i="4" s="1"/>
  <c r="M60" i="4" s="1"/>
  <c r="M61" i="4" s="1"/>
  <c r="N46" i="4"/>
  <c r="N47" i="4" s="1"/>
  <c r="N48" i="4" s="1"/>
  <c r="N49" i="4" s="1"/>
  <c r="N50" i="4" s="1"/>
  <c r="N51" i="4" s="1"/>
  <c r="N52" i="4" s="1"/>
  <c r="N53" i="4" s="1"/>
  <c r="N54" i="4" s="1"/>
  <c r="N55" i="4" s="1"/>
  <c r="N56" i="4" s="1"/>
  <c r="N57" i="4" s="1"/>
  <c r="N58" i="4" s="1"/>
  <c r="N59" i="4" s="1"/>
  <c r="N60" i="4" s="1"/>
  <c r="N61" i="4" s="1"/>
  <c r="L46" i="4"/>
  <c r="D46" i="4"/>
  <c r="D47" i="4" s="1"/>
  <c r="D48" i="4" s="1"/>
  <c r="D49" i="4" s="1"/>
  <c r="D50" i="4" s="1"/>
  <c r="D51" i="4" s="1"/>
  <c r="D52" i="4" s="1"/>
  <c r="D53" i="4" s="1"/>
  <c r="D54" i="4" s="1"/>
  <c r="D55" i="4" s="1"/>
  <c r="D56" i="4" s="1"/>
  <c r="D57" i="4" s="1"/>
  <c r="D58" i="4" s="1"/>
  <c r="D59" i="4" s="1"/>
  <c r="D60" i="4" s="1"/>
  <c r="D61" i="4" s="1"/>
  <c r="Q46" i="4"/>
  <c r="Q47" i="4" s="1"/>
  <c r="Q48" i="4" s="1"/>
  <c r="Q49" i="4" s="1"/>
  <c r="Q50" i="4" s="1"/>
  <c r="Q51" i="4" s="1"/>
  <c r="Q52" i="4" s="1"/>
  <c r="Q53" i="4" s="1"/>
  <c r="Q54" i="4" s="1"/>
  <c r="Q55" i="4" s="1"/>
  <c r="Q56" i="4" s="1"/>
  <c r="Q57" i="4" s="1"/>
  <c r="Q58" i="4" s="1"/>
  <c r="Q59" i="4" s="1"/>
  <c r="Q60" i="4" s="1"/>
  <c r="Q61" i="4" s="1"/>
  <c r="Q62" i="4" s="1"/>
  <c r="H31" i="4"/>
  <c r="H32" i="4" s="1"/>
  <c r="J31" i="4"/>
  <c r="K31" i="4"/>
  <c r="D30" i="4"/>
  <c r="D31" i="4" s="1"/>
  <c r="D32" i="4" s="1"/>
  <c r="D33" i="4" s="1"/>
  <c r="D34" i="4" s="1"/>
  <c r="D35" i="4" s="1"/>
  <c r="D36" i="4" s="1"/>
  <c r="D37" i="4" s="1"/>
  <c r="D38" i="4" s="1"/>
  <c r="D39" i="4" s="1"/>
  <c r="L30" i="4"/>
  <c r="N30" i="4"/>
  <c r="N31" i="4" s="1"/>
  <c r="N32" i="4" s="1"/>
  <c r="N33" i="4" s="1"/>
  <c r="N34" i="4" s="1"/>
  <c r="N35" i="4" s="1"/>
  <c r="N36" i="4" s="1"/>
  <c r="N37" i="4" s="1"/>
  <c r="N38" i="4" s="1"/>
  <c r="N39" i="4" s="1"/>
  <c r="M30" i="4"/>
  <c r="M31" i="4" s="1"/>
  <c r="M32" i="4" s="1"/>
  <c r="M33" i="4" s="1"/>
  <c r="M34" i="4" s="1"/>
  <c r="M35" i="4" s="1"/>
  <c r="M36" i="4" s="1"/>
  <c r="M37" i="4" s="1"/>
  <c r="M38" i="4" s="1"/>
  <c r="M39" i="4" s="1"/>
  <c r="H14" i="4"/>
  <c r="H15" i="4" s="1"/>
  <c r="H16" i="4" s="1"/>
  <c r="H17" i="4" s="1"/>
  <c r="H18" i="4" s="1"/>
  <c r="H19" i="4" s="1"/>
  <c r="H20" i="4" s="1"/>
  <c r="H21" i="4" s="1"/>
  <c r="H22" i="4" s="1"/>
  <c r="H23" i="4" s="1"/>
  <c r="H24" i="4" s="1"/>
  <c r="H25" i="4" s="1"/>
  <c r="H26" i="4" s="1"/>
  <c r="H27" i="4" s="1"/>
  <c r="H28" i="4" s="1"/>
  <c r="O12" i="4"/>
  <c r="O13" i="4"/>
  <c r="D13" i="4"/>
  <c r="D14" i="4" s="1"/>
  <c r="D15" i="4" s="1"/>
  <c r="D16" i="4" s="1"/>
  <c r="D17" i="4" s="1"/>
  <c r="D18" i="4" s="1"/>
  <c r="D19" i="4" s="1"/>
  <c r="D20" i="4" s="1"/>
  <c r="D21" i="4" s="1"/>
  <c r="D22" i="4" s="1"/>
  <c r="D23" i="4" s="1"/>
  <c r="D24" i="4" s="1"/>
  <c r="D25" i="4" s="1"/>
  <c r="D26" i="4" s="1"/>
  <c r="D27" i="4" s="1"/>
  <c r="D28" i="4" s="1"/>
  <c r="C13" i="4"/>
  <c r="B13" i="4"/>
  <c r="V13" i="4" s="1"/>
  <c r="N14" i="4"/>
  <c r="N15" i="4" s="1"/>
  <c r="N16" i="4" s="1"/>
  <c r="N17" i="4" s="1"/>
  <c r="N18" i="4" s="1"/>
  <c r="N19" i="4" s="1"/>
  <c r="N20" i="4" s="1"/>
  <c r="N21" i="4" s="1"/>
  <c r="N22" i="4" s="1"/>
  <c r="N23" i="4" s="1"/>
  <c r="N24" i="4" s="1"/>
  <c r="N25" i="4" s="1"/>
  <c r="N26" i="4" s="1"/>
  <c r="N27" i="4" s="1"/>
  <c r="N28" i="4" s="1"/>
  <c r="M14" i="4"/>
  <c r="M15" i="4" s="1"/>
  <c r="M16" i="4" s="1"/>
  <c r="M17" i="4" s="1"/>
  <c r="M18" i="4" s="1"/>
  <c r="M19" i="4" s="1"/>
  <c r="M20" i="4" s="1"/>
  <c r="M21" i="4" s="1"/>
  <c r="M22" i="4" s="1"/>
  <c r="M23" i="4" s="1"/>
  <c r="M24" i="4" s="1"/>
  <c r="M25" i="4" s="1"/>
  <c r="M26" i="4" s="1"/>
  <c r="M27" i="4" s="1"/>
  <c r="M28" i="4" s="1"/>
  <c r="L14" i="4"/>
  <c r="O14" i="4" s="1"/>
  <c r="C14" i="4" l="1"/>
  <c r="R13" i="4"/>
  <c r="N338" i="4"/>
  <c r="N339" i="4" s="1"/>
  <c r="N340" i="4" s="1"/>
  <c r="N341" i="4" s="1"/>
  <c r="N342" i="4" s="1"/>
  <c r="N343" i="4" s="1"/>
  <c r="N344" i="4" s="1"/>
  <c r="N345" i="4" s="1"/>
  <c r="N346" i="4" s="1"/>
  <c r="N347" i="4" s="1"/>
  <c r="N348" i="4" s="1"/>
  <c r="N349" i="4" s="1"/>
  <c r="N350" i="4" s="1"/>
  <c r="N351" i="4" s="1"/>
  <c r="N352" i="4" s="1"/>
  <c r="N353" i="4" s="1"/>
  <c r="N354" i="4" s="1"/>
  <c r="N356" i="4" s="1"/>
  <c r="N357" i="4" s="1"/>
  <c r="N358" i="4" s="1"/>
  <c r="N359" i="4" s="1"/>
  <c r="N360" i="4" s="1"/>
  <c r="N361" i="4" s="1"/>
  <c r="N362" i="4" s="1"/>
  <c r="N363" i="4" s="1"/>
  <c r="N364" i="4" s="1"/>
  <c r="N365" i="4" s="1"/>
  <c r="N366" i="4" s="1"/>
  <c r="N367" i="4" s="1"/>
  <c r="N368" i="4" s="1"/>
  <c r="N369" i="4" s="1"/>
  <c r="N370" i="4" s="1"/>
  <c r="N371" i="4" s="1"/>
  <c r="N334" i="4"/>
  <c r="M338" i="4"/>
  <c r="M339" i="4" s="1"/>
  <c r="M340" i="4" s="1"/>
  <c r="M341" i="4" s="1"/>
  <c r="M342" i="4" s="1"/>
  <c r="M343" i="4" s="1"/>
  <c r="M344" i="4" s="1"/>
  <c r="M345" i="4" s="1"/>
  <c r="M346" i="4" s="1"/>
  <c r="M347" i="4" s="1"/>
  <c r="M348" i="4" s="1"/>
  <c r="M349" i="4" s="1"/>
  <c r="M350" i="4" s="1"/>
  <c r="M351" i="4" s="1"/>
  <c r="M352" i="4" s="1"/>
  <c r="M353" i="4" s="1"/>
  <c r="M354" i="4" s="1"/>
  <c r="M356" i="4" s="1"/>
  <c r="M357" i="4" s="1"/>
  <c r="M358" i="4" s="1"/>
  <c r="M359" i="4" s="1"/>
  <c r="M360" i="4" s="1"/>
  <c r="M361" i="4" s="1"/>
  <c r="M362" i="4" s="1"/>
  <c r="M363" i="4" s="1"/>
  <c r="M364" i="4" s="1"/>
  <c r="M365" i="4" s="1"/>
  <c r="M366" i="4" s="1"/>
  <c r="M367" i="4" s="1"/>
  <c r="M368" i="4" s="1"/>
  <c r="M369" i="4" s="1"/>
  <c r="M370" i="4" s="1"/>
  <c r="M371" i="4" s="1"/>
  <c r="M334" i="4"/>
  <c r="D332" i="4"/>
  <c r="D333" i="4" s="1"/>
  <c r="M40" i="4"/>
  <c r="M41" i="4" s="1"/>
  <c r="M42" i="4" s="1"/>
  <c r="M43" i="4" s="1"/>
  <c r="M44" i="4" s="1"/>
  <c r="N40" i="4"/>
  <c r="N41" i="4" s="1"/>
  <c r="N42" i="4" s="1"/>
  <c r="N43" i="4" s="1"/>
  <c r="N44" i="4" s="1"/>
  <c r="D40" i="4"/>
  <c r="D41" i="4" s="1"/>
  <c r="D42" i="4" s="1"/>
  <c r="D43" i="4" s="1"/>
  <c r="D44" i="4" s="1"/>
  <c r="L31" i="4"/>
  <c r="K67" i="4"/>
  <c r="K68" i="4" s="1"/>
  <c r="J100" i="4"/>
  <c r="K32" i="4"/>
  <c r="K18" i="4"/>
  <c r="B14" i="4"/>
  <c r="V14" i="4" s="1"/>
  <c r="J390" i="4"/>
  <c r="L389" i="4"/>
  <c r="O388" i="4"/>
  <c r="Q64" i="4"/>
  <c r="Q65" i="4" s="1"/>
  <c r="Q66" i="4" s="1"/>
  <c r="Q67" i="4" s="1"/>
  <c r="Q68" i="4" s="1"/>
  <c r="Q69" i="4" s="1"/>
  <c r="Q70" i="4" s="1"/>
  <c r="Q71" i="4" s="1"/>
  <c r="Q72" i="4" s="1"/>
  <c r="Q73" i="4" s="1"/>
  <c r="Q74" i="4" s="1"/>
  <c r="Q75" i="4" s="1"/>
  <c r="Q76" i="4" s="1"/>
  <c r="Q77" i="4" s="1"/>
  <c r="Q78" i="4" s="1"/>
  <c r="Q79" i="4" s="1"/>
  <c r="Q81" i="4" s="1"/>
  <c r="Q82" i="4" s="1"/>
  <c r="Q83" i="4" s="1"/>
  <c r="Q84" i="4" s="1"/>
  <c r="Q85" i="4" s="1"/>
  <c r="Q86" i="4" s="1"/>
  <c r="Q87" i="4" s="1"/>
  <c r="Q88" i="4" s="1"/>
  <c r="Q89" i="4" s="1"/>
  <c r="Q90" i="4" s="1"/>
  <c r="Q91" i="4" s="1"/>
  <c r="Q92" i="4" s="1"/>
  <c r="Q93" i="4" s="1"/>
  <c r="Q94" i="4" s="1"/>
  <c r="L47" i="4"/>
  <c r="O47" i="4" s="1"/>
  <c r="O46" i="4"/>
  <c r="O148" i="4"/>
  <c r="O142" i="4"/>
  <c r="K144" i="4"/>
  <c r="J32" i="4"/>
  <c r="K100" i="4"/>
  <c r="L100" i="4"/>
  <c r="O99" i="4"/>
  <c r="L85" i="4"/>
  <c r="O84" i="4"/>
  <c r="K84" i="4"/>
  <c r="J84" i="4"/>
  <c r="L15" i="4"/>
  <c r="O15" i="4" s="1"/>
  <c r="H33" i="4"/>
  <c r="H34" i="4" s="1"/>
  <c r="H35" i="4" s="1"/>
  <c r="H36" i="4" s="1"/>
  <c r="H37" i="4" s="1"/>
  <c r="H38" i="4" s="1"/>
  <c r="H39" i="4" s="1"/>
  <c r="H41" i="4" s="1"/>
  <c r="H42" i="4" s="1"/>
  <c r="H43" i="4" s="1"/>
  <c r="H44" i="4" s="1"/>
  <c r="C15" i="4" l="1"/>
  <c r="R14" i="4"/>
  <c r="D336" i="4"/>
  <c r="D339" i="4" s="1"/>
  <c r="D340" i="4" s="1"/>
  <c r="D341" i="4" s="1"/>
  <c r="D342" i="4" s="1"/>
  <c r="D343" i="4" s="1"/>
  <c r="D344" i="4" s="1"/>
  <c r="D345" i="4" s="1"/>
  <c r="D346" i="4" s="1"/>
  <c r="D347" i="4" s="1"/>
  <c r="D348" i="4" s="1"/>
  <c r="D349" i="4" s="1"/>
  <c r="D350" i="4" s="1"/>
  <c r="D351" i="4" s="1"/>
  <c r="D352" i="4" s="1"/>
  <c r="D353" i="4" s="1"/>
  <c r="D354" i="4" s="1"/>
  <c r="D357" i="4" s="1"/>
  <c r="D358" i="4" s="1"/>
  <c r="D359" i="4" s="1"/>
  <c r="D360" i="4" s="1"/>
  <c r="D361" i="4" s="1"/>
  <c r="D362" i="4" s="1"/>
  <c r="D363" i="4" s="1"/>
  <c r="D364" i="4" s="1"/>
  <c r="D365" i="4" s="1"/>
  <c r="D366" i="4" s="1"/>
  <c r="D367" i="4" s="1"/>
  <c r="D368" i="4" s="1"/>
  <c r="D369" i="4" s="1"/>
  <c r="D370" i="4" s="1"/>
  <c r="D371" i="4" s="1"/>
  <c r="D373" i="4" s="1"/>
  <c r="D334" i="4"/>
  <c r="Q97" i="4"/>
  <c r="Q98" i="4" s="1"/>
  <c r="Q99" i="4" s="1"/>
  <c r="Q100" i="4" s="1"/>
  <c r="Q101" i="4" s="1"/>
  <c r="Q102" i="4" s="1"/>
  <c r="Q103" i="4" s="1"/>
  <c r="Q104" i="4" s="1"/>
  <c r="Q105" i="4" s="1"/>
  <c r="Q106" i="4" s="1"/>
  <c r="Q107" i="4" s="1"/>
  <c r="Q108" i="4" s="1"/>
  <c r="Q109" i="4" s="1"/>
  <c r="Q110" i="4" s="1"/>
  <c r="Q111" i="4" s="1"/>
  <c r="Q112" i="4" s="1"/>
  <c r="Q116" i="4" s="1"/>
  <c r="Q117" i="4" s="1"/>
  <c r="Q118" i="4" s="1"/>
  <c r="Q119" i="4" s="1"/>
  <c r="Q120" i="4" s="1"/>
  <c r="Q121" i="4" s="1"/>
  <c r="Q122" i="4" s="1"/>
  <c r="Q123" i="4" s="1"/>
  <c r="Q124" i="4" s="1"/>
  <c r="Q125" i="4" s="1"/>
  <c r="Q126" i="4" s="1"/>
  <c r="Q127" i="4" s="1"/>
  <c r="Q128" i="4" s="1"/>
  <c r="Q129" i="4" s="1"/>
  <c r="Q130" i="4" s="1"/>
  <c r="Q131" i="4" s="1"/>
  <c r="Q156" i="4" s="1"/>
  <c r="Q157" i="4" s="1"/>
  <c r="Q158" i="4" s="1"/>
  <c r="Q159" i="4" s="1"/>
  <c r="Q160" i="4" s="1"/>
  <c r="Q161" i="4" s="1"/>
  <c r="Q162" i="4" s="1"/>
  <c r="Q163" i="4" s="1"/>
  <c r="Q164" i="4" s="1"/>
  <c r="Q165" i="4" s="1"/>
  <c r="Q166" i="4" s="1"/>
  <c r="Q167" i="4" s="1"/>
  <c r="Q168" i="4" s="1"/>
  <c r="Q169" i="4" s="1"/>
  <c r="Q170" i="4" s="1"/>
  <c r="Q171" i="4" s="1"/>
  <c r="Q173" i="4" s="1"/>
  <c r="Q174" i="4" s="1"/>
  <c r="Q175" i="4" s="1"/>
  <c r="Q176" i="4" s="1"/>
  <c r="Q177" i="4" s="1"/>
  <c r="Q178" i="4" s="1"/>
  <c r="Q179" i="4" s="1"/>
  <c r="Q180" i="4" s="1"/>
  <c r="Q181" i="4" s="1"/>
  <c r="Q182" i="4" s="1"/>
  <c r="Q183" i="4" s="1"/>
  <c r="Q184" i="4" s="1"/>
  <c r="Q185" i="4" s="1"/>
  <c r="Q186" i="4" s="1"/>
  <c r="Q187" i="4" s="1"/>
  <c r="Q188" i="4" s="1"/>
  <c r="Q191" i="4" s="1"/>
  <c r="Q192" i="4" s="1"/>
  <c r="Q193" i="4" s="1"/>
  <c r="Q194" i="4" s="1"/>
  <c r="Q195" i="4" s="1"/>
  <c r="Q196" i="4" s="1"/>
  <c r="Q197" i="4" s="1"/>
  <c r="Q198" i="4" s="1"/>
  <c r="Q199" i="4" s="1"/>
  <c r="Q200" i="4" s="1"/>
  <c r="Q201" i="4" s="1"/>
  <c r="Q202" i="4" s="1"/>
  <c r="Q203" i="4" s="1"/>
  <c r="Q204" i="4" s="1"/>
  <c r="Q205" i="4" s="1"/>
  <c r="Q206" i="4" s="1"/>
  <c r="Q208" i="4" s="1"/>
  <c r="Q209" i="4" s="1"/>
  <c r="Q210" i="4" s="1"/>
  <c r="Q211" i="4" s="1"/>
  <c r="Q212" i="4" s="1"/>
  <c r="Q213" i="4" s="1"/>
  <c r="Q214" i="4" s="1"/>
  <c r="Q215" i="4" s="1"/>
  <c r="Q216" i="4" s="1"/>
  <c r="Q217" i="4" s="1"/>
  <c r="Q218" i="4" s="1"/>
  <c r="Q219" i="4" s="1"/>
  <c r="Q220" i="4" s="1"/>
  <c r="Q221" i="4" s="1"/>
  <c r="Q222" i="4" s="1"/>
  <c r="Q223" i="4" s="1"/>
  <c r="Q225" i="4" s="1"/>
  <c r="Q226" i="4" s="1"/>
  <c r="Q95" i="4"/>
  <c r="L32" i="4"/>
  <c r="K33" i="4"/>
  <c r="K34" i="4" s="1"/>
  <c r="J101" i="4"/>
  <c r="J102" i="4" s="1"/>
  <c r="J391" i="4"/>
  <c r="K19" i="4"/>
  <c r="K69" i="4"/>
  <c r="B15" i="4"/>
  <c r="V15" i="4" s="1"/>
  <c r="Q252" i="4"/>
  <c r="Q253" i="4" s="1"/>
  <c r="Q254" i="4" s="1"/>
  <c r="Q255" i="4" s="1"/>
  <c r="Q256" i="4" s="1"/>
  <c r="Q257" i="4" s="1"/>
  <c r="Q258" i="4" s="1"/>
  <c r="Q259" i="4" s="1"/>
  <c r="Q260" i="4" s="1"/>
  <c r="Q261" i="4" s="1"/>
  <c r="Q262" i="4" s="1"/>
  <c r="Q263" i="4" s="1"/>
  <c r="Q264" i="4" s="1"/>
  <c r="Q265" i="4" s="1"/>
  <c r="Q266" i="4" s="1"/>
  <c r="Q267" i="4" s="1"/>
  <c r="Q268" i="4" s="1"/>
  <c r="Q269" i="4" s="1"/>
  <c r="Q270" i="4" s="1"/>
  <c r="Q271" i="4" s="1"/>
  <c r="Q272" i="4" s="1"/>
  <c r="Q273" i="4" s="1"/>
  <c r="Q274" i="4" s="1"/>
  <c r="Q275" i="4" s="1"/>
  <c r="Q276" i="4" s="1"/>
  <c r="Q277" i="4" s="1"/>
  <c r="Q278" i="4" s="1"/>
  <c r="Q279" i="4" s="1"/>
  <c r="Q280" i="4" s="1"/>
  <c r="Q281" i="4" s="1"/>
  <c r="Q282" i="4" s="1"/>
  <c r="Q283" i="4" s="1"/>
  <c r="Q284" i="4" s="1"/>
  <c r="Q285" i="4" s="1"/>
  <c r="Q288" i="4" s="1"/>
  <c r="Q290" i="4" s="1"/>
  <c r="Q291" i="4" s="1"/>
  <c r="Q292" i="4" s="1"/>
  <c r="Q293" i="4" s="1"/>
  <c r="Q294" i="4" s="1"/>
  <c r="Q295" i="4" s="1"/>
  <c r="Q296" i="4" s="1"/>
  <c r="Q297" i="4" s="1"/>
  <c r="Q298" i="4" s="1"/>
  <c r="Q299" i="4" s="1"/>
  <c r="Q300" i="4" s="1"/>
  <c r="Q301" i="4" s="1"/>
  <c r="Q302" i="4" s="1"/>
  <c r="Q303" i="4" s="1"/>
  <c r="Q304" i="4" s="1"/>
  <c r="Q305" i="4" s="1"/>
  <c r="Q308" i="4" s="1"/>
  <c r="Q309" i="4" s="1"/>
  <c r="Q310" i="4" s="1"/>
  <c r="Q311" i="4" s="1"/>
  <c r="Q312" i="4" s="1"/>
  <c r="Q249" i="4"/>
  <c r="L48" i="4"/>
  <c r="O48" i="4" s="1"/>
  <c r="L390" i="4"/>
  <c r="O389" i="4"/>
  <c r="J64" i="4"/>
  <c r="O149" i="4"/>
  <c r="J33" i="4"/>
  <c r="K101" i="4"/>
  <c r="L101" i="4"/>
  <c r="O100" i="4"/>
  <c r="L86" i="4"/>
  <c r="O85" i="4"/>
  <c r="J85" i="4"/>
  <c r="K85" i="4"/>
  <c r="L16" i="4"/>
  <c r="O16" i="4" s="1"/>
  <c r="C16" i="4" l="1"/>
  <c r="R15" i="4"/>
  <c r="Q227" i="4"/>
  <c r="Q228" i="4" s="1"/>
  <c r="Q229" i="4" s="1"/>
  <c r="Q230" i="4" s="1"/>
  <c r="Q231" i="4" s="1"/>
  <c r="Q232" i="4" s="1"/>
  <c r="Q233" i="4" s="1"/>
  <c r="Q234" i="4" s="1"/>
  <c r="Q326" i="4"/>
  <c r="Q327" i="4" s="1"/>
  <c r="Q328" i="4" s="1"/>
  <c r="Q329" i="4" s="1"/>
  <c r="Q330" i="4" s="1"/>
  <c r="Q331" i="4" s="1"/>
  <c r="Q313" i="4"/>
  <c r="Q314" i="4" s="1"/>
  <c r="Q315" i="4" s="1"/>
  <c r="Q316" i="4" s="1"/>
  <c r="Q317" i="4" s="1"/>
  <c r="Q318" i="4" s="1"/>
  <c r="Q319" i="4" s="1"/>
  <c r="Q320" i="4" s="1"/>
  <c r="Q321" i="4" s="1"/>
  <c r="Q322" i="4" s="1"/>
  <c r="Q323" i="4" s="1"/>
  <c r="L33" i="4"/>
  <c r="B16" i="4"/>
  <c r="V16" i="4" s="1"/>
  <c r="K20" i="4"/>
  <c r="J65" i="4"/>
  <c r="K70" i="4"/>
  <c r="J392" i="4"/>
  <c r="L49" i="4"/>
  <c r="L50" i="4" s="1"/>
  <c r="K377" i="4"/>
  <c r="L391" i="4"/>
  <c r="O390" i="4"/>
  <c r="O150" i="4"/>
  <c r="O144" i="4"/>
  <c r="O143" i="4"/>
  <c r="J34" i="4"/>
  <c r="J103" i="4"/>
  <c r="K102" i="4"/>
  <c r="L102" i="4"/>
  <c r="O101" i="4"/>
  <c r="L87" i="4"/>
  <c r="O86" i="4"/>
  <c r="K86" i="4"/>
  <c r="J86" i="4"/>
  <c r="L17" i="4"/>
  <c r="L18" i="4" s="1"/>
  <c r="K35" i="4"/>
  <c r="C17" i="4" l="1"/>
  <c r="R16" i="4"/>
  <c r="Q332" i="4"/>
  <c r="Q333" i="4" s="1"/>
  <c r="Q235" i="4"/>
  <c r="Q236" i="4" s="1"/>
  <c r="Q237" i="4" s="1"/>
  <c r="Q238" i="4" s="1"/>
  <c r="Q241" i="4" s="1"/>
  <c r="Q242" i="4" s="1"/>
  <c r="Q243" i="4" s="1"/>
  <c r="L34" i="4"/>
  <c r="K71" i="4"/>
  <c r="K21" i="4"/>
  <c r="J394" i="4"/>
  <c r="J66" i="4"/>
  <c r="B17" i="4"/>
  <c r="V17" i="4" s="1"/>
  <c r="O49" i="4"/>
  <c r="K378" i="4"/>
  <c r="L392" i="4"/>
  <c r="O391" i="4"/>
  <c r="O151" i="4"/>
  <c r="J35" i="4"/>
  <c r="L103" i="4"/>
  <c r="O102" i="4"/>
  <c r="K103" i="4"/>
  <c r="J104" i="4"/>
  <c r="L88" i="4"/>
  <c r="O87" i="4"/>
  <c r="J87" i="4"/>
  <c r="K87" i="4"/>
  <c r="O17" i="4"/>
  <c r="L19" i="4"/>
  <c r="O18" i="4"/>
  <c r="O50" i="4"/>
  <c r="L51" i="4"/>
  <c r="K36" i="4"/>
  <c r="C18" i="4" l="1"/>
  <c r="R17" i="4"/>
  <c r="Q339" i="4"/>
  <c r="Q340" i="4" s="1"/>
  <c r="Q341" i="4" s="1"/>
  <c r="Q342" i="4" s="1"/>
  <c r="Q343" i="4" s="1"/>
  <c r="Q344" i="4" s="1"/>
  <c r="Q345" i="4" s="1"/>
  <c r="Q346" i="4" s="1"/>
  <c r="Q347" i="4" s="1"/>
  <c r="Q348" i="4" s="1"/>
  <c r="Q349" i="4" s="1"/>
  <c r="Q350" i="4" s="1"/>
  <c r="Q351" i="4" s="1"/>
  <c r="Q352" i="4" s="1"/>
  <c r="Q353" i="4" s="1"/>
  <c r="Q354" i="4" s="1"/>
  <c r="Q356" i="4" s="1"/>
  <c r="Q357" i="4" s="1"/>
  <c r="Q358" i="4" s="1"/>
  <c r="Q359" i="4" s="1"/>
  <c r="Q360" i="4" s="1"/>
  <c r="Q361" i="4" s="1"/>
  <c r="Q362" i="4" s="1"/>
  <c r="Q363" i="4" s="1"/>
  <c r="Q364" i="4" s="1"/>
  <c r="Q365" i="4" s="1"/>
  <c r="Q366" i="4" s="1"/>
  <c r="Q367" i="4" s="1"/>
  <c r="Q368" i="4" s="1"/>
  <c r="Q369" i="4" s="1"/>
  <c r="Q370" i="4" s="1"/>
  <c r="Q371" i="4" s="1"/>
  <c r="Q334" i="4"/>
  <c r="L35" i="4"/>
  <c r="J67" i="4"/>
  <c r="K72" i="4"/>
  <c r="K22" i="4"/>
  <c r="B18" i="4"/>
  <c r="V18" i="4" s="1"/>
  <c r="J395" i="4"/>
  <c r="K379" i="4"/>
  <c r="L394" i="4"/>
  <c r="O392" i="4"/>
  <c r="J36" i="4"/>
  <c r="J105" i="4"/>
  <c r="K104" i="4"/>
  <c r="L104" i="4"/>
  <c r="O103" i="4"/>
  <c r="L89" i="4"/>
  <c r="O88" i="4"/>
  <c r="K88" i="4"/>
  <c r="J88" i="4"/>
  <c r="O51" i="4"/>
  <c r="L52" i="4"/>
  <c r="K37" i="4"/>
  <c r="L20" i="4"/>
  <c r="O19" i="4"/>
  <c r="C19" i="4" l="1"/>
  <c r="R18" i="4"/>
  <c r="L36" i="4"/>
  <c r="K73" i="4"/>
  <c r="B19" i="4"/>
  <c r="V19" i="4" s="1"/>
  <c r="J396" i="4"/>
  <c r="K23" i="4"/>
  <c r="J68" i="4"/>
  <c r="K380" i="4"/>
  <c r="L395" i="4"/>
  <c r="O394" i="4"/>
  <c r="J37" i="4"/>
  <c r="L105" i="4"/>
  <c r="O104" i="4"/>
  <c r="K105" i="4"/>
  <c r="J106" i="4"/>
  <c r="L90" i="4"/>
  <c r="O89" i="4"/>
  <c r="J89" i="4"/>
  <c r="K89" i="4"/>
  <c r="K38" i="4"/>
  <c r="L21" i="4"/>
  <c r="O20" i="4"/>
  <c r="O52" i="4"/>
  <c r="L53" i="4"/>
  <c r="C20" i="4" l="1"/>
  <c r="R19" i="4"/>
  <c r="L37" i="4"/>
  <c r="L38" i="4" s="1"/>
  <c r="L39" i="4" s="1"/>
  <c r="K24" i="4"/>
  <c r="B20" i="4"/>
  <c r="V20" i="4" s="1"/>
  <c r="K74" i="4"/>
  <c r="J69" i="4"/>
  <c r="J397" i="4"/>
  <c r="K381" i="4"/>
  <c r="L396" i="4"/>
  <c r="O395" i="4"/>
  <c r="O152" i="4"/>
  <c r="J38" i="4"/>
  <c r="J107" i="4"/>
  <c r="K106" i="4"/>
  <c r="L106" i="4"/>
  <c r="O105" i="4"/>
  <c r="L91" i="4"/>
  <c r="O90" i="4"/>
  <c r="K90" i="4"/>
  <c r="J90" i="4"/>
  <c r="L64" i="4"/>
  <c r="O64" i="4" s="1"/>
  <c r="O53" i="4"/>
  <c r="L54" i="4"/>
  <c r="L22" i="4"/>
  <c r="O21" i="4"/>
  <c r="K39" i="4"/>
  <c r="K40" i="4" s="1"/>
  <c r="C21" i="4" l="1"/>
  <c r="R20" i="4"/>
  <c r="L40" i="4"/>
  <c r="L41" i="4" s="1"/>
  <c r="L42" i="4" s="1"/>
  <c r="L43" i="4" s="1"/>
  <c r="L44" i="4" s="1"/>
  <c r="J70" i="4"/>
  <c r="B21" i="4"/>
  <c r="V21" i="4" s="1"/>
  <c r="K75" i="4"/>
  <c r="J398" i="4"/>
  <c r="K25" i="4"/>
  <c r="K382" i="4"/>
  <c r="L397" i="4"/>
  <c r="O396" i="4"/>
  <c r="J39" i="4"/>
  <c r="J40" i="4" s="1"/>
  <c r="L107" i="4"/>
  <c r="O106" i="4"/>
  <c r="K107" i="4"/>
  <c r="J108" i="4"/>
  <c r="L92" i="4"/>
  <c r="O91" i="4"/>
  <c r="J91" i="4"/>
  <c r="K91" i="4"/>
  <c r="L65" i="4"/>
  <c r="O65" i="4" s="1"/>
  <c r="L23" i="4"/>
  <c r="O22" i="4"/>
  <c r="L55" i="4"/>
  <c r="O54" i="4"/>
  <c r="C22" i="4" l="1"/>
  <c r="R21" i="4"/>
  <c r="J399" i="4"/>
  <c r="B22" i="4"/>
  <c r="V22" i="4" s="1"/>
  <c r="K76" i="4"/>
  <c r="K26" i="4"/>
  <c r="J71" i="4"/>
  <c r="K383" i="4"/>
  <c r="L398" i="4"/>
  <c r="O397" i="4"/>
  <c r="O154" i="4"/>
  <c r="O153" i="4"/>
  <c r="J109" i="4"/>
  <c r="K108" i="4"/>
  <c r="L108" i="4"/>
  <c r="O107" i="4"/>
  <c r="L93" i="4"/>
  <c r="O92" i="4"/>
  <c r="K92" i="4"/>
  <c r="J92" i="4"/>
  <c r="L66" i="4"/>
  <c r="O66" i="4" s="1"/>
  <c r="O55" i="4"/>
  <c r="L56" i="4"/>
  <c r="L24" i="4"/>
  <c r="O23" i="4"/>
  <c r="C23" i="4" l="1"/>
  <c r="R22" i="4"/>
  <c r="K27" i="4"/>
  <c r="B23" i="4"/>
  <c r="V23" i="4" s="1"/>
  <c r="J72" i="4"/>
  <c r="K77" i="4"/>
  <c r="J400" i="4"/>
  <c r="K384" i="4"/>
  <c r="L399" i="4"/>
  <c r="O398" i="4"/>
  <c r="L109" i="4"/>
  <c r="O108" i="4"/>
  <c r="K109" i="4"/>
  <c r="J110" i="4"/>
  <c r="L94" i="4"/>
  <c r="L95" i="4" s="1"/>
  <c r="O93" i="4"/>
  <c r="J93" i="4"/>
  <c r="K93" i="4"/>
  <c r="L67" i="4"/>
  <c r="O67" i="4" s="1"/>
  <c r="K41" i="4"/>
  <c r="O56" i="4"/>
  <c r="L57" i="4"/>
  <c r="L25" i="4"/>
  <c r="O24" i="4"/>
  <c r="C24" i="4" l="1"/>
  <c r="R23" i="4"/>
  <c r="K78" i="4"/>
  <c r="B24" i="4"/>
  <c r="V24" i="4" s="1"/>
  <c r="J401" i="4"/>
  <c r="J73" i="4"/>
  <c r="K28" i="4"/>
  <c r="K385" i="4"/>
  <c r="L400" i="4"/>
  <c r="O399" i="4"/>
  <c r="J41" i="4"/>
  <c r="J111" i="4"/>
  <c r="K110" i="4"/>
  <c r="L110" i="4"/>
  <c r="O109" i="4"/>
  <c r="O94" i="4"/>
  <c r="K94" i="4"/>
  <c r="K95" i="4" s="1"/>
  <c r="J94" i="4"/>
  <c r="J95" i="4" s="1"/>
  <c r="L68" i="4"/>
  <c r="O68" i="4" s="1"/>
  <c r="K42" i="4"/>
  <c r="L26" i="4"/>
  <c r="O25" i="4"/>
  <c r="L58" i="4"/>
  <c r="O57" i="4"/>
  <c r="C25" i="4" l="1"/>
  <c r="R24" i="4"/>
  <c r="J74" i="4"/>
  <c r="B25" i="4"/>
  <c r="V25" i="4" s="1"/>
  <c r="J402" i="4"/>
  <c r="K79" i="4"/>
  <c r="K386" i="4"/>
  <c r="L401" i="4"/>
  <c r="O400" i="4"/>
  <c r="J42" i="4"/>
  <c r="L111" i="4"/>
  <c r="O110" i="4"/>
  <c r="K111" i="4"/>
  <c r="J112" i="4"/>
  <c r="O95" i="4"/>
  <c r="L69" i="4"/>
  <c r="O69" i="4" s="1"/>
  <c r="O58" i="4"/>
  <c r="L59" i="4"/>
  <c r="L27" i="4"/>
  <c r="O26" i="4"/>
  <c r="K43" i="4"/>
  <c r="C26" i="4" l="1"/>
  <c r="R25" i="4"/>
  <c r="B26" i="4"/>
  <c r="V26" i="4" s="1"/>
  <c r="J403" i="4"/>
  <c r="J75" i="4"/>
  <c r="K387" i="4"/>
  <c r="L402" i="4"/>
  <c r="O401" i="4"/>
  <c r="J43" i="4"/>
  <c r="K112" i="4"/>
  <c r="L112" i="4"/>
  <c r="O111" i="4"/>
  <c r="L70" i="4"/>
  <c r="O70" i="4" s="1"/>
  <c r="L28" i="4"/>
  <c r="O27" i="4"/>
  <c r="L60" i="4"/>
  <c r="O59" i="4"/>
  <c r="K44" i="4"/>
  <c r="C27" i="4" l="1"/>
  <c r="R26" i="4"/>
  <c r="O28" i="4"/>
  <c r="J404" i="4"/>
  <c r="J76" i="4"/>
  <c r="B27" i="4"/>
  <c r="V27" i="4" s="1"/>
  <c r="K388" i="4"/>
  <c r="L403" i="4"/>
  <c r="O402" i="4"/>
  <c r="J44" i="4"/>
  <c r="O112" i="4"/>
  <c r="L71" i="4"/>
  <c r="O71" i="4" s="1"/>
  <c r="O60" i="4"/>
  <c r="L61" i="4"/>
  <c r="O61" i="4" s="1"/>
  <c r="C28" i="4" l="1"/>
  <c r="R27" i="4"/>
  <c r="J77" i="4"/>
  <c r="J405" i="4"/>
  <c r="B28" i="4"/>
  <c r="V28" i="4" s="1"/>
  <c r="K389" i="4"/>
  <c r="L404" i="4"/>
  <c r="O403" i="4"/>
  <c r="L72" i="4"/>
  <c r="O72" i="4" s="1"/>
  <c r="C29" i="4" l="1"/>
  <c r="R29" i="4" s="1"/>
  <c r="R28" i="4"/>
  <c r="J406" i="4"/>
  <c r="J78" i="4"/>
  <c r="B29" i="4"/>
  <c r="V29" i="4" s="1"/>
  <c r="K390" i="4"/>
  <c r="L405" i="4"/>
  <c r="O404" i="4"/>
  <c r="L73" i="4"/>
  <c r="O73" i="4" s="1"/>
  <c r="K47" i="4"/>
  <c r="C30" i="4" l="1"/>
  <c r="R30" i="4" s="1"/>
  <c r="J79" i="4"/>
  <c r="J407" i="4"/>
  <c r="B30" i="4"/>
  <c r="V30" i="4" s="1"/>
  <c r="K391" i="4"/>
  <c r="L406" i="4"/>
  <c r="O405" i="4"/>
  <c r="J411" i="4"/>
  <c r="J47" i="4"/>
  <c r="L74" i="4"/>
  <c r="O74" i="4" s="1"/>
  <c r="K48" i="4"/>
  <c r="Q13" i="4"/>
  <c r="U13" i="4"/>
  <c r="Q14" i="4"/>
  <c r="U14" i="4"/>
  <c r="Q15" i="4"/>
  <c r="U15" i="4"/>
  <c r="Q16" i="4"/>
  <c r="U16" i="4"/>
  <c r="Q17" i="4"/>
  <c r="U17" i="4"/>
  <c r="Q18" i="4"/>
  <c r="U18" i="4"/>
  <c r="Q19" i="4"/>
  <c r="U19" i="4"/>
  <c r="Q20" i="4"/>
  <c r="U20" i="4"/>
  <c r="Q21" i="4"/>
  <c r="U21" i="4"/>
  <c r="Q22" i="4"/>
  <c r="U22" i="4"/>
  <c r="Q23" i="4"/>
  <c r="U23" i="4"/>
  <c r="Q24" i="4"/>
  <c r="U24" i="4"/>
  <c r="Q25" i="4"/>
  <c r="U25" i="4"/>
  <c r="Q26" i="4"/>
  <c r="U26" i="4"/>
  <c r="Q27" i="4"/>
  <c r="U27" i="4"/>
  <c r="Q28" i="4"/>
  <c r="U28" i="4"/>
  <c r="C31" i="4" l="1"/>
  <c r="R31" i="4" s="1"/>
  <c r="J408" i="4"/>
  <c r="B31" i="4"/>
  <c r="V31" i="4" s="1"/>
  <c r="K392" i="4"/>
  <c r="L407" i="4"/>
  <c r="O406" i="4"/>
  <c r="J48" i="4"/>
  <c r="K116" i="4"/>
  <c r="L75" i="4"/>
  <c r="O75" i="4" s="1"/>
  <c r="K49" i="4"/>
  <c r="U29" i="4"/>
  <c r="U30" i="4" s="1"/>
  <c r="U31" i="4" s="1"/>
  <c r="U32" i="4" s="1"/>
  <c r="U33" i="4" s="1"/>
  <c r="U34" i="4" s="1"/>
  <c r="U35" i="4" s="1"/>
  <c r="U36" i="4" s="1"/>
  <c r="U37" i="4" s="1"/>
  <c r="U38" i="4" s="1"/>
  <c r="U39" i="4" s="1"/>
  <c r="C4" i="6"/>
  <c r="K4" i="6"/>
  <c r="Z966" i="4" s="1"/>
  <c r="O4" i="6"/>
  <c r="G4" i="6"/>
  <c r="Q4" i="6"/>
  <c r="S4" i="6" s="1"/>
  <c r="N5" i="6"/>
  <c r="O5" i="6" s="1"/>
  <c r="J5" i="6"/>
  <c r="J6" i="6" s="1"/>
  <c r="F5" i="6"/>
  <c r="G5" i="6" s="1"/>
  <c r="B5" i="6"/>
  <c r="C5" i="6" s="1"/>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4" i="6"/>
  <c r="Q29" i="4"/>
  <c r="Q30" i="4" s="1"/>
  <c r="Q31" i="4" s="1"/>
  <c r="Q32" i="4" s="1"/>
  <c r="Q33" i="4" s="1"/>
  <c r="Q34" i="4" s="1"/>
  <c r="Q35" i="4" s="1"/>
  <c r="Q36" i="4" s="1"/>
  <c r="Q37" i="4" s="1"/>
  <c r="Q38" i="4" s="1"/>
  <c r="Q39" i="4" s="1"/>
  <c r="C32" i="4" l="1"/>
  <c r="R32" i="4" s="1"/>
  <c r="U40" i="4"/>
  <c r="U41" i="4" s="1"/>
  <c r="U42" i="4" s="1"/>
  <c r="U43" i="4" s="1"/>
  <c r="U44" i="4" s="1"/>
  <c r="U45" i="4" s="1"/>
  <c r="U46" i="4" s="1"/>
  <c r="U47" i="4" s="1"/>
  <c r="U48" i="4" s="1"/>
  <c r="U49" i="4" s="1"/>
  <c r="U50" i="4" s="1"/>
  <c r="U51" i="4" s="1"/>
  <c r="U52" i="4" s="1"/>
  <c r="U53" i="4" s="1"/>
  <c r="U54" i="4" s="1"/>
  <c r="U55" i="4" s="1"/>
  <c r="U56" i="4" s="1"/>
  <c r="U57" i="4" s="1"/>
  <c r="U58" i="4" s="1"/>
  <c r="U59" i="4" s="1"/>
  <c r="U60" i="4" s="1"/>
  <c r="U61" i="4" s="1"/>
  <c r="U62" i="4" s="1"/>
  <c r="U63" i="4" s="1"/>
  <c r="U64" i="4" s="1"/>
  <c r="U65" i="4" s="1"/>
  <c r="U66" i="4" s="1"/>
  <c r="U67" i="4" s="1"/>
  <c r="U68" i="4" s="1"/>
  <c r="U69" i="4" s="1"/>
  <c r="U70" i="4" s="1"/>
  <c r="U71" i="4" s="1"/>
  <c r="U72" i="4" s="1"/>
  <c r="U73" i="4" s="1"/>
  <c r="U74" i="4" s="1"/>
  <c r="U75" i="4" s="1"/>
  <c r="U76" i="4" s="1"/>
  <c r="U77" i="4" s="1"/>
  <c r="U78" i="4" s="1"/>
  <c r="U79" i="4" s="1"/>
  <c r="U80" i="4" s="1"/>
  <c r="U81" i="4" s="1"/>
  <c r="U82" i="4" s="1"/>
  <c r="U83" i="4" s="1"/>
  <c r="U84" i="4" s="1"/>
  <c r="U85" i="4" s="1"/>
  <c r="U86" i="4" s="1"/>
  <c r="U87" i="4" s="1"/>
  <c r="U88" i="4" s="1"/>
  <c r="U89" i="4" s="1"/>
  <c r="U90" i="4" s="1"/>
  <c r="U91" i="4" s="1"/>
  <c r="U92" i="4" s="1"/>
  <c r="U93" i="4" s="1"/>
  <c r="U94" i="4" s="1"/>
  <c r="Q40" i="4"/>
  <c r="Q41" i="4" s="1"/>
  <c r="Q42" i="4" s="1"/>
  <c r="Q43" i="4" s="1"/>
  <c r="Q44" i="4" s="1"/>
  <c r="Y357" i="4"/>
  <c r="Y361" i="4"/>
  <c r="Y365" i="4"/>
  <c r="Y369" i="4"/>
  <c r="Y373" i="4"/>
  <c r="Y358" i="4"/>
  <c r="Y362" i="4"/>
  <c r="Y366" i="4"/>
  <c r="Y370" i="4"/>
  <c r="Y355" i="4"/>
  <c r="Y359" i="4"/>
  <c r="Y363" i="4"/>
  <c r="Y367" i="4"/>
  <c r="Y371" i="4"/>
  <c r="Y364" i="4"/>
  <c r="Y368" i="4"/>
  <c r="Y356" i="4"/>
  <c r="Y372" i="4"/>
  <c r="Y360" i="4"/>
  <c r="Y98" i="4"/>
  <c r="Y102" i="4"/>
  <c r="Y106" i="4"/>
  <c r="Y110" i="4"/>
  <c r="Y99" i="4"/>
  <c r="Y103" i="4"/>
  <c r="Y96" i="4"/>
  <c r="Y100" i="4"/>
  <c r="Y104" i="4"/>
  <c r="Y108" i="4"/>
  <c r="Y112" i="4"/>
  <c r="Y101" i="4"/>
  <c r="Y111" i="4"/>
  <c r="Y539" i="4"/>
  <c r="Y543" i="4"/>
  <c r="Y547" i="4"/>
  <c r="Y551" i="4"/>
  <c r="Y555" i="4"/>
  <c r="Y105" i="4"/>
  <c r="Y540" i="4"/>
  <c r="Y544" i="4"/>
  <c r="Y548" i="4"/>
  <c r="Y552" i="4"/>
  <c r="Y107" i="4"/>
  <c r="Y541" i="4"/>
  <c r="Y545" i="4"/>
  <c r="Y549" i="4"/>
  <c r="Y553" i="4"/>
  <c r="Y554" i="4"/>
  <c r="Y97" i="4"/>
  <c r="Y542" i="4"/>
  <c r="Y109" i="4"/>
  <c r="Y546" i="4"/>
  <c r="Y550" i="4"/>
  <c r="Z408" i="4"/>
  <c r="Z30" i="4"/>
  <c r="Z225" i="4"/>
  <c r="Z251" i="4"/>
  <c r="Z393" i="4"/>
  <c r="Z451" i="4"/>
  <c r="Z800" i="4"/>
  <c r="Z834" i="4"/>
  <c r="Z936" i="4"/>
  <c r="Z970" i="4"/>
  <c r="Z156" i="4"/>
  <c r="Z226" i="4"/>
  <c r="Z62" i="4"/>
  <c r="Z96" i="4"/>
  <c r="Z434" i="4"/>
  <c r="Z590" i="4"/>
  <c r="Z783" i="4"/>
  <c r="Z817" i="4"/>
  <c r="Z919" i="4"/>
  <c r="Z953" i="4"/>
  <c r="Z540" i="4"/>
  <c r="Z918" i="4"/>
  <c r="Z1244" i="4"/>
  <c r="Z1248" i="4"/>
  <c r="Z1252" i="4"/>
  <c r="Z1256" i="4"/>
  <c r="Z1335" i="4"/>
  <c r="Z1339" i="4"/>
  <c r="Z1343" i="4"/>
  <c r="Z1347" i="4"/>
  <c r="Z1351" i="4"/>
  <c r="Z1355" i="4"/>
  <c r="Z1359" i="4"/>
  <c r="Z1363" i="4"/>
  <c r="Z1423" i="4"/>
  <c r="Z1427" i="4"/>
  <c r="Z1431" i="4"/>
  <c r="Z1435" i="4"/>
  <c r="Z1455" i="4"/>
  <c r="Z1459" i="4"/>
  <c r="Z1463" i="4"/>
  <c r="Z1467" i="4"/>
  <c r="Z1579" i="4"/>
  <c r="Z1583" i="4"/>
  <c r="Z1587" i="4"/>
  <c r="Z1591" i="4"/>
  <c r="Z1595" i="4"/>
  <c r="Z1599" i="4"/>
  <c r="Z1603" i="4"/>
  <c r="Z1607" i="4"/>
  <c r="Z557" i="4"/>
  <c r="Z935" i="4"/>
  <c r="Z1245" i="4"/>
  <c r="Z1249" i="4"/>
  <c r="Z1253" i="4"/>
  <c r="Z1257" i="4"/>
  <c r="Z173" i="4"/>
  <c r="Z574" i="4"/>
  <c r="Z952" i="4"/>
  <c r="Z1246" i="4"/>
  <c r="Z1250" i="4"/>
  <c r="Z1254" i="4"/>
  <c r="Z1258" i="4"/>
  <c r="Z1333" i="4"/>
  <c r="Z1337" i="4"/>
  <c r="Z1341" i="4"/>
  <c r="Z1345" i="4"/>
  <c r="Z1353" i="4"/>
  <c r="Z1357" i="4"/>
  <c r="Z1361" i="4"/>
  <c r="Z1365" i="4"/>
  <c r="Z1421" i="4"/>
  <c r="Z1425" i="4"/>
  <c r="Z1429" i="4"/>
  <c r="Z1433" i="4"/>
  <c r="Z1457" i="4"/>
  <c r="Z1461" i="4"/>
  <c r="Z1465" i="4"/>
  <c r="Z1469" i="4"/>
  <c r="Z1577" i="4"/>
  <c r="Z1581" i="4"/>
  <c r="Z1585" i="4"/>
  <c r="Z1589" i="4"/>
  <c r="Z1597" i="4"/>
  <c r="Z1601" i="4"/>
  <c r="Z1605" i="4"/>
  <c r="Z1609" i="4"/>
  <c r="Z1251" i="4"/>
  <c r="Z1336" i="4"/>
  <c r="Z1344" i="4"/>
  <c r="Z1352" i="4"/>
  <c r="Z1360" i="4"/>
  <c r="Z1424" i="4"/>
  <c r="Z1432" i="4"/>
  <c r="Z1456" i="4"/>
  <c r="Z1464" i="4"/>
  <c r="Z1584" i="4"/>
  <c r="Z1592" i="4"/>
  <c r="Z1600" i="4"/>
  <c r="Z1608" i="4"/>
  <c r="Z376" i="4"/>
  <c r="Z591" i="4"/>
  <c r="Z1255" i="4"/>
  <c r="Z1338" i="4"/>
  <c r="Z1346" i="4"/>
  <c r="Z1354" i="4"/>
  <c r="Z1362" i="4"/>
  <c r="Z1426" i="4"/>
  <c r="Z1434" i="4"/>
  <c r="Z1458" i="4"/>
  <c r="Z1466" i="4"/>
  <c r="Z1578" i="4"/>
  <c r="Z1586" i="4"/>
  <c r="Z1594" i="4"/>
  <c r="Z1602" i="4"/>
  <c r="Z1259" i="4"/>
  <c r="Z1340" i="4"/>
  <c r="Z1348" i="4"/>
  <c r="Z1356" i="4"/>
  <c r="Z1364" i="4"/>
  <c r="Z1428" i="4"/>
  <c r="Z1436" i="4"/>
  <c r="Z1460" i="4"/>
  <c r="Z1468" i="4"/>
  <c r="Z1580" i="4"/>
  <c r="Z1588" i="4"/>
  <c r="Z1596" i="4"/>
  <c r="Z1604" i="4"/>
  <c r="Z1342" i="4"/>
  <c r="Z1470" i="4"/>
  <c r="Z1598" i="4"/>
  <c r="Z1350" i="4"/>
  <c r="Z1606" i="4"/>
  <c r="Z1247" i="4"/>
  <c r="Z1358" i="4"/>
  <c r="Z1422" i="4"/>
  <c r="Z1582" i="4"/>
  <c r="Z1430" i="4"/>
  <c r="Z1334" i="4"/>
  <c r="Z1462" i="4"/>
  <c r="Z1590" i="4"/>
  <c r="Z971" i="4"/>
  <c r="Z835" i="4"/>
  <c r="Z937" i="4"/>
  <c r="Z920" i="4"/>
  <c r="Z818" i="4"/>
  <c r="Z801" i="4"/>
  <c r="Z954" i="4"/>
  <c r="Z784" i="4"/>
  <c r="Z819" i="4"/>
  <c r="Z836" i="4"/>
  <c r="Z972" i="4"/>
  <c r="Z938" i="4"/>
  <c r="Z802" i="4"/>
  <c r="Z921" i="4"/>
  <c r="Z785" i="4"/>
  <c r="Z955" i="4"/>
  <c r="Z837" i="4"/>
  <c r="Z973" i="4"/>
  <c r="Z922" i="4"/>
  <c r="Z786" i="4"/>
  <c r="Z820" i="4"/>
  <c r="Z803" i="4"/>
  <c r="Z956" i="4"/>
  <c r="Z939" i="4"/>
  <c r="Z923" i="4"/>
  <c r="Z804" i="4"/>
  <c r="Z957" i="4"/>
  <c r="Z787" i="4"/>
  <c r="Z838" i="4"/>
  <c r="Z940" i="4"/>
  <c r="Z821" i="4"/>
  <c r="Z974" i="4"/>
  <c r="Z941" i="4"/>
  <c r="Z924" i="4"/>
  <c r="Z788" i="4"/>
  <c r="Z805" i="4"/>
  <c r="Z958" i="4"/>
  <c r="Z822" i="4"/>
  <c r="Z975" i="4"/>
  <c r="Z839" i="4"/>
  <c r="Z840" i="4"/>
  <c r="Z942" i="4"/>
  <c r="Z823" i="4"/>
  <c r="Z976" i="4"/>
  <c r="Z806" i="4"/>
  <c r="Z959" i="4"/>
  <c r="Z789" i="4"/>
  <c r="Z925" i="4"/>
  <c r="Z977" i="4"/>
  <c r="Z926" i="4"/>
  <c r="Z790" i="4"/>
  <c r="Z807" i="4"/>
  <c r="Z841" i="4"/>
  <c r="Z943" i="4"/>
  <c r="Z824" i="4"/>
  <c r="Z961" i="4"/>
  <c r="Z960" i="4"/>
  <c r="Z962" i="4"/>
  <c r="Z808" i="4"/>
  <c r="Z791" i="4"/>
  <c r="Z945" i="4"/>
  <c r="Z825" i="4"/>
  <c r="Z842" i="4"/>
  <c r="Z927" i="4"/>
  <c r="Z944" i="4"/>
  <c r="Z978" i="4"/>
  <c r="Z843" i="4"/>
  <c r="Z826" i="4"/>
  <c r="Z928" i="4"/>
  <c r="Z809" i="4"/>
  <c r="Z963" i="4"/>
  <c r="Z979" i="4"/>
  <c r="Z792" i="4"/>
  <c r="Z946" i="4"/>
  <c r="Z964" i="4"/>
  <c r="Z844" i="4"/>
  <c r="Z947" i="4"/>
  <c r="Z811" i="4"/>
  <c r="Z929" i="4"/>
  <c r="Z827" i="4"/>
  <c r="Z981" i="4"/>
  <c r="Z930" i="4"/>
  <c r="Z980" i="4"/>
  <c r="Z810" i="4"/>
  <c r="Z793" i="4"/>
  <c r="Z828" i="4"/>
  <c r="Z845" i="4"/>
  <c r="Z982" i="4"/>
  <c r="Z948" i="4"/>
  <c r="Z794" i="4"/>
  <c r="Z931" i="4"/>
  <c r="Z812" i="4"/>
  <c r="Z965" i="4"/>
  <c r="Z932" i="4"/>
  <c r="Z795" i="4"/>
  <c r="Z983" i="4"/>
  <c r="Z377" i="4"/>
  <c r="Z949" i="4"/>
  <c r="Z813" i="4"/>
  <c r="Z829" i="4"/>
  <c r="Z846" i="4"/>
  <c r="Z847" i="4"/>
  <c r="Z984" i="4"/>
  <c r="Z796" i="4"/>
  <c r="Z950" i="4"/>
  <c r="Z830" i="4"/>
  <c r="Z814" i="4"/>
  <c r="Z378" i="4"/>
  <c r="Z933" i="4"/>
  <c r="Z967" i="4"/>
  <c r="Z934" i="4"/>
  <c r="Z831" i="4"/>
  <c r="Z815" i="4"/>
  <c r="Z985" i="4"/>
  <c r="Z848" i="4"/>
  <c r="Z379" i="4"/>
  <c r="Z951" i="4"/>
  <c r="Z968" i="4"/>
  <c r="Z797" i="4"/>
  <c r="Z380" i="4"/>
  <c r="Z798" i="4"/>
  <c r="Z849" i="4"/>
  <c r="Z832" i="4"/>
  <c r="Z381" i="4"/>
  <c r="Z382" i="4"/>
  <c r="Z383" i="4"/>
  <c r="Z384" i="4"/>
  <c r="Z385" i="4"/>
  <c r="Z386" i="4"/>
  <c r="Z387" i="4"/>
  <c r="Z97" i="4"/>
  <c r="Z388" i="4"/>
  <c r="Z98" i="4"/>
  <c r="Z389" i="4"/>
  <c r="Z99" i="4"/>
  <c r="Z31" i="4"/>
  <c r="Z390" i="4"/>
  <c r="Z100" i="4"/>
  <c r="Z32" i="4"/>
  <c r="Z101" i="4"/>
  <c r="Z102" i="4"/>
  <c r="Z33" i="4"/>
  <c r="Z391" i="4"/>
  <c r="Z34" i="4"/>
  <c r="Z392" i="4"/>
  <c r="Z103" i="4"/>
  <c r="Z394" i="4"/>
  <c r="Z104" i="4"/>
  <c r="Z35" i="4"/>
  <c r="Z105" i="4"/>
  <c r="Z395" i="4"/>
  <c r="Z36" i="4"/>
  <c r="Z396" i="4"/>
  <c r="Z106" i="4"/>
  <c r="Z37" i="4"/>
  <c r="Z38" i="4"/>
  <c r="Z107" i="4"/>
  <c r="Z397" i="4"/>
  <c r="Z108" i="4"/>
  <c r="Z398" i="4"/>
  <c r="Z39" i="4"/>
  <c r="Z399" i="4"/>
  <c r="Z109" i="4"/>
  <c r="Z40" i="4"/>
  <c r="Z110" i="4"/>
  <c r="Z400" i="4"/>
  <c r="Z111" i="4"/>
  <c r="Z401" i="4"/>
  <c r="Z41" i="4"/>
  <c r="Z42" i="4"/>
  <c r="Z112" i="4"/>
  <c r="Z402" i="4"/>
  <c r="Z403" i="4"/>
  <c r="Z43" i="4"/>
  <c r="Z44" i="4"/>
  <c r="Z404" i="4"/>
  <c r="Z405" i="4"/>
  <c r="Z406" i="4"/>
  <c r="X82" i="4"/>
  <c r="X86" i="4"/>
  <c r="X90" i="4"/>
  <c r="X94" i="4"/>
  <c r="X83" i="4"/>
  <c r="X87" i="4"/>
  <c r="X91" i="4"/>
  <c r="X80" i="4"/>
  <c r="X84" i="4"/>
  <c r="X88" i="4"/>
  <c r="X92" i="4"/>
  <c r="X95" i="4"/>
  <c r="X93" i="4"/>
  <c r="X81" i="4"/>
  <c r="X85" i="4"/>
  <c r="X89" i="4"/>
  <c r="X593" i="4"/>
  <c r="X597" i="4"/>
  <c r="X601" i="4"/>
  <c r="X605" i="4"/>
  <c r="X609" i="4"/>
  <c r="X613" i="4"/>
  <c r="X617" i="4"/>
  <c r="X621" i="4"/>
  <c r="X625" i="4"/>
  <c r="X629" i="4"/>
  <c r="X633" i="4"/>
  <c r="X637" i="4"/>
  <c r="X590" i="4"/>
  <c r="X594" i="4"/>
  <c r="X598" i="4"/>
  <c r="X602" i="4"/>
  <c r="X606" i="4"/>
  <c r="X610" i="4"/>
  <c r="X614" i="4"/>
  <c r="X618" i="4"/>
  <c r="X622" i="4"/>
  <c r="X626" i="4"/>
  <c r="X630" i="4"/>
  <c r="X634" i="4"/>
  <c r="X638" i="4"/>
  <c r="X591" i="4"/>
  <c r="X595" i="4"/>
  <c r="X599" i="4"/>
  <c r="X603" i="4"/>
  <c r="X607" i="4"/>
  <c r="X611" i="4"/>
  <c r="X615" i="4"/>
  <c r="X619" i="4"/>
  <c r="X623" i="4"/>
  <c r="X627" i="4"/>
  <c r="X631" i="4"/>
  <c r="X635" i="4"/>
  <c r="X639" i="4"/>
  <c r="X596" i="4"/>
  <c r="X612" i="4"/>
  <c r="X628" i="4"/>
  <c r="X600" i="4"/>
  <c r="X616" i="4"/>
  <c r="X632" i="4"/>
  <c r="X604" i="4"/>
  <c r="X620" i="4"/>
  <c r="X636" i="4"/>
  <c r="X592" i="4"/>
  <c r="X608" i="4"/>
  <c r="X624" i="4"/>
  <c r="X640" i="4"/>
  <c r="Z407" i="4"/>
  <c r="B32" i="4"/>
  <c r="V32" i="4" s="1"/>
  <c r="J409" i="4"/>
  <c r="Z409" i="4" s="1"/>
  <c r="K394" i="4"/>
  <c r="L408" i="4"/>
  <c r="O407" i="4"/>
  <c r="J49" i="4"/>
  <c r="K117" i="4"/>
  <c r="L76" i="4"/>
  <c r="O76" i="4" s="1"/>
  <c r="K50" i="4"/>
  <c r="B6" i="6"/>
  <c r="J7" i="6"/>
  <c r="K6" i="6"/>
  <c r="K5" i="6"/>
  <c r="F6" i="6"/>
  <c r="F7" i="6" s="1"/>
  <c r="U4" i="6"/>
  <c r="Y4" i="6" s="1"/>
  <c r="W1454" i="4" s="1"/>
  <c r="Q5" i="6"/>
  <c r="Q6" i="6" s="1"/>
  <c r="N6" i="6"/>
  <c r="U345" i="6"/>
  <c r="Y345" i="6" s="1"/>
  <c r="U266" i="6"/>
  <c r="Y266" i="6" s="1"/>
  <c r="U193" i="6"/>
  <c r="Y193" i="6" s="1"/>
  <c r="U120" i="6"/>
  <c r="Y120" i="6" s="1"/>
  <c r="U303" i="6"/>
  <c r="Y303" i="6" s="1"/>
  <c r="U221" i="6"/>
  <c r="Y221" i="6" s="1"/>
  <c r="U147" i="6"/>
  <c r="Y147" i="6" s="1"/>
  <c r="U74" i="6"/>
  <c r="Y74" i="6" s="1"/>
  <c r="U361" i="6"/>
  <c r="Y361" i="6" s="1"/>
  <c r="U294" i="6"/>
  <c r="Y294" i="6" s="1"/>
  <c r="U211" i="6"/>
  <c r="Y211" i="6" s="1"/>
  <c r="U138" i="6"/>
  <c r="Y138" i="6" s="1"/>
  <c r="U65" i="6"/>
  <c r="Y65" i="6" s="1"/>
  <c r="U313" i="6"/>
  <c r="Y313" i="6" s="1"/>
  <c r="U230" i="6"/>
  <c r="Y230" i="6" s="1"/>
  <c r="U157" i="6"/>
  <c r="Y157" i="6" s="1"/>
  <c r="U83" i="6"/>
  <c r="Y83" i="6" s="1"/>
  <c r="U359" i="6"/>
  <c r="Y359" i="6" s="1"/>
  <c r="U285" i="6"/>
  <c r="Y285" i="6" s="1"/>
  <c r="U202" i="6"/>
  <c r="Y202" i="6" s="1"/>
  <c r="U129" i="6"/>
  <c r="Y129" i="6" s="1"/>
  <c r="U56" i="6"/>
  <c r="Y56" i="6" s="1"/>
  <c r="U343" i="6"/>
  <c r="Y343" i="6" s="1"/>
  <c r="U257" i="6"/>
  <c r="Y257" i="6" s="1"/>
  <c r="U184" i="6"/>
  <c r="Y184" i="6" s="1"/>
  <c r="U111" i="6"/>
  <c r="Y111" i="6" s="1"/>
  <c r="U333" i="6"/>
  <c r="Y333" i="6" s="1"/>
  <c r="U248" i="6"/>
  <c r="Y248" i="6" s="1"/>
  <c r="U175" i="6"/>
  <c r="Y175" i="6" s="1"/>
  <c r="U102" i="6"/>
  <c r="Y102" i="6" s="1"/>
  <c r="U322" i="6"/>
  <c r="Y322" i="6" s="1"/>
  <c r="U239" i="6"/>
  <c r="Y239" i="6" s="1"/>
  <c r="U166" i="6"/>
  <c r="Y166" i="6" s="1"/>
  <c r="U93" i="6"/>
  <c r="Y93" i="6" s="1"/>
  <c r="U47" i="6"/>
  <c r="Y47" i="6" s="1"/>
  <c r="U38" i="6"/>
  <c r="Y38" i="6" s="1"/>
  <c r="U29" i="6"/>
  <c r="Y29" i="6" s="1"/>
  <c r="U364" i="6"/>
  <c r="Y364" i="6" s="1"/>
  <c r="U356" i="6"/>
  <c r="Y356" i="6" s="1"/>
  <c r="U348" i="6"/>
  <c r="Y348" i="6" s="1"/>
  <c r="U340" i="6"/>
  <c r="Y340" i="6" s="1"/>
  <c r="U332" i="6"/>
  <c r="Y332" i="6" s="1"/>
  <c r="U324" i="6"/>
  <c r="Y324" i="6" s="1"/>
  <c r="U316" i="6"/>
  <c r="Y316" i="6" s="1"/>
  <c r="U308" i="6"/>
  <c r="Y308" i="6" s="1"/>
  <c r="U300" i="6"/>
  <c r="Y300" i="6" s="1"/>
  <c r="U292" i="6"/>
  <c r="Y292" i="6" s="1"/>
  <c r="U284" i="6"/>
  <c r="Y284" i="6" s="1"/>
  <c r="U260" i="6"/>
  <c r="Y260" i="6" s="1"/>
  <c r="U252" i="6"/>
  <c r="Y252" i="6" s="1"/>
  <c r="U244" i="6"/>
  <c r="Y244" i="6" s="1"/>
  <c r="U236" i="6"/>
  <c r="Y236" i="6" s="1"/>
  <c r="U228" i="6"/>
  <c r="Y228" i="6" s="1"/>
  <c r="U220" i="6"/>
  <c r="Y220" i="6" s="1"/>
  <c r="U212" i="6"/>
  <c r="Y212" i="6" s="1"/>
  <c r="U204" i="6"/>
  <c r="Y204" i="6" s="1"/>
  <c r="U196" i="6"/>
  <c r="Y196" i="6" s="1"/>
  <c r="U188" i="6"/>
  <c r="Y188" i="6" s="1"/>
  <c r="U180" i="6"/>
  <c r="Y180" i="6" s="1"/>
  <c r="U172" i="6"/>
  <c r="Y172" i="6" s="1"/>
  <c r="U164" i="6"/>
  <c r="Y164" i="6" s="1"/>
  <c r="U156" i="6"/>
  <c r="Y156" i="6" s="1"/>
  <c r="U148" i="6"/>
  <c r="Y148" i="6" s="1"/>
  <c r="U140" i="6"/>
  <c r="Y140" i="6" s="1"/>
  <c r="U132" i="6"/>
  <c r="Y132" i="6" s="1"/>
  <c r="U124" i="6"/>
  <c r="Y124" i="6" s="1"/>
  <c r="U116" i="6"/>
  <c r="Y116" i="6" s="1"/>
  <c r="U108" i="6"/>
  <c r="Y108" i="6" s="1"/>
  <c r="U100" i="6"/>
  <c r="Y100" i="6" s="1"/>
  <c r="U92" i="6"/>
  <c r="Y92" i="6" s="1"/>
  <c r="U84" i="6"/>
  <c r="Y84" i="6" s="1"/>
  <c r="U76" i="6"/>
  <c r="Y76" i="6" s="1"/>
  <c r="U68" i="6"/>
  <c r="Y68" i="6" s="1"/>
  <c r="U60" i="6"/>
  <c r="Y60" i="6" s="1"/>
  <c r="U52" i="6"/>
  <c r="Y52" i="6" s="1"/>
  <c r="U44" i="6"/>
  <c r="Y44" i="6" s="1"/>
  <c r="U36" i="6"/>
  <c r="Y36" i="6" s="1"/>
  <c r="U28" i="6"/>
  <c r="Y28" i="6" s="1"/>
  <c r="U330" i="6"/>
  <c r="Y330" i="6" s="1"/>
  <c r="U321" i="6"/>
  <c r="Y321" i="6" s="1"/>
  <c r="U312" i="6"/>
  <c r="Y312" i="6" s="1"/>
  <c r="U302" i="6"/>
  <c r="Y302" i="6" s="1"/>
  <c r="U293" i="6"/>
  <c r="Y293" i="6" s="1"/>
  <c r="U265" i="6"/>
  <c r="Y265" i="6" s="1"/>
  <c r="U256" i="6"/>
  <c r="Y256" i="6" s="1"/>
  <c r="U247" i="6"/>
  <c r="Y247" i="6" s="1"/>
  <c r="U238" i="6"/>
  <c r="Y238" i="6" s="1"/>
  <c r="U229" i="6"/>
  <c r="Y229" i="6" s="1"/>
  <c r="U219" i="6"/>
  <c r="Y219" i="6" s="1"/>
  <c r="U210" i="6"/>
  <c r="Y210" i="6" s="1"/>
  <c r="U201" i="6"/>
  <c r="Y201" i="6" s="1"/>
  <c r="U192" i="6"/>
  <c r="Y192" i="6" s="1"/>
  <c r="U183" i="6"/>
  <c r="Y183" i="6" s="1"/>
  <c r="U174" i="6"/>
  <c r="Y174" i="6" s="1"/>
  <c r="U165" i="6"/>
  <c r="Y165" i="6" s="1"/>
  <c r="U155" i="6"/>
  <c r="Y155" i="6" s="1"/>
  <c r="U146" i="6"/>
  <c r="Y146" i="6" s="1"/>
  <c r="U137" i="6"/>
  <c r="Y137" i="6" s="1"/>
  <c r="U128" i="6"/>
  <c r="Y128" i="6" s="1"/>
  <c r="U119" i="6"/>
  <c r="Y119" i="6" s="1"/>
  <c r="U110" i="6"/>
  <c r="Y110" i="6" s="1"/>
  <c r="U101" i="6"/>
  <c r="Y101" i="6" s="1"/>
  <c r="U91" i="6"/>
  <c r="Y91" i="6" s="1"/>
  <c r="U82" i="6"/>
  <c r="Y82" i="6" s="1"/>
  <c r="U73" i="6"/>
  <c r="Y73" i="6" s="1"/>
  <c r="U64" i="6"/>
  <c r="Y64" i="6" s="1"/>
  <c r="U55" i="6"/>
  <c r="Y55" i="6" s="1"/>
  <c r="U46" i="6"/>
  <c r="Y46" i="6" s="1"/>
  <c r="U37" i="6"/>
  <c r="Y37" i="6" s="1"/>
  <c r="U27" i="6"/>
  <c r="Y27" i="6" s="1"/>
  <c r="U363" i="6"/>
  <c r="Y363" i="6" s="1"/>
  <c r="U355" i="6"/>
  <c r="Y355" i="6" s="1"/>
  <c r="U347" i="6"/>
  <c r="Y347" i="6" s="1"/>
  <c r="U339" i="6"/>
  <c r="Y339" i="6" s="1"/>
  <c r="U331" i="6"/>
  <c r="Y331" i="6" s="1"/>
  <c r="U307" i="6"/>
  <c r="Y307" i="6" s="1"/>
  <c r="U358" i="6"/>
  <c r="Y358" i="6" s="1"/>
  <c r="U342" i="6"/>
  <c r="Y342" i="6" s="1"/>
  <c r="U329" i="6"/>
  <c r="Y329" i="6" s="1"/>
  <c r="U320" i="6"/>
  <c r="Y320" i="6" s="1"/>
  <c r="U311" i="6"/>
  <c r="Y311" i="6" s="1"/>
  <c r="U301" i="6"/>
  <c r="Y301" i="6" s="1"/>
  <c r="U291" i="6"/>
  <c r="Y291" i="6" s="1"/>
  <c r="U264" i="6"/>
  <c r="Y264" i="6" s="1"/>
  <c r="U255" i="6"/>
  <c r="Y255" i="6" s="1"/>
  <c r="U246" i="6"/>
  <c r="Y246" i="6" s="1"/>
  <c r="U237" i="6"/>
  <c r="Y237" i="6" s="1"/>
  <c r="U227" i="6"/>
  <c r="Y227" i="6" s="1"/>
  <c r="U218" i="6"/>
  <c r="Y218" i="6" s="1"/>
  <c r="U209" i="6"/>
  <c r="Y209" i="6" s="1"/>
  <c r="U200" i="6"/>
  <c r="Y200" i="6" s="1"/>
  <c r="U191" i="6"/>
  <c r="Y191" i="6" s="1"/>
  <c r="U182" i="6"/>
  <c r="Y182" i="6" s="1"/>
  <c r="U173" i="6"/>
  <c r="Y173" i="6" s="1"/>
  <c r="U163" i="6"/>
  <c r="Y163" i="6" s="1"/>
  <c r="U154" i="6"/>
  <c r="Y154" i="6" s="1"/>
  <c r="U145" i="6"/>
  <c r="Y145" i="6" s="1"/>
  <c r="U136" i="6"/>
  <c r="Y136" i="6" s="1"/>
  <c r="U127" i="6"/>
  <c r="Y127" i="6" s="1"/>
  <c r="U118" i="6"/>
  <c r="Y118" i="6" s="1"/>
  <c r="U109" i="6"/>
  <c r="Y109" i="6" s="1"/>
  <c r="U99" i="6"/>
  <c r="Y99" i="6" s="1"/>
  <c r="U90" i="6"/>
  <c r="Y90" i="6" s="1"/>
  <c r="U81" i="6"/>
  <c r="Y81" i="6" s="1"/>
  <c r="U72" i="6"/>
  <c r="Y72" i="6" s="1"/>
  <c r="U63" i="6"/>
  <c r="Y63" i="6" s="1"/>
  <c r="U54" i="6"/>
  <c r="Y54" i="6" s="1"/>
  <c r="U35" i="6"/>
  <c r="Y35" i="6" s="1"/>
  <c r="U26" i="6"/>
  <c r="Y26" i="6" s="1"/>
  <c r="U354" i="6"/>
  <c r="Y354" i="6" s="1"/>
  <c r="U341" i="6"/>
  <c r="Y341" i="6" s="1"/>
  <c r="U328" i="6"/>
  <c r="Y328" i="6" s="1"/>
  <c r="U319" i="6"/>
  <c r="Y319" i="6" s="1"/>
  <c r="U310" i="6"/>
  <c r="Y310" i="6" s="1"/>
  <c r="U299" i="6"/>
  <c r="Y299" i="6" s="1"/>
  <c r="U290" i="6"/>
  <c r="Y290" i="6" s="1"/>
  <c r="U263" i="6"/>
  <c r="Y263" i="6" s="1"/>
  <c r="U254" i="6"/>
  <c r="Y254" i="6" s="1"/>
  <c r="U245" i="6"/>
  <c r="Y245" i="6" s="1"/>
  <c r="U235" i="6"/>
  <c r="Y235" i="6" s="1"/>
  <c r="U226" i="6"/>
  <c r="Y226" i="6" s="1"/>
  <c r="U217" i="6"/>
  <c r="Y217" i="6" s="1"/>
  <c r="U208" i="6"/>
  <c r="Y208" i="6" s="1"/>
  <c r="U199" i="6"/>
  <c r="Y199" i="6" s="1"/>
  <c r="U190" i="6"/>
  <c r="Y190" i="6" s="1"/>
  <c r="U181" i="6"/>
  <c r="Y181" i="6" s="1"/>
  <c r="U171" i="6"/>
  <c r="Y171" i="6" s="1"/>
  <c r="U162" i="6"/>
  <c r="Y162" i="6" s="1"/>
  <c r="U153" i="6"/>
  <c r="Y153" i="6" s="1"/>
  <c r="U144" i="6"/>
  <c r="Y144" i="6" s="1"/>
  <c r="U135" i="6"/>
  <c r="Y135" i="6" s="1"/>
  <c r="U126" i="6"/>
  <c r="Y126" i="6" s="1"/>
  <c r="U117" i="6"/>
  <c r="Y117" i="6" s="1"/>
  <c r="U107" i="6"/>
  <c r="Y107" i="6" s="1"/>
  <c r="U98" i="6"/>
  <c r="Y98" i="6" s="1"/>
  <c r="U89" i="6"/>
  <c r="Y89" i="6" s="1"/>
  <c r="U80" i="6"/>
  <c r="Y80" i="6" s="1"/>
  <c r="U71" i="6"/>
  <c r="Y71" i="6" s="1"/>
  <c r="U62" i="6"/>
  <c r="Y62" i="6" s="1"/>
  <c r="U53" i="6"/>
  <c r="Y53" i="6" s="1"/>
  <c r="U43" i="6"/>
  <c r="Y43" i="6" s="1"/>
  <c r="U34" i="6"/>
  <c r="Y34" i="6" s="1"/>
  <c r="U25" i="6"/>
  <c r="Y25" i="6" s="1"/>
  <c r="U353" i="6"/>
  <c r="Y353" i="6" s="1"/>
  <c r="U338" i="6"/>
  <c r="Y338" i="6" s="1"/>
  <c r="U327" i="6"/>
  <c r="Y327" i="6" s="1"/>
  <c r="U318" i="6"/>
  <c r="Y318" i="6" s="1"/>
  <c r="U309" i="6"/>
  <c r="Y309" i="6" s="1"/>
  <c r="U298" i="6"/>
  <c r="Y298" i="6" s="1"/>
  <c r="U289" i="6"/>
  <c r="Y289" i="6" s="1"/>
  <c r="U262" i="6"/>
  <c r="Y262" i="6" s="1"/>
  <c r="U253" i="6"/>
  <c r="Y253" i="6" s="1"/>
  <c r="U243" i="6"/>
  <c r="Y243" i="6" s="1"/>
  <c r="U234" i="6"/>
  <c r="Y234" i="6" s="1"/>
  <c r="U225" i="6"/>
  <c r="Y225" i="6" s="1"/>
  <c r="U216" i="6"/>
  <c r="Y216" i="6" s="1"/>
  <c r="U207" i="6"/>
  <c r="Y207" i="6" s="1"/>
  <c r="U198" i="6"/>
  <c r="Y198" i="6" s="1"/>
  <c r="U189" i="6"/>
  <c r="Y189" i="6" s="1"/>
  <c r="U179" i="6"/>
  <c r="Y179" i="6" s="1"/>
  <c r="U170" i="6"/>
  <c r="Y170" i="6" s="1"/>
  <c r="U161" i="6"/>
  <c r="Y161" i="6" s="1"/>
  <c r="U152" i="6"/>
  <c r="Y152" i="6" s="1"/>
  <c r="U143" i="6"/>
  <c r="Y143" i="6" s="1"/>
  <c r="U134" i="6"/>
  <c r="Y134" i="6" s="1"/>
  <c r="U125" i="6"/>
  <c r="Y125" i="6" s="1"/>
  <c r="U115" i="6"/>
  <c r="Y115" i="6" s="1"/>
  <c r="U106" i="6"/>
  <c r="Y106" i="6" s="1"/>
  <c r="U97" i="6"/>
  <c r="Y97" i="6" s="1"/>
  <c r="U88" i="6"/>
  <c r="Y88" i="6" s="1"/>
  <c r="U79" i="6"/>
  <c r="Y79" i="6" s="1"/>
  <c r="U70" i="6"/>
  <c r="Y70" i="6" s="1"/>
  <c r="U61" i="6"/>
  <c r="Y61" i="6" s="1"/>
  <c r="U51" i="6"/>
  <c r="Y51" i="6" s="1"/>
  <c r="U42" i="6"/>
  <c r="Y42" i="6" s="1"/>
  <c r="U33" i="6"/>
  <c r="Y33" i="6" s="1"/>
  <c r="U24" i="6"/>
  <c r="Y24" i="6" s="1"/>
  <c r="U360" i="6"/>
  <c r="Y360" i="6" s="1"/>
  <c r="U352" i="6"/>
  <c r="Y352" i="6" s="1"/>
  <c r="U344" i="6"/>
  <c r="Y344" i="6" s="1"/>
  <c r="U336" i="6"/>
  <c r="Y336" i="6" s="1"/>
  <c r="U351" i="6"/>
  <c r="Y351" i="6" s="1"/>
  <c r="U337" i="6"/>
  <c r="Y337" i="6" s="1"/>
  <c r="U326" i="6"/>
  <c r="Y326" i="6" s="1"/>
  <c r="U317" i="6"/>
  <c r="Y317" i="6" s="1"/>
  <c r="U306" i="6"/>
  <c r="Y306" i="6" s="1"/>
  <c r="U297" i="6"/>
  <c r="Y297" i="6" s="1"/>
  <c r="U288" i="6"/>
  <c r="Y288" i="6" s="1"/>
  <c r="U261" i="6"/>
  <c r="Y261" i="6" s="1"/>
  <c r="U251" i="6"/>
  <c r="Y251" i="6" s="1"/>
  <c r="U242" i="6"/>
  <c r="Y242" i="6" s="1"/>
  <c r="U233" i="6"/>
  <c r="Y233" i="6" s="1"/>
  <c r="U224" i="6"/>
  <c r="Y224" i="6" s="1"/>
  <c r="U215" i="6"/>
  <c r="Y215" i="6" s="1"/>
  <c r="U206" i="6"/>
  <c r="Y206" i="6" s="1"/>
  <c r="U197" i="6"/>
  <c r="Y197" i="6" s="1"/>
  <c r="U187" i="6"/>
  <c r="Y187" i="6" s="1"/>
  <c r="U178" i="6"/>
  <c r="Y178" i="6" s="1"/>
  <c r="U169" i="6"/>
  <c r="Y169" i="6" s="1"/>
  <c r="U160" i="6"/>
  <c r="Y160" i="6" s="1"/>
  <c r="U151" i="6"/>
  <c r="Y151" i="6" s="1"/>
  <c r="U142" i="6"/>
  <c r="Y142" i="6" s="1"/>
  <c r="U133" i="6"/>
  <c r="Y133" i="6" s="1"/>
  <c r="U123" i="6"/>
  <c r="Y123" i="6" s="1"/>
  <c r="U114" i="6"/>
  <c r="Y114" i="6" s="1"/>
  <c r="U105" i="6"/>
  <c r="Y105" i="6" s="1"/>
  <c r="U96" i="6"/>
  <c r="Y96" i="6" s="1"/>
  <c r="U87" i="6"/>
  <c r="Y87" i="6" s="1"/>
  <c r="U78" i="6"/>
  <c r="Y78" i="6" s="1"/>
  <c r="U69" i="6"/>
  <c r="Y69" i="6" s="1"/>
  <c r="U59" i="6"/>
  <c r="Y59" i="6" s="1"/>
  <c r="U50" i="6"/>
  <c r="Y50" i="6" s="1"/>
  <c r="U41" i="6"/>
  <c r="Y41" i="6" s="1"/>
  <c r="U32" i="6"/>
  <c r="Y32" i="6" s="1"/>
  <c r="U23" i="6"/>
  <c r="Y23" i="6" s="1"/>
  <c r="U350" i="6"/>
  <c r="Y350" i="6" s="1"/>
  <c r="U335" i="6"/>
  <c r="Y335" i="6" s="1"/>
  <c r="U325" i="6"/>
  <c r="Y325" i="6" s="1"/>
  <c r="U315" i="6"/>
  <c r="Y315" i="6" s="1"/>
  <c r="U305" i="6"/>
  <c r="Y305" i="6" s="1"/>
  <c r="U296" i="6"/>
  <c r="Y296" i="6" s="1"/>
  <c r="U287" i="6"/>
  <c r="Y287" i="6" s="1"/>
  <c r="U259" i="6"/>
  <c r="Y259" i="6" s="1"/>
  <c r="U250" i="6"/>
  <c r="Y250" i="6" s="1"/>
  <c r="U241" i="6"/>
  <c r="Y241" i="6" s="1"/>
  <c r="U232" i="6"/>
  <c r="Y232" i="6" s="1"/>
  <c r="U223" i="6"/>
  <c r="Y223" i="6" s="1"/>
  <c r="U214" i="6"/>
  <c r="Y214" i="6" s="1"/>
  <c r="U205" i="6"/>
  <c r="Y205" i="6" s="1"/>
  <c r="U195" i="6"/>
  <c r="Y195" i="6" s="1"/>
  <c r="U186" i="6"/>
  <c r="Y186" i="6" s="1"/>
  <c r="U177" i="6"/>
  <c r="Y177" i="6" s="1"/>
  <c r="U168" i="6"/>
  <c r="Y168" i="6" s="1"/>
  <c r="U159" i="6"/>
  <c r="Y159" i="6" s="1"/>
  <c r="U150" i="6"/>
  <c r="Y150" i="6" s="1"/>
  <c r="U141" i="6"/>
  <c r="Y141" i="6" s="1"/>
  <c r="U131" i="6"/>
  <c r="Y131" i="6" s="1"/>
  <c r="U122" i="6"/>
  <c r="Y122" i="6" s="1"/>
  <c r="U113" i="6"/>
  <c r="Y113" i="6" s="1"/>
  <c r="U104" i="6"/>
  <c r="Y104" i="6" s="1"/>
  <c r="U95" i="6"/>
  <c r="Y95" i="6" s="1"/>
  <c r="U86" i="6"/>
  <c r="Y86" i="6" s="1"/>
  <c r="U77" i="6"/>
  <c r="Y77" i="6" s="1"/>
  <c r="U67" i="6"/>
  <c r="Y67" i="6" s="1"/>
  <c r="U58" i="6"/>
  <c r="Y58" i="6" s="1"/>
  <c r="U49" i="6"/>
  <c r="Y49" i="6" s="1"/>
  <c r="U40" i="6"/>
  <c r="Y40" i="6" s="1"/>
  <c r="U31" i="6"/>
  <c r="Y31" i="6" s="1"/>
  <c r="U22" i="6"/>
  <c r="Y22" i="6" s="1"/>
  <c r="U362" i="6"/>
  <c r="Y362" i="6" s="1"/>
  <c r="U346" i="6"/>
  <c r="Y346" i="6" s="1"/>
  <c r="U334" i="6"/>
  <c r="Y334" i="6" s="1"/>
  <c r="U323" i="6"/>
  <c r="Y323" i="6" s="1"/>
  <c r="U314" i="6"/>
  <c r="Y314" i="6" s="1"/>
  <c r="U304" i="6"/>
  <c r="Y304" i="6" s="1"/>
  <c r="U295" i="6"/>
  <c r="Y295" i="6" s="1"/>
  <c r="U286" i="6"/>
  <c r="Y286" i="6" s="1"/>
  <c r="U267" i="6"/>
  <c r="Y267" i="6" s="1"/>
  <c r="U258" i="6"/>
  <c r="Y258" i="6" s="1"/>
  <c r="U249" i="6"/>
  <c r="Y249" i="6" s="1"/>
  <c r="U240" i="6"/>
  <c r="Y240" i="6" s="1"/>
  <c r="U231" i="6"/>
  <c r="Y231" i="6" s="1"/>
  <c r="U222" i="6"/>
  <c r="Y222" i="6" s="1"/>
  <c r="U213" i="6"/>
  <c r="Y213" i="6" s="1"/>
  <c r="U203" i="6"/>
  <c r="Y203" i="6" s="1"/>
  <c r="U194" i="6"/>
  <c r="Y194" i="6" s="1"/>
  <c r="U185" i="6"/>
  <c r="Y185" i="6" s="1"/>
  <c r="U176" i="6"/>
  <c r="Y176" i="6" s="1"/>
  <c r="U167" i="6"/>
  <c r="Y167" i="6" s="1"/>
  <c r="U158" i="6"/>
  <c r="Y158" i="6" s="1"/>
  <c r="U149" i="6"/>
  <c r="Y149" i="6" s="1"/>
  <c r="U139" i="6"/>
  <c r="Y139" i="6" s="1"/>
  <c r="U130" i="6"/>
  <c r="Y130" i="6" s="1"/>
  <c r="U121" i="6"/>
  <c r="Y121" i="6" s="1"/>
  <c r="U112" i="6"/>
  <c r="Y112" i="6" s="1"/>
  <c r="U103" i="6"/>
  <c r="Y103" i="6" s="1"/>
  <c r="U94" i="6"/>
  <c r="Y94" i="6" s="1"/>
  <c r="U85" i="6"/>
  <c r="Y85" i="6" s="1"/>
  <c r="U75" i="6"/>
  <c r="Y75" i="6" s="1"/>
  <c r="U66" i="6"/>
  <c r="Y66" i="6" s="1"/>
  <c r="U57" i="6"/>
  <c r="Y57" i="6" s="1"/>
  <c r="U48" i="6"/>
  <c r="Y48" i="6" s="1"/>
  <c r="U39" i="6"/>
  <c r="Y39" i="6" s="1"/>
  <c r="U30" i="6"/>
  <c r="Y30" i="6" s="1"/>
  <c r="U365" i="6"/>
  <c r="Y365" i="6" s="1"/>
  <c r="U357" i="6"/>
  <c r="Y357" i="6" s="1"/>
  <c r="U349" i="6"/>
  <c r="Y349" i="6" s="1"/>
  <c r="C33" i="4" l="1"/>
  <c r="R33" i="4" s="1"/>
  <c r="U95" i="4"/>
  <c r="U96" i="4" s="1"/>
  <c r="U97" i="4" s="1"/>
  <c r="U98" i="4" s="1"/>
  <c r="U99" i="4" s="1"/>
  <c r="U100" i="4" s="1"/>
  <c r="U101" i="4" s="1"/>
  <c r="U102" i="4" s="1"/>
  <c r="U103" i="4" s="1"/>
  <c r="U104" i="4" s="1"/>
  <c r="U105" i="4" s="1"/>
  <c r="U106" i="4" s="1"/>
  <c r="U107" i="4" s="1"/>
  <c r="U108" i="4" s="1"/>
  <c r="U109" i="4" s="1"/>
  <c r="U110" i="4" s="1"/>
  <c r="U111" i="4" s="1"/>
  <c r="U112" i="4" s="1"/>
  <c r="U113" i="4" s="1"/>
  <c r="U114" i="4" s="1"/>
  <c r="U115" i="4" s="1"/>
  <c r="U116" i="4" s="1"/>
  <c r="U117" i="4" s="1"/>
  <c r="U118" i="4" s="1"/>
  <c r="U119" i="4" s="1"/>
  <c r="U120" i="4" s="1"/>
  <c r="U121" i="4" s="1"/>
  <c r="U122" i="4" s="1"/>
  <c r="U123" i="4" s="1"/>
  <c r="U124" i="4" s="1"/>
  <c r="U125" i="4" s="1"/>
  <c r="U126" i="4" s="1"/>
  <c r="U127" i="4" s="1"/>
  <c r="U128" i="4" s="1"/>
  <c r="U129" i="4" s="1"/>
  <c r="U130" i="4" s="1"/>
  <c r="U131" i="4" s="1"/>
  <c r="U132" i="4" s="1"/>
  <c r="U133" i="4" s="1"/>
  <c r="U134" i="4" s="1"/>
  <c r="U135" i="4" s="1"/>
  <c r="W1539" i="4"/>
  <c r="W1489" i="4"/>
  <c r="W1614" i="4"/>
  <c r="W1488" i="4"/>
  <c r="W1526" i="4"/>
  <c r="W1524" i="4"/>
  <c r="Z14" i="4"/>
  <c r="Z18" i="4"/>
  <c r="Z22" i="4"/>
  <c r="Z26" i="4"/>
  <c r="Z114" i="4"/>
  <c r="Z189" i="4"/>
  <c r="Z287" i="4"/>
  <c r="Z308" i="4"/>
  <c r="Z336" i="4"/>
  <c r="Z355" i="4"/>
  <c r="Z413" i="4"/>
  <c r="Z417" i="4"/>
  <c r="Z485" i="4"/>
  <c r="Z535" i="4"/>
  <c r="Z641" i="4"/>
  <c r="Z660" i="4"/>
  <c r="Z694" i="4"/>
  <c r="Z699" i="4"/>
  <c r="Z733" i="4"/>
  <c r="Z765" i="4"/>
  <c r="Z868" i="4"/>
  <c r="Z902" i="4"/>
  <c r="Z1004" i="4"/>
  <c r="Z1038" i="4"/>
  <c r="Z1057" i="4"/>
  <c r="Z1061" i="4"/>
  <c r="Z1065" i="4"/>
  <c r="Z1069" i="4"/>
  <c r="Z1089" i="4"/>
  <c r="Z1093" i="4"/>
  <c r="Z1097" i="4"/>
  <c r="Z1101" i="4"/>
  <c r="Z1109" i="4"/>
  <c r="Z1113" i="4"/>
  <c r="Z1117" i="4"/>
  <c r="Z1121" i="4"/>
  <c r="Z1125" i="4"/>
  <c r="Z1129" i="4"/>
  <c r="Z1133" i="4"/>
  <c r="Z1137" i="4"/>
  <c r="Z1141" i="4"/>
  <c r="Z1145" i="4"/>
  <c r="Z1149" i="4"/>
  <c r="Z1153" i="4"/>
  <c r="Z1157" i="4"/>
  <c r="Z1161" i="4"/>
  <c r="Z15" i="4"/>
  <c r="Z19" i="4"/>
  <c r="Z23" i="4"/>
  <c r="Z27" i="4"/>
  <c r="Z81" i="4"/>
  <c r="Z134" i="4"/>
  <c r="Z288" i="4"/>
  <c r="Z290" i="4"/>
  <c r="Z337" i="4"/>
  <c r="Z372" i="4"/>
  <c r="Z16" i="4"/>
  <c r="Z20" i="4"/>
  <c r="Z24" i="4"/>
  <c r="Z28" i="4"/>
  <c r="Z116" i="4"/>
  <c r="Z239" i="4"/>
  <c r="Z269" i="4"/>
  <c r="Z306" i="4"/>
  <c r="Z468" i="4"/>
  <c r="Z537" i="4"/>
  <c r="Z643" i="4"/>
  <c r="Z677" i="4"/>
  <c r="Z697" i="4"/>
  <c r="Z885" i="4"/>
  <c r="Z987" i="4"/>
  <c r="Z1021" i="4"/>
  <c r="Z1055" i="4"/>
  <c r="Z1059" i="4"/>
  <c r="Z1063" i="4"/>
  <c r="Z1067" i="4"/>
  <c r="Z1091" i="4"/>
  <c r="Z1095" i="4"/>
  <c r="Z1099" i="4"/>
  <c r="Z1103" i="4"/>
  <c r="Z1107" i="4"/>
  <c r="Z1111" i="4"/>
  <c r="Z1115" i="4"/>
  <c r="Z1119" i="4"/>
  <c r="Z1123" i="4"/>
  <c r="Z1127" i="4"/>
  <c r="Z1131" i="4"/>
  <c r="Z1135" i="4"/>
  <c r="Z1143" i="4"/>
  <c r="Z1147" i="4"/>
  <c r="Z1151" i="4"/>
  <c r="Z1155" i="4"/>
  <c r="Z1159" i="4"/>
  <c r="Z25" i="4"/>
  <c r="Z132" i="4"/>
  <c r="Z335" i="4"/>
  <c r="Z608" i="4"/>
  <c r="Z715" i="4"/>
  <c r="Z1062" i="4"/>
  <c r="Z1070" i="4"/>
  <c r="Z1094" i="4"/>
  <c r="Z1102" i="4"/>
  <c r="Z1110" i="4"/>
  <c r="Z1118" i="4"/>
  <c r="Z1126" i="4"/>
  <c r="Z1134" i="4"/>
  <c r="Z1142" i="4"/>
  <c r="Z1150" i="4"/>
  <c r="Z1158" i="4"/>
  <c r="Z1164" i="4"/>
  <c r="Z1168" i="4"/>
  <c r="Z1172" i="4"/>
  <c r="Z1224" i="4"/>
  <c r="Z1228" i="4"/>
  <c r="Z1232" i="4"/>
  <c r="Z1236" i="4"/>
  <c r="Z1240" i="4"/>
  <c r="Z1260" i="4"/>
  <c r="Z1287" i="4"/>
  <c r="Z1291" i="4"/>
  <c r="Z1295" i="4"/>
  <c r="Z1303" i="4"/>
  <c r="Z1307" i="4"/>
  <c r="Z1311" i="4"/>
  <c r="Z1319" i="4"/>
  <c r="Z1323" i="4"/>
  <c r="Z1327" i="4"/>
  <c r="Z1331" i="4"/>
  <c r="Z1367" i="4"/>
  <c r="Z1371" i="4"/>
  <c r="Z1375" i="4"/>
  <c r="Z1379" i="4"/>
  <c r="Z1383" i="4"/>
  <c r="Z1387" i="4"/>
  <c r="Z1391" i="4"/>
  <c r="Z1395" i="4"/>
  <c r="Z1399" i="4"/>
  <c r="Z1407" i="4"/>
  <c r="Z1411" i="4"/>
  <c r="Z1415" i="4"/>
  <c r="Z1419" i="4"/>
  <c r="Z1439" i="4"/>
  <c r="Z1443" i="4"/>
  <c r="Z1447" i="4"/>
  <c r="Z1451" i="4"/>
  <c r="Z1475" i="4"/>
  <c r="Z1479" i="4"/>
  <c r="Z1483" i="4"/>
  <c r="Z1487" i="4"/>
  <c r="Z1491" i="4"/>
  <c r="Z1495" i="4"/>
  <c r="Z1499" i="4"/>
  <c r="Z1503" i="4"/>
  <c r="Z1507" i="4"/>
  <c r="Z1511" i="4"/>
  <c r="Z1515" i="4"/>
  <c r="Z1519" i="4"/>
  <c r="Z13" i="4"/>
  <c r="Z286" i="4"/>
  <c r="Z339" i="4"/>
  <c r="Z412" i="4"/>
  <c r="Z519" i="4"/>
  <c r="Z625" i="4"/>
  <c r="Z1003" i="4"/>
  <c r="Z1056" i="4"/>
  <c r="Z1064" i="4"/>
  <c r="Z1096" i="4"/>
  <c r="Z1104" i="4"/>
  <c r="Z1112" i="4"/>
  <c r="Z1120" i="4"/>
  <c r="Z1128" i="4"/>
  <c r="Z1136" i="4"/>
  <c r="Z1144" i="4"/>
  <c r="Z1152" i="4"/>
  <c r="Z1160" i="4"/>
  <c r="Z1165" i="4"/>
  <c r="Z1169" i="4"/>
  <c r="Z1225" i="4"/>
  <c r="Z1229" i="4"/>
  <c r="Z1233" i="4"/>
  <c r="Z1237" i="4"/>
  <c r="Z1241" i="4"/>
  <c r="Z1261" i="4"/>
  <c r="Z17" i="4"/>
  <c r="Z414" i="4"/>
  <c r="Z696" i="4"/>
  <c r="Z734" i="4"/>
  <c r="Z1020" i="4"/>
  <c r="Z1058" i="4"/>
  <c r="Z1066" i="4"/>
  <c r="Z1090" i="4"/>
  <c r="Z1098" i="4"/>
  <c r="Z1106" i="4"/>
  <c r="Z1114" i="4"/>
  <c r="Z1130" i="4"/>
  <c r="Z1138" i="4"/>
  <c r="Z1146" i="4"/>
  <c r="Z1154" i="4"/>
  <c r="Z1162" i="4"/>
  <c r="Z1166" i="4"/>
  <c r="Z1170" i="4"/>
  <c r="Z1226" i="4"/>
  <c r="Z1230" i="4"/>
  <c r="Z1234" i="4"/>
  <c r="Z1238" i="4"/>
  <c r="Z1242" i="4"/>
  <c r="Z1285" i="4"/>
  <c r="Z1289" i="4"/>
  <c r="Z1293" i="4"/>
  <c r="Z1297" i="4"/>
  <c r="Z1301" i="4"/>
  <c r="Z1305" i="4"/>
  <c r="Z1309" i="4"/>
  <c r="Z1313" i="4"/>
  <c r="Z1317" i="4"/>
  <c r="Z1321" i="4"/>
  <c r="Z1325" i="4"/>
  <c r="Z1329" i="4"/>
  <c r="Z1369" i="4"/>
  <c r="Z1373" i="4"/>
  <c r="Z1377" i="4"/>
  <c r="Z1381" i="4"/>
  <c r="Z1389" i="4"/>
  <c r="Z1393" i="4"/>
  <c r="Z1397" i="4"/>
  <c r="Z1401" i="4"/>
  <c r="Z1405" i="4"/>
  <c r="Z1409" i="4"/>
  <c r="Z1413" i="4"/>
  <c r="Z1417" i="4"/>
  <c r="Z1441" i="4"/>
  <c r="Z1445" i="4"/>
  <c r="Z1449" i="4"/>
  <c r="Z1453" i="4"/>
  <c r="Z1473" i="4"/>
  <c r="Z1477" i="4"/>
  <c r="Z1481" i="4"/>
  <c r="Z1485" i="4"/>
  <c r="Z1489" i="4"/>
  <c r="Z1493" i="4"/>
  <c r="Z1497" i="4"/>
  <c r="Z1501" i="4"/>
  <c r="Z1505" i="4"/>
  <c r="Z1509" i="4"/>
  <c r="Z1513" i="4"/>
  <c r="Z1517" i="4"/>
  <c r="Z1521" i="4"/>
  <c r="Z1613" i="4"/>
  <c r="Z751" i="4"/>
  <c r="Z1037" i="4"/>
  <c r="Z1116" i="4"/>
  <c r="Z1148" i="4"/>
  <c r="Z1171" i="4"/>
  <c r="Z1235" i="4"/>
  <c r="Z1288" i="4"/>
  <c r="Z1296" i="4"/>
  <c r="Z1304" i="4"/>
  <c r="Z1312" i="4"/>
  <c r="Z1320" i="4"/>
  <c r="Z1328" i="4"/>
  <c r="Z1368" i="4"/>
  <c r="Z1376" i="4"/>
  <c r="Z1384" i="4"/>
  <c r="Z1392" i="4"/>
  <c r="Z1400" i="4"/>
  <c r="Z1408" i="4"/>
  <c r="Z1416" i="4"/>
  <c r="Z1440" i="4"/>
  <c r="Z1448" i="4"/>
  <c r="Z1472" i="4"/>
  <c r="Z1480" i="4"/>
  <c r="Z1488" i="4"/>
  <c r="Z1496" i="4"/>
  <c r="Z1504" i="4"/>
  <c r="Z1512" i="4"/>
  <c r="Z1520" i="4"/>
  <c r="Z1728" i="4"/>
  <c r="Z1732" i="4"/>
  <c r="Z1736" i="4"/>
  <c r="Z1740" i="4"/>
  <c r="Z1744" i="4"/>
  <c r="Z1748" i="4"/>
  <c r="Z1752" i="4"/>
  <c r="Z1756" i="4"/>
  <c r="Z1760" i="4"/>
  <c r="Z1764" i="4"/>
  <c r="Z1768" i="4"/>
  <c r="Z1772" i="4"/>
  <c r="Z1776" i="4"/>
  <c r="Z1780" i="4"/>
  <c r="Z1784" i="4"/>
  <c r="Z1788" i="4"/>
  <c r="Z1796" i="4"/>
  <c r="Z1800" i="4"/>
  <c r="Z1804" i="4"/>
  <c r="Z1808" i="4"/>
  <c r="Z1812" i="4"/>
  <c r="Z1816" i="4"/>
  <c r="Z1820" i="4"/>
  <c r="Z1824" i="4"/>
  <c r="Z1832" i="4"/>
  <c r="Z1836" i="4"/>
  <c r="Z1840" i="4"/>
  <c r="Z1844" i="4"/>
  <c r="Z1848" i="4"/>
  <c r="Z1852" i="4"/>
  <c r="Z1856" i="4"/>
  <c r="Z1860" i="4"/>
  <c r="Z1884" i="4"/>
  <c r="Z1888" i="4"/>
  <c r="Z1892" i="4"/>
  <c r="Z1896" i="4"/>
  <c r="Z1916" i="4"/>
  <c r="Z1920" i="4"/>
  <c r="Z1924" i="4"/>
  <c r="Z1928" i="4"/>
  <c r="Z1936" i="4"/>
  <c r="Z1940" i="4"/>
  <c r="Z1944" i="4"/>
  <c r="Z1948" i="4"/>
  <c r="Z21" i="4"/>
  <c r="Z1060" i="4"/>
  <c r="Z1092" i="4"/>
  <c r="Z1124" i="4"/>
  <c r="Z1239" i="4"/>
  <c r="Z1282" i="4"/>
  <c r="Z1290" i="4"/>
  <c r="Z1298" i="4"/>
  <c r="Z1306" i="4"/>
  <c r="Z1314" i="4"/>
  <c r="Z1322" i="4"/>
  <c r="Z1330" i="4"/>
  <c r="Z1370" i="4"/>
  <c r="Z1378" i="4"/>
  <c r="Z1386" i="4"/>
  <c r="Z1394" i="4"/>
  <c r="Z1410" i="4"/>
  <c r="Z1418" i="4"/>
  <c r="Z1442" i="4"/>
  <c r="Z1450" i="4"/>
  <c r="Z1474" i="4"/>
  <c r="Z1482" i="4"/>
  <c r="Z1490" i="4"/>
  <c r="Z1498" i="4"/>
  <c r="Z1506" i="4"/>
  <c r="Z1514" i="4"/>
  <c r="Z1522" i="4"/>
  <c r="Z1725" i="4"/>
  <c r="Z1729" i="4"/>
  <c r="Z1733" i="4"/>
  <c r="Z1737" i="4"/>
  <c r="Z1745" i="4"/>
  <c r="Z1749" i="4"/>
  <c r="Z1753" i="4"/>
  <c r="Z1757" i="4"/>
  <c r="Z1761" i="4"/>
  <c r="Z1765" i="4"/>
  <c r="Z1769" i="4"/>
  <c r="Z1773" i="4"/>
  <c r="Z1777" i="4"/>
  <c r="Z1781" i="4"/>
  <c r="Z1785" i="4"/>
  <c r="Z1789" i="4"/>
  <c r="Z1793" i="4"/>
  <c r="Z1797" i="4"/>
  <c r="Z1801" i="4"/>
  <c r="Z1805" i="4"/>
  <c r="Z1813" i="4"/>
  <c r="Z1817" i="4"/>
  <c r="Z1821" i="4"/>
  <c r="Z1825" i="4"/>
  <c r="Z1833" i="4"/>
  <c r="Z1837" i="4"/>
  <c r="Z1841" i="4"/>
  <c r="Z1845" i="4"/>
  <c r="Z1849" i="4"/>
  <c r="Z1853" i="4"/>
  <c r="Z1857" i="4"/>
  <c r="Z1861" i="4"/>
  <c r="Z1881" i="4"/>
  <c r="Z1885" i="4"/>
  <c r="Z1889" i="4"/>
  <c r="Z1893" i="4"/>
  <c r="Z1897" i="4"/>
  <c r="Z1917" i="4"/>
  <c r="Z1921" i="4"/>
  <c r="Z1925" i="4"/>
  <c r="Z1929" i="4"/>
  <c r="Z1933" i="4"/>
  <c r="Z1937" i="4"/>
  <c r="Z1941" i="4"/>
  <c r="Z1945" i="4"/>
  <c r="Z1068" i="4"/>
  <c r="Z1100" i="4"/>
  <c r="Z1132" i="4"/>
  <c r="Z1163" i="4"/>
  <c r="Z1227" i="4"/>
  <c r="Z1284" i="4"/>
  <c r="Z1292" i="4"/>
  <c r="Z1300" i="4"/>
  <c r="Z1308" i="4"/>
  <c r="Z1324" i="4"/>
  <c r="Z1372" i="4"/>
  <c r="Z1380" i="4"/>
  <c r="Z1388" i="4"/>
  <c r="Z1396" i="4"/>
  <c r="Z1404" i="4"/>
  <c r="Z1412" i="4"/>
  <c r="Z1444" i="4"/>
  <c r="Z1452" i="4"/>
  <c r="Z1476" i="4"/>
  <c r="Z1484" i="4"/>
  <c r="Z1492" i="4"/>
  <c r="Z1500" i="4"/>
  <c r="Z1508" i="4"/>
  <c r="Z1516" i="4"/>
  <c r="Z1726" i="4"/>
  <c r="Z1730" i="4"/>
  <c r="Z1734" i="4"/>
  <c r="Z1738" i="4"/>
  <c r="Z1742" i="4"/>
  <c r="Z1746" i="4"/>
  <c r="Z1750" i="4"/>
  <c r="Z1754" i="4"/>
  <c r="Z1762" i="4"/>
  <c r="Z1766" i="4"/>
  <c r="Z1770" i="4"/>
  <c r="Z1774" i="4"/>
  <c r="Z1778" i="4"/>
  <c r="Z1782" i="4"/>
  <c r="Z1786" i="4"/>
  <c r="Z1790" i="4"/>
  <c r="Z1794" i="4"/>
  <c r="Z1798" i="4"/>
  <c r="Z1802" i="4"/>
  <c r="Z1806" i="4"/>
  <c r="Z1810" i="4"/>
  <c r="Z1814" i="4"/>
  <c r="Z1818" i="4"/>
  <c r="Z1822" i="4"/>
  <c r="Z1826" i="4"/>
  <c r="Z1830" i="4"/>
  <c r="Z1834" i="4"/>
  <c r="Z1838" i="4"/>
  <c r="Z1842" i="4"/>
  <c r="Z1850" i="4"/>
  <c r="Z1854" i="4"/>
  <c r="Z1858" i="4"/>
  <c r="Z1862" i="4"/>
  <c r="Z1882" i="4"/>
  <c r="Z1886" i="4"/>
  <c r="Z1890" i="4"/>
  <c r="Z1894" i="4"/>
  <c r="Z1918" i="4"/>
  <c r="Z1922" i="4"/>
  <c r="Z1926" i="4"/>
  <c r="Z1930" i="4"/>
  <c r="Z1934" i="4"/>
  <c r="Z1938" i="4"/>
  <c r="Z1942" i="4"/>
  <c r="Z1946" i="4"/>
  <c r="Z1140" i="4"/>
  <c r="Z1310" i="4"/>
  <c r="Z1374" i="4"/>
  <c r="Z1406" i="4"/>
  <c r="Z1438" i="4"/>
  <c r="Z1502" i="4"/>
  <c r="Z1735" i="4"/>
  <c r="Z1751" i="4"/>
  <c r="Z1767" i="4"/>
  <c r="Z1783" i="4"/>
  <c r="Z1799" i="4"/>
  <c r="Z1815" i="4"/>
  <c r="Z1831" i="4"/>
  <c r="Z1847" i="4"/>
  <c r="Z1863" i="4"/>
  <c r="Z1895" i="4"/>
  <c r="Z1927" i="4"/>
  <c r="Z1943" i="4"/>
  <c r="Z1167" i="4"/>
  <c r="Z1231" i="4"/>
  <c r="Z1286" i="4"/>
  <c r="Z1318" i="4"/>
  <c r="Z1382" i="4"/>
  <c r="Z1414" i="4"/>
  <c r="Z1446" i="4"/>
  <c r="Z1478" i="4"/>
  <c r="Z1510" i="4"/>
  <c r="Z1739" i="4"/>
  <c r="Z1755" i="4"/>
  <c r="Z1771" i="4"/>
  <c r="Z1787" i="4"/>
  <c r="Z1803" i="4"/>
  <c r="Z1819" i="4"/>
  <c r="Z1835" i="4"/>
  <c r="Z1851" i="4"/>
  <c r="Z1883" i="4"/>
  <c r="Z1931" i="4"/>
  <c r="Z1947" i="4"/>
  <c r="Z208" i="4"/>
  <c r="Z1294" i="4"/>
  <c r="Z1326" i="4"/>
  <c r="Z1390" i="4"/>
  <c r="Z1486" i="4"/>
  <c r="Z1518" i="4"/>
  <c r="Z1727" i="4"/>
  <c r="Z1743" i="4"/>
  <c r="Z1759" i="4"/>
  <c r="Z1791" i="4"/>
  <c r="Z1807" i="4"/>
  <c r="Z1823" i="4"/>
  <c r="Z1839" i="4"/>
  <c r="Z1855" i="4"/>
  <c r="Z1887" i="4"/>
  <c r="Z1919" i="4"/>
  <c r="Z1935" i="4"/>
  <c r="Z1398" i="4"/>
  <c r="Z1763" i="4"/>
  <c r="Z1891" i="4"/>
  <c r="Z1302" i="4"/>
  <c r="Z1779" i="4"/>
  <c r="Z1843" i="4"/>
  <c r="Z1108" i="4"/>
  <c r="Z1731" i="4"/>
  <c r="Z1795" i="4"/>
  <c r="Z1859" i="4"/>
  <c r="Z1923" i="4"/>
  <c r="Z1939" i="4"/>
  <c r="Z1747" i="4"/>
  <c r="Z1494" i="4"/>
  <c r="Z1811" i="4"/>
  <c r="Z1039" i="4"/>
  <c r="Z1040" i="4"/>
  <c r="Z1041" i="4"/>
  <c r="Z1042" i="4"/>
  <c r="Z1043" i="4"/>
  <c r="Z1044" i="4"/>
  <c r="Z1045" i="4"/>
  <c r="Z1046" i="4"/>
  <c r="Z1047" i="4"/>
  <c r="Z1048" i="4"/>
  <c r="Z1049" i="4"/>
  <c r="Z1050" i="4"/>
  <c r="Z1051" i="4"/>
  <c r="Z1052" i="4"/>
  <c r="Z1053" i="4"/>
  <c r="Z988" i="4"/>
  <c r="Z1022" i="4"/>
  <c r="Z1005" i="4"/>
  <c r="Z989" i="4"/>
  <c r="Z869" i="4"/>
  <c r="Z766" i="4"/>
  <c r="Z903" i="4"/>
  <c r="Z1023" i="4"/>
  <c r="Z886" i="4"/>
  <c r="Z1006" i="4"/>
  <c r="Z767" i="4"/>
  <c r="Z887" i="4"/>
  <c r="Z1024" i="4"/>
  <c r="Z870" i="4"/>
  <c r="Z990" i="4"/>
  <c r="Z904" i="4"/>
  <c r="Z1007" i="4"/>
  <c r="Z871" i="4"/>
  <c r="Z888" i="4"/>
  <c r="Z768" i="4"/>
  <c r="Z752" i="4"/>
  <c r="Z1025" i="4"/>
  <c r="Z905" i="4"/>
  <c r="Z991" i="4"/>
  <c r="Z1008" i="4"/>
  <c r="Z889" i="4"/>
  <c r="Z992" i="4"/>
  <c r="Z873" i="4"/>
  <c r="Z769" i="4"/>
  <c r="Z1026" i="4"/>
  <c r="Z906" i="4"/>
  <c r="Z753" i="4"/>
  <c r="Z872" i="4"/>
  <c r="Z1009" i="4"/>
  <c r="Z890" i="4"/>
  <c r="Z1010" i="4"/>
  <c r="Z874" i="4"/>
  <c r="Z993" i="4"/>
  <c r="Z907" i="4"/>
  <c r="Z1027" i="4"/>
  <c r="Z770" i="4"/>
  <c r="Z754" i="4"/>
  <c r="Z771" i="4"/>
  <c r="Z1012" i="4"/>
  <c r="Z908" i="4"/>
  <c r="Z772" i="4"/>
  <c r="Z1011" i="4"/>
  <c r="Z755" i="4"/>
  <c r="Z994" i="4"/>
  <c r="Z875" i="4"/>
  <c r="Z1028" i="4"/>
  <c r="Z891" i="4"/>
  <c r="Z773" i="4"/>
  <c r="Z876" i="4"/>
  <c r="Z892" i="4"/>
  <c r="Z1013" i="4"/>
  <c r="Z757" i="4"/>
  <c r="Z1029" i="4"/>
  <c r="Z995" i="4"/>
  <c r="Z756" i="4"/>
  <c r="Z909" i="4"/>
  <c r="Z774" i="4"/>
  <c r="Z758" i="4"/>
  <c r="Z996" i="4"/>
  <c r="Z893" i="4"/>
  <c r="Z1014" i="4"/>
  <c r="Z877" i="4"/>
  <c r="Z1030" i="4"/>
  <c r="Z910" i="4"/>
  <c r="Z240" i="4"/>
  <c r="Z894" i="4"/>
  <c r="Z759" i="4"/>
  <c r="Z997" i="4"/>
  <c r="Z911" i="4"/>
  <c r="Z1015" i="4"/>
  <c r="Z775" i="4"/>
  <c r="Z912" i="4"/>
  <c r="Z878" i="4"/>
  <c r="Z1031" i="4"/>
  <c r="Z895" i="4"/>
  <c r="Z776" i="4"/>
  <c r="Z760" i="4"/>
  <c r="Z1016" i="4"/>
  <c r="Z879" i="4"/>
  <c r="Z998" i="4"/>
  <c r="Z913" i="4"/>
  <c r="Z1032" i="4"/>
  <c r="Z1000" i="4"/>
  <c r="Z896" i="4"/>
  <c r="Z897" i="4"/>
  <c r="Z1033" i="4"/>
  <c r="Z914" i="4"/>
  <c r="Z777" i="4"/>
  <c r="Z880" i="4"/>
  <c r="Z999" i="4"/>
  <c r="Z1017" i="4"/>
  <c r="Z761" i="4"/>
  <c r="Z915" i="4"/>
  <c r="Z778" i="4"/>
  <c r="Z1018" i="4"/>
  <c r="Z898" i="4"/>
  <c r="Z1001" i="4"/>
  <c r="Z1034" i="4"/>
  <c r="Z762" i="4"/>
  <c r="Z881" i="4"/>
  <c r="Z779" i="4"/>
  <c r="Z882" i="4"/>
  <c r="Z1019" i="4"/>
  <c r="Z899" i="4"/>
  <c r="Z1002" i="4"/>
  <c r="Z916" i="4"/>
  <c r="Z1035" i="4"/>
  <c r="Z763" i="4"/>
  <c r="Z780" i="4"/>
  <c r="Z900" i="4"/>
  <c r="Z917" i="4"/>
  <c r="Z1036" i="4"/>
  <c r="Z883" i="4"/>
  <c r="Z781" i="4"/>
  <c r="Z764" i="4"/>
  <c r="Z82" i="4"/>
  <c r="Z83" i="4"/>
  <c r="Z84" i="4"/>
  <c r="Z85" i="4"/>
  <c r="Z86" i="4"/>
  <c r="Z87" i="4"/>
  <c r="Z88" i="4"/>
  <c r="Z89" i="4"/>
  <c r="Z90" i="4"/>
  <c r="Z91" i="4"/>
  <c r="Z92" i="4"/>
  <c r="Z93" i="4"/>
  <c r="Z94" i="4"/>
  <c r="Z95" i="4"/>
  <c r="Z411" i="4"/>
  <c r="W1537" i="4"/>
  <c r="W1437" i="4"/>
  <c r="W1525" i="4"/>
  <c r="W1420" i="4"/>
  <c r="W1531" i="4"/>
  <c r="W1610" i="4"/>
  <c r="W1506" i="4"/>
  <c r="W1613" i="4"/>
  <c r="W1593" i="4"/>
  <c r="W1612" i="4"/>
  <c r="W1611" i="4"/>
  <c r="W1523" i="4"/>
  <c r="W1574" i="4"/>
  <c r="Z80" i="4"/>
  <c r="Z155" i="4"/>
  <c r="Z289" i="4"/>
  <c r="Z607" i="4"/>
  <c r="Z1105" i="4"/>
  <c r="Z115" i="4"/>
  <c r="Z190" i="4"/>
  <c r="Z268" i="4"/>
  <c r="Z324" i="4"/>
  <c r="Z172" i="4"/>
  <c r="Z207" i="4"/>
  <c r="Z338" i="4"/>
  <c r="Z375" i="4"/>
  <c r="Z518" i="4"/>
  <c r="Z624" i="4"/>
  <c r="Z1139" i="4"/>
  <c r="Z250" i="4"/>
  <c r="Z410" i="4"/>
  <c r="Z501" i="4"/>
  <c r="Z676" i="4"/>
  <c r="Z986" i="4"/>
  <c r="Z1054" i="4"/>
  <c r="Z1176" i="4"/>
  <c r="Z1180" i="4"/>
  <c r="Z1184" i="4"/>
  <c r="Z1188" i="4"/>
  <c r="Z1208" i="4"/>
  <c r="Z1212" i="4"/>
  <c r="Z1216" i="4"/>
  <c r="Z1220" i="4"/>
  <c r="Z1264" i="4"/>
  <c r="Z1268" i="4"/>
  <c r="Z1272" i="4"/>
  <c r="Z1276" i="4"/>
  <c r="Z1279" i="4"/>
  <c r="Z1283" i="4"/>
  <c r="Z1299" i="4"/>
  <c r="Z1315" i="4"/>
  <c r="Z1403" i="4"/>
  <c r="Z867" i="4"/>
  <c r="Z1088" i="4"/>
  <c r="Z1177" i="4"/>
  <c r="Z1181" i="4"/>
  <c r="Z1185" i="4"/>
  <c r="Z1189" i="4"/>
  <c r="Z1209" i="4"/>
  <c r="Z1213" i="4"/>
  <c r="Z1217" i="4"/>
  <c r="Z1221" i="4"/>
  <c r="Z1265" i="4"/>
  <c r="Z1269" i="4"/>
  <c r="Z1273" i="4"/>
  <c r="Z1277" i="4"/>
  <c r="Z63" i="4"/>
  <c r="Z374" i="4"/>
  <c r="Z467" i="4"/>
  <c r="Z642" i="4"/>
  <c r="Z884" i="4"/>
  <c r="Z1122" i="4"/>
  <c r="Z1174" i="4"/>
  <c r="Z1178" i="4"/>
  <c r="Z1182" i="4"/>
  <c r="Z1186" i="4"/>
  <c r="Z1210" i="4"/>
  <c r="Z1214" i="4"/>
  <c r="Z1218" i="4"/>
  <c r="Z1222" i="4"/>
  <c r="Z1262" i="4"/>
  <c r="Z1266" i="4"/>
  <c r="Z1270" i="4"/>
  <c r="Z1274" i="4"/>
  <c r="Z1385" i="4"/>
  <c r="Z1437" i="4"/>
  <c r="Z307" i="4"/>
  <c r="Z1187" i="4"/>
  <c r="Z1219" i="4"/>
  <c r="Z1267" i="4"/>
  <c r="Z1724" i="4"/>
  <c r="Z1792" i="4"/>
  <c r="Z1932" i="4"/>
  <c r="Z1156" i="4"/>
  <c r="Z1175" i="4"/>
  <c r="Z1223" i="4"/>
  <c r="Z1271" i="4"/>
  <c r="Z1741" i="4"/>
  <c r="Z1809" i="4"/>
  <c r="Z1829" i="4"/>
  <c r="Z113" i="4"/>
  <c r="Z416" i="4"/>
  <c r="Z659" i="4"/>
  <c r="Z901" i="4"/>
  <c r="Z1179" i="4"/>
  <c r="Z1211" i="4"/>
  <c r="Z1275" i="4"/>
  <c r="Z1316" i="4"/>
  <c r="Z1758" i="4"/>
  <c r="Z1846" i="4"/>
  <c r="Z698" i="4"/>
  <c r="Z1215" i="4"/>
  <c r="Z1278" i="4"/>
  <c r="Z1915" i="4"/>
  <c r="Z1183" i="4"/>
  <c r="Z1775" i="4"/>
  <c r="Z484" i="4"/>
  <c r="Z1366" i="4"/>
  <c r="Z64" i="4"/>
  <c r="Z65" i="4"/>
  <c r="Z66" i="4"/>
  <c r="Z67" i="4"/>
  <c r="Z68" i="4"/>
  <c r="Z69" i="4"/>
  <c r="Z70" i="4"/>
  <c r="Z71" i="4"/>
  <c r="Z72" i="4"/>
  <c r="Z73" i="4"/>
  <c r="Z74" i="4"/>
  <c r="Z75" i="4"/>
  <c r="Z76" i="4"/>
  <c r="Z77" i="4"/>
  <c r="Z78" i="4"/>
  <c r="Z79" i="4"/>
  <c r="W1576" i="4"/>
  <c r="W1573" i="4"/>
  <c r="W1556" i="4"/>
  <c r="W1575" i="4"/>
  <c r="W1471" i="4"/>
  <c r="W1538" i="4"/>
  <c r="W1122" i="4"/>
  <c r="W734" i="4"/>
  <c r="W536" i="4"/>
  <c r="W411" i="4"/>
  <c r="W12" i="4"/>
  <c r="Z12" i="4"/>
  <c r="W1262" i="4"/>
  <c r="W1105" i="4"/>
  <c r="W952" i="4"/>
  <c r="W716" i="4"/>
  <c r="W935" i="4"/>
  <c r="W306" i="4"/>
  <c r="W537" i="4"/>
  <c r="W782" i="4"/>
  <c r="W155" i="4"/>
  <c r="W324" i="4"/>
  <c r="W412" i="4"/>
  <c r="W556" i="4"/>
  <c r="W335" i="4"/>
  <c r="W413" i="4"/>
  <c r="W573" i="4"/>
  <c r="W372" i="4"/>
  <c r="W450" i="4"/>
  <c r="W1003" i="4"/>
  <c r="W1243" i="4"/>
  <c r="W1402" i="4"/>
  <c r="W80" i="4"/>
  <c r="W207" i="4"/>
  <c r="W268" i="4"/>
  <c r="W373" i="4"/>
  <c r="W751" i="4"/>
  <c r="W1020" i="4"/>
  <c r="W1260" i="4"/>
  <c r="W1403" i="4"/>
  <c r="W114" i="4"/>
  <c r="W239" i="4"/>
  <c r="W765" i="4"/>
  <c r="W45" i="4"/>
  <c r="W172" i="4"/>
  <c r="W338" i="4"/>
  <c r="W416" i="4"/>
  <c r="W624" i="4"/>
  <c r="W62" i="4"/>
  <c r="W189" i="4"/>
  <c r="W250" i="4"/>
  <c r="W355" i="4"/>
  <c r="W433" i="4"/>
  <c r="W410" i="4"/>
  <c r="W659" i="4"/>
  <c r="W799" i="4"/>
  <c r="W1071" i="4"/>
  <c r="W1263" i="4"/>
  <c r="W676" i="4"/>
  <c r="W816" i="4"/>
  <c r="W1088" i="4"/>
  <c r="W1279" i="4"/>
  <c r="W697" i="4"/>
  <c r="W901" i="4"/>
  <c r="W1316" i="4"/>
  <c r="W288" i="4"/>
  <c r="W535" i="4"/>
  <c r="W96" i="4"/>
  <c r="W224" i="4"/>
  <c r="W285" i="4"/>
  <c r="W484" i="4"/>
  <c r="W113" i="4"/>
  <c r="W145" i="4"/>
  <c r="W225" i="4"/>
  <c r="W286" i="4"/>
  <c r="W374" i="4"/>
  <c r="W501" i="4"/>
  <c r="W63" i="4"/>
  <c r="W190" i="4"/>
  <c r="W251" i="4"/>
  <c r="W695" i="4"/>
  <c r="W867" i="4"/>
  <c r="W1139" i="4"/>
  <c r="W1282" i="4"/>
  <c r="W467" i="4"/>
  <c r="W696" i="4"/>
  <c r="W884" i="4"/>
  <c r="W1156" i="4"/>
  <c r="W1283" i="4"/>
  <c r="W1299" i="4"/>
  <c r="W1315" i="4"/>
  <c r="W518" i="4"/>
  <c r="W641" i="4"/>
  <c r="W1037" i="4"/>
  <c r="W1261" i="4"/>
  <c r="W115" i="4"/>
  <c r="W375" i="4"/>
  <c r="W833" i="4"/>
  <c r="W918" i="4"/>
  <c r="W1385" i="4"/>
  <c r="W376" i="4"/>
  <c r="W289" i="4"/>
  <c r="W538" i="4"/>
  <c r="W715" i="4"/>
  <c r="W1207" i="4"/>
  <c r="W135" i="4"/>
  <c r="W1224" i="4"/>
  <c r="W287" i="4"/>
  <c r="W1173" i="4"/>
  <c r="W733" i="4"/>
  <c r="W590" i="4"/>
  <c r="W986" i="4"/>
  <c r="W1242" i="4"/>
  <c r="W694" i="4"/>
  <c r="W1384" i="4"/>
  <c r="W415" i="4"/>
  <c r="W607" i="4"/>
  <c r="W132" i="4"/>
  <c r="W133" i="4"/>
  <c r="W393" i="4"/>
  <c r="W134" i="4"/>
  <c r="W1332" i="4"/>
  <c r="W698" i="4"/>
  <c r="W414" i="4"/>
  <c r="W693" i="4"/>
  <c r="W969" i="4"/>
  <c r="W1054" i="4"/>
  <c r="W1366" i="4"/>
  <c r="W307" i="4"/>
  <c r="W1383" i="4"/>
  <c r="W642" i="4"/>
  <c r="W1280" i="4"/>
  <c r="W1349" i="4"/>
  <c r="W850" i="4"/>
  <c r="W1281" i="4"/>
  <c r="W1241" i="4"/>
  <c r="W337" i="4"/>
  <c r="W29" i="4"/>
  <c r="W1190" i="4"/>
  <c r="W336" i="4"/>
  <c r="W539" i="4"/>
  <c r="B33" i="4"/>
  <c r="V33" i="4" s="1"/>
  <c r="K7" i="6"/>
  <c r="J8" i="6"/>
  <c r="K395" i="4"/>
  <c r="L409" i="4"/>
  <c r="O408" i="4"/>
  <c r="G7" i="6"/>
  <c r="F8" i="6"/>
  <c r="O6" i="6"/>
  <c r="N7" i="6"/>
  <c r="J50" i="4"/>
  <c r="K118" i="4"/>
  <c r="L77" i="4"/>
  <c r="O77" i="4" s="1"/>
  <c r="K51" i="4"/>
  <c r="B7" i="6"/>
  <c r="C6" i="6"/>
  <c r="G6" i="6"/>
  <c r="C34" i="4" l="1"/>
  <c r="R34" i="4" s="1"/>
  <c r="Y268" i="4"/>
  <c r="Y272" i="4"/>
  <c r="Y276" i="4"/>
  <c r="Y280" i="4"/>
  <c r="Y284" i="4"/>
  <c r="Y415" i="4"/>
  <c r="Y419" i="4"/>
  <c r="Y423" i="4"/>
  <c r="Y427" i="4"/>
  <c r="Y431" i="4"/>
  <c r="Y643" i="4"/>
  <c r="Y647" i="4"/>
  <c r="Y651" i="4"/>
  <c r="Y655" i="4"/>
  <c r="Y659" i="4"/>
  <c r="Y663" i="4"/>
  <c r="Y667" i="4"/>
  <c r="Y671" i="4"/>
  <c r="Y675" i="4"/>
  <c r="Y679" i="4"/>
  <c r="Y683" i="4"/>
  <c r="Y687" i="4"/>
  <c r="Y691" i="4"/>
  <c r="Y699" i="4"/>
  <c r="Y703" i="4"/>
  <c r="Y707" i="4"/>
  <c r="Y711" i="4"/>
  <c r="Y715" i="4"/>
  <c r="Y819" i="4"/>
  <c r="Y823" i="4"/>
  <c r="Y827" i="4"/>
  <c r="Y831" i="4"/>
  <c r="Y835" i="4"/>
  <c r="Y839" i="4"/>
  <c r="Y843" i="4"/>
  <c r="Y847" i="4"/>
  <c r="Y269" i="4"/>
  <c r="Y273" i="4"/>
  <c r="Y277" i="4"/>
  <c r="Y281" i="4"/>
  <c r="Y416" i="4"/>
  <c r="Y420" i="4"/>
  <c r="Y424" i="4"/>
  <c r="Y428" i="4"/>
  <c r="Y432" i="4"/>
  <c r="Y644" i="4"/>
  <c r="Y648" i="4"/>
  <c r="Y652" i="4"/>
  <c r="Y656" i="4"/>
  <c r="Y660" i="4"/>
  <c r="Y664" i="4"/>
  <c r="Y668" i="4"/>
  <c r="Y672" i="4"/>
  <c r="Y676" i="4"/>
  <c r="Y680" i="4"/>
  <c r="Y684" i="4"/>
  <c r="Y688" i="4"/>
  <c r="Y692" i="4"/>
  <c r="Y700" i="4"/>
  <c r="Y704" i="4"/>
  <c r="Y708" i="4"/>
  <c r="Y712" i="4"/>
  <c r="Y816" i="4"/>
  <c r="Y820" i="4"/>
  <c r="Y824" i="4"/>
  <c r="Y828" i="4"/>
  <c r="Y832" i="4"/>
  <c r="Y836" i="4"/>
  <c r="Y840" i="4"/>
  <c r="Y844" i="4"/>
  <c r="Y848" i="4"/>
  <c r="Y270" i="4"/>
  <c r="Y274" i="4"/>
  <c r="Y278" i="4"/>
  <c r="Y282" i="4"/>
  <c r="Y417" i="4"/>
  <c r="Y421" i="4"/>
  <c r="Y425" i="4"/>
  <c r="Y429" i="4"/>
  <c r="Y645" i="4"/>
  <c r="Y649" i="4"/>
  <c r="Y653" i="4"/>
  <c r="Y657" i="4"/>
  <c r="Y661" i="4"/>
  <c r="Y665" i="4"/>
  <c r="Y669" i="4"/>
  <c r="Y673" i="4"/>
  <c r="Y677" i="4"/>
  <c r="Y681" i="4"/>
  <c r="Y685" i="4"/>
  <c r="Y689" i="4"/>
  <c r="Y701" i="4"/>
  <c r="Y705" i="4"/>
  <c r="Y709" i="4"/>
  <c r="Y713" i="4"/>
  <c r="Y817" i="4"/>
  <c r="Y821" i="4"/>
  <c r="Y825" i="4"/>
  <c r="Y829" i="4"/>
  <c r="Y833" i="4"/>
  <c r="Y837" i="4"/>
  <c r="Y841" i="4"/>
  <c r="Y845" i="4"/>
  <c r="Y849" i="4"/>
  <c r="Y275" i="4"/>
  <c r="Y426" i="4"/>
  <c r="Y650" i="4"/>
  <c r="Y666" i="4"/>
  <c r="Y682" i="4"/>
  <c r="Y698" i="4"/>
  <c r="Y714" i="4"/>
  <c r="Y822" i="4"/>
  <c r="Y838" i="4"/>
  <c r="Y279" i="4"/>
  <c r="Y430" i="4"/>
  <c r="Y654" i="4"/>
  <c r="Y670" i="4"/>
  <c r="Y686" i="4"/>
  <c r="Y702" i="4"/>
  <c r="Y826" i="4"/>
  <c r="Y842" i="4"/>
  <c r="Y283" i="4"/>
  <c r="Y418" i="4"/>
  <c r="Y642" i="4"/>
  <c r="Y658" i="4"/>
  <c r="Y674" i="4"/>
  <c r="Y690" i="4"/>
  <c r="Y706" i="4"/>
  <c r="Y830" i="4"/>
  <c r="Y846" i="4"/>
  <c r="Y271" i="4"/>
  <c r="Y646" i="4"/>
  <c r="Y710" i="4"/>
  <c r="Y818" i="4"/>
  <c r="Y662" i="4"/>
  <c r="Y834" i="4"/>
  <c r="Y422" i="4"/>
  <c r="Y678" i="4"/>
  <c r="Y783" i="4"/>
  <c r="Y787" i="4"/>
  <c r="Y791" i="4"/>
  <c r="Y795" i="4"/>
  <c r="Y799" i="4"/>
  <c r="Y803" i="4"/>
  <c r="Y807" i="4"/>
  <c r="Y811" i="4"/>
  <c r="Y815" i="4"/>
  <c r="Y784" i="4"/>
  <c r="Y788" i="4"/>
  <c r="Y792" i="4"/>
  <c r="Y796" i="4"/>
  <c r="Y800" i="4"/>
  <c r="Y804" i="4"/>
  <c r="Y808" i="4"/>
  <c r="Y812" i="4"/>
  <c r="Y785" i="4"/>
  <c r="Y789" i="4"/>
  <c r="Y793" i="4"/>
  <c r="Y797" i="4"/>
  <c r="Y801" i="4"/>
  <c r="Y805" i="4"/>
  <c r="Y809" i="4"/>
  <c r="Y813" i="4"/>
  <c r="Y790" i="4"/>
  <c r="Y806" i="4"/>
  <c r="Y794" i="4"/>
  <c r="Y810" i="4"/>
  <c r="Y782" i="4"/>
  <c r="Y798" i="4"/>
  <c r="Y814" i="4"/>
  <c r="Y786" i="4"/>
  <c r="Y802" i="4"/>
  <c r="X15" i="4"/>
  <c r="X19" i="4"/>
  <c r="X23" i="4"/>
  <c r="X27" i="4"/>
  <c r="X16" i="4"/>
  <c r="X20" i="4"/>
  <c r="X24" i="4"/>
  <c r="X28" i="4"/>
  <c r="X13" i="4"/>
  <c r="X17" i="4"/>
  <c r="X21" i="4"/>
  <c r="X25" i="4"/>
  <c r="X14" i="4"/>
  <c r="X18" i="4"/>
  <c r="X22" i="4"/>
  <c r="X26" i="4"/>
  <c r="X12" i="4"/>
  <c r="B34" i="4"/>
  <c r="V34" i="4" s="1"/>
  <c r="O7" i="6"/>
  <c r="AA51" i="4" s="1"/>
  <c r="N8" i="6"/>
  <c r="K8" i="6"/>
  <c r="J9" i="6"/>
  <c r="U141" i="4"/>
  <c r="U137" i="4"/>
  <c r="U140" i="4"/>
  <c r="U142" i="4"/>
  <c r="U145" i="4"/>
  <c r="U136" i="4"/>
  <c r="U139" i="4"/>
  <c r="U144" i="4"/>
  <c r="U138" i="4"/>
  <c r="U143" i="4"/>
  <c r="K396" i="4"/>
  <c r="O409" i="4"/>
  <c r="C7" i="6"/>
  <c r="X62" i="4" s="1"/>
  <c r="B8" i="6"/>
  <c r="G8" i="6"/>
  <c r="F9" i="6"/>
  <c r="J51" i="4"/>
  <c r="K119" i="4"/>
  <c r="L78" i="4"/>
  <c r="O78" i="4" s="1"/>
  <c r="K52" i="4"/>
  <c r="AA52" i="4" s="1"/>
  <c r="C35" i="4" l="1"/>
  <c r="R35" i="4" s="1"/>
  <c r="Z51" i="4"/>
  <c r="AA46" i="4"/>
  <c r="AA45" i="4"/>
  <c r="AA47" i="4"/>
  <c r="AA48" i="4"/>
  <c r="AA49" i="4"/>
  <c r="AA50" i="4"/>
  <c r="Y16" i="4"/>
  <c r="Y20" i="4"/>
  <c r="Y24" i="4"/>
  <c r="Y28" i="4"/>
  <c r="Y63" i="4"/>
  <c r="Y67" i="4"/>
  <c r="Y71" i="4"/>
  <c r="Y75" i="4"/>
  <c r="Y79" i="4"/>
  <c r="Y13" i="4"/>
  <c r="Y17" i="4"/>
  <c r="Y21" i="4"/>
  <c r="Y25" i="4"/>
  <c r="Y64" i="4"/>
  <c r="Y68" i="4"/>
  <c r="Y72" i="4"/>
  <c r="Y76" i="4"/>
  <c r="Y14" i="4"/>
  <c r="Y18" i="4"/>
  <c r="Y22" i="4"/>
  <c r="Y26" i="4"/>
  <c r="Y65" i="4"/>
  <c r="Y69" i="4"/>
  <c r="Y73" i="4"/>
  <c r="Y77" i="4"/>
  <c r="Y23" i="4"/>
  <c r="Y70" i="4"/>
  <c r="Y27" i="4"/>
  <c r="Y74" i="4"/>
  <c r="Y15" i="4"/>
  <c r="Y62" i="4"/>
  <c r="Y78" i="4"/>
  <c r="Y19" i="4"/>
  <c r="Y66" i="4"/>
  <c r="Z539" i="4"/>
  <c r="Z573" i="4"/>
  <c r="Z45" i="4"/>
  <c r="Z556" i="4"/>
  <c r="Z433" i="4"/>
  <c r="Z782" i="4"/>
  <c r="Z1471" i="4"/>
  <c r="Z29" i="4"/>
  <c r="Z450" i="4"/>
  <c r="Z799" i="4"/>
  <c r="Z816" i="4"/>
  <c r="Z1349" i="4"/>
  <c r="Z1593" i="4"/>
  <c r="Z1576" i="4"/>
  <c r="Z833" i="4"/>
  <c r="Z1207" i="4"/>
  <c r="Z1243" i="4"/>
  <c r="Z1332" i="4"/>
  <c r="Z1420" i="4"/>
  <c r="Z969" i="4"/>
  <c r="Z1454" i="4"/>
  <c r="Z1263" i="4"/>
  <c r="Z46" i="4"/>
  <c r="Z47" i="4"/>
  <c r="Z48" i="4"/>
  <c r="Z49" i="4"/>
  <c r="Z50" i="4"/>
  <c r="Y12" i="4"/>
  <c r="B35" i="4"/>
  <c r="V35" i="4" s="1"/>
  <c r="O8" i="6"/>
  <c r="N9" i="6"/>
  <c r="J10" i="6"/>
  <c r="K9" i="6"/>
  <c r="Z133" i="4" s="1"/>
  <c r="U149" i="4"/>
  <c r="U154" i="4"/>
  <c r="U151" i="4"/>
  <c r="U155" i="4"/>
  <c r="U156" i="4" s="1"/>
  <c r="U157" i="4" s="1"/>
  <c r="U158" i="4" s="1"/>
  <c r="U159" i="4" s="1"/>
  <c r="U160" i="4" s="1"/>
  <c r="U161" i="4" s="1"/>
  <c r="U162" i="4" s="1"/>
  <c r="U163" i="4" s="1"/>
  <c r="U164" i="4" s="1"/>
  <c r="U165" i="4" s="1"/>
  <c r="U166" i="4" s="1"/>
  <c r="U167" i="4" s="1"/>
  <c r="U168" i="4" s="1"/>
  <c r="U169" i="4" s="1"/>
  <c r="U170" i="4" s="1"/>
  <c r="U171" i="4" s="1"/>
  <c r="U172" i="4" s="1"/>
  <c r="U173" i="4" s="1"/>
  <c r="U174" i="4" s="1"/>
  <c r="U175" i="4" s="1"/>
  <c r="U176" i="4" s="1"/>
  <c r="U177" i="4" s="1"/>
  <c r="U178" i="4" s="1"/>
  <c r="U179" i="4" s="1"/>
  <c r="U180" i="4" s="1"/>
  <c r="U181" i="4" s="1"/>
  <c r="U182" i="4" s="1"/>
  <c r="U183" i="4" s="1"/>
  <c r="U184" i="4" s="1"/>
  <c r="U185" i="4" s="1"/>
  <c r="U186" i="4" s="1"/>
  <c r="U187" i="4" s="1"/>
  <c r="U188" i="4" s="1"/>
  <c r="U189" i="4" s="1"/>
  <c r="U191" i="4" s="1"/>
  <c r="U192" i="4" s="1"/>
  <c r="U193" i="4" s="1"/>
  <c r="U194" i="4" s="1"/>
  <c r="U195" i="4" s="1"/>
  <c r="U196" i="4" s="1"/>
  <c r="U197" i="4" s="1"/>
  <c r="U198" i="4" s="1"/>
  <c r="U199" i="4" s="1"/>
  <c r="U200" i="4" s="1"/>
  <c r="U201" i="4" s="1"/>
  <c r="U202" i="4" s="1"/>
  <c r="U203" i="4" s="1"/>
  <c r="U204" i="4" s="1"/>
  <c r="U205" i="4" s="1"/>
  <c r="U206" i="4" s="1"/>
  <c r="U207" i="4" s="1"/>
  <c r="U208" i="4" s="1"/>
  <c r="U209" i="4" s="1"/>
  <c r="U210" i="4" s="1"/>
  <c r="U211" i="4" s="1"/>
  <c r="U212" i="4" s="1"/>
  <c r="U213" i="4" s="1"/>
  <c r="U214" i="4" s="1"/>
  <c r="U215" i="4" s="1"/>
  <c r="U216" i="4" s="1"/>
  <c r="U217" i="4" s="1"/>
  <c r="U218" i="4" s="1"/>
  <c r="U219" i="4" s="1"/>
  <c r="U220" i="4" s="1"/>
  <c r="U221" i="4" s="1"/>
  <c r="U222" i="4" s="1"/>
  <c r="U223" i="4" s="1"/>
  <c r="U224" i="4" s="1"/>
  <c r="U225" i="4" s="1"/>
  <c r="U226" i="4" s="1"/>
  <c r="U146" i="4"/>
  <c r="U152" i="4"/>
  <c r="U150" i="4"/>
  <c r="U147" i="4"/>
  <c r="U153" i="4"/>
  <c r="U148" i="4"/>
  <c r="K397" i="4"/>
  <c r="G9" i="6"/>
  <c r="F10" i="6"/>
  <c r="C8" i="6"/>
  <c r="B9" i="6"/>
  <c r="J52" i="4"/>
  <c r="Z52" i="4" s="1"/>
  <c r="K120" i="4"/>
  <c r="J117" i="4"/>
  <c r="Z117" i="4" s="1"/>
  <c r="L79" i="4"/>
  <c r="O79" i="4" s="1"/>
  <c r="K53" i="4"/>
  <c r="AA53" i="4" s="1"/>
  <c r="C36" i="4" l="1"/>
  <c r="R36" i="4" s="1"/>
  <c r="U227" i="4"/>
  <c r="U228" i="4" s="1"/>
  <c r="U229" i="4" s="1"/>
  <c r="U230" i="4" s="1"/>
  <c r="U231" i="4" s="1"/>
  <c r="U232" i="4" s="1"/>
  <c r="U233" i="4" s="1"/>
  <c r="U234" i="4" s="1"/>
  <c r="X133" i="4"/>
  <c r="Y47" i="4"/>
  <c r="Y51" i="4"/>
  <c r="Y55" i="4"/>
  <c r="Y59" i="4"/>
  <c r="Y118" i="4"/>
  <c r="Y122" i="4"/>
  <c r="Y126" i="4"/>
  <c r="Y130" i="4"/>
  <c r="Y190" i="4"/>
  <c r="Y194" i="4"/>
  <c r="Y198" i="4"/>
  <c r="Y202" i="4"/>
  <c r="Y206" i="4"/>
  <c r="Y210" i="4"/>
  <c r="Y214" i="4"/>
  <c r="Y218" i="4"/>
  <c r="Y222" i="4"/>
  <c r="Y48" i="4"/>
  <c r="Y52" i="4"/>
  <c r="Y56" i="4"/>
  <c r="Y60" i="4"/>
  <c r="Y45" i="4"/>
  <c r="Y49" i="4"/>
  <c r="Y53" i="4"/>
  <c r="Y57" i="4"/>
  <c r="Y61" i="4"/>
  <c r="Y116" i="4"/>
  <c r="Y120" i="4"/>
  <c r="Y124" i="4"/>
  <c r="Y128" i="4"/>
  <c r="Y192" i="4"/>
  <c r="Y196" i="4"/>
  <c r="Y200" i="4"/>
  <c r="Y204" i="4"/>
  <c r="Y208" i="4"/>
  <c r="Y212" i="4"/>
  <c r="Y216" i="4"/>
  <c r="Y220" i="4"/>
  <c r="Y54" i="4"/>
  <c r="Y119" i="4"/>
  <c r="Y127" i="4"/>
  <c r="Y191" i="4"/>
  <c r="Y199" i="4"/>
  <c r="Y207" i="4"/>
  <c r="Y215" i="4"/>
  <c r="Y223" i="4"/>
  <c r="Y288" i="4"/>
  <c r="Y503" i="4"/>
  <c r="Y507" i="4"/>
  <c r="Y511" i="4"/>
  <c r="Y515" i="4"/>
  <c r="Y519" i="4"/>
  <c r="Y523" i="4"/>
  <c r="Y527" i="4"/>
  <c r="Y531" i="4"/>
  <c r="Y535" i="4"/>
  <c r="Y1107" i="4"/>
  <c r="Y1111" i="4"/>
  <c r="Y1115" i="4"/>
  <c r="Y1119" i="4"/>
  <c r="Y58" i="4"/>
  <c r="Y121" i="4"/>
  <c r="Y129" i="4"/>
  <c r="Y193" i="4"/>
  <c r="Y201" i="4"/>
  <c r="Y209" i="4"/>
  <c r="Y217" i="4"/>
  <c r="Y285" i="4"/>
  <c r="Y504" i="4"/>
  <c r="Y508" i="4"/>
  <c r="Y512" i="4"/>
  <c r="Y516" i="4"/>
  <c r="Y520" i="4"/>
  <c r="Y524" i="4"/>
  <c r="Y528" i="4"/>
  <c r="Y532" i="4"/>
  <c r="Y536" i="4"/>
  <c r="Y46" i="4"/>
  <c r="Y115" i="4"/>
  <c r="Y123" i="4"/>
  <c r="Y131" i="4"/>
  <c r="Y195" i="4"/>
  <c r="Y203" i="4"/>
  <c r="Y211" i="4"/>
  <c r="Y219" i="4"/>
  <c r="Y286" i="4"/>
  <c r="Y501" i="4"/>
  <c r="Y505" i="4"/>
  <c r="Y509" i="4"/>
  <c r="Y513" i="4"/>
  <c r="Y517" i="4"/>
  <c r="Y521" i="4"/>
  <c r="Y525" i="4"/>
  <c r="Y529" i="4"/>
  <c r="Y533" i="4"/>
  <c r="Y1105" i="4"/>
  <c r="Y1109" i="4"/>
  <c r="Y1113" i="4"/>
  <c r="Y1117" i="4"/>
  <c r="Y1121" i="4"/>
  <c r="Y125" i="4"/>
  <c r="Y189" i="4"/>
  <c r="Y221" i="4"/>
  <c r="Y506" i="4"/>
  <c r="Y522" i="4"/>
  <c r="Y1110" i="4"/>
  <c r="Y1118" i="4"/>
  <c r="Y197" i="4"/>
  <c r="Y510" i="4"/>
  <c r="Y526" i="4"/>
  <c r="Y1112" i="4"/>
  <c r="Y1120" i="4"/>
  <c r="Y50" i="4"/>
  <c r="Y205" i="4"/>
  <c r="Y514" i="4"/>
  <c r="Y530" i="4"/>
  <c r="Y1106" i="4"/>
  <c r="Y1114" i="4"/>
  <c r="Y518" i="4"/>
  <c r="Y213" i="4"/>
  <c r="Y287" i="4"/>
  <c r="Y534" i="4"/>
  <c r="Y117" i="4"/>
  <c r="Y1108" i="4"/>
  <c r="Y502" i="4"/>
  <c r="Y1116" i="4"/>
  <c r="B36" i="4"/>
  <c r="V36" i="4" s="1"/>
  <c r="K10" i="6"/>
  <c r="J11" i="6"/>
  <c r="N10" i="6"/>
  <c r="O9" i="6"/>
  <c r="G10" i="6"/>
  <c r="F11" i="6"/>
  <c r="U190" i="4"/>
  <c r="K398" i="4"/>
  <c r="B10" i="6"/>
  <c r="C9" i="6"/>
  <c r="J53" i="4"/>
  <c r="Z53" i="4" s="1"/>
  <c r="J118" i="4"/>
  <c r="Z118" i="4" s="1"/>
  <c r="K121" i="4"/>
  <c r="K54" i="4"/>
  <c r="AA54" i="4" s="1"/>
  <c r="C37" i="4" l="1"/>
  <c r="R37" i="4" s="1"/>
  <c r="U235" i="4"/>
  <c r="U236" i="4" s="1"/>
  <c r="U237" i="4" s="1"/>
  <c r="U238" i="4" s="1"/>
  <c r="U239" i="4" s="1"/>
  <c r="U240" i="4" s="1"/>
  <c r="U241" i="4" s="1"/>
  <c r="U242" i="4" s="1"/>
  <c r="U243" i="4" s="1"/>
  <c r="U244" i="4" s="1"/>
  <c r="U245" i="4" s="1"/>
  <c r="U246" i="4" s="1"/>
  <c r="U247" i="4" s="1"/>
  <c r="U248" i="4" s="1"/>
  <c r="U249" i="4" s="1"/>
  <c r="U250" i="4" s="1"/>
  <c r="U251" i="4" s="1"/>
  <c r="U252" i="4" s="1"/>
  <c r="U253" i="4" s="1"/>
  <c r="U254" i="4" s="1"/>
  <c r="U255" i="4" s="1"/>
  <c r="U256" i="4" s="1"/>
  <c r="U257" i="4" s="1"/>
  <c r="U258" i="4" s="1"/>
  <c r="U259" i="4" s="1"/>
  <c r="U260" i="4" s="1"/>
  <c r="U261" i="4" s="1"/>
  <c r="U262" i="4" s="1"/>
  <c r="U263" i="4" s="1"/>
  <c r="U264" i="4" s="1"/>
  <c r="U265" i="4" s="1"/>
  <c r="U266" i="4" s="1"/>
  <c r="U267" i="4" s="1"/>
  <c r="U268" i="4" s="1"/>
  <c r="U269" i="4" s="1"/>
  <c r="U270" i="4" s="1"/>
  <c r="U271" i="4" s="1"/>
  <c r="U272" i="4" s="1"/>
  <c r="U273" i="4" s="1"/>
  <c r="U274" i="4" s="1"/>
  <c r="U275" i="4" s="1"/>
  <c r="U276" i="4" s="1"/>
  <c r="U277" i="4" s="1"/>
  <c r="U278" i="4" s="1"/>
  <c r="U279" i="4" s="1"/>
  <c r="U280" i="4" s="1"/>
  <c r="U281" i="4" s="1"/>
  <c r="U282" i="4" s="1"/>
  <c r="U283" i="4" s="1"/>
  <c r="U284" i="4" s="1"/>
  <c r="U285" i="4" s="1"/>
  <c r="U286" i="4" s="1"/>
  <c r="U287" i="4" s="1"/>
  <c r="U288" i="4" s="1"/>
  <c r="X157" i="4"/>
  <c r="X161" i="4"/>
  <c r="X165" i="4"/>
  <c r="X169" i="4"/>
  <c r="X158" i="4"/>
  <c r="X162" i="4"/>
  <c r="X166" i="4"/>
  <c r="X170" i="4"/>
  <c r="X155" i="4"/>
  <c r="X159" i="4"/>
  <c r="X163" i="4"/>
  <c r="X167" i="4"/>
  <c r="X171" i="4"/>
  <c r="X156" i="4"/>
  <c r="X160" i="4"/>
  <c r="X164" i="4"/>
  <c r="X168" i="4"/>
  <c r="Y114" i="4"/>
  <c r="Y138" i="4"/>
  <c r="Y142" i="4"/>
  <c r="Y146" i="4"/>
  <c r="Y150" i="4"/>
  <c r="Y154" i="4"/>
  <c r="Y226" i="4"/>
  <c r="Y229" i="4"/>
  <c r="Y233" i="4"/>
  <c r="Y235" i="4"/>
  <c r="Y136" i="4"/>
  <c r="Y140" i="4"/>
  <c r="Y144" i="4"/>
  <c r="Y148" i="4"/>
  <c r="Y152" i="4"/>
  <c r="Y224" i="4"/>
  <c r="Y227" i="4"/>
  <c r="Y231" i="4"/>
  <c r="Y135" i="4"/>
  <c r="Y143" i="4"/>
  <c r="Y151" i="4"/>
  <c r="Y230" i="4"/>
  <c r="Y236" i="4"/>
  <c r="Y240" i="4"/>
  <c r="Y244" i="4"/>
  <c r="Y248" i="4"/>
  <c r="Y291" i="4"/>
  <c r="Y295" i="4"/>
  <c r="Y299" i="4"/>
  <c r="Y303" i="4"/>
  <c r="Y328" i="4"/>
  <c r="Y113" i="4"/>
  <c r="Y137" i="4"/>
  <c r="Y145" i="4"/>
  <c r="Y153" i="4"/>
  <c r="Y225" i="4"/>
  <c r="Y232" i="4"/>
  <c r="Y237" i="4"/>
  <c r="Y241" i="4"/>
  <c r="Y245" i="4"/>
  <c r="Y249" i="4"/>
  <c r="Y292" i="4"/>
  <c r="Y296" i="4"/>
  <c r="Y300" i="4"/>
  <c r="Y304" i="4"/>
  <c r="Y324" i="4"/>
  <c r="Y325" i="4"/>
  <c r="Y329" i="4"/>
  <c r="Y334" i="4"/>
  <c r="Y139" i="4"/>
  <c r="Y147" i="4"/>
  <c r="Y234" i="4"/>
  <c r="Y238" i="4"/>
  <c r="Y242" i="4"/>
  <c r="Y246" i="4"/>
  <c r="Y289" i="4"/>
  <c r="Y293" i="4"/>
  <c r="Y297" i="4"/>
  <c r="Y301" i="4"/>
  <c r="Y305" i="4"/>
  <c r="Y326" i="4"/>
  <c r="Y330" i="4"/>
  <c r="Y332" i="4"/>
  <c r="Y335" i="4"/>
  <c r="Y243" i="4"/>
  <c r="Y290" i="4"/>
  <c r="Y306" i="4"/>
  <c r="Y333" i="4"/>
  <c r="Y228" i="4"/>
  <c r="Y247" i="4"/>
  <c r="Y294" i="4"/>
  <c r="Y336" i="4"/>
  <c r="Y141" i="4"/>
  <c r="Y298" i="4"/>
  <c r="Y327" i="4"/>
  <c r="Y331" i="4"/>
  <c r="Y239" i="4"/>
  <c r="Y149" i="4"/>
  <c r="Y302" i="4"/>
  <c r="Z135" i="4"/>
  <c r="Z136" i="4"/>
  <c r="Z137" i="4"/>
  <c r="Z138" i="4"/>
  <c r="Z139" i="4"/>
  <c r="Z140" i="4"/>
  <c r="Z141" i="4"/>
  <c r="Z142" i="4"/>
  <c r="Z143" i="4"/>
  <c r="Z144" i="4"/>
  <c r="B37" i="4"/>
  <c r="V37" i="4" s="1"/>
  <c r="J12" i="6"/>
  <c r="K11" i="6"/>
  <c r="O10" i="6"/>
  <c r="N11" i="6"/>
  <c r="G11" i="6"/>
  <c r="F12" i="6"/>
  <c r="K399" i="4"/>
  <c r="J418" i="4"/>
  <c r="Z418" i="4" s="1"/>
  <c r="C10" i="6"/>
  <c r="B11" i="6"/>
  <c r="J54" i="4"/>
  <c r="Z54" i="4" s="1"/>
  <c r="K122" i="4"/>
  <c r="J119" i="4"/>
  <c r="Z119" i="4" s="1"/>
  <c r="K55" i="4"/>
  <c r="AA55" i="4" s="1"/>
  <c r="S5" i="6"/>
  <c r="S6" i="6"/>
  <c r="C38" i="4" l="1"/>
  <c r="R38" i="4" s="1"/>
  <c r="U289" i="4"/>
  <c r="U290" i="4" s="1"/>
  <c r="U291" i="4" s="1"/>
  <c r="U292" i="4" s="1"/>
  <c r="U293" i="4" s="1"/>
  <c r="U294" i="4" s="1"/>
  <c r="U295" i="4" s="1"/>
  <c r="U296" i="4" s="1"/>
  <c r="U297" i="4" s="1"/>
  <c r="U298" i="4" s="1"/>
  <c r="U299" i="4" s="1"/>
  <c r="U300" i="4" s="1"/>
  <c r="U301" i="4" s="1"/>
  <c r="U302" i="4" s="1"/>
  <c r="U303" i="4" s="1"/>
  <c r="U304" i="4" s="1"/>
  <c r="U305" i="4" s="1"/>
  <c r="U306" i="4" s="1"/>
  <c r="U307" i="4" s="1"/>
  <c r="U308" i="4" s="1"/>
  <c r="U309" i="4" s="1"/>
  <c r="U310" i="4" s="1"/>
  <c r="U311" i="4" s="1"/>
  <c r="U312" i="4" s="1"/>
  <c r="U313" i="4" s="1"/>
  <c r="U314" i="4" s="1"/>
  <c r="U315" i="4" s="1"/>
  <c r="U316" i="4" s="1"/>
  <c r="U317" i="4" s="1"/>
  <c r="U318" i="4" s="1"/>
  <c r="U319" i="4" s="1"/>
  <c r="U320" i="4" s="1"/>
  <c r="U321" i="4" s="1"/>
  <c r="U322" i="4" s="1"/>
  <c r="U323" i="4" s="1"/>
  <c r="U324" i="4" s="1"/>
  <c r="Y174" i="4"/>
  <c r="Y178" i="4"/>
  <c r="Y182" i="4"/>
  <c r="Y186" i="4"/>
  <c r="Y172" i="4"/>
  <c r="Y176" i="4"/>
  <c r="Y180" i="4"/>
  <c r="Y184" i="4"/>
  <c r="Y188" i="4"/>
  <c r="Y175" i="4"/>
  <c r="Y183" i="4"/>
  <c r="Y177" i="4"/>
  <c r="Y185" i="4"/>
  <c r="Y179" i="4"/>
  <c r="Y187" i="4"/>
  <c r="Y1727" i="4"/>
  <c r="Y1731" i="4"/>
  <c r="Y1735" i="4"/>
  <c r="Y1739" i="4"/>
  <c r="Y1743" i="4"/>
  <c r="Y1747" i="4"/>
  <c r="Y1751" i="4"/>
  <c r="Y1755" i="4"/>
  <c r="Y1759" i="4"/>
  <c r="Y1763" i="4"/>
  <c r="Y1767" i="4"/>
  <c r="Y1771" i="4"/>
  <c r="Y1724" i="4"/>
  <c r="Y1728" i="4"/>
  <c r="Y1732" i="4"/>
  <c r="Y1736" i="4"/>
  <c r="Y1740" i="4"/>
  <c r="Y1744" i="4"/>
  <c r="Y1748" i="4"/>
  <c r="Y1752" i="4"/>
  <c r="Y1756" i="4"/>
  <c r="Y1760" i="4"/>
  <c r="Y1764" i="4"/>
  <c r="Y1768" i="4"/>
  <c r="Y1772" i="4"/>
  <c r="Y173" i="4"/>
  <c r="Y1725" i="4"/>
  <c r="Y1729" i="4"/>
  <c r="Y1733" i="4"/>
  <c r="Y1737" i="4"/>
  <c r="Y1741" i="4"/>
  <c r="Y1745" i="4"/>
  <c r="Y1749" i="4"/>
  <c r="Y1753" i="4"/>
  <c r="Y1757" i="4"/>
  <c r="Y1761" i="4"/>
  <c r="Y1765" i="4"/>
  <c r="Y1769" i="4"/>
  <c r="Y1773" i="4"/>
  <c r="Y181" i="4"/>
  <c r="Y1726" i="4"/>
  <c r="Y1742" i="4"/>
  <c r="Y1758" i="4"/>
  <c r="Y1774" i="4"/>
  <c r="Y1730" i="4"/>
  <c r="Y1746" i="4"/>
  <c r="Y1762" i="4"/>
  <c r="Y1734" i="4"/>
  <c r="Y1750" i="4"/>
  <c r="Y1766" i="4"/>
  <c r="Y1738" i="4"/>
  <c r="Y1754" i="4"/>
  <c r="Y1770" i="4"/>
  <c r="X254" i="4"/>
  <c r="X258" i="4"/>
  <c r="X262" i="4"/>
  <c r="X266" i="4"/>
  <c r="X252" i="4"/>
  <c r="X256" i="4"/>
  <c r="X260" i="4"/>
  <c r="X264" i="4"/>
  <c r="X251" i="4"/>
  <c r="X259" i="4"/>
  <c r="X267" i="4"/>
  <c r="X253" i="4"/>
  <c r="X261" i="4"/>
  <c r="X255" i="4"/>
  <c r="X263" i="4"/>
  <c r="X257" i="4"/>
  <c r="X265" i="4"/>
  <c r="Z145" i="4"/>
  <c r="Z146" i="4"/>
  <c r="Z147" i="4"/>
  <c r="Z148" i="4"/>
  <c r="Z149" i="4"/>
  <c r="Z150" i="4"/>
  <c r="Z151" i="4"/>
  <c r="Z152" i="4"/>
  <c r="Z153" i="4"/>
  <c r="Z154" i="4"/>
  <c r="B38" i="4"/>
  <c r="V38" i="4" s="1"/>
  <c r="F13" i="6"/>
  <c r="G12" i="6"/>
  <c r="C11" i="6"/>
  <c r="B12" i="6"/>
  <c r="N12" i="6"/>
  <c r="O11" i="6"/>
  <c r="K12" i="6"/>
  <c r="J13" i="6"/>
  <c r="K400" i="4"/>
  <c r="J419" i="4"/>
  <c r="Z419" i="4" s="1"/>
  <c r="J55" i="4"/>
  <c r="Z55" i="4" s="1"/>
  <c r="J120" i="4"/>
  <c r="Z120" i="4" s="1"/>
  <c r="K123" i="4"/>
  <c r="K56" i="4"/>
  <c r="AA56" i="4" s="1"/>
  <c r="U269" i="6"/>
  <c r="Y269" i="6" s="1"/>
  <c r="U21" i="6"/>
  <c r="Y21" i="6" s="1"/>
  <c r="U45" i="6"/>
  <c r="Y45" i="6" s="1"/>
  <c r="U20" i="6"/>
  <c r="Y20" i="6" s="1"/>
  <c r="U7" i="6"/>
  <c r="Y7" i="6" s="1"/>
  <c r="U12" i="6"/>
  <c r="Y12" i="6" s="1"/>
  <c r="W966" i="4" s="1"/>
  <c r="U14" i="6"/>
  <c r="Y14" i="6" s="1"/>
  <c r="U18" i="6"/>
  <c r="Y18" i="6" s="1"/>
  <c r="U17" i="6"/>
  <c r="Y17" i="6" s="1"/>
  <c r="U9" i="6"/>
  <c r="Y9" i="6" s="1"/>
  <c r="U8" i="6"/>
  <c r="Y8" i="6" s="1"/>
  <c r="U6" i="6"/>
  <c r="Y6" i="6" s="1"/>
  <c r="U5" i="6"/>
  <c r="Y5" i="6" s="1"/>
  <c r="U11" i="6"/>
  <c r="Y11" i="6" s="1"/>
  <c r="U19" i="6"/>
  <c r="Y19" i="6" s="1"/>
  <c r="U10" i="6"/>
  <c r="Y10" i="6" s="1"/>
  <c r="U16" i="6"/>
  <c r="Y16" i="6" s="1"/>
  <c r="U13" i="6"/>
  <c r="Y13" i="6" s="1"/>
  <c r="U15" i="6"/>
  <c r="Y15" i="6" s="1"/>
  <c r="U270" i="6"/>
  <c r="Y270" i="6" s="1"/>
  <c r="U282" i="6"/>
  <c r="Y282" i="6" s="1"/>
  <c r="U268" i="6"/>
  <c r="Y268" i="6" s="1"/>
  <c r="U277" i="6"/>
  <c r="Y277" i="6" s="1"/>
  <c r="U279" i="6"/>
  <c r="Y279" i="6" s="1"/>
  <c r="U278" i="6"/>
  <c r="Y278" i="6" s="1"/>
  <c r="U366" i="6"/>
  <c r="Y366" i="6" s="1"/>
  <c r="U272" i="6"/>
  <c r="Y272" i="6" s="1"/>
  <c r="U271" i="6"/>
  <c r="Y271" i="6" s="1"/>
  <c r="U276" i="6"/>
  <c r="Y276" i="6" s="1"/>
  <c r="U283" i="6"/>
  <c r="Y283" i="6" s="1"/>
  <c r="U281" i="6"/>
  <c r="Y281" i="6" s="1"/>
  <c r="U280" i="6"/>
  <c r="Y280" i="6" s="1"/>
  <c r="U275" i="6"/>
  <c r="Y275" i="6" s="1"/>
  <c r="U274" i="6"/>
  <c r="Y274" i="6" s="1"/>
  <c r="U273" i="6"/>
  <c r="Y273" i="6" s="1"/>
  <c r="Z857" i="4" l="1"/>
  <c r="Z863" i="4"/>
  <c r="Z866" i="4"/>
  <c r="Z854" i="4"/>
  <c r="Z859" i="4"/>
  <c r="Z860" i="4"/>
  <c r="Z865" i="4"/>
  <c r="Z856" i="4"/>
  <c r="Z855" i="4"/>
  <c r="Z852" i="4"/>
  <c r="Z862" i="4"/>
  <c r="Z851" i="4"/>
  <c r="Z853" i="4"/>
  <c r="Z861" i="4"/>
  <c r="Z858" i="4"/>
  <c r="Z864" i="4"/>
  <c r="C39" i="4"/>
  <c r="R39" i="4" s="1"/>
  <c r="U325" i="4"/>
  <c r="U326" i="4" s="1"/>
  <c r="U327" i="4" s="1"/>
  <c r="U328" i="4" s="1"/>
  <c r="U329" i="4" s="1"/>
  <c r="U330" i="4" s="1"/>
  <c r="U331" i="4" s="1"/>
  <c r="Y250" i="4"/>
  <c r="Y374" i="4"/>
  <c r="W120" i="4"/>
  <c r="W137" i="4"/>
  <c r="W381" i="4"/>
  <c r="W578" i="4"/>
  <c r="W703" i="4"/>
  <c r="W923" i="4"/>
  <c r="W1195" i="4"/>
  <c r="W1354" i="4"/>
  <c r="W17" i="4"/>
  <c r="W940" i="4"/>
  <c r="W1212" i="4"/>
  <c r="W1371" i="4"/>
  <c r="W721" i="4"/>
  <c r="W957" i="4"/>
  <c r="W312" i="4"/>
  <c r="W544" i="4"/>
  <c r="W326" i="4"/>
  <c r="W561" i="4"/>
  <c r="W739" i="4"/>
  <c r="W991" i="4"/>
  <c r="W1390" i="4"/>
  <c r="W1598" i="4"/>
  <c r="W523" i="4"/>
  <c r="W1008" i="4"/>
  <c r="W1248" i="4"/>
  <c r="W360" i="4"/>
  <c r="W438" i="4"/>
  <c r="W1093" i="4"/>
  <c r="W1476" i="4"/>
  <c r="W906" i="4"/>
  <c r="W34" i="4"/>
  <c r="W160" i="4"/>
  <c r="W612" i="4"/>
  <c r="W50" i="4"/>
  <c r="W177" i="4"/>
  <c r="W343" i="4"/>
  <c r="W421" i="4"/>
  <c r="W629" i="4"/>
  <c r="W647" i="4"/>
  <c r="W787" i="4"/>
  <c r="W1059" i="4"/>
  <c r="W1442" i="4"/>
  <c r="W595" i="4"/>
  <c r="W664" i="4"/>
  <c r="W804" i="4"/>
  <c r="W1076" i="4"/>
  <c r="W1268" i="4"/>
  <c r="W1459" i="4"/>
  <c r="W1229" i="4"/>
  <c r="W398" i="4"/>
  <c r="W242" i="4"/>
  <c r="W489" i="4"/>
  <c r="W229" i="4"/>
  <c r="W681" i="4"/>
  <c r="W147" i="4"/>
  <c r="W455" i="4"/>
  <c r="W1321" i="4"/>
  <c r="W1408" i="4"/>
  <c r="W1042" i="4"/>
  <c r="W1425" i="4"/>
  <c r="W1304" i="4"/>
  <c r="W821" i="4"/>
  <c r="W68" i="4"/>
  <c r="W195" i="4"/>
  <c r="W294" i="4"/>
  <c r="W1337" i="4"/>
  <c r="W974" i="4"/>
  <c r="W1581" i="4"/>
  <c r="W85" i="4"/>
  <c r="W212" i="4"/>
  <c r="W273" i="4"/>
  <c r="W855" i="4"/>
  <c r="W872" i="4"/>
  <c r="W1025" i="4"/>
  <c r="W1110" i="4"/>
  <c r="W1536" i="4"/>
  <c r="W754" i="4"/>
  <c r="W838" i="4"/>
  <c r="W1178" i="4"/>
  <c r="W1561" i="4"/>
  <c r="W506" i="4"/>
  <c r="W1494" i="4"/>
  <c r="W1511" i="4"/>
  <c r="W1288" i="4"/>
  <c r="W1544" i="4"/>
  <c r="W770" i="4"/>
  <c r="W1127" i="4"/>
  <c r="W1144" i="4"/>
  <c r="W256" i="4"/>
  <c r="W1161" i="4"/>
  <c r="W472" i="4"/>
  <c r="W101" i="4"/>
  <c r="W889" i="4"/>
  <c r="W57" i="4"/>
  <c r="W184" i="4"/>
  <c r="W350" i="4"/>
  <c r="W428" i="4"/>
  <c r="W636" i="4"/>
  <c r="W367" i="4"/>
  <c r="W445" i="4"/>
  <c r="W671" i="4"/>
  <c r="W811" i="4"/>
  <c r="W1083" i="4"/>
  <c r="W1275" i="4"/>
  <c r="W1466" i="4"/>
  <c r="W688" i="4"/>
  <c r="W828" i="4"/>
  <c r="W1100" i="4"/>
  <c r="W1483" i="4"/>
  <c r="W1117" i="4"/>
  <c r="W108" i="4"/>
  <c r="W496" i="4"/>
  <c r="W513" i="4"/>
  <c r="W24" i="4"/>
  <c r="W879" i="4"/>
  <c r="W1151" i="4"/>
  <c r="W1518" i="4"/>
  <c r="W619" i="4"/>
  <c r="W896" i="4"/>
  <c r="W1168" i="4"/>
  <c r="W1295" i="4"/>
  <c r="W1311" i="4"/>
  <c r="W1551" i="4"/>
  <c r="W746" i="4"/>
  <c r="W388" i="4"/>
  <c r="W301" i="4"/>
  <c r="W405" i="4"/>
  <c r="W530" i="4"/>
  <c r="W947" i="4"/>
  <c r="W1219" i="4"/>
  <c r="W1378" i="4"/>
  <c r="W127" i="4"/>
  <c r="W728" i="4"/>
  <c r="W964" i="4"/>
  <c r="W1236" i="4"/>
  <c r="W845" i="4"/>
  <c r="W551" i="4"/>
  <c r="W75" i="4"/>
  <c r="W202" i="4"/>
  <c r="W1344" i="4"/>
  <c r="W1015" i="4"/>
  <c r="W1032" i="4"/>
  <c r="W1415" i="4"/>
  <c r="W1066" i="4"/>
  <c r="W462" i="4"/>
  <c r="W1328" i="4"/>
  <c r="W930" i="4"/>
  <c r="W1134" i="4"/>
  <c r="W568" i="4"/>
  <c r="W40" i="4"/>
  <c r="W167" i="4"/>
  <c r="W1185" i="4"/>
  <c r="W913" i="4"/>
  <c r="W998" i="4"/>
  <c r="W92" i="4"/>
  <c r="W219" i="4"/>
  <c r="W710" i="4"/>
  <c r="W585" i="4"/>
  <c r="W602" i="4"/>
  <c r="W981" i="4"/>
  <c r="W1588" i="4"/>
  <c r="W319" i="4"/>
  <c r="W263" i="4"/>
  <c r="W1449" i="4"/>
  <c r="W794" i="4"/>
  <c r="W1605" i="4"/>
  <c r="W1361" i="4"/>
  <c r="W654" i="4"/>
  <c r="W1049" i="4"/>
  <c r="W777" i="4"/>
  <c r="W479" i="4"/>
  <c r="W1568" i="4"/>
  <c r="W1397" i="4"/>
  <c r="W280" i="4"/>
  <c r="W862" i="4"/>
  <c r="W1202" i="4"/>
  <c r="W1255" i="4"/>
  <c r="W761" i="4"/>
  <c r="W1501" i="4"/>
  <c r="W1432" i="4"/>
  <c r="W73" i="4"/>
  <c r="W200" i="4"/>
  <c r="W261" i="4"/>
  <c r="W460" i="4"/>
  <c r="W90" i="4"/>
  <c r="W217" i="4"/>
  <c r="W278" i="4"/>
  <c r="W477" i="4"/>
  <c r="W843" i="4"/>
  <c r="W1115" i="4"/>
  <c r="W403" i="4"/>
  <c r="W860" i="4"/>
  <c r="W1132" i="4"/>
  <c r="W1499" i="4"/>
  <c r="W1149" i="4"/>
  <c r="W528" i="4"/>
  <c r="W125" i="4"/>
  <c r="W141" i="4"/>
  <c r="W55" i="4"/>
  <c r="W182" i="4"/>
  <c r="W348" i="4"/>
  <c r="W426" i="4"/>
  <c r="W911" i="4"/>
  <c r="W1183" i="4"/>
  <c r="W1326" i="4"/>
  <c r="W1342" i="4"/>
  <c r="W1566" i="4"/>
  <c r="W151" i="4"/>
  <c r="W708" i="4"/>
  <c r="W928" i="4"/>
  <c r="W1200" i="4"/>
  <c r="W1359" i="4"/>
  <c r="W566" i="4"/>
  <c r="W1253" i="4"/>
  <c r="W1376" i="4"/>
  <c r="W317" i="4"/>
  <c r="W549" i="4"/>
  <c r="W386" i="4"/>
  <c r="W979" i="4"/>
  <c r="W1586" i="4"/>
  <c r="W299" i="4"/>
  <c r="W744" i="4"/>
  <c r="W996" i="4"/>
  <c r="W1395" i="4"/>
  <c r="W1603" i="4"/>
  <c r="W877" i="4"/>
  <c r="W1516" i="4"/>
  <c r="W1217" i="4"/>
  <c r="W617" i="4"/>
  <c r="W365" i="4"/>
  <c r="W443" i="4"/>
  <c r="W583" i="4"/>
  <c r="W945" i="4"/>
  <c r="W1030" i="4"/>
  <c r="W1413" i="4"/>
  <c r="W1273" i="4"/>
  <c r="W1166" i="4"/>
  <c r="W511" i="4"/>
  <c r="W962" i="4"/>
  <c r="W775" i="4"/>
  <c r="W792" i="4"/>
  <c r="W331" i="4"/>
  <c r="W759" i="4"/>
  <c r="W1098" i="4"/>
  <c r="W494" i="4"/>
  <c r="W826" i="4"/>
  <c r="W1309" i="4"/>
  <c r="W686" i="4"/>
  <c r="W1549" i="4"/>
  <c r="W22" i="4"/>
  <c r="W1047" i="4"/>
  <c r="W1430" i="4"/>
  <c r="W1064" i="4"/>
  <c r="W1447" i="4"/>
  <c r="W669" i="4"/>
  <c r="W726" i="4"/>
  <c r="W809" i="4"/>
  <c r="W894" i="4"/>
  <c r="W1234" i="4"/>
  <c r="W234" i="4"/>
  <c r="W1081" i="4"/>
  <c r="W600" i="4"/>
  <c r="W1293" i="4"/>
  <c r="W39" i="4"/>
  <c r="W634" i="4"/>
  <c r="W652" i="4"/>
  <c r="W1464" i="4"/>
  <c r="W1013" i="4"/>
  <c r="W165" i="4"/>
  <c r="W106" i="4"/>
  <c r="W1481" i="4"/>
  <c r="W136" i="4"/>
  <c r="W380" i="4"/>
  <c r="W293" i="4"/>
  <c r="W397" i="4"/>
  <c r="W16" i="4"/>
  <c r="W939" i="4"/>
  <c r="W1211" i="4"/>
  <c r="W1370" i="4"/>
  <c r="W1530" i="4"/>
  <c r="W611" i="4"/>
  <c r="W720" i="4"/>
  <c r="W956" i="4"/>
  <c r="W1228" i="4"/>
  <c r="W325" i="4"/>
  <c r="W560" i="4"/>
  <c r="W577" i="4"/>
  <c r="W522" i="4"/>
  <c r="W1007" i="4"/>
  <c r="W1247" i="4"/>
  <c r="W119" i="4"/>
  <c r="W753" i="4"/>
  <c r="W1024" i="4"/>
  <c r="W1407" i="4"/>
  <c r="W1535" i="4"/>
  <c r="W67" i="4"/>
  <c r="W194" i="4"/>
  <c r="W255" i="4"/>
  <c r="W837" i="4"/>
  <c r="W471" i="4"/>
  <c r="W49" i="4"/>
  <c r="W176" i="4"/>
  <c r="W342" i="4"/>
  <c r="W420" i="4"/>
  <c r="W628" i="4"/>
  <c r="W359" i="4"/>
  <c r="W437" i="4"/>
  <c r="W594" i="4"/>
  <c r="W663" i="4"/>
  <c r="W803" i="4"/>
  <c r="W1075" i="4"/>
  <c r="W1267" i="4"/>
  <c r="W1458" i="4"/>
  <c r="W33" i="4"/>
  <c r="W159" i="4"/>
  <c r="W680" i="4"/>
  <c r="W820" i="4"/>
  <c r="W1092" i="4"/>
  <c r="W1475" i="4"/>
  <c r="W146" i="4"/>
  <c r="W454" i="4"/>
  <c r="W973" i="4"/>
  <c r="W1580" i="4"/>
  <c r="W241" i="4"/>
  <c r="W488" i="4"/>
  <c r="W1143" i="4"/>
  <c r="W1160" i="4"/>
  <c r="W1287" i="4"/>
  <c r="W1543" i="4"/>
  <c r="W272" i="4"/>
  <c r="W738" i="4"/>
  <c r="W1493" i="4"/>
  <c r="W786" i="4"/>
  <c r="W1597" i="4"/>
  <c r="W1441" i="4"/>
  <c r="W1336" i="4"/>
  <c r="W505" i="4"/>
  <c r="W1510" i="4"/>
  <c r="W1303" i="4"/>
  <c r="W1353" i="4"/>
  <c r="W1041" i="4"/>
  <c r="W1126" i="4"/>
  <c r="W1424" i="4"/>
  <c r="W646" i="4"/>
  <c r="W543" i="4"/>
  <c r="W1177" i="4"/>
  <c r="W1109" i="4"/>
  <c r="W84" i="4"/>
  <c r="W211" i="4"/>
  <c r="W769" i="4"/>
  <c r="W854" i="4"/>
  <c r="W1194" i="4"/>
  <c r="W922" i="4"/>
  <c r="W1320" i="4"/>
  <c r="W311" i="4"/>
  <c r="W702" i="4"/>
  <c r="W1389" i="4"/>
  <c r="W1560" i="4"/>
  <c r="W228" i="4"/>
  <c r="W871" i="4"/>
  <c r="W888" i="4"/>
  <c r="W990" i="4"/>
  <c r="W1058" i="4"/>
  <c r="W100" i="4"/>
  <c r="W905" i="4"/>
  <c r="W26" i="4"/>
  <c r="W604" i="4"/>
  <c r="W42" i="4"/>
  <c r="W169" i="4"/>
  <c r="W621" i="4"/>
  <c r="W110" i="4"/>
  <c r="W779" i="4"/>
  <c r="W1051" i="4"/>
  <c r="W1434" i="4"/>
  <c r="W236" i="4"/>
  <c r="W515" i="4"/>
  <c r="W656" i="4"/>
  <c r="W796" i="4"/>
  <c r="W1068" i="4"/>
  <c r="W1451" i="4"/>
  <c r="W1085" i="4"/>
  <c r="W1277" i="4"/>
  <c r="W1468" i="4"/>
  <c r="W77" i="4"/>
  <c r="W204" i="4"/>
  <c r="W265" i="4"/>
  <c r="W464" i="4"/>
  <c r="W94" i="4"/>
  <c r="W221" i="4"/>
  <c r="W282" i="4"/>
  <c r="W481" i="4"/>
  <c r="W847" i="4"/>
  <c r="W1119" i="4"/>
  <c r="W587" i="4"/>
  <c r="W864" i="4"/>
  <c r="W1136" i="4"/>
  <c r="W1503" i="4"/>
  <c r="W390" i="4"/>
  <c r="W1221" i="4"/>
  <c r="W1380" i="4"/>
  <c r="W1034" i="4"/>
  <c r="W1417" i="4"/>
  <c r="W532" i="4"/>
  <c r="W129" i="4"/>
  <c r="W498" i="4"/>
  <c r="W915" i="4"/>
  <c r="W1187" i="4"/>
  <c r="W1330" i="4"/>
  <c r="W1346" i="4"/>
  <c r="W1570" i="4"/>
  <c r="W712" i="4"/>
  <c r="W932" i="4"/>
  <c r="W1204" i="4"/>
  <c r="W1363" i="4"/>
  <c r="W673" i="4"/>
  <c r="W813" i="4"/>
  <c r="W690" i="4"/>
  <c r="W553" i="4"/>
  <c r="W333" i="4"/>
  <c r="W1607" i="4"/>
  <c r="W1153" i="4"/>
  <c r="W1238" i="4"/>
  <c r="W830" i="4"/>
  <c r="W1170" i="4"/>
  <c r="W1257" i="4"/>
  <c r="W1297" i="4"/>
  <c r="W1553" i="4"/>
  <c r="W1102" i="4"/>
  <c r="W570" i="4"/>
  <c r="W748" i="4"/>
  <c r="W949" i="4"/>
  <c r="W303" i="4"/>
  <c r="W59" i="4"/>
  <c r="W186" i="4"/>
  <c r="W1313" i="4"/>
  <c r="W1485" i="4"/>
  <c r="W638" i="4"/>
  <c r="W898" i="4"/>
  <c r="W321" i="4"/>
  <c r="W983" i="4"/>
  <c r="W1000" i="4"/>
  <c r="W407" i="4"/>
  <c r="W881" i="4"/>
  <c r="W1520" i="4"/>
  <c r="W1017" i="4"/>
  <c r="W447" i="4"/>
  <c r="W1590" i="4"/>
  <c r="W1399" i="4"/>
  <c r="W352" i="4"/>
  <c r="W730" i="4"/>
  <c r="W430" i="4"/>
  <c r="W763" i="4"/>
  <c r="W369" i="4"/>
  <c r="W588" i="4"/>
  <c r="W27" i="4"/>
  <c r="W153" i="4"/>
  <c r="W605" i="4"/>
  <c r="W482" i="4"/>
  <c r="W639" i="4"/>
  <c r="W1035" i="4"/>
  <c r="W1418" i="4"/>
  <c r="W111" i="4"/>
  <c r="W143" i="4"/>
  <c r="W780" i="4"/>
  <c r="W1052" i="4"/>
  <c r="W1435" i="4"/>
  <c r="W657" i="4"/>
  <c r="W797" i="4"/>
  <c r="W370" i="4"/>
  <c r="W448" i="4"/>
  <c r="W78" i="4"/>
  <c r="W205" i="4"/>
  <c r="W266" i="4"/>
  <c r="W465" i="4"/>
  <c r="W322" i="4"/>
  <c r="W554" i="4"/>
  <c r="W691" i="4"/>
  <c r="W831" i="4"/>
  <c r="W1103" i="4"/>
  <c r="W1486" i="4"/>
  <c r="W848" i="4"/>
  <c r="W1120" i="4"/>
  <c r="W130" i="4"/>
  <c r="W933" i="4"/>
  <c r="W43" i="4"/>
  <c r="W170" i="4"/>
  <c r="W749" i="4"/>
  <c r="W865" i="4"/>
  <c r="W950" i="4"/>
  <c r="W1504" i="4"/>
  <c r="W237" i="4"/>
  <c r="W516" i="4"/>
  <c r="W533" i="4"/>
  <c r="W222" i="4"/>
  <c r="W283" i="4"/>
  <c r="W899" i="4"/>
  <c r="W1171" i="4"/>
  <c r="W1298" i="4"/>
  <c r="W1314" i="4"/>
  <c r="W1554" i="4"/>
  <c r="W499" i="4"/>
  <c r="W916" i="4"/>
  <c r="W1188" i="4"/>
  <c r="W1331" i="4"/>
  <c r="W1347" i="4"/>
  <c r="W1571" i="4"/>
  <c r="W1069" i="4"/>
  <c r="W1452" i="4"/>
  <c r="W1258" i="4"/>
  <c r="W571" i="4"/>
  <c r="W674" i="4"/>
  <c r="W60" i="4"/>
  <c r="W187" i="4"/>
  <c r="W1001" i="4"/>
  <c r="W1086" i="4"/>
  <c r="W1469" i="4"/>
  <c r="W304" i="4"/>
  <c r="W731" i="4"/>
  <c r="W967" i="4"/>
  <c r="W984" i="4"/>
  <c r="W713" i="4"/>
  <c r="W1205" i="4"/>
  <c r="W391" i="4"/>
  <c r="W622" i="4"/>
  <c r="W1381" i="4"/>
  <c r="W882" i="4"/>
  <c r="W1521" i="4"/>
  <c r="W1608" i="4"/>
  <c r="W814" i="4"/>
  <c r="W408" i="4"/>
  <c r="W1239" i="4"/>
  <c r="W1364" i="4"/>
  <c r="W1137" i="4"/>
  <c r="W1222" i="4"/>
  <c r="W248" i="4"/>
  <c r="W353" i="4"/>
  <c r="W431" i="4"/>
  <c r="W1018" i="4"/>
  <c r="W1591" i="4"/>
  <c r="W1400" i="4"/>
  <c r="W1154" i="4"/>
  <c r="W524" i="4"/>
  <c r="W121" i="4"/>
  <c r="W907" i="4"/>
  <c r="W1179" i="4"/>
  <c r="W1322" i="4"/>
  <c r="W1338" i="4"/>
  <c r="W1562" i="4"/>
  <c r="W579" i="4"/>
  <c r="W704" i="4"/>
  <c r="W924" i="4"/>
  <c r="W1196" i="4"/>
  <c r="W1355" i="4"/>
  <c r="W51" i="4"/>
  <c r="W178" i="4"/>
  <c r="W344" i="4"/>
  <c r="W422" i="4"/>
  <c r="W1213" i="4"/>
  <c r="W1372" i="4"/>
  <c r="W313" i="4"/>
  <c r="W545" i="4"/>
  <c r="W243" i="4"/>
  <c r="W490" i="4"/>
  <c r="W975" i="4"/>
  <c r="W1582" i="4"/>
  <c r="W740" i="4"/>
  <c r="W992" i="4"/>
  <c r="W1391" i="4"/>
  <c r="W1599" i="4"/>
  <c r="W630" i="4"/>
  <c r="W665" i="4"/>
  <c r="W805" i="4"/>
  <c r="W682" i="4"/>
  <c r="W822" i="4"/>
  <c r="W1162" i="4"/>
  <c r="W1249" i="4"/>
  <c r="W1289" i="4"/>
  <c r="W1545" i="4"/>
  <c r="W18" i="4"/>
  <c r="W596" i="4"/>
  <c r="W35" i="4"/>
  <c r="W161" i="4"/>
  <c r="W613" i="4"/>
  <c r="W327" i="4"/>
  <c r="W562" i="4"/>
  <c r="W771" i="4"/>
  <c r="W1043" i="4"/>
  <c r="W1426" i="4"/>
  <c r="W648" i="4"/>
  <c r="W788" i="4"/>
  <c r="W1060" i="4"/>
  <c r="W1443" i="4"/>
  <c r="W941" i="4"/>
  <c r="W722" i="4"/>
  <c r="W102" i="4"/>
  <c r="W295" i="4"/>
  <c r="W873" i="4"/>
  <c r="W958" i="4"/>
  <c r="W1512" i="4"/>
  <c r="W69" i="4"/>
  <c r="W196" i="4"/>
  <c r="W257" i="4"/>
  <c r="W839" i="4"/>
  <c r="W856" i="4"/>
  <c r="W1077" i="4"/>
  <c r="W382" i="4"/>
  <c r="W755" i="4"/>
  <c r="W1145" i="4"/>
  <c r="W456" i="4"/>
  <c r="W86" i="4"/>
  <c r="W213" i="4"/>
  <c r="W274" i="4"/>
  <c r="W1111" i="4"/>
  <c r="W507" i="4"/>
  <c r="W1128" i="4"/>
  <c r="W1495" i="4"/>
  <c r="W1460" i="4"/>
  <c r="W1009" i="4"/>
  <c r="W1094" i="4"/>
  <c r="W1305" i="4"/>
  <c r="W1477" i="4"/>
  <c r="W1269" i="4"/>
  <c r="W1230" i="4"/>
  <c r="W473" i="4"/>
  <c r="W230" i="4"/>
  <c r="W890" i="4"/>
  <c r="W1409" i="4"/>
  <c r="W361" i="4"/>
  <c r="W399" i="4"/>
  <c r="W439" i="4"/>
  <c r="W1026" i="4"/>
  <c r="W309" i="4"/>
  <c r="W541" i="4"/>
  <c r="W47" i="4"/>
  <c r="W174" i="4"/>
  <c r="W340" i="4"/>
  <c r="W418" i="4"/>
  <c r="W971" i="4"/>
  <c r="W1578" i="4"/>
  <c r="W736" i="4"/>
  <c r="W988" i="4"/>
  <c r="W1387" i="4"/>
  <c r="W1595" i="4"/>
  <c r="W486" i="4"/>
  <c r="W1245" i="4"/>
  <c r="W14" i="4"/>
  <c r="W592" i="4"/>
  <c r="W31" i="4"/>
  <c r="W157" i="4"/>
  <c r="W609" i="4"/>
  <c r="W378" i="4"/>
  <c r="W767" i="4"/>
  <c r="W1039" i="4"/>
  <c r="W1422" i="4"/>
  <c r="W291" i="4"/>
  <c r="W644" i="4"/>
  <c r="W784" i="4"/>
  <c r="W1056" i="4"/>
  <c r="W1439" i="4"/>
  <c r="W869" i="4"/>
  <c r="W1508" i="4"/>
  <c r="W65" i="4"/>
  <c r="W192" i="4"/>
  <c r="W253" i="4"/>
  <c r="W452" i="4"/>
  <c r="W82" i="4"/>
  <c r="W209" i="4"/>
  <c r="W270" i="4"/>
  <c r="W469" i="4"/>
  <c r="W626" i="4"/>
  <c r="W835" i="4"/>
  <c r="W1107" i="4"/>
  <c r="W357" i="4"/>
  <c r="W435" i="4"/>
  <c r="W852" i="4"/>
  <c r="W1124" i="4"/>
  <c r="W1491" i="4"/>
  <c r="W1005" i="4"/>
  <c r="W1301" i="4"/>
  <c r="W117" i="4"/>
  <c r="W1334" i="4"/>
  <c r="W1351" i="4"/>
  <c r="W1073" i="4"/>
  <c r="W1158" i="4"/>
  <c r="W1285" i="4"/>
  <c r="W1456" i="4"/>
  <c r="W1541" i="4"/>
  <c r="W1473" i="4"/>
  <c r="W903" i="4"/>
  <c r="W1558" i="4"/>
  <c r="W920" i="4"/>
  <c r="W98" i="4"/>
  <c r="W503" i="4"/>
  <c r="W954" i="4"/>
  <c r="W1209" i="4"/>
  <c r="W520" i="4"/>
  <c r="W1175" i="4"/>
  <c r="W395" i="4"/>
  <c r="W700" i="4"/>
  <c r="W1192" i="4"/>
  <c r="W1265" i="4"/>
  <c r="W937" i="4"/>
  <c r="W1022" i="4"/>
  <c r="W1405" i="4"/>
  <c r="W1533" i="4"/>
  <c r="W1528" i="4"/>
  <c r="W1318" i="4"/>
  <c r="W886" i="4"/>
  <c r="W1226" i="4"/>
  <c r="W661" i="4"/>
  <c r="W818" i="4"/>
  <c r="W718" i="4"/>
  <c r="W1090" i="4"/>
  <c r="W575" i="4"/>
  <c r="W1368" i="4"/>
  <c r="W678" i="4"/>
  <c r="W1141" i="4"/>
  <c r="W801" i="4"/>
  <c r="W558" i="4"/>
  <c r="W308" i="4"/>
  <c r="W540" i="4"/>
  <c r="W557" i="4"/>
  <c r="W735" i="4"/>
  <c r="W987" i="4"/>
  <c r="W1386" i="4"/>
  <c r="W1594" i="4"/>
  <c r="W451" i="4"/>
  <c r="W1004" i="4"/>
  <c r="W1244" i="4"/>
  <c r="W1021" i="4"/>
  <c r="W1404" i="4"/>
  <c r="W1532" i="4"/>
  <c r="W30" i="4"/>
  <c r="W156" i="4"/>
  <c r="W608" i="4"/>
  <c r="W46" i="4"/>
  <c r="W173" i="4"/>
  <c r="W339" i="4"/>
  <c r="W417" i="4"/>
  <c r="W625" i="4"/>
  <c r="W290" i="4"/>
  <c r="W643" i="4"/>
  <c r="W783" i="4"/>
  <c r="W1055" i="4"/>
  <c r="W1438" i="4"/>
  <c r="W660" i="4"/>
  <c r="W800" i="4"/>
  <c r="W1072" i="4"/>
  <c r="W1264" i="4"/>
  <c r="W1455" i="4"/>
  <c r="W502" i="4"/>
  <c r="W1157" i="4"/>
  <c r="W1284" i="4"/>
  <c r="W1540" i="4"/>
  <c r="W1333" i="4"/>
  <c r="W81" i="4"/>
  <c r="W208" i="4"/>
  <c r="W269" i="4"/>
  <c r="W468" i="4"/>
  <c r="W97" i="4"/>
  <c r="W485" i="4"/>
  <c r="W356" i="4"/>
  <c r="W434" i="4"/>
  <c r="W851" i="4"/>
  <c r="W1123" i="4"/>
  <c r="W1490" i="4"/>
  <c r="W64" i="4"/>
  <c r="W191" i="4"/>
  <c r="W252" i="4"/>
  <c r="W868" i="4"/>
  <c r="W1140" i="4"/>
  <c r="W1507" i="4"/>
  <c r="W1089" i="4"/>
  <c r="W1174" i="4"/>
  <c r="W1472" i="4"/>
  <c r="W1557" i="4"/>
  <c r="W116" i="4"/>
  <c r="W377" i="4"/>
  <c r="W1300" i="4"/>
  <c r="W574" i="4"/>
  <c r="W1577" i="4"/>
  <c r="W677" i="4"/>
  <c r="W817" i="4"/>
  <c r="W902" i="4"/>
  <c r="W1350" i="4"/>
  <c r="W1367" i="4"/>
  <c r="W1527" i="4"/>
  <c r="W1225" i="4"/>
  <c r="W1038" i="4"/>
  <c r="W834" i="4"/>
  <c r="W13" i="4"/>
  <c r="W919" i="4"/>
  <c r="W936" i="4"/>
  <c r="W519" i="4"/>
  <c r="W766" i="4"/>
  <c r="W1106" i="4"/>
  <c r="W1421" i="4"/>
  <c r="W226" i="4"/>
  <c r="W885" i="4"/>
  <c r="W970" i="4"/>
  <c r="W591" i="4"/>
  <c r="W699" i="4"/>
  <c r="W1191" i="4"/>
  <c r="W1208" i="4"/>
  <c r="W717" i="4"/>
  <c r="W953" i="4"/>
  <c r="W394" i="4"/>
  <c r="W1317" i="4"/>
  <c r="W292" i="4"/>
  <c r="W396" i="4"/>
  <c r="W610" i="4"/>
  <c r="W719" i="4"/>
  <c r="W955" i="4"/>
  <c r="W1227" i="4"/>
  <c r="W48" i="4"/>
  <c r="W175" i="4"/>
  <c r="W341" i="4"/>
  <c r="W419" i="4"/>
  <c r="W972" i="4"/>
  <c r="W1579" i="4"/>
  <c r="W989" i="4"/>
  <c r="W1596" i="4"/>
  <c r="W576" i="4"/>
  <c r="W15" i="4"/>
  <c r="W593" i="4"/>
  <c r="W118" i="4"/>
  <c r="W752" i="4"/>
  <c r="W1023" i="4"/>
  <c r="W1406" i="4"/>
  <c r="W1534" i="4"/>
  <c r="W379" i="4"/>
  <c r="W768" i="4"/>
  <c r="W1040" i="4"/>
  <c r="W1423" i="4"/>
  <c r="W1125" i="4"/>
  <c r="W99" i="4"/>
  <c r="W358" i="4"/>
  <c r="W436" i="4"/>
  <c r="W66" i="4"/>
  <c r="W193" i="4"/>
  <c r="W254" i="4"/>
  <c r="W453" i="4"/>
  <c r="W32" i="4"/>
  <c r="W158" i="4"/>
  <c r="W679" i="4"/>
  <c r="W819" i="4"/>
  <c r="W1091" i="4"/>
  <c r="W1474" i="4"/>
  <c r="W627" i="4"/>
  <c r="W836" i="4"/>
  <c r="W1108" i="4"/>
  <c r="W83" i="4"/>
  <c r="W210" i="4"/>
  <c r="W271" i="4"/>
  <c r="W737" i="4"/>
  <c r="W1388" i="4"/>
  <c r="W240" i="4"/>
  <c r="W487" i="4"/>
  <c r="W310" i="4"/>
  <c r="W701" i="4"/>
  <c r="W887" i="4"/>
  <c r="W1542" i="4"/>
  <c r="W904" i="4"/>
  <c r="W470" i="4"/>
  <c r="W1369" i="4"/>
  <c r="W504" i="4"/>
  <c r="W1159" i="4"/>
  <c r="W1286" i="4"/>
  <c r="W1176" i="4"/>
  <c r="W1559" i="4"/>
  <c r="W1440" i="4"/>
  <c r="W785" i="4"/>
  <c r="W870" i="4"/>
  <c r="W1210" i="4"/>
  <c r="W1509" i="4"/>
  <c r="W1266" i="4"/>
  <c r="W1352" i="4"/>
  <c r="W802" i="4"/>
  <c r="W1006" i="4"/>
  <c r="W521" i="4"/>
  <c r="W1302" i="4"/>
  <c r="W1319" i="4"/>
  <c r="W853" i="4"/>
  <c r="W938" i="4"/>
  <c r="W645" i="4"/>
  <c r="W559" i="4"/>
  <c r="W662" i="4"/>
  <c r="W1193" i="4"/>
  <c r="W1335" i="4"/>
  <c r="W1529" i="4"/>
  <c r="W921" i="4"/>
  <c r="W1074" i="4"/>
  <c r="W1246" i="4"/>
  <c r="W227" i="4"/>
  <c r="W542" i="4"/>
  <c r="W1457" i="4"/>
  <c r="W1057" i="4"/>
  <c r="W1492" i="4"/>
  <c r="W1142" i="4"/>
  <c r="W89" i="4"/>
  <c r="W216" i="4"/>
  <c r="W277" i="4"/>
  <c r="W476" i="4"/>
  <c r="W105" i="4"/>
  <c r="W246" i="4"/>
  <c r="W493" i="4"/>
  <c r="W402" i="4"/>
  <c r="W859" i="4"/>
  <c r="W1131" i="4"/>
  <c r="W1498" i="4"/>
  <c r="W876" i="4"/>
  <c r="W1148" i="4"/>
  <c r="W1515" i="4"/>
  <c r="W893" i="4"/>
  <c r="W1308" i="4"/>
  <c r="W124" i="4"/>
  <c r="W140" i="4"/>
  <c r="W385" i="4"/>
  <c r="W150" i="4"/>
  <c r="W707" i="4"/>
  <c r="W927" i="4"/>
  <c r="W1199" i="4"/>
  <c r="W1358" i="4"/>
  <c r="W459" i="4"/>
  <c r="W944" i="4"/>
  <c r="W1216" i="4"/>
  <c r="W1375" i="4"/>
  <c r="W1029" i="4"/>
  <c r="W1412" i="4"/>
  <c r="W599" i="4"/>
  <c r="W685" i="4"/>
  <c r="W316" i="4"/>
  <c r="W548" i="4"/>
  <c r="W330" i="4"/>
  <c r="W565" i="4"/>
  <c r="W298" i="4"/>
  <c r="W743" i="4"/>
  <c r="W995" i="4"/>
  <c r="W1394" i="4"/>
  <c r="W1602" i="4"/>
  <c r="W1012" i="4"/>
  <c r="W1252" i="4"/>
  <c r="W582" i="4"/>
  <c r="W1165" i="4"/>
  <c r="W1292" i="4"/>
  <c r="W1548" i="4"/>
  <c r="W510" i="4"/>
  <c r="W961" i="4"/>
  <c r="W1046" i="4"/>
  <c r="W1429" i="4"/>
  <c r="W616" i="4"/>
  <c r="W54" i="4"/>
  <c r="W181" i="4"/>
  <c r="W347" i="4"/>
  <c r="W425" i="4"/>
  <c r="W651" i="4"/>
  <c r="W260" i="4"/>
  <c r="W668" i="4"/>
  <c r="W21" i="4"/>
  <c r="W774" i="4"/>
  <c r="W1114" i="4"/>
  <c r="W1341" i="4"/>
  <c r="W825" i="4"/>
  <c r="W633" i="4"/>
  <c r="W364" i="4"/>
  <c r="W442" i="4"/>
  <c r="W233" i="4"/>
  <c r="W842" i="4"/>
  <c r="W527" i="4"/>
  <c r="W1097" i="4"/>
  <c r="W1182" i="4"/>
  <c r="W1480" i="4"/>
  <c r="W1565" i="4"/>
  <c r="W791" i="4"/>
  <c r="W72" i="4"/>
  <c r="W199" i="4"/>
  <c r="W808" i="4"/>
  <c r="W978" i="4"/>
  <c r="W910" i="4"/>
  <c r="W164" i="4"/>
  <c r="W1063" i="4"/>
  <c r="W1080" i="4"/>
  <c r="W758" i="4"/>
  <c r="W1325" i="4"/>
  <c r="W725" i="4"/>
  <c r="W1233" i="4"/>
  <c r="W38" i="4"/>
  <c r="W1446" i="4"/>
  <c r="W1463" i="4"/>
  <c r="W1585" i="4"/>
  <c r="W1272" i="4"/>
  <c r="W41" i="4"/>
  <c r="W152" i="4"/>
  <c r="W168" i="4"/>
  <c r="W620" i="4"/>
  <c r="W58" i="4"/>
  <c r="W185" i="4"/>
  <c r="W351" i="4"/>
  <c r="W429" i="4"/>
  <c r="W142" i="4"/>
  <c r="W235" i="4"/>
  <c r="W514" i="4"/>
  <c r="W655" i="4"/>
  <c r="W795" i="4"/>
  <c r="W1067" i="4"/>
  <c r="W1450" i="4"/>
  <c r="W672" i="4"/>
  <c r="W812" i="4"/>
  <c r="W1084" i="4"/>
  <c r="W1276" i="4"/>
  <c r="W1467" i="4"/>
  <c r="W689" i="4"/>
  <c r="W829" i="4"/>
  <c r="W93" i="4"/>
  <c r="W220" i="4"/>
  <c r="W281" i="4"/>
  <c r="W480" i="4"/>
  <c r="W109" i="4"/>
  <c r="W497" i="4"/>
  <c r="W586" i="4"/>
  <c r="W863" i="4"/>
  <c r="W1135" i="4"/>
  <c r="W1502" i="4"/>
  <c r="W25" i="4"/>
  <c r="W880" i="4"/>
  <c r="W1152" i="4"/>
  <c r="W1519" i="4"/>
  <c r="W302" i="4"/>
  <c r="W729" i="4"/>
  <c r="W965" i="4"/>
  <c r="W778" i="4"/>
  <c r="W1589" i="4"/>
  <c r="W128" i="4"/>
  <c r="W389" i="4"/>
  <c r="W711" i="4"/>
  <c r="W931" i="4"/>
  <c r="W1203" i="4"/>
  <c r="W1362" i="4"/>
  <c r="W531" i="4"/>
  <c r="W948" i="4"/>
  <c r="W1220" i="4"/>
  <c r="W1379" i="4"/>
  <c r="W406" i="4"/>
  <c r="W1101" i="4"/>
  <c r="W1484" i="4"/>
  <c r="W637" i="4"/>
  <c r="W552" i="4"/>
  <c r="W1398" i="4"/>
  <c r="W1606" i="4"/>
  <c r="W368" i="4"/>
  <c r="W897" i="4"/>
  <c r="W982" i="4"/>
  <c r="W914" i="4"/>
  <c r="W762" i="4"/>
  <c r="W76" i="4"/>
  <c r="W569" i="4"/>
  <c r="W603" i="4"/>
  <c r="W1169" i="4"/>
  <c r="W1296" i="4"/>
  <c r="W1552" i="4"/>
  <c r="W203" i="4"/>
  <c r="W1345" i="4"/>
  <c r="W320" i="4"/>
  <c r="W747" i="4"/>
  <c r="W1256" i="4"/>
  <c r="W1237" i="4"/>
  <c r="W446" i="4"/>
  <c r="W1050" i="4"/>
  <c r="W1433" i="4"/>
  <c r="W846" i="4"/>
  <c r="W1186" i="4"/>
  <c r="W247" i="4"/>
  <c r="W463" i="4"/>
  <c r="W1118" i="4"/>
  <c r="W264" i="4"/>
  <c r="W1312" i="4"/>
  <c r="W1329" i="4"/>
  <c r="W1416" i="4"/>
  <c r="W332" i="4"/>
  <c r="W1033" i="4"/>
  <c r="W1569" i="4"/>
  <c r="W999" i="4"/>
  <c r="W1016" i="4"/>
  <c r="W334" i="4"/>
  <c r="W572" i="4"/>
  <c r="W589" i="4"/>
  <c r="W79" i="4"/>
  <c r="W206" i="4"/>
  <c r="W267" i="4"/>
  <c r="W1019" i="4"/>
  <c r="W1259" i="4"/>
  <c r="W483" i="4"/>
  <c r="W640" i="4"/>
  <c r="W764" i="4"/>
  <c r="W1036" i="4"/>
  <c r="W1419" i="4"/>
  <c r="W1053" i="4"/>
  <c r="W1436" i="4"/>
  <c r="W61" i="4"/>
  <c r="W188" i="4"/>
  <c r="W249" i="4"/>
  <c r="W354" i="4"/>
  <c r="W432" i="4"/>
  <c r="W371" i="4"/>
  <c r="W449" i="4"/>
  <c r="W675" i="4"/>
  <c r="W815" i="4"/>
  <c r="W1087" i="4"/>
  <c r="W1278" i="4"/>
  <c r="W1470" i="4"/>
  <c r="W323" i="4"/>
  <c r="W555" i="4"/>
  <c r="W692" i="4"/>
  <c r="W832" i="4"/>
  <c r="W1104" i="4"/>
  <c r="W1487" i="4"/>
  <c r="W1189" i="4"/>
  <c r="W1348" i="4"/>
  <c r="W1572" i="4"/>
  <c r="W714" i="4"/>
  <c r="W606" i="4"/>
  <c r="W1121" i="4"/>
  <c r="W1206" i="4"/>
  <c r="W112" i="4"/>
  <c r="W144" i="4"/>
  <c r="W500" i="4"/>
  <c r="W238" i="4"/>
  <c r="W517" i="4"/>
  <c r="W466" i="4"/>
  <c r="W883" i="4"/>
  <c r="W1155" i="4"/>
  <c r="W1522" i="4"/>
  <c r="W95" i="4"/>
  <c r="W223" i="4"/>
  <c r="W284" i="4"/>
  <c r="W900" i="4"/>
  <c r="W1172" i="4"/>
  <c r="W1555" i="4"/>
  <c r="W781" i="4"/>
  <c r="W658" i="4"/>
  <c r="W1002" i="4"/>
  <c r="W951" i="4"/>
  <c r="W732" i="4"/>
  <c r="W968" i="4"/>
  <c r="W917" i="4"/>
  <c r="W28" i="4"/>
  <c r="W154" i="4"/>
  <c r="W623" i="4"/>
  <c r="W171" i="4"/>
  <c r="W1505" i="4"/>
  <c r="W392" i="4"/>
  <c r="W305" i="4"/>
  <c r="W1223" i="4"/>
  <c r="W1240" i="4"/>
  <c r="W534" i="4"/>
  <c r="W1609" i="4"/>
  <c r="W798" i="4"/>
  <c r="W1138" i="4"/>
  <c r="W866" i="4"/>
  <c r="W409" i="4"/>
  <c r="W1365" i="4"/>
  <c r="W750" i="4"/>
  <c r="W1592" i="4"/>
  <c r="W1070" i="4"/>
  <c r="W985" i="4"/>
  <c r="W131" i="4"/>
  <c r="W849" i="4"/>
  <c r="W1382" i="4"/>
  <c r="W1401" i="4"/>
  <c r="W934" i="4"/>
  <c r="W1453" i="4"/>
  <c r="W44" i="4"/>
  <c r="W104" i="4"/>
  <c r="W245" i="4"/>
  <c r="W492" i="4"/>
  <c r="W232" i="4"/>
  <c r="W509" i="4"/>
  <c r="W875" i="4"/>
  <c r="W1147" i="4"/>
  <c r="W1514" i="4"/>
  <c r="W315" i="4"/>
  <c r="W547" i="4"/>
  <c r="W892" i="4"/>
  <c r="W1164" i="4"/>
  <c r="W1291" i="4"/>
  <c r="W1307" i="4"/>
  <c r="W1547" i="4"/>
  <c r="W1181" i="4"/>
  <c r="W1340" i="4"/>
  <c r="W1564" i="4"/>
  <c r="W384" i="4"/>
  <c r="W297" i="4"/>
  <c r="W401" i="4"/>
  <c r="W458" i="4"/>
  <c r="W943" i="4"/>
  <c r="W1215" i="4"/>
  <c r="W1374" i="4"/>
  <c r="W88" i="4"/>
  <c r="W215" i="4"/>
  <c r="W276" i="4"/>
  <c r="W724" i="4"/>
  <c r="W960" i="4"/>
  <c r="W1232" i="4"/>
  <c r="W773" i="4"/>
  <c r="W37" i="4"/>
  <c r="W163" i="4"/>
  <c r="W650" i="4"/>
  <c r="W329" i="4"/>
  <c r="W564" i="4"/>
  <c r="W581" i="4"/>
  <c r="W1011" i="4"/>
  <c r="W1251" i="4"/>
  <c r="W757" i="4"/>
  <c r="W1028" i="4"/>
  <c r="W1411" i="4"/>
  <c r="W20" i="4"/>
  <c r="W909" i="4"/>
  <c r="W1324" i="4"/>
  <c r="W615" i="4"/>
  <c r="W790" i="4"/>
  <c r="W1130" i="4"/>
  <c r="W53" i="4"/>
  <c r="W180" i="4"/>
  <c r="W346" i="4"/>
  <c r="W424" i="4"/>
  <c r="W1079" i="4"/>
  <c r="W1271" i="4"/>
  <c r="W1096" i="4"/>
  <c r="W1045" i="4"/>
  <c r="W858" i="4"/>
  <c r="W1497" i="4"/>
  <c r="W1584" i="4"/>
  <c r="W994" i="4"/>
  <c r="W632" i="4"/>
  <c r="W363" i="4"/>
  <c r="W441" i="4"/>
  <c r="W259" i="4"/>
  <c r="W667" i="4"/>
  <c r="W1462" i="4"/>
  <c r="W475" i="4"/>
  <c r="W684" i="4"/>
  <c r="W1479" i="4"/>
  <c r="W1428" i="4"/>
  <c r="W841" i="4"/>
  <c r="W926" i="4"/>
  <c r="W1393" i="4"/>
  <c r="W1113" i="4"/>
  <c r="W149" i="4"/>
  <c r="W598" i="4"/>
  <c r="W706" i="4"/>
  <c r="W526" i="4"/>
  <c r="W123" i="4"/>
  <c r="W1357" i="4"/>
  <c r="W71" i="4"/>
  <c r="W807" i="4"/>
  <c r="W824" i="4"/>
  <c r="W1601" i="4"/>
  <c r="W139" i="4"/>
  <c r="W1198" i="4"/>
  <c r="W198" i="4"/>
  <c r="W1062" i="4"/>
  <c r="W742" i="4"/>
  <c r="W1445" i="4"/>
  <c r="W977" i="4"/>
  <c r="W366" i="4"/>
  <c r="W444" i="4"/>
  <c r="W74" i="4"/>
  <c r="W201" i="4"/>
  <c r="W262" i="4"/>
  <c r="W461" i="4"/>
  <c r="W687" i="4"/>
  <c r="W827" i="4"/>
  <c r="W1099" i="4"/>
  <c r="W1482" i="4"/>
  <c r="W844" i="4"/>
  <c r="W1116" i="4"/>
  <c r="W550" i="4"/>
  <c r="W861" i="4"/>
  <c r="W1500" i="4"/>
  <c r="W512" i="4"/>
  <c r="W529" i="4"/>
  <c r="W618" i="4"/>
  <c r="W895" i="4"/>
  <c r="W1167" i="4"/>
  <c r="W1294" i="4"/>
  <c r="W1310" i="4"/>
  <c r="W1550" i="4"/>
  <c r="W56" i="4"/>
  <c r="W183" i="4"/>
  <c r="W349" i="4"/>
  <c r="W427" i="4"/>
  <c r="W912" i="4"/>
  <c r="W1184" i="4"/>
  <c r="W1327" i="4"/>
  <c r="W1343" i="4"/>
  <c r="W1567" i="4"/>
  <c r="W997" i="4"/>
  <c r="W1604" i="4"/>
  <c r="W478" i="4"/>
  <c r="W300" i="4"/>
  <c r="W404" i="4"/>
  <c r="W126" i="4"/>
  <c r="W727" i="4"/>
  <c r="W963" i="4"/>
  <c r="W1235" i="4"/>
  <c r="W387" i="4"/>
  <c r="W980" i="4"/>
  <c r="W1587" i="4"/>
  <c r="W318" i="4"/>
  <c r="W1133" i="4"/>
  <c r="W760" i="4"/>
  <c r="W776" i="4"/>
  <c r="W810" i="4"/>
  <c r="W279" i="4"/>
  <c r="W1201" i="4"/>
  <c r="W495" i="4"/>
  <c r="W793" i="4"/>
  <c r="W1031" i="4"/>
  <c r="W1414" i="4"/>
  <c r="W1048" i="4"/>
  <c r="W1431" i="4"/>
  <c r="W653" i="4"/>
  <c r="W929" i="4"/>
  <c r="W1014" i="4"/>
  <c r="W1082" i="4"/>
  <c r="W1254" i="4"/>
  <c r="W1465" i="4"/>
  <c r="W107" i="4"/>
  <c r="W1377" i="4"/>
  <c r="W1517" i="4"/>
  <c r="W584" i="4"/>
  <c r="W23" i="4"/>
  <c r="W166" i="4"/>
  <c r="W635" i="4"/>
  <c r="W745" i="4"/>
  <c r="W91" i="4"/>
  <c r="W218" i="4"/>
  <c r="W709" i="4"/>
  <c r="W1065" i="4"/>
  <c r="W1150" i="4"/>
  <c r="W1448" i="4"/>
  <c r="W878" i="4"/>
  <c r="W1218" i="4"/>
  <c r="W567" i="4"/>
  <c r="W1360" i="4"/>
  <c r="W946" i="4"/>
  <c r="W1396" i="4"/>
  <c r="W670" i="4"/>
  <c r="W1274" i="4"/>
  <c r="W601" i="4"/>
  <c r="W231" i="4"/>
  <c r="W508" i="4"/>
  <c r="W525" i="4"/>
  <c r="W314" i="4"/>
  <c r="W546" i="4"/>
  <c r="W891" i="4"/>
  <c r="W1163" i="4"/>
  <c r="W1290" i="4"/>
  <c r="W1306" i="4"/>
  <c r="W1546" i="4"/>
  <c r="W908" i="4"/>
  <c r="W1180" i="4"/>
  <c r="W1323" i="4"/>
  <c r="W1339" i="4"/>
  <c r="W1563" i="4"/>
  <c r="W614" i="4"/>
  <c r="W925" i="4"/>
  <c r="W296" i="4"/>
  <c r="W400" i="4"/>
  <c r="W87" i="4"/>
  <c r="W214" i="4"/>
  <c r="W275" i="4"/>
  <c r="W723" i="4"/>
  <c r="W959" i="4"/>
  <c r="W1231" i="4"/>
  <c r="W244" i="4"/>
  <c r="W491" i="4"/>
  <c r="W976" i="4"/>
  <c r="W1583" i="4"/>
  <c r="W1061" i="4"/>
  <c r="W1444" i="4"/>
  <c r="W993" i="4"/>
  <c r="W1078" i="4"/>
  <c r="W1461" i="4"/>
  <c r="W580" i="4"/>
  <c r="W19" i="4"/>
  <c r="W597" i="4"/>
  <c r="W756" i="4"/>
  <c r="W1027" i="4"/>
  <c r="W1410" i="4"/>
  <c r="W328" i="4"/>
  <c r="W563" i="4"/>
  <c r="W772" i="4"/>
  <c r="W1044" i="4"/>
  <c r="W1427" i="4"/>
  <c r="W705" i="4"/>
  <c r="W1197" i="4"/>
  <c r="W1356" i="4"/>
  <c r="W52" i="4"/>
  <c r="W179" i="4"/>
  <c r="W345" i="4"/>
  <c r="W423" i="4"/>
  <c r="W874" i="4"/>
  <c r="W1513" i="4"/>
  <c r="W1600" i="4"/>
  <c r="W823" i="4"/>
  <c r="W840" i="4"/>
  <c r="W36" i="4"/>
  <c r="W789" i="4"/>
  <c r="W138" i="4"/>
  <c r="W741" i="4"/>
  <c r="W383" i="4"/>
  <c r="W1129" i="4"/>
  <c r="W1214" i="4"/>
  <c r="W362" i="4"/>
  <c r="W440" i="4"/>
  <c r="W70" i="4"/>
  <c r="W197" i="4"/>
  <c r="W258" i="4"/>
  <c r="W1095" i="4"/>
  <c r="W1112" i="4"/>
  <c r="W631" i="4"/>
  <c r="W1270" i="4"/>
  <c r="W1010" i="4"/>
  <c r="W1496" i="4"/>
  <c r="W148" i="4"/>
  <c r="W457" i="4"/>
  <c r="W474" i="4"/>
  <c r="W683" i="4"/>
  <c r="W1478" i="4"/>
  <c r="W162" i="4"/>
  <c r="W1392" i="4"/>
  <c r="W1250" i="4"/>
  <c r="W103" i="4"/>
  <c r="W666" i="4"/>
  <c r="W942" i="4"/>
  <c r="W1373" i="4"/>
  <c r="W857" i="4"/>
  <c r="W649" i="4"/>
  <c r="W122" i="4"/>
  <c r="W806" i="4"/>
  <c r="W1146" i="4"/>
  <c r="B39" i="4"/>
  <c r="V39" i="4" s="1"/>
  <c r="J14" i="6"/>
  <c r="K13" i="6"/>
  <c r="Z415" i="4" s="1"/>
  <c r="C12" i="6"/>
  <c r="B13" i="6"/>
  <c r="N13" i="6"/>
  <c r="O12" i="6"/>
  <c r="G13" i="6"/>
  <c r="F14" i="6"/>
  <c r="K401" i="4"/>
  <c r="J420" i="4"/>
  <c r="Z420" i="4" s="1"/>
  <c r="J56" i="4"/>
  <c r="Z56" i="4" s="1"/>
  <c r="K124" i="4"/>
  <c r="J121" i="4"/>
  <c r="Z121" i="4" s="1"/>
  <c r="K57" i="4"/>
  <c r="AA57" i="4" s="1"/>
  <c r="C40" i="4" l="1"/>
  <c r="R40" i="4" s="1"/>
  <c r="U332" i="4"/>
  <c r="U333" i="4" s="1"/>
  <c r="B40" i="4"/>
  <c r="V40" i="4" s="1"/>
  <c r="Y307" i="4"/>
  <c r="Y311" i="4"/>
  <c r="Y315" i="4"/>
  <c r="Y319" i="4"/>
  <c r="Y323" i="4"/>
  <c r="Y308" i="4"/>
  <c r="Y312" i="4"/>
  <c r="Y316" i="4"/>
  <c r="Y320" i="4"/>
  <c r="Y309" i="4"/>
  <c r="Y313" i="4"/>
  <c r="Y317" i="4"/>
  <c r="Y321" i="4"/>
  <c r="Y1225" i="4"/>
  <c r="Y1229" i="4"/>
  <c r="Y1233" i="4"/>
  <c r="Y1237" i="4"/>
  <c r="Y1241" i="4"/>
  <c r="Y1245" i="4"/>
  <c r="Y1249" i="4"/>
  <c r="Y1253" i="4"/>
  <c r="Y1257" i="4"/>
  <c r="Y322" i="4"/>
  <c r="Y1226" i="4"/>
  <c r="Y1231" i="4"/>
  <c r="Y1236" i="4"/>
  <c r="Y1242" i="4"/>
  <c r="Y1247" i="4"/>
  <c r="Y1252" i="4"/>
  <c r="Y1258" i="4"/>
  <c r="Y310" i="4"/>
  <c r="Y1227" i="4"/>
  <c r="Y1232" i="4"/>
  <c r="Y1238" i="4"/>
  <c r="Y1243" i="4"/>
  <c r="Y1248" i="4"/>
  <c r="Y1254" i="4"/>
  <c r="Y1259" i="4"/>
  <c r="Y314" i="4"/>
  <c r="Y1228" i="4"/>
  <c r="Y1234" i="4"/>
  <c r="Y1239" i="4"/>
  <c r="Y1244" i="4"/>
  <c r="Y1250" i="4"/>
  <c r="Y1255" i="4"/>
  <c r="Y1260" i="4"/>
  <c r="Y318" i="4"/>
  <c r="Y1235" i="4"/>
  <c r="Y1256" i="4"/>
  <c r="Y1240" i="4"/>
  <c r="Y1224" i="4"/>
  <c r="Y1246" i="4"/>
  <c r="Y1230" i="4"/>
  <c r="Y1251" i="4"/>
  <c r="X717" i="4"/>
  <c r="X721" i="4"/>
  <c r="X725" i="4"/>
  <c r="X729" i="4"/>
  <c r="X989" i="4"/>
  <c r="X993" i="4"/>
  <c r="X997" i="4"/>
  <c r="X1001" i="4"/>
  <c r="X1005" i="4"/>
  <c r="X1009" i="4"/>
  <c r="X1013" i="4"/>
  <c r="X1017" i="4"/>
  <c r="X718" i="4"/>
  <c r="X722" i="4"/>
  <c r="X726" i="4"/>
  <c r="X730" i="4"/>
  <c r="X986" i="4"/>
  <c r="X990" i="4"/>
  <c r="X994" i="4"/>
  <c r="X998" i="4"/>
  <c r="X1002" i="4"/>
  <c r="X1006" i="4"/>
  <c r="X1010" i="4"/>
  <c r="X1014" i="4"/>
  <c r="X337" i="4"/>
  <c r="X719" i="4"/>
  <c r="X723" i="4"/>
  <c r="X727" i="4"/>
  <c r="X731" i="4"/>
  <c r="X987" i="4"/>
  <c r="X991" i="4"/>
  <c r="X995" i="4"/>
  <c r="X999" i="4"/>
  <c r="X1003" i="4"/>
  <c r="X1007" i="4"/>
  <c r="X1011" i="4"/>
  <c r="X1015" i="4"/>
  <c r="X1019" i="4"/>
  <c r="X724" i="4"/>
  <c r="X992" i="4"/>
  <c r="X1008" i="4"/>
  <c r="X728" i="4"/>
  <c r="X996" i="4"/>
  <c r="X1012" i="4"/>
  <c r="X716" i="4"/>
  <c r="X732" i="4"/>
  <c r="X1000" i="4"/>
  <c r="X1016" i="4"/>
  <c r="X720" i="4"/>
  <c r="X988" i="4"/>
  <c r="X1004" i="4"/>
  <c r="X1018" i="4"/>
  <c r="B14" i="6"/>
  <c r="C13" i="6"/>
  <c r="K14" i="6"/>
  <c r="Z538" i="4" s="1"/>
  <c r="J15" i="6"/>
  <c r="F15" i="6"/>
  <c r="G14" i="6"/>
  <c r="N14" i="6"/>
  <c r="O13" i="6"/>
  <c r="AA124" i="4" s="1"/>
  <c r="K402" i="4"/>
  <c r="J421" i="4"/>
  <c r="Z421" i="4" s="1"/>
  <c r="J57" i="4"/>
  <c r="Z57" i="4" s="1"/>
  <c r="J122" i="4"/>
  <c r="Z122" i="4" s="1"/>
  <c r="K125" i="4"/>
  <c r="AA125" i="4" s="1"/>
  <c r="K58" i="4"/>
  <c r="AA58" i="4" s="1"/>
  <c r="C41" i="4" l="1"/>
  <c r="R41" i="4" s="1"/>
  <c r="U334" i="4"/>
  <c r="U335" i="4" s="1"/>
  <c r="U336" i="4" s="1"/>
  <c r="U337" i="4" s="1"/>
  <c r="U338" i="4" s="1"/>
  <c r="U339" i="4" s="1"/>
  <c r="U340" i="4" s="1"/>
  <c r="U341" i="4" s="1"/>
  <c r="U342" i="4" s="1"/>
  <c r="U343" i="4" s="1"/>
  <c r="U344" i="4" s="1"/>
  <c r="U345" i="4" s="1"/>
  <c r="U346" i="4" s="1"/>
  <c r="U347" i="4" s="1"/>
  <c r="U348" i="4" s="1"/>
  <c r="U349" i="4" s="1"/>
  <c r="U350" i="4" s="1"/>
  <c r="U351" i="4" s="1"/>
  <c r="U352" i="4" s="1"/>
  <c r="U353" i="4" s="1"/>
  <c r="U354" i="4" s="1"/>
  <c r="U355" i="4" s="1"/>
  <c r="U356" i="4" s="1"/>
  <c r="U357" i="4" s="1"/>
  <c r="U358" i="4" s="1"/>
  <c r="U359" i="4" s="1"/>
  <c r="U360" i="4" s="1"/>
  <c r="U361" i="4" s="1"/>
  <c r="U362" i="4" s="1"/>
  <c r="U363" i="4" s="1"/>
  <c r="U364" i="4" s="1"/>
  <c r="U365" i="4" s="1"/>
  <c r="U366" i="4" s="1"/>
  <c r="U367" i="4" s="1"/>
  <c r="U368" i="4" s="1"/>
  <c r="U369" i="4" s="1"/>
  <c r="U370" i="4" s="1"/>
  <c r="U371" i="4" s="1"/>
  <c r="U372" i="4" s="1"/>
  <c r="U373" i="4" s="1"/>
  <c r="U374" i="4" s="1"/>
  <c r="U375" i="4" s="1"/>
  <c r="U376" i="4" s="1"/>
  <c r="U377" i="4" s="1"/>
  <c r="U378" i="4" s="1"/>
  <c r="U379" i="4" s="1"/>
  <c r="U380" i="4" s="1"/>
  <c r="U381" i="4" s="1"/>
  <c r="U382" i="4" s="1"/>
  <c r="U383" i="4" s="1"/>
  <c r="U384" i="4" s="1"/>
  <c r="U385" i="4" s="1"/>
  <c r="U386" i="4" s="1"/>
  <c r="U387" i="4" s="1"/>
  <c r="U388" i="4" s="1"/>
  <c r="U389" i="4" s="1"/>
  <c r="U390" i="4" s="1"/>
  <c r="U391" i="4" s="1"/>
  <c r="U392" i="4" s="1"/>
  <c r="U393" i="4" s="1"/>
  <c r="U394" i="4" s="1"/>
  <c r="U395" i="4" s="1"/>
  <c r="U396" i="4" s="1"/>
  <c r="U397" i="4" s="1"/>
  <c r="U398" i="4" s="1"/>
  <c r="U399" i="4" s="1"/>
  <c r="U400" i="4" s="1"/>
  <c r="U401" i="4" s="1"/>
  <c r="U402" i="4" s="1"/>
  <c r="U403" i="4" s="1"/>
  <c r="U404" i="4" s="1"/>
  <c r="U405" i="4" s="1"/>
  <c r="U406" i="4" s="1"/>
  <c r="U407" i="4" s="1"/>
  <c r="U408" i="4" s="1"/>
  <c r="U409" i="4" s="1"/>
  <c r="U410" i="4" s="1"/>
  <c r="X339" i="4"/>
  <c r="X343" i="4"/>
  <c r="X347" i="4"/>
  <c r="X351" i="4"/>
  <c r="X853" i="4"/>
  <c r="X857" i="4"/>
  <c r="X861" i="4"/>
  <c r="X865" i="4"/>
  <c r="X869" i="4"/>
  <c r="X873" i="4"/>
  <c r="X877" i="4"/>
  <c r="X881" i="4"/>
  <c r="X885" i="4"/>
  <c r="X889" i="4"/>
  <c r="X893" i="4"/>
  <c r="X897" i="4"/>
  <c r="X1021" i="4"/>
  <c r="X1025" i="4"/>
  <c r="X1029" i="4"/>
  <c r="X1033" i="4"/>
  <c r="X340" i="4"/>
  <c r="X344" i="4"/>
  <c r="X348" i="4"/>
  <c r="X352" i="4"/>
  <c r="X850" i="4"/>
  <c r="X854" i="4"/>
  <c r="X858" i="4"/>
  <c r="X862" i="4"/>
  <c r="X866" i="4"/>
  <c r="X870" i="4"/>
  <c r="X874" i="4"/>
  <c r="X878" i="4"/>
  <c r="X882" i="4"/>
  <c r="X886" i="4"/>
  <c r="X890" i="4"/>
  <c r="X894" i="4"/>
  <c r="X898" i="4"/>
  <c r="X341" i="4"/>
  <c r="X345" i="4"/>
  <c r="X349" i="4"/>
  <c r="X353" i="4"/>
  <c r="X851" i="4"/>
  <c r="X855" i="4"/>
  <c r="X859" i="4"/>
  <c r="X863" i="4"/>
  <c r="X867" i="4"/>
  <c r="X871" i="4"/>
  <c r="X875" i="4"/>
  <c r="X879" i="4"/>
  <c r="X883" i="4"/>
  <c r="X887" i="4"/>
  <c r="X891" i="4"/>
  <c r="X895" i="4"/>
  <c r="X899" i="4"/>
  <c r="X1023" i="4"/>
  <c r="X1027" i="4"/>
  <c r="X1031" i="4"/>
  <c r="X1035" i="4"/>
  <c r="X342" i="4"/>
  <c r="X864" i="4"/>
  <c r="X880" i="4"/>
  <c r="X896" i="4"/>
  <c r="X1020" i="4"/>
  <c r="X1028" i="4"/>
  <c r="X1036" i="4"/>
  <c r="X346" i="4"/>
  <c r="X852" i="4"/>
  <c r="X868" i="4"/>
  <c r="X884" i="4"/>
  <c r="X900" i="4"/>
  <c r="X1022" i="4"/>
  <c r="X1030" i="4"/>
  <c r="X350" i="4"/>
  <c r="X856" i="4"/>
  <c r="X872" i="4"/>
  <c r="X888" i="4"/>
  <c r="X1024" i="4"/>
  <c r="X1032" i="4"/>
  <c r="X338" i="4"/>
  <c r="X354" i="4"/>
  <c r="X860" i="4"/>
  <c r="X876" i="4"/>
  <c r="X892" i="4"/>
  <c r="X1026" i="4"/>
  <c r="X1034" i="4"/>
  <c r="AA115" i="4"/>
  <c r="AA116" i="4"/>
  <c r="AA117" i="4"/>
  <c r="AA118" i="4"/>
  <c r="AA119" i="4"/>
  <c r="AA120" i="4"/>
  <c r="AA121" i="4"/>
  <c r="AA122" i="4"/>
  <c r="AA123" i="4"/>
  <c r="O14" i="6"/>
  <c r="N15" i="6"/>
  <c r="J16" i="6"/>
  <c r="K15" i="6"/>
  <c r="G15" i="6"/>
  <c r="F16" i="6"/>
  <c r="C14" i="6"/>
  <c r="B15" i="6"/>
  <c r="K403" i="4"/>
  <c r="J422" i="4"/>
  <c r="Z422" i="4" s="1"/>
  <c r="J58" i="4"/>
  <c r="Z58" i="4" s="1"/>
  <c r="K126" i="4"/>
  <c r="AA126" i="4" s="1"/>
  <c r="J123" i="4"/>
  <c r="Z123" i="4" s="1"/>
  <c r="K59" i="4"/>
  <c r="AA59" i="4" s="1"/>
  <c r="C42" i="4" l="1"/>
  <c r="R42" i="4" s="1"/>
  <c r="U411" i="4"/>
  <c r="U412" i="4" s="1"/>
  <c r="U413" i="4" s="1"/>
  <c r="U414" i="4" s="1"/>
  <c r="U415" i="4" s="1"/>
  <c r="U416" i="4" s="1"/>
  <c r="U417" i="4" s="1"/>
  <c r="U418" i="4" s="1"/>
  <c r="U419" i="4" s="1"/>
  <c r="U420" i="4" s="1"/>
  <c r="U421" i="4" s="1"/>
  <c r="U422" i="4" s="1"/>
  <c r="U423" i="4" s="1"/>
  <c r="U424" i="4" s="1"/>
  <c r="U425" i="4" s="1"/>
  <c r="U426" i="4" s="1"/>
  <c r="U427" i="4" s="1"/>
  <c r="U428" i="4" s="1"/>
  <c r="U429" i="4" s="1"/>
  <c r="U430" i="4" s="1"/>
  <c r="U431" i="4" s="1"/>
  <c r="U432" i="4" s="1"/>
  <c r="U433" i="4" s="1"/>
  <c r="U434" i="4" s="1"/>
  <c r="U435" i="4" s="1"/>
  <c r="U436" i="4" s="1"/>
  <c r="U437" i="4" s="1"/>
  <c r="U438" i="4" s="1"/>
  <c r="U439" i="4" s="1"/>
  <c r="U440" i="4" s="1"/>
  <c r="U441" i="4" s="1"/>
  <c r="U442" i="4" s="1"/>
  <c r="U443" i="4" s="1"/>
  <c r="U444" i="4" s="1"/>
  <c r="U445" i="4" s="1"/>
  <c r="U446" i="4" s="1"/>
  <c r="U447" i="4" s="1"/>
  <c r="U448" i="4" s="1"/>
  <c r="U449" i="4" s="1"/>
  <c r="U450" i="4" s="1"/>
  <c r="U451" i="4" s="1"/>
  <c r="U452" i="4" s="1"/>
  <c r="U453" i="4" s="1"/>
  <c r="U454" i="4" s="1"/>
  <c r="U455" i="4" s="1"/>
  <c r="U456" i="4" s="1"/>
  <c r="U457" i="4" s="1"/>
  <c r="U458" i="4" s="1"/>
  <c r="U459" i="4" s="1"/>
  <c r="U460" i="4" s="1"/>
  <c r="U461" i="4" s="1"/>
  <c r="U462" i="4" s="1"/>
  <c r="U463" i="4" s="1"/>
  <c r="U464" i="4" s="1"/>
  <c r="U465" i="4" s="1"/>
  <c r="U466" i="4" s="1"/>
  <c r="U467" i="4" s="1"/>
  <c r="U468" i="4" s="1"/>
  <c r="U469" i="4" s="1"/>
  <c r="U470" i="4" s="1"/>
  <c r="U471" i="4" s="1"/>
  <c r="U472" i="4" s="1"/>
  <c r="U473" i="4" s="1"/>
  <c r="U474" i="4" s="1"/>
  <c r="U475" i="4" s="1"/>
  <c r="U476" i="4" s="1"/>
  <c r="U477" i="4" s="1"/>
  <c r="U478" i="4" s="1"/>
  <c r="U479" i="4" s="1"/>
  <c r="U480" i="4" s="1"/>
  <c r="U481" i="4" s="1"/>
  <c r="U482" i="4" s="1"/>
  <c r="U483" i="4" s="1"/>
  <c r="U484" i="4" s="1"/>
  <c r="U485" i="4" s="1"/>
  <c r="U486" i="4" s="1"/>
  <c r="U487" i="4" s="1"/>
  <c r="U488" i="4" s="1"/>
  <c r="U489" i="4" s="1"/>
  <c r="U490" i="4" s="1"/>
  <c r="U491" i="4" s="1"/>
  <c r="U492" i="4" s="1"/>
  <c r="U493" i="4" s="1"/>
  <c r="U494" i="4" s="1"/>
  <c r="U495" i="4" s="1"/>
  <c r="U496" i="4" s="1"/>
  <c r="U497" i="4" s="1"/>
  <c r="U498" i="4" s="1"/>
  <c r="U499" i="4" s="1"/>
  <c r="U500" i="4" s="1"/>
  <c r="U501" i="4" s="1"/>
  <c r="U502" i="4" s="1"/>
  <c r="U503" i="4" s="1"/>
  <c r="U504" i="4" s="1"/>
  <c r="U505" i="4" s="1"/>
  <c r="U506" i="4" s="1"/>
  <c r="U507" i="4" s="1"/>
  <c r="U508" i="4" s="1"/>
  <c r="U509" i="4" s="1"/>
  <c r="U510" i="4" s="1"/>
  <c r="U511" i="4" s="1"/>
  <c r="U512" i="4" s="1"/>
  <c r="U513" i="4" s="1"/>
  <c r="U514" i="4" s="1"/>
  <c r="U515" i="4" s="1"/>
  <c r="U516" i="4" s="1"/>
  <c r="U517" i="4" s="1"/>
  <c r="U518" i="4" s="1"/>
  <c r="U519" i="4" s="1"/>
  <c r="U520" i="4" s="1"/>
  <c r="U521" i="4" s="1"/>
  <c r="U522" i="4" s="1"/>
  <c r="U523" i="4" s="1"/>
  <c r="U524" i="4" s="1"/>
  <c r="U525" i="4" s="1"/>
  <c r="U526" i="4" s="1"/>
  <c r="U527" i="4" s="1"/>
  <c r="U528" i="4" s="1"/>
  <c r="U529" i="4" s="1"/>
  <c r="U530" i="4" s="1"/>
  <c r="U531" i="4" s="1"/>
  <c r="U532" i="4" s="1"/>
  <c r="U533" i="4" s="1"/>
  <c r="U534" i="4" s="1"/>
  <c r="U535" i="4" s="1"/>
  <c r="U536" i="4" s="1"/>
  <c r="U537" i="4" s="1"/>
  <c r="U538" i="4" s="1"/>
  <c r="U539" i="4" s="1"/>
  <c r="U540" i="4" s="1"/>
  <c r="U541" i="4" s="1"/>
  <c r="U542" i="4" s="1"/>
  <c r="U543" i="4" s="1"/>
  <c r="U544" i="4" s="1"/>
  <c r="U545" i="4" s="1"/>
  <c r="U546" i="4" s="1"/>
  <c r="U547" i="4" s="1"/>
  <c r="U548" i="4" s="1"/>
  <c r="U549" i="4" s="1"/>
  <c r="U550" i="4" s="1"/>
  <c r="U551" i="4" s="1"/>
  <c r="U552" i="4" s="1"/>
  <c r="U553" i="4" s="1"/>
  <c r="U554" i="4" s="1"/>
  <c r="U555" i="4" s="1"/>
  <c r="U556" i="4" s="1"/>
  <c r="U557" i="4" s="1"/>
  <c r="U558" i="4" s="1"/>
  <c r="U559" i="4" s="1"/>
  <c r="U560" i="4" s="1"/>
  <c r="U561" i="4" s="1"/>
  <c r="U562" i="4" s="1"/>
  <c r="U563" i="4" s="1"/>
  <c r="U564" i="4" s="1"/>
  <c r="U565" i="4" s="1"/>
  <c r="U566" i="4" s="1"/>
  <c r="U567" i="4" s="1"/>
  <c r="U568" i="4" s="1"/>
  <c r="U569" i="4" s="1"/>
  <c r="U570" i="4" s="1"/>
  <c r="U571" i="4" s="1"/>
  <c r="U572" i="4" s="1"/>
  <c r="U573" i="4" s="1"/>
  <c r="U574" i="4" s="1"/>
  <c r="U575" i="4" s="1"/>
  <c r="U576" i="4" s="1"/>
  <c r="U577" i="4" s="1"/>
  <c r="U578" i="4" s="1"/>
  <c r="U579" i="4" s="1"/>
  <c r="U580" i="4" s="1"/>
  <c r="U581" i="4" s="1"/>
  <c r="U582" i="4" s="1"/>
  <c r="U583" i="4" s="1"/>
  <c r="U584" i="4" s="1"/>
  <c r="U585" i="4" s="1"/>
  <c r="U586" i="4" s="1"/>
  <c r="U587" i="4" s="1"/>
  <c r="U588" i="4" s="1"/>
  <c r="U589" i="4" s="1"/>
  <c r="U590" i="4" s="1"/>
  <c r="U591" i="4" s="1"/>
  <c r="U592" i="4" s="1"/>
  <c r="U593" i="4" s="1"/>
  <c r="U594" i="4" s="1"/>
  <c r="U595" i="4" s="1"/>
  <c r="U596" i="4" s="1"/>
  <c r="U597" i="4" s="1"/>
  <c r="U598" i="4" s="1"/>
  <c r="U599" i="4" s="1"/>
  <c r="U600" i="4" s="1"/>
  <c r="U601" i="4" s="1"/>
  <c r="U602" i="4" s="1"/>
  <c r="U603" i="4" s="1"/>
  <c r="U604" i="4" s="1"/>
  <c r="U605" i="4" s="1"/>
  <c r="U606" i="4" s="1"/>
  <c r="U607" i="4" s="1"/>
  <c r="U608" i="4" s="1"/>
  <c r="U609" i="4" s="1"/>
  <c r="U610" i="4" s="1"/>
  <c r="U611" i="4" s="1"/>
  <c r="U612" i="4" s="1"/>
  <c r="U613" i="4" s="1"/>
  <c r="U614" i="4" s="1"/>
  <c r="U615" i="4" s="1"/>
  <c r="U616" i="4" s="1"/>
  <c r="U617" i="4" s="1"/>
  <c r="U618" i="4" s="1"/>
  <c r="U619" i="4" s="1"/>
  <c r="U620" i="4" s="1"/>
  <c r="U621" i="4" s="1"/>
  <c r="U622" i="4" s="1"/>
  <c r="U623" i="4" s="1"/>
  <c r="U624" i="4" s="1"/>
  <c r="U625" i="4" s="1"/>
  <c r="U626" i="4" s="1"/>
  <c r="U627" i="4" s="1"/>
  <c r="U628" i="4" s="1"/>
  <c r="U629" i="4" s="1"/>
  <c r="U630" i="4" s="1"/>
  <c r="U631" i="4" s="1"/>
  <c r="U632" i="4" s="1"/>
  <c r="U633" i="4" s="1"/>
  <c r="U634" i="4" s="1"/>
  <c r="U635" i="4" s="1"/>
  <c r="U636" i="4" s="1"/>
  <c r="U637" i="4" s="1"/>
  <c r="U638" i="4" s="1"/>
  <c r="U639" i="4" s="1"/>
  <c r="U640" i="4" s="1"/>
  <c r="U641" i="4" s="1"/>
  <c r="U642" i="4" s="1"/>
  <c r="U643" i="4" s="1"/>
  <c r="U644" i="4" s="1"/>
  <c r="U645" i="4" s="1"/>
  <c r="U646" i="4" s="1"/>
  <c r="U647" i="4" s="1"/>
  <c r="U648" i="4" s="1"/>
  <c r="U649" i="4" s="1"/>
  <c r="U650" i="4" s="1"/>
  <c r="U651" i="4" s="1"/>
  <c r="U652" i="4" s="1"/>
  <c r="U653" i="4" s="1"/>
  <c r="U654" i="4" s="1"/>
  <c r="U655" i="4" s="1"/>
  <c r="U656" i="4" s="1"/>
  <c r="U657" i="4" s="1"/>
  <c r="U658" i="4" s="1"/>
  <c r="U659" i="4" s="1"/>
  <c r="U660" i="4" s="1"/>
  <c r="U661" i="4" s="1"/>
  <c r="U662" i="4" s="1"/>
  <c r="U663" i="4" s="1"/>
  <c r="U664" i="4" s="1"/>
  <c r="U665" i="4" s="1"/>
  <c r="U666" i="4" s="1"/>
  <c r="U667" i="4" s="1"/>
  <c r="U668" i="4" s="1"/>
  <c r="U669" i="4" s="1"/>
  <c r="U670" i="4" s="1"/>
  <c r="U671" i="4" s="1"/>
  <c r="U672" i="4" s="1"/>
  <c r="U673" i="4" s="1"/>
  <c r="U674" i="4" s="1"/>
  <c r="U675" i="4" s="1"/>
  <c r="U676" i="4" s="1"/>
  <c r="U677" i="4" s="1"/>
  <c r="U678" i="4" s="1"/>
  <c r="U679" i="4" s="1"/>
  <c r="U680" i="4" s="1"/>
  <c r="U681" i="4" s="1"/>
  <c r="U682" i="4" s="1"/>
  <c r="U683" i="4" s="1"/>
  <c r="U684" i="4" s="1"/>
  <c r="U685" i="4" s="1"/>
  <c r="U686" i="4" s="1"/>
  <c r="U687" i="4" s="1"/>
  <c r="U688" i="4" s="1"/>
  <c r="U689" i="4" s="1"/>
  <c r="U690" i="4" s="1"/>
  <c r="U691" i="4" s="1"/>
  <c r="U692" i="4" s="1"/>
  <c r="U693" i="4" s="1"/>
  <c r="U694" i="4" s="1"/>
  <c r="U695" i="4" s="1"/>
  <c r="U696" i="4" s="1"/>
  <c r="U697" i="4" s="1"/>
  <c r="U698" i="4" s="1"/>
  <c r="U699" i="4" s="1"/>
  <c r="U700" i="4" s="1"/>
  <c r="U701" i="4" s="1"/>
  <c r="U702" i="4" s="1"/>
  <c r="U703" i="4" s="1"/>
  <c r="U704" i="4" s="1"/>
  <c r="U705" i="4" s="1"/>
  <c r="U706" i="4" s="1"/>
  <c r="U707" i="4" s="1"/>
  <c r="U708" i="4" s="1"/>
  <c r="U709" i="4" s="1"/>
  <c r="U710" i="4" s="1"/>
  <c r="U711" i="4" s="1"/>
  <c r="U712" i="4" s="1"/>
  <c r="U713" i="4" s="1"/>
  <c r="U714" i="4" s="1"/>
  <c r="U715" i="4" s="1"/>
  <c r="U716" i="4" s="1"/>
  <c r="U717" i="4" s="1"/>
  <c r="U718" i="4" s="1"/>
  <c r="U719" i="4" s="1"/>
  <c r="U720" i="4" s="1"/>
  <c r="U721" i="4" s="1"/>
  <c r="U722" i="4" s="1"/>
  <c r="U723" i="4" s="1"/>
  <c r="U724" i="4" s="1"/>
  <c r="U725" i="4" s="1"/>
  <c r="U726" i="4" s="1"/>
  <c r="U727" i="4" s="1"/>
  <c r="U728" i="4" s="1"/>
  <c r="U729" i="4" s="1"/>
  <c r="U730" i="4" s="1"/>
  <c r="U731" i="4" s="1"/>
  <c r="U732" i="4" s="1"/>
  <c r="U733" i="4" s="1"/>
  <c r="U734" i="4" s="1"/>
  <c r="U735" i="4" s="1"/>
  <c r="U736" i="4" s="1"/>
  <c r="U737" i="4" s="1"/>
  <c r="U738" i="4" s="1"/>
  <c r="U739" i="4" s="1"/>
  <c r="U740" i="4" s="1"/>
  <c r="U741" i="4" s="1"/>
  <c r="U742" i="4" s="1"/>
  <c r="U743" i="4" s="1"/>
  <c r="U744" i="4" s="1"/>
  <c r="U745" i="4" s="1"/>
  <c r="U746" i="4" s="1"/>
  <c r="U747" i="4" s="1"/>
  <c r="U748" i="4" s="1"/>
  <c r="U749" i="4" s="1"/>
  <c r="U750" i="4" s="1"/>
  <c r="U751" i="4" s="1"/>
  <c r="U752" i="4" s="1"/>
  <c r="U753" i="4" s="1"/>
  <c r="U754" i="4" s="1"/>
  <c r="U755" i="4" s="1"/>
  <c r="U756" i="4" s="1"/>
  <c r="U757" i="4" s="1"/>
  <c r="U758" i="4" s="1"/>
  <c r="U759" i="4" s="1"/>
  <c r="U760" i="4" s="1"/>
  <c r="U761" i="4" s="1"/>
  <c r="U762" i="4" s="1"/>
  <c r="U763" i="4" s="1"/>
  <c r="Y379" i="4"/>
  <c r="Y383" i="4"/>
  <c r="Y387" i="4"/>
  <c r="Y391" i="4"/>
  <c r="Y395" i="4"/>
  <c r="Y399" i="4"/>
  <c r="Y403" i="4"/>
  <c r="Y407" i="4"/>
  <c r="Y376" i="4"/>
  <c r="Y380" i="4"/>
  <c r="Y384" i="4"/>
  <c r="Y388" i="4"/>
  <c r="Y392" i="4"/>
  <c r="Y396" i="4"/>
  <c r="Y400" i="4"/>
  <c r="Y404" i="4"/>
  <c r="Y408" i="4"/>
  <c r="Y377" i="4"/>
  <c r="Y381" i="4"/>
  <c r="Y385" i="4"/>
  <c r="Y389" i="4"/>
  <c r="Y393" i="4"/>
  <c r="Y397" i="4"/>
  <c r="Y401" i="4"/>
  <c r="Y405" i="4"/>
  <c r="Y409" i="4"/>
  <c r="Y378" i="4"/>
  <c r="Y394" i="4"/>
  <c r="Y382" i="4"/>
  <c r="Y398" i="4"/>
  <c r="Y386" i="4"/>
  <c r="Y402" i="4"/>
  <c r="Y406" i="4"/>
  <c r="Y390" i="4"/>
  <c r="X355" i="4"/>
  <c r="X359" i="4"/>
  <c r="X363" i="4"/>
  <c r="X367" i="4"/>
  <c r="X371" i="4"/>
  <c r="X356" i="4"/>
  <c r="X360" i="4"/>
  <c r="X364" i="4"/>
  <c r="X368" i="4"/>
  <c r="X372" i="4"/>
  <c r="X357" i="4"/>
  <c r="X361" i="4"/>
  <c r="X365" i="4"/>
  <c r="X369" i="4"/>
  <c r="X373" i="4"/>
  <c r="X358" i="4"/>
  <c r="X362" i="4"/>
  <c r="X366" i="4"/>
  <c r="X370" i="4"/>
  <c r="Z1073" i="4"/>
  <c r="Z1077" i="4"/>
  <c r="Z1081" i="4"/>
  <c r="Z1085" i="4"/>
  <c r="Z1075" i="4"/>
  <c r="Z1079" i="4"/>
  <c r="Z1083" i="4"/>
  <c r="Z1087" i="4"/>
  <c r="Z1078" i="4"/>
  <c r="Z1086" i="4"/>
  <c r="Z693" i="4"/>
  <c r="Z1072" i="4"/>
  <c r="Z1080" i="4"/>
  <c r="Z1074" i="4"/>
  <c r="Z1082" i="4"/>
  <c r="Z1084" i="4"/>
  <c r="Z1868" i="4"/>
  <c r="Z1872" i="4"/>
  <c r="Z1876" i="4"/>
  <c r="Z1880" i="4"/>
  <c r="Z1865" i="4"/>
  <c r="Z1869" i="4"/>
  <c r="Z1873" i="4"/>
  <c r="Z1877" i="4"/>
  <c r="Z1866" i="4"/>
  <c r="Z1870" i="4"/>
  <c r="Z1874" i="4"/>
  <c r="Z1878" i="4"/>
  <c r="Z1879" i="4"/>
  <c r="Z1867" i="4"/>
  <c r="Z1076" i="4"/>
  <c r="Z1871" i="4"/>
  <c r="Z1875" i="4"/>
  <c r="B41" i="4"/>
  <c r="V41" i="4" s="1"/>
  <c r="K16" i="6"/>
  <c r="J17" i="6"/>
  <c r="F17" i="6"/>
  <c r="G16" i="6"/>
  <c r="N16" i="6"/>
  <c r="O15" i="6"/>
  <c r="C15" i="6"/>
  <c r="B16" i="6"/>
  <c r="K404" i="4"/>
  <c r="J423" i="4"/>
  <c r="Z423" i="4" s="1"/>
  <c r="J59" i="4"/>
  <c r="Z59" i="4" s="1"/>
  <c r="J124" i="4"/>
  <c r="Z124" i="4" s="1"/>
  <c r="K127" i="4"/>
  <c r="AA127" i="4" s="1"/>
  <c r="K60" i="4"/>
  <c r="AA60" i="4" s="1"/>
  <c r="C43" i="4" l="1"/>
  <c r="R43" i="4" s="1"/>
  <c r="U764" i="4"/>
  <c r="U765" i="4" s="1"/>
  <c r="U766" i="4" s="1"/>
  <c r="U767" i="4" s="1"/>
  <c r="U768" i="4" s="1"/>
  <c r="U769" i="4" s="1"/>
  <c r="U770" i="4" s="1"/>
  <c r="U771" i="4" s="1"/>
  <c r="U772" i="4" s="1"/>
  <c r="U773" i="4" s="1"/>
  <c r="U774" i="4" s="1"/>
  <c r="U775" i="4" s="1"/>
  <c r="U776" i="4" s="1"/>
  <c r="U777" i="4" s="1"/>
  <c r="U778" i="4" s="1"/>
  <c r="U779" i="4" s="1"/>
  <c r="U780" i="4" s="1"/>
  <c r="U781" i="4" s="1"/>
  <c r="U782" i="4" s="1"/>
  <c r="U783" i="4" s="1"/>
  <c r="U784" i="4" s="1"/>
  <c r="U785" i="4" s="1"/>
  <c r="U786" i="4" s="1"/>
  <c r="U787" i="4" s="1"/>
  <c r="U788" i="4" s="1"/>
  <c r="U789" i="4" s="1"/>
  <c r="U790" i="4" s="1"/>
  <c r="U791" i="4" s="1"/>
  <c r="U792" i="4" s="1"/>
  <c r="U793" i="4" s="1"/>
  <c r="U794" i="4" s="1"/>
  <c r="U795" i="4" s="1"/>
  <c r="U796" i="4" s="1"/>
  <c r="U797" i="4" s="1"/>
  <c r="U798" i="4" s="1"/>
  <c r="U799" i="4" s="1"/>
  <c r="U800" i="4" s="1"/>
  <c r="U801" i="4" s="1"/>
  <c r="U802" i="4" s="1"/>
  <c r="U803" i="4" s="1"/>
  <c r="U804" i="4" s="1"/>
  <c r="U805" i="4" s="1"/>
  <c r="U806" i="4" s="1"/>
  <c r="U807" i="4" s="1"/>
  <c r="U808" i="4" s="1"/>
  <c r="U809" i="4" s="1"/>
  <c r="U810" i="4" s="1"/>
  <c r="U811" i="4" s="1"/>
  <c r="U812" i="4" s="1"/>
  <c r="U813" i="4" s="1"/>
  <c r="U814" i="4" s="1"/>
  <c r="U815" i="4" s="1"/>
  <c r="U816" i="4" s="1"/>
  <c r="U817" i="4" s="1"/>
  <c r="U818" i="4" s="1"/>
  <c r="U819" i="4" s="1"/>
  <c r="U820" i="4" s="1"/>
  <c r="U821" i="4" s="1"/>
  <c r="U822" i="4" s="1"/>
  <c r="U823" i="4" s="1"/>
  <c r="U824" i="4" s="1"/>
  <c r="U825" i="4" s="1"/>
  <c r="U826" i="4" s="1"/>
  <c r="U827" i="4" s="1"/>
  <c r="U828" i="4" s="1"/>
  <c r="U829" i="4" s="1"/>
  <c r="U830" i="4" s="1"/>
  <c r="U831" i="4" s="1"/>
  <c r="U832" i="4" s="1"/>
  <c r="U833" i="4" s="1"/>
  <c r="U834" i="4" s="1"/>
  <c r="U835" i="4" s="1"/>
  <c r="U836" i="4" s="1"/>
  <c r="U837" i="4" s="1"/>
  <c r="U838" i="4" s="1"/>
  <c r="U839" i="4" s="1"/>
  <c r="U840" i="4" s="1"/>
  <c r="U841" i="4" s="1"/>
  <c r="U842" i="4" s="1"/>
  <c r="U843" i="4" s="1"/>
  <c r="U844" i="4" s="1"/>
  <c r="U845" i="4" s="1"/>
  <c r="U846" i="4" s="1"/>
  <c r="U847" i="4" s="1"/>
  <c r="U848" i="4" s="1"/>
  <c r="U849" i="4" s="1"/>
  <c r="U850" i="4" s="1"/>
  <c r="U851" i="4" s="1"/>
  <c r="U852" i="4" s="1"/>
  <c r="U853" i="4" s="1"/>
  <c r="U854" i="4" s="1"/>
  <c r="U855" i="4" s="1"/>
  <c r="U856" i="4" s="1"/>
  <c r="U857" i="4" s="1"/>
  <c r="U858" i="4" s="1"/>
  <c r="U859" i="4" s="1"/>
  <c r="U860" i="4" s="1"/>
  <c r="U861" i="4" s="1"/>
  <c r="U862" i="4" s="1"/>
  <c r="U863" i="4" s="1"/>
  <c r="U864" i="4" s="1"/>
  <c r="U865" i="4" s="1"/>
  <c r="U866" i="4" s="1"/>
  <c r="U867" i="4" s="1"/>
  <c r="U868" i="4" s="1"/>
  <c r="U869" i="4" s="1"/>
  <c r="U870" i="4" s="1"/>
  <c r="U871" i="4" s="1"/>
  <c r="U872" i="4" s="1"/>
  <c r="U873" i="4" s="1"/>
  <c r="U874" i="4" s="1"/>
  <c r="U875" i="4" s="1"/>
  <c r="U876" i="4" s="1"/>
  <c r="U877" i="4" s="1"/>
  <c r="U878" i="4" s="1"/>
  <c r="U879" i="4" s="1"/>
  <c r="U880" i="4" s="1"/>
  <c r="U881" i="4" s="1"/>
  <c r="U882" i="4" s="1"/>
  <c r="U883" i="4" s="1"/>
  <c r="U884" i="4" s="1"/>
  <c r="U885" i="4" s="1"/>
  <c r="U886" i="4" s="1"/>
  <c r="U887" i="4" s="1"/>
  <c r="U888" i="4" s="1"/>
  <c r="U889" i="4" s="1"/>
  <c r="U890" i="4" s="1"/>
  <c r="U891" i="4" s="1"/>
  <c r="U892" i="4" s="1"/>
  <c r="U893" i="4" s="1"/>
  <c r="U894" i="4" s="1"/>
  <c r="U895" i="4" s="1"/>
  <c r="U896" i="4" s="1"/>
  <c r="U897" i="4" s="1"/>
  <c r="U898" i="4" s="1"/>
  <c r="U899" i="4" s="1"/>
  <c r="U900" i="4" s="1"/>
  <c r="U901" i="4" s="1"/>
  <c r="U902" i="4" s="1"/>
  <c r="U903" i="4" s="1"/>
  <c r="U904" i="4" s="1"/>
  <c r="U905" i="4" s="1"/>
  <c r="U906" i="4" s="1"/>
  <c r="U907" i="4" s="1"/>
  <c r="U908" i="4" s="1"/>
  <c r="U909" i="4" s="1"/>
  <c r="U910" i="4" s="1"/>
  <c r="U911" i="4" s="1"/>
  <c r="U912" i="4" s="1"/>
  <c r="U913" i="4" s="1"/>
  <c r="U914" i="4" s="1"/>
  <c r="U915" i="4" s="1"/>
  <c r="U916" i="4" s="1"/>
  <c r="U917" i="4" s="1"/>
  <c r="U918" i="4" s="1"/>
  <c r="U919" i="4" s="1"/>
  <c r="U920" i="4" s="1"/>
  <c r="U921" i="4" s="1"/>
  <c r="U922" i="4" s="1"/>
  <c r="U923" i="4" s="1"/>
  <c r="U924" i="4" s="1"/>
  <c r="U925" i="4" s="1"/>
  <c r="U926" i="4" s="1"/>
  <c r="U927" i="4" s="1"/>
  <c r="U928" i="4" s="1"/>
  <c r="U929" i="4" s="1"/>
  <c r="U930" i="4" s="1"/>
  <c r="U931" i="4" s="1"/>
  <c r="U932" i="4" s="1"/>
  <c r="U933" i="4" s="1"/>
  <c r="U934" i="4" s="1"/>
  <c r="U935" i="4" s="1"/>
  <c r="U936" i="4" s="1"/>
  <c r="U937" i="4" s="1"/>
  <c r="U938" i="4" s="1"/>
  <c r="U939" i="4" s="1"/>
  <c r="U940" i="4" s="1"/>
  <c r="U941" i="4" s="1"/>
  <c r="U942" i="4" s="1"/>
  <c r="U943" i="4" s="1"/>
  <c r="U944" i="4" s="1"/>
  <c r="U945" i="4" s="1"/>
  <c r="U946" i="4" s="1"/>
  <c r="U947" i="4" s="1"/>
  <c r="U948" i="4" s="1"/>
  <c r="U949" i="4" s="1"/>
  <c r="U950" i="4" s="1"/>
  <c r="U951" i="4" s="1"/>
  <c r="U952" i="4" s="1"/>
  <c r="U953" i="4" s="1"/>
  <c r="U954" i="4" s="1"/>
  <c r="U955" i="4" s="1"/>
  <c r="U956" i="4" s="1"/>
  <c r="U957" i="4" s="1"/>
  <c r="U958" i="4" s="1"/>
  <c r="U959" i="4" s="1"/>
  <c r="U960" i="4" s="1"/>
  <c r="U961" i="4" s="1"/>
  <c r="U962" i="4" s="1"/>
  <c r="U963" i="4" s="1"/>
  <c r="U964" i="4" s="1"/>
  <c r="U965" i="4" s="1"/>
  <c r="U966" i="4" s="1"/>
  <c r="U967" i="4" s="1"/>
  <c r="U968" i="4" s="1"/>
  <c r="U969" i="4" s="1"/>
  <c r="U970" i="4" s="1"/>
  <c r="U971" i="4" s="1"/>
  <c r="U972" i="4" s="1"/>
  <c r="U973" i="4" s="1"/>
  <c r="U974" i="4" s="1"/>
  <c r="U975" i="4" s="1"/>
  <c r="U976" i="4" s="1"/>
  <c r="U977" i="4" s="1"/>
  <c r="U978" i="4" s="1"/>
  <c r="U979" i="4" s="1"/>
  <c r="U980" i="4" s="1"/>
  <c r="U981" i="4" s="1"/>
  <c r="U982" i="4" s="1"/>
  <c r="U983" i="4" s="1"/>
  <c r="U984" i="4" s="1"/>
  <c r="U985" i="4" s="1"/>
  <c r="U986" i="4" s="1"/>
  <c r="U987" i="4" s="1"/>
  <c r="U988" i="4" s="1"/>
  <c r="U989" i="4" s="1"/>
  <c r="U990" i="4" s="1"/>
  <c r="U991" i="4" s="1"/>
  <c r="U992" i="4" s="1"/>
  <c r="U993" i="4" s="1"/>
  <c r="U994" i="4" s="1"/>
  <c r="U995" i="4" s="1"/>
  <c r="U996" i="4" s="1"/>
  <c r="U997" i="4" s="1"/>
  <c r="U998" i="4" s="1"/>
  <c r="U999" i="4" s="1"/>
  <c r="U1000" i="4" s="1"/>
  <c r="U1001" i="4" s="1"/>
  <c r="U1002" i="4" s="1"/>
  <c r="U1003" i="4" s="1"/>
  <c r="U1004" i="4" s="1"/>
  <c r="U1005" i="4" s="1"/>
  <c r="U1006" i="4" s="1"/>
  <c r="U1007" i="4" s="1"/>
  <c r="U1008" i="4" s="1"/>
  <c r="U1009" i="4" s="1"/>
  <c r="U1010" i="4" s="1"/>
  <c r="U1011" i="4" s="1"/>
  <c r="U1012" i="4" s="1"/>
  <c r="U1013" i="4" s="1"/>
  <c r="U1014" i="4" s="1"/>
  <c r="U1015" i="4" s="1"/>
  <c r="U1016" i="4" s="1"/>
  <c r="U1017" i="4" s="1"/>
  <c r="U1018" i="4" s="1"/>
  <c r="U1019" i="4" s="1"/>
  <c r="U1020" i="4" s="1"/>
  <c r="U1021" i="4" s="1"/>
  <c r="U1022" i="4" s="1"/>
  <c r="U1023" i="4" s="1"/>
  <c r="U1024" i="4" s="1"/>
  <c r="U1025" i="4" s="1"/>
  <c r="U1026" i="4" s="1"/>
  <c r="U1027" i="4" s="1"/>
  <c r="U1028" i="4" s="1"/>
  <c r="U1029" i="4" s="1"/>
  <c r="U1030" i="4" s="1"/>
  <c r="U1031" i="4" s="1"/>
  <c r="U1032" i="4" s="1"/>
  <c r="U1033" i="4" s="1"/>
  <c r="U1034" i="4" s="1"/>
  <c r="U1035" i="4" s="1"/>
  <c r="U1036" i="4" s="1"/>
  <c r="U1037" i="4" s="1"/>
  <c r="U1038" i="4" s="1"/>
  <c r="U1039" i="4" s="1"/>
  <c r="U1040" i="4" s="1"/>
  <c r="U1041" i="4" s="1"/>
  <c r="U1042" i="4" s="1"/>
  <c r="U1043" i="4" s="1"/>
  <c r="U1044" i="4" s="1"/>
  <c r="U1045" i="4" s="1"/>
  <c r="U1046" i="4" s="1"/>
  <c r="U1047" i="4" s="1"/>
  <c r="U1048" i="4" s="1"/>
  <c r="U1049" i="4" s="1"/>
  <c r="U1050" i="4" s="1"/>
  <c r="U1051" i="4" s="1"/>
  <c r="U1052" i="4" s="1"/>
  <c r="U1053" i="4" s="1"/>
  <c r="Y537" i="4"/>
  <c r="Y1656" i="4"/>
  <c r="Y1660" i="4"/>
  <c r="Y1664" i="4"/>
  <c r="Y1668" i="4"/>
  <c r="Y1653" i="4"/>
  <c r="Y1657" i="4"/>
  <c r="Y1661" i="4"/>
  <c r="Y1665" i="4"/>
  <c r="Y1669" i="4"/>
  <c r="Y1654" i="4"/>
  <c r="Y1658" i="4"/>
  <c r="Y1662" i="4"/>
  <c r="Y1666" i="4"/>
  <c r="Y1663" i="4"/>
  <c r="Y1667" i="4"/>
  <c r="Y1655" i="4"/>
  <c r="Y1659" i="4"/>
  <c r="Z717" i="4"/>
  <c r="Z1900" i="4"/>
  <c r="Z1904" i="4"/>
  <c r="Z1908" i="4"/>
  <c r="Z1912" i="4"/>
  <c r="Z1901" i="4"/>
  <c r="Z1905" i="4"/>
  <c r="Z1909" i="4"/>
  <c r="Z1913" i="4"/>
  <c r="Z1902" i="4"/>
  <c r="Z1906" i="4"/>
  <c r="Z1910" i="4"/>
  <c r="Z1914" i="4"/>
  <c r="Z1911" i="4"/>
  <c r="Z1899" i="4"/>
  <c r="Z1903" i="4"/>
  <c r="Z1907" i="4"/>
  <c r="B42" i="4"/>
  <c r="V42" i="4" s="1"/>
  <c r="K17" i="6"/>
  <c r="J18" i="6"/>
  <c r="C16" i="6"/>
  <c r="B17" i="6"/>
  <c r="N17" i="6"/>
  <c r="O16" i="6"/>
  <c r="G17" i="6"/>
  <c r="F18" i="6"/>
  <c r="K405" i="4"/>
  <c r="J424" i="4"/>
  <c r="Z424" i="4" s="1"/>
  <c r="J60" i="4"/>
  <c r="Z60" i="4" s="1"/>
  <c r="O114" i="4"/>
  <c r="K128" i="4"/>
  <c r="AA128" i="4" s="1"/>
  <c r="J125" i="4"/>
  <c r="Z125" i="4" s="1"/>
  <c r="K61" i="4"/>
  <c r="AA61" i="4" s="1"/>
  <c r="C44" i="4" l="1"/>
  <c r="R44" i="4" s="1"/>
  <c r="Y411" i="4"/>
  <c r="Y695" i="4"/>
  <c r="Y412" i="4"/>
  <c r="Y696" i="4"/>
  <c r="Y413" i="4"/>
  <c r="Y697" i="4"/>
  <c r="Y733" i="4"/>
  <c r="Y414" i="4"/>
  <c r="Y694" i="4"/>
  <c r="Z1071" i="4"/>
  <c r="Z1864" i="4"/>
  <c r="J19" i="6"/>
  <c r="K18" i="6"/>
  <c r="Z850" i="4" s="1"/>
  <c r="B43" i="4"/>
  <c r="V43" i="4" s="1"/>
  <c r="B18" i="6"/>
  <c r="C17" i="6"/>
  <c r="X375" i="4" s="1"/>
  <c r="F19" i="6"/>
  <c r="G18" i="6"/>
  <c r="N18" i="6"/>
  <c r="O17" i="6"/>
  <c r="K406" i="4"/>
  <c r="J425" i="4"/>
  <c r="Z425" i="4" s="1"/>
  <c r="J61" i="4"/>
  <c r="Z61" i="4" s="1"/>
  <c r="L116" i="4"/>
  <c r="J126" i="4"/>
  <c r="Z126" i="4" s="1"/>
  <c r="K129" i="4"/>
  <c r="AA129" i="4" s="1"/>
  <c r="C45" i="4" l="1"/>
  <c r="Y1524" i="4"/>
  <c r="Y1525" i="4"/>
  <c r="Y1523" i="4"/>
  <c r="Z1173" i="4"/>
  <c r="Z1190" i="4"/>
  <c r="J20" i="6"/>
  <c r="K19" i="6"/>
  <c r="Z536" i="4" s="1"/>
  <c r="B44" i="4"/>
  <c r="V44" i="4" s="1"/>
  <c r="C18" i="6"/>
  <c r="B19" i="6"/>
  <c r="G19" i="6"/>
  <c r="F20" i="6"/>
  <c r="O18" i="6"/>
  <c r="N19" i="6"/>
  <c r="K407" i="4"/>
  <c r="J426" i="4"/>
  <c r="Z426" i="4" s="1"/>
  <c r="L117" i="4"/>
  <c r="O116" i="4"/>
  <c r="K130" i="4"/>
  <c r="AA130" i="4" s="1"/>
  <c r="J127" i="4"/>
  <c r="Z127" i="4" s="1"/>
  <c r="C46" i="4" l="1"/>
  <c r="R45" i="4"/>
  <c r="X377" i="4"/>
  <c r="X381" i="4"/>
  <c r="X385" i="4"/>
  <c r="X389" i="4"/>
  <c r="X378" i="4"/>
  <c r="X382" i="4"/>
  <c r="X386" i="4"/>
  <c r="X390" i="4"/>
  <c r="X379" i="4"/>
  <c r="X383" i="4"/>
  <c r="X387" i="4"/>
  <c r="X391" i="4"/>
  <c r="X388" i="4"/>
  <c r="X376" i="4"/>
  <c r="X392" i="4"/>
  <c r="X380" i="4"/>
  <c r="X384" i="4"/>
  <c r="Y538" i="4"/>
  <c r="Y133" i="4"/>
  <c r="Z1192" i="4"/>
  <c r="Z1196" i="4"/>
  <c r="Z1200" i="4"/>
  <c r="Z1204" i="4"/>
  <c r="Z1193" i="4"/>
  <c r="Z1197" i="4"/>
  <c r="Z1201" i="4"/>
  <c r="Z1205" i="4"/>
  <c r="Z1194" i="4"/>
  <c r="Z1198" i="4"/>
  <c r="Z1202" i="4"/>
  <c r="Z1206" i="4"/>
  <c r="Z1203" i="4"/>
  <c r="Z1191" i="4"/>
  <c r="Z1402" i="4"/>
  <c r="Z1195" i="4"/>
  <c r="Z1199" i="4"/>
  <c r="J21" i="6"/>
  <c r="K20" i="6"/>
  <c r="O19" i="6"/>
  <c r="N20" i="6"/>
  <c r="B45" i="4"/>
  <c r="V45" i="4" s="1"/>
  <c r="F21" i="6"/>
  <c r="G20" i="6"/>
  <c r="B20" i="6"/>
  <c r="C19" i="6"/>
  <c r="K408" i="4"/>
  <c r="J427" i="4"/>
  <c r="Z427" i="4" s="1"/>
  <c r="L118" i="4"/>
  <c r="O117" i="4"/>
  <c r="J128" i="4"/>
  <c r="Z128" i="4" s="1"/>
  <c r="K131" i="4"/>
  <c r="AA131" i="4" s="1"/>
  <c r="C47" i="4" l="1"/>
  <c r="R46" i="4"/>
  <c r="Y134" i="4"/>
  <c r="Y735" i="4"/>
  <c r="Y739" i="4"/>
  <c r="Y743" i="4"/>
  <c r="Y747" i="4"/>
  <c r="Y752" i="4"/>
  <c r="Y756" i="4"/>
  <c r="Y760" i="4"/>
  <c r="Y767" i="4"/>
  <c r="Y771" i="4"/>
  <c r="Y775" i="4"/>
  <c r="Y779" i="4"/>
  <c r="Y736" i="4"/>
  <c r="Y740" i="4"/>
  <c r="Y744" i="4"/>
  <c r="Y748" i="4"/>
  <c r="Y751" i="4"/>
  <c r="Y753" i="4"/>
  <c r="Y757" i="4"/>
  <c r="Y761" i="4"/>
  <c r="Y764" i="4"/>
  <c r="Y768" i="4"/>
  <c r="Y772" i="4"/>
  <c r="Y776" i="4"/>
  <c r="Y780" i="4"/>
  <c r="Y737" i="4"/>
  <c r="Y741" i="4"/>
  <c r="Y745" i="4"/>
  <c r="Y749" i="4"/>
  <c r="Y754" i="4"/>
  <c r="Y758" i="4"/>
  <c r="Y762" i="4"/>
  <c r="Y765" i="4"/>
  <c r="Y769" i="4"/>
  <c r="Y773" i="4"/>
  <c r="Y777" i="4"/>
  <c r="Y781" i="4"/>
  <c r="Y746" i="4"/>
  <c r="Y759" i="4"/>
  <c r="Y774" i="4"/>
  <c r="Y734" i="4"/>
  <c r="Y750" i="4"/>
  <c r="Y763" i="4"/>
  <c r="Y778" i="4"/>
  <c r="Y738" i="4"/>
  <c r="Y766" i="4"/>
  <c r="Y755" i="4"/>
  <c r="Y770" i="4"/>
  <c r="Y742" i="4"/>
  <c r="Z1280" i="4"/>
  <c r="Z1614" i="4"/>
  <c r="X393" i="4"/>
  <c r="X397" i="4"/>
  <c r="X401" i="4"/>
  <c r="X405" i="4"/>
  <c r="X409" i="4"/>
  <c r="X394" i="4"/>
  <c r="X398" i="4"/>
  <c r="X402" i="4"/>
  <c r="X406" i="4"/>
  <c r="X395" i="4"/>
  <c r="X399" i="4"/>
  <c r="X403" i="4"/>
  <c r="X407" i="4"/>
  <c r="X404" i="4"/>
  <c r="X408" i="4"/>
  <c r="X396" i="4"/>
  <c r="X400" i="4"/>
  <c r="O20" i="6"/>
  <c r="N21" i="6"/>
  <c r="J22" i="6"/>
  <c r="K21" i="6"/>
  <c r="Z1281" i="4" s="1"/>
  <c r="B46" i="4"/>
  <c r="V46" i="4" s="1"/>
  <c r="C20" i="6"/>
  <c r="B21" i="6"/>
  <c r="G21" i="6"/>
  <c r="Y966" i="4" s="1"/>
  <c r="F22" i="6"/>
  <c r="K409" i="4"/>
  <c r="J428" i="4"/>
  <c r="Z428" i="4" s="1"/>
  <c r="L119" i="4"/>
  <c r="O118" i="4"/>
  <c r="J129" i="4"/>
  <c r="Z129" i="4" s="1"/>
  <c r="C48" i="4" l="1"/>
  <c r="R47" i="4"/>
  <c r="X1157" i="4"/>
  <c r="X1161" i="4"/>
  <c r="X1165" i="4"/>
  <c r="X1169" i="4"/>
  <c r="X1193" i="4"/>
  <c r="X1197" i="4"/>
  <c r="X1201" i="4"/>
  <c r="X1205" i="4"/>
  <c r="X410" i="4"/>
  <c r="X1159" i="4"/>
  <c r="X1163" i="4"/>
  <c r="X1167" i="4"/>
  <c r="X1171" i="4"/>
  <c r="X1191" i="4"/>
  <c r="X1195" i="4"/>
  <c r="X1199" i="4"/>
  <c r="X1156" i="4"/>
  <c r="X1164" i="4"/>
  <c r="X1172" i="4"/>
  <c r="X1196" i="4"/>
  <c r="X1203" i="4"/>
  <c r="X1158" i="4"/>
  <c r="X1166" i="4"/>
  <c r="X1190" i="4"/>
  <c r="X1198" i="4"/>
  <c r="X1204" i="4"/>
  <c r="X1160" i="4"/>
  <c r="X1168" i="4"/>
  <c r="X1192" i="4"/>
  <c r="X1200" i="4"/>
  <c r="X1206" i="4"/>
  <c r="X1162" i="4"/>
  <c r="X1170" i="4"/>
  <c r="X1194" i="4"/>
  <c r="X1202" i="4"/>
  <c r="Y158" i="4"/>
  <c r="Y162" i="4"/>
  <c r="Y166" i="4"/>
  <c r="Y170" i="4"/>
  <c r="Y156" i="4"/>
  <c r="Y160" i="4"/>
  <c r="Y164" i="4"/>
  <c r="Y168" i="4"/>
  <c r="Y159" i="4"/>
  <c r="Y167" i="4"/>
  <c r="Y252" i="4"/>
  <c r="Y256" i="4"/>
  <c r="Y260" i="4"/>
  <c r="Y264" i="4"/>
  <c r="Y903" i="4"/>
  <c r="Y907" i="4"/>
  <c r="Y911" i="4"/>
  <c r="Y915" i="4"/>
  <c r="Y919" i="4"/>
  <c r="Y923" i="4"/>
  <c r="Y927" i="4"/>
  <c r="Y931" i="4"/>
  <c r="Y935" i="4"/>
  <c r="Y939" i="4"/>
  <c r="Y943" i="4"/>
  <c r="Y947" i="4"/>
  <c r="Y951" i="4"/>
  <c r="Y955" i="4"/>
  <c r="Y959" i="4"/>
  <c r="Y963" i="4"/>
  <c r="Y967" i="4"/>
  <c r="Y971" i="4"/>
  <c r="Y975" i="4"/>
  <c r="Y979" i="4"/>
  <c r="Y983" i="4"/>
  <c r="Y161" i="4"/>
  <c r="Y169" i="4"/>
  <c r="Y253" i="4"/>
  <c r="Y257" i="4"/>
  <c r="Y261" i="4"/>
  <c r="Y265" i="4"/>
  <c r="Y904" i="4"/>
  <c r="Y908" i="4"/>
  <c r="Y912" i="4"/>
  <c r="Y916" i="4"/>
  <c r="Y920" i="4"/>
  <c r="Y924" i="4"/>
  <c r="Y928" i="4"/>
  <c r="Y932" i="4"/>
  <c r="Y936" i="4"/>
  <c r="Y940" i="4"/>
  <c r="Y944" i="4"/>
  <c r="Y948" i="4"/>
  <c r="Y952" i="4"/>
  <c r="Y956" i="4"/>
  <c r="Y960" i="4"/>
  <c r="Y964" i="4"/>
  <c r="Y968" i="4"/>
  <c r="Y972" i="4"/>
  <c r="Y976" i="4"/>
  <c r="Y980" i="4"/>
  <c r="Y984" i="4"/>
  <c r="Y155" i="4"/>
  <c r="Y163" i="4"/>
  <c r="Y171" i="4"/>
  <c r="Y254" i="4"/>
  <c r="Y258" i="4"/>
  <c r="Y262" i="4"/>
  <c r="Y266" i="4"/>
  <c r="Y901" i="4"/>
  <c r="Y905" i="4"/>
  <c r="Y909" i="4"/>
  <c r="Y913" i="4"/>
  <c r="Y917" i="4"/>
  <c r="Y921" i="4"/>
  <c r="Y925" i="4"/>
  <c r="Y929" i="4"/>
  <c r="Y933" i="4"/>
  <c r="Y937" i="4"/>
  <c r="Y941" i="4"/>
  <c r="Y945" i="4"/>
  <c r="Y949" i="4"/>
  <c r="Y953" i="4"/>
  <c r="Y957" i="4"/>
  <c r="Y961" i="4"/>
  <c r="Y965" i="4"/>
  <c r="Y969" i="4"/>
  <c r="Y973" i="4"/>
  <c r="Y977" i="4"/>
  <c r="Y981" i="4"/>
  <c r="Y985" i="4"/>
  <c r="Y157" i="4"/>
  <c r="Y259" i="4"/>
  <c r="Y902" i="4"/>
  <c r="Y918" i="4"/>
  <c r="Y934" i="4"/>
  <c r="Y950" i="4"/>
  <c r="Y982" i="4"/>
  <c r="Y165" i="4"/>
  <c r="Y263" i="4"/>
  <c r="Y906" i="4"/>
  <c r="Y922" i="4"/>
  <c r="Y938" i="4"/>
  <c r="Y954" i="4"/>
  <c r="Y970" i="4"/>
  <c r="Y251" i="4"/>
  <c r="Y267" i="4"/>
  <c r="Y910" i="4"/>
  <c r="Y926" i="4"/>
  <c r="Y942" i="4"/>
  <c r="Y958" i="4"/>
  <c r="Y974" i="4"/>
  <c r="Y946" i="4"/>
  <c r="Y962" i="4"/>
  <c r="Y914" i="4"/>
  <c r="Y978" i="4"/>
  <c r="Y255" i="4"/>
  <c r="Y930" i="4"/>
  <c r="N22" i="6"/>
  <c r="O21" i="6"/>
  <c r="AA189" i="4" s="1"/>
  <c r="K22" i="6"/>
  <c r="J23" i="6"/>
  <c r="B47" i="4"/>
  <c r="V47" i="4" s="1"/>
  <c r="C21" i="6"/>
  <c r="B22" i="6"/>
  <c r="F23" i="6"/>
  <c r="G22" i="6"/>
  <c r="J429" i="4"/>
  <c r="Z429" i="4" s="1"/>
  <c r="L120" i="4"/>
  <c r="O119" i="4"/>
  <c r="J130" i="4"/>
  <c r="Z130" i="4" s="1"/>
  <c r="C49" i="4" l="1"/>
  <c r="R48" i="4"/>
  <c r="Y337" i="4"/>
  <c r="Y719" i="4"/>
  <c r="Y723" i="4"/>
  <c r="Y727" i="4"/>
  <c r="Y731" i="4"/>
  <c r="Y987" i="4"/>
  <c r="Y991" i="4"/>
  <c r="Y995" i="4"/>
  <c r="Y999" i="4"/>
  <c r="Y1003" i="4"/>
  <c r="Y1007" i="4"/>
  <c r="Y1011" i="4"/>
  <c r="Y1015" i="4"/>
  <c r="Y1019" i="4"/>
  <c r="Y716" i="4"/>
  <c r="Y720" i="4"/>
  <c r="Y724" i="4"/>
  <c r="Y728" i="4"/>
  <c r="Y732" i="4"/>
  <c r="Y988" i="4"/>
  <c r="Y992" i="4"/>
  <c r="Y996" i="4"/>
  <c r="Y1000" i="4"/>
  <c r="Y1004" i="4"/>
  <c r="Y1008" i="4"/>
  <c r="Y1012" i="4"/>
  <c r="Y1016" i="4"/>
  <c r="Y717" i="4"/>
  <c r="Y721" i="4"/>
  <c r="Y725" i="4"/>
  <c r="Y729" i="4"/>
  <c r="Y989" i="4"/>
  <c r="Y993" i="4"/>
  <c r="Y997" i="4"/>
  <c r="Y1001" i="4"/>
  <c r="Y1005" i="4"/>
  <c r="Y1009" i="4"/>
  <c r="Y1013" i="4"/>
  <c r="Y1017" i="4"/>
  <c r="Y730" i="4"/>
  <c r="Y998" i="4"/>
  <c r="Y1014" i="4"/>
  <c r="Y718" i="4"/>
  <c r="Y986" i="4"/>
  <c r="Y1002" i="4"/>
  <c r="Y1018" i="4"/>
  <c r="Y722" i="4"/>
  <c r="Y990" i="4"/>
  <c r="Y1006" i="4"/>
  <c r="Y1010" i="4"/>
  <c r="Y726" i="4"/>
  <c r="Y994" i="4"/>
  <c r="Z716" i="4"/>
  <c r="Z1898" i="4"/>
  <c r="K23" i="6"/>
  <c r="J24" i="6"/>
  <c r="O22" i="6"/>
  <c r="N23" i="6"/>
  <c r="B48" i="4"/>
  <c r="V48" i="4" s="1"/>
  <c r="G23" i="6"/>
  <c r="F24" i="6"/>
  <c r="C22" i="6"/>
  <c r="X415" i="4" s="1"/>
  <c r="B23" i="6"/>
  <c r="J430" i="4"/>
  <c r="Z430" i="4" s="1"/>
  <c r="L121" i="4"/>
  <c r="O120" i="4"/>
  <c r="J131" i="4"/>
  <c r="Z131" i="4" s="1"/>
  <c r="Z1827" i="4" l="1"/>
  <c r="Z1828" i="4"/>
  <c r="C50" i="4"/>
  <c r="R49" i="4"/>
  <c r="Y341" i="4"/>
  <c r="Y345" i="4"/>
  <c r="Y349" i="4"/>
  <c r="Y353" i="4"/>
  <c r="Y851" i="4"/>
  <c r="Y855" i="4"/>
  <c r="Y859" i="4"/>
  <c r="Y863" i="4"/>
  <c r="Y867" i="4"/>
  <c r="Y871" i="4"/>
  <c r="Y875" i="4"/>
  <c r="Y879" i="4"/>
  <c r="Y883" i="4"/>
  <c r="Y887" i="4"/>
  <c r="Y891" i="4"/>
  <c r="Y895" i="4"/>
  <c r="Y899" i="4"/>
  <c r="Y1023" i="4"/>
  <c r="Y1027" i="4"/>
  <c r="Y1031" i="4"/>
  <c r="Y1035" i="4"/>
  <c r="Y338" i="4"/>
  <c r="Y342" i="4"/>
  <c r="Y346" i="4"/>
  <c r="Y350" i="4"/>
  <c r="Y354" i="4"/>
  <c r="Y852" i="4"/>
  <c r="Y856" i="4"/>
  <c r="Y860" i="4"/>
  <c r="Y864" i="4"/>
  <c r="Y868" i="4"/>
  <c r="Y872" i="4"/>
  <c r="Y876" i="4"/>
  <c r="Y880" i="4"/>
  <c r="Y884" i="4"/>
  <c r="Y888" i="4"/>
  <c r="Y892" i="4"/>
  <c r="Y896" i="4"/>
  <c r="Y900" i="4"/>
  <c r="Y1020" i="4"/>
  <c r="Y1024" i="4"/>
  <c r="Y1028" i="4"/>
  <c r="Y1032" i="4"/>
  <c r="Y1036" i="4"/>
  <c r="Y339" i="4"/>
  <c r="Y343" i="4"/>
  <c r="Y347" i="4"/>
  <c r="Y351" i="4"/>
  <c r="Y693" i="4"/>
  <c r="Y853" i="4"/>
  <c r="Y857" i="4"/>
  <c r="Y861" i="4"/>
  <c r="Y865" i="4"/>
  <c r="Y869" i="4"/>
  <c r="Y873" i="4"/>
  <c r="Y877" i="4"/>
  <c r="Y881" i="4"/>
  <c r="Y885" i="4"/>
  <c r="Y889" i="4"/>
  <c r="Y893" i="4"/>
  <c r="Y897" i="4"/>
  <c r="Y1021" i="4"/>
  <c r="Y1025" i="4"/>
  <c r="Y1029" i="4"/>
  <c r="Y1033" i="4"/>
  <c r="Y348" i="4"/>
  <c r="Y854" i="4"/>
  <c r="Y870" i="4"/>
  <c r="Y886" i="4"/>
  <c r="Y1030" i="4"/>
  <c r="Y1863" i="4"/>
  <c r="Y1867" i="4"/>
  <c r="Y1871" i="4"/>
  <c r="Y1875" i="4"/>
  <c r="Y1879" i="4"/>
  <c r="Y1883" i="4"/>
  <c r="Y1887" i="4"/>
  <c r="Y1891" i="4"/>
  <c r="Y1895" i="4"/>
  <c r="Y1899" i="4"/>
  <c r="Y1903" i="4"/>
  <c r="Y1907" i="4"/>
  <c r="Y1911" i="4"/>
  <c r="Y1915" i="4"/>
  <c r="Y1919" i="4"/>
  <c r="Y1923" i="4"/>
  <c r="Y1927" i="4"/>
  <c r="Y1931" i="4"/>
  <c r="Y1935" i="4"/>
  <c r="Y1939" i="4"/>
  <c r="Y1943" i="4"/>
  <c r="Y1947" i="4"/>
  <c r="Y352" i="4"/>
  <c r="Y858" i="4"/>
  <c r="Y874" i="4"/>
  <c r="Y890" i="4"/>
  <c r="Y1034" i="4"/>
  <c r="Y1864" i="4"/>
  <c r="Y1868" i="4"/>
  <c r="Y1872" i="4"/>
  <c r="Y1876" i="4"/>
  <c r="Y1880" i="4"/>
  <c r="Y1884" i="4"/>
  <c r="Y1888" i="4"/>
  <c r="Y1892" i="4"/>
  <c r="Y1896" i="4"/>
  <c r="Y1900" i="4"/>
  <c r="Y1904" i="4"/>
  <c r="Y1908" i="4"/>
  <c r="Y1912" i="4"/>
  <c r="Y1916" i="4"/>
  <c r="Y1920" i="4"/>
  <c r="Y1924" i="4"/>
  <c r="Y1928" i="4"/>
  <c r="Y1932" i="4"/>
  <c r="Y1936" i="4"/>
  <c r="Y1940" i="4"/>
  <c r="Y1944" i="4"/>
  <c r="Y1948" i="4"/>
  <c r="Y340" i="4"/>
  <c r="Y862" i="4"/>
  <c r="Y878" i="4"/>
  <c r="Y894" i="4"/>
  <c r="Y1022" i="4"/>
  <c r="Y1865" i="4"/>
  <c r="Y1869" i="4"/>
  <c r="Y1873" i="4"/>
  <c r="Y1877" i="4"/>
  <c r="Y1881" i="4"/>
  <c r="Y1885" i="4"/>
  <c r="Y1889" i="4"/>
  <c r="Y1893" i="4"/>
  <c r="Y1897" i="4"/>
  <c r="Y1901" i="4"/>
  <c r="Y1905" i="4"/>
  <c r="Y1909" i="4"/>
  <c r="Y1913" i="4"/>
  <c r="Y1917" i="4"/>
  <c r="Y1921" i="4"/>
  <c r="Y1925" i="4"/>
  <c r="Y1929" i="4"/>
  <c r="Y1933" i="4"/>
  <c r="Y1937" i="4"/>
  <c r="Y1941" i="4"/>
  <c r="Y1945" i="4"/>
  <c r="Y882" i="4"/>
  <c r="Y1870" i="4"/>
  <c r="Y1886" i="4"/>
  <c r="Y1902" i="4"/>
  <c r="Y1918" i="4"/>
  <c r="Y1934" i="4"/>
  <c r="Y898" i="4"/>
  <c r="Y1026" i="4"/>
  <c r="Y1874" i="4"/>
  <c r="Y1890" i="4"/>
  <c r="Y1906" i="4"/>
  <c r="Y1922" i="4"/>
  <c r="Y1938" i="4"/>
  <c r="Y344" i="4"/>
  <c r="Y850" i="4"/>
  <c r="Y1878" i="4"/>
  <c r="Y1894" i="4"/>
  <c r="Y1910" i="4"/>
  <c r="Y1926" i="4"/>
  <c r="Y1942" i="4"/>
  <c r="Y866" i="4"/>
  <c r="Y1866" i="4"/>
  <c r="Y1882" i="4"/>
  <c r="Y1898" i="4"/>
  <c r="Y1914" i="4"/>
  <c r="Y1930" i="4"/>
  <c r="Y1946" i="4"/>
  <c r="Z1523" i="4"/>
  <c r="Z1527" i="4"/>
  <c r="Z1543" i="4"/>
  <c r="Z1547" i="4"/>
  <c r="Z1551" i="4"/>
  <c r="Z1555" i="4"/>
  <c r="Z1559" i="4"/>
  <c r="Z1563" i="4"/>
  <c r="Z1567" i="4"/>
  <c r="Z1571" i="4"/>
  <c r="Z1575" i="4"/>
  <c r="Z1611" i="4"/>
  <c r="Z1525" i="4"/>
  <c r="Z1529" i="4"/>
  <c r="Z1541" i="4"/>
  <c r="Z1545" i="4"/>
  <c r="Z1549" i="4"/>
  <c r="Z1553" i="4"/>
  <c r="Z1557" i="4"/>
  <c r="Z1561" i="4"/>
  <c r="Z1565" i="4"/>
  <c r="Z1569" i="4"/>
  <c r="Z1617" i="4"/>
  <c r="Z1528" i="4"/>
  <c r="Z1544" i="4"/>
  <c r="Z1552" i="4"/>
  <c r="Z1560" i="4"/>
  <c r="Z1568" i="4"/>
  <c r="Z1620" i="4"/>
  <c r="Z1625" i="4"/>
  <c r="Z1629" i="4"/>
  <c r="Z1633" i="4"/>
  <c r="Z1637" i="4"/>
  <c r="Z1641" i="4"/>
  <c r="Z1645" i="4"/>
  <c r="Z1649" i="4"/>
  <c r="Z1657" i="4"/>
  <c r="Z1661" i="4"/>
  <c r="Z1665" i="4"/>
  <c r="Z1669" i="4"/>
  <c r="Z1673" i="4"/>
  <c r="Z1677" i="4"/>
  <c r="Z1681" i="4"/>
  <c r="Z1685" i="4"/>
  <c r="Z1689" i="4"/>
  <c r="Z1693" i="4"/>
  <c r="Z1696" i="4"/>
  <c r="Z1700" i="4"/>
  <c r="Z1704" i="4"/>
  <c r="Z1708" i="4"/>
  <c r="Z1712" i="4"/>
  <c r="Z1716" i="4"/>
  <c r="Z1720" i="4"/>
  <c r="Z1530" i="4"/>
  <c r="Z1546" i="4"/>
  <c r="Z1554" i="4"/>
  <c r="Z1562" i="4"/>
  <c r="Z1570" i="4"/>
  <c r="Z1610" i="4"/>
  <c r="Z1616" i="4"/>
  <c r="Z1622" i="4"/>
  <c r="Z1626" i="4"/>
  <c r="Z1630" i="4"/>
  <c r="Z1634" i="4"/>
  <c r="Z1642" i="4"/>
  <c r="Z1646" i="4"/>
  <c r="Z1650" i="4"/>
  <c r="Z1654" i="4"/>
  <c r="Z1658" i="4"/>
  <c r="Z1662" i="4"/>
  <c r="Z1666" i="4"/>
  <c r="Z1674" i="4"/>
  <c r="Z1678" i="4"/>
  <c r="Z1682" i="4"/>
  <c r="Z1686" i="4"/>
  <c r="Z1690" i="4"/>
  <c r="Z1694" i="4"/>
  <c r="Z1697" i="4"/>
  <c r="Z1701" i="4"/>
  <c r="Z1705" i="4"/>
  <c r="Z1709" i="4"/>
  <c r="Z1713" i="4"/>
  <c r="Z1717" i="4"/>
  <c r="Z1721" i="4"/>
  <c r="Z1524" i="4"/>
  <c r="Z1540" i="4"/>
  <c r="Z1548" i="4"/>
  <c r="Z1564" i="4"/>
  <c r="Z1572" i="4"/>
  <c r="Z1618" i="4"/>
  <c r="Z1623" i="4"/>
  <c r="Z1627" i="4"/>
  <c r="Z1631" i="4"/>
  <c r="Z1635" i="4"/>
  <c r="Z1639" i="4"/>
  <c r="Z1643" i="4"/>
  <c r="Z1647" i="4"/>
  <c r="Z1651" i="4"/>
  <c r="Z1655" i="4"/>
  <c r="Z1659" i="4"/>
  <c r="Z1663" i="4"/>
  <c r="Z1667" i="4"/>
  <c r="Z1671" i="4"/>
  <c r="Z1679" i="4"/>
  <c r="Z1683" i="4"/>
  <c r="Z1687" i="4"/>
  <c r="Z1695" i="4"/>
  <c r="Z1698" i="4"/>
  <c r="Z1702" i="4"/>
  <c r="Z1706" i="4"/>
  <c r="Z1710" i="4"/>
  <c r="Z1714" i="4"/>
  <c r="Z1718" i="4"/>
  <c r="Z1722" i="4"/>
  <c r="Z1566" i="4"/>
  <c r="Z1624" i="4"/>
  <c r="Z1640" i="4"/>
  <c r="Z1656" i="4"/>
  <c r="Z1672" i="4"/>
  <c r="Z1688" i="4"/>
  <c r="Z1703" i="4"/>
  <c r="Z1719" i="4"/>
  <c r="Z1542" i="4"/>
  <c r="Z1574" i="4"/>
  <c r="Z1628" i="4"/>
  <c r="Z1660" i="4"/>
  <c r="Z1676" i="4"/>
  <c r="Z1692" i="4"/>
  <c r="Z1723" i="4"/>
  <c r="Z1550" i="4"/>
  <c r="Z1632" i="4"/>
  <c r="Z1664" i="4"/>
  <c r="Z1680" i="4"/>
  <c r="Z1711" i="4"/>
  <c r="Z1636" i="4"/>
  <c r="Z1699" i="4"/>
  <c r="Z1558" i="4"/>
  <c r="Z1652" i="4"/>
  <c r="Z1715" i="4"/>
  <c r="Z1668" i="4"/>
  <c r="Z1684" i="4"/>
  <c r="Z1619" i="4"/>
  <c r="AA190" i="4"/>
  <c r="AA191" i="4"/>
  <c r="N24" i="6"/>
  <c r="O23" i="6"/>
  <c r="AA207" i="4" s="1"/>
  <c r="K24" i="6"/>
  <c r="J25" i="6"/>
  <c r="K25" i="6" s="1"/>
  <c r="Z1612" i="4" s="1"/>
  <c r="B49" i="4"/>
  <c r="V49" i="4" s="1"/>
  <c r="B24" i="6"/>
  <c r="C23" i="6"/>
  <c r="F25" i="6"/>
  <c r="G24" i="6"/>
  <c r="L417" i="4"/>
  <c r="J431" i="4"/>
  <c r="Z431" i="4" s="1"/>
  <c r="L122" i="4"/>
  <c r="O121" i="4"/>
  <c r="C51" i="4" l="1"/>
  <c r="R50" i="4"/>
  <c r="Z1531" i="4"/>
  <c r="Z1535" i="4"/>
  <c r="Z1539" i="4"/>
  <c r="Z1533" i="4"/>
  <c r="Z1537" i="4"/>
  <c r="Z1573" i="4"/>
  <c r="Z1621" i="4"/>
  <c r="Z1536" i="4"/>
  <c r="Z1615" i="4"/>
  <c r="Z1653" i="4"/>
  <c r="Z1538" i="4"/>
  <c r="Z1638" i="4"/>
  <c r="Z1670" i="4"/>
  <c r="Z1532" i="4"/>
  <c r="Z1556" i="4"/>
  <c r="Z1675" i="4"/>
  <c r="Z1691" i="4"/>
  <c r="Z1534" i="4"/>
  <c r="Z1644" i="4"/>
  <c r="Z1707" i="4"/>
  <c r="Z1648" i="4"/>
  <c r="Z1526" i="4"/>
  <c r="X417" i="4"/>
  <c r="X421" i="4"/>
  <c r="X425" i="4"/>
  <c r="X429" i="4"/>
  <c r="X418" i="4"/>
  <c r="X422" i="4"/>
  <c r="X426" i="4"/>
  <c r="X430" i="4"/>
  <c r="X419" i="4"/>
  <c r="X423" i="4"/>
  <c r="X427" i="4"/>
  <c r="X431" i="4"/>
  <c r="X420" i="4"/>
  <c r="X424" i="4"/>
  <c r="X428" i="4"/>
  <c r="X416" i="4"/>
  <c r="X432" i="4"/>
  <c r="Y641" i="4"/>
  <c r="Y1676" i="4"/>
  <c r="Y1680" i="4"/>
  <c r="Y1684" i="4"/>
  <c r="Y1688" i="4"/>
  <c r="Y1692" i="4"/>
  <c r="Y1699" i="4"/>
  <c r="Y1703" i="4"/>
  <c r="Y1707" i="4"/>
  <c r="Y1711" i="4"/>
  <c r="Y1715" i="4"/>
  <c r="Y1719" i="4"/>
  <c r="Y1723" i="4"/>
  <c r="Y1677" i="4"/>
  <c r="Y1681" i="4"/>
  <c r="Y1685" i="4"/>
  <c r="Y1689" i="4"/>
  <c r="Y1693" i="4"/>
  <c r="Y1696" i="4"/>
  <c r="Y1700" i="4"/>
  <c r="Y1704" i="4"/>
  <c r="Y1708" i="4"/>
  <c r="Y1712" i="4"/>
  <c r="Y1716" i="4"/>
  <c r="Y1720" i="4"/>
  <c r="Y1674" i="4"/>
  <c r="Y1678" i="4"/>
  <c r="Y1682" i="4"/>
  <c r="Y1686" i="4"/>
  <c r="Y1690" i="4"/>
  <c r="Y1694" i="4"/>
  <c r="Y1697" i="4"/>
  <c r="Y1701" i="4"/>
  <c r="Y1705" i="4"/>
  <c r="Y1709" i="4"/>
  <c r="Y1713" i="4"/>
  <c r="Y1717" i="4"/>
  <c r="Y1721" i="4"/>
  <c r="Y1679" i="4"/>
  <c r="Y1695" i="4"/>
  <c r="Y1710" i="4"/>
  <c r="Y1683" i="4"/>
  <c r="Y1698" i="4"/>
  <c r="Y1714" i="4"/>
  <c r="Y1687" i="4"/>
  <c r="Y1702" i="4"/>
  <c r="Y1718" i="4"/>
  <c r="Y1675" i="4"/>
  <c r="Y1691" i="4"/>
  <c r="Y1706" i="4"/>
  <c r="Y1722" i="4"/>
  <c r="O24" i="6"/>
  <c r="N25" i="6"/>
  <c r="B50" i="4"/>
  <c r="V50" i="4" s="1"/>
  <c r="G25" i="6"/>
  <c r="F26" i="6"/>
  <c r="C24" i="6"/>
  <c r="X538" i="4" s="1"/>
  <c r="B25" i="6"/>
  <c r="L418" i="4"/>
  <c r="O417" i="4"/>
  <c r="J432" i="4"/>
  <c r="Z432" i="4" s="1"/>
  <c r="L123" i="4"/>
  <c r="O122" i="4"/>
  <c r="C52" i="4" l="1"/>
  <c r="R51" i="4"/>
  <c r="Y375" i="4"/>
  <c r="Y1456" i="4"/>
  <c r="Y1460" i="4"/>
  <c r="Y1464" i="4"/>
  <c r="Y1468" i="4"/>
  <c r="Y1472" i="4"/>
  <c r="Y1476" i="4"/>
  <c r="Y1480" i="4"/>
  <c r="Y1484" i="4"/>
  <c r="Y1488" i="4"/>
  <c r="Y1492" i="4"/>
  <c r="Y1496" i="4"/>
  <c r="Y1500" i="4"/>
  <c r="Y1504" i="4"/>
  <c r="Y1508" i="4"/>
  <c r="Y1512" i="4"/>
  <c r="Y1516" i="4"/>
  <c r="Y1520" i="4"/>
  <c r="Y1457" i="4"/>
  <c r="Y1461" i="4"/>
  <c r="Y1465" i="4"/>
  <c r="Y1469" i="4"/>
  <c r="Y1473" i="4"/>
  <c r="Y1477" i="4"/>
  <c r="Y1481" i="4"/>
  <c r="Y1485" i="4"/>
  <c r="Y1489" i="4"/>
  <c r="Y1493" i="4"/>
  <c r="Y1497" i="4"/>
  <c r="Y1501" i="4"/>
  <c r="Y1505" i="4"/>
  <c r="Y1509" i="4"/>
  <c r="Y1513" i="4"/>
  <c r="Y1517" i="4"/>
  <c r="Y1521" i="4"/>
  <c r="Y1454" i="4"/>
  <c r="Y1458" i="4"/>
  <c r="Y1462" i="4"/>
  <c r="Y1466" i="4"/>
  <c r="Y1470" i="4"/>
  <c r="Y1474" i="4"/>
  <c r="Y1478" i="4"/>
  <c r="Y1482" i="4"/>
  <c r="Y1486" i="4"/>
  <c r="Y1490" i="4"/>
  <c r="Y1494" i="4"/>
  <c r="Y1498" i="4"/>
  <c r="Y1502" i="4"/>
  <c r="Y1506" i="4"/>
  <c r="Y1510" i="4"/>
  <c r="Y1514" i="4"/>
  <c r="Y1518" i="4"/>
  <c r="Y1522" i="4"/>
  <c r="Y1455" i="4"/>
  <c r="Y1471" i="4"/>
  <c r="Y1487" i="4"/>
  <c r="Y1503" i="4"/>
  <c r="Y1519" i="4"/>
  <c r="Y1459" i="4"/>
  <c r="Y1475" i="4"/>
  <c r="Y1491" i="4"/>
  <c r="Y1507" i="4"/>
  <c r="Y1463" i="4"/>
  <c r="Y1479" i="4"/>
  <c r="Y1495" i="4"/>
  <c r="Y1511" i="4"/>
  <c r="Y1467" i="4"/>
  <c r="Y1483" i="4"/>
  <c r="Y1499" i="4"/>
  <c r="Y1515" i="4"/>
  <c r="N26" i="6"/>
  <c r="O25" i="6"/>
  <c r="B51" i="4"/>
  <c r="V51" i="4" s="1"/>
  <c r="C25" i="6"/>
  <c r="B26" i="6"/>
  <c r="F27" i="6"/>
  <c r="G26" i="6"/>
  <c r="L419" i="4"/>
  <c r="O418" i="4"/>
  <c r="L124" i="4"/>
  <c r="O123" i="4"/>
  <c r="C53" i="4" l="1"/>
  <c r="R52" i="4"/>
  <c r="X645" i="4"/>
  <c r="X649" i="4"/>
  <c r="X653" i="4"/>
  <c r="X657" i="4"/>
  <c r="X701" i="4"/>
  <c r="X705" i="4"/>
  <c r="X709" i="4"/>
  <c r="X713" i="4"/>
  <c r="X642" i="4"/>
  <c r="X646" i="4"/>
  <c r="X650" i="4"/>
  <c r="X654" i="4"/>
  <c r="X658" i="4"/>
  <c r="X698" i="4"/>
  <c r="X702" i="4"/>
  <c r="X706" i="4"/>
  <c r="X710" i="4"/>
  <c r="X714" i="4"/>
  <c r="X643" i="4"/>
  <c r="X647" i="4"/>
  <c r="X651" i="4"/>
  <c r="X655" i="4"/>
  <c r="X699" i="4"/>
  <c r="X703" i="4"/>
  <c r="X707" i="4"/>
  <c r="X711" i="4"/>
  <c r="X644" i="4"/>
  <c r="X708" i="4"/>
  <c r="X648" i="4"/>
  <c r="X712" i="4"/>
  <c r="X652" i="4"/>
  <c r="X700" i="4"/>
  <c r="X656" i="4"/>
  <c r="X704" i="4"/>
  <c r="Y1055" i="4"/>
  <c r="Y1059" i="4"/>
  <c r="Y1063" i="4"/>
  <c r="Y1067" i="4"/>
  <c r="Y1071" i="4"/>
  <c r="Y1075" i="4"/>
  <c r="Y1079" i="4"/>
  <c r="Y1083" i="4"/>
  <c r="Y1087" i="4"/>
  <c r="Y1091" i="4"/>
  <c r="Y1095" i="4"/>
  <c r="Y1099" i="4"/>
  <c r="Y1103" i="4"/>
  <c r="Y1123" i="4"/>
  <c r="Y1127" i="4"/>
  <c r="Y1131" i="4"/>
  <c r="Y1135" i="4"/>
  <c r="Y1056" i="4"/>
  <c r="Y1060" i="4"/>
  <c r="Y1064" i="4"/>
  <c r="Y1068" i="4"/>
  <c r="Y1072" i="4"/>
  <c r="Y1076" i="4"/>
  <c r="Y1080" i="4"/>
  <c r="Y1084" i="4"/>
  <c r="Y1088" i="4"/>
  <c r="Y1092" i="4"/>
  <c r="Y1057" i="4"/>
  <c r="Y1061" i="4"/>
  <c r="Y1065" i="4"/>
  <c r="Y1069" i="4"/>
  <c r="Y1073" i="4"/>
  <c r="Y1077" i="4"/>
  <c r="Y1081" i="4"/>
  <c r="Y1085" i="4"/>
  <c r="Y1089" i="4"/>
  <c r="Y1093" i="4"/>
  <c r="Y1097" i="4"/>
  <c r="Y1101" i="4"/>
  <c r="Y1125" i="4"/>
  <c r="Y1129" i="4"/>
  <c r="Y1133" i="4"/>
  <c r="Y1137" i="4"/>
  <c r="Y1261" i="4"/>
  <c r="Y1265" i="4"/>
  <c r="Y1269" i="4"/>
  <c r="Y1273" i="4"/>
  <c r="Y1277" i="4"/>
  <c r="Y1062" i="4"/>
  <c r="Y1078" i="4"/>
  <c r="Y1094" i="4"/>
  <c r="Y1102" i="4"/>
  <c r="Y1126" i="4"/>
  <c r="Y1134" i="4"/>
  <c r="Y1263" i="4"/>
  <c r="Y1268" i="4"/>
  <c r="Y1274" i="4"/>
  <c r="Y1278" i="4"/>
  <c r="Y1066" i="4"/>
  <c r="Y1082" i="4"/>
  <c r="Y1096" i="4"/>
  <c r="Y1104" i="4"/>
  <c r="Y1128" i="4"/>
  <c r="Y1136" i="4"/>
  <c r="Y1264" i="4"/>
  <c r="Y1270" i="4"/>
  <c r="Y1275" i="4"/>
  <c r="Y1279" i="4"/>
  <c r="Y1054" i="4"/>
  <c r="Y1070" i="4"/>
  <c r="Y1086" i="4"/>
  <c r="Y1098" i="4"/>
  <c r="Y1122" i="4"/>
  <c r="Y1130" i="4"/>
  <c r="Y1138" i="4"/>
  <c r="Y1266" i="4"/>
  <c r="Y1271" i="4"/>
  <c r="Y1276" i="4"/>
  <c r="Y1090" i="4"/>
  <c r="Y1124" i="4"/>
  <c r="Y1100" i="4"/>
  <c r="Y1132" i="4"/>
  <c r="Y1262" i="4"/>
  <c r="Y1058" i="4"/>
  <c r="Y1267" i="4"/>
  <c r="Y1074" i="4"/>
  <c r="Y1272" i="4"/>
  <c r="O26" i="6"/>
  <c r="N27" i="6"/>
  <c r="B52" i="4"/>
  <c r="V52" i="4" s="1"/>
  <c r="B27" i="6"/>
  <c r="C26" i="6"/>
  <c r="G27" i="6"/>
  <c r="F28" i="6"/>
  <c r="L420" i="4"/>
  <c r="O419" i="4"/>
  <c r="L125" i="4"/>
  <c r="O124" i="4"/>
  <c r="K156" i="4"/>
  <c r="C54" i="4" l="1"/>
  <c r="R53" i="4"/>
  <c r="Y1280" i="4"/>
  <c r="Y1284" i="4"/>
  <c r="Y1283" i="4"/>
  <c r="Y1288" i="4"/>
  <c r="Y1292" i="4"/>
  <c r="Y1296" i="4"/>
  <c r="Y1300" i="4"/>
  <c r="Y1304" i="4"/>
  <c r="Y1308" i="4"/>
  <c r="Y1312" i="4"/>
  <c r="Y1316" i="4"/>
  <c r="Y1320" i="4"/>
  <c r="Y1324" i="4"/>
  <c r="Y1328" i="4"/>
  <c r="Y1612" i="4"/>
  <c r="Y1285" i="4"/>
  <c r="Y1289" i="4"/>
  <c r="Y1293" i="4"/>
  <c r="Y1297" i="4"/>
  <c r="Y1301" i="4"/>
  <c r="Y1305" i="4"/>
  <c r="Y1309" i="4"/>
  <c r="Y1313" i="4"/>
  <c r="Y1317" i="4"/>
  <c r="Y1321" i="4"/>
  <c r="Y1325" i="4"/>
  <c r="Y1329" i="4"/>
  <c r="Y1613" i="4"/>
  <c r="Y1281" i="4"/>
  <c r="Y1286" i="4"/>
  <c r="Y1290" i="4"/>
  <c r="Y1294" i="4"/>
  <c r="Y1298" i="4"/>
  <c r="Y1302" i="4"/>
  <c r="Y1306" i="4"/>
  <c r="Y1310" i="4"/>
  <c r="Y1314" i="4"/>
  <c r="Y1318" i="4"/>
  <c r="Y1322" i="4"/>
  <c r="Y1326" i="4"/>
  <c r="Y1330" i="4"/>
  <c r="Y1610" i="4"/>
  <c r="Y1614" i="4"/>
  <c r="Y1295" i="4"/>
  <c r="Y1311" i="4"/>
  <c r="Y1327" i="4"/>
  <c r="Y1282" i="4"/>
  <c r="Y1299" i="4"/>
  <c r="Y1315" i="4"/>
  <c r="Y1331" i="4"/>
  <c r="Y1287" i="4"/>
  <c r="Y1303" i="4"/>
  <c r="Y1319" i="4"/>
  <c r="Y1291" i="4"/>
  <c r="Y1307" i="4"/>
  <c r="Y1323" i="4"/>
  <c r="Y1611" i="4"/>
  <c r="X661" i="4"/>
  <c r="X665" i="4"/>
  <c r="X669" i="4"/>
  <c r="X673" i="4"/>
  <c r="X662" i="4"/>
  <c r="X666" i="4"/>
  <c r="X670" i="4"/>
  <c r="X674" i="4"/>
  <c r="X659" i="4"/>
  <c r="X663" i="4"/>
  <c r="X667" i="4"/>
  <c r="X671" i="4"/>
  <c r="X675" i="4"/>
  <c r="X660" i="4"/>
  <c r="X664" i="4"/>
  <c r="X668" i="4"/>
  <c r="X672" i="4"/>
  <c r="N28" i="6"/>
  <c r="O27" i="6"/>
  <c r="B53" i="4"/>
  <c r="V53" i="4" s="1"/>
  <c r="F29" i="6"/>
  <c r="G28" i="6"/>
  <c r="B28" i="6"/>
  <c r="C27" i="6"/>
  <c r="L421" i="4"/>
  <c r="O420" i="4"/>
  <c r="J435" i="4"/>
  <c r="Z435" i="4" s="1"/>
  <c r="L126" i="4"/>
  <c r="O125" i="4"/>
  <c r="K157" i="4"/>
  <c r="C55" i="4" l="1"/>
  <c r="R54" i="4"/>
  <c r="X677" i="4"/>
  <c r="X681" i="4"/>
  <c r="X685" i="4"/>
  <c r="X689" i="4"/>
  <c r="X678" i="4"/>
  <c r="X682" i="4"/>
  <c r="X686" i="4"/>
  <c r="X690" i="4"/>
  <c r="X679" i="4"/>
  <c r="X683" i="4"/>
  <c r="X687" i="4"/>
  <c r="X691" i="4"/>
  <c r="X676" i="4"/>
  <c r="X692" i="4"/>
  <c r="X680" i="4"/>
  <c r="X684" i="4"/>
  <c r="X688" i="4"/>
  <c r="Y1037" i="4"/>
  <c r="Y1332" i="4"/>
  <c r="Y1336" i="4"/>
  <c r="Y1340" i="4"/>
  <c r="Y1344" i="4"/>
  <c r="Y1348" i="4"/>
  <c r="Y1352" i="4"/>
  <c r="Y1356" i="4"/>
  <c r="Y1360" i="4"/>
  <c r="Y1364" i="4"/>
  <c r="Y1368" i="4"/>
  <c r="Y1372" i="4"/>
  <c r="Y1376" i="4"/>
  <c r="Y1380" i="4"/>
  <c r="Y1576" i="4"/>
  <c r="Y1580" i="4"/>
  <c r="Y1584" i="4"/>
  <c r="Y1588" i="4"/>
  <c r="Y1592" i="4"/>
  <c r="Y1596" i="4"/>
  <c r="Y1600" i="4"/>
  <c r="Y1604" i="4"/>
  <c r="Y1608" i="4"/>
  <c r="Y1831" i="4"/>
  <c r="Y1835" i="4"/>
  <c r="Y1839" i="4"/>
  <c r="Y1843" i="4"/>
  <c r="Y1847" i="4"/>
  <c r="Y1851" i="4"/>
  <c r="Y1855" i="4"/>
  <c r="Y1859" i="4"/>
  <c r="Y1333" i="4"/>
  <c r="Y1337" i="4"/>
  <c r="Y1341" i="4"/>
  <c r="Y1345" i="4"/>
  <c r="Y1349" i="4"/>
  <c r="Y1353" i="4"/>
  <c r="Y1357" i="4"/>
  <c r="Y1361" i="4"/>
  <c r="Y1365" i="4"/>
  <c r="Y1369" i="4"/>
  <c r="Y1373" i="4"/>
  <c r="Y1377" i="4"/>
  <c r="Y1381" i="4"/>
  <c r="Y1577" i="4"/>
  <c r="Y1581" i="4"/>
  <c r="Y1585" i="4"/>
  <c r="Y1589" i="4"/>
  <c r="Y1593" i="4"/>
  <c r="Y1597" i="4"/>
  <c r="Y1601" i="4"/>
  <c r="Y1605" i="4"/>
  <c r="Y1609" i="4"/>
  <c r="Y1832" i="4"/>
  <c r="Y1836" i="4"/>
  <c r="Y1840" i="4"/>
  <c r="Y1844" i="4"/>
  <c r="Y1848" i="4"/>
  <c r="Y1852" i="4"/>
  <c r="Y1856" i="4"/>
  <c r="Y1860" i="4"/>
  <c r="Y1334" i="4"/>
  <c r="Y1338" i="4"/>
  <c r="Y1342" i="4"/>
  <c r="Y1346" i="4"/>
  <c r="Y1350" i="4"/>
  <c r="Y1354" i="4"/>
  <c r="Y1358" i="4"/>
  <c r="Y1362" i="4"/>
  <c r="Y1366" i="4"/>
  <c r="Y1370" i="4"/>
  <c r="Y1374" i="4"/>
  <c r="Y1378" i="4"/>
  <c r="Y1382" i="4"/>
  <c r="Y1578" i="4"/>
  <c r="Y1582" i="4"/>
  <c r="Y1586" i="4"/>
  <c r="Y1590" i="4"/>
  <c r="Y1594" i="4"/>
  <c r="Y1598" i="4"/>
  <c r="Y1602" i="4"/>
  <c r="Y1606" i="4"/>
  <c r="Y1829" i="4"/>
  <c r="Y1833" i="4"/>
  <c r="Y1837" i="4"/>
  <c r="Y1841" i="4"/>
  <c r="Y1845" i="4"/>
  <c r="Y1849" i="4"/>
  <c r="Y1853" i="4"/>
  <c r="Y1857" i="4"/>
  <c r="Y1861" i="4"/>
  <c r="Y1343" i="4"/>
  <c r="Y1359" i="4"/>
  <c r="Y1375" i="4"/>
  <c r="Y1583" i="4"/>
  <c r="Y1599" i="4"/>
  <c r="Y1838" i="4"/>
  <c r="Y1854" i="4"/>
  <c r="Y1347" i="4"/>
  <c r="Y1363" i="4"/>
  <c r="Y1379" i="4"/>
  <c r="Y1587" i="4"/>
  <c r="Y1603" i="4"/>
  <c r="Y1842" i="4"/>
  <c r="Y1858" i="4"/>
  <c r="Y1335" i="4"/>
  <c r="Y1351" i="4"/>
  <c r="Y1367" i="4"/>
  <c r="Y1591" i="4"/>
  <c r="Y1607" i="4"/>
  <c r="Y1830" i="4"/>
  <c r="Y1846" i="4"/>
  <c r="Y1862" i="4"/>
  <c r="Y1339" i="4"/>
  <c r="Y1355" i="4"/>
  <c r="Y1371" i="4"/>
  <c r="Y1579" i="4"/>
  <c r="Y1595" i="4"/>
  <c r="Y1834" i="4"/>
  <c r="Y1850" i="4"/>
  <c r="Y1038" i="4"/>
  <c r="Y1039" i="4"/>
  <c r="Y1040" i="4"/>
  <c r="Y1041" i="4"/>
  <c r="Y1042" i="4"/>
  <c r="Y1043" i="4"/>
  <c r="Y1044" i="4"/>
  <c r="Y1045" i="4"/>
  <c r="Y1046" i="4"/>
  <c r="Y1047" i="4"/>
  <c r="Y1048" i="4"/>
  <c r="Y1049" i="4"/>
  <c r="Y1050" i="4"/>
  <c r="Y1051" i="4"/>
  <c r="Y1052" i="4"/>
  <c r="Y1053" i="4"/>
  <c r="O28" i="6"/>
  <c r="N29" i="6"/>
  <c r="B54" i="4"/>
  <c r="V54" i="4" s="1"/>
  <c r="B29" i="6"/>
  <c r="C28" i="6"/>
  <c r="G29" i="6"/>
  <c r="F30" i="6"/>
  <c r="L422" i="4"/>
  <c r="O421" i="4"/>
  <c r="J436" i="4"/>
  <c r="Z436" i="4" s="1"/>
  <c r="L127" i="4"/>
  <c r="O126" i="4"/>
  <c r="K158" i="4"/>
  <c r="C56" i="4" l="1"/>
  <c r="R55" i="4"/>
  <c r="X693" i="4"/>
  <c r="X1866" i="4"/>
  <c r="X1870" i="4"/>
  <c r="X1874" i="4"/>
  <c r="X1878" i="4"/>
  <c r="X1882" i="4"/>
  <c r="X1886" i="4"/>
  <c r="X1890" i="4"/>
  <c r="X1894" i="4"/>
  <c r="X1898" i="4"/>
  <c r="X1902" i="4"/>
  <c r="X1906" i="4"/>
  <c r="X1910" i="4"/>
  <c r="X1914" i="4"/>
  <c r="X1918" i="4"/>
  <c r="X1922" i="4"/>
  <c r="X1926" i="4"/>
  <c r="X1930" i="4"/>
  <c r="X1934" i="4"/>
  <c r="X1938" i="4"/>
  <c r="X1942" i="4"/>
  <c r="X1946" i="4"/>
  <c r="X1863" i="4"/>
  <c r="X1867" i="4"/>
  <c r="X1871" i="4"/>
  <c r="X1875" i="4"/>
  <c r="X1879" i="4"/>
  <c r="X1883" i="4"/>
  <c r="X1887" i="4"/>
  <c r="X1891" i="4"/>
  <c r="X1895" i="4"/>
  <c r="X1899" i="4"/>
  <c r="X1903" i="4"/>
  <c r="X1907" i="4"/>
  <c r="X1911" i="4"/>
  <c r="X1915" i="4"/>
  <c r="X1919" i="4"/>
  <c r="X1923" i="4"/>
  <c r="X1927" i="4"/>
  <c r="X1931" i="4"/>
  <c r="X1935" i="4"/>
  <c r="X1939" i="4"/>
  <c r="X1943" i="4"/>
  <c r="X1947" i="4"/>
  <c r="X1864" i="4"/>
  <c r="X1868" i="4"/>
  <c r="X1872" i="4"/>
  <c r="X1876" i="4"/>
  <c r="X1880" i="4"/>
  <c r="X1884" i="4"/>
  <c r="X1888" i="4"/>
  <c r="X1892" i="4"/>
  <c r="X1896" i="4"/>
  <c r="X1900" i="4"/>
  <c r="X1904" i="4"/>
  <c r="X1908" i="4"/>
  <c r="X1912" i="4"/>
  <c r="X1916" i="4"/>
  <c r="X1920" i="4"/>
  <c r="X1924" i="4"/>
  <c r="X1928" i="4"/>
  <c r="X1932" i="4"/>
  <c r="X1936" i="4"/>
  <c r="X1940" i="4"/>
  <c r="X1944" i="4"/>
  <c r="X1948" i="4"/>
  <c r="X1865" i="4"/>
  <c r="X1869" i="4"/>
  <c r="X1873" i="4"/>
  <c r="X1877" i="4"/>
  <c r="X1881" i="4"/>
  <c r="X1885" i="4"/>
  <c r="X1889" i="4"/>
  <c r="X1893" i="4"/>
  <c r="X1897" i="4"/>
  <c r="X1901" i="4"/>
  <c r="X1905" i="4"/>
  <c r="X1909" i="4"/>
  <c r="X1913" i="4"/>
  <c r="X1917" i="4"/>
  <c r="X1921" i="4"/>
  <c r="X1925" i="4"/>
  <c r="X1929" i="4"/>
  <c r="X1933" i="4"/>
  <c r="X1937" i="4"/>
  <c r="X1941" i="4"/>
  <c r="X1945" i="4"/>
  <c r="O29" i="6"/>
  <c r="AA285" i="4" s="1"/>
  <c r="N30" i="6"/>
  <c r="B55" i="4"/>
  <c r="V55" i="4" s="1"/>
  <c r="G30" i="6"/>
  <c r="F31" i="6"/>
  <c r="C29" i="6"/>
  <c r="B30" i="6"/>
  <c r="L423" i="4"/>
  <c r="O422" i="4"/>
  <c r="J437" i="4"/>
  <c r="Z437" i="4" s="1"/>
  <c r="L128" i="4"/>
  <c r="O127" i="4"/>
  <c r="K159" i="4"/>
  <c r="C57" i="4" l="1"/>
  <c r="R56" i="4"/>
  <c r="Y1139" i="4"/>
  <c r="Y1143" i="4"/>
  <c r="Y1147" i="4"/>
  <c r="Y1151" i="4"/>
  <c r="Y1155" i="4"/>
  <c r="Y1159" i="4"/>
  <c r="Y1163" i="4"/>
  <c r="Y1167" i="4"/>
  <c r="Y1171" i="4"/>
  <c r="Y1175" i="4"/>
  <c r="Y1179" i="4"/>
  <c r="Y1183" i="4"/>
  <c r="Y1187" i="4"/>
  <c r="Y1191" i="4"/>
  <c r="Y1195" i="4"/>
  <c r="Y1199" i="4"/>
  <c r="Y1141" i="4"/>
  <c r="Y1145" i="4"/>
  <c r="Y1149" i="4"/>
  <c r="Y1153" i="4"/>
  <c r="Y1157" i="4"/>
  <c r="Y1161" i="4"/>
  <c r="Y1165" i="4"/>
  <c r="Y1169" i="4"/>
  <c r="Y1173" i="4"/>
  <c r="Y1177" i="4"/>
  <c r="Y1181" i="4"/>
  <c r="Y1185" i="4"/>
  <c r="Y1189" i="4"/>
  <c r="Y1193" i="4"/>
  <c r="Y1197" i="4"/>
  <c r="Y1201" i="4"/>
  <c r="Y1205" i="4"/>
  <c r="Y1209" i="4"/>
  <c r="Y1213" i="4"/>
  <c r="Y1217" i="4"/>
  <c r="Y1221" i="4"/>
  <c r="Y410" i="4"/>
  <c r="Y1142" i="4"/>
  <c r="Y1150" i="4"/>
  <c r="Y1158" i="4"/>
  <c r="Y1166" i="4"/>
  <c r="Y1174" i="4"/>
  <c r="Y1182" i="4"/>
  <c r="Y1190" i="4"/>
  <c r="Y1198" i="4"/>
  <c r="Y1204" i="4"/>
  <c r="Y1210" i="4"/>
  <c r="Y1215" i="4"/>
  <c r="Y1220" i="4"/>
  <c r="Y1144" i="4"/>
  <c r="Y1152" i="4"/>
  <c r="Y1160" i="4"/>
  <c r="Y1168" i="4"/>
  <c r="Y1176" i="4"/>
  <c r="Y1184" i="4"/>
  <c r="Y1192" i="4"/>
  <c r="Y1200" i="4"/>
  <c r="Y1206" i="4"/>
  <c r="Y1211" i="4"/>
  <c r="Y1216" i="4"/>
  <c r="Y1222" i="4"/>
  <c r="Y1146" i="4"/>
  <c r="Y1154" i="4"/>
  <c r="Y1162" i="4"/>
  <c r="Y1170" i="4"/>
  <c r="Y1178" i="4"/>
  <c r="Y1186" i="4"/>
  <c r="Y1194" i="4"/>
  <c r="Y1202" i="4"/>
  <c r="Y1207" i="4"/>
  <c r="Y1212" i="4"/>
  <c r="Y1218" i="4"/>
  <c r="Y1223" i="4"/>
  <c r="Y1156" i="4"/>
  <c r="Y1188" i="4"/>
  <c r="Y1214" i="4"/>
  <c r="Y1164" i="4"/>
  <c r="Y1196" i="4"/>
  <c r="Y1219" i="4"/>
  <c r="Y1140" i="4"/>
  <c r="Y1172" i="4"/>
  <c r="Y1203" i="4"/>
  <c r="Y1148" i="4"/>
  <c r="Y1180" i="4"/>
  <c r="Y1208" i="4"/>
  <c r="O30" i="6"/>
  <c r="AA286" i="4" s="1"/>
  <c r="N31" i="6"/>
  <c r="B56" i="4"/>
  <c r="V56" i="4" s="1"/>
  <c r="G31" i="6"/>
  <c r="F32" i="6"/>
  <c r="B31" i="6"/>
  <c r="C30" i="6"/>
  <c r="L424" i="4"/>
  <c r="O423" i="4"/>
  <c r="J438" i="4"/>
  <c r="Z438" i="4" s="1"/>
  <c r="L129" i="4"/>
  <c r="O128" i="4"/>
  <c r="K160" i="4"/>
  <c r="J157" i="4"/>
  <c r="Z157" i="4" s="1"/>
  <c r="C58" i="4" l="1"/>
  <c r="R57" i="4"/>
  <c r="Y1384" i="4"/>
  <c r="Y1388" i="4"/>
  <c r="Y1392" i="4"/>
  <c r="Y1396" i="4"/>
  <c r="Y1400" i="4"/>
  <c r="Y1385" i="4"/>
  <c r="Y1389" i="4"/>
  <c r="Y1393" i="4"/>
  <c r="Y1397" i="4"/>
  <c r="Y1401" i="4"/>
  <c r="Y1386" i="4"/>
  <c r="Y1390" i="4"/>
  <c r="Y1394" i="4"/>
  <c r="Y1398" i="4"/>
  <c r="Y1391" i="4"/>
  <c r="Y1395" i="4"/>
  <c r="Y1383" i="4"/>
  <c r="Y1399" i="4"/>
  <c r="Y1387" i="4"/>
  <c r="N32" i="6"/>
  <c r="O31" i="6"/>
  <c r="AA287" i="4" s="1"/>
  <c r="B57" i="4"/>
  <c r="V57" i="4" s="1"/>
  <c r="B32" i="6"/>
  <c r="C31" i="6"/>
  <c r="F33" i="6"/>
  <c r="G32" i="6"/>
  <c r="L425" i="4"/>
  <c r="O424" i="4"/>
  <c r="J439" i="4"/>
  <c r="Z439" i="4" s="1"/>
  <c r="L130" i="4"/>
  <c r="O129" i="4"/>
  <c r="J158" i="4"/>
  <c r="Z158" i="4" s="1"/>
  <c r="K161" i="4"/>
  <c r="C59" i="4" l="1"/>
  <c r="R58" i="4"/>
  <c r="Y32" i="4"/>
  <c r="Y36" i="4"/>
  <c r="Y43" i="4"/>
  <c r="Y29" i="4"/>
  <c r="Y33" i="4"/>
  <c r="Y37" i="4"/>
  <c r="Y40" i="4"/>
  <c r="Y44" i="4"/>
  <c r="Y30" i="4"/>
  <c r="Y34" i="4"/>
  <c r="Y38" i="4"/>
  <c r="Y41" i="4"/>
  <c r="Y39" i="4"/>
  <c r="Y435" i="4"/>
  <c r="Y439" i="4"/>
  <c r="Y443" i="4"/>
  <c r="Y447" i="4"/>
  <c r="Y451" i="4"/>
  <c r="Y455" i="4"/>
  <c r="Y459" i="4"/>
  <c r="Y463" i="4"/>
  <c r="Y467" i="4"/>
  <c r="Y471" i="4"/>
  <c r="Y475" i="4"/>
  <c r="Y479" i="4"/>
  <c r="Y483" i="4"/>
  <c r="Y487" i="4"/>
  <c r="Y491" i="4"/>
  <c r="Y495" i="4"/>
  <c r="Y499" i="4"/>
  <c r="Y559" i="4"/>
  <c r="Y563" i="4"/>
  <c r="Y567" i="4"/>
  <c r="Y571" i="4"/>
  <c r="Y575" i="4"/>
  <c r="Y579" i="4"/>
  <c r="Y583" i="4"/>
  <c r="Y587" i="4"/>
  <c r="Y591" i="4"/>
  <c r="Y595" i="4"/>
  <c r="Y599" i="4"/>
  <c r="Y603" i="4"/>
  <c r="Y607" i="4"/>
  <c r="Y611" i="4"/>
  <c r="Y615" i="4"/>
  <c r="Y619" i="4"/>
  <c r="Y623" i="4"/>
  <c r="Y627" i="4"/>
  <c r="Y631" i="4"/>
  <c r="Y635" i="4"/>
  <c r="Y639" i="4"/>
  <c r="Y42" i="4"/>
  <c r="Y436" i="4"/>
  <c r="Y440" i="4"/>
  <c r="Y444" i="4"/>
  <c r="Y448" i="4"/>
  <c r="Y452" i="4"/>
  <c r="Y456" i="4"/>
  <c r="Y460" i="4"/>
  <c r="Y464" i="4"/>
  <c r="Y468" i="4"/>
  <c r="Y472" i="4"/>
  <c r="Y476" i="4"/>
  <c r="Y480" i="4"/>
  <c r="Y484" i="4"/>
  <c r="Y488" i="4"/>
  <c r="Y492" i="4"/>
  <c r="Y496" i="4"/>
  <c r="Y500" i="4"/>
  <c r="Y556" i="4"/>
  <c r="Y560" i="4"/>
  <c r="Y564" i="4"/>
  <c r="Y568" i="4"/>
  <c r="Y572" i="4"/>
  <c r="Y576" i="4"/>
  <c r="Y580" i="4"/>
  <c r="Y584" i="4"/>
  <c r="Y588" i="4"/>
  <c r="Y592" i="4"/>
  <c r="Y596" i="4"/>
  <c r="Y600" i="4"/>
  <c r="Y604" i="4"/>
  <c r="Y608" i="4"/>
  <c r="Y612" i="4"/>
  <c r="Y616" i="4"/>
  <c r="Y620" i="4"/>
  <c r="Y624" i="4"/>
  <c r="Y628" i="4"/>
  <c r="Y632" i="4"/>
  <c r="Y636" i="4"/>
  <c r="Y640" i="4"/>
  <c r="Y31" i="4"/>
  <c r="Y433" i="4"/>
  <c r="Y437" i="4"/>
  <c r="Y441" i="4"/>
  <c r="Y445" i="4"/>
  <c r="Y449" i="4"/>
  <c r="Y453" i="4"/>
  <c r="Y457" i="4"/>
  <c r="Y461" i="4"/>
  <c r="Y465" i="4"/>
  <c r="Y469" i="4"/>
  <c r="Y473" i="4"/>
  <c r="Y477" i="4"/>
  <c r="Y481" i="4"/>
  <c r="Y485" i="4"/>
  <c r="Y489" i="4"/>
  <c r="Y493" i="4"/>
  <c r="Y497" i="4"/>
  <c r="Y557" i="4"/>
  <c r="Y561" i="4"/>
  <c r="Y565" i="4"/>
  <c r="Y569" i="4"/>
  <c r="Y573" i="4"/>
  <c r="Y577" i="4"/>
  <c r="Y581" i="4"/>
  <c r="Y585" i="4"/>
  <c r="Y589" i="4"/>
  <c r="Y593" i="4"/>
  <c r="Y597" i="4"/>
  <c r="Y601" i="4"/>
  <c r="Y605" i="4"/>
  <c r="Y609" i="4"/>
  <c r="Y613" i="4"/>
  <c r="Y617" i="4"/>
  <c r="Y621" i="4"/>
  <c r="Y625" i="4"/>
  <c r="Y629" i="4"/>
  <c r="Y633" i="4"/>
  <c r="Y637" i="4"/>
  <c r="Y442" i="4"/>
  <c r="Y458" i="4"/>
  <c r="Y474" i="4"/>
  <c r="Y490" i="4"/>
  <c r="Y570" i="4"/>
  <c r="Y586" i="4"/>
  <c r="Y602" i="4"/>
  <c r="Y618" i="4"/>
  <c r="Y634" i="4"/>
  <c r="Y35" i="4"/>
  <c r="Y446" i="4"/>
  <c r="Y462" i="4"/>
  <c r="Y478" i="4"/>
  <c r="Y494" i="4"/>
  <c r="Y558" i="4"/>
  <c r="Y574" i="4"/>
  <c r="Y590" i="4"/>
  <c r="Y606" i="4"/>
  <c r="Y622" i="4"/>
  <c r="Y638" i="4"/>
  <c r="Y434" i="4"/>
  <c r="Y450" i="4"/>
  <c r="Y466" i="4"/>
  <c r="Y482" i="4"/>
  <c r="Y498" i="4"/>
  <c r="Y562" i="4"/>
  <c r="Y578" i="4"/>
  <c r="Y594" i="4"/>
  <c r="Y610" i="4"/>
  <c r="Y626" i="4"/>
  <c r="Y454" i="4"/>
  <c r="Y582" i="4"/>
  <c r="Y470" i="4"/>
  <c r="Y598" i="4"/>
  <c r="Y486" i="4"/>
  <c r="Y614" i="4"/>
  <c r="Y438" i="4"/>
  <c r="Y566" i="4"/>
  <c r="Y630" i="4"/>
  <c r="O32" i="6"/>
  <c r="AA288" i="4" s="1"/>
  <c r="N33" i="6"/>
  <c r="B58" i="4"/>
  <c r="V58" i="4" s="1"/>
  <c r="G33" i="6"/>
  <c r="F34" i="6"/>
  <c r="B33" i="6"/>
  <c r="C32" i="6"/>
  <c r="L426" i="4"/>
  <c r="O425" i="4"/>
  <c r="J440" i="4"/>
  <c r="Z440" i="4" s="1"/>
  <c r="L131" i="4"/>
  <c r="O130" i="4"/>
  <c r="K162" i="4"/>
  <c r="J159" i="4"/>
  <c r="Z159" i="4" s="1"/>
  <c r="C60" i="4" l="1"/>
  <c r="R59" i="4"/>
  <c r="Y83" i="4"/>
  <c r="Y87" i="4"/>
  <c r="Y91" i="4"/>
  <c r="Y80" i="4"/>
  <c r="Y84" i="4"/>
  <c r="Y88" i="4"/>
  <c r="Y92" i="4"/>
  <c r="Y95" i="4"/>
  <c r="Y81" i="4"/>
  <c r="Y85" i="4"/>
  <c r="Y89" i="4"/>
  <c r="Y93" i="4"/>
  <c r="Y86" i="4"/>
  <c r="Y90" i="4"/>
  <c r="Y94" i="4"/>
  <c r="Y82" i="4"/>
  <c r="N34" i="6"/>
  <c r="O33" i="6"/>
  <c r="B59" i="4"/>
  <c r="V59" i="4" s="1"/>
  <c r="B34" i="6"/>
  <c r="C33" i="6"/>
  <c r="F35" i="6"/>
  <c r="G34" i="6"/>
  <c r="L427" i="4"/>
  <c r="O426" i="4"/>
  <c r="J441" i="4"/>
  <c r="Z441" i="4" s="1"/>
  <c r="O131" i="4"/>
  <c r="J160" i="4"/>
  <c r="Z160" i="4" s="1"/>
  <c r="K163" i="4"/>
  <c r="C61" i="4" l="1"/>
  <c r="R60" i="4"/>
  <c r="X785" i="4"/>
  <c r="X789" i="4"/>
  <c r="X793" i="4"/>
  <c r="X797" i="4"/>
  <c r="X782" i="4"/>
  <c r="X786" i="4"/>
  <c r="X790" i="4"/>
  <c r="X794" i="4"/>
  <c r="X798" i="4"/>
  <c r="X783" i="4"/>
  <c r="X787" i="4"/>
  <c r="X791" i="4"/>
  <c r="X795" i="4"/>
  <c r="X784" i="4"/>
  <c r="X788" i="4"/>
  <c r="X792" i="4"/>
  <c r="X796" i="4"/>
  <c r="Y1573" i="4"/>
  <c r="Y1574" i="4"/>
  <c r="Y1575" i="4"/>
  <c r="N35" i="6"/>
  <c r="O34" i="6"/>
  <c r="B60" i="4"/>
  <c r="V60" i="4" s="1"/>
  <c r="G35" i="6"/>
  <c r="F36" i="6"/>
  <c r="B35" i="6"/>
  <c r="C34" i="6"/>
  <c r="L428" i="4"/>
  <c r="O427" i="4"/>
  <c r="J442" i="4"/>
  <c r="Z442" i="4" s="1"/>
  <c r="L133" i="4"/>
  <c r="K164" i="4"/>
  <c r="J161" i="4"/>
  <c r="Z161" i="4" s="1"/>
  <c r="C62" i="4" l="1"/>
  <c r="R61" i="4"/>
  <c r="Y1404" i="4"/>
  <c r="Y1408" i="4"/>
  <c r="Y1412" i="4"/>
  <c r="Y1416" i="4"/>
  <c r="Y1405" i="4"/>
  <c r="Y1409" i="4"/>
  <c r="Y1413" i="4"/>
  <c r="Y1417" i="4"/>
  <c r="Y1402" i="4"/>
  <c r="Y1406" i="4"/>
  <c r="Y1410" i="4"/>
  <c r="Y1414" i="4"/>
  <c r="Y1418" i="4"/>
  <c r="Y1407" i="4"/>
  <c r="Y1411" i="4"/>
  <c r="Y1415" i="4"/>
  <c r="Y1403" i="4"/>
  <c r="Y1419" i="4"/>
  <c r="X801" i="4"/>
  <c r="X805" i="4"/>
  <c r="X809" i="4"/>
  <c r="X813" i="4"/>
  <c r="X802" i="4"/>
  <c r="X806" i="4"/>
  <c r="X810" i="4"/>
  <c r="X814" i="4"/>
  <c r="X799" i="4"/>
  <c r="X803" i="4"/>
  <c r="X807" i="4"/>
  <c r="X811" i="4"/>
  <c r="X815" i="4"/>
  <c r="X800" i="4"/>
  <c r="X804" i="4"/>
  <c r="X808" i="4"/>
  <c r="X812" i="4"/>
  <c r="N36" i="6"/>
  <c r="O35" i="6"/>
  <c r="B61" i="4"/>
  <c r="V61" i="4" s="1"/>
  <c r="C35" i="6"/>
  <c r="B36" i="6"/>
  <c r="F37" i="6"/>
  <c r="G36" i="6"/>
  <c r="L429" i="4"/>
  <c r="O428" i="4"/>
  <c r="J443" i="4"/>
  <c r="Z443" i="4" s="1"/>
  <c r="J162" i="4"/>
  <c r="Z162" i="4" s="1"/>
  <c r="K165" i="4"/>
  <c r="C63" i="4" l="1"/>
  <c r="R63" i="4" s="1"/>
  <c r="R62" i="4"/>
  <c r="X817" i="4"/>
  <c r="X821" i="4"/>
  <c r="X825" i="4"/>
  <c r="X829" i="4"/>
  <c r="X818" i="4"/>
  <c r="X822" i="4"/>
  <c r="X826" i="4"/>
  <c r="X830" i="4"/>
  <c r="X819" i="4"/>
  <c r="X823" i="4"/>
  <c r="X827" i="4"/>
  <c r="X831" i="4"/>
  <c r="X816" i="4"/>
  <c r="X832" i="4"/>
  <c r="X820" i="4"/>
  <c r="X824" i="4"/>
  <c r="X828" i="4"/>
  <c r="Y1420" i="4"/>
  <c r="Y1424" i="4"/>
  <c r="Y1428" i="4"/>
  <c r="Y1432" i="4"/>
  <c r="Y1436" i="4"/>
  <c r="Y1440" i="4"/>
  <c r="Y1444" i="4"/>
  <c r="Y1448" i="4"/>
  <c r="Y1452" i="4"/>
  <c r="Y1421" i="4"/>
  <c r="Y1425" i="4"/>
  <c r="Y1429" i="4"/>
  <c r="Y1433" i="4"/>
  <c r="Y1437" i="4"/>
  <c r="Y1441" i="4"/>
  <c r="Y1445" i="4"/>
  <c r="Y1449" i="4"/>
  <c r="Y1453" i="4"/>
  <c r="Y1422" i="4"/>
  <c r="Y1426" i="4"/>
  <c r="Y1430" i="4"/>
  <c r="Y1434" i="4"/>
  <c r="Y1438" i="4"/>
  <c r="Y1442" i="4"/>
  <c r="Y1446" i="4"/>
  <c r="Y1450" i="4"/>
  <c r="Y1423" i="4"/>
  <c r="Y1439" i="4"/>
  <c r="Y1427" i="4"/>
  <c r="Y1443" i="4"/>
  <c r="Y1431" i="4"/>
  <c r="Y1447" i="4"/>
  <c r="Y1435" i="4"/>
  <c r="Y1451" i="4"/>
  <c r="N37" i="6"/>
  <c r="O36" i="6"/>
  <c r="B62" i="4"/>
  <c r="V62" i="4" s="1"/>
  <c r="B37" i="6"/>
  <c r="C36" i="6"/>
  <c r="G37" i="6"/>
  <c r="F38" i="6"/>
  <c r="L430" i="4"/>
  <c r="O429" i="4"/>
  <c r="J444" i="4"/>
  <c r="Z444" i="4" s="1"/>
  <c r="K166" i="4"/>
  <c r="J163" i="4"/>
  <c r="Z163" i="4" s="1"/>
  <c r="C64" i="4" l="1"/>
  <c r="Y1528" i="4"/>
  <c r="Y1532" i="4"/>
  <c r="Y1536" i="4"/>
  <c r="Y1529" i="4"/>
  <c r="Y1533" i="4"/>
  <c r="Y1537" i="4"/>
  <c r="Y1526" i="4"/>
  <c r="Y1530" i="4"/>
  <c r="Y1534" i="4"/>
  <c r="Y1538" i="4"/>
  <c r="Y1535" i="4"/>
  <c r="Y1527" i="4"/>
  <c r="Y1531" i="4"/>
  <c r="X833" i="4"/>
  <c r="X837" i="4"/>
  <c r="X841" i="4"/>
  <c r="X845" i="4"/>
  <c r="X849" i="4"/>
  <c r="X834" i="4"/>
  <c r="X838" i="4"/>
  <c r="X842" i="4"/>
  <c r="X846" i="4"/>
  <c r="X835" i="4"/>
  <c r="X839" i="4"/>
  <c r="X843" i="4"/>
  <c r="X847" i="4"/>
  <c r="X848" i="4"/>
  <c r="X836" i="4"/>
  <c r="X840" i="4"/>
  <c r="X844" i="4"/>
  <c r="N38" i="6"/>
  <c r="O37" i="6"/>
  <c r="B63" i="4"/>
  <c r="V63" i="4" s="1"/>
  <c r="F39" i="6"/>
  <c r="G38" i="6"/>
  <c r="C37" i="6"/>
  <c r="B38" i="6"/>
  <c r="L431" i="4"/>
  <c r="O430" i="4"/>
  <c r="J445" i="4"/>
  <c r="Z445" i="4" s="1"/>
  <c r="J164" i="4"/>
  <c r="Z164" i="4" s="1"/>
  <c r="K167" i="4"/>
  <c r="C65" i="4" l="1"/>
  <c r="R64" i="4"/>
  <c r="X901" i="4"/>
  <c r="X905" i="4"/>
  <c r="X909" i="4"/>
  <c r="X913" i="4"/>
  <c r="X917" i="4"/>
  <c r="X937" i="4"/>
  <c r="X941" i="4"/>
  <c r="X945" i="4"/>
  <c r="X949" i="4"/>
  <c r="X902" i="4"/>
  <c r="X906" i="4"/>
  <c r="X910" i="4"/>
  <c r="X914" i="4"/>
  <c r="X938" i="4"/>
  <c r="X942" i="4"/>
  <c r="X946" i="4"/>
  <c r="X950" i="4"/>
  <c r="X903" i="4"/>
  <c r="X907" i="4"/>
  <c r="X911" i="4"/>
  <c r="X915" i="4"/>
  <c r="X935" i="4"/>
  <c r="X939" i="4"/>
  <c r="X943" i="4"/>
  <c r="X947" i="4"/>
  <c r="X951" i="4"/>
  <c r="X912" i="4"/>
  <c r="X944" i="4"/>
  <c r="X916" i="4"/>
  <c r="X948" i="4"/>
  <c r="X904" i="4"/>
  <c r="X936" i="4"/>
  <c r="X908" i="4"/>
  <c r="X940" i="4"/>
  <c r="Y1540" i="4"/>
  <c r="Y1544" i="4"/>
  <c r="Y1548" i="4"/>
  <c r="Y1552" i="4"/>
  <c r="Y1556" i="4"/>
  <c r="Y1560" i="4"/>
  <c r="Y1564" i="4"/>
  <c r="Y1568" i="4"/>
  <c r="Y1572" i="4"/>
  <c r="Y1541" i="4"/>
  <c r="Y1545" i="4"/>
  <c r="Y1549" i="4"/>
  <c r="Y1553" i="4"/>
  <c r="Y1557" i="4"/>
  <c r="Y1561" i="4"/>
  <c r="Y1565" i="4"/>
  <c r="Y1569" i="4"/>
  <c r="Y1542" i="4"/>
  <c r="Y1546" i="4"/>
  <c r="Y1550" i="4"/>
  <c r="Y1554" i="4"/>
  <c r="Y1558" i="4"/>
  <c r="Y1562" i="4"/>
  <c r="Y1566" i="4"/>
  <c r="Y1570" i="4"/>
  <c r="Y1551" i="4"/>
  <c r="Y1567" i="4"/>
  <c r="Y1539" i="4"/>
  <c r="Y1555" i="4"/>
  <c r="Y1571" i="4"/>
  <c r="Y1543" i="4"/>
  <c r="Y1559" i="4"/>
  <c r="Y1547" i="4"/>
  <c r="Y1563" i="4"/>
  <c r="O38" i="6"/>
  <c r="N39" i="6"/>
  <c r="B64" i="4"/>
  <c r="V64" i="4" s="1"/>
  <c r="B39" i="6"/>
  <c r="C38" i="6"/>
  <c r="G39" i="6"/>
  <c r="F40" i="6"/>
  <c r="L432" i="4"/>
  <c r="O431" i="4"/>
  <c r="J446" i="4"/>
  <c r="Z446" i="4" s="1"/>
  <c r="K168" i="4"/>
  <c r="J165" i="4"/>
  <c r="Z165" i="4" s="1"/>
  <c r="C66" i="4" l="1"/>
  <c r="R65" i="4"/>
  <c r="N40" i="6"/>
  <c r="O39" i="6"/>
  <c r="B65" i="4"/>
  <c r="V65" i="4" s="1"/>
  <c r="G40" i="6"/>
  <c r="Y132" i="4" s="1"/>
  <c r="F41" i="6"/>
  <c r="B40" i="6"/>
  <c r="C39" i="6"/>
  <c r="L434" i="4"/>
  <c r="O432" i="4"/>
  <c r="L451" i="4"/>
  <c r="J447" i="4"/>
  <c r="Z447" i="4" s="1"/>
  <c r="L156" i="4"/>
  <c r="O156" i="4" s="1"/>
  <c r="K169" i="4"/>
  <c r="J166" i="4"/>
  <c r="Z166" i="4" s="1"/>
  <c r="C67" i="4" l="1"/>
  <c r="R66" i="4"/>
  <c r="Y1625" i="4"/>
  <c r="Y1630" i="4"/>
  <c r="Y1634" i="4"/>
  <c r="Y1631" i="4"/>
  <c r="N41" i="6"/>
  <c r="O40" i="6"/>
  <c r="B66" i="4"/>
  <c r="V66" i="4" s="1"/>
  <c r="B41" i="6"/>
  <c r="C40" i="6"/>
  <c r="X715" i="4" s="1"/>
  <c r="G41" i="6"/>
  <c r="Y1633" i="4" s="1"/>
  <c r="F42" i="6"/>
  <c r="L435" i="4"/>
  <c r="O434" i="4"/>
  <c r="L452" i="4"/>
  <c r="O451" i="4"/>
  <c r="L540" i="4"/>
  <c r="O540" i="4" s="1"/>
  <c r="O538" i="4"/>
  <c r="J448" i="4"/>
  <c r="Z448" i="4" s="1"/>
  <c r="L157" i="4"/>
  <c r="O157" i="4" s="1"/>
  <c r="J167" i="4"/>
  <c r="Z167" i="4" s="1"/>
  <c r="K170" i="4"/>
  <c r="Y1636" i="4" l="1"/>
  <c r="Y1626" i="4"/>
  <c r="Y1632" i="4"/>
  <c r="Y1622" i="4"/>
  <c r="Y1628" i="4"/>
  <c r="Y1627" i="4"/>
  <c r="Y1637" i="4"/>
  <c r="Y1624" i="4"/>
  <c r="Y1623" i="4"/>
  <c r="Y1641" i="4"/>
  <c r="Y1619" i="4"/>
  <c r="Y1645" i="4"/>
  <c r="Y1639" i="4"/>
  <c r="Y1618" i="4"/>
  <c r="Y1643" i="4"/>
  <c r="Y1616" i="4"/>
  <c r="Y1638" i="4"/>
  <c r="Y1620" i="4"/>
  <c r="Y1642" i="4"/>
  <c r="Y1640" i="4"/>
  <c r="Y1646" i="4"/>
  <c r="Y1644" i="4"/>
  <c r="Y1615" i="4"/>
  <c r="Y1617" i="4"/>
  <c r="Y1647" i="4"/>
  <c r="Y1635" i="4"/>
  <c r="Y1629" i="4"/>
  <c r="Y1621" i="4"/>
  <c r="C68" i="4"/>
  <c r="R67" i="4"/>
  <c r="Y1648" i="4"/>
  <c r="Y1652" i="4"/>
  <c r="Y1649" i="4"/>
  <c r="Y1650" i="4"/>
  <c r="Y1651" i="4"/>
  <c r="O41" i="6"/>
  <c r="N42" i="6"/>
  <c r="B67" i="4"/>
  <c r="V67" i="4" s="1"/>
  <c r="F43" i="6"/>
  <c r="G42" i="6"/>
  <c r="B42" i="6"/>
  <c r="C41" i="6"/>
  <c r="L436" i="4"/>
  <c r="O435" i="4"/>
  <c r="L541" i="4"/>
  <c r="L453" i="4"/>
  <c r="O452" i="4"/>
  <c r="J449" i="4"/>
  <c r="Z449" i="4" s="1"/>
  <c r="L158" i="4"/>
  <c r="O158" i="4" s="1"/>
  <c r="K171" i="4"/>
  <c r="J168" i="4"/>
  <c r="Z168" i="4" s="1"/>
  <c r="C69" i="4" l="1"/>
  <c r="R68" i="4"/>
  <c r="Y1672" i="4"/>
  <c r="Y1673" i="4"/>
  <c r="Y1670" i="4"/>
  <c r="Y1671" i="4"/>
  <c r="X46" i="4"/>
  <c r="X50" i="4"/>
  <c r="X54" i="4"/>
  <c r="X58" i="4"/>
  <c r="X47" i="4"/>
  <c r="X51" i="4"/>
  <c r="X55" i="4"/>
  <c r="X59" i="4"/>
  <c r="X48" i="4"/>
  <c r="X52" i="4"/>
  <c r="X56" i="4"/>
  <c r="X60" i="4"/>
  <c r="X45" i="4"/>
  <c r="X61" i="4"/>
  <c r="X49" i="4"/>
  <c r="X53" i="4"/>
  <c r="X57" i="4"/>
  <c r="O42" i="6"/>
  <c r="AA355" i="4" s="1"/>
  <c r="N43" i="6"/>
  <c r="B68" i="4"/>
  <c r="V68" i="4" s="1"/>
  <c r="B43" i="6"/>
  <c r="C42" i="6"/>
  <c r="G43" i="6"/>
  <c r="F44" i="6"/>
  <c r="L437" i="4"/>
  <c r="O436" i="4"/>
  <c r="L542" i="4"/>
  <c r="O541" i="4"/>
  <c r="L454" i="4"/>
  <c r="O453" i="4"/>
  <c r="L159" i="4"/>
  <c r="O159" i="4" s="1"/>
  <c r="J169" i="4"/>
  <c r="Z169" i="4" s="1"/>
  <c r="C70" i="4" l="1"/>
  <c r="R69" i="4"/>
  <c r="Y1775" i="4"/>
  <c r="Y1779" i="4"/>
  <c r="Y1783" i="4"/>
  <c r="Y1787" i="4"/>
  <c r="Y1791" i="4"/>
  <c r="Y1795" i="4"/>
  <c r="Y1799" i="4"/>
  <c r="Y1803" i="4"/>
  <c r="Y1807" i="4"/>
  <c r="Y1811" i="4"/>
  <c r="Y1815" i="4"/>
  <c r="Y1819" i="4"/>
  <c r="Y1823" i="4"/>
  <c r="Y1776" i="4"/>
  <c r="Y1780" i="4"/>
  <c r="Y1784" i="4"/>
  <c r="Y1788" i="4"/>
  <c r="Y1792" i="4"/>
  <c r="Y1796" i="4"/>
  <c r="Y1800" i="4"/>
  <c r="Y1804" i="4"/>
  <c r="Y1808" i="4"/>
  <c r="Y1812" i="4"/>
  <c r="Y1816" i="4"/>
  <c r="Y1820" i="4"/>
  <c r="Y1824" i="4"/>
  <c r="Y1777" i="4"/>
  <c r="Y1781" i="4"/>
  <c r="Y1785" i="4"/>
  <c r="Y1789" i="4"/>
  <c r="Y1793" i="4"/>
  <c r="Y1797" i="4"/>
  <c r="Y1801" i="4"/>
  <c r="Y1805" i="4"/>
  <c r="Y1809" i="4"/>
  <c r="Y1813" i="4"/>
  <c r="Y1817" i="4"/>
  <c r="Y1821" i="4"/>
  <c r="Y1825" i="4"/>
  <c r="Y1790" i="4"/>
  <c r="Y1806" i="4"/>
  <c r="Y1822" i="4"/>
  <c r="Y1778" i="4"/>
  <c r="Y1794" i="4"/>
  <c r="Y1810" i="4"/>
  <c r="Y1782" i="4"/>
  <c r="Y1798" i="4"/>
  <c r="Y1814" i="4"/>
  <c r="Y1786" i="4"/>
  <c r="Y1802" i="4"/>
  <c r="Y1818" i="4"/>
  <c r="X66" i="4"/>
  <c r="X70" i="4"/>
  <c r="X74" i="4"/>
  <c r="X78" i="4"/>
  <c r="X63" i="4"/>
  <c r="X67" i="4"/>
  <c r="X71" i="4"/>
  <c r="X75" i="4"/>
  <c r="X79" i="4"/>
  <c r="X64" i="4"/>
  <c r="X68" i="4"/>
  <c r="X72" i="4"/>
  <c r="X76" i="4"/>
  <c r="X77" i="4"/>
  <c r="X65" i="4"/>
  <c r="X69" i="4"/>
  <c r="X73" i="4"/>
  <c r="N44" i="6"/>
  <c r="O43" i="6"/>
  <c r="B69" i="4"/>
  <c r="V69" i="4" s="1"/>
  <c r="F45" i="6"/>
  <c r="G44" i="6"/>
  <c r="C43" i="6"/>
  <c r="B44" i="6"/>
  <c r="L438" i="4"/>
  <c r="O437" i="4"/>
  <c r="L543" i="4"/>
  <c r="O542" i="4"/>
  <c r="L455" i="4"/>
  <c r="O454" i="4"/>
  <c r="L160" i="4"/>
  <c r="O160" i="4" s="1"/>
  <c r="K173" i="4"/>
  <c r="J170" i="4"/>
  <c r="Z170" i="4" s="1"/>
  <c r="AA372" i="4" l="1"/>
  <c r="AA65" i="4"/>
  <c r="AA20" i="4"/>
  <c r="AA74" i="4"/>
  <c r="AA28" i="4"/>
  <c r="AA17" i="4"/>
  <c r="AA70" i="4"/>
  <c r="AA24" i="4"/>
  <c r="AA78" i="4"/>
  <c r="AA13" i="4"/>
  <c r="AA66" i="4"/>
  <c r="AA21" i="4"/>
  <c r="AA75" i="4"/>
  <c r="AA79" i="4"/>
  <c r="AA63" i="4"/>
  <c r="AA18" i="4"/>
  <c r="AA71" i="4"/>
  <c r="AA25" i="4"/>
  <c r="AA14" i="4"/>
  <c r="AA68" i="4"/>
  <c r="AA22" i="4"/>
  <c r="AA26" i="4"/>
  <c r="AA16" i="4"/>
  <c r="AA27" i="4"/>
  <c r="AA15" i="4"/>
  <c r="AA67" i="4"/>
  <c r="AA72" i="4"/>
  <c r="AA76" i="4"/>
  <c r="AA12" i="4"/>
  <c r="AA19" i="4"/>
  <c r="AA64" i="4"/>
  <c r="AA69" i="4"/>
  <c r="AA23" i="4"/>
  <c r="AA77" i="4"/>
  <c r="AA73" i="4"/>
  <c r="C71" i="4"/>
  <c r="R70" i="4"/>
  <c r="X541" i="4"/>
  <c r="X545" i="4"/>
  <c r="X549" i="4"/>
  <c r="X553" i="4"/>
  <c r="X542" i="4"/>
  <c r="X546" i="4"/>
  <c r="X550" i="4"/>
  <c r="X554" i="4"/>
  <c r="X539" i="4"/>
  <c r="X543" i="4"/>
  <c r="X547" i="4"/>
  <c r="X551" i="4"/>
  <c r="X555" i="4"/>
  <c r="X548" i="4"/>
  <c r="X552" i="4"/>
  <c r="X540" i="4"/>
  <c r="X544" i="4"/>
  <c r="Y1827" i="4"/>
  <c r="Y1828" i="4"/>
  <c r="Y1826" i="4"/>
  <c r="B70" i="4"/>
  <c r="V70" i="4" s="1"/>
  <c r="O44" i="6"/>
  <c r="N45" i="6"/>
  <c r="B45" i="6"/>
  <c r="C44" i="6"/>
  <c r="G45" i="6"/>
  <c r="F46" i="6"/>
  <c r="G46" i="6" s="1"/>
  <c r="L439" i="4"/>
  <c r="O438" i="4"/>
  <c r="L544" i="4"/>
  <c r="O543" i="4"/>
  <c r="L456" i="4"/>
  <c r="O455" i="4"/>
  <c r="K417" i="4"/>
  <c r="J452" i="4"/>
  <c r="Z452" i="4" s="1"/>
  <c r="L161" i="4"/>
  <c r="O161" i="4" s="1"/>
  <c r="J171" i="4"/>
  <c r="Z171" i="4" s="1"/>
  <c r="K174" i="4"/>
  <c r="AA373" i="4" l="1"/>
  <c r="AA34" i="4"/>
  <c r="AA42" i="4"/>
  <c r="AA32" i="4"/>
  <c r="AA35" i="4"/>
  <c r="AA43" i="4"/>
  <c r="AA36" i="4"/>
  <c r="AA44" i="4"/>
  <c r="AA41" i="4"/>
  <c r="AA29" i="4"/>
  <c r="AA37" i="4"/>
  <c r="AA30" i="4"/>
  <c r="AA38" i="4"/>
  <c r="AA31" i="4"/>
  <c r="AA39" i="4"/>
  <c r="AA40" i="4"/>
  <c r="AA33" i="4"/>
  <c r="C72" i="4"/>
  <c r="R71" i="4"/>
  <c r="B71" i="4"/>
  <c r="V71" i="4" s="1"/>
  <c r="X113" i="4"/>
  <c r="X225" i="4"/>
  <c r="X228" i="4"/>
  <c r="X232" i="4"/>
  <c r="X238" i="4"/>
  <c r="X114" i="4"/>
  <c r="X230" i="4"/>
  <c r="X234" i="4"/>
  <c r="X236" i="4"/>
  <c r="X229" i="4"/>
  <c r="X235" i="4"/>
  <c r="X289" i="4"/>
  <c r="X293" i="4"/>
  <c r="X297" i="4"/>
  <c r="X301" i="4"/>
  <c r="X305" i="4"/>
  <c r="X231" i="4"/>
  <c r="X237" i="4"/>
  <c r="X290" i="4"/>
  <c r="X294" i="4"/>
  <c r="X298" i="4"/>
  <c r="X302" i="4"/>
  <c r="X306" i="4"/>
  <c r="X226" i="4"/>
  <c r="X233" i="4"/>
  <c r="X291" i="4"/>
  <c r="X295" i="4"/>
  <c r="X299" i="4"/>
  <c r="X303" i="4"/>
  <c r="X227" i="4"/>
  <c r="X300" i="4"/>
  <c r="X1299" i="4"/>
  <c r="X1303" i="4"/>
  <c r="X1307" i="4"/>
  <c r="X1311" i="4"/>
  <c r="X1315" i="4"/>
  <c r="X304" i="4"/>
  <c r="X1280" i="4"/>
  <c r="X1300" i="4"/>
  <c r="X1304" i="4"/>
  <c r="X1308" i="4"/>
  <c r="X1312" i="4"/>
  <c r="X292" i="4"/>
  <c r="X1281" i="4"/>
  <c r="X1301" i="4"/>
  <c r="X1305" i="4"/>
  <c r="X1309" i="4"/>
  <c r="X1313" i="4"/>
  <c r="X296" i="4"/>
  <c r="X1302" i="4"/>
  <c r="X1306" i="4"/>
  <c r="X1310" i="4"/>
  <c r="X1314" i="4"/>
  <c r="X1614" i="4"/>
  <c r="X1612" i="4"/>
  <c r="N46" i="6"/>
  <c r="O45" i="6"/>
  <c r="AA62" i="4" s="1"/>
  <c r="B46" i="6"/>
  <c r="C45" i="6"/>
  <c r="L440" i="4"/>
  <c r="O439" i="4"/>
  <c r="L545" i="4"/>
  <c r="O544" i="4"/>
  <c r="L457" i="4"/>
  <c r="O456" i="4"/>
  <c r="K418" i="4"/>
  <c r="J453" i="4"/>
  <c r="Z453" i="4" s="1"/>
  <c r="K175" i="4"/>
  <c r="L162" i="4"/>
  <c r="O162" i="4" s="1"/>
  <c r="C73" i="4" l="1"/>
  <c r="R72" i="4"/>
  <c r="B72" i="4"/>
  <c r="V72" i="4" s="1"/>
  <c r="X117" i="4"/>
  <c r="X121" i="4"/>
  <c r="X125" i="4"/>
  <c r="X129" i="4"/>
  <c r="X118" i="4"/>
  <c r="X122" i="4"/>
  <c r="X126" i="4"/>
  <c r="X130" i="4"/>
  <c r="X115" i="4"/>
  <c r="X119" i="4"/>
  <c r="X123" i="4"/>
  <c r="X127" i="4"/>
  <c r="X131" i="4"/>
  <c r="X124" i="4"/>
  <c r="X128" i="4"/>
  <c r="X116" i="4"/>
  <c r="X120" i="4"/>
  <c r="O46" i="6"/>
  <c r="N47" i="6"/>
  <c r="B47" i="6"/>
  <c r="C46" i="6"/>
  <c r="L441" i="4"/>
  <c r="O440" i="4"/>
  <c r="L546" i="4"/>
  <c r="O545" i="4"/>
  <c r="L458" i="4"/>
  <c r="O457" i="4"/>
  <c r="K419" i="4"/>
  <c r="J454" i="4"/>
  <c r="Z454" i="4" s="1"/>
  <c r="K176" i="4"/>
  <c r="L163" i="4"/>
  <c r="O163" i="4" s="1"/>
  <c r="B73" i="4"/>
  <c r="V73" i="4" s="1"/>
  <c r="AA86" i="4" l="1"/>
  <c r="AA94" i="4"/>
  <c r="AA87" i="4"/>
  <c r="AA95" i="4"/>
  <c r="AA92" i="4"/>
  <c r="AA80" i="4"/>
  <c r="AA88" i="4"/>
  <c r="AA81" i="4"/>
  <c r="AA89" i="4"/>
  <c r="AA82" i="4"/>
  <c r="AA90" i="4"/>
  <c r="AA83" i="4"/>
  <c r="AA91" i="4"/>
  <c r="AA84" i="4"/>
  <c r="AA85" i="4"/>
  <c r="AA93" i="4"/>
  <c r="C74" i="4"/>
  <c r="R73" i="4"/>
  <c r="X137" i="4"/>
  <c r="X141" i="4"/>
  <c r="X145" i="4"/>
  <c r="X149" i="4"/>
  <c r="X153" i="4"/>
  <c r="X138" i="4"/>
  <c r="X142" i="4"/>
  <c r="X146" i="4"/>
  <c r="X150" i="4"/>
  <c r="X154" i="4"/>
  <c r="X135" i="4"/>
  <c r="X139" i="4"/>
  <c r="X143" i="4"/>
  <c r="X147" i="4"/>
  <c r="X151" i="4"/>
  <c r="X140" i="4"/>
  <c r="X144" i="4"/>
  <c r="X148" i="4"/>
  <c r="X136" i="4"/>
  <c r="X152" i="4"/>
  <c r="N48" i="6"/>
  <c r="O47" i="6"/>
  <c r="C47" i="6"/>
  <c r="B48" i="6"/>
  <c r="L442" i="4"/>
  <c r="O441" i="4"/>
  <c r="L547" i="4"/>
  <c r="O546" i="4"/>
  <c r="L459" i="4"/>
  <c r="O458" i="4"/>
  <c r="K420" i="4"/>
  <c r="J455" i="4"/>
  <c r="Z455" i="4" s="1"/>
  <c r="K177" i="4"/>
  <c r="L164" i="4"/>
  <c r="O164" i="4" s="1"/>
  <c r="J174" i="4"/>
  <c r="Z174" i="4" s="1"/>
  <c r="B74" i="4"/>
  <c r="V74" i="4" s="1"/>
  <c r="AA97" i="4" l="1"/>
  <c r="AA105" i="4"/>
  <c r="AA98" i="4"/>
  <c r="AA106" i="4"/>
  <c r="AA99" i="4"/>
  <c r="AA107" i="4"/>
  <c r="AA108" i="4"/>
  <c r="AA100" i="4"/>
  <c r="AA101" i="4"/>
  <c r="AA109" i="4"/>
  <c r="AA104" i="4"/>
  <c r="AA102" i="4"/>
  <c r="AA110" i="4"/>
  <c r="AA96" i="4"/>
  <c r="AA103" i="4"/>
  <c r="AA111" i="4"/>
  <c r="AA112" i="4"/>
  <c r="C75" i="4"/>
  <c r="R74" i="4"/>
  <c r="X189" i="4"/>
  <c r="X193" i="4"/>
  <c r="X197" i="4"/>
  <c r="X201" i="4"/>
  <c r="X205" i="4"/>
  <c r="X209" i="4"/>
  <c r="X213" i="4"/>
  <c r="X217" i="4"/>
  <c r="X221" i="4"/>
  <c r="X191" i="4"/>
  <c r="X195" i="4"/>
  <c r="X199" i="4"/>
  <c r="X203" i="4"/>
  <c r="X207" i="4"/>
  <c r="X211" i="4"/>
  <c r="X215" i="4"/>
  <c r="X219" i="4"/>
  <c r="X223" i="4"/>
  <c r="X190" i="4"/>
  <c r="X198" i="4"/>
  <c r="X206" i="4"/>
  <c r="X214" i="4"/>
  <c r="X222" i="4"/>
  <c r="X192" i="4"/>
  <c r="X200" i="4"/>
  <c r="X208" i="4"/>
  <c r="X216" i="4"/>
  <c r="X194" i="4"/>
  <c r="X202" i="4"/>
  <c r="X210" i="4"/>
  <c r="X218" i="4"/>
  <c r="X196" i="4"/>
  <c r="X204" i="4"/>
  <c r="X212" i="4"/>
  <c r="X220" i="4"/>
  <c r="O48" i="6"/>
  <c r="N49" i="6"/>
  <c r="B49" i="6"/>
  <c r="C48" i="6"/>
  <c r="L443" i="4"/>
  <c r="O442" i="4"/>
  <c r="L548" i="4"/>
  <c r="O547" i="4"/>
  <c r="L460" i="4"/>
  <c r="O459" i="4"/>
  <c r="K421" i="4"/>
  <c r="J456" i="4"/>
  <c r="Z456" i="4" s="1"/>
  <c r="J175" i="4"/>
  <c r="Z175" i="4" s="1"/>
  <c r="K178" i="4"/>
  <c r="L165" i="4"/>
  <c r="O165" i="4" s="1"/>
  <c r="B75" i="4"/>
  <c r="V75" i="4" s="1"/>
  <c r="AA113" i="4" l="1"/>
  <c r="AA114" i="4"/>
  <c r="C76" i="4"/>
  <c r="R75" i="4"/>
  <c r="X326" i="4"/>
  <c r="X330" i="4"/>
  <c r="X332" i="4"/>
  <c r="X224" i="4"/>
  <c r="X327" i="4"/>
  <c r="X331" i="4"/>
  <c r="X333" i="4"/>
  <c r="X328" i="4"/>
  <c r="X329" i="4"/>
  <c r="X324" i="4"/>
  <c r="X334" i="4"/>
  <c r="X325" i="4"/>
  <c r="N50" i="6"/>
  <c r="O49" i="6"/>
  <c r="AA132" i="4" s="1"/>
  <c r="B50" i="6"/>
  <c r="C49" i="6"/>
  <c r="L444" i="4"/>
  <c r="O443" i="4"/>
  <c r="L549" i="4"/>
  <c r="O548" i="4"/>
  <c r="L461" i="4"/>
  <c r="O460" i="4"/>
  <c r="K422" i="4"/>
  <c r="J457" i="4"/>
  <c r="Z457" i="4" s="1"/>
  <c r="K179" i="4"/>
  <c r="J176" i="4"/>
  <c r="Z176" i="4" s="1"/>
  <c r="L166" i="4"/>
  <c r="O166" i="4" s="1"/>
  <c r="B76" i="4"/>
  <c r="V76" i="4" s="1"/>
  <c r="C77" i="4" l="1"/>
  <c r="R76" i="4"/>
  <c r="X242" i="4"/>
  <c r="X246" i="4"/>
  <c r="X240" i="4"/>
  <c r="X244" i="4"/>
  <c r="X248" i="4"/>
  <c r="X243" i="4"/>
  <c r="X245" i="4"/>
  <c r="X239" i="4"/>
  <c r="X247" i="4"/>
  <c r="X241" i="4"/>
  <c r="X249" i="4"/>
  <c r="O50" i="6"/>
  <c r="AA133" i="4" s="1"/>
  <c r="N51" i="6"/>
  <c r="B51" i="6"/>
  <c r="C50" i="6"/>
  <c r="L445" i="4"/>
  <c r="O444" i="4"/>
  <c r="L550" i="4"/>
  <c r="O549" i="4"/>
  <c r="L462" i="4"/>
  <c r="O461" i="4"/>
  <c r="K423" i="4"/>
  <c r="J458" i="4"/>
  <c r="Z458" i="4" s="1"/>
  <c r="J177" i="4"/>
  <c r="Z177" i="4" s="1"/>
  <c r="K180" i="4"/>
  <c r="L167" i="4"/>
  <c r="O167" i="4" s="1"/>
  <c r="B77" i="4"/>
  <c r="V77" i="4" s="1"/>
  <c r="C78" i="4" l="1"/>
  <c r="R77" i="4"/>
  <c r="AA410" i="4"/>
  <c r="X250" i="4"/>
  <c r="X374" i="4"/>
  <c r="N52" i="6"/>
  <c r="O51" i="6"/>
  <c r="C51" i="6"/>
  <c r="B52" i="6"/>
  <c r="L446" i="4"/>
  <c r="O445" i="4"/>
  <c r="L551" i="4"/>
  <c r="O550" i="4"/>
  <c r="L463" i="4"/>
  <c r="O462" i="4"/>
  <c r="K424" i="4"/>
  <c r="J459" i="4"/>
  <c r="Z459" i="4" s="1"/>
  <c r="K181" i="4"/>
  <c r="J178" i="4"/>
  <c r="Z178" i="4" s="1"/>
  <c r="L168" i="4"/>
  <c r="O168" i="4" s="1"/>
  <c r="B78" i="4"/>
  <c r="V78" i="4" s="1"/>
  <c r="AA134" i="4" l="1"/>
  <c r="C79" i="4"/>
  <c r="R78" i="4"/>
  <c r="X270" i="4"/>
  <c r="X274" i="4"/>
  <c r="X278" i="4"/>
  <c r="X282" i="4"/>
  <c r="X268" i="4"/>
  <c r="X272" i="4"/>
  <c r="X276" i="4"/>
  <c r="X280" i="4"/>
  <c r="X284" i="4"/>
  <c r="X275" i="4"/>
  <c r="X283" i="4"/>
  <c r="X269" i="4"/>
  <c r="X277" i="4"/>
  <c r="X271" i="4"/>
  <c r="X279" i="4"/>
  <c r="X273" i="4"/>
  <c r="X281" i="4"/>
  <c r="O52" i="6"/>
  <c r="N53" i="6"/>
  <c r="B53" i="6"/>
  <c r="C52" i="6"/>
  <c r="L447" i="4"/>
  <c r="O446" i="4"/>
  <c r="L552" i="4"/>
  <c r="O551" i="4"/>
  <c r="L464" i="4"/>
  <c r="O463" i="4"/>
  <c r="K425" i="4"/>
  <c r="J460" i="4"/>
  <c r="Z460" i="4" s="1"/>
  <c r="J179" i="4"/>
  <c r="Z179" i="4" s="1"/>
  <c r="K182" i="4"/>
  <c r="L169" i="4"/>
  <c r="O169" i="4" s="1"/>
  <c r="B79" i="4"/>
  <c r="V79" i="4" s="1"/>
  <c r="AA135" i="4" l="1"/>
  <c r="AA138" i="4"/>
  <c r="AA136" i="4"/>
  <c r="AA139" i="4"/>
  <c r="AA140" i="4"/>
  <c r="AA144" i="4"/>
  <c r="AA141" i="4"/>
  <c r="AA142" i="4"/>
  <c r="AA143" i="4"/>
  <c r="AA137" i="4"/>
  <c r="C80" i="4"/>
  <c r="R80" i="4" s="1"/>
  <c r="R79" i="4"/>
  <c r="X286" i="4"/>
  <c r="X288" i="4"/>
  <c r="X285" i="4"/>
  <c r="X287" i="4"/>
  <c r="N54" i="6"/>
  <c r="O53" i="6"/>
  <c r="B54" i="6"/>
  <c r="C53" i="6"/>
  <c r="L448" i="4"/>
  <c r="O447" i="4"/>
  <c r="L553" i="4"/>
  <c r="O552" i="4"/>
  <c r="L465" i="4"/>
  <c r="O464" i="4"/>
  <c r="K426" i="4"/>
  <c r="J461" i="4"/>
  <c r="Z461" i="4" s="1"/>
  <c r="K183" i="4"/>
  <c r="J180" i="4"/>
  <c r="Z180" i="4" s="1"/>
  <c r="L170" i="4"/>
  <c r="O170" i="4" s="1"/>
  <c r="B80" i="4"/>
  <c r="V80" i="4" s="1"/>
  <c r="AA151" i="4" l="1"/>
  <c r="AA152" i="4"/>
  <c r="AA149" i="4"/>
  <c r="AA145" i="4"/>
  <c r="AA153" i="4"/>
  <c r="AA146" i="4"/>
  <c r="AA154" i="4"/>
  <c r="AA147" i="4"/>
  <c r="AA148" i="4"/>
  <c r="AA150" i="4"/>
  <c r="C81" i="4"/>
  <c r="X1105" i="4"/>
  <c r="X1109" i="4"/>
  <c r="X1113" i="4"/>
  <c r="X1117" i="4"/>
  <c r="X1121" i="4"/>
  <c r="X1107" i="4"/>
  <c r="X1111" i="4"/>
  <c r="X1115" i="4"/>
  <c r="X1119" i="4"/>
  <c r="X1108" i="4"/>
  <c r="X1116" i="4"/>
  <c r="X1110" i="4"/>
  <c r="X1118" i="4"/>
  <c r="X1112" i="4"/>
  <c r="X1120" i="4"/>
  <c r="X1106" i="4"/>
  <c r="X1114" i="4"/>
  <c r="O54" i="6"/>
  <c r="N55" i="6"/>
  <c r="B55" i="6"/>
  <c r="C54" i="6"/>
  <c r="L449" i="4"/>
  <c r="O449" i="4" s="1"/>
  <c r="O448" i="4"/>
  <c r="L554" i="4"/>
  <c r="O553" i="4"/>
  <c r="L466" i="4"/>
  <c r="O465" i="4"/>
  <c r="K427" i="4"/>
  <c r="J462" i="4"/>
  <c r="Z462" i="4" s="1"/>
  <c r="J181" i="4"/>
  <c r="Z181" i="4" s="1"/>
  <c r="K184" i="4"/>
  <c r="L171" i="4"/>
  <c r="O171" i="4" s="1"/>
  <c r="B81" i="4"/>
  <c r="V81" i="4" s="1"/>
  <c r="AA966" i="4" l="1"/>
  <c r="AA953" i="4"/>
  <c r="AA904" i="4"/>
  <c r="AA958" i="4"/>
  <c r="AA944" i="4"/>
  <c r="AA948" i="4"/>
  <c r="AA915" i="4"/>
  <c r="AA913" i="4"/>
  <c r="AA950" i="4"/>
  <c r="AA901" i="4"/>
  <c r="AA956" i="4"/>
  <c r="AA941" i="4"/>
  <c r="AA910" i="4"/>
  <c r="AA935" i="4"/>
  <c r="AA939" i="4"/>
  <c r="AA943" i="4"/>
  <c r="AA961" i="4"/>
  <c r="AA963" i="4"/>
  <c r="AA951" i="4"/>
  <c r="AA907" i="4"/>
  <c r="AA902" i="4"/>
  <c r="AA937" i="4"/>
  <c r="AA905" i="4"/>
  <c r="AA959" i="4"/>
  <c r="AA945" i="4"/>
  <c r="AA947" i="4"/>
  <c r="AA916" i="4"/>
  <c r="AA960" i="4"/>
  <c r="AA936" i="4"/>
  <c r="AA954" i="4"/>
  <c r="AA940" i="4"/>
  <c r="AA908" i="4"/>
  <c r="AA962" i="4"/>
  <c r="AA949" i="4"/>
  <c r="AA967" i="4"/>
  <c r="AA938" i="4"/>
  <c r="AA155" i="4"/>
  <c r="AA903" i="4"/>
  <c r="AA906" i="4"/>
  <c r="AA942" i="4"/>
  <c r="AA912" i="4"/>
  <c r="AA964" i="4"/>
  <c r="AA917" i="4"/>
  <c r="AA251" i="4"/>
  <c r="AA965" i="4"/>
  <c r="AA952" i="4"/>
  <c r="AA955" i="4"/>
  <c r="AA957" i="4"/>
  <c r="AA909" i="4"/>
  <c r="AA911" i="4"/>
  <c r="AA914" i="4"/>
  <c r="AA968" i="4"/>
  <c r="AA946" i="4"/>
  <c r="AA156" i="4"/>
  <c r="AA157" i="4"/>
  <c r="AA158" i="4"/>
  <c r="AA159" i="4"/>
  <c r="AA160" i="4"/>
  <c r="AA161" i="4"/>
  <c r="AA162" i="4"/>
  <c r="AA163" i="4"/>
  <c r="AA164" i="4"/>
  <c r="AA165" i="4"/>
  <c r="AA166" i="4"/>
  <c r="AA167" i="4"/>
  <c r="AA168" i="4"/>
  <c r="AA169" i="4"/>
  <c r="AA170" i="4"/>
  <c r="AA171" i="4"/>
  <c r="C82" i="4"/>
  <c r="R81" i="4"/>
  <c r="X309" i="4"/>
  <c r="X313" i="4"/>
  <c r="X317" i="4"/>
  <c r="X321" i="4"/>
  <c r="X310" i="4"/>
  <c r="X314" i="4"/>
  <c r="X318" i="4"/>
  <c r="X322" i="4"/>
  <c r="X307" i="4"/>
  <c r="X311" i="4"/>
  <c r="X315" i="4"/>
  <c r="X319" i="4"/>
  <c r="X323" i="4"/>
  <c r="X316" i="4"/>
  <c r="X1224" i="4"/>
  <c r="X1228" i="4"/>
  <c r="X1232" i="4"/>
  <c r="X1236" i="4"/>
  <c r="X1240" i="4"/>
  <c r="X1260" i="4"/>
  <c r="X320" i="4"/>
  <c r="X1225" i="4"/>
  <c r="X1229" i="4"/>
  <c r="X1233" i="4"/>
  <c r="X1237" i="4"/>
  <c r="X308" i="4"/>
  <c r="X1226" i="4"/>
  <c r="X1230" i="4"/>
  <c r="X1234" i="4"/>
  <c r="X1238" i="4"/>
  <c r="X312" i="4"/>
  <c r="X1227" i="4"/>
  <c r="X1231" i="4"/>
  <c r="X1235" i="4"/>
  <c r="X1239" i="4"/>
  <c r="N56" i="6"/>
  <c r="O55" i="6"/>
  <c r="AA184" i="4" s="1"/>
  <c r="C55" i="6"/>
  <c r="B56" i="6"/>
  <c r="L555" i="4"/>
  <c r="O554" i="4"/>
  <c r="L468" i="4"/>
  <c r="O466" i="4"/>
  <c r="K428" i="4"/>
  <c r="J463" i="4"/>
  <c r="Z463" i="4" s="1"/>
  <c r="K185" i="4"/>
  <c r="AA185" i="4" s="1"/>
  <c r="J182" i="4"/>
  <c r="Z182" i="4" s="1"/>
  <c r="B82" i="4"/>
  <c r="V82" i="4" s="1"/>
  <c r="AA172" i="4" l="1"/>
  <c r="AA173" i="4"/>
  <c r="AA174" i="4"/>
  <c r="AA175" i="4"/>
  <c r="AA176" i="4"/>
  <c r="AA177" i="4"/>
  <c r="AA178" i="4"/>
  <c r="AA179" i="4"/>
  <c r="AA180" i="4"/>
  <c r="AA181" i="4"/>
  <c r="AA182" i="4"/>
  <c r="AA183" i="4"/>
  <c r="C83" i="4"/>
  <c r="R82" i="4"/>
  <c r="X335" i="4"/>
  <c r="X336" i="4"/>
  <c r="X1283" i="4"/>
  <c r="X1287" i="4"/>
  <c r="X1291" i="4"/>
  <c r="X1295" i="4"/>
  <c r="X1284" i="4"/>
  <c r="X1288" i="4"/>
  <c r="X1292" i="4"/>
  <c r="X1296" i="4"/>
  <c r="X1285" i="4"/>
  <c r="X1289" i="4"/>
  <c r="X1293" i="4"/>
  <c r="X1297" i="4"/>
  <c r="X1613" i="4"/>
  <c r="X1282" i="4"/>
  <c r="X1286" i="4"/>
  <c r="X1290" i="4"/>
  <c r="X1294" i="4"/>
  <c r="X1298" i="4"/>
  <c r="X1610" i="4"/>
  <c r="O56" i="6"/>
  <c r="AA224" i="4" s="1"/>
  <c r="N57" i="6"/>
  <c r="B57" i="6"/>
  <c r="C56" i="6"/>
  <c r="L557" i="4"/>
  <c r="O555" i="4"/>
  <c r="L469" i="4"/>
  <c r="O468" i="4"/>
  <c r="K429" i="4"/>
  <c r="J464" i="4"/>
  <c r="Z464" i="4" s="1"/>
  <c r="K186" i="4"/>
  <c r="AA186" i="4" s="1"/>
  <c r="J183" i="4"/>
  <c r="Z183" i="4" s="1"/>
  <c r="L173" i="4"/>
  <c r="O173" i="4" s="1"/>
  <c r="B83" i="4"/>
  <c r="V83" i="4" s="1"/>
  <c r="C84" i="4" l="1"/>
  <c r="R83" i="4"/>
  <c r="X433" i="4"/>
  <c r="X437" i="4"/>
  <c r="X441" i="4"/>
  <c r="X445" i="4"/>
  <c r="X449" i="4"/>
  <c r="X453" i="4"/>
  <c r="X457" i="4"/>
  <c r="X461" i="4"/>
  <c r="X465" i="4"/>
  <c r="X469" i="4"/>
  <c r="X473" i="4"/>
  <c r="X477" i="4"/>
  <c r="X481" i="4"/>
  <c r="X557" i="4"/>
  <c r="X561" i="4"/>
  <c r="X565" i="4"/>
  <c r="X569" i="4"/>
  <c r="X573" i="4"/>
  <c r="X577" i="4"/>
  <c r="X581" i="4"/>
  <c r="X585" i="4"/>
  <c r="X589" i="4"/>
  <c r="X434" i="4"/>
  <c r="X438" i="4"/>
  <c r="X442" i="4"/>
  <c r="X446" i="4"/>
  <c r="X450" i="4"/>
  <c r="X454" i="4"/>
  <c r="X458" i="4"/>
  <c r="X462" i="4"/>
  <c r="X466" i="4"/>
  <c r="X470" i="4"/>
  <c r="X474" i="4"/>
  <c r="X478" i="4"/>
  <c r="X482" i="4"/>
  <c r="X558" i="4"/>
  <c r="X562" i="4"/>
  <c r="X566" i="4"/>
  <c r="X570" i="4"/>
  <c r="X574" i="4"/>
  <c r="X578" i="4"/>
  <c r="X582" i="4"/>
  <c r="X586" i="4"/>
  <c r="X435" i="4"/>
  <c r="X439" i="4"/>
  <c r="X443" i="4"/>
  <c r="X447" i="4"/>
  <c r="X451" i="4"/>
  <c r="X455" i="4"/>
  <c r="X459" i="4"/>
  <c r="X463" i="4"/>
  <c r="X467" i="4"/>
  <c r="X471" i="4"/>
  <c r="X475" i="4"/>
  <c r="X479" i="4"/>
  <c r="X483" i="4"/>
  <c r="X559" i="4"/>
  <c r="X563" i="4"/>
  <c r="X567" i="4"/>
  <c r="X571" i="4"/>
  <c r="X575" i="4"/>
  <c r="X579" i="4"/>
  <c r="X583" i="4"/>
  <c r="X587" i="4"/>
  <c r="X436" i="4"/>
  <c r="X452" i="4"/>
  <c r="X468" i="4"/>
  <c r="X564" i="4"/>
  <c r="X580" i="4"/>
  <c r="X440" i="4"/>
  <c r="X456" i="4"/>
  <c r="X472" i="4"/>
  <c r="X568" i="4"/>
  <c r="X584" i="4"/>
  <c r="X444" i="4"/>
  <c r="X460" i="4"/>
  <c r="X476" i="4"/>
  <c r="X556" i="4"/>
  <c r="X572" i="4"/>
  <c r="X588" i="4"/>
  <c r="X448" i="4"/>
  <c r="X464" i="4"/>
  <c r="X480" i="4"/>
  <c r="X560" i="4"/>
  <c r="X576" i="4"/>
  <c r="N58" i="6"/>
  <c r="O57" i="6"/>
  <c r="B58" i="6"/>
  <c r="C57" i="6"/>
  <c r="L558" i="4"/>
  <c r="O558" i="4" s="1"/>
  <c r="O557" i="4"/>
  <c r="L470" i="4"/>
  <c r="O469" i="4"/>
  <c r="K430" i="4"/>
  <c r="J465" i="4"/>
  <c r="Z465" i="4" s="1"/>
  <c r="K187" i="4"/>
  <c r="AA187" i="4" s="1"/>
  <c r="J184" i="4"/>
  <c r="Z184" i="4" s="1"/>
  <c r="L174" i="4"/>
  <c r="O174" i="4" s="1"/>
  <c r="B84" i="4"/>
  <c r="V84" i="4" s="1"/>
  <c r="AA225" i="4" l="1"/>
  <c r="C85" i="4"/>
  <c r="R84" i="4"/>
  <c r="X501" i="4"/>
  <c r="X505" i="4"/>
  <c r="X509" i="4"/>
  <c r="X513" i="4"/>
  <c r="X517" i="4"/>
  <c r="X521" i="4"/>
  <c r="X525" i="4"/>
  <c r="X529" i="4"/>
  <c r="X533" i="4"/>
  <c r="X502" i="4"/>
  <c r="X506" i="4"/>
  <c r="X510" i="4"/>
  <c r="X514" i="4"/>
  <c r="X518" i="4"/>
  <c r="X522" i="4"/>
  <c r="X526" i="4"/>
  <c r="X530" i="4"/>
  <c r="X534" i="4"/>
  <c r="X503" i="4"/>
  <c r="X507" i="4"/>
  <c r="X511" i="4"/>
  <c r="X515" i="4"/>
  <c r="X519" i="4"/>
  <c r="X523" i="4"/>
  <c r="X527" i="4"/>
  <c r="X531" i="4"/>
  <c r="X535" i="4"/>
  <c r="X516" i="4"/>
  <c r="X532" i="4"/>
  <c r="X504" i="4"/>
  <c r="X520" i="4"/>
  <c r="X536" i="4"/>
  <c r="X508" i="4"/>
  <c r="X524" i="4"/>
  <c r="X512" i="4"/>
  <c r="X528" i="4"/>
  <c r="O58" i="6"/>
  <c r="N59" i="6"/>
  <c r="B59" i="6"/>
  <c r="C58" i="6"/>
  <c r="X537" i="4" s="1"/>
  <c r="L559" i="4"/>
  <c r="O559" i="4" s="1"/>
  <c r="L471" i="4"/>
  <c r="O470" i="4"/>
  <c r="K431" i="4"/>
  <c r="J466" i="4"/>
  <c r="Z466" i="4" s="1"/>
  <c r="J185" i="4"/>
  <c r="Z185" i="4" s="1"/>
  <c r="K188" i="4"/>
  <c r="AA188" i="4" s="1"/>
  <c r="L175" i="4"/>
  <c r="O175" i="4" s="1"/>
  <c r="B85" i="4"/>
  <c r="V85" i="4" s="1"/>
  <c r="AA239" i="4" l="1"/>
  <c r="AA240" i="4"/>
  <c r="C86" i="4"/>
  <c r="R85" i="4"/>
  <c r="N60" i="6"/>
  <c r="O59" i="6"/>
  <c r="C59" i="6"/>
  <c r="B60" i="6"/>
  <c r="L560" i="4"/>
  <c r="O560" i="4" s="1"/>
  <c r="L472" i="4"/>
  <c r="O471" i="4"/>
  <c r="K432" i="4"/>
  <c r="L176" i="4"/>
  <c r="O176" i="4" s="1"/>
  <c r="J186" i="4"/>
  <c r="Z186" i="4" s="1"/>
  <c r="B86" i="4"/>
  <c r="V86" i="4" s="1"/>
  <c r="AA250" i="4" l="1"/>
  <c r="C87" i="4"/>
  <c r="R86" i="4"/>
  <c r="X134" i="4"/>
  <c r="X737" i="4"/>
  <c r="X741" i="4"/>
  <c r="X745" i="4"/>
  <c r="X749" i="4"/>
  <c r="X754" i="4"/>
  <c r="X758" i="4"/>
  <c r="X762" i="4"/>
  <c r="X765" i="4"/>
  <c r="X769" i="4"/>
  <c r="X773" i="4"/>
  <c r="X777" i="4"/>
  <c r="X781" i="4"/>
  <c r="X734" i="4"/>
  <c r="X738" i="4"/>
  <c r="X742" i="4"/>
  <c r="X746" i="4"/>
  <c r="X750" i="4"/>
  <c r="X755" i="4"/>
  <c r="X759" i="4"/>
  <c r="X763" i="4"/>
  <c r="X766" i="4"/>
  <c r="X770" i="4"/>
  <c r="X774" i="4"/>
  <c r="X778" i="4"/>
  <c r="X735" i="4"/>
  <c r="X739" i="4"/>
  <c r="X743" i="4"/>
  <c r="X747" i="4"/>
  <c r="X752" i="4"/>
  <c r="X756" i="4"/>
  <c r="X760" i="4"/>
  <c r="X767" i="4"/>
  <c r="X771" i="4"/>
  <c r="X775" i="4"/>
  <c r="X779" i="4"/>
  <c r="X740" i="4"/>
  <c r="X753" i="4"/>
  <c r="X768" i="4"/>
  <c r="X744" i="4"/>
  <c r="X757" i="4"/>
  <c r="X772" i="4"/>
  <c r="X748" i="4"/>
  <c r="X761" i="4"/>
  <c r="X776" i="4"/>
  <c r="X736" i="4"/>
  <c r="X751" i="4"/>
  <c r="X764" i="4"/>
  <c r="X780" i="4"/>
  <c r="O60" i="6"/>
  <c r="N61" i="6"/>
  <c r="B61" i="6"/>
  <c r="C60" i="6"/>
  <c r="L561" i="4"/>
  <c r="O561" i="4" s="1"/>
  <c r="L473" i="4"/>
  <c r="O472" i="4"/>
  <c r="J187" i="4"/>
  <c r="Z187" i="4" s="1"/>
  <c r="L177" i="4"/>
  <c r="O177" i="4" s="1"/>
  <c r="B87" i="4"/>
  <c r="V87" i="4" s="1"/>
  <c r="AA268" i="4" l="1"/>
  <c r="C88" i="4"/>
  <c r="R87" i="4"/>
  <c r="X1057" i="4"/>
  <c r="X1061" i="4"/>
  <c r="X1065" i="4"/>
  <c r="X1069" i="4"/>
  <c r="X1073" i="4"/>
  <c r="X1077" i="4"/>
  <c r="X1081" i="4"/>
  <c r="X1085" i="4"/>
  <c r="X1089" i="4"/>
  <c r="X1093" i="4"/>
  <c r="X1097" i="4"/>
  <c r="X1101" i="4"/>
  <c r="X1125" i="4"/>
  <c r="X1129" i="4"/>
  <c r="X1133" i="4"/>
  <c r="X1137" i="4"/>
  <c r="X1055" i="4"/>
  <c r="X1059" i="4"/>
  <c r="X1063" i="4"/>
  <c r="X1067" i="4"/>
  <c r="X1071" i="4"/>
  <c r="X1075" i="4"/>
  <c r="X1079" i="4"/>
  <c r="X1083" i="4"/>
  <c r="X1087" i="4"/>
  <c r="X1091" i="4"/>
  <c r="X1095" i="4"/>
  <c r="X1099" i="4"/>
  <c r="X1103" i="4"/>
  <c r="X1123" i="4"/>
  <c r="X1127" i="4"/>
  <c r="X1131" i="4"/>
  <c r="X1135" i="4"/>
  <c r="X1060" i="4"/>
  <c r="X1068" i="4"/>
  <c r="X1076" i="4"/>
  <c r="X1084" i="4"/>
  <c r="X1092" i="4"/>
  <c r="X1100" i="4"/>
  <c r="X1124" i="4"/>
  <c r="X1132" i="4"/>
  <c r="X1054" i="4"/>
  <c r="X1062" i="4"/>
  <c r="X1070" i="4"/>
  <c r="X1078" i="4"/>
  <c r="X1086" i="4"/>
  <c r="X1094" i="4"/>
  <c r="X1102" i="4"/>
  <c r="X1126" i="4"/>
  <c r="X1134" i="4"/>
  <c r="X1056" i="4"/>
  <c r="X1064" i="4"/>
  <c r="X1072" i="4"/>
  <c r="X1080" i="4"/>
  <c r="X1088" i="4"/>
  <c r="X1096" i="4"/>
  <c r="X1104" i="4"/>
  <c r="X1128" i="4"/>
  <c r="X1136" i="4"/>
  <c r="X1058" i="4"/>
  <c r="X1066" i="4"/>
  <c r="X1074" i="4"/>
  <c r="X1082" i="4"/>
  <c r="X1090" i="4"/>
  <c r="X1098" i="4"/>
  <c r="X1122" i="4"/>
  <c r="X1130" i="4"/>
  <c r="X1138" i="4"/>
  <c r="N62" i="6"/>
  <c r="O61" i="6"/>
  <c r="B62" i="6"/>
  <c r="C61" i="6"/>
  <c r="L562" i="4"/>
  <c r="O562" i="4" s="1"/>
  <c r="L474" i="4"/>
  <c r="O473" i="4"/>
  <c r="K434" i="4"/>
  <c r="J469" i="4"/>
  <c r="Z469" i="4" s="1"/>
  <c r="K192" i="4"/>
  <c r="AA192" i="4" s="1"/>
  <c r="L178" i="4"/>
  <c r="O178" i="4" s="1"/>
  <c r="J188" i="4"/>
  <c r="Z188" i="4" s="1"/>
  <c r="B88" i="4"/>
  <c r="V88" i="4" s="1"/>
  <c r="AA501" i="4" l="1"/>
  <c r="AA289" i="4"/>
  <c r="AA306" i="4"/>
  <c r="C89" i="4"/>
  <c r="R88" i="4"/>
  <c r="X1141" i="4"/>
  <c r="X1145" i="4"/>
  <c r="X1149" i="4"/>
  <c r="X1153" i="4"/>
  <c r="X1139" i="4"/>
  <c r="X1143" i="4"/>
  <c r="X1147" i="4"/>
  <c r="X1151" i="4"/>
  <c r="X1155" i="4"/>
  <c r="X1140" i="4"/>
  <c r="X1148" i="4"/>
  <c r="X1142" i="4"/>
  <c r="X1150" i="4"/>
  <c r="X1144" i="4"/>
  <c r="X1152" i="4"/>
  <c r="X1146" i="4"/>
  <c r="X1154" i="4"/>
  <c r="N63" i="6"/>
  <c r="O62" i="6"/>
  <c r="B63" i="6"/>
  <c r="C62" i="6"/>
  <c r="L563" i="4"/>
  <c r="O563" i="4" s="1"/>
  <c r="L475" i="4"/>
  <c r="O474" i="4"/>
  <c r="K435" i="4"/>
  <c r="J470" i="4"/>
  <c r="Z470" i="4" s="1"/>
  <c r="K193" i="4"/>
  <c r="AA193" i="4" s="1"/>
  <c r="L179" i="4"/>
  <c r="O179" i="4" s="1"/>
  <c r="B89" i="4"/>
  <c r="V89" i="4" s="1"/>
  <c r="AA518" i="4" l="1"/>
  <c r="AA1260" i="4"/>
  <c r="AA307" i="4"/>
  <c r="C90" i="4"/>
  <c r="R89" i="4"/>
  <c r="X1173" i="4"/>
  <c r="X1177" i="4"/>
  <c r="X1181" i="4"/>
  <c r="X1185" i="4"/>
  <c r="X1189" i="4"/>
  <c r="X1209" i="4"/>
  <c r="X1213" i="4"/>
  <c r="X1217" i="4"/>
  <c r="X1221" i="4"/>
  <c r="X1175" i="4"/>
  <c r="X1179" i="4"/>
  <c r="X1183" i="4"/>
  <c r="X1187" i="4"/>
  <c r="X1180" i="4"/>
  <c r="X1188" i="4"/>
  <c r="X1208" i="4"/>
  <c r="X1214" i="4"/>
  <c r="X1219" i="4"/>
  <c r="X1174" i="4"/>
  <c r="X1182" i="4"/>
  <c r="X1210" i="4"/>
  <c r="X1215" i="4"/>
  <c r="X1220" i="4"/>
  <c r="X1176" i="4"/>
  <c r="X1184" i="4"/>
  <c r="X1211" i="4"/>
  <c r="X1216" i="4"/>
  <c r="X1222" i="4"/>
  <c r="X1178" i="4"/>
  <c r="X1186" i="4"/>
  <c r="X1207" i="4"/>
  <c r="X1212" i="4"/>
  <c r="X1218" i="4"/>
  <c r="X1223" i="4"/>
  <c r="N64" i="6"/>
  <c r="O63" i="6"/>
  <c r="AA324" i="4" s="1"/>
  <c r="B64" i="6"/>
  <c r="C63" i="6"/>
  <c r="L564" i="4"/>
  <c r="O564" i="4" s="1"/>
  <c r="L476" i="4"/>
  <c r="O475" i="4"/>
  <c r="K436" i="4"/>
  <c r="J471" i="4"/>
  <c r="Z471" i="4" s="1"/>
  <c r="K194" i="4"/>
  <c r="AA194" i="4" s="1"/>
  <c r="L180" i="4"/>
  <c r="O180" i="4" s="1"/>
  <c r="J191" i="4"/>
  <c r="Z191" i="4" s="1"/>
  <c r="B90" i="4"/>
  <c r="V90" i="4" s="1"/>
  <c r="C91" i="4" l="1"/>
  <c r="R90" i="4"/>
  <c r="AA535" i="4"/>
  <c r="AA536" i="4"/>
  <c r="X1244" i="4"/>
  <c r="X1248" i="4"/>
  <c r="X1252" i="4"/>
  <c r="X1256" i="4"/>
  <c r="X1245" i="4"/>
  <c r="X1249" i="4"/>
  <c r="X1253" i="4"/>
  <c r="X1257" i="4"/>
  <c r="X1246" i="4"/>
  <c r="X1250" i="4"/>
  <c r="X1254" i="4"/>
  <c r="X1258" i="4"/>
  <c r="X1243" i="4"/>
  <c r="X1247" i="4"/>
  <c r="X1251" i="4"/>
  <c r="X1255" i="4"/>
  <c r="X1259" i="4"/>
  <c r="N65" i="6"/>
  <c r="O64" i="6"/>
  <c r="B65" i="6"/>
  <c r="C64" i="6"/>
  <c r="L565" i="4"/>
  <c r="O565" i="4" s="1"/>
  <c r="L477" i="4"/>
  <c r="O476" i="4"/>
  <c r="K437" i="4"/>
  <c r="J472" i="4"/>
  <c r="Z472" i="4" s="1"/>
  <c r="L181" i="4"/>
  <c r="O181" i="4" s="1"/>
  <c r="J192" i="4"/>
  <c r="Z192" i="4" s="1"/>
  <c r="K195" i="4"/>
  <c r="AA195" i="4" s="1"/>
  <c r="B91" i="4"/>
  <c r="V91" i="4" s="1"/>
  <c r="AA537" i="4" l="1"/>
  <c r="AA335" i="4"/>
  <c r="AA336" i="4"/>
  <c r="C92" i="4"/>
  <c r="R91" i="4"/>
  <c r="X1264" i="4"/>
  <c r="X1268" i="4"/>
  <c r="X1272" i="4"/>
  <c r="X1276" i="4"/>
  <c r="X1279" i="4"/>
  <c r="X1261" i="4"/>
  <c r="X1265" i="4"/>
  <c r="X1269" i="4"/>
  <c r="X1273" i="4"/>
  <c r="X1277" i="4"/>
  <c r="X1262" i="4"/>
  <c r="X1266" i="4"/>
  <c r="X1270" i="4"/>
  <c r="X1274" i="4"/>
  <c r="X1263" i="4"/>
  <c r="X1267" i="4"/>
  <c r="X1271" i="4"/>
  <c r="X1275" i="4"/>
  <c r="X1278" i="4"/>
  <c r="N66" i="6"/>
  <c r="O65" i="6"/>
  <c r="C65" i="6"/>
  <c r="B66" i="6"/>
  <c r="L566" i="4"/>
  <c r="O566" i="4" s="1"/>
  <c r="L478" i="4"/>
  <c r="O477" i="4"/>
  <c r="K438" i="4"/>
  <c r="J473" i="4"/>
  <c r="Z473" i="4" s="1"/>
  <c r="L182" i="4"/>
  <c r="O182" i="4" s="1"/>
  <c r="K196" i="4"/>
  <c r="AA196" i="4" s="1"/>
  <c r="J193" i="4"/>
  <c r="Z193" i="4" s="1"/>
  <c r="B92" i="4"/>
  <c r="V92" i="4" s="1"/>
  <c r="AA538" i="4" l="1"/>
  <c r="AA337" i="4"/>
  <c r="C93" i="4"/>
  <c r="R92" i="4"/>
  <c r="X1319" i="4"/>
  <c r="X1323" i="4"/>
  <c r="X1327" i="4"/>
  <c r="X1331" i="4"/>
  <c r="X1316" i="4"/>
  <c r="X1320" i="4"/>
  <c r="X1324" i="4"/>
  <c r="X1328" i="4"/>
  <c r="X1317" i="4"/>
  <c r="X1321" i="4"/>
  <c r="X1325" i="4"/>
  <c r="X1329" i="4"/>
  <c r="X1318" i="4"/>
  <c r="X1322" i="4"/>
  <c r="X1326" i="4"/>
  <c r="X1330" i="4"/>
  <c r="O66" i="6"/>
  <c r="N67" i="6"/>
  <c r="B67" i="6"/>
  <c r="C66" i="6"/>
  <c r="L567" i="4"/>
  <c r="O567" i="4" s="1"/>
  <c r="L479" i="4"/>
  <c r="O478" i="4"/>
  <c r="K439" i="4"/>
  <c r="J474" i="4"/>
  <c r="Z474" i="4" s="1"/>
  <c r="J194" i="4"/>
  <c r="Z194" i="4" s="1"/>
  <c r="L183" i="4"/>
  <c r="O183" i="4" s="1"/>
  <c r="K197" i="4"/>
  <c r="AA197" i="4" s="1"/>
  <c r="B93" i="4"/>
  <c r="V93" i="4" s="1"/>
  <c r="AA338" i="4" l="1"/>
  <c r="AA339" i="4"/>
  <c r="C94" i="4"/>
  <c r="R93" i="4"/>
  <c r="X1335" i="4"/>
  <c r="X1339" i="4"/>
  <c r="X1343" i="4"/>
  <c r="X1347" i="4"/>
  <c r="X1579" i="4"/>
  <c r="X1583" i="4"/>
  <c r="X1587" i="4"/>
  <c r="X1591" i="4"/>
  <c r="X1332" i="4"/>
  <c r="X1336" i="4"/>
  <c r="X1340" i="4"/>
  <c r="X1344" i="4"/>
  <c r="X1348" i="4"/>
  <c r="X1576" i="4"/>
  <c r="X1580" i="4"/>
  <c r="X1584" i="4"/>
  <c r="X1588" i="4"/>
  <c r="X1592" i="4"/>
  <c r="X1333" i="4"/>
  <c r="X1337" i="4"/>
  <c r="X1341" i="4"/>
  <c r="X1345" i="4"/>
  <c r="X1577" i="4"/>
  <c r="X1581" i="4"/>
  <c r="X1585" i="4"/>
  <c r="X1589" i="4"/>
  <c r="X1334" i="4"/>
  <c r="X1338" i="4"/>
  <c r="X1342" i="4"/>
  <c r="X1346" i="4"/>
  <c r="X1578" i="4"/>
  <c r="X1582" i="4"/>
  <c r="X1586" i="4"/>
  <c r="X1590" i="4"/>
  <c r="N68" i="6"/>
  <c r="O67" i="6"/>
  <c r="AA374" i="4" s="1"/>
  <c r="B68" i="6"/>
  <c r="C67" i="6"/>
  <c r="L568" i="4"/>
  <c r="O568" i="4" s="1"/>
  <c r="L480" i="4"/>
  <c r="O479" i="4"/>
  <c r="K440" i="4"/>
  <c r="J475" i="4"/>
  <c r="Z475" i="4" s="1"/>
  <c r="K198" i="4"/>
  <c r="AA198" i="4" s="1"/>
  <c r="L184" i="4"/>
  <c r="O184" i="4" s="1"/>
  <c r="J195" i="4"/>
  <c r="Z195" i="4" s="1"/>
  <c r="B94" i="4"/>
  <c r="V94" i="4" s="1"/>
  <c r="C95" i="4" l="1"/>
  <c r="R94" i="4"/>
  <c r="B95" i="4"/>
  <c r="V95" i="4" s="1"/>
  <c r="X1351" i="4"/>
  <c r="X1355" i="4"/>
  <c r="X1359" i="4"/>
  <c r="X1363" i="4"/>
  <c r="X1595" i="4"/>
  <c r="X1599" i="4"/>
  <c r="X1603" i="4"/>
  <c r="X1607" i="4"/>
  <c r="X1352" i="4"/>
  <c r="X1356" i="4"/>
  <c r="X1360" i="4"/>
  <c r="X1364" i="4"/>
  <c r="X1596" i="4"/>
  <c r="X1600" i="4"/>
  <c r="X1349" i="4"/>
  <c r="X1353" i="4"/>
  <c r="X1357" i="4"/>
  <c r="X1361" i="4"/>
  <c r="X1365" i="4"/>
  <c r="X1593" i="4"/>
  <c r="X1597" i="4"/>
  <c r="X1601" i="4"/>
  <c r="X1605" i="4"/>
  <c r="X1609" i="4"/>
  <c r="X1350" i="4"/>
  <c r="X1354" i="4"/>
  <c r="X1358" i="4"/>
  <c r="X1362" i="4"/>
  <c r="X1594" i="4"/>
  <c r="X1606" i="4"/>
  <c r="X1598" i="4"/>
  <c r="X1608" i="4"/>
  <c r="X1602" i="4"/>
  <c r="X1604" i="4"/>
  <c r="O68" i="6"/>
  <c r="N69" i="6"/>
  <c r="B69" i="6"/>
  <c r="C68" i="6"/>
  <c r="L569" i="4"/>
  <c r="O569" i="4" s="1"/>
  <c r="L481" i="4"/>
  <c r="O480" i="4"/>
  <c r="K441" i="4"/>
  <c r="J476" i="4"/>
  <c r="Z476" i="4" s="1"/>
  <c r="L185" i="4"/>
  <c r="O185" i="4" s="1"/>
  <c r="J196" i="4"/>
  <c r="Z196" i="4" s="1"/>
  <c r="K199" i="4"/>
  <c r="AA199" i="4" s="1"/>
  <c r="AA641" i="4" l="1"/>
  <c r="AA375" i="4"/>
  <c r="C96" i="4"/>
  <c r="R95" i="4"/>
  <c r="N70" i="6"/>
  <c r="O69" i="6"/>
  <c r="C69" i="6"/>
  <c r="B70" i="6"/>
  <c r="L570" i="4"/>
  <c r="O570" i="4" s="1"/>
  <c r="L482" i="4"/>
  <c r="O481" i="4"/>
  <c r="K442" i="4"/>
  <c r="J477" i="4"/>
  <c r="Z477" i="4" s="1"/>
  <c r="L186" i="4"/>
  <c r="O186" i="4" s="1"/>
  <c r="K200" i="4"/>
  <c r="AA200" i="4" s="1"/>
  <c r="J197" i="4"/>
  <c r="Z197" i="4" s="1"/>
  <c r="AA383" i="4" l="1"/>
  <c r="AA391" i="4"/>
  <c r="AA376" i="4"/>
  <c r="AA384" i="4"/>
  <c r="AA392" i="4"/>
  <c r="AA377" i="4"/>
  <c r="AA385" i="4"/>
  <c r="AA389" i="4"/>
  <c r="AA378" i="4"/>
  <c r="AA386" i="4"/>
  <c r="AA390" i="4"/>
  <c r="AA379" i="4"/>
  <c r="AA387" i="4"/>
  <c r="AA380" i="4"/>
  <c r="AA388" i="4"/>
  <c r="AA381" i="4"/>
  <c r="AA382" i="4"/>
  <c r="C97" i="4"/>
  <c r="R96" i="4"/>
  <c r="X1037" i="4"/>
  <c r="X1038" i="4"/>
  <c r="X1039" i="4"/>
  <c r="X1040" i="4"/>
  <c r="X1041" i="4"/>
  <c r="X1042" i="4"/>
  <c r="X1043" i="4"/>
  <c r="X1044" i="4"/>
  <c r="X1045" i="4"/>
  <c r="X1046" i="4"/>
  <c r="X1047" i="4"/>
  <c r="X1048" i="4"/>
  <c r="X1049" i="4"/>
  <c r="X1050" i="4"/>
  <c r="X1051" i="4"/>
  <c r="X1052" i="4"/>
  <c r="X1053" i="4"/>
  <c r="O70" i="6"/>
  <c r="N71" i="6"/>
  <c r="B71" i="6"/>
  <c r="C70" i="6"/>
  <c r="X1241" i="4" s="1"/>
  <c r="L571" i="4"/>
  <c r="O571" i="4" s="1"/>
  <c r="L483" i="4"/>
  <c r="O482" i="4"/>
  <c r="K443" i="4"/>
  <c r="J478" i="4"/>
  <c r="Z478" i="4" s="1"/>
  <c r="J198" i="4"/>
  <c r="Z198" i="4" s="1"/>
  <c r="L187" i="4"/>
  <c r="O187" i="4" s="1"/>
  <c r="K201" i="4"/>
  <c r="AA201" i="4" s="1"/>
  <c r="B96" i="4"/>
  <c r="V96" i="4" s="1"/>
  <c r="AA659" i="4" l="1"/>
  <c r="AA398" i="4"/>
  <c r="AA406" i="4"/>
  <c r="AA399" i="4"/>
  <c r="AA407" i="4"/>
  <c r="AA400" i="4"/>
  <c r="AA408" i="4"/>
  <c r="AA405" i="4"/>
  <c r="AA393" i="4"/>
  <c r="AA401" i="4"/>
  <c r="AA409" i="4"/>
  <c r="AA394" i="4"/>
  <c r="AA402" i="4"/>
  <c r="AA397" i="4"/>
  <c r="AA395" i="4"/>
  <c r="AA403" i="4"/>
  <c r="AA396" i="4"/>
  <c r="AA404" i="4"/>
  <c r="C98" i="4"/>
  <c r="R97" i="4"/>
  <c r="N72" i="6"/>
  <c r="O71" i="6"/>
  <c r="B72" i="6"/>
  <c r="C71" i="6"/>
  <c r="X1242" i="4" s="1"/>
  <c r="L572" i="4"/>
  <c r="O572" i="4" s="1"/>
  <c r="L485" i="4"/>
  <c r="O483" i="4"/>
  <c r="K444" i="4"/>
  <c r="J479" i="4"/>
  <c r="Z479" i="4" s="1"/>
  <c r="K202" i="4"/>
  <c r="AA202" i="4" s="1"/>
  <c r="L188" i="4"/>
  <c r="O188" i="4" s="1"/>
  <c r="J199" i="4"/>
  <c r="Z199" i="4" s="1"/>
  <c r="B97" i="4"/>
  <c r="V97" i="4" s="1"/>
  <c r="AA411" i="4" l="1"/>
  <c r="AA412" i="4"/>
  <c r="AA413" i="4"/>
  <c r="AA414" i="4"/>
  <c r="C99" i="4"/>
  <c r="R98" i="4"/>
  <c r="O72" i="6"/>
  <c r="N73" i="6"/>
  <c r="B73" i="6"/>
  <c r="C72" i="6"/>
  <c r="L574" i="4"/>
  <c r="L486" i="4"/>
  <c r="O485" i="4"/>
  <c r="K445" i="4"/>
  <c r="J480" i="4"/>
  <c r="Z480" i="4" s="1"/>
  <c r="J200" i="4"/>
  <c r="Z200" i="4" s="1"/>
  <c r="K203" i="4"/>
  <c r="AA203" i="4" s="1"/>
  <c r="B98" i="4"/>
  <c r="V98" i="4" s="1"/>
  <c r="AA693" i="4" l="1"/>
  <c r="AA415" i="4"/>
  <c r="C100" i="4"/>
  <c r="R99" i="4"/>
  <c r="X1367" i="4"/>
  <c r="X1371" i="4"/>
  <c r="X1375" i="4"/>
  <c r="X1379" i="4"/>
  <c r="X1368" i="4"/>
  <c r="X1372" i="4"/>
  <c r="X1376" i="4"/>
  <c r="X1380" i="4"/>
  <c r="X1369" i="4"/>
  <c r="X1373" i="4"/>
  <c r="X1377" i="4"/>
  <c r="X1381" i="4"/>
  <c r="X1366" i="4"/>
  <c r="X1370" i="4"/>
  <c r="X1374" i="4"/>
  <c r="X1378" i="4"/>
  <c r="X1382" i="4"/>
  <c r="N74" i="6"/>
  <c r="O73" i="6"/>
  <c r="C73" i="6"/>
  <c r="B74" i="6"/>
  <c r="L575" i="4"/>
  <c r="O574" i="4"/>
  <c r="L487" i="4"/>
  <c r="O486" i="4"/>
  <c r="K446" i="4"/>
  <c r="J481" i="4"/>
  <c r="Z481" i="4" s="1"/>
  <c r="L191" i="4"/>
  <c r="K204" i="4"/>
  <c r="AA204" i="4" s="1"/>
  <c r="J201" i="4"/>
  <c r="Z201" i="4" s="1"/>
  <c r="B99" i="4"/>
  <c r="V99" i="4" s="1"/>
  <c r="AA428" i="4" l="1"/>
  <c r="AA429" i="4"/>
  <c r="AA416" i="4"/>
  <c r="AA417" i="4"/>
  <c r="AA425" i="4"/>
  <c r="AA418" i="4"/>
  <c r="AA426" i="4"/>
  <c r="AA419" i="4"/>
  <c r="AA427" i="4"/>
  <c r="AA420" i="4"/>
  <c r="AA421" i="4"/>
  <c r="AA422" i="4"/>
  <c r="AA424" i="4"/>
  <c r="AA423" i="4"/>
  <c r="AA430" i="4"/>
  <c r="AA431" i="4"/>
  <c r="AA432" i="4"/>
  <c r="C101" i="4"/>
  <c r="R100" i="4"/>
  <c r="X1383" i="4"/>
  <c r="X1387" i="4"/>
  <c r="X1391" i="4"/>
  <c r="X1395" i="4"/>
  <c r="X1399" i="4"/>
  <c r="X1384" i="4"/>
  <c r="X1388" i="4"/>
  <c r="X1392" i="4"/>
  <c r="X1396" i="4"/>
  <c r="X1400" i="4"/>
  <c r="X1385" i="4"/>
  <c r="X1389" i="4"/>
  <c r="X1393" i="4"/>
  <c r="X1397" i="4"/>
  <c r="X1401" i="4"/>
  <c r="X1386" i="4"/>
  <c r="X1390" i="4"/>
  <c r="X1394" i="4"/>
  <c r="X1398" i="4"/>
  <c r="O74" i="6"/>
  <c r="N75" i="6"/>
  <c r="B75" i="6"/>
  <c r="C74" i="6"/>
  <c r="L576" i="4"/>
  <c r="O575" i="4"/>
  <c r="L488" i="4"/>
  <c r="O487" i="4"/>
  <c r="K447" i="4"/>
  <c r="AA447" i="4" s="1"/>
  <c r="J482" i="4"/>
  <c r="Z482" i="4" s="1"/>
  <c r="J202" i="4"/>
  <c r="Z202" i="4" s="1"/>
  <c r="L192" i="4"/>
  <c r="K205" i="4"/>
  <c r="AA205" i="4" s="1"/>
  <c r="B100" i="4"/>
  <c r="V100" i="4" s="1"/>
  <c r="AA433" i="4" l="1"/>
  <c r="AA450" i="4"/>
  <c r="AA434" i="4"/>
  <c r="AA435" i="4"/>
  <c r="AA436" i="4"/>
  <c r="AA437" i="4"/>
  <c r="AA438" i="4"/>
  <c r="AA439" i="4"/>
  <c r="AA440" i="4"/>
  <c r="AA556" i="4"/>
  <c r="AA573" i="4"/>
  <c r="AA441" i="4"/>
  <c r="AA442" i="4"/>
  <c r="AA443" i="4"/>
  <c r="AA444" i="4"/>
  <c r="AA445" i="4"/>
  <c r="AA446" i="4"/>
  <c r="C102" i="4"/>
  <c r="R101" i="4"/>
  <c r="X31" i="4"/>
  <c r="X35" i="4"/>
  <c r="X39" i="4"/>
  <c r="X42" i="4"/>
  <c r="X32" i="4"/>
  <c r="X36" i="4"/>
  <c r="X43" i="4"/>
  <c r="X29" i="4"/>
  <c r="X33" i="4"/>
  <c r="X37" i="4"/>
  <c r="X40" i="4"/>
  <c r="X44" i="4"/>
  <c r="X30" i="4"/>
  <c r="X34" i="4"/>
  <c r="X38" i="4"/>
  <c r="X41" i="4"/>
  <c r="N76" i="6"/>
  <c r="O75" i="6"/>
  <c r="B76" i="6"/>
  <c r="C75" i="6"/>
  <c r="L577" i="4"/>
  <c r="O576" i="4"/>
  <c r="L489" i="4"/>
  <c r="O488" i="4"/>
  <c r="K448" i="4"/>
  <c r="AA448" i="4" s="1"/>
  <c r="J483" i="4"/>
  <c r="Z483" i="4" s="1"/>
  <c r="K206" i="4"/>
  <c r="AA206" i="4" s="1"/>
  <c r="L193" i="4"/>
  <c r="J203" i="4"/>
  <c r="Z203" i="4" s="1"/>
  <c r="B101" i="4"/>
  <c r="V101" i="4" s="1"/>
  <c r="AA467" i="4" l="1"/>
  <c r="C103" i="4"/>
  <c r="R102" i="4"/>
  <c r="X173" i="4"/>
  <c r="X177" i="4"/>
  <c r="X181" i="4"/>
  <c r="X185" i="4"/>
  <c r="X174" i="4"/>
  <c r="X175" i="4"/>
  <c r="X179" i="4"/>
  <c r="X183" i="4"/>
  <c r="X187" i="4"/>
  <c r="X172" i="4"/>
  <c r="X182" i="4"/>
  <c r="X176" i="4"/>
  <c r="X184" i="4"/>
  <c r="X178" i="4"/>
  <c r="X186" i="4"/>
  <c r="X180" i="4"/>
  <c r="X188" i="4"/>
  <c r="O76" i="6"/>
  <c r="N77" i="6"/>
  <c r="C76" i="6"/>
  <c r="B77" i="6"/>
  <c r="L578" i="4"/>
  <c r="O577" i="4"/>
  <c r="L490" i="4"/>
  <c r="O489" i="4"/>
  <c r="K449" i="4"/>
  <c r="AA449" i="4" s="1"/>
  <c r="L194" i="4"/>
  <c r="J204" i="4"/>
  <c r="Z204" i="4" s="1"/>
  <c r="B102" i="4"/>
  <c r="V102" i="4" s="1"/>
  <c r="AA484" i="4" l="1"/>
  <c r="C104" i="4"/>
  <c r="R103" i="4"/>
  <c r="X485" i="4"/>
  <c r="X489" i="4"/>
  <c r="X493" i="4"/>
  <c r="X497" i="4"/>
  <c r="X486" i="4"/>
  <c r="X490" i="4"/>
  <c r="X494" i="4"/>
  <c r="X498" i="4"/>
  <c r="X487" i="4"/>
  <c r="X491" i="4"/>
  <c r="X495" i="4"/>
  <c r="X499" i="4"/>
  <c r="X484" i="4"/>
  <c r="X500" i="4"/>
  <c r="X488" i="4"/>
  <c r="X492" i="4"/>
  <c r="X496" i="4"/>
  <c r="N78" i="6"/>
  <c r="O77" i="6"/>
  <c r="C77" i="6"/>
  <c r="X641" i="4" s="1"/>
  <c r="B78" i="6"/>
  <c r="L579" i="4"/>
  <c r="O578" i="4"/>
  <c r="L491" i="4"/>
  <c r="O490" i="4"/>
  <c r="J205" i="4"/>
  <c r="Z205" i="4" s="1"/>
  <c r="K208" i="4"/>
  <c r="AA208" i="4" s="1"/>
  <c r="L195" i="4"/>
  <c r="B103" i="4"/>
  <c r="V103" i="4" s="1"/>
  <c r="AA698" i="4" l="1"/>
  <c r="AA539" i="4"/>
  <c r="C105" i="4"/>
  <c r="R104" i="4"/>
  <c r="O78" i="6"/>
  <c r="N79" i="6"/>
  <c r="C78" i="6"/>
  <c r="B79" i="6"/>
  <c r="L580" i="4"/>
  <c r="O579" i="4"/>
  <c r="L492" i="4"/>
  <c r="O491" i="4"/>
  <c r="K451" i="4"/>
  <c r="AA451" i="4" s="1"/>
  <c r="J486" i="4"/>
  <c r="Z486" i="4" s="1"/>
  <c r="L196" i="4"/>
  <c r="K209" i="4"/>
  <c r="AA209" i="4" s="1"/>
  <c r="J206" i="4"/>
  <c r="Z206" i="4" s="1"/>
  <c r="B104" i="4"/>
  <c r="V104" i="4" s="1"/>
  <c r="AA715" i="4" l="1"/>
  <c r="AA642" i="4"/>
  <c r="C106" i="4"/>
  <c r="R105" i="4"/>
  <c r="X1403" i="4"/>
  <c r="X1407" i="4"/>
  <c r="X1411" i="4"/>
  <c r="X1415" i="4"/>
  <c r="X1419" i="4"/>
  <c r="X1404" i="4"/>
  <c r="X1408" i="4"/>
  <c r="X1412" i="4"/>
  <c r="X1416" i="4"/>
  <c r="X1405" i="4"/>
  <c r="X1409" i="4"/>
  <c r="X1413" i="4"/>
  <c r="X1417" i="4"/>
  <c r="X1402" i="4"/>
  <c r="X1406" i="4"/>
  <c r="X1410" i="4"/>
  <c r="X1414" i="4"/>
  <c r="X1418" i="4"/>
  <c r="C79" i="6"/>
  <c r="B80" i="6"/>
  <c r="O79" i="6"/>
  <c r="N80" i="6"/>
  <c r="L581" i="4"/>
  <c r="O580" i="4"/>
  <c r="L493" i="4"/>
  <c r="O492" i="4"/>
  <c r="K452" i="4"/>
  <c r="AA452" i="4" s="1"/>
  <c r="J487" i="4"/>
  <c r="Z487" i="4" s="1"/>
  <c r="K210" i="4"/>
  <c r="AA210" i="4" s="1"/>
  <c r="L197" i="4"/>
  <c r="B105" i="4"/>
  <c r="V105" i="4" s="1"/>
  <c r="AA716" i="4" l="1"/>
  <c r="AA676" i="4"/>
  <c r="C107" i="4"/>
  <c r="R106" i="4"/>
  <c r="X1423" i="4"/>
  <c r="X1427" i="4"/>
  <c r="X1431" i="4"/>
  <c r="X1435" i="4"/>
  <c r="X1439" i="4"/>
  <c r="X1443" i="4"/>
  <c r="X1447" i="4"/>
  <c r="X1451" i="4"/>
  <c r="X1420" i="4"/>
  <c r="X1424" i="4"/>
  <c r="X1428" i="4"/>
  <c r="X1432" i="4"/>
  <c r="X1436" i="4"/>
  <c r="X1440" i="4"/>
  <c r="X1444" i="4"/>
  <c r="X1448" i="4"/>
  <c r="X1452" i="4"/>
  <c r="X1421" i="4"/>
  <c r="X1425" i="4"/>
  <c r="X1429" i="4"/>
  <c r="X1433" i="4"/>
  <c r="X1437" i="4"/>
  <c r="X1441" i="4"/>
  <c r="X1445" i="4"/>
  <c r="X1449" i="4"/>
  <c r="X1453" i="4"/>
  <c r="X1422" i="4"/>
  <c r="X1426" i="4"/>
  <c r="X1430" i="4"/>
  <c r="X1434" i="4"/>
  <c r="X1438" i="4"/>
  <c r="X1442" i="4"/>
  <c r="X1446" i="4"/>
  <c r="X1450" i="4"/>
  <c r="O80" i="6"/>
  <c r="N81" i="6"/>
  <c r="B81" i="6"/>
  <c r="C80" i="6"/>
  <c r="L582" i="4"/>
  <c r="O581" i="4"/>
  <c r="L494" i="4"/>
  <c r="O493" i="4"/>
  <c r="K453" i="4"/>
  <c r="AA453" i="4" s="1"/>
  <c r="J488" i="4"/>
  <c r="Z488" i="4" s="1"/>
  <c r="L198" i="4"/>
  <c r="K211" i="4"/>
  <c r="AA211" i="4" s="1"/>
  <c r="B106" i="4"/>
  <c r="V106" i="4" s="1"/>
  <c r="AA694" i="4" l="1"/>
  <c r="C108" i="4"/>
  <c r="R107" i="4"/>
  <c r="X1455" i="4"/>
  <c r="X1459" i="4"/>
  <c r="X1463" i="4"/>
  <c r="X1467" i="4"/>
  <c r="X1491" i="4"/>
  <c r="X1495" i="4"/>
  <c r="X1499" i="4"/>
  <c r="X1503" i="4"/>
  <c r="X1507" i="4"/>
  <c r="X1511" i="4"/>
  <c r="X1515" i="4"/>
  <c r="X1519" i="4"/>
  <c r="X1456" i="4"/>
  <c r="X1460" i="4"/>
  <c r="X1464" i="4"/>
  <c r="X1468" i="4"/>
  <c r="X1488" i="4"/>
  <c r="X1492" i="4"/>
  <c r="X1496" i="4"/>
  <c r="X1500" i="4"/>
  <c r="X1504" i="4"/>
  <c r="X1508" i="4"/>
  <c r="X1512" i="4"/>
  <c r="X1516" i="4"/>
  <c r="X1520" i="4"/>
  <c r="X1457" i="4"/>
  <c r="X1461" i="4"/>
  <c r="X1465" i="4"/>
  <c r="X1469" i="4"/>
  <c r="X1489" i="4"/>
  <c r="X1493" i="4"/>
  <c r="X1497" i="4"/>
  <c r="X1501" i="4"/>
  <c r="X1505" i="4"/>
  <c r="X1509" i="4"/>
  <c r="X1513" i="4"/>
  <c r="X1517" i="4"/>
  <c r="X1521" i="4"/>
  <c r="X1454" i="4"/>
  <c r="X1458" i="4"/>
  <c r="X1462" i="4"/>
  <c r="X1466" i="4"/>
  <c r="X1470" i="4"/>
  <c r="X1490" i="4"/>
  <c r="X1494" i="4"/>
  <c r="X1498" i="4"/>
  <c r="X1502" i="4"/>
  <c r="X1506" i="4"/>
  <c r="X1510" i="4"/>
  <c r="X1514" i="4"/>
  <c r="X1518" i="4"/>
  <c r="X1522" i="4"/>
  <c r="C81" i="6"/>
  <c r="X1523" i="4" s="1"/>
  <c r="B82" i="6"/>
  <c r="N82" i="6"/>
  <c r="O81" i="6"/>
  <c r="AA695" i="4" s="1"/>
  <c r="L583" i="4"/>
  <c r="O582" i="4"/>
  <c r="L495" i="4"/>
  <c r="O494" i="4"/>
  <c r="K454" i="4"/>
  <c r="AA454" i="4" s="1"/>
  <c r="J489" i="4"/>
  <c r="Z489" i="4" s="1"/>
  <c r="J209" i="4"/>
  <c r="Z209" i="4" s="1"/>
  <c r="K212" i="4"/>
  <c r="AA212" i="4" s="1"/>
  <c r="L199" i="4"/>
  <c r="B107" i="4"/>
  <c r="V107" i="4" s="1"/>
  <c r="C109" i="4" l="1"/>
  <c r="R108" i="4"/>
  <c r="O82" i="6"/>
  <c r="N83" i="6"/>
  <c r="C82" i="6"/>
  <c r="X1524" i="4" s="1"/>
  <c r="B83" i="6"/>
  <c r="L584" i="4"/>
  <c r="O583" i="4"/>
  <c r="L496" i="4"/>
  <c r="O495" i="4"/>
  <c r="K455" i="4"/>
  <c r="AA455" i="4" s="1"/>
  <c r="J490" i="4"/>
  <c r="Z490" i="4" s="1"/>
  <c r="L200" i="4"/>
  <c r="K213" i="4"/>
  <c r="AA213" i="4" s="1"/>
  <c r="J210" i="4"/>
  <c r="Z210" i="4" s="1"/>
  <c r="B108" i="4"/>
  <c r="V108" i="4" s="1"/>
  <c r="AA696" i="4" l="1"/>
  <c r="AA733" i="4"/>
  <c r="C110" i="4"/>
  <c r="R109" i="4"/>
  <c r="C83" i="6"/>
  <c r="X1525" i="4" s="1"/>
  <c r="B84" i="6"/>
  <c r="N84" i="6"/>
  <c r="O83" i="6"/>
  <c r="AA697" i="4" s="1"/>
  <c r="L585" i="4"/>
  <c r="O584" i="4"/>
  <c r="L497" i="4"/>
  <c r="O496" i="4"/>
  <c r="K456" i="4"/>
  <c r="AA456" i="4" s="1"/>
  <c r="J491" i="4"/>
  <c r="Z491" i="4" s="1"/>
  <c r="K214" i="4"/>
  <c r="AA214" i="4" s="1"/>
  <c r="J211" i="4"/>
  <c r="Z211" i="4" s="1"/>
  <c r="L201" i="4"/>
  <c r="B109" i="4"/>
  <c r="V109" i="4" s="1"/>
  <c r="C111" i="4" l="1"/>
  <c r="R110" i="4"/>
  <c r="AA751" i="4"/>
  <c r="AA752" i="4"/>
  <c r="AA753" i="4"/>
  <c r="AA754" i="4"/>
  <c r="AA755" i="4"/>
  <c r="AA756" i="4"/>
  <c r="AA757" i="4"/>
  <c r="AA758" i="4"/>
  <c r="AA759" i="4"/>
  <c r="AA760" i="4"/>
  <c r="AA761" i="4"/>
  <c r="AA762" i="4"/>
  <c r="AA763" i="4"/>
  <c r="AA764" i="4"/>
  <c r="N85" i="6"/>
  <c r="O84" i="6"/>
  <c r="B85" i="6"/>
  <c r="C84" i="6"/>
  <c r="L586" i="4"/>
  <c r="O585" i="4"/>
  <c r="L498" i="4"/>
  <c r="O497" i="4"/>
  <c r="K457" i="4"/>
  <c r="AA457" i="4" s="1"/>
  <c r="J492" i="4"/>
  <c r="Z492" i="4" s="1"/>
  <c r="L202" i="4"/>
  <c r="J212" i="4"/>
  <c r="Z212" i="4" s="1"/>
  <c r="K215" i="4"/>
  <c r="AA215" i="4" s="1"/>
  <c r="B110" i="4"/>
  <c r="V110" i="4" s="1"/>
  <c r="AA734" i="4" l="1"/>
  <c r="AA735" i="4"/>
  <c r="C112" i="4"/>
  <c r="R111" i="4"/>
  <c r="X1527" i="4"/>
  <c r="X1531" i="4"/>
  <c r="X1535" i="4"/>
  <c r="X1528" i="4"/>
  <c r="X1532" i="4"/>
  <c r="X1536" i="4"/>
  <c r="X1529" i="4"/>
  <c r="X1533" i="4"/>
  <c r="X1537" i="4"/>
  <c r="X1526" i="4"/>
  <c r="X1530" i="4"/>
  <c r="X1534" i="4"/>
  <c r="X1538" i="4"/>
  <c r="N86" i="6"/>
  <c r="O85" i="6"/>
  <c r="C85" i="6"/>
  <c r="B86" i="6"/>
  <c r="L587" i="4"/>
  <c r="O586" i="4"/>
  <c r="L499" i="4"/>
  <c r="O498" i="4"/>
  <c r="K458" i="4"/>
  <c r="AA458" i="4" s="1"/>
  <c r="J493" i="4"/>
  <c r="Z493" i="4" s="1"/>
  <c r="J213" i="4"/>
  <c r="Z213" i="4" s="1"/>
  <c r="L203" i="4"/>
  <c r="K216" i="4"/>
  <c r="AA216" i="4" s="1"/>
  <c r="B111" i="4"/>
  <c r="V111" i="4" s="1"/>
  <c r="AA769" i="4" l="1"/>
  <c r="AA780" i="4"/>
  <c r="AA774" i="4"/>
  <c r="AA778" i="4"/>
  <c r="AA765" i="4"/>
  <c r="AA773" i="4"/>
  <c r="AA766" i="4"/>
  <c r="AA770" i="4"/>
  <c r="AA775" i="4"/>
  <c r="AA779" i="4"/>
  <c r="AA767" i="4"/>
  <c r="AA771" i="4"/>
  <c r="AA772" i="4"/>
  <c r="AA776" i="4"/>
  <c r="AA768" i="4"/>
  <c r="AA777" i="4"/>
  <c r="AA781" i="4"/>
  <c r="C113" i="4"/>
  <c r="R112" i="4"/>
  <c r="X1539" i="4"/>
  <c r="X1543" i="4"/>
  <c r="X1547" i="4"/>
  <c r="X1551" i="4"/>
  <c r="X1555" i="4"/>
  <c r="X1540" i="4"/>
  <c r="X1544" i="4"/>
  <c r="X1548" i="4"/>
  <c r="X1552" i="4"/>
  <c r="X1541" i="4"/>
  <c r="X1545" i="4"/>
  <c r="X1549" i="4"/>
  <c r="X1553" i="4"/>
  <c r="X1542" i="4"/>
  <c r="X1546" i="4"/>
  <c r="X1550" i="4"/>
  <c r="X1554" i="4"/>
  <c r="C86" i="6"/>
  <c r="B87" i="6"/>
  <c r="N87" i="6"/>
  <c r="O86" i="6"/>
  <c r="L588" i="4"/>
  <c r="O587" i="4"/>
  <c r="L500" i="4"/>
  <c r="O499" i="4"/>
  <c r="K459" i="4"/>
  <c r="AA459" i="4" s="1"/>
  <c r="J494" i="4"/>
  <c r="Z494" i="4" s="1"/>
  <c r="K217" i="4"/>
  <c r="AA217" i="4" s="1"/>
  <c r="L204" i="4"/>
  <c r="J214" i="4"/>
  <c r="Z214" i="4" s="1"/>
  <c r="B112" i="4"/>
  <c r="V112" i="4" s="1"/>
  <c r="AA786" i="4" l="1"/>
  <c r="AA794" i="4"/>
  <c r="AA788" i="4"/>
  <c r="AA795" i="4"/>
  <c r="AA787" i="4"/>
  <c r="AA789" i="4"/>
  <c r="AA797" i="4"/>
  <c r="AA783" i="4"/>
  <c r="AA790" i="4"/>
  <c r="AA798" i="4"/>
  <c r="AA782" i="4"/>
  <c r="AA791" i="4"/>
  <c r="AA796" i="4"/>
  <c r="AA784" i="4"/>
  <c r="AA792" i="4"/>
  <c r="AA785" i="4"/>
  <c r="AA793" i="4"/>
  <c r="C114" i="4"/>
  <c r="R114" i="4" s="1"/>
  <c r="R113" i="4"/>
  <c r="X1559" i="4"/>
  <c r="X1563" i="4"/>
  <c r="X1567" i="4"/>
  <c r="X1571" i="4"/>
  <c r="X1556" i="4"/>
  <c r="X1560" i="4"/>
  <c r="X1564" i="4"/>
  <c r="X1568" i="4"/>
  <c r="X1572" i="4"/>
  <c r="X1557" i="4"/>
  <c r="X1561" i="4"/>
  <c r="X1565" i="4"/>
  <c r="X1569" i="4"/>
  <c r="X1558" i="4"/>
  <c r="X1562" i="4"/>
  <c r="X1566" i="4"/>
  <c r="X1570" i="4"/>
  <c r="N88" i="6"/>
  <c r="O87" i="6"/>
  <c r="C87" i="6"/>
  <c r="X1573" i="4" s="1"/>
  <c r="B88" i="6"/>
  <c r="L589" i="4"/>
  <c r="O588" i="4"/>
  <c r="L502" i="4"/>
  <c r="O500" i="4"/>
  <c r="K460" i="4"/>
  <c r="AA460" i="4" s="1"/>
  <c r="J495" i="4"/>
  <c r="Z495" i="4" s="1"/>
  <c r="J215" i="4"/>
  <c r="Z215" i="4" s="1"/>
  <c r="K218" i="4"/>
  <c r="AA218" i="4" s="1"/>
  <c r="L205" i="4"/>
  <c r="B113" i="4"/>
  <c r="V113" i="4" s="1"/>
  <c r="AA810" i="4" l="1"/>
  <c r="AA802" i="4"/>
  <c r="AA806" i="4"/>
  <c r="AA814" i="4"/>
  <c r="AA803" i="4"/>
  <c r="AA807" i="4"/>
  <c r="AA811" i="4"/>
  <c r="AA815" i="4"/>
  <c r="AA812" i="4"/>
  <c r="AA799" i="4"/>
  <c r="AA800" i="4"/>
  <c r="AA804" i="4"/>
  <c r="AA808" i="4"/>
  <c r="AA805" i="4"/>
  <c r="AA801" i="4"/>
  <c r="AA809" i="4"/>
  <c r="AA813" i="4"/>
  <c r="C115" i="4"/>
  <c r="B89" i="6"/>
  <c r="C88" i="6"/>
  <c r="X1574" i="4" s="1"/>
  <c r="O88" i="6"/>
  <c r="N89" i="6"/>
  <c r="B114" i="4"/>
  <c r="V114" i="4" s="1"/>
  <c r="L591" i="4"/>
  <c r="O589" i="4"/>
  <c r="L503" i="4"/>
  <c r="O502" i="4"/>
  <c r="K461" i="4"/>
  <c r="AA461" i="4" s="1"/>
  <c r="J496" i="4"/>
  <c r="Z496" i="4" s="1"/>
  <c r="L206" i="4"/>
  <c r="K219" i="4"/>
  <c r="AA219" i="4" s="1"/>
  <c r="J216" i="4"/>
  <c r="Z216" i="4" s="1"/>
  <c r="AA819" i="4" l="1"/>
  <c r="AA823" i="4"/>
  <c r="AA831" i="4"/>
  <c r="AA829" i="4"/>
  <c r="AA827" i="4"/>
  <c r="AA832" i="4"/>
  <c r="AA820" i="4"/>
  <c r="AA824" i="4"/>
  <c r="AA817" i="4"/>
  <c r="AA821" i="4"/>
  <c r="AA825" i="4"/>
  <c r="AA828" i="4"/>
  <c r="AA830" i="4"/>
  <c r="AA818" i="4"/>
  <c r="AA826" i="4"/>
  <c r="AA822" i="4"/>
  <c r="AA816" i="4"/>
  <c r="C116" i="4"/>
  <c r="R115" i="4"/>
  <c r="AA852" i="4"/>
  <c r="AA856" i="4"/>
  <c r="AA860" i="4"/>
  <c r="AA864" i="4"/>
  <c r="AA853" i="4"/>
  <c r="AA857" i="4"/>
  <c r="AA861" i="4"/>
  <c r="AA865" i="4"/>
  <c r="AA850" i="4"/>
  <c r="AA854" i="4"/>
  <c r="AA858" i="4"/>
  <c r="AA862" i="4"/>
  <c r="AA866" i="4"/>
  <c r="AA863" i="4"/>
  <c r="AA851" i="4"/>
  <c r="AA855" i="4"/>
  <c r="AA859" i="4"/>
  <c r="N90" i="6"/>
  <c r="O89" i="6"/>
  <c r="C89" i="6"/>
  <c r="X1575" i="4" s="1"/>
  <c r="B90" i="6"/>
  <c r="L592" i="4"/>
  <c r="O591" i="4"/>
  <c r="L504" i="4"/>
  <c r="O503" i="4"/>
  <c r="K462" i="4"/>
  <c r="AA462" i="4" s="1"/>
  <c r="J497" i="4"/>
  <c r="Z497" i="4" s="1"/>
  <c r="K220" i="4"/>
  <c r="AA220" i="4" s="1"/>
  <c r="J217" i="4"/>
  <c r="Z217" i="4" s="1"/>
  <c r="AA841" i="4" l="1"/>
  <c r="AA835" i="4"/>
  <c r="AA845" i="4"/>
  <c r="AA839" i="4"/>
  <c r="AA836" i="4"/>
  <c r="AA840" i="4"/>
  <c r="AA834" i="4"/>
  <c r="AA844" i="4"/>
  <c r="AA838" i="4"/>
  <c r="AA848" i="4"/>
  <c r="AA842" i="4"/>
  <c r="AA843" i="4"/>
  <c r="AA833" i="4"/>
  <c r="AA846" i="4"/>
  <c r="AA837" i="4"/>
  <c r="AA847" i="4"/>
  <c r="AA849" i="4"/>
  <c r="C117" i="4"/>
  <c r="R116" i="4"/>
  <c r="AA868" i="4"/>
  <c r="AA867" i="4"/>
  <c r="AA869" i="4"/>
  <c r="AA870" i="4"/>
  <c r="AA871" i="4"/>
  <c r="AA872" i="4"/>
  <c r="AA873" i="4"/>
  <c r="AA874" i="4"/>
  <c r="AA875" i="4"/>
  <c r="AA876" i="4"/>
  <c r="AA877" i="4"/>
  <c r="AA878" i="4"/>
  <c r="AA879" i="4"/>
  <c r="AA880" i="4"/>
  <c r="AA881" i="4"/>
  <c r="AA882" i="4"/>
  <c r="AA883" i="4"/>
  <c r="O90" i="6"/>
  <c r="N91" i="6"/>
  <c r="C90" i="6"/>
  <c r="X1611" i="4" s="1"/>
  <c r="B91" i="6"/>
  <c r="L593" i="4"/>
  <c r="O592" i="4"/>
  <c r="L505" i="4"/>
  <c r="O504" i="4"/>
  <c r="K463" i="4"/>
  <c r="AA463" i="4" s="1"/>
  <c r="J498" i="4"/>
  <c r="Z498" i="4" s="1"/>
  <c r="J218" i="4"/>
  <c r="Z218" i="4" s="1"/>
  <c r="L208" i="4"/>
  <c r="O208" i="4" s="1"/>
  <c r="K221" i="4"/>
  <c r="AA221" i="4" s="1"/>
  <c r="C118" i="4" l="1"/>
  <c r="R117" i="4"/>
  <c r="AA884" i="4"/>
  <c r="AA885" i="4"/>
  <c r="AA886" i="4"/>
  <c r="AA887" i="4"/>
  <c r="AA888" i="4"/>
  <c r="AA889" i="4"/>
  <c r="AA890" i="4"/>
  <c r="AA891" i="4"/>
  <c r="AA893" i="4"/>
  <c r="AA892" i="4"/>
  <c r="AA894" i="4"/>
  <c r="AA895" i="4"/>
  <c r="AA896" i="4"/>
  <c r="AA897" i="4"/>
  <c r="AA898" i="4"/>
  <c r="AA899" i="4"/>
  <c r="AA900" i="4"/>
  <c r="N92" i="6"/>
  <c r="O91" i="6"/>
  <c r="C91" i="6"/>
  <c r="B92" i="6"/>
  <c r="L594" i="4"/>
  <c r="O593" i="4"/>
  <c r="L506" i="4"/>
  <c r="O505" i="4"/>
  <c r="K464" i="4"/>
  <c r="AA464" i="4" s="1"/>
  <c r="J499" i="4"/>
  <c r="Z499" i="4" s="1"/>
  <c r="L209" i="4"/>
  <c r="K222" i="4"/>
  <c r="AA222" i="4" s="1"/>
  <c r="J219" i="4"/>
  <c r="Z219" i="4" s="1"/>
  <c r="C119" i="4" l="1"/>
  <c r="R118" i="4"/>
  <c r="X1617" i="4"/>
  <c r="X1619" i="4"/>
  <c r="X1639" i="4"/>
  <c r="X1643" i="4"/>
  <c r="X1647" i="4"/>
  <c r="X1615" i="4"/>
  <c r="X1620" i="4"/>
  <c r="X1640" i="4"/>
  <c r="X1644" i="4"/>
  <c r="X1616" i="4"/>
  <c r="X1641" i="4"/>
  <c r="X1645" i="4"/>
  <c r="X1618" i="4"/>
  <c r="X1638" i="4"/>
  <c r="X1642" i="4"/>
  <c r="X1646" i="4"/>
  <c r="AA918" i="4"/>
  <c r="AA919" i="4"/>
  <c r="AA920" i="4"/>
  <c r="AA921" i="4"/>
  <c r="AA922" i="4"/>
  <c r="AA923" i="4"/>
  <c r="AA924" i="4"/>
  <c r="AA925" i="4"/>
  <c r="AA926" i="4"/>
  <c r="AA927" i="4"/>
  <c r="AA928" i="4"/>
  <c r="AA929" i="4"/>
  <c r="AA930" i="4"/>
  <c r="AA931" i="4"/>
  <c r="AA932" i="4"/>
  <c r="AA933" i="4"/>
  <c r="AA934" i="4"/>
  <c r="B93" i="6"/>
  <c r="C92" i="6"/>
  <c r="O92" i="6"/>
  <c r="N93" i="6"/>
  <c r="L595" i="4"/>
  <c r="O594" i="4"/>
  <c r="L507" i="4"/>
  <c r="O506" i="4"/>
  <c r="K465" i="4"/>
  <c r="AA465" i="4" s="1"/>
  <c r="J500" i="4"/>
  <c r="Z500" i="4" s="1"/>
  <c r="O209" i="4"/>
  <c r="L210" i="4"/>
  <c r="J220" i="4"/>
  <c r="Z220" i="4" s="1"/>
  <c r="K223" i="4"/>
  <c r="AA223" i="4" s="1"/>
  <c r="C120" i="4" l="1"/>
  <c r="R119" i="4"/>
  <c r="AA970" i="4"/>
  <c r="AA969" i="4"/>
  <c r="AA971" i="4"/>
  <c r="AA972" i="4"/>
  <c r="AA973" i="4"/>
  <c r="AA975" i="4"/>
  <c r="AA974" i="4"/>
  <c r="AA976" i="4"/>
  <c r="AA977" i="4"/>
  <c r="AA978" i="4"/>
  <c r="AA979" i="4"/>
  <c r="AA980" i="4"/>
  <c r="AA982" i="4"/>
  <c r="AA981" i="4"/>
  <c r="AA983" i="4"/>
  <c r="AA984" i="4"/>
  <c r="AA985" i="4"/>
  <c r="X1623" i="4"/>
  <c r="X1627" i="4"/>
  <c r="X1631" i="4"/>
  <c r="X1635" i="4"/>
  <c r="X1624" i="4"/>
  <c r="X1628" i="4"/>
  <c r="X1632" i="4"/>
  <c r="X1636" i="4"/>
  <c r="X1621" i="4"/>
  <c r="X1625" i="4"/>
  <c r="X1629" i="4"/>
  <c r="X1633" i="4"/>
  <c r="X1637" i="4"/>
  <c r="X1622" i="4"/>
  <c r="X1626" i="4"/>
  <c r="X1630" i="4"/>
  <c r="X1634" i="4"/>
  <c r="O93" i="6"/>
  <c r="N94" i="6"/>
  <c r="C93" i="6"/>
  <c r="B94" i="6"/>
  <c r="L596" i="4"/>
  <c r="O595" i="4"/>
  <c r="L508" i="4"/>
  <c r="O507" i="4"/>
  <c r="K466" i="4"/>
  <c r="AA466" i="4" s="1"/>
  <c r="J221" i="4"/>
  <c r="Z221" i="4" s="1"/>
  <c r="L211" i="4"/>
  <c r="O210" i="4"/>
  <c r="X105" i="4" l="1"/>
  <c r="X107" i="4"/>
  <c r="X112" i="4"/>
  <c r="X109" i="4"/>
  <c r="X111" i="4"/>
  <c r="X98" i="4"/>
  <c r="X108" i="4"/>
  <c r="X104" i="4"/>
  <c r="X102" i="4"/>
  <c r="X106" i="4"/>
  <c r="X103" i="4"/>
  <c r="X110" i="4"/>
  <c r="X100" i="4"/>
  <c r="X96" i="4"/>
  <c r="X97" i="4"/>
  <c r="X99" i="4"/>
  <c r="X101" i="4"/>
  <c r="C121" i="4"/>
  <c r="R120" i="4"/>
  <c r="AA989" i="4"/>
  <c r="AA993" i="4"/>
  <c r="AA997" i="4"/>
  <c r="AA1001" i="4"/>
  <c r="AA986" i="4"/>
  <c r="AA990" i="4"/>
  <c r="AA994" i="4"/>
  <c r="AA998" i="4"/>
  <c r="AA1002" i="4"/>
  <c r="AA987" i="4"/>
  <c r="AA991" i="4"/>
  <c r="AA995" i="4"/>
  <c r="AA999" i="4"/>
  <c r="AA1000" i="4"/>
  <c r="AA988" i="4"/>
  <c r="AA992" i="4"/>
  <c r="AA996" i="4"/>
  <c r="O94" i="6"/>
  <c r="N95" i="6"/>
  <c r="B95" i="6"/>
  <c r="C94" i="6"/>
  <c r="X132" i="4" s="1"/>
  <c r="L597" i="4"/>
  <c r="O596" i="4"/>
  <c r="L509" i="4"/>
  <c r="O508" i="4"/>
  <c r="J502" i="4"/>
  <c r="Z502" i="4" s="1"/>
  <c r="O211" i="4"/>
  <c r="L212" i="4"/>
  <c r="J222" i="4"/>
  <c r="Z222" i="4" s="1"/>
  <c r="C122" i="4" l="1"/>
  <c r="R121" i="4"/>
  <c r="AA1005" i="4"/>
  <c r="AA1009" i="4"/>
  <c r="AA1013" i="4"/>
  <c r="AA1017" i="4"/>
  <c r="AA1021" i="4"/>
  <c r="AA1025" i="4"/>
  <c r="AA1029" i="4"/>
  <c r="AA1033" i="4"/>
  <c r="AA1006" i="4"/>
  <c r="AA1010" i="4"/>
  <c r="AA1014" i="4"/>
  <c r="AA1018" i="4"/>
  <c r="AA1022" i="4"/>
  <c r="AA1026" i="4"/>
  <c r="AA1030" i="4"/>
  <c r="AA1034" i="4"/>
  <c r="AA1003" i="4"/>
  <c r="AA1007" i="4"/>
  <c r="AA1011" i="4"/>
  <c r="AA1015" i="4"/>
  <c r="AA1019" i="4"/>
  <c r="AA1023" i="4"/>
  <c r="AA1027" i="4"/>
  <c r="AA1031" i="4"/>
  <c r="AA1035" i="4"/>
  <c r="AA1016" i="4"/>
  <c r="AA1032" i="4"/>
  <c r="AA1004" i="4"/>
  <c r="AA1036" i="4"/>
  <c r="AA1008" i="4"/>
  <c r="AA1024" i="4"/>
  <c r="AA1012" i="4"/>
  <c r="AA1028" i="4"/>
  <c r="X1655" i="4"/>
  <c r="X1659" i="4"/>
  <c r="X1663" i="4"/>
  <c r="X1667" i="4"/>
  <c r="X1656" i="4"/>
  <c r="X1660" i="4"/>
  <c r="X1664" i="4"/>
  <c r="X1668" i="4"/>
  <c r="X1653" i="4"/>
  <c r="X1657" i="4"/>
  <c r="X1661" i="4"/>
  <c r="X1665" i="4"/>
  <c r="X1669" i="4"/>
  <c r="X1654" i="4"/>
  <c r="X1658" i="4"/>
  <c r="X1662" i="4"/>
  <c r="X1666" i="4"/>
  <c r="C95" i="6"/>
  <c r="B96" i="6"/>
  <c r="N96" i="6"/>
  <c r="O95" i="6"/>
  <c r="AA1020" i="4" s="1"/>
  <c r="L598" i="4"/>
  <c r="O597" i="4"/>
  <c r="L510" i="4"/>
  <c r="O509" i="4"/>
  <c r="K468" i="4"/>
  <c r="AA468" i="4" s="1"/>
  <c r="J503" i="4"/>
  <c r="Z503" i="4" s="1"/>
  <c r="J223" i="4"/>
  <c r="Z223" i="4" s="1"/>
  <c r="L213" i="4"/>
  <c r="O212" i="4"/>
  <c r="K226" i="4"/>
  <c r="X413" i="4" l="1"/>
  <c r="X414" i="4"/>
  <c r="X411" i="4"/>
  <c r="X412" i="4"/>
  <c r="X733" i="4"/>
  <c r="X695" i="4"/>
  <c r="X696" i="4"/>
  <c r="C123" i="4"/>
  <c r="R122" i="4"/>
  <c r="AA226" i="4"/>
  <c r="K227" i="4"/>
  <c r="X1671" i="4"/>
  <c r="X1672" i="4"/>
  <c r="X1673" i="4"/>
  <c r="X1670" i="4"/>
  <c r="N97" i="6"/>
  <c r="O96" i="6"/>
  <c r="B97" i="6"/>
  <c r="C96" i="6"/>
  <c r="X694" i="4" s="1"/>
  <c r="L599" i="4"/>
  <c r="O598" i="4"/>
  <c r="L511" i="4"/>
  <c r="O510" i="4"/>
  <c r="K469" i="4"/>
  <c r="AA469" i="4" s="1"/>
  <c r="J504" i="4"/>
  <c r="Z504" i="4" s="1"/>
  <c r="L214" i="4"/>
  <c r="O213" i="4"/>
  <c r="J224" i="4"/>
  <c r="Z224" i="4" s="1"/>
  <c r="C124" i="4" l="1"/>
  <c r="R123" i="4"/>
  <c r="X1675" i="4"/>
  <c r="X1679" i="4"/>
  <c r="X1683" i="4"/>
  <c r="X1687" i="4"/>
  <c r="X1676" i="4"/>
  <c r="X1680" i="4"/>
  <c r="X1684" i="4"/>
  <c r="X1688" i="4"/>
  <c r="X1677" i="4"/>
  <c r="X1681" i="4"/>
  <c r="X1685" i="4"/>
  <c r="X1689" i="4"/>
  <c r="X1674" i="4"/>
  <c r="X1678" i="4"/>
  <c r="X1682" i="4"/>
  <c r="X1686" i="4"/>
  <c r="X1690" i="4"/>
  <c r="AA591" i="4"/>
  <c r="AA595" i="4"/>
  <c r="AA599" i="4"/>
  <c r="AA603" i="4"/>
  <c r="AA592" i="4"/>
  <c r="AA596" i="4"/>
  <c r="AA600" i="4"/>
  <c r="AA604" i="4"/>
  <c r="AA593" i="4"/>
  <c r="AA597" i="4"/>
  <c r="AA601" i="4"/>
  <c r="AA605" i="4"/>
  <c r="AA602" i="4"/>
  <c r="AA590" i="4"/>
  <c r="AA606" i="4"/>
  <c r="AA594" i="4"/>
  <c r="AA598" i="4"/>
  <c r="C97" i="6"/>
  <c r="X697" i="4" s="1"/>
  <c r="B98" i="6"/>
  <c r="O97" i="6"/>
  <c r="N98" i="6"/>
  <c r="L600" i="4"/>
  <c r="O599" i="4"/>
  <c r="L512" i="4"/>
  <c r="O511" i="4"/>
  <c r="K470" i="4"/>
  <c r="AA470" i="4" s="1"/>
  <c r="J505" i="4"/>
  <c r="Z505" i="4" s="1"/>
  <c r="L215" i="4"/>
  <c r="O214" i="4"/>
  <c r="AA227" i="4"/>
  <c r="C125" i="4" l="1"/>
  <c r="R124" i="4"/>
  <c r="X1691" i="4"/>
  <c r="X1695" i="4"/>
  <c r="X1698" i="4"/>
  <c r="X1702" i="4"/>
  <c r="X1706" i="4"/>
  <c r="X1692" i="4"/>
  <c r="X1699" i="4"/>
  <c r="X1703" i="4"/>
  <c r="X1693" i="4"/>
  <c r="X1696" i="4"/>
  <c r="X1700" i="4"/>
  <c r="X1704" i="4"/>
  <c r="X1694" i="4"/>
  <c r="X1697" i="4"/>
  <c r="X1701" i="4"/>
  <c r="X1705" i="4"/>
  <c r="AA607" i="4"/>
  <c r="AA611" i="4"/>
  <c r="AA615" i="4"/>
  <c r="AA619" i="4"/>
  <c r="AA623" i="4"/>
  <c r="AA608" i="4"/>
  <c r="AA612" i="4"/>
  <c r="AA616" i="4"/>
  <c r="AA620" i="4"/>
  <c r="AA609" i="4"/>
  <c r="AA613" i="4"/>
  <c r="AA617" i="4"/>
  <c r="AA621" i="4"/>
  <c r="AA618" i="4"/>
  <c r="AA622" i="4"/>
  <c r="AA610" i="4"/>
  <c r="AA614" i="4"/>
  <c r="C98" i="6"/>
  <c r="B99" i="6"/>
  <c r="O98" i="6"/>
  <c r="N99" i="6"/>
  <c r="L601" i="4"/>
  <c r="O600" i="4"/>
  <c r="L513" i="4"/>
  <c r="O512" i="4"/>
  <c r="K471" i="4"/>
  <c r="AA471" i="4" s="1"/>
  <c r="J506" i="4"/>
  <c r="Z506" i="4" s="1"/>
  <c r="K228" i="4"/>
  <c r="AA228" i="4" s="1"/>
  <c r="L216" i="4"/>
  <c r="O215" i="4"/>
  <c r="X922" i="4" l="1"/>
  <c r="X926" i="4"/>
  <c r="X932" i="4"/>
  <c r="X930" i="4"/>
  <c r="X920" i="4"/>
  <c r="X921" i="4"/>
  <c r="X934" i="4"/>
  <c r="X924" i="4"/>
  <c r="X925" i="4"/>
  <c r="X919" i="4"/>
  <c r="X929" i="4"/>
  <c r="X923" i="4"/>
  <c r="X933" i="4"/>
  <c r="X927" i="4"/>
  <c r="X928" i="4"/>
  <c r="X918" i="4"/>
  <c r="X931" i="4"/>
  <c r="C126" i="4"/>
  <c r="R125" i="4"/>
  <c r="X1710" i="4"/>
  <c r="X1714" i="4"/>
  <c r="X1718" i="4"/>
  <c r="X1722" i="4"/>
  <c r="X1707" i="4"/>
  <c r="X1711" i="4"/>
  <c r="X1715" i="4"/>
  <c r="X1719" i="4"/>
  <c r="X1723" i="4"/>
  <c r="X1708" i="4"/>
  <c r="X1712" i="4"/>
  <c r="X1716" i="4"/>
  <c r="X1720" i="4"/>
  <c r="X1709" i="4"/>
  <c r="X1713" i="4"/>
  <c r="X1717" i="4"/>
  <c r="X1721" i="4"/>
  <c r="AA627" i="4"/>
  <c r="AA631" i="4"/>
  <c r="AA635" i="4"/>
  <c r="AA639" i="4"/>
  <c r="AA624" i="4"/>
  <c r="AA628" i="4"/>
  <c r="AA632" i="4"/>
  <c r="AA636" i="4"/>
  <c r="AA640" i="4"/>
  <c r="AA625" i="4"/>
  <c r="AA629" i="4"/>
  <c r="AA633" i="4"/>
  <c r="AA637" i="4"/>
  <c r="AA634" i="4"/>
  <c r="AA638" i="4"/>
  <c r="AA626" i="4"/>
  <c r="AA630" i="4"/>
  <c r="N100" i="6"/>
  <c r="O99" i="6"/>
  <c r="C99" i="6"/>
  <c r="B100" i="6"/>
  <c r="L602" i="4"/>
  <c r="O601" i="4"/>
  <c r="L514" i="4"/>
  <c r="O513" i="4"/>
  <c r="K472" i="4"/>
  <c r="AA472" i="4" s="1"/>
  <c r="J507" i="4"/>
  <c r="Z507" i="4" s="1"/>
  <c r="L217" i="4"/>
  <c r="O216" i="4"/>
  <c r="K229" i="4"/>
  <c r="AA229" i="4" s="1"/>
  <c r="X966" i="4" l="1"/>
  <c r="X965" i="4"/>
  <c r="X960" i="4"/>
  <c r="X954" i="4"/>
  <c r="X958" i="4"/>
  <c r="X952" i="4"/>
  <c r="X961" i="4"/>
  <c r="X962" i="4"/>
  <c r="X968" i="4"/>
  <c r="X956" i="4"/>
  <c r="X964" i="4"/>
  <c r="X955" i="4"/>
  <c r="X967" i="4"/>
  <c r="X953" i="4"/>
  <c r="X959" i="4"/>
  <c r="X957" i="4"/>
  <c r="X963" i="4"/>
  <c r="C127" i="4"/>
  <c r="R126" i="4"/>
  <c r="C100" i="6"/>
  <c r="B101" i="6"/>
  <c r="X1726" i="4"/>
  <c r="X1730" i="4"/>
  <c r="X1734" i="4"/>
  <c r="X1738" i="4"/>
  <c r="X1727" i="4"/>
  <c r="X1731" i="4"/>
  <c r="X1735" i="4"/>
  <c r="X1739" i="4"/>
  <c r="X1724" i="4"/>
  <c r="X1728" i="4"/>
  <c r="X1732" i="4"/>
  <c r="X1736" i="4"/>
  <c r="X1740" i="4"/>
  <c r="X1725" i="4"/>
  <c r="X1729" i="4"/>
  <c r="X1733" i="4"/>
  <c r="X1737" i="4"/>
  <c r="O100" i="6"/>
  <c r="N101" i="6"/>
  <c r="L603" i="4"/>
  <c r="O602" i="4"/>
  <c r="L515" i="4"/>
  <c r="O514" i="4"/>
  <c r="K473" i="4"/>
  <c r="AA473" i="4" s="1"/>
  <c r="J508" i="4"/>
  <c r="Z508" i="4" s="1"/>
  <c r="K230" i="4"/>
  <c r="AA230" i="4" s="1"/>
  <c r="L218" i="4"/>
  <c r="O217" i="4"/>
  <c r="Z227" i="4"/>
  <c r="X979" i="4" l="1"/>
  <c r="X985" i="4"/>
  <c r="X983" i="4"/>
  <c r="X976" i="4"/>
  <c r="X974" i="4"/>
  <c r="X980" i="4"/>
  <c r="X984" i="4"/>
  <c r="X978" i="4"/>
  <c r="X969" i="4"/>
  <c r="X982" i="4"/>
  <c r="X972" i="4"/>
  <c r="X971" i="4"/>
  <c r="X973" i="4"/>
  <c r="X977" i="4"/>
  <c r="X975" i="4"/>
  <c r="X981" i="4"/>
  <c r="X970" i="4"/>
  <c r="C128" i="4"/>
  <c r="R127" i="4"/>
  <c r="AA1037" i="4"/>
  <c r="AA1041" i="4"/>
  <c r="AA1045" i="4"/>
  <c r="AA1049" i="4"/>
  <c r="AA1053" i="4"/>
  <c r="AA1038" i="4"/>
  <c r="AA1042" i="4"/>
  <c r="AA1046" i="4"/>
  <c r="AA1050" i="4"/>
  <c r="AA1039" i="4"/>
  <c r="AA1043" i="4"/>
  <c r="AA1047" i="4"/>
  <c r="AA1051" i="4"/>
  <c r="AA1048" i="4"/>
  <c r="AA1052" i="4"/>
  <c r="AA1040" i="4"/>
  <c r="AA1044" i="4"/>
  <c r="C101" i="6"/>
  <c r="B102" i="6"/>
  <c r="X1742" i="4"/>
  <c r="X1746" i="4"/>
  <c r="X1750" i="4"/>
  <c r="X1754" i="4"/>
  <c r="X1743" i="4"/>
  <c r="X1747" i="4"/>
  <c r="X1751" i="4"/>
  <c r="X1755" i="4"/>
  <c r="X1744" i="4"/>
  <c r="X1748" i="4"/>
  <c r="X1752" i="4"/>
  <c r="X1756" i="4"/>
  <c r="X1741" i="4"/>
  <c r="X1745" i="4"/>
  <c r="X1749" i="4"/>
  <c r="X1753" i="4"/>
  <c r="X1757" i="4"/>
  <c r="N102" i="6"/>
  <c r="O101" i="6"/>
  <c r="L604" i="4"/>
  <c r="O603" i="4"/>
  <c r="L516" i="4"/>
  <c r="O515" i="4"/>
  <c r="K474" i="4"/>
  <c r="AA474" i="4" s="1"/>
  <c r="J509" i="4"/>
  <c r="Z509" i="4" s="1"/>
  <c r="L219" i="4"/>
  <c r="O218" i="4"/>
  <c r="J228" i="4"/>
  <c r="Z228" i="4" s="1"/>
  <c r="K231" i="4"/>
  <c r="AA231" i="4" s="1"/>
  <c r="X1471" i="4" l="1"/>
  <c r="X1475" i="4"/>
  <c r="X1472" i="4"/>
  <c r="X1479" i="4"/>
  <c r="X1476" i="4"/>
  <c r="X1473" i="4"/>
  <c r="X1483" i="4"/>
  <c r="X1480" i="4"/>
  <c r="X1477" i="4"/>
  <c r="X1487" i="4"/>
  <c r="X1484" i="4"/>
  <c r="X1481" i="4"/>
  <c r="X1474" i="4"/>
  <c r="X1485" i="4"/>
  <c r="X1478" i="4"/>
  <c r="X1482" i="4"/>
  <c r="X1486" i="4"/>
  <c r="C129" i="4"/>
  <c r="R128" i="4"/>
  <c r="C102" i="6"/>
  <c r="B103" i="6"/>
  <c r="AA1057" i="4"/>
  <c r="AA1061" i="4"/>
  <c r="AA1065" i="4"/>
  <c r="AA1069" i="4"/>
  <c r="AA1089" i="4"/>
  <c r="AA1093" i="4"/>
  <c r="AA1097" i="4"/>
  <c r="AA1101" i="4"/>
  <c r="AA1054" i="4"/>
  <c r="AA1058" i="4"/>
  <c r="AA1062" i="4"/>
  <c r="AA1066" i="4"/>
  <c r="AA1070" i="4"/>
  <c r="AA1090" i="4"/>
  <c r="AA1094" i="4"/>
  <c r="AA1098" i="4"/>
  <c r="AA1102" i="4"/>
  <c r="AA1055" i="4"/>
  <c r="AA1059" i="4"/>
  <c r="AA1063" i="4"/>
  <c r="AA1067" i="4"/>
  <c r="AA1091" i="4"/>
  <c r="AA1095" i="4"/>
  <c r="AA1099" i="4"/>
  <c r="AA1103" i="4"/>
  <c r="AA1064" i="4"/>
  <c r="AA1096" i="4"/>
  <c r="AA1068" i="4"/>
  <c r="AA1100" i="4"/>
  <c r="AA1056" i="4"/>
  <c r="AA1088" i="4"/>
  <c r="AA1104" i="4"/>
  <c r="AA1060" i="4"/>
  <c r="AA1092" i="4"/>
  <c r="X1758" i="4"/>
  <c r="X1762" i="4"/>
  <c r="X1766" i="4"/>
  <c r="X1770" i="4"/>
  <c r="X1774" i="4"/>
  <c r="X1759" i="4"/>
  <c r="X1763" i="4"/>
  <c r="X1767" i="4"/>
  <c r="X1771" i="4"/>
  <c r="X1760" i="4"/>
  <c r="X1764" i="4"/>
  <c r="X1768" i="4"/>
  <c r="X1772" i="4"/>
  <c r="X1761" i="4"/>
  <c r="X1765" i="4"/>
  <c r="X1769" i="4"/>
  <c r="X1773" i="4"/>
  <c r="O102" i="6"/>
  <c r="N103" i="6"/>
  <c r="L605" i="4"/>
  <c r="O604" i="4"/>
  <c r="L517" i="4"/>
  <c r="O516" i="4"/>
  <c r="K475" i="4"/>
  <c r="AA475" i="4" s="1"/>
  <c r="J510" i="4"/>
  <c r="Z510" i="4" s="1"/>
  <c r="K232" i="4"/>
  <c r="AA232" i="4" s="1"/>
  <c r="J229" i="4"/>
  <c r="Z229" i="4" s="1"/>
  <c r="L220" i="4"/>
  <c r="O219" i="4"/>
  <c r="X1650" i="4" l="1"/>
  <c r="X1648" i="4"/>
  <c r="X1651" i="4"/>
  <c r="X1652" i="4"/>
  <c r="X1649" i="4"/>
  <c r="C130" i="4"/>
  <c r="R129" i="4"/>
  <c r="AA1073" i="4"/>
  <c r="AA1077" i="4"/>
  <c r="AA1081" i="4"/>
  <c r="AA1085" i="4"/>
  <c r="AA1125" i="4"/>
  <c r="AA1074" i="4"/>
  <c r="AA1078" i="4"/>
  <c r="AA1082" i="4"/>
  <c r="AA1086" i="4"/>
  <c r="AA1122" i="4"/>
  <c r="AA1126" i="4"/>
  <c r="AA1071" i="4"/>
  <c r="AA1075" i="4"/>
  <c r="AA1079" i="4"/>
  <c r="AA1083" i="4"/>
  <c r="AA1087" i="4"/>
  <c r="AA1080" i="4"/>
  <c r="AA1124" i="4"/>
  <c r="AA1130" i="4"/>
  <c r="AA1134" i="4"/>
  <c r="AA1138" i="4"/>
  <c r="AA1084" i="4"/>
  <c r="AA1127" i="4"/>
  <c r="AA1131" i="4"/>
  <c r="AA1135" i="4"/>
  <c r="AA1072" i="4"/>
  <c r="AA1128" i="4"/>
  <c r="AA1132" i="4"/>
  <c r="AA1136" i="4"/>
  <c r="AA1137" i="4"/>
  <c r="AA1076" i="4"/>
  <c r="AA1123" i="4"/>
  <c r="AA1129" i="4"/>
  <c r="AA1133" i="4"/>
  <c r="C103" i="6"/>
  <c r="X1786" i="4" s="1"/>
  <c r="B104" i="6"/>
  <c r="X1778" i="4"/>
  <c r="X1782" i="4"/>
  <c r="X1794" i="4"/>
  <c r="X1798" i="4"/>
  <c r="X1802" i="4"/>
  <c r="X1806" i="4"/>
  <c r="X1775" i="4"/>
  <c r="X1779" i="4"/>
  <c r="X1783" i="4"/>
  <c r="X1787" i="4"/>
  <c r="X1791" i="4"/>
  <c r="X1795" i="4"/>
  <c r="X1799" i="4"/>
  <c r="X1803" i="4"/>
  <c r="X1807" i="4"/>
  <c r="X1776" i="4"/>
  <c r="X1780" i="4"/>
  <c r="X1784" i="4"/>
  <c r="X1788" i="4"/>
  <c r="X1792" i="4"/>
  <c r="X1796" i="4"/>
  <c r="X1800" i="4"/>
  <c r="X1804" i="4"/>
  <c r="X1808" i="4"/>
  <c r="X1777" i="4"/>
  <c r="X1781" i="4"/>
  <c r="X1785" i="4"/>
  <c r="X1789" i="4"/>
  <c r="X1793" i="4"/>
  <c r="X1797" i="4"/>
  <c r="X1801" i="4"/>
  <c r="X1805" i="4"/>
  <c r="N104" i="6"/>
  <c r="O103" i="6"/>
  <c r="AA1105" i="4" s="1"/>
  <c r="L606" i="4"/>
  <c r="O605" i="4"/>
  <c r="L519" i="4"/>
  <c r="O517" i="4"/>
  <c r="K476" i="4"/>
  <c r="AA476" i="4" s="1"/>
  <c r="J511" i="4"/>
  <c r="Z511" i="4" s="1"/>
  <c r="K233" i="4"/>
  <c r="AA233" i="4" s="1"/>
  <c r="L221" i="4"/>
  <c r="O220" i="4"/>
  <c r="J230" i="4"/>
  <c r="Z230" i="4" s="1"/>
  <c r="X1790" i="4" l="1"/>
  <c r="C131" i="4"/>
  <c r="R130" i="4"/>
  <c r="C104" i="6"/>
  <c r="B105" i="6"/>
  <c r="X1810" i="4"/>
  <c r="X1814" i="4"/>
  <c r="X1818" i="4"/>
  <c r="X1822" i="4"/>
  <c r="X1811" i="4"/>
  <c r="X1815" i="4"/>
  <c r="X1819" i="4"/>
  <c r="X1823" i="4"/>
  <c r="X1812" i="4"/>
  <c r="X1816" i="4"/>
  <c r="X1820" i="4"/>
  <c r="X1824" i="4"/>
  <c r="X1809" i="4"/>
  <c r="X1813" i="4"/>
  <c r="X1817" i="4"/>
  <c r="X1821" i="4"/>
  <c r="X1825" i="4"/>
  <c r="O104" i="6"/>
  <c r="N105" i="6"/>
  <c r="L608" i="4"/>
  <c r="O606" i="4"/>
  <c r="L520" i="4"/>
  <c r="O519" i="4"/>
  <c r="K477" i="4"/>
  <c r="AA477" i="4" s="1"/>
  <c r="J512" i="4"/>
  <c r="Z512" i="4" s="1"/>
  <c r="J231" i="4"/>
  <c r="Z231" i="4" s="1"/>
  <c r="L222" i="4"/>
  <c r="O221" i="4"/>
  <c r="K234" i="4"/>
  <c r="C132" i="4" l="1"/>
  <c r="R131" i="4"/>
  <c r="AA234" i="4"/>
  <c r="K235" i="4"/>
  <c r="AA1109" i="4"/>
  <c r="AA1113" i="4"/>
  <c r="AA1117" i="4"/>
  <c r="AA1121" i="4"/>
  <c r="AA1106" i="4"/>
  <c r="AA1110" i="4"/>
  <c r="AA1114" i="4"/>
  <c r="AA1118" i="4"/>
  <c r="AA1108" i="4"/>
  <c r="AA1116" i="4"/>
  <c r="AA1111" i="4"/>
  <c r="AA1119" i="4"/>
  <c r="AA1112" i="4"/>
  <c r="AA1120" i="4"/>
  <c r="AA1115" i="4"/>
  <c r="AA1107" i="4"/>
  <c r="B106" i="6"/>
  <c r="C105" i="6"/>
  <c r="X1826" i="4"/>
  <c r="X1827" i="4"/>
  <c r="X1828" i="4"/>
  <c r="N106" i="6"/>
  <c r="O105" i="6"/>
  <c r="L609" i="4"/>
  <c r="O608" i="4"/>
  <c r="L521" i="4"/>
  <c r="O520" i="4"/>
  <c r="K478" i="4"/>
  <c r="AA478" i="4" s="1"/>
  <c r="J513" i="4"/>
  <c r="Z513" i="4" s="1"/>
  <c r="L223" i="4"/>
  <c r="O222" i="4"/>
  <c r="J232" i="4"/>
  <c r="Z232" i="4" s="1"/>
  <c r="B115" i="4"/>
  <c r="V115" i="4" s="1"/>
  <c r="C106" i="6" l="1"/>
  <c r="B107" i="6"/>
  <c r="R132" i="4"/>
  <c r="C133" i="4"/>
  <c r="AA1142" i="4"/>
  <c r="AA1146" i="4"/>
  <c r="AA1150" i="4"/>
  <c r="AA1154" i="4"/>
  <c r="AA1139" i="4"/>
  <c r="AA1143" i="4"/>
  <c r="AA1147" i="4"/>
  <c r="AA1151" i="4"/>
  <c r="AA1155" i="4"/>
  <c r="AA1140" i="4"/>
  <c r="AA1144" i="4"/>
  <c r="AA1148" i="4"/>
  <c r="AA1152" i="4"/>
  <c r="AA1153" i="4"/>
  <c r="AA1141" i="4"/>
  <c r="AA1145" i="4"/>
  <c r="AA1149" i="4"/>
  <c r="X1830" i="4"/>
  <c r="X1834" i="4"/>
  <c r="X1838" i="4"/>
  <c r="X1842" i="4"/>
  <c r="X1831" i="4"/>
  <c r="X1835" i="4"/>
  <c r="X1839" i="4"/>
  <c r="X1843" i="4"/>
  <c r="X1832" i="4"/>
  <c r="X1836" i="4"/>
  <c r="X1840" i="4"/>
  <c r="X1844" i="4"/>
  <c r="X1829" i="4"/>
  <c r="X1833" i="4"/>
  <c r="X1837" i="4"/>
  <c r="X1841" i="4"/>
  <c r="X1845" i="4"/>
  <c r="X1846" i="4"/>
  <c r="X1850" i="4"/>
  <c r="X1854" i="4"/>
  <c r="X1858" i="4"/>
  <c r="X1862" i="4"/>
  <c r="X1847" i="4"/>
  <c r="X1851" i="4"/>
  <c r="X1855" i="4"/>
  <c r="X1859" i="4"/>
  <c r="X1848" i="4"/>
  <c r="X1852" i="4"/>
  <c r="X1856" i="4"/>
  <c r="X1860" i="4"/>
  <c r="X1849" i="4"/>
  <c r="X1853" i="4"/>
  <c r="X1857" i="4"/>
  <c r="X1861" i="4"/>
  <c r="O106" i="6"/>
  <c r="N107" i="6"/>
  <c r="L610" i="4"/>
  <c r="O609" i="4"/>
  <c r="L522" i="4"/>
  <c r="O521" i="4"/>
  <c r="K479" i="4"/>
  <c r="AA479" i="4" s="1"/>
  <c r="J514" i="4"/>
  <c r="Z514" i="4" s="1"/>
  <c r="O223" i="4"/>
  <c r="J233" i="4"/>
  <c r="Z233" i="4" s="1"/>
  <c r="B116" i="4"/>
  <c r="V116" i="4" s="1"/>
  <c r="C107" i="6" l="1"/>
  <c r="B108" i="6"/>
  <c r="C108" i="6" s="1"/>
  <c r="C134" i="4"/>
  <c r="R133" i="4"/>
  <c r="AA1158" i="4"/>
  <c r="AA1162" i="4"/>
  <c r="AA1166" i="4"/>
  <c r="AA1170" i="4"/>
  <c r="AA1159" i="4"/>
  <c r="AA1163" i="4"/>
  <c r="AA1167" i="4"/>
  <c r="AA1171" i="4"/>
  <c r="AA1156" i="4"/>
  <c r="AA1160" i="4"/>
  <c r="AA1164" i="4"/>
  <c r="AA1168" i="4"/>
  <c r="AA1172" i="4"/>
  <c r="AA1169" i="4"/>
  <c r="AA1157" i="4"/>
  <c r="AA1161" i="4"/>
  <c r="AA1165" i="4"/>
  <c r="N108" i="6"/>
  <c r="O107" i="6"/>
  <c r="L611" i="4"/>
  <c r="O610" i="4"/>
  <c r="L523" i="4"/>
  <c r="O522" i="4"/>
  <c r="K480" i="4"/>
  <c r="AA480" i="4" s="1"/>
  <c r="J515" i="4"/>
  <c r="Z515" i="4" s="1"/>
  <c r="AA235" i="4"/>
  <c r="L225" i="4"/>
  <c r="O225" i="4" s="1"/>
  <c r="J234" i="4"/>
  <c r="B117" i="4"/>
  <c r="V117" i="4" s="1"/>
  <c r="R134" i="4" l="1"/>
  <c r="C135" i="4"/>
  <c r="Z234" i="4"/>
  <c r="J235" i="4"/>
  <c r="AA1174" i="4"/>
  <c r="AA1178" i="4"/>
  <c r="AA1182" i="4"/>
  <c r="AA1186" i="4"/>
  <c r="AA1175" i="4"/>
  <c r="AA1179" i="4"/>
  <c r="AA1183" i="4"/>
  <c r="AA1187" i="4"/>
  <c r="AA1176" i="4"/>
  <c r="AA1180" i="4"/>
  <c r="AA1184" i="4"/>
  <c r="AA1188" i="4"/>
  <c r="AA1185" i="4"/>
  <c r="AA1173" i="4"/>
  <c r="AA1189" i="4"/>
  <c r="AA1177" i="4"/>
  <c r="AA1181" i="4"/>
  <c r="O108" i="6"/>
  <c r="N109" i="6"/>
  <c r="L612" i="4"/>
  <c r="O611" i="4"/>
  <c r="L524" i="4"/>
  <c r="O523" i="4"/>
  <c r="K481" i="4"/>
  <c r="AA481" i="4" s="1"/>
  <c r="J516" i="4"/>
  <c r="Z516" i="4" s="1"/>
  <c r="L226" i="4"/>
  <c r="K236" i="4"/>
  <c r="AA236" i="4" s="1"/>
  <c r="B118" i="4"/>
  <c r="V118" i="4" s="1"/>
  <c r="C136" i="4" l="1"/>
  <c r="R135" i="4"/>
  <c r="O226" i="4"/>
  <c r="L227" i="4"/>
  <c r="AA1190" i="4"/>
  <c r="AA1194" i="4"/>
  <c r="AA1198" i="4"/>
  <c r="AA1202" i="4"/>
  <c r="AA1206" i="4"/>
  <c r="AA1191" i="4"/>
  <c r="AA1195" i="4"/>
  <c r="AA1199" i="4"/>
  <c r="AA1203" i="4"/>
  <c r="AA1192" i="4"/>
  <c r="AA1196" i="4"/>
  <c r="AA1200" i="4"/>
  <c r="AA1204" i="4"/>
  <c r="AA1201" i="4"/>
  <c r="AA1205" i="4"/>
  <c r="AA1193" i="4"/>
  <c r="AA1197" i="4"/>
  <c r="N110" i="6"/>
  <c r="O109" i="6"/>
  <c r="L613" i="4"/>
  <c r="O612" i="4"/>
  <c r="L525" i="4"/>
  <c r="O524" i="4"/>
  <c r="K482" i="4"/>
  <c r="AA482" i="4" s="1"/>
  <c r="J517" i="4"/>
  <c r="Z517" i="4" s="1"/>
  <c r="K237" i="4"/>
  <c r="AA237" i="4" s="1"/>
  <c r="B119" i="4"/>
  <c r="V119" i="4" s="1"/>
  <c r="C137" i="4" l="1"/>
  <c r="R136" i="4"/>
  <c r="AA1226" i="4"/>
  <c r="AA1230" i="4"/>
  <c r="AA1234" i="4"/>
  <c r="AA1238" i="4"/>
  <c r="AA1227" i="4"/>
  <c r="AA1231" i="4"/>
  <c r="AA1235" i="4"/>
  <c r="AA1239" i="4"/>
  <c r="AA1224" i="4"/>
  <c r="AA1228" i="4"/>
  <c r="AA1232" i="4"/>
  <c r="AA1236" i="4"/>
  <c r="AA1240" i="4"/>
  <c r="AA1233" i="4"/>
  <c r="AA1237" i="4"/>
  <c r="AA1225" i="4"/>
  <c r="AA1229" i="4"/>
  <c r="O110" i="6"/>
  <c r="AA1241" i="4" s="1"/>
  <c r="N111" i="6"/>
  <c r="L614" i="4"/>
  <c r="O613" i="4"/>
  <c r="L526" i="4"/>
  <c r="O525" i="4"/>
  <c r="K483" i="4"/>
  <c r="AA483" i="4" s="1"/>
  <c r="O227" i="4"/>
  <c r="Z235" i="4"/>
  <c r="K238" i="4"/>
  <c r="AA238" i="4" s="1"/>
  <c r="B120" i="4"/>
  <c r="V120" i="4" s="1"/>
  <c r="C138" i="4" l="1"/>
  <c r="R137" i="4"/>
  <c r="N112" i="6"/>
  <c r="O111" i="6"/>
  <c r="L615" i="4"/>
  <c r="O614" i="4"/>
  <c r="L527" i="4"/>
  <c r="O526" i="4"/>
  <c r="L228" i="4"/>
  <c r="O228" i="4" s="1"/>
  <c r="J236" i="4"/>
  <c r="Z236" i="4" s="1"/>
  <c r="B121" i="4"/>
  <c r="V121" i="4" s="1"/>
  <c r="C139" i="4" l="1"/>
  <c r="R138" i="4"/>
  <c r="AA1242" i="4"/>
  <c r="AA1246" i="4"/>
  <c r="AA1250" i="4"/>
  <c r="AA1254" i="4"/>
  <c r="AA1258" i="4"/>
  <c r="AA1243" i="4"/>
  <c r="AA1247" i="4"/>
  <c r="AA1251" i="4"/>
  <c r="AA1255" i="4"/>
  <c r="AA1259" i="4"/>
  <c r="AA1244" i="4"/>
  <c r="AA1248" i="4"/>
  <c r="AA1252" i="4"/>
  <c r="AA1256" i="4"/>
  <c r="AA1249" i="4"/>
  <c r="AA1253" i="4"/>
  <c r="AA1257" i="4"/>
  <c r="AA1245" i="4"/>
  <c r="O112" i="6"/>
  <c r="AA1261" i="4" s="1"/>
  <c r="N113" i="6"/>
  <c r="L616" i="4"/>
  <c r="O615" i="4"/>
  <c r="L528" i="4"/>
  <c r="O527" i="4"/>
  <c r="K485" i="4"/>
  <c r="AA485" i="4" s="1"/>
  <c r="J520" i="4"/>
  <c r="Z520" i="4" s="1"/>
  <c r="J237" i="4"/>
  <c r="Z237" i="4" s="1"/>
  <c r="L229" i="4"/>
  <c r="O229" i="4" s="1"/>
  <c r="B122" i="4"/>
  <c r="V122" i="4" s="1"/>
  <c r="C140" i="4" l="1"/>
  <c r="R139" i="4"/>
  <c r="N114" i="6"/>
  <c r="O113" i="6"/>
  <c r="AA1262" i="4" s="1"/>
  <c r="L617" i="4"/>
  <c r="O616" i="4"/>
  <c r="L529" i="4"/>
  <c r="O528" i="4"/>
  <c r="K486" i="4"/>
  <c r="AA486" i="4" s="1"/>
  <c r="J521" i="4"/>
  <c r="Z521" i="4" s="1"/>
  <c r="L230" i="4"/>
  <c r="O230" i="4" s="1"/>
  <c r="J238" i="4"/>
  <c r="Z238" i="4" s="1"/>
  <c r="B123" i="4"/>
  <c r="V123" i="4" s="1"/>
  <c r="C141" i="4" l="1"/>
  <c r="R140" i="4"/>
  <c r="O114" i="6"/>
  <c r="N115" i="6"/>
  <c r="L618" i="4"/>
  <c r="O617" i="4"/>
  <c r="L530" i="4"/>
  <c r="O529" i="4"/>
  <c r="K487" i="4"/>
  <c r="AA487" i="4" s="1"/>
  <c r="J522" i="4"/>
  <c r="Z522" i="4" s="1"/>
  <c r="L231" i="4"/>
  <c r="O231" i="4" s="1"/>
  <c r="B124" i="4"/>
  <c r="V124" i="4" s="1"/>
  <c r="C142" i="4" l="1"/>
  <c r="R141" i="4"/>
  <c r="AA1266" i="4"/>
  <c r="AA1270" i="4"/>
  <c r="AA1274" i="4"/>
  <c r="AA1263" i="4"/>
  <c r="AA1267" i="4"/>
  <c r="AA1271" i="4"/>
  <c r="AA1275" i="4"/>
  <c r="AA1278" i="4"/>
  <c r="AA1264" i="4"/>
  <c r="AA1268" i="4"/>
  <c r="AA1272" i="4"/>
  <c r="AA1276" i="4"/>
  <c r="AA1265" i="4"/>
  <c r="AA1269" i="4"/>
  <c r="AA1273" i="4"/>
  <c r="AA1277" i="4"/>
  <c r="N116" i="6"/>
  <c r="O115" i="6"/>
  <c r="AA1279" i="4" s="1"/>
  <c r="L619" i="4"/>
  <c r="O618" i="4"/>
  <c r="L531" i="4"/>
  <c r="O530" i="4"/>
  <c r="K488" i="4"/>
  <c r="AA488" i="4" s="1"/>
  <c r="J523" i="4"/>
  <c r="Z523" i="4" s="1"/>
  <c r="L232" i="4"/>
  <c r="O232" i="4" s="1"/>
  <c r="K241" i="4"/>
  <c r="AA241" i="4" s="1"/>
  <c r="B125" i="4"/>
  <c r="V125" i="4" s="1"/>
  <c r="C143" i="4" l="1"/>
  <c r="R142" i="4"/>
  <c r="O116" i="6"/>
  <c r="AA1280" i="4" s="1"/>
  <c r="N117" i="6"/>
  <c r="L620" i="4"/>
  <c r="O619" i="4"/>
  <c r="L532" i="4"/>
  <c r="O531" i="4"/>
  <c r="K489" i="4"/>
  <c r="AA489" i="4" s="1"/>
  <c r="J524" i="4"/>
  <c r="Z524" i="4" s="1"/>
  <c r="K242" i="4"/>
  <c r="AA242" i="4" s="1"/>
  <c r="L233" i="4"/>
  <c r="O233" i="4" s="1"/>
  <c r="B126" i="4"/>
  <c r="V126" i="4" s="1"/>
  <c r="C144" i="4" l="1"/>
  <c r="R143" i="4"/>
  <c r="O117" i="6"/>
  <c r="AA1281" i="4" s="1"/>
  <c r="N118" i="6"/>
  <c r="L621" i="4"/>
  <c r="O620" i="4"/>
  <c r="L533" i="4"/>
  <c r="O532" i="4"/>
  <c r="K490" i="4"/>
  <c r="AA490" i="4" s="1"/>
  <c r="J525" i="4"/>
  <c r="Z525" i="4" s="1"/>
  <c r="K243" i="4"/>
  <c r="AA243" i="4" s="1"/>
  <c r="L234" i="4"/>
  <c r="B127" i="4"/>
  <c r="V127" i="4" s="1"/>
  <c r="C145" i="4" l="1"/>
  <c r="R144" i="4"/>
  <c r="O234" i="4"/>
  <c r="L235" i="4"/>
  <c r="N119" i="6"/>
  <c r="O118" i="6"/>
  <c r="AA1282" i="4" s="1"/>
  <c r="L622" i="4"/>
  <c r="O621" i="4"/>
  <c r="L534" i="4"/>
  <c r="O534" i="4" s="1"/>
  <c r="O533" i="4"/>
  <c r="K491" i="4"/>
  <c r="AA491" i="4" s="1"/>
  <c r="J526" i="4"/>
  <c r="Z526" i="4" s="1"/>
  <c r="K244" i="4"/>
  <c r="AA244" i="4" s="1"/>
  <c r="J241" i="4"/>
  <c r="Z241" i="4" s="1"/>
  <c r="B128" i="4"/>
  <c r="V128" i="4" s="1"/>
  <c r="C146" i="4" l="1"/>
  <c r="R145" i="4"/>
  <c r="N120" i="6"/>
  <c r="O119" i="6"/>
  <c r="L623" i="4"/>
  <c r="O622" i="4"/>
  <c r="K492" i="4"/>
  <c r="AA492" i="4" s="1"/>
  <c r="J527" i="4"/>
  <c r="Z527" i="4" s="1"/>
  <c r="K245" i="4"/>
  <c r="AA245" i="4" s="1"/>
  <c r="J242" i="4"/>
  <c r="Z242" i="4" s="1"/>
  <c r="B129" i="4"/>
  <c r="V129" i="4" s="1"/>
  <c r="C147" i="4" l="1"/>
  <c r="R146" i="4"/>
  <c r="AA1285" i="4"/>
  <c r="AA1289" i="4"/>
  <c r="AA1293" i="4"/>
  <c r="AA1297" i="4"/>
  <c r="AA1286" i="4"/>
  <c r="AA1290" i="4"/>
  <c r="AA1294" i="4"/>
  <c r="AA1298" i="4"/>
  <c r="AA1283" i="4"/>
  <c r="AA1287" i="4"/>
  <c r="AA1291" i="4"/>
  <c r="AA1295" i="4"/>
  <c r="AA1296" i="4"/>
  <c r="AA1284" i="4"/>
  <c r="AA1288" i="4"/>
  <c r="AA1292" i="4"/>
  <c r="N121" i="6"/>
  <c r="O120" i="6"/>
  <c r="L625" i="4"/>
  <c r="O623" i="4"/>
  <c r="K493" i="4"/>
  <c r="AA493" i="4" s="1"/>
  <c r="J528" i="4"/>
  <c r="Z528" i="4" s="1"/>
  <c r="K246" i="4"/>
  <c r="AA246" i="4" s="1"/>
  <c r="J243" i="4"/>
  <c r="Z243" i="4" s="1"/>
  <c r="O235" i="4"/>
  <c r="B130" i="4"/>
  <c r="V130" i="4" s="1"/>
  <c r="C148" i="4" l="1"/>
  <c r="R147" i="4"/>
  <c r="AA1301" i="4"/>
  <c r="AA1305" i="4"/>
  <c r="AA1309" i="4"/>
  <c r="AA1313" i="4"/>
  <c r="AA1302" i="4"/>
  <c r="AA1306" i="4"/>
  <c r="AA1310" i="4"/>
  <c r="AA1314" i="4"/>
  <c r="AA1299" i="4"/>
  <c r="AA1303" i="4"/>
  <c r="AA1307" i="4"/>
  <c r="AA1311" i="4"/>
  <c r="AA1312" i="4"/>
  <c r="AA1300" i="4"/>
  <c r="AA1304" i="4"/>
  <c r="AA1308" i="4"/>
  <c r="N122" i="6"/>
  <c r="O121" i="6"/>
  <c r="AA1315" i="4" s="1"/>
  <c r="K247" i="4"/>
  <c r="AA247" i="4" s="1"/>
  <c r="L626" i="4"/>
  <c r="O625" i="4"/>
  <c r="K494" i="4"/>
  <c r="AA494" i="4" s="1"/>
  <c r="J529" i="4"/>
  <c r="Z529" i="4" s="1"/>
  <c r="J244" i="4"/>
  <c r="Z244" i="4" s="1"/>
  <c r="L236" i="4"/>
  <c r="O236" i="4" s="1"/>
  <c r="B131" i="4"/>
  <c r="V131" i="4" s="1"/>
  <c r="C149" i="4" l="1"/>
  <c r="R148" i="4"/>
  <c r="O122" i="6"/>
  <c r="N123" i="6"/>
  <c r="K248" i="4"/>
  <c r="AA248" i="4" s="1"/>
  <c r="L627" i="4"/>
  <c r="O626" i="4"/>
  <c r="K495" i="4"/>
  <c r="AA495" i="4" s="1"/>
  <c r="J530" i="4"/>
  <c r="Z530" i="4" s="1"/>
  <c r="L237" i="4"/>
  <c r="O237" i="4" s="1"/>
  <c r="J245" i="4"/>
  <c r="Z245" i="4" s="1"/>
  <c r="B132" i="4"/>
  <c r="V132" i="4" s="1"/>
  <c r="C150" i="4" l="1"/>
  <c r="R149" i="4"/>
  <c r="AA1317" i="4"/>
  <c r="AA1321" i="4"/>
  <c r="AA1325" i="4"/>
  <c r="AA1329" i="4"/>
  <c r="AA1318" i="4"/>
  <c r="AA1322" i="4"/>
  <c r="AA1326" i="4"/>
  <c r="AA1330" i="4"/>
  <c r="AA1319" i="4"/>
  <c r="AA1323" i="4"/>
  <c r="AA1327" i="4"/>
  <c r="AA1331" i="4"/>
  <c r="AA1328" i="4"/>
  <c r="AA1316" i="4"/>
  <c r="AA1320" i="4"/>
  <c r="AA1324" i="4"/>
  <c r="N124" i="6"/>
  <c r="O123" i="6"/>
  <c r="K249" i="4"/>
  <c r="AA249" i="4" s="1"/>
  <c r="L628" i="4"/>
  <c r="O627" i="4"/>
  <c r="K496" i="4"/>
  <c r="AA496" i="4" s="1"/>
  <c r="J531" i="4"/>
  <c r="Z531" i="4" s="1"/>
  <c r="J246" i="4"/>
  <c r="Z246" i="4" s="1"/>
  <c r="L238" i="4"/>
  <c r="O238" i="4" s="1"/>
  <c r="B133" i="4"/>
  <c r="V133" i="4" s="1"/>
  <c r="C151" i="4" l="1"/>
  <c r="R150" i="4"/>
  <c r="AA1333" i="4"/>
  <c r="AA1337" i="4"/>
  <c r="AA1341" i="4"/>
  <c r="AA1345" i="4"/>
  <c r="AA1334" i="4"/>
  <c r="AA1338" i="4"/>
  <c r="AA1342" i="4"/>
  <c r="AA1346" i="4"/>
  <c r="AA1335" i="4"/>
  <c r="AA1339" i="4"/>
  <c r="AA1343" i="4"/>
  <c r="AA1347" i="4"/>
  <c r="AA1344" i="4"/>
  <c r="AA1332" i="4"/>
  <c r="AA1348" i="4"/>
  <c r="AA1336" i="4"/>
  <c r="AA1340" i="4"/>
  <c r="O124" i="6"/>
  <c r="N125" i="6"/>
  <c r="J247" i="4"/>
  <c r="Z247" i="4" s="1"/>
  <c r="L629" i="4"/>
  <c r="O628" i="4"/>
  <c r="K497" i="4"/>
  <c r="AA497" i="4" s="1"/>
  <c r="J532" i="4"/>
  <c r="Z532" i="4" s="1"/>
  <c r="B134" i="4"/>
  <c r="V134" i="4" s="1"/>
  <c r="C152" i="4" l="1"/>
  <c r="R151" i="4"/>
  <c r="AA1349" i="4"/>
  <c r="AA1353" i="4"/>
  <c r="AA1357" i="4"/>
  <c r="AA1361" i="4"/>
  <c r="AA1365" i="4"/>
  <c r="AA1351" i="4"/>
  <c r="AA1355" i="4"/>
  <c r="AA1359" i="4"/>
  <c r="AA1363" i="4"/>
  <c r="AA1354" i="4"/>
  <c r="AA1362" i="4"/>
  <c r="AA1356" i="4"/>
  <c r="AA1364" i="4"/>
  <c r="AA1350" i="4"/>
  <c r="AA1358" i="4"/>
  <c r="AA1360" i="4"/>
  <c r="AA1352" i="4"/>
  <c r="N126" i="6"/>
  <c r="O125" i="6"/>
  <c r="J248" i="4"/>
  <c r="Z248" i="4" s="1"/>
  <c r="L630" i="4"/>
  <c r="O629" i="4"/>
  <c r="K498" i="4"/>
  <c r="AA498" i="4" s="1"/>
  <c r="J533" i="4"/>
  <c r="Z533" i="4" s="1"/>
  <c r="B135" i="4"/>
  <c r="V135" i="4" s="1"/>
  <c r="C153" i="4" l="1"/>
  <c r="R152" i="4"/>
  <c r="AA1369" i="4"/>
  <c r="AA1373" i="4"/>
  <c r="AA1377" i="4"/>
  <c r="AA1367" i="4"/>
  <c r="AA1371" i="4"/>
  <c r="AA1375" i="4"/>
  <c r="AA1370" i="4"/>
  <c r="AA1378" i="4"/>
  <c r="AA1382" i="4"/>
  <c r="AA1372" i="4"/>
  <c r="AA1379" i="4"/>
  <c r="AA1366" i="4"/>
  <c r="AA1374" i="4"/>
  <c r="AA1380" i="4"/>
  <c r="AA1368" i="4"/>
  <c r="AA1376" i="4"/>
  <c r="AA1381" i="4"/>
  <c r="O126" i="6"/>
  <c r="AA1383" i="4" s="1"/>
  <c r="N127" i="6"/>
  <c r="B136" i="4"/>
  <c r="V136" i="4" s="1"/>
  <c r="J249" i="4"/>
  <c r="Z249" i="4" s="1"/>
  <c r="L631" i="4"/>
  <c r="O630" i="4"/>
  <c r="K499" i="4"/>
  <c r="AA499" i="4" s="1"/>
  <c r="J534" i="4"/>
  <c r="Z534" i="4" s="1"/>
  <c r="B145" i="4"/>
  <c r="V145" i="4" s="1"/>
  <c r="C154" i="4" l="1"/>
  <c r="R153" i="4"/>
  <c r="N128" i="6"/>
  <c r="O127" i="6"/>
  <c r="B155" i="4"/>
  <c r="V155" i="4" s="1"/>
  <c r="L632" i="4"/>
  <c r="O631" i="4"/>
  <c r="K500" i="4"/>
  <c r="AA500" i="4" s="1"/>
  <c r="C155" i="4" l="1"/>
  <c r="R154" i="4"/>
  <c r="AA1210" i="4"/>
  <c r="AA1214" i="4"/>
  <c r="AA1218" i="4"/>
  <c r="AA1222" i="4"/>
  <c r="AA1207" i="4"/>
  <c r="AA1211" i="4"/>
  <c r="AA1215" i="4"/>
  <c r="AA1219" i="4"/>
  <c r="AA1223" i="4"/>
  <c r="AA1208" i="4"/>
  <c r="AA1212" i="4"/>
  <c r="AA1216" i="4"/>
  <c r="AA1220" i="4"/>
  <c r="AA1217" i="4"/>
  <c r="AA1221" i="4"/>
  <c r="AA1209" i="4"/>
  <c r="AA1213" i="4"/>
  <c r="O128" i="6"/>
  <c r="N129" i="6"/>
  <c r="L633" i="4"/>
  <c r="O632" i="4"/>
  <c r="B146" i="4"/>
  <c r="V146" i="4" s="1"/>
  <c r="L241" i="4"/>
  <c r="O241" i="4" s="1"/>
  <c r="B156" i="4"/>
  <c r="V156" i="4" s="1"/>
  <c r="R155" i="4" l="1"/>
  <c r="C156" i="4"/>
  <c r="AA1386" i="4"/>
  <c r="AA1390" i="4"/>
  <c r="AA1394" i="4"/>
  <c r="AA1398" i="4"/>
  <c r="AA1387" i="4"/>
  <c r="AA1391" i="4"/>
  <c r="AA1395" i="4"/>
  <c r="AA1399" i="4"/>
  <c r="AA1384" i="4"/>
  <c r="AA1388" i="4"/>
  <c r="AA1392" i="4"/>
  <c r="AA1396" i="4"/>
  <c r="AA1400" i="4"/>
  <c r="AA1385" i="4"/>
  <c r="AA1401" i="4"/>
  <c r="AA1389" i="4"/>
  <c r="AA1393" i="4"/>
  <c r="AA1397" i="4"/>
  <c r="O129" i="6"/>
  <c r="N130" i="6"/>
  <c r="L634" i="4"/>
  <c r="O633" i="4"/>
  <c r="K502" i="4"/>
  <c r="AA502" i="4" s="1"/>
  <c r="B137" i="4"/>
  <c r="V137" i="4" s="1"/>
  <c r="L242" i="4"/>
  <c r="O242" i="4" s="1"/>
  <c r="B157" i="4"/>
  <c r="V157" i="4" s="1"/>
  <c r="C157" i="4" l="1"/>
  <c r="R156" i="4"/>
  <c r="AA1402" i="4"/>
  <c r="AA1406" i="4"/>
  <c r="AA1410" i="4"/>
  <c r="AA1414" i="4"/>
  <c r="AA1418" i="4"/>
  <c r="AA1403" i="4"/>
  <c r="AA1407" i="4"/>
  <c r="AA1411" i="4"/>
  <c r="AA1415" i="4"/>
  <c r="AA1419" i="4"/>
  <c r="AA1404" i="4"/>
  <c r="AA1408" i="4"/>
  <c r="AA1412" i="4"/>
  <c r="AA1416" i="4"/>
  <c r="AA1417" i="4"/>
  <c r="AA1405" i="4"/>
  <c r="AA1409" i="4"/>
  <c r="AA1413" i="4"/>
  <c r="N131" i="6"/>
  <c r="O130" i="6"/>
  <c r="B147" i="4"/>
  <c r="V147" i="4" s="1"/>
  <c r="B138" i="4"/>
  <c r="V138" i="4" s="1"/>
  <c r="L635" i="4"/>
  <c r="O634" i="4"/>
  <c r="K503" i="4"/>
  <c r="AA503" i="4" s="1"/>
  <c r="K252" i="4"/>
  <c r="AA252" i="4" s="1"/>
  <c r="L243" i="4"/>
  <c r="O243" i="4" s="1"/>
  <c r="B158" i="4"/>
  <c r="V158" i="4" s="1"/>
  <c r="C158" i="4" l="1"/>
  <c r="R157" i="4"/>
  <c r="AA1420" i="4"/>
  <c r="AA1437" i="4"/>
  <c r="O131" i="6"/>
  <c r="N132" i="6"/>
  <c r="B139" i="4"/>
  <c r="V139" i="4" s="1"/>
  <c r="L636" i="4"/>
  <c r="O635" i="4"/>
  <c r="K504" i="4"/>
  <c r="AA504" i="4" s="1"/>
  <c r="B148" i="4"/>
  <c r="V148" i="4" s="1"/>
  <c r="K253" i="4"/>
  <c r="AA253" i="4" s="1"/>
  <c r="L244" i="4"/>
  <c r="O244" i="4" s="1"/>
  <c r="B159" i="4"/>
  <c r="V159" i="4" s="1"/>
  <c r="C159" i="4" l="1"/>
  <c r="R158" i="4"/>
  <c r="AA1422" i="4"/>
  <c r="AA1426" i="4"/>
  <c r="AA1430" i="4"/>
  <c r="AA1434" i="4"/>
  <c r="AA1438" i="4"/>
  <c r="AA1442" i="4"/>
  <c r="AA1446" i="4"/>
  <c r="AA1450" i="4"/>
  <c r="AA1423" i="4"/>
  <c r="AA1427" i="4"/>
  <c r="AA1431" i="4"/>
  <c r="AA1435" i="4"/>
  <c r="AA1439" i="4"/>
  <c r="AA1443" i="4"/>
  <c r="AA1447" i="4"/>
  <c r="AA1451" i="4"/>
  <c r="AA1424" i="4"/>
  <c r="AA1428" i="4"/>
  <c r="AA1432" i="4"/>
  <c r="AA1436" i="4"/>
  <c r="AA1440" i="4"/>
  <c r="AA1444" i="4"/>
  <c r="AA1448" i="4"/>
  <c r="AA1452" i="4"/>
  <c r="AA1433" i="4"/>
  <c r="AA1449" i="4"/>
  <c r="AA1421" i="4"/>
  <c r="AA1453" i="4"/>
  <c r="AA1425" i="4"/>
  <c r="AA1441" i="4"/>
  <c r="AA1429" i="4"/>
  <c r="AA1445" i="4"/>
  <c r="N133" i="6"/>
  <c r="O132" i="6"/>
  <c r="AA1454" i="4" s="1"/>
  <c r="B140" i="4"/>
  <c r="V140" i="4" s="1"/>
  <c r="L637" i="4"/>
  <c r="O636" i="4"/>
  <c r="K505" i="4"/>
  <c r="AA505" i="4" s="1"/>
  <c r="B149" i="4"/>
  <c r="V149" i="4" s="1"/>
  <c r="K254" i="4"/>
  <c r="AA254" i="4" s="1"/>
  <c r="L245" i="4"/>
  <c r="O245" i="4" s="1"/>
  <c r="B160" i="4"/>
  <c r="V160" i="4" s="1"/>
  <c r="C160" i="4" l="1"/>
  <c r="R159" i="4"/>
  <c r="O133" i="6"/>
  <c r="N134" i="6"/>
  <c r="B141" i="4"/>
  <c r="V141" i="4" s="1"/>
  <c r="L638" i="4"/>
  <c r="O637" i="4"/>
  <c r="K506" i="4"/>
  <c r="AA506" i="4" s="1"/>
  <c r="J541" i="4"/>
  <c r="Z541" i="4" s="1"/>
  <c r="B150" i="4"/>
  <c r="V150" i="4" s="1"/>
  <c r="J252" i="4"/>
  <c r="Z252" i="4" s="1"/>
  <c r="K255" i="4"/>
  <c r="AA255" i="4" s="1"/>
  <c r="L246" i="4"/>
  <c r="B161" i="4"/>
  <c r="V161" i="4" s="1"/>
  <c r="C161" i="4" l="1"/>
  <c r="R160" i="4"/>
  <c r="L247" i="4"/>
  <c r="O246" i="4"/>
  <c r="AA1458" i="4"/>
  <c r="AA1462" i="4"/>
  <c r="AA1466" i="4"/>
  <c r="AA1470" i="4"/>
  <c r="AA1455" i="4"/>
  <c r="AA1459" i="4"/>
  <c r="AA1463" i="4"/>
  <c r="AA1467" i="4"/>
  <c r="AA1456" i="4"/>
  <c r="AA1460" i="4"/>
  <c r="AA1464" i="4"/>
  <c r="AA1468" i="4"/>
  <c r="AA1465" i="4"/>
  <c r="AA1469" i="4"/>
  <c r="AA1457" i="4"/>
  <c r="AA1461" i="4"/>
  <c r="N135" i="6"/>
  <c r="O134" i="6"/>
  <c r="AA1471" i="4" s="1"/>
  <c r="B142" i="4"/>
  <c r="V142" i="4" s="1"/>
  <c r="L639" i="4"/>
  <c r="O638" i="4"/>
  <c r="K507" i="4"/>
  <c r="AA507" i="4" s="1"/>
  <c r="J542" i="4"/>
  <c r="Z542" i="4" s="1"/>
  <c r="B151" i="4"/>
  <c r="V151" i="4" s="1"/>
  <c r="J253" i="4"/>
  <c r="Z253" i="4" s="1"/>
  <c r="K256" i="4"/>
  <c r="AA256" i="4" s="1"/>
  <c r="B162" i="4"/>
  <c r="V162" i="4" s="1"/>
  <c r="R161" i="4" l="1"/>
  <c r="C162" i="4"/>
  <c r="L248" i="4"/>
  <c r="O247" i="4"/>
  <c r="O135" i="6"/>
  <c r="N136" i="6"/>
  <c r="B143" i="4"/>
  <c r="V143" i="4" s="1"/>
  <c r="L640" i="4"/>
  <c r="O639" i="4"/>
  <c r="K508" i="4"/>
  <c r="AA508" i="4" s="1"/>
  <c r="J543" i="4"/>
  <c r="Z543" i="4" s="1"/>
  <c r="J254" i="4"/>
  <c r="Z254" i="4" s="1"/>
  <c r="K257" i="4"/>
  <c r="AA257" i="4" s="1"/>
  <c r="B163" i="4"/>
  <c r="V163" i="4" s="1"/>
  <c r="C163" i="4" l="1"/>
  <c r="R162" i="4"/>
  <c r="L249" i="4"/>
  <c r="O249" i="4" s="1"/>
  <c r="O248" i="4"/>
  <c r="AA1474" i="4"/>
  <c r="AA1478" i="4"/>
  <c r="AA1482" i="4"/>
  <c r="AA1486" i="4"/>
  <c r="AA1475" i="4"/>
  <c r="AA1479" i="4"/>
  <c r="AA1483" i="4"/>
  <c r="AA1487" i="4"/>
  <c r="AA1472" i="4"/>
  <c r="AA1476" i="4"/>
  <c r="AA1480" i="4"/>
  <c r="AA1484" i="4"/>
  <c r="AA1481" i="4"/>
  <c r="AA1485" i="4"/>
  <c r="AA1473" i="4"/>
  <c r="AA1477" i="4"/>
  <c r="N137" i="6"/>
  <c r="O136" i="6"/>
  <c r="B144" i="4"/>
  <c r="V144" i="4" s="1"/>
  <c r="L643" i="4"/>
  <c r="O643" i="4" s="1"/>
  <c r="O640" i="4"/>
  <c r="K509" i="4"/>
  <c r="AA509" i="4" s="1"/>
  <c r="J544" i="4"/>
  <c r="Z544" i="4" s="1"/>
  <c r="J255" i="4"/>
  <c r="Z255" i="4" s="1"/>
  <c r="K258" i="4"/>
  <c r="AA258" i="4" s="1"/>
  <c r="B164" i="4"/>
  <c r="V164" i="4" s="1"/>
  <c r="C164" i="4" l="1"/>
  <c r="R163" i="4"/>
  <c r="AA1490" i="4"/>
  <c r="AA1494" i="4"/>
  <c r="AA1498" i="4"/>
  <c r="AA1502" i="4"/>
  <c r="AA1491" i="4"/>
  <c r="AA1495" i="4"/>
  <c r="AA1499" i="4"/>
  <c r="AA1503" i="4"/>
  <c r="AA1488" i="4"/>
  <c r="AA1492" i="4"/>
  <c r="AA1496" i="4"/>
  <c r="AA1500" i="4"/>
  <c r="AA1504" i="4"/>
  <c r="AA1497" i="4"/>
  <c r="AA1501" i="4"/>
  <c r="AA1505" i="4"/>
  <c r="AA1493" i="4"/>
  <c r="O137" i="6"/>
  <c r="AA1489" i="4" s="1"/>
  <c r="N138" i="6"/>
  <c r="L644" i="4"/>
  <c r="O644" i="4" s="1"/>
  <c r="K510" i="4"/>
  <c r="AA510" i="4" s="1"/>
  <c r="J545" i="4"/>
  <c r="Z545" i="4" s="1"/>
  <c r="B152" i="4"/>
  <c r="V152" i="4" s="1"/>
  <c r="J256" i="4"/>
  <c r="Z256" i="4" s="1"/>
  <c r="K259" i="4"/>
  <c r="AA259" i="4" s="1"/>
  <c r="B165" i="4"/>
  <c r="V165" i="4" s="1"/>
  <c r="C165" i="4" l="1"/>
  <c r="R164" i="4"/>
  <c r="N139" i="6"/>
  <c r="O138" i="6"/>
  <c r="L645" i="4"/>
  <c r="O645" i="4" s="1"/>
  <c r="K511" i="4"/>
  <c r="AA511" i="4" s="1"/>
  <c r="J546" i="4"/>
  <c r="Z546" i="4" s="1"/>
  <c r="J257" i="4"/>
  <c r="Z257" i="4" s="1"/>
  <c r="K260" i="4"/>
  <c r="AA260" i="4" s="1"/>
  <c r="B166" i="4"/>
  <c r="V166" i="4" s="1"/>
  <c r="C166" i="4" l="1"/>
  <c r="R165" i="4"/>
  <c r="AA1506" i="4"/>
  <c r="AA1510" i="4"/>
  <c r="AA1514" i="4"/>
  <c r="AA1518" i="4"/>
  <c r="AA1522" i="4"/>
  <c r="AA1507" i="4"/>
  <c r="AA1511" i="4"/>
  <c r="AA1515" i="4"/>
  <c r="AA1519" i="4"/>
  <c r="AA1508" i="4"/>
  <c r="AA1512" i="4"/>
  <c r="AA1516" i="4"/>
  <c r="AA1520" i="4"/>
  <c r="AA1513" i="4"/>
  <c r="AA1517" i="4"/>
  <c r="AA1521" i="4"/>
  <c r="AA1509" i="4"/>
  <c r="O139" i="6"/>
  <c r="AA1523" i="4" s="1"/>
  <c r="N140" i="6"/>
  <c r="L646" i="4"/>
  <c r="O646" i="4" s="1"/>
  <c r="K512" i="4"/>
  <c r="AA512" i="4" s="1"/>
  <c r="J547" i="4"/>
  <c r="Z547" i="4" s="1"/>
  <c r="B153" i="4"/>
  <c r="V153" i="4" s="1"/>
  <c r="J258" i="4"/>
  <c r="Z258" i="4" s="1"/>
  <c r="K261" i="4"/>
  <c r="AA261" i="4" s="1"/>
  <c r="B167" i="4"/>
  <c r="V167" i="4" s="1"/>
  <c r="C167" i="4" l="1"/>
  <c r="R166" i="4"/>
  <c r="N141" i="6"/>
  <c r="O140" i="6"/>
  <c r="AA1524" i="4" s="1"/>
  <c r="L647" i="4"/>
  <c r="O647" i="4" s="1"/>
  <c r="K513" i="4"/>
  <c r="AA513" i="4" s="1"/>
  <c r="J548" i="4"/>
  <c r="Z548" i="4" s="1"/>
  <c r="J259" i="4"/>
  <c r="Z259" i="4" s="1"/>
  <c r="K262" i="4"/>
  <c r="AA262" i="4" s="1"/>
  <c r="B168" i="4"/>
  <c r="V168" i="4" s="1"/>
  <c r="C168" i="4" l="1"/>
  <c r="R167" i="4"/>
  <c r="O141" i="6"/>
  <c r="AA1525" i="4" s="1"/>
  <c r="N142" i="6"/>
  <c r="L648" i="4"/>
  <c r="O648" i="4" s="1"/>
  <c r="K514" i="4"/>
  <c r="AA514" i="4" s="1"/>
  <c r="J549" i="4"/>
  <c r="Z549" i="4" s="1"/>
  <c r="B154" i="4"/>
  <c r="V154" i="4" s="1"/>
  <c r="J260" i="4"/>
  <c r="Z260" i="4" s="1"/>
  <c r="K263" i="4"/>
  <c r="AA263" i="4" s="1"/>
  <c r="B169" i="4"/>
  <c r="V169" i="4" s="1"/>
  <c r="C169" i="4" l="1"/>
  <c r="R168" i="4"/>
  <c r="N143" i="6"/>
  <c r="O142" i="6"/>
  <c r="L649" i="4"/>
  <c r="O649" i="4" s="1"/>
  <c r="K515" i="4"/>
  <c r="AA515" i="4" s="1"/>
  <c r="J550" i="4"/>
  <c r="Z550" i="4" s="1"/>
  <c r="J261" i="4"/>
  <c r="Z261" i="4" s="1"/>
  <c r="K264" i="4"/>
  <c r="AA264" i="4" s="1"/>
  <c r="B170" i="4"/>
  <c r="V170" i="4" s="1"/>
  <c r="C170" i="4" l="1"/>
  <c r="R169" i="4"/>
  <c r="AA1526" i="4"/>
  <c r="AA1530" i="4"/>
  <c r="AA1527" i="4"/>
  <c r="AA1528" i="4"/>
  <c r="AA1529" i="4"/>
  <c r="O143" i="6"/>
  <c r="N144" i="6"/>
  <c r="L650" i="4"/>
  <c r="O650" i="4" s="1"/>
  <c r="K516" i="4"/>
  <c r="AA516" i="4" s="1"/>
  <c r="J551" i="4"/>
  <c r="Z551" i="4" s="1"/>
  <c r="J262" i="4"/>
  <c r="Z262" i="4" s="1"/>
  <c r="K265" i="4"/>
  <c r="AA265" i="4" s="1"/>
  <c r="L252" i="4"/>
  <c r="O252" i="4" s="1"/>
  <c r="B171" i="4"/>
  <c r="V171" i="4" s="1"/>
  <c r="C171" i="4" l="1"/>
  <c r="R170" i="4"/>
  <c r="AA1534" i="4"/>
  <c r="AA1531" i="4"/>
  <c r="AA1535" i="4"/>
  <c r="AA1532" i="4"/>
  <c r="AA1536" i="4"/>
  <c r="AA1533" i="4"/>
  <c r="N145" i="6"/>
  <c r="O144" i="6"/>
  <c r="AA1537" i="4" s="1"/>
  <c r="L651" i="4"/>
  <c r="O651" i="4" s="1"/>
  <c r="K517" i="4"/>
  <c r="AA517" i="4" s="1"/>
  <c r="J552" i="4"/>
  <c r="Z552" i="4" s="1"/>
  <c r="J263" i="4"/>
  <c r="Z263" i="4" s="1"/>
  <c r="K266" i="4"/>
  <c r="AA266" i="4" s="1"/>
  <c r="L253" i="4"/>
  <c r="O253" i="4" s="1"/>
  <c r="B172" i="4"/>
  <c r="V172" i="4" s="1"/>
  <c r="C172" i="4" l="1"/>
  <c r="R171" i="4"/>
  <c r="O145" i="6"/>
  <c r="AA1538" i="4" s="1"/>
  <c r="N146" i="6"/>
  <c r="L652" i="4"/>
  <c r="O652" i="4" s="1"/>
  <c r="J553" i="4"/>
  <c r="Z553" i="4" s="1"/>
  <c r="J264" i="4"/>
  <c r="Z264" i="4" s="1"/>
  <c r="K267" i="4"/>
  <c r="AA267" i="4" s="1"/>
  <c r="L254" i="4"/>
  <c r="O254" i="4" s="1"/>
  <c r="B173" i="4"/>
  <c r="V173" i="4" s="1"/>
  <c r="C173" i="4" l="1"/>
  <c r="R172" i="4"/>
  <c r="N147" i="6"/>
  <c r="O146" i="6"/>
  <c r="L653" i="4"/>
  <c r="O653" i="4" s="1"/>
  <c r="K519" i="4"/>
  <c r="AA519" i="4" s="1"/>
  <c r="J554" i="4"/>
  <c r="Z554" i="4" s="1"/>
  <c r="J265" i="4"/>
  <c r="Z265" i="4" s="1"/>
  <c r="L255" i="4"/>
  <c r="O255" i="4" s="1"/>
  <c r="B174" i="4"/>
  <c r="V174" i="4" s="1"/>
  <c r="C174" i="4" l="1"/>
  <c r="R173" i="4"/>
  <c r="AA1542" i="4"/>
  <c r="AA1546" i="4"/>
  <c r="AA1550" i="4"/>
  <c r="AA1554" i="4"/>
  <c r="AA1539" i="4"/>
  <c r="AA1543" i="4"/>
  <c r="AA1547" i="4"/>
  <c r="AA1551" i="4"/>
  <c r="AA1555" i="4"/>
  <c r="AA1540" i="4"/>
  <c r="AA1544" i="4"/>
  <c r="AA1548" i="4"/>
  <c r="AA1552" i="4"/>
  <c r="AA1545" i="4"/>
  <c r="AA1549" i="4"/>
  <c r="AA1553" i="4"/>
  <c r="AA1541" i="4"/>
  <c r="O147" i="6"/>
  <c r="N148" i="6"/>
  <c r="L654" i="4"/>
  <c r="O654" i="4" s="1"/>
  <c r="K520" i="4"/>
  <c r="AA520" i="4" s="1"/>
  <c r="J555" i="4"/>
  <c r="Z555" i="4" s="1"/>
  <c r="J266" i="4"/>
  <c r="Z266" i="4" s="1"/>
  <c r="K269" i="4"/>
  <c r="AA269" i="4" s="1"/>
  <c r="L256" i="4"/>
  <c r="O256" i="4" s="1"/>
  <c r="B175" i="4"/>
  <c r="V175" i="4" s="1"/>
  <c r="C175" i="4" l="1"/>
  <c r="R174" i="4"/>
  <c r="AA1558" i="4"/>
  <c r="AA1562" i="4"/>
  <c r="AA1566" i="4"/>
  <c r="AA1570" i="4"/>
  <c r="AA1559" i="4"/>
  <c r="AA1563" i="4"/>
  <c r="AA1567" i="4"/>
  <c r="AA1571" i="4"/>
  <c r="AA1556" i="4"/>
  <c r="AA1560" i="4"/>
  <c r="AA1564" i="4"/>
  <c r="AA1568" i="4"/>
  <c r="AA1572" i="4"/>
  <c r="AA1561" i="4"/>
  <c r="AA1565" i="4"/>
  <c r="AA1569" i="4"/>
  <c r="AA1557" i="4"/>
  <c r="N149" i="6"/>
  <c r="O148" i="6"/>
  <c r="AA1573" i="4" s="1"/>
  <c r="L655" i="4"/>
  <c r="O655" i="4" s="1"/>
  <c r="K521" i="4"/>
  <c r="AA521" i="4" s="1"/>
  <c r="J267" i="4"/>
  <c r="Z267" i="4" s="1"/>
  <c r="K270" i="4"/>
  <c r="AA270" i="4" s="1"/>
  <c r="L257" i="4"/>
  <c r="O257" i="4" s="1"/>
  <c r="B176" i="4"/>
  <c r="V176" i="4" s="1"/>
  <c r="C176" i="4" l="1"/>
  <c r="R175" i="4"/>
  <c r="O149" i="6"/>
  <c r="AA1574" i="4" s="1"/>
  <c r="N150" i="6"/>
  <c r="L656" i="4"/>
  <c r="O656" i="4" s="1"/>
  <c r="K522" i="4"/>
  <c r="AA522" i="4" s="1"/>
  <c r="K271" i="4"/>
  <c r="AA271" i="4" s="1"/>
  <c r="L258" i="4"/>
  <c r="O258" i="4" s="1"/>
  <c r="B177" i="4"/>
  <c r="V177" i="4" s="1"/>
  <c r="C177" i="4" l="1"/>
  <c r="R176" i="4"/>
  <c r="N151" i="6"/>
  <c r="O150" i="6"/>
  <c r="AA1575" i="4" s="1"/>
  <c r="L657" i="4"/>
  <c r="O657" i="4" s="1"/>
  <c r="K523" i="4"/>
  <c r="AA523" i="4" s="1"/>
  <c r="J558" i="4"/>
  <c r="Z558" i="4" s="1"/>
  <c r="K272" i="4"/>
  <c r="AA272" i="4" s="1"/>
  <c r="L259" i="4"/>
  <c r="O259" i="4" s="1"/>
  <c r="B178" i="4"/>
  <c r="V178" i="4" s="1"/>
  <c r="C178" i="4" l="1"/>
  <c r="R177" i="4"/>
  <c r="O151" i="6"/>
  <c r="N152" i="6"/>
  <c r="L658" i="4"/>
  <c r="O658" i="4" s="1"/>
  <c r="K524" i="4"/>
  <c r="AA524" i="4" s="1"/>
  <c r="J559" i="4"/>
  <c r="Z559" i="4" s="1"/>
  <c r="J270" i="4"/>
  <c r="Z270" i="4" s="1"/>
  <c r="K273" i="4"/>
  <c r="AA273" i="4" s="1"/>
  <c r="L260" i="4"/>
  <c r="O260" i="4" s="1"/>
  <c r="B179" i="4"/>
  <c r="V179" i="4" s="1"/>
  <c r="C179" i="4" l="1"/>
  <c r="R178" i="4"/>
  <c r="AA1578" i="4"/>
  <c r="AA1582" i="4"/>
  <c r="AA1586" i="4"/>
  <c r="AA1590" i="4"/>
  <c r="AA1579" i="4"/>
  <c r="AA1583" i="4"/>
  <c r="AA1587" i="4"/>
  <c r="AA1591" i="4"/>
  <c r="AA1576" i="4"/>
  <c r="AA1580" i="4"/>
  <c r="AA1584" i="4"/>
  <c r="AA1588" i="4"/>
  <c r="AA1592" i="4"/>
  <c r="AA1577" i="4"/>
  <c r="AA1581" i="4"/>
  <c r="AA1585" i="4"/>
  <c r="AA1589" i="4"/>
  <c r="N153" i="6"/>
  <c r="O152" i="6"/>
  <c r="L660" i="4"/>
  <c r="K525" i="4"/>
  <c r="AA525" i="4" s="1"/>
  <c r="J560" i="4"/>
  <c r="Z560" i="4" s="1"/>
  <c r="J271" i="4"/>
  <c r="Z271" i="4" s="1"/>
  <c r="K274" i="4"/>
  <c r="AA274" i="4" s="1"/>
  <c r="L261" i="4"/>
  <c r="O261" i="4" s="1"/>
  <c r="B180" i="4"/>
  <c r="V180" i="4" s="1"/>
  <c r="C180" i="4" l="1"/>
  <c r="R179" i="4"/>
  <c r="AA1594" i="4"/>
  <c r="AA1598" i="4"/>
  <c r="AA1602" i="4"/>
  <c r="AA1606" i="4"/>
  <c r="AA1595" i="4"/>
  <c r="AA1599" i="4"/>
  <c r="AA1603" i="4"/>
  <c r="AA1607" i="4"/>
  <c r="AA1596" i="4"/>
  <c r="AA1600" i="4"/>
  <c r="AA1604" i="4"/>
  <c r="AA1608" i="4"/>
  <c r="AA1593" i="4"/>
  <c r="AA1609" i="4"/>
  <c r="AA1597" i="4"/>
  <c r="AA1601" i="4"/>
  <c r="AA1605" i="4"/>
  <c r="O153" i="6"/>
  <c r="AA1610" i="4" s="1"/>
  <c r="N154" i="6"/>
  <c r="L661" i="4"/>
  <c r="O660" i="4"/>
  <c r="K526" i="4"/>
  <c r="AA526" i="4" s="1"/>
  <c r="J561" i="4"/>
  <c r="Z561" i="4" s="1"/>
  <c r="J272" i="4"/>
  <c r="Z272" i="4" s="1"/>
  <c r="K275" i="4"/>
  <c r="AA275" i="4" s="1"/>
  <c r="L262" i="4"/>
  <c r="O262" i="4" s="1"/>
  <c r="B181" i="4"/>
  <c r="V181" i="4" s="1"/>
  <c r="C181" i="4" l="1"/>
  <c r="R180" i="4"/>
  <c r="N155" i="6"/>
  <c r="O154" i="6"/>
  <c r="AA1611" i="4" s="1"/>
  <c r="L662" i="4"/>
  <c r="O661" i="4"/>
  <c r="K527" i="4"/>
  <c r="AA527" i="4" s="1"/>
  <c r="J562" i="4"/>
  <c r="Z562" i="4" s="1"/>
  <c r="J273" i="4"/>
  <c r="Z273" i="4" s="1"/>
  <c r="K276" i="4"/>
  <c r="AA276" i="4" s="1"/>
  <c r="L263" i="4"/>
  <c r="O263" i="4" s="1"/>
  <c r="B182" i="4"/>
  <c r="V182" i="4" s="1"/>
  <c r="C182" i="4" l="1"/>
  <c r="R181" i="4"/>
  <c r="O155" i="6"/>
  <c r="AA1612" i="4" s="1"/>
  <c r="N156" i="6"/>
  <c r="L663" i="4"/>
  <c r="O662" i="4"/>
  <c r="K528" i="4"/>
  <c r="AA528" i="4" s="1"/>
  <c r="J563" i="4"/>
  <c r="Z563" i="4" s="1"/>
  <c r="J274" i="4"/>
  <c r="Z274" i="4" s="1"/>
  <c r="K277" i="4"/>
  <c r="AA277" i="4" s="1"/>
  <c r="L264" i="4"/>
  <c r="O264" i="4" s="1"/>
  <c r="B183" i="4"/>
  <c r="V183" i="4" s="1"/>
  <c r="C183" i="4" l="1"/>
  <c r="R182" i="4"/>
  <c r="N157" i="6"/>
  <c r="O156" i="6"/>
  <c r="AA1613" i="4" s="1"/>
  <c r="L664" i="4"/>
  <c r="O663" i="4"/>
  <c r="K529" i="4"/>
  <c r="AA529" i="4" s="1"/>
  <c r="J564" i="4"/>
  <c r="Z564" i="4" s="1"/>
  <c r="J275" i="4"/>
  <c r="Z275" i="4" s="1"/>
  <c r="K278" i="4"/>
  <c r="AA278" i="4" s="1"/>
  <c r="L265" i="4"/>
  <c r="O265" i="4" s="1"/>
  <c r="B184" i="4"/>
  <c r="V184" i="4" s="1"/>
  <c r="C184" i="4" l="1"/>
  <c r="R183" i="4"/>
  <c r="O157" i="6"/>
  <c r="AA1614" i="4" s="1"/>
  <c r="N158" i="6"/>
  <c r="L665" i="4"/>
  <c r="O664" i="4"/>
  <c r="K530" i="4"/>
  <c r="AA530" i="4" s="1"/>
  <c r="J565" i="4"/>
  <c r="Z565" i="4" s="1"/>
  <c r="J276" i="4"/>
  <c r="Z276" i="4" s="1"/>
  <c r="K279" i="4"/>
  <c r="AA279" i="4" s="1"/>
  <c r="L266" i="4"/>
  <c r="O266" i="4" s="1"/>
  <c r="B185" i="4"/>
  <c r="V185" i="4" s="1"/>
  <c r="C185" i="4" l="1"/>
  <c r="R184" i="4"/>
  <c r="N159" i="6"/>
  <c r="O158" i="6"/>
  <c r="L666" i="4"/>
  <c r="O665" i="4"/>
  <c r="K531" i="4"/>
  <c r="AA531" i="4" s="1"/>
  <c r="J566" i="4"/>
  <c r="Z566" i="4" s="1"/>
  <c r="J277" i="4"/>
  <c r="Z277" i="4" s="1"/>
  <c r="K280" i="4"/>
  <c r="AA280" i="4" s="1"/>
  <c r="L267" i="4"/>
  <c r="O267" i="4" s="1"/>
  <c r="B186" i="4"/>
  <c r="V186" i="4" s="1"/>
  <c r="C186" i="4" l="1"/>
  <c r="R185" i="4"/>
  <c r="AA1618" i="4"/>
  <c r="AA1615" i="4"/>
  <c r="AA1619" i="4"/>
  <c r="AA1616" i="4"/>
  <c r="AA1620" i="4"/>
  <c r="AA1617" i="4"/>
  <c r="O159" i="6"/>
  <c r="N160" i="6"/>
  <c r="L667" i="4"/>
  <c r="O666" i="4"/>
  <c r="K532" i="4"/>
  <c r="AA532" i="4" s="1"/>
  <c r="J567" i="4"/>
  <c r="Z567" i="4" s="1"/>
  <c r="J278" i="4"/>
  <c r="Z278" i="4" s="1"/>
  <c r="K281" i="4"/>
  <c r="AA281" i="4" s="1"/>
  <c r="B187" i="4"/>
  <c r="V187" i="4" s="1"/>
  <c r="C187" i="4" l="1"/>
  <c r="R186" i="4"/>
  <c r="AA1622" i="4"/>
  <c r="AA1626" i="4"/>
  <c r="AA1623" i="4"/>
  <c r="AA1624" i="4"/>
  <c r="AA1628" i="4"/>
  <c r="AA1625" i="4"/>
  <c r="AA1631" i="4"/>
  <c r="AA1635" i="4"/>
  <c r="AA1627" i="4"/>
  <c r="AA1632" i="4"/>
  <c r="AA1636" i="4"/>
  <c r="AA1629" i="4"/>
  <c r="AA1633" i="4"/>
  <c r="AA1637" i="4"/>
  <c r="AA1621" i="4"/>
  <c r="AA1630" i="4"/>
  <c r="AA1634" i="4"/>
  <c r="N161" i="6"/>
  <c r="O160" i="6"/>
  <c r="L668" i="4"/>
  <c r="O667" i="4"/>
  <c r="K533" i="4"/>
  <c r="AA533" i="4" s="1"/>
  <c r="J568" i="4"/>
  <c r="Z568" i="4" s="1"/>
  <c r="J279" i="4"/>
  <c r="Z279" i="4" s="1"/>
  <c r="K282" i="4"/>
  <c r="AA282" i="4" s="1"/>
  <c r="L269" i="4"/>
  <c r="O269" i="4" s="1"/>
  <c r="B188" i="4"/>
  <c r="V188" i="4" s="1"/>
  <c r="C188" i="4" l="1"/>
  <c r="R187" i="4"/>
  <c r="AA1639" i="4"/>
  <c r="AA1640" i="4"/>
  <c r="AA1641" i="4"/>
  <c r="AA1642" i="4"/>
  <c r="AA1638" i="4"/>
  <c r="O161" i="6"/>
  <c r="AA1643" i="4" s="1"/>
  <c r="N162" i="6"/>
  <c r="L669" i="4"/>
  <c r="O668" i="4"/>
  <c r="K534" i="4"/>
  <c r="AA534" i="4" s="1"/>
  <c r="J569" i="4"/>
  <c r="Z569" i="4" s="1"/>
  <c r="J280" i="4"/>
  <c r="Z280" i="4" s="1"/>
  <c r="K283" i="4"/>
  <c r="AA283" i="4" s="1"/>
  <c r="L270" i="4"/>
  <c r="O270" i="4" s="1"/>
  <c r="B189" i="4"/>
  <c r="V189" i="4" s="1"/>
  <c r="R188" i="4" l="1"/>
  <c r="C189" i="4"/>
  <c r="N163" i="6"/>
  <c r="O162" i="6"/>
  <c r="B190" i="4"/>
  <c r="V190" i="4" s="1"/>
  <c r="L670" i="4"/>
  <c r="O669" i="4"/>
  <c r="J570" i="4"/>
  <c r="Z570" i="4" s="1"/>
  <c r="J281" i="4"/>
  <c r="Z281" i="4" s="1"/>
  <c r="K284" i="4"/>
  <c r="AA284" i="4" s="1"/>
  <c r="L271" i="4"/>
  <c r="O271" i="4" s="1"/>
  <c r="C190" i="4" l="1"/>
  <c r="R189" i="4"/>
  <c r="AA1647" i="4"/>
  <c r="AA1644" i="4"/>
  <c r="AA1645" i="4"/>
  <c r="AA1646" i="4"/>
  <c r="O163" i="6"/>
  <c r="N164" i="6"/>
  <c r="B191" i="4"/>
  <c r="V191" i="4" s="1"/>
  <c r="L671" i="4"/>
  <c r="O670" i="4"/>
  <c r="J571" i="4"/>
  <c r="Z571" i="4" s="1"/>
  <c r="J282" i="4"/>
  <c r="Z282" i="4" s="1"/>
  <c r="L272" i="4"/>
  <c r="O272" i="4" s="1"/>
  <c r="C191" i="4" l="1"/>
  <c r="R190" i="4"/>
  <c r="AA1651" i="4"/>
  <c r="AA1648" i="4"/>
  <c r="AA1652" i="4"/>
  <c r="AA1649" i="4"/>
  <c r="AA1650" i="4"/>
  <c r="N165" i="6"/>
  <c r="O164" i="6"/>
  <c r="B192" i="4"/>
  <c r="V192" i="4" s="1"/>
  <c r="L672" i="4"/>
  <c r="O671" i="4"/>
  <c r="J572" i="4"/>
  <c r="Z572" i="4" s="1"/>
  <c r="J283" i="4"/>
  <c r="Z283" i="4" s="1"/>
  <c r="L273" i="4"/>
  <c r="O273" i="4" s="1"/>
  <c r="C192" i="4" l="1"/>
  <c r="R191" i="4"/>
  <c r="AA1655" i="4"/>
  <c r="AA1659" i="4"/>
  <c r="AA1663" i="4"/>
  <c r="AA1667" i="4"/>
  <c r="AA1656" i="4"/>
  <c r="AA1660" i="4"/>
  <c r="AA1664" i="4"/>
  <c r="AA1668" i="4"/>
  <c r="AA1653" i="4"/>
  <c r="AA1657" i="4"/>
  <c r="AA1661" i="4"/>
  <c r="AA1665" i="4"/>
  <c r="AA1669" i="4"/>
  <c r="AA1658" i="4"/>
  <c r="AA1662" i="4"/>
  <c r="AA1666" i="4"/>
  <c r="AA1654" i="4"/>
  <c r="O165" i="6"/>
  <c r="N166" i="6"/>
  <c r="B193" i="4"/>
  <c r="V193" i="4" s="1"/>
  <c r="L673" i="4"/>
  <c r="O672" i="4"/>
  <c r="J284" i="4"/>
  <c r="Z284" i="4" s="1"/>
  <c r="L274" i="4"/>
  <c r="O274" i="4" s="1"/>
  <c r="C193" i="4" l="1"/>
  <c r="R192" i="4"/>
  <c r="AA1671" i="4"/>
  <c r="AA1672" i="4"/>
  <c r="AA1673" i="4"/>
  <c r="AA1670" i="4"/>
  <c r="N167" i="6"/>
  <c r="O166" i="6"/>
  <c r="B194" i="4"/>
  <c r="V194" i="4" s="1"/>
  <c r="L674" i="4"/>
  <c r="O673" i="4"/>
  <c r="J285" i="4"/>
  <c r="Z285" i="4" s="1"/>
  <c r="L275" i="4"/>
  <c r="O275" i="4" s="1"/>
  <c r="C194" i="4" l="1"/>
  <c r="R193" i="4"/>
  <c r="AA1675" i="4"/>
  <c r="AA1679" i="4"/>
  <c r="AA1683" i="4"/>
  <c r="AA1687" i="4"/>
  <c r="AA1676" i="4"/>
  <c r="AA1680" i="4"/>
  <c r="AA1684" i="4"/>
  <c r="AA1688" i="4"/>
  <c r="AA1677" i="4"/>
  <c r="AA1681" i="4"/>
  <c r="AA1685" i="4"/>
  <c r="AA1689" i="4"/>
  <c r="AA1674" i="4"/>
  <c r="AA1690" i="4"/>
  <c r="AA1678" i="4"/>
  <c r="AA1682" i="4"/>
  <c r="AA1686" i="4"/>
  <c r="O167" i="6"/>
  <c r="N168" i="6"/>
  <c r="B195" i="4"/>
  <c r="V195" i="4" s="1"/>
  <c r="L675" i="4"/>
  <c r="O674" i="4"/>
  <c r="K540" i="4"/>
  <c r="AA540" i="4" s="1"/>
  <c r="J575" i="4"/>
  <c r="Z575" i="4" s="1"/>
  <c r="L276" i="4"/>
  <c r="O276" i="4" s="1"/>
  <c r="C195" i="4" l="1"/>
  <c r="R194" i="4"/>
  <c r="AA1691" i="4"/>
  <c r="AA1695" i="4"/>
  <c r="AA1698" i="4"/>
  <c r="AA1702" i="4"/>
  <c r="AA1706" i="4"/>
  <c r="AA1692" i="4"/>
  <c r="AA1699" i="4"/>
  <c r="AA1703" i="4"/>
  <c r="AA1693" i="4"/>
  <c r="AA1696" i="4"/>
  <c r="AA1700" i="4"/>
  <c r="AA1704" i="4"/>
  <c r="AA1705" i="4"/>
  <c r="AA1694" i="4"/>
  <c r="AA1697" i="4"/>
  <c r="AA1701" i="4"/>
  <c r="N169" i="6"/>
  <c r="O168" i="6"/>
  <c r="B196" i="4"/>
  <c r="V196" i="4" s="1"/>
  <c r="L677" i="4"/>
  <c r="O675" i="4"/>
  <c r="K541" i="4"/>
  <c r="AA541" i="4" s="1"/>
  <c r="J576" i="4"/>
  <c r="Z576" i="4" s="1"/>
  <c r="L277" i="4"/>
  <c r="O277" i="4" s="1"/>
  <c r="C196" i="4" l="1"/>
  <c r="R195" i="4"/>
  <c r="AA1710" i="4"/>
  <c r="AA1714" i="4"/>
  <c r="AA1718" i="4"/>
  <c r="AA1722" i="4"/>
  <c r="AA1707" i="4"/>
  <c r="AA1711" i="4"/>
  <c r="AA1715" i="4"/>
  <c r="AA1719" i="4"/>
  <c r="AA1723" i="4"/>
  <c r="AA1708" i="4"/>
  <c r="AA1712" i="4"/>
  <c r="AA1716" i="4"/>
  <c r="AA1720" i="4"/>
  <c r="AA1721" i="4"/>
  <c r="AA1709" i="4"/>
  <c r="AA1713" i="4"/>
  <c r="AA1717" i="4"/>
  <c r="O169" i="6"/>
  <c r="N170" i="6"/>
  <c r="B197" i="4"/>
  <c r="V197" i="4" s="1"/>
  <c r="L678" i="4"/>
  <c r="O677" i="4"/>
  <c r="K542" i="4"/>
  <c r="AA542" i="4" s="1"/>
  <c r="J577" i="4"/>
  <c r="Z577" i="4" s="1"/>
  <c r="L278" i="4"/>
  <c r="O278" i="4" s="1"/>
  <c r="C197" i="4" l="1"/>
  <c r="R196" i="4"/>
  <c r="AA1726" i="4"/>
  <c r="AA1730" i="4"/>
  <c r="AA1734" i="4"/>
  <c r="AA1738" i="4"/>
  <c r="AA1727" i="4"/>
  <c r="AA1731" i="4"/>
  <c r="AA1735" i="4"/>
  <c r="AA1739" i="4"/>
  <c r="AA1724" i="4"/>
  <c r="AA1728" i="4"/>
  <c r="AA1732" i="4"/>
  <c r="AA1736" i="4"/>
  <c r="AA1740" i="4"/>
  <c r="AA1737" i="4"/>
  <c r="AA1725" i="4"/>
  <c r="AA1729" i="4"/>
  <c r="AA1733" i="4"/>
  <c r="N171" i="6"/>
  <c r="O170" i="6"/>
  <c r="B198" i="4"/>
  <c r="V198" i="4" s="1"/>
  <c r="L679" i="4"/>
  <c r="O678" i="4"/>
  <c r="K543" i="4"/>
  <c r="AA543" i="4" s="1"/>
  <c r="J578" i="4"/>
  <c r="Z578" i="4" s="1"/>
  <c r="L279" i="4"/>
  <c r="O279" i="4" s="1"/>
  <c r="C198" i="4" l="1"/>
  <c r="R197" i="4"/>
  <c r="AA1742" i="4"/>
  <c r="AA1746" i="4"/>
  <c r="AA1750" i="4"/>
  <c r="AA1754" i="4"/>
  <c r="AA1743" i="4"/>
  <c r="AA1747" i="4"/>
  <c r="AA1751" i="4"/>
  <c r="AA1755" i="4"/>
  <c r="AA1744" i="4"/>
  <c r="AA1748" i="4"/>
  <c r="AA1752" i="4"/>
  <c r="AA1756" i="4"/>
  <c r="AA1753" i="4"/>
  <c r="AA1741" i="4"/>
  <c r="AA1757" i="4"/>
  <c r="AA1745" i="4"/>
  <c r="AA1749" i="4"/>
  <c r="O171" i="6"/>
  <c r="N172" i="6"/>
  <c r="B199" i="4"/>
  <c r="V199" i="4" s="1"/>
  <c r="L680" i="4"/>
  <c r="O679" i="4"/>
  <c r="K544" i="4"/>
  <c r="AA544" i="4" s="1"/>
  <c r="J579" i="4"/>
  <c r="Z579" i="4" s="1"/>
  <c r="L280" i="4"/>
  <c r="O280" i="4" s="1"/>
  <c r="C199" i="4" l="1"/>
  <c r="R198" i="4"/>
  <c r="B200" i="4"/>
  <c r="V200" i="4" s="1"/>
  <c r="AA1758" i="4"/>
  <c r="AA1762" i="4"/>
  <c r="AA1766" i="4"/>
  <c r="AA1770" i="4"/>
  <c r="AA1774" i="4"/>
  <c r="AA1759" i="4"/>
  <c r="AA1763" i="4"/>
  <c r="AA1767" i="4"/>
  <c r="AA1771" i="4"/>
  <c r="AA1760" i="4"/>
  <c r="AA1764" i="4"/>
  <c r="AA1768" i="4"/>
  <c r="AA1772" i="4"/>
  <c r="AA1769" i="4"/>
  <c r="AA1773" i="4"/>
  <c r="AA1761" i="4"/>
  <c r="AA1765" i="4"/>
  <c r="N173" i="6"/>
  <c r="O172" i="6"/>
  <c r="L681" i="4"/>
  <c r="O680" i="4"/>
  <c r="K545" i="4"/>
  <c r="AA545" i="4" s="1"/>
  <c r="J580" i="4"/>
  <c r="Z580" i="4" s="1"/>
  <c r="L281" i="4"/>
  <c r="O281" i="4" s="1"/>
  <c r="C200" i="4" l="1"/>
  <c r="R199" i="4"/>
  <c r="B201" i="4"/>
  <c r="V201" i="4" s="1"/>
  <c r="AA1778" i="4"/>
  <c r="AA1782" i="4"/>
  <c r="AA1786" i="4"/>
  <c r="AA1790" i="4"/>
  <c r="AA1775" i="4"/>
  <c r="AA1779" i="4"/>
  <c r="AA1783" i="4"/>
  <c r="AA1787" i="4"/>
  <c r="AA1791" i="4"/>
  <c r="AA1776" i="4"/>
  <c r="AA1780" i="4"/>
  <c r="AA1784" i="4"/>
  <c r="AA1788" i="4"/>
  <c r="AA1785" i="4"/>
  <c r="AA1789" i="4"/>
  <c r="AA1777" i="4"/>
  <c r="AA1781" i="4"/>
  <c r="O173" i="6"/>
  <c r="N174" i="6"/>
  <c r="L682" i="4"/>
  <c r="O681" i="4"/>
  <c r="K546" i="4"/>
  <c r="AA546" i="4" s="1"/>
  <c r="J581" i="4"/>
  <c r="Z581" i="4" s="1"/>
  <c r="L282" i="4"/>
  <c r="O282" i="4" s="1"/>
  <c r="C201" i="4" l="1"/>
  <c r="R200" i="4"/>
  <c r="B202" i="4"/>
  <c r="V202" i="4" s="1"/>
  <c r="AA1794" i="4"/>
  <c r="AA1798" i="4"/>
  <c r="AA1802" i="4"/>
  <c r="AA1806" i="4"/>
  <c r="AA1795" i="4"/>
  <c r="AA1799" i="4"/>
  <c r="AA1803" i="4"/>
  <c r="AA1807" i="4"/>
  <c r="AA1792" i="4"/>
  <c r="AA1796" i="4"/>
  <c r="AA1800" i="4"/>
  <c r="AA1804" i="4"/>
  <c r="AA1808" i="4"/>
  <c r="AA1801" i="4"/>
  <c r="AA1805" i="4"/>
  <c r="AA1793" i="4"/>
  <c r="AA1797" i="4"/>
  <c r="N175" i="6"/>
  <c r="O174" i="6"/>
  <c r="L683" i="4"/>
  <c r="O682" i="4"/>
  <c r="K547" i="4"/>
  <c r="AA547" i="4" s="1"/>
  <c r="J582" i="4"/>
  <c r="Z582" i="4" s="1"/>
  <c r="L283" i="4"/>
  <c r="O283" i="4" s="1"/>
  <c r="C202" i="4" l="1"/>
  <c r="R201" i="4"/>
  <c r="B203" i="4"/>
  <c r="V203" i="4" s="1"/>
  <c r="AA1810" i="4"/>
  <c r="AA1814" i="4"/>
  <c r="AA1818" i="4"/>
  <c r="AA1822" i="4"/>
  <c r="AA1811" i="4"/>
  <c r="AA1815" i="4"/>
  <c r="AA1819" i="4"/>
  <c r="AA1823" i="4"/>
  <c r="AA1812" i="4"/>
  <c r="AA1816" i="4"/>
  <c r="AA1820" i="4"/>
  <c r="AA1824" i="4"/>
  <c r="AA1817" i="4"/>
  <c r="AA1821" i="4"/>
  <c r="AA1809" i="4"/>
  <c r="AA1825" i="4"/>
  <c r="AA1813" i="4"/>
  <c r="O175" i="6"/>
  <c r="AA1826" i="4" s="1"/>
  <c r="N176" i="6"/>
  <c r="L684" i="4"/>
  <c r="O683" i="4"/>
  <c r="K548" i="4"/>
  <c r="AA548" i="4" s="1"/>
  <c r="J583" i="4"/>
  <c r="Z583" i="4" s="1"/>
  <c r="L284" i="4"/>
  <c r="O284" i="4" s="1"/>
  <c r="B204" i="4"/>
  <c r="V204" i="4" s="1"/>
  <c r="C203" i="4" l="1"/>
  <c r="R202" i="4"/>
  <c r="N177" i="6"/>
  <c r="O176" i="6"/>
  <c r="L685" i="4"/>
  <c r="O684" i="4"/>
  <c r="K549" i="4"/>
  <c r="AA549" i="4" s="1"/>
  <c r="J584" i="4"/>
  <c r="Z584" i="4" s="1"/>
  <c r="B205" i="4"/>
  <c r="V205" i="4" s="1"/>
  <c r="C204" i="4" l="1"/>
  <c r="R203" i="4"/>
  <c r="AA1827" i="4"/>
  <c r="AA1828" i="4"/>
  <c r="O177" i="6"/>
  <c r="N178" i="6"/>
  <c r="L686" i="4"/>
  <c r="O685" i="4"/>
  <c r="K550" i="4"/>
  <c r="AA550" i="4" s="1"/>
  <c r="J585" i="4"/>
  <c r="Z585" i="4" s="1"/>
  <c r="B206" i="4"/>
  <c r="V206" i="4" s="1"/>
  <c r="C205" i="4" l="1"/>
  <c r="R204" i="4"/>
  <c r="AA1830" i="4"/>
  <c r="AA1834" i="4"/>
  <c r="AA1838" i="4"/>
  <c r="AA1842" i="4"/>
  <c r="AA1831" i="4"/>
  <c r="AA1835" i="4"/>
  <c r="AA1839" i="4"/>
  <c r="AA1843" i="4"/>
  <c r="AA1832" i="4"/>
  <c r="AA1836" i="4"/>
  <c r="AA1840" i="4"/>
  <c r="AA1844" i="4"/>
  <c r="AA1833" i="4"/>
  <c r="AA1837" i="4"/>
  <c r="AA1841" i="4"/>
  <c r="AA1829" i="4"/>
  <c r="AA1845" i="4"/>
  <c r="N179" i="6"/>
  <c r="O179" i="6" s="1"/>
  <c r="O178" i="6"/>
  <c r="L687" i="4"/>
  <c r="O686" i="4"/>
  <c r="K551" i="4"/>
  <c r="AA551" i="4" s="1"/>
  <c r="J586" i="4"/>
  <c r="Z586" i="4" s="1"/>
  <c r="B207" i="4"/>
  <c r="V207" i="4" s="1"/>
  <c r="C206" i="4" l="1"/>
  <c r="R205" i="4"/>
  <c r="AA1846" i="4"/>
  <c r="AA1850" i="4"/>
  <c r="AA1854" i="4"/>
  <c r="AA1858" i="4"/>
  <c r="AA1862" i="4"/>
  <c r="AA1847" i="4"/>
  <c r="AA1851" i="4"/>
  <c r="AA1855" i="4"/>
  <c r="AA1859" i="4"/>
  <c r="AA1848" i="4"/>
  <c r="AA1852" i="4"/>
  <c r="AA1856" i="4"/>
  <c r="AA1860" i="4"/>
  <c r="AA1849" i="4"/>
  <c r="AA1853" i="4"/>
  <c r="AA1857" i="4"/>
  <c r="AA1861" i="4"/>
  <c r="AA1866" i="4"/>
  <c r="AA1870" i="4"/>
  <c r="AA1874" i="4"/>
  <c r="AA1878" i="4"/>
  <c r="AA1882" i="4"/>
  <c r="AA1886" i="4"/>
  <c r="AA1890" i="4"/>
  <c r="AA1894" i="4"/>
  <c r="AA1898" i="4"/>
  <c r="AA1902" i="4"/>
  <c r="AA1906" i="4"/>
  <c r="AA1910" i="4"/>
  <c r="AA1914" i="4"/>
  <c r="AA1918" i="4"/>
  <c r="AA1922" i="4"/>
  <c r="AA1926" i="4"/>
  <c r="AA1930" i="4"/>
  <c r="AA1934" i="4"/>
  <c r="AA1938" i="4"/>
  <c r="AA1942" i="4"/>
  <c r="AA1946" i="4"/>
  <c r="AA1863" i="4"/>
  <c r="AA1867" i="4"/>
  <c r="AA1871" i="4"/>
  <c r="AA1875" i="4"/>
  <c r="AA1879" i="4"/>
  <c r="AA1883" i="4"/>
  <c r="AA1887" i="4"/>
  <c r="AA1891" i="4"/>
  <c r="AA1895" i="4"/>
  <c r="AA1899" i="4"/>
  <c r="AA1903" i="4"/>
  <c r="AA1907" i="4"/>
  <c r="AA1911" i="4"/>
  <c r="AA1915" i="4"/>
  <c r="AA1919" i="4"/>
  <c r="AA1923" i="4"/>
  <c r="AA1927" i="4"/>
  <c r="AA1931" i="4"/>
  <c r="AA1935" i="4"/>
  <c r="AA1939" i="4"/>
  <c r="AA1943" i="4"/>
  <c r="AA1947" i="4"/>
  <c r="AA1864" i="4"/>
  <c r="AA1868" i="4"/>
  <c r="AA1872" i="4"/>
  <c r="AA1876" i="4"/>
  <c r="AA1880" i="4"/>
  <c r="AA1884" i="4"/>
  <c r="AA1888" i="4"/>
  <c r="AA1892" i="4"/>
  <c r="AA1896" i="4"/>
  <c r="AA1900" i="4"/>
  <c r="AA1904" i="4"/>
  <c r="AA1908" i="4"/>
  <c r="AA1912" i="4"/>
  <c r="AA1916" i="4"/>
  <c r="AA1920" i="4"/>
  <c r="AA1924" i="4"/>
  <c r="AA1928" i="4"/>
  <c r="AA1932" i="4"/>
  <c r="AA1936" i="4"/>
  <c r="AA1940" i="4"/>
  <c r="AA1944" i="4"/>
  <c r="AA1948" i="4"/>
  <c r="AA1865" i="4"/>
  <c r="AA1881" i="4"/>
  <c r="AA1897" i="4"/>
  <c r="AA1913" i="4"/>
  <c r="AA1929" i="4"/>
  <c r="AA1945" i="4"/>
  <c r="AA1869" i="4"/>
  <c r="AA1885" i="4"/>
  <c r="AA1901" i="4"/>
  <c r="AA1917" i="4"/>
  <c r="AA1933" i="4"/>
  <c r="AA1873" i="4"/>
  <c r="AA1889" i="4"/>
  <c r="AA1905" i="4"/>
  <c r="AA1921" i="4"/>
  <c r="AA1937" i="4"/>
  <c r="AA1877" i="4"/>
  <c r="AA1941" i="4"/>
  <c r="AA1893" i="4"/>
  <c r="AA1909" i="4"/>
  <c r="AA1925" i="4"/>
  <c r="L688" i="4"/>
  <c r="O687" i="4"/>
  <c r="K552" i="4"/>
  <c r="AA552" i="4" s="1"/>
  <c r="J587" i="4"/>
  <c r="Z587" i="4" s="1"/>
  <c r="B208" i="4"/>
  <c r="V208" i="4" s="1"/>
  <c r="C207" i="4" l="1"/>
  <c r="R206" i="4"/>
  <c r="L689" i="4"/>
  <c r="O688" i="4"/>
  <c r="K553" i="4"/>
  <c r="AA553" i="4" s="1"/>
  <c r="J588" i="4"/>
  <c r="Z588" i="4" s="1"/>
  <c r="B209" i="4"/>
  <c r="V209" i="4" s="1"/>
  <c r="C208" i="4" l="1"/>
  <c r="R207" i="4"/>
  <c r="L690" i="4"/>
  <c r="O689" i="4"/>
  <c r="K554" i="4"/>
  <c r="AA554" i="4" s="1"/>
  <c r="J589" i="4"/>
  <c r="Z589" i="4" s="1"/>
  <c r="B210" i="4"/>
  <c r="V210" i="4" s="1"/>
  <c r="C209" i="4" l="1"/>
  <c r="R208" i="4"/>
  <c r="L691" i="4"/>
  <c r="O690" i="4"/>
  <c r="K555" i="4"/>
  <c r="AA555" i="4" s="1"/>
  <c r="B211" i="4"/>
  <c r="V211" i="4" s="1"/>
  <c r="C210" i="4" l="1"/>
  <c r="R209" i="4"/>
  <c r="L692" i="4"/>
  <c r="O691" i="4"/>
  <c r="B212" i="4"/>
  <c r="V212" i="4" s="1"/>
  <c r="C211" i="4" l="1"/>
  <c r="R210" i="4"/>
  <c r="L699" i="4"/>
  <c r="O692" i="4"/>
  <c r="K557" i="4"/>
  <c r="AA557" i="4" s="1"/>
  <c r="J592" i="4"/>
  <c r="Z592" i="4" s="1"/>
  <c r="B213" i="4"/>
  <c r="V213" i="4" s="1"/>
  <c r="C212" i="4" l="1"/>
  <c r="R211" i="4"/>
  <c r="L700" i="4"/>
  <c r="O699" i="4"/>
  <c r="K558" i="4"/>
  <c r="AA558" i="4" s="1"/>
  <c r="J593" i="4"/>
  <c r="Z593" i="4" s="1"/>
  <c r="K290" i="4"/>
  <c r="AA290" i="4" s="1"/>
  <c r="B214" i="4"/>
  <c r="V214" i="4" s="1"/>
  <c r="C213" i="4" l="1"/>
  <c r="R212" i="4"/>
  <c r="L701" i="4"/>
  <c r="O700" i="4"/>
  <c r="K559" i="4"/>
  <c r="AA559" i="4" s="1"/>
  <c r="J594" i="4"/>
  <c r="Z594" i="4" s="1"/>
  <c r="K291" i="4"/>
  <c r="AA291" i="4" s="1"/>
  <c r="B215" i="4"/>
  <c r="V215" i="4" s="1"/>
  <c r="C214" i="4" l="1"/>
  <c r="R213" i="4"/>
  <c r="L702" i="4"/>
  <c r="O701" i="4"/>
  <c r="K560" i="4"/>
  <c r="AA560" i="4" s="1"/>
  <c r="J595" i="4"/>
  <c r="Z595" i="4" s="1"/>
  <c r="K292" i="4"/>
  <c r="AA292" i="4" s="1"/>
  <c r="B216" i="4"/>
  <c r="V216" i="4" s="1"/>
  <c r="C215" i="4" l="1"/>
  <c r="R214" i="4"/>
  <c r="L703" i="4"/>
  <c r="O702" i="4"/>
  <c r="K561" i="4"/>
  <c r="AA561" i="4" s="1"/>
  <c r="J596" i="4"/>
  <c r="Z596" i="4" s="1"/>
  <c r="K293" i="4"/>
  <c r="AA293" i="4" s="1"/>
  <c r="B217" i="4"/>
  <c r="V217" i="4" s="1"/>
  <c r="C216" i="4" l="1"/>
  <c r="R215" i="4"/>
  <c r="L704" i="4"/>
  <c r="O703" i="4"/>
  <c r="K562" i="4"/>
  <c r="AA562" i="4" s="1"/>
  <c r="J597" i="4"/>
  <c r="Z597" i="4" s="1"/>
  <c r="J291" i="4"/>
  <c r="Z291" i="4" s="1"/>
  <c r="K294" i="4"/>
  <c r="AA294" i="4" s="1"/>
  <c r="B218" i="4"/>
  <c r="V218" i="4" s="1"/>
  <c r="C217" i="4" l="1"/>
  <c r="R216" i="4"/>
  <c r="L705" i="4"/>
  <c r="O704" i="4"/>
  <c r="K563" i="4"/>
  <c r="AA563" i="4" s="1"/>
  <c r="J598" i="4"/>
  <c r="Z598" i="4" s="1"/>
  <c r="J292" i="4"/>
  <c r="Z292" i="4" s="1"/>
  <c r="K295" i="4"/>
  <c r="AA295" i="4" s="1"/>
  <c r="B219" i="4"/>
  <c r="V219" i="4" s="1"/>
  <c r="C218" i="4" l="1"/>
  <c r="R217" i="4"/>
  <c r="L706" i="4"/>
  <c r="O705" i="4"/>
  <c r="K564" i="4"/>
  <c r="AA564" i="4" s="1"/>
  <c r="J599" i="4"/>
  <c r="Z599" i="4" s="1"/>
  <c r="J293" i="4"/>
  <c r="Z293" i="4" s="1"/>
  <c r="K296" i="4"/>
  <c r="AA296" i="4" s="1"/>
  <c r="B220" i="4"/>
  <c r="V220" i="4" s="1"/>
  <c r="C219" i="4" l="1"/>
  <c r="R218" i="4"/>
  <c r="L707" i="4"/>
  <c r="O706" i="4"/>
  <c r="K565" i="4"/>
  <c r="AA565" i="4" s="1"/>
  <c r="J600" i="4"/>
  <c r="Z600" i="4" s="1"/>
  <c r="J294" i="4"/>
  <c r="Z294" i="4" s="1"/>
  <c r="K297" i="4"/>
  <c r="AA297" i="4" s="1"/>
  <c r="B221" i="4"/>
  <c r="V221" i="4" s="1"/>
  <c r="C220" i="4" l="1"/>
  <c r="R219" i="4"/>
  <c r="L708" i="4"/>
  <c r="O707" i="4"/>
  <c r="K566" i="4"/>
  <c r="AA566" i="4" s="1"/>
  <c r="J601" i="4"/>
  <c r="Z601" i="4" s="1"/>
  <c r="J295" i="4"/>
  <c r="Z295" i="4" s="1"/>
  <c r="K298" i="4"/>
  <c r="AA298" i="4" s="1"/>
  <c r="B222" i="4"/>
  <c r="V222" i="4" s="1"/>
  <c r="C221" i="4" l="1"/>
  <c r="R220" i="4"/>
  <c r="L709" i="4"/>
  <c r="O708" i="4"/>
  <c r="K567" i="4"/>
  <c r="AA567" i="4" s="1"/>
  <c r="J602" i="4"/>
  <c r="Z602" i="4" s="1"/>
  <c r="J296" i="4"/>
  <c r="Z296" i="4" s="1"/>
  <c r="K299" i="4"/>
  <c r="AA299" i="4" s="1"/>
  <c r="B223" i="4"/>
  <c r="V223" i="4" s="1"/>
  <c r="C222" i="4" l="1"/>
  <c r="R221" i="4"/>
  <c r="L710" i="4"/>
  <c r="O709" i="4"/>
  <c r="K568" i="4"/>
  <c r="AA568" i="4" s="1"/>
  <c r="J603" i="4"/>
  <c r="Z603" i="4" s="1"/>
  <c r="J297" i="4"/>
  <c r="Z297" i="4" s="1"/>
  <c r="K300" i="4"/>
  <c r="AA300" i="4" s="1"/>
  <c r="B224" i="4"/>
  <c r="V224" i="4" s="1"/>
  <c r="C223" i="4" l="1"/>
  <c r="R222" i="4"/>
  <c r="L711" i="4"/>
  <c r="O710" i="4"/>
  <c r="K569" i="4"/>
  <c r="AA569" i="4" s="1"/>
  <c r="J604" i="4"/>
  <c r="Z604" i="4" s="1"/>
  <c r="J298" i="4"/>
  <c r="Z298" i="4" s="1"/>
  <c r="K301" i="4"/>
  <c r="AA301" i="4" s="1"/>
  <c r="B225" i="4"/>
  <c r="V225" i="4" s="1"/>
  <c r="C224" i="4" l="1"/>
  <c r="R223" i="4"/>
  <c r="L712" i="4"/>
  <c r="O711" i="4"/>
  <c r="K570" i="4"/>
  <c r="AA570" i="4" s="1"/>
  <c r="J605" i="4"/>
  <c r="Z605" i="4" s="1"/>
  <c r="J299" i="4"/>
  <c r="Z299" i="4" s="1"/>
  <c r="K302" i="4"/>
  <c r="AA302" i="4" s="1"/>
  <c r="B226" i="4"/>
  <c r="V226" i="4" s="1"/>
  <c r="C225" i="4" l="1"/>
  <c r="R224" i="4"/>
  <c r="B227" i="4"/>
  <c r="V227" i="4" s="1"/>
  <c r="L713" i="4"/>
  <c r="O712" i="4"/>
  <c r="K571" i="4"/>
  <c r="AA571" i="4" s="1"/>
  <c r="J606" i="4"/>
  <c r="Z606" i="4" s="1"/>
  <c r="J300" i="4"/>
  <c r="Z300" i="4" s="1"/>
  <c r="K303" i="4"/>
  <c r="AA303" i="4" s="1"/>
  <c r="L290" i="4"/>
  <c r="O290" i="4" s="1"/>
  <c r="C226" i="4" l="1"/>
  <c r="R225" i="4"/>
  <c r="L714" i="4"/>
  <c r="O713" i="4"/>
  <c r="K572" i="4"/>
  <c r="AA572" i="4" s="1"/>
  <c r="J301" i="4"/>
  <c r="Z301" i="4" s="1"/>
  <c r="K304" i="4"/>
  <c r="AA304" i="4" s="1"/>
  <c r="L291" i="4"/>
  <c r="O291" i="4" s="1"/>
  <c r="C227" i="4" l="1"/>
  <c r="R226" i="4"/>
  <c r="L717" i="4"/>
  <c r="O714" i="4"/>
  <c r="J302" i="4"/>
  <c r="Z302" i="4" s="1"/>
  <c r="K305" i="4"/>
  <c r="AA305" i="4" s="1"/>
  <c r="L292" i="4"/>
  <c r="O292" i="4" s="1"/>
  <c r="B228" i="4"/>
  <c r="V228" i="4" s="1"/>
  <c r="C228" i="4" l="1"/>
  <c r="R227" i="4"/>
  <c r="L718" i="4"/>
  <c r="O717" i="4"/>
  <c r="K574" i="4"/>
  <c r="AA574" i="4" s="1"/>
  <c r="J609" i="4"/>
  <c r="Z609" i="4" s="1"/>
  <c r="J303" i="4"/>
  <c r="Z303" i="4" s="1"/>
  <c r="L293" i="4"/>
  <c r="O293" i="4" s="1"/>
  <c r="B229" i="4"/>
  <c r="V229" i="4" s="1"/>
  <c r="C229" i="4" l="1"/>
  <c r="R228" i="4"/>
  <c r="L719" i="4"/>
  <c r="O718" i="4"/>
  <c r="K575" i="4"/>
  <c r="AA575" i="4" s="1"/>
  <c r="J610" i="4"/>
  <c r="Z610" i="4" s="1"/>
  <c r="J304" i="4"/>
  <c r="Z304" i="4" s="1"/>
  <c r="L294" i="4"/>
  <c r="O294" i="4" s="1"/>
  <c r="B230" i="4"/>
  <c r="V230" i="4" s="1"/>
  <c r="C230" i="4" l="1"/>
  <c r="R229" i="4"/>
  <c r="L720" i="4"/>
  <c r="O719" i="4"/>
  <c r="K576" i="4"/>
  <c r="AA576" i="4" s="1"/>
  <c r="J611" i="4"/>
  <c r="Z611" i="4" s="1"/>
  <c r="J305" i="4"/>
  <c r="Z305" i="4" s="1"/>
  <c r="K308" i="4"/>
  <c r="AA308" i="4" s="1"/>
  <c r="L295" i="4"/>
  <c r="O295" i="4" s="1"/>
  <c r="B231" i="4"/>
  <c r="V231" i="4" s="1"/>
  <c r="R230" i="4" l="1"/>
  <c r="C231" i="4"/>
  <c r="L721" i="4"/>
  <c r="O720" i="4"/>
  <c r="K577" i="4"/>
  <c r="AA577" i="4" s="1"/>
  <c r="J612" i="4"/>
  <c r="Z612" i="4" s="1"/>
  <c r="K309" i="4"/>
  <c r="AA309" i="4" s="1"/>
  <c r="L296" i="4"/>
  <c r="O296" i="4" s="1"/>
  <c r="B232" i="4"/>
  <c r="V232" i="4" s="1"/>
  <c r="R231" i="4" l="1"/>
  <c r="C232" i="4"/>
  <c r="L722" i="4"/>
  <c r="O721" i="4"/>
  <c r="K578" i="4"/>
  <c r="AA578" i="4" s="1"/>
  <c r="J613" i="4"/>
  <c r="Z613" i="4" s="1"/>
  <c r="K310" i="4"/>
  <c r="AA310" i="4" s="1"/>
  <c r="L297" i="4"/>
  <c r="O297" i="4" s="1"/>
  <c r="B233" i="4"/>
  <c r="V233" i="4" s="1"/>
  <c r="R232" i="4" l="1"/>
  <c r="C233" i="4"/>
  <c r="L723" i="4"/>
  <c r="O722" i="4"/>
  <c r="K579" i="4"/>
  <c r="AA579" i="4" s="1"/>
  <c r="J614" i="4"/>
  <c r="Z614" i="4" s="1"/>
  <c r="K311" i="4"/>
  <c r="AA311" i="4" s="1"/>
  <c r="L298" i="4"/>
  <c r="O298" i="4" s="1"/>
  <c r="B234" i="4"/>
  <c r="V234" i="4" s="1"/>
  <c r="R233" i="4" l="1"/>
  <c r="C234" i="4"/>
  <c r="B235" i="4"/>
  <c r="V235" i="4" s="1"/>
  <c r="L724" i="4"/>
  <c r="O723" i="4"/>
  <c r="K580" i="4"/>
  <c r="AA580" i="4" s="1"/>
  <c r="J615" i="4"/>
  <c r="Z615" i="4" s="1"/>
  <c r="J309" i="4"/>
  <c r="Z309" i="4" s="1"/>
  <c r="K312" i="4"/>
  <c r="AA312" i="4" s="1"/>
  <c r="L299" i="4"/>
  <c r="O299" i="4" s="1"/>
  <c r="R234" i="4" l="1"/>
  <c r="C235" i="4"/>
  <c r="L725" i="4"/>
  <c r="O724" i="4"/>
  <c r="K581" i="4"/>
  <c r="AA581" i="4" s="1"/>
  <c r="J616" i="4"/>
  <c r="Z616" i="4" s="1"/>
  <c r="J310" i="4"/>
  <c r="Z310" i="4" s="1"/>
  <c r="K313" i="4"/>
  <c r="AA313" i="4" s="1"/>
  <c r="L300" i="4"/>
  <c r="O300" i="4" s="1"/>
  <c r="R235" i="4" l="1"/>
  <c r="C236" i="4"/>
  <c r="L726" i="4"/>
  <c r="O725" i="4"/>
  <c r="K582" i="4"/>
  <c r="AA582" i="4" s="1"/>
  <c r="J617" i="4"/>
  <c r="Z617" i="4" s="1"/>
  <c r="J311" i="4"/>
  <c r="Z311" i="4" s="1"/>
  <c r="K314" i="4"/>
  <c r="AA314" i="4" s="1"/>
  <c r="L301" i="4"/>
  <c r="O301" i="4" s="1"/>
  <c r="C237" i="4" l="1"/>
  <c r="R236" i="4"/>
  <c r="L727" i="4"/>
  <c r="O726" i="4"/>
  <c r="K583" i="4"/>
  <c r="AA583" i="4" s="1"/>
  <c r="J618" i="4"/>
  <c r="Z618" i="4" s="1"/>
  <c r="J312" i="4"/>
  <c r="Z312" i="4" s="1"/>
  <c r="K315" i="4"/>
  <c r="AA315" i="4" s="1"/>
  <c r="L302" i="4"/>
  <c r="O302" i="4" s="1"/>
  <c r="B236" i="4"/>
  <c r="V236" i="4" s="1"/>
  <c r="R237" i="4" l="1"/>
  <c r="C238" i="4"/>
  <c r="L728" i="4"/>
  <c r="O727" i="4"/>
  <c r="K584" i="4"/>
  <c r="AA584" i="4" s="1"/>
  <c r="J619" i="4"/>
  <c r="Z619" i="4" s="1"/>
  <c r="J313" i="4"/>
  <c r="Z313" i="4" s="1"/>
  <c r="K316" i="4"/>
  <c r="AA316" i="4" s="1"/>
  <c r="L303" i="4"/>
  <c r="O303" i="4" s="1"/>
  <c r="B237" i="4"/>
  <c r="V237" i="4" s="1"/>
  <c r="C239" i="4" l="1"/>
  <c r="R238" i="4"/>
  <c r="L729" i="4"/>
  <c r="O728" i="4"/>
  <c r="K585" i="4"/>
  <c r="AA585" i="4" s="1"/>
  <c r="J620" i="4"/>
  <c r="Z620" i="4" s="1"/>
  <c r="J314" i="4"/>
  <c r="Z314" i="4" s="1"/>
  <c r="K317" i="4"/>
  <c r="AA317" i="4" s="1"/>
  <c r="L304" i="4"/>
  <c r="O304" i="4" s="1"/>
  <c r="B238" i="4"/>
  <c r="V238" i="4" s="1"/>
  <c r="C240" i="4" l="1"/>
  <c r="R239" i="4"/>
  <c r="L730" i="4"/>
  <c r="O729" i="4"/>
  <c r="K586" i="4"/>
  <c r="AA586" i="4" s="1"/>
  <c r="J621" i="4"/>
  <c r="Z621" i="4" s="1"/>
  <c r="J315" i="4"/>
  <c r="Z315" i="4" s="1"/>
  <c r="K318" i="4"/>
  <c r="AA318" i="4" s="1"/>
  <c r="L305" i="4"/>
  <c r="O305" i="4" s="1"/>
  <c r="B239" i="4"/>
  <c r="V239" i="4" s="1"/>
  <c r="C241" i="4" l="1"/>
  <c r="R240" i="4"/>
  <c r="B240" i="4"/>
  <c r="V240" i="4" s="1"/>
  <c r="L731" i="4"/>
  <c r="O730" i="4"/>
  <c r="K587" i="4"/>
  <c r="AA587" i="4" s="1"/>
  <c r="J622" i="4"/>
  <c r="Z622" i="4" s="1"/>
  <c r="J316" i="4"/>
  <c r="Z316" i="4" s="1"/>
  <c r="K319" i="4"/>
  <c r="AA319" i="4" s="1"/>
  <c r="R241" i="4" l="1"/>
  <c r="C242" i="4"/>
  <c r="L732" i="4"/>
  <c r="O731" i="4"/>
  <c r="K588" i="4"/>
  <c r="AA588" i="4" s="1"/>
  <c r="J623" i="4"/>
  <c r="Z623" i="4" s="1"/>
  <c r="J317" i="4"/>
  <c r="Z317" i="4" s="1"/>
  <c r="K320" i="4"/>
  <c r="AA320" i="4" s="1"/>
  <c r="R242" i="4" l="1"/>
  <c r="C243" i="4"/>
  <c r="L735" i="4"/>
  <c r="O732" i="4"/>
  <c r="K589" i="4"/>
  <c r="AA589" i="4" s="1"/>
  <c r="J318" i="4"/>
  <c r="Z318" i="4" s="1"/>
  <c r="K321" i="4"/>
  <c r="AA321" i="4" s="1"/>
  <c r="L308" i="4"/>
  <c r="O308" i="4" s="1"/>
  <c r="C244" i="4" l="1"/>
  <c r="R243" i="4"/>
  <c r="L736" i="4"/>
  <c r="O735" i="4"/>
  <c r="J319" i="4"/>
  <c r="Z319" i="4" s="1"/>
  <c r="K322" i="4"/>
  <c r="AA322" i="4" s="1"/>
  <c r="L309" i="4"/>
  <c r="O309" i="4" s="1"/>
  <c r="B241" i="4"/>
  <c r="V241" i="4" s="1"/>
  <c r="C245" i="4" l="1"/>
  <c r="R244" i="4"/>
  <c r="L737" i="4"/>
  <c r="O736" i="4"/>
  <c r="J626" i="4"/>
  <c r="Z626" i="4" s="1"/>
  <c r="J320" i="4"/>
  <c r="Z320" i="4" s="1"/>
  <c r="K323" i="4"/>
  <c r="AA323" i="4" s="1"/>
  <c r="L310" i="4"/>
  <c r="O310" i="4" s="1"/>
  <c r="B242" i="4"/>
  <c r="V242" i="4" s="1"/>
  <c r="R245" i="4" l="1"/>
  <c r="C246" i="4"/>
  <c r="L738" i="4"/>
  <c r="O737" i="4"/>
  <c r="J627" i="4"/>
  <c r="Z627" i="4" s="1"/>
  <c r="J321" i="4"/>
  <c r="Z321" i="4" s="1"/>
  <c r="L311" i="4"/>
  <c r="O311" i="4" s="1"/>
  <c r="B243" i="4"/>
  <c r="V243" i="4" s="1"/>
  <c r="C247" i="4" l="1"/>
  <c r="R246" i="4"/>
  <c r="L739" i="4"/>
  <c r="O738" i="4"/>
  <c r="J628" i="4"/>
  <c r="Z628" i="4" s="1"/>
  <c r="J322" i="4"/>
  <c r="Z322" i="4" s="1"/>
  <c r="L312" i="4"/>
  <c r="O312" i="4" s="1"/>
  <c r="B244" i="4"/>
  <c r="V244" i="4" s="1"/>
  <c r="R247" i="4" l="1"/>
  <c r="C248" i="4"/>
  <c r="L740" i="4"/>
  <c r="O739" i="4"/>
  <c r="J629" i="4"/>
  <c r="Z629" i="4" s="1"/>
  <c r="J323" i="4"/>
  <c r="Z323" i="4" s="1"/>
  <c r="L313" i="4"/>
  <c r="O313" i="4" s="1"/>
  <c r="B245" i="4"/>
  <c r="V245" i="4" s="1"/>
  <c r="C249" i="4" l="1"/>
  <c r="R248" i="4"/>
  <c r="L741" i="4"/>
  <c r="O740" i="4"/>
  <c r="J630" i="4"/>
  <c r="Z630" i="4" s="1"/>
  <c r="B246" i="4"/>
  <c r="V246" i="4" s="1"/>
  <c r="L314" i="4"/>
  <c r="O314" i="4" s="1"/>
  <c r="C250" i="4" l="1"/>
  <c r="R249" i="4"/>
  <c r="B247" i="4"/>
  <c r="V247" i="4" s="1"/>
  <c r="L742" i="4"/>
  <c r="O741" i="4"/>
  <c r="J631" i="4"/>
  <c r="Z631" i="4" s="1"/>
  <c r="AA325" i="4"/>
  <c r="L315" i="4"/>
  <c r="O315" i="4" s="1"/>
  <c r="C251" i="4" l="1"/>
  <c r="R250" i="4"/>
  <c r="B248" i="4"/>
  <c r="V248" i="4" s="1"/>
  <c r="L743" i="4"/>
  <c r="O742" i="4"/>
  <c r="J632" i="4"/>
  <c r="Z632" i="4" s="1"/>
  <c r="K326" i="4"/>
  <c r="AA326" i="4" s="1"/>
  <c r="L316" i="4"/>
  <c r="O316" i="4" s="1"/>
  <c r="C252" i="4" l="1"/>
  <c r="R251" i="4"/>
  <c r="B249" i="4"/>
  <c r="V249" i="4" s="1"/>
  <c r="L744" i="4"/>
  <c r="O743" i="4"/>
  <c r="J633" i="4"/>
  <c r="Z633" i="4" s="1"/>
  <c r="K327" i="4"/>
  <c r="AA327" i="4" s="1"/>
  <c r="L317" i="4"/>
  <c r="O317" i="4" s="1"/>
  <c r="R252" i="4" l="1"/>
  <c r="C253" i="4"/>
  <c r="L745" i="4"/>
  <c r="O744" i="4"/>
  <c r="J634" i="4"/>
  <c r="Z634" i="4" s="1"/>
  <c r="Z325" i="4"/>
  <c r="K328" i="4"/>
  <c r="AA328" i="4" s="1"/>
  <c r="L318" i="4"/>
  <c r="O318" i="4" s="1"/>
  <c r="C254" i="4" l="1"/>
  <c r="R253" i="4"/>
  <c r="L746" i="4"/>
  <c r="O745" i="4"/>
  <c r="J635" i="4"/>
  <c r="Z635" i="4" s="1"/>
  <c r="J326" i="4"/>
  <c r="Z326" i="4" s="1"/>
  <c r="K329" i="4"/>
  <c r="AA329" i="4" s="1"/>
  <c r="L319" i="4"/>
  <c r="O319" i="4" s="1"/>
  <c r="R254" i="4" l="1"/>
  <c r="C255" i="4"/>
  <c r="L747" i="4"/>
  <c r="O746" i="4"/>
  <c r="J636" i="4"/>
  <c r="Z636" i="4" s="1"/>
  <c r="J327" i="4"/>
  <c r="Z327" i="4" s="1"/>
  <c r="K330" i="4"/>
  <c r="AA330" i="4" s="1"/>
  <c r="L320" i="4"/>
  <c r="O320" i="4" s="1"/>
  <c r="C256" i="4" l="1"/>
  <c r="R255" i="4"/>
  <c r="L748" i="4"/>
  <c r="O747" i="4"/>
  <c r="J637" i="4"/>
  <c r="Z637" i="4" s="1"/>
  <c r="J328" i="4"/>
  <c r="Z328" i="4" s="1"/>
  <c r="K331" i="4"/>
  <c r="L321" i="4"/>
  <c r="O321" i="4" s="1"/>
  <c r="R256" i="4" l="1"/>
  <c r="C257" i="4"/>
  <c r="AA331" i="4"/>
  <c r="K332" i="4"/>
  <c r="L749" i="4"/>
  <c r="O748" i="4"/>
  <c r="J638" i="4"/>
  <c r="Z638" i="4" s="1"/>
  <c r="B250" i="4"/>
  <c r="V250" i="4" s="1"/>
  <c r="J329" i="4"/>
  <c r="Z329" i="4" s="1"/>
  <c r="L322" i="4"/>
  <c r="O322" i="4" s="1"/>
  <c r="C258" i="4" l="1"/>
  <c r="R257" i="4"/>
  <c r="L750" i="4"/>
  <c r="O749" i="4"/>
  <c r="J639" i="4"/>
  <c r="Z639" i="4" s="1"/>
  <c r="B251" i="4"/>
  <c r="V251" i="4" s="1"/>
  <c r="J330" i="4"/>
  <c r="Z330" i="4" s="1"/>
  <c r="L323" i="4"/>
  <c r="O323" i="4" s="1"/>
  <c r="R258" i="4" l="1"/>
  <c r="C259" i="4"/>
  <c r="O750" i="4"/>
  <c r="J640" i="4"/>
  <c r="Z640" i="4" s="1"/>
  <c r="B252" i="4"/>
  <c r="V252" i="4" s="1"/>
  <c r="J331" i="4"/>
  <c r="AA332" i="4"/>
  <c r="C260" i="4" l="1"/>
  <c r="R259" i="4"/>
  <c r="Z331" i="4"/>
  <c r="J332" i="4"/>
  <c r="B253" i="4"/>
  <c r="V253" i="4" s="1"/>
  <c r="K333" i="4"/>
  <c r="C261" i="4" l="1"/>
  <c r="R260" i="4"/>
  <c r="AA333" i="4"/>
  <c r="K334" i="4"/>
  <c r="B254" i="4"/>
  <c r="V254" i="4" s="1"/>
  <c r="R261" i="4" l="1"/>
  <c r="C262" i="4"/>
  <c r="AA334" i="4"/>
  <c r="B255" i="4"/>
  <c r="V255" i="4" s="1"/>
  <c r="Z332" i="4"/>
  <c r="R262" i="4" l="1"/>
  <c r="C263" i="4"/>
  <c r="J644" i="4"/>
  <c r="Z644" i="4" s="1"/>
  <c r="B256" i="4"/>
  <c r="V256" i="4" s="1"/>
  <c r="J333" i="4"/>
  <c r="O325" i="4"/>
  <c r="R263" i="4" l="1"/>
  <c r="C264" i="4"/>
  <c r="Z333" i="4"/>
  <c r="J334" i="4"/>
  <c r="J645" i="4"/>
  <c r="Z645" i="4" s="1"/>
  <c r="B257" i="4"/>
  <c r="V257" i="4" s="1"/>
  <c r="L326" i="4"/>
  <c r="O326" i="4" s="1"/>
  <c r="C265" i="4" l="1"/>
  <c r="R264" i="4"/>
  <c r="J646" i="4"/>
  <c r="Z646" i="4" s="1"/>
  <c r="Z334" i="4"/>
  <c r="B258" i="4"/>
  <c r="V258" i="4" s="1"/>
  <c r="L327" i="4"/>
  <c r="O327" i="4" s="1"/>
  <c r="C266" i="4" l="1"/>
  <c r="R265" i="4"/>
  <c r="J647" i="4"/>
  <c r="Z647" i="4" s="1"/>
  <c r="B259" i="4"/>
  <c r="V259" i="4" s="1"/>
  <c r="L328" i="4"/>
  <c r="O328" i="4" s="1"/>
  <c r="C267" i="4" l="1"/>
  <c r="R266" i="4"/>
  <c r="J648" i="4"/>
  <c r="Z648" i="4" s="1"/>
  <c r="B260" i="4"/>
  <c r="V260" i="4" s="1"/>
  <c r="L329" i="4"/>
  <c r="O329" i="4" s="1"/>
  <c r="C268" i="4" l="1"/>
  <c r="R267" i="4"/>
  <c r="J649" i="4"/>
  <c r="Z649" i="4" s="1"/>
  <c r="K340" i="4"/>
  <c r="AA340" i="4" s="1"/>
  <c r="B261" i="4"/>
  <c r="V261" i="4" s="1"/>
  <c r="L330" i="4"/>
  <c r="O330" i="4" s="1"/>
  <c r="C269" i="4" l="1"/>
  <c r="R268" i="4"/>
  <c r="J650" i="4"/>
  <c r="Z650" i="4" s="1"/>
  <c r="K341" i="4"/>
  <c r="AA341" i="4" s="1"/>
  <c r="B262" i="4"/>
  <c r="V262" i="4" s="1"/>
  <c r="L331" i="4"/>
  <c r="C270" i="4" l="1"/>
  <c r="R269" i="4"/>
  <c r="O331" i="4"/>
  <c r="L332" i="4"/>
  <c r="J651" i="4"/>
  <c r="Z651" i="4" s="1"/>
  <c r="K342" i="4"/>
  <c r="AA342" i="4" s="1"/>
  <c r="B263" i="4"/>
  <c r="V263" i="4" s="1"/>
  <c r="C271" i="4" l="1"/>
  <c r="R270" i="4"/>
  <c r="J652" i="4"/>
  <c r="Z652" i="4" s="1"/>
  <c r="K343" i="4"/>
  <c r="AA343" i="4" s="1"/>
  <c r="J340" i="4"/>
  <c r="Z340" i="4" s="1"/>
  <c r="B264" i="4"/>
  <c r="V264" i="4" s="1"/>
  <c r="C272" i="4" l="1"/>
  <c r="R271" i="4"/>
  <c r="J653" i="4"/>
  <c r="Z653" i="4" s="1"/>
  <c r="J341" i="4"/>
  <c r="Z341" i="4" s="1"/>
  <c r="K344" i="4"/>
  <c r="AA344" i="4" s="1"/>
  <c r="B265" i="4"/>
  <c r="V265" i="4" s="1"/>
  <c r="O332" i="4"/>
  <c r="R272" i="4" l="1"/>
  <c r="C273" i="4"/>
  <c r="J654" i="4"/>
  <c r="Z654" i="4" s="1"/>
  <c r="K345" i="4"/>
  <c r="AA345" i="4" s="1"/>
  <c r="J342" i="4"/>
  <c r="Z342" i="4" s="1"/>
  <c r="B266" i="4"/>
  <c r="V266" i="4" s="1"/>
  <c r="L333" i="4"/>
  <c r="R273" i="4" l="1"/>
  <c r="C274" i="4"/>
  <c r="O333" i="4"/>
  <c r="L334" i="4"/>
  <c r="J655" i="4"/>
  <c r="Z655" i="4" s="1"/>
  <c r="J343" i="4"/>
  <c r="Z343" i="4" s="1"/>
  <c r="K346" i="4"/>
  <c r="AA346" i="4" s="1"/>
  <c r="B267" i="4"/>
  <c r="V267" i="4" s="1"/>
  <c r="C275" i="4" l="1"/>
  <c r="R274" i="4"/>
  <c r="J656" i="4"/>
  <c r="Z656" i="4" s="1"/>
  <c r="J344" i="4"/>
  <c r="Z344" i="4" s="1"/>
  <c r="K347" i="4"/>
  <c r="AA347" i="4" s="1"/>
  <c r="O334" i="4"/>
  <c r="B268" i="4"/>
  <c r="V268" i="4" s="1"/>
  <c r="C276" i="4" l="1"/>
  <c r="R275" i="4"/>
  <c r="J657" i="4"/>
  <c r="Z657" i="4" s="1"/>
  <c r="J345" i="4"/>
  <c r="Z345" i="4" s="1"/>
  <c r="K348" i="4"/>
  <c r="AA348" i="4" s="1"/>
  <c r="B269" i="4"/>
  <c r="V269" i="4" s="1"/>
  <c r="C277" i="4" l="1"/>
  <c r="R276" i="4"/>
  <c r="J658" i="4"/>
  <c r="Z658" i="4" s="1"/>
  <c r="K349" i="4"/>
  <c r="AA349" i="4" s="1"/>
  <c r="J346" i="4"/>
  <c r="Z346" i="4" s="1"/>
  <c r="B270" i="4"/>
  <c r="V270" i="4" s="1"/>
  <c r="C278" i="4" l="1"/>
  <c r="R277" i="4"/>
  <c r="K350" i="4"/>
  <c r="AA350" i="4" s="1"/>
  <c r="J347" i="4"/>
  <c r="Z347" i="4" s="1"/>
  <c r="B271" i="4"/>
  <c r="V271" i="4" s="1"/>
  <c r="C279" i="4" l="1"/>
  <c r="R278" i="4"/>
  <c r="J348" i="4"/>
  <c r="Z348" i="4" s="1"/>
  <c r="K351" i="4"/>
  <c r="AA351" i="4" s="1"/>
  <c r="L338" i="4"/>
  <c r="O338" i="4" s="1"/>
  <c r="B272" i="4"/>
  <c r="V272" i="4" s="1"/>
  <c r="C280" i="4" l="1"/>
  <c r="R279" i="4"/>
  <c r="J661" i="4"/>
  <c r="Z661" i="4" s="1"/>
  <c r="J349" i="4"/>
  <c r="Z349" i="4" s="1"/>
  <c r="K352" i="4"/>
  <c r="AA352" i="4" s="1"/>
  <c r="L339" i="4"/>
  <c r="O339" i="4" s="1"/>
  <c r="B273" i="4"/>
  <c r="V273" i="4" s="1"/>
  <c r="C281" i="4" l="1"/>
  <c r="R280" i="4"/>
  <c r="J662" i="4"/>
  <c r="Z662" i="4" s="1"/>
  <c r="K353" i="4"/>
  <c r="AA353" i="4" s="1"/>
  <c r="J350" i="4"/>
  <c r="Z350" i="4" s="1"/>
  <c r="L340" i="4"/>
  <c r="O340" i="4" s="1"/>
  <c r="B274" i="4"/>
  <c r="V274" i="4" s="1"/>
  <c r="C282" i="4" l="1"/>
  <c r="R281" i="4"/>
  <c r="J663" i="4"/>
  <c r="Z663" i="4" s="1"/>
  <c r="L341" i="4"/>
  <c r="O341" i="4" s="1"/>
  <c r="J351" i="4"/>
  <c r="Z351" i="4" s="1"/>
  <c r="K354" i="4"/>
  <c r="AA354" i="4" s="1"/>
  <c r="B275" i="4"/>
  <c r="V275" i="4" s="1"/>
  <c r="C283" i="4" l="1"/>
  <c r="R282" i="4"/>
  <c r="J664" i="4"/>
  <c r="Z664" i="4" s="1"/>
  <c r="J352" i="4"/>
  <c r="Z352" i="4" s="1"/>
  <c r="L342" i="4"/>
  <c r="O342" i="4" s="1"/>
  <c r="B276" i="4"/>
  <c r="V276" i="4" s="1"/>
  <c r="R283" i="4" l="1"/>
  <c r="C284" i="4"/>
  <c r="J665" i="4"/>
  <c r="Z665" i="4" s="1"/>
  <c r="L343" i="4"/>
  <c r="O343" i="4" s="1"/>
  <c r="J353" i="4"/>
  <c r="Z353" i="4" s="1"/>
  <c r="K356" i="4"/>
  <c r="AA356" i="4" s="1"/>
  <c r="B277" i="4"/>
  <c r="V277" i="4" s="1"/>
  <c r="R284" i="4" l="1"/>
  <c r="C285" i="4"/>
  <c r="J666" i="4"/>
  <c r="Z666" i="4" s="1"/>
  <c r="J354" i="4"/>
  <c r="Z354" i="4" s="1"/>
  <c r="L344" i="4"/>
  <c r="O344" i="4" s="1"/>
  <c r="K357" i="4"/>
  <c r="AA357" i="4" s="1"/>
  <c r="B278" i="4"/>
  <c r="V278" i="4" s="1"/>
  <c r="C286" i="4" l="1"/>
  <c r="R285" i="4"/>
  <c r="J667" i="4"/>
  <c r="Z667" i="4" s="1"/>
  <c r="K358" i="4"/>
  <c r="AA358" i="4" s="1"/>
  <c r="L345" i="4"/>
  <c r="O345" i="4" s="1"/>
  <c r="B279" i="4"/>
  <c r="V279" i="4" s="1"/>
  <c r="C287" i="4" l="1"/>
  <c r="R286" i="4"/>
  <c r="J668" i="4"/>
  <c r="Z668" i="4" s="1"/>
  <c r="K359" i="4"/>
  <c r="AA359" i="4" s="1"/>
  <c r="J356" i="4"/>
  <c r="Z356" i="4" s="1"/>
  <c r="L346" i="4"/>
  <c r="O346" i="4" s="1"/>
  <c r="B280" i="4"/>
  <c r="V280" i="4" s="1"/>
  <c r="C288" i="4" l="1"/>
  <c r="R287" i="4"/>
  <c r="J669" i="4"/>
  <c r="Z669" i="4" s="1"/>
  <c r="J357" i="4"/>
  <c r="Z357" i="4" s="1"/>
  <c r="L347" i="4"/>
  <c r="O347" i="4" s="1"/>
  <c r="K360" i="4"/>
  <c r="AA360" i="4" s="1"/>
  <c r="B281" i="4"/>
  <c r="V281" i="4" s="1"/>
  <c r="C289" i="4" l="1"/>
  <c r="R288" i="4"/>
  <c r="J670" i="4"/>
  <c r="Z670" i="4" s="1"/>
  <c r="K361" i="4"/>
  <c r="AA361" i="4" s="1"/>
  <c r="J358" i="4"/>
  <c r="Z358" i="4" s="1"/>
  <c r="L348" i="4"/>
  <c r="O348" i="4" s="1"/>
  <c r="B282" i="4"/>
  <c r="V282" i="4" s="1"/>
  <c r="R289" i="4" l="1"/>
  <c r="C290" i="4"/>
  <c r="J671" i="4"/>
  <c r="Z671" i="4" s="1"/>
  <c r="L349" i="4"/>
  <c r="O349" i="4" s="1"/>
  <c r="J359" i="4"/>
  <c r="Z359" i="4" s="1"/>
  <c r="K362" i="4"/>
  <c r="AA362" i="4" s="1"/>
  <c r="B283" i="4"/>
  <c r="V283" i="4" s="1"/>
  <c r="R290" i="4" l="1"/>
  <c r="C291" i="4"/>
  <c r="J672" i="4"/>
  <c r="Z672" i="4" s="1"/>
  <c r="J360" i="4"/>
  <c r="Z360" i="4" s="1"/>
  <c r="L350" i="4"/>
  <c r="O350" i="4" s="1"/>
  <c r="K363" i="4"/>
  <c r="AA363" i="4" s="1"/>
  <c r="B284" i="4"/>
  <c r="V284" i="4" s="1"/>
  <c r="R291" i="4" l="1"/>
  <c r="C292" i="4"/>
  <c r="J673" i="4"/>
  <c r="Z673" i="4" s="1"/>
  <c r="K364" i="4"/>
  <c r="AA364" i="4" s="1"/>
  <c r="J361" i="4"/>
  <c r="Z361" i="4" s="1"/>
  <c r="L351" i="4"/>
  <c r="O351" i="4" s="1"/>
  <c r="B285" i="4"/>
  <c r="V285" i="4" s="1"/>
  <c r="C293" i="4" l="1"/>
  <c r="R292" i="4"/>
  <c r="J674" i="4"/>
  <c r="Z674" i="4" s="1"/>
  <c r="L352" i="4"/>
  <c r="O352" i="4" s="1"/>
  <c r="K365" i="4"/>
  <c r="AA365" i="4" s="1"/>
  <c r="J362" i="4"/>
  <c r="Z362" i="4" s="1"/>
  <c r="B286" i="4"/>
  <c r="V286" i="4" s="1"/>
  <c r="R293" i="4" l="1"/>
  <c r="C294" i="4"/>
  <c r="J675" i="4"/>
  <c r="Z675" i="4" s="1"/>
  <c r="J363" i="4"/>
  <c r="Z363" i="4" s="1"/>
  <c r="K366" i="4"/>
  <c r="AA366" i="4" s="1"/>
  <c r="L353" i="4"/>
  <c r="O353" i="4" s="1"/>
  <c r="B287" i="4"/>
  <c r="V287" i="4" s="1"/>
  <c r="R294" i="4" l="1"/>
  <c r="C295" i="4"/>
  <c r="J364" i="4"/>
  <c r="Z364" i="4" s="1"/>
  <c r="K367" i="4"/>
  <c r="AA367" i="4" s="1"/>
  <c r="L354" i="4"/>
  <c r="O354" i="4" s="1"/>
  <c r="B288" i="4"/>
  <c r="V288" i="4" s="1"/>
  <c r="R295" i="4" l="1"/>
  <c r="C296" i="4"/>
  <c r="B289" i="4"/>
  <c r="V289" i="4" s="1"/>
  <c r="K368" i="4"/>
  <c r="AA368" i="4" s="1"/>
  <c r="J365" i="4"/>
  <c r="Z365" i="4" s="1"/>
  <c r="R296" i="4" l="1"/>
  <c r="C297" i="4"/>
  <c r="K643" i="4"/>
  <c r="AA643" i="4" s="1"/>
  <c r="J678" i="4"/>
  <c r="Z678" i="4" s="1"/>
  <c r="J366" i="4"/>
  <c r="Z366" i="4" s="1"/>
  <c r="K369" i="4"/>
  <c r="AA369" i="4" s="1"/>
  <c r="L356" i="4"/>
  <c r="O356" i="4" s="1"/>
  <c r="R297" i="4" l="1"/>
  <c r="C298" i="4"/>
  <c r="K644" i="4"/>
  <c r="AA644" i="4" s="1"/>
  <c r="J679" i="4"/>
  <c r="Z679" i="4" s="1"/>
  <c r="K370" i="4"/>
  <c r="AA370" i="4" s="1"/>
  <c r="L357" i="4"/>
  <c r="O357" i="4" s="1"/>
  <c r="J367" i="4"/>
  <c r="Z367" i="4" s="1"/>
  <c r="R298" i="4" l="1"/>
  <c r="C299" i="4"/>
  <c r="K645" i="4"/>
  <c r="AA645" i="4" s="1"/>
  <c r="J680" i="4"/>
  <c r="Z680" i="4" s="1"/>
  <c r="L358" i="4"/>
  <c r="O358" i="4" s="1"/>
  <c r="J368" i="4"/>
  <c r="Z368" i="4" s="1"/>
  <c r="K371" i="4"/>
  <c r="AA371" i="4" s="1"/>
  <c r="R299" i="4" l="1"/>
  <c r="C300" i="4"/>
  <c r="K646" i="4"/>
  <c r="AA646" i="4" s="1"/>
  <c r="J681" i="4"/>
  <c r="Z681" i="4" s="1"/>
  <c r="J369" i="4"/>
  <c r="Z369" i="4" s="1"/>
  <c r="L359" i="4"/>
  <c r="O359" i="4" s="1"/>
  <c r="C301" i="4" l="1"/>
  <c r="R300" i="4"/>
  <c r="K647" i="4"/>
  <c r="AA647" i="4" s="1"/>
  <c r="J682" i="4"/>
  <c r="Z682" i="4" s="1"/>
  <c r="L360" i="4"/>
  <c r="O360" i="4" s="1"/>
  <c r="J370" i="4"/>
  <c r="Z370" i="4" s="1"/>
  <c r="C302" i="4" l="1"/>
  <c r="R301" i="4"/>
  <c r="K648" i="4"/>
  <c r="AA648" i="4" s="1"/>
  <c r="J683" i="4"/>
  <c r="Z683" i="4" s="1"/>
  <c r="L361" i="4"/>
  <c r="O361" i="4" s="1"/>
  <c r="J371" i="4"/>
  <c r="Z371" i="4" s="1"/>
  <c r="R302" i="4" l="1"/>
  <c r="C303" i="4"/>
  <c r="K649" i="4"/>
  <c r="AA649" i="4" s="1"/>
  <c r="J684" i="4"/>
  <c r="Z684" i="4" s="1"/>
  <c r="L362" i="4"/>
  <c r="O362" i="4" s="1"/>
  <c r="C304" i="4" l="1"/>
  <c r="R303" i="4"/>
  <c r="K650" i="4"/>
  <c r="AA650" i="4" s="1"/>
  <c r="J685" i="4"/>
  <c r="Z685" i="4" s="1"/>
  <c r="L363" i="4"/>
  <c r="O363" i="4" s="1"/>
  <c r="J373" i="4"/>
  <c r="Z373" i="4" s="1"/>
  <c r="R304" i="4" l="1"/>
  <c r="C305" i="4"/>
  <c r="K651" i="4"/>
  <c r="AA651" i="4" s="1"/>
  <c r="J686" i="4"/>
  <c r="Z686" i="4" s="1"/>
  <c r="L364" i="4"/>
  <c r="O364" i="4" s="1"/>
  <c r="R305" i="4" l="1"/>
  <c r="C306" i="4"/>
  <c r="K652" i="4"/>
  <c r="AA652" i="4" s="1"/>
  <c r="J687" i="4"/>
  <c r="Z687" i="4" s="1"/>
  <c r="L365" i="4"/>
  <c r="O365" i="4" s="1"/>
  <c r="R306" i="4" l="1"/>
  <c r="C307" i="4"/>
  <c r="K653" i="4"/>
  <c r="AA653" i="4" s="1"/>
  <c r="J688" i="4"/>
  <c r="Z688" i="4" s="1"/>
  <c r="L366" i="4"/>
  <c r="O366" i="4" s="1"/>
  <c r="R307" i="4" l="1"/>
  <c r="C308" i="4"/>
  <c r="K654" i="4"/>
  <c r="AA654" i="4" s="1"/>
  <c r="J689" i="4"/>
  <c r="Z689" i="4" s="1"/>
  <c r="L367" i="4"/>
  <c r="O367" i="4" s="1"/>
  <c r="R308" i="4" l="1"/>
  <c r="C309" i="4"/>
  <c r="K655" i="4"/>
  <c r="AA655" i="4" s="1"/>
  <c r="J690" i="4"/>
  <c r="Z690" i="4" s="1"/>
  <c r="L368" i="4"/>
  <c r="O368" i="4" s="1"/>
  <c r="C310" i="4" l="1"/>
  <c r="R309" i="4"/>
  <c r="K656" i="4"/>
  <c r="AA656" i="4" s="1"/>
  <c r="J691" i="4"/>
  <c r="Z691" i="4" s="1"/>
  <c r="L369" i="4"/>
  <c r="O369" i="4" s="1"/>
  <c r="C311" i="4" l="1"/>
  <c r="R310" i="4"/>
  <c r="K657" i="4"/>
  <c r="AA657" i="4" s="1"/>
  <c r="J692" i="4"/>
  <c r="Z692" i="4" s="1"/>
  <c r="L370" i="4"/>
  <c r="O370" i="4" s="1"/>
  <c r="C312" i="4" l="1"/>
  <c r="R311" i="4"/>
  <c r="K658" i="4"/>
  <c r="AA658" i="4" s="1"/>
  <c r="L371" i="4"/>
  <c r="C313" i="4" l="1"/>
  <c r="R312" i="4"/>
  <c r="O371" i="4"/>
  <c r="C314" i="4" l="1"/>
  <c r="R313" i="4"/>
  <c r="K660" i="4"/>
  <c r="AA660" i="4" s="1"/>
  <c r="J695" i="4"/>
  <c r="Z695" i="4" s="1"/>
  <c r="B290" i="4"/>
  <c r="V290" i="4" s="1"/>
  <c r="C315" i="4" l="1"/>
  <c r="R314" i="4"/>
  <c r="K661" i="4"/>
  <c r="AA661" i="4" s="1"/>
  <c r="B291" i="4"/>
  <c r="V291" i="4" s="1"/>
  <c r="C316" i="4" l="1"/>
  <c r="R315" i="4"/>
  <c r="K662" i="4"/>
  <c r="AA662" i="4" s="1"/>
  <c r="B292" i="4"/>
  <c r="V292" i="4" s="1"/>
  <c r="R316" i="4" l="1"/>
  <c r="C317" i="4"/>
  <c r="K663" i="4"/>
  <c r="AA663" i="4" s="1"/>
  <c r="B293" i="4"/>
  <c r="V293" i="4" s="1"/>
  <c r="R317" i="4" l="1"/>
  <c r="C318" i="4"/>
  <c r="K664" i="4"/>
  <c r="AA664" i="4" s="1"/>
  <c r="B294" i="4"/>
  <c r="V294" i="4" s="1"/>
  <c r="R318" i="4" l="1"/>
  <c r="C319" i="4"/>
  <c r="K665" i="4"/>
  <c r="AA665" i="4" s="1"/>
  <c r="J700" i="4"/>
  <c r="Z700" i="4" s="1"/>
  <c r="B295" i="4"/>
  <c r="V295" i="4" s="1"/>
  <c r="R319" i="4" l="1"/>
  <c r="C320" i="4"/>
  <c r="K666" i="4"/>
  <c r="AA666" i="4" s="1"/>
  <c r="J701" i="4"/>
  <c r="Z701" i="4" s="1"/>
  <c r="B296" i="4"/>
  <c r="V296" i="4" s="1"/>
  <c r="C321" i="4" l="1"/>
  <c r="R320" i="4"/>
  <c r="K667" i="4"/>
  <c r="AA667" i="4" s="1"/>
  <c r="J702" i="4"/>
  <c r="Z702" i="4" s="1"/>
  <c r="B297" i="4"/>
  <c r="V297" i="4" s="1"/>
  <c r="R321" i="4" l="1"/>
  <c r="C322" i="4"/>
  <c r="K668" i="4"/>
  <c r="AA668" i="4" s="1"/>
  <c r="J703" i="4"/>
  <c r="Z703" i="4" s="1"/>
  <c r="B298" i="4"/>
  <c r="V298" i="4" s="1"/>
  <c r="R322" i="4" l="1"/>
  <c r="C323" i="4"/>
  <c r="K669" i="4"/>
  <c r="AA669" i="4" s="1"/>
  <c r="J704" i="4"/>
  <c r="Z704" i="4" s="1"/>
  <c r="B299" i="4"/>
  <c r="V299" i="4" s="1"/>
  <c r="R323" i="4" l="1"/>
  <c r="C324" i="4"/>
  <c r="K670" i="4"/>
  <c r="AA670" i="4" s="1"/>
  <c r="J705" i="4"/>
  <c r="Z705" i="4" s="1"/>
  <c r="B300" i="4"/>
  <c r="V300" i="4" s="1"/>
  <c r="C325" i="4" l="1"/>
  <c r="R324" i="4"/>
  <c r="K671" i="4"/>
  <c r="AA671" i="4" s="1"/>
  <c r="J706" i="4"/>
  <c r="Z706" i="4" s="1"/>
  <c r="B301" i="4"/>
  <c r="V301" i="4" s="1"/>
  <c r="R325" i="4" l="1"/>
  <c r="C326" i="4"/>
  <c r="K672" i="4"/>
  <c r="AA672" i="4" s="1"/>
  <c r="J707" i="4"/>
  <c r="Z707" i="4" s="1"/>
  <c r="B302" i="4"/>
  <c r="V302" i="4" s="1"/>
  <c r="R326" i="4" l="1"/>
  <c r="C327" i="4"/>
  <c r="K673" i="4"/>
  <c r="AA673" i="4" s="1"/>
  <c r="J708" i="4"/>
  <c r="Z708" i="4" s="1"/>
  <c r="B303" i="4"/>
  <c r="V303" i="4" s="1"/>
  <c r="R327" i="4" l="1"/>
  <c r="C328" i="4"/>
  <c r="K674" i="4"/>
  <c r="AA674" i="4" s="1"/>
  <c r="J709" i="4"/>
  <c r="Z709" i="4" s="1"/>
  <c r="B304" i="4"/>
  <c r="V304" i="4" s="1"/>
  <c r="R328" i="4" l="1"/>
  <c r="C329" i="4"/>
  <c r="K675" i="4"/>
  <c r="AA675" i="4" s="1"/>
  <c r="J710" i="4"/>
  <c r="Z710" i="4" s="1"/>
  <c r="B305" i="4"/>
  <c r="V305" i="4" s="1"/>
  <c r="C330" i="4" l="1"/>
  <c r="R329" i="4"/>
  <c r="J711" i="4"/>
  <c r="Z711" i="4" s="1"/>
  <c r="B306" i="4"/>
  <c r="V306" i="4" s="1"/>
  <c r="C331" i="4" l="1"/>
  <c r="R330" i="4"/>
  <c r="K677" i="4"/>
  <c r="AA677" i="4" s="1"/>
  <c r="J712" i="4"/>
  <c r="Z712" i="4" s="1"/>
  <c r="B307" i="4"/>
  <c r="V307" i="4" s="1"/>
  <c r="C332" i="4" l="1"/>
  <c r="R331" i="4"/>
  <c r="K678" i="4"/>
  <c r="AA678" i="4" s="1"/>
  <c r="J713" i="4"/>
  <c r="Z713" i="4" s="1"/>
  <c r="B308" i="4"/>
  <c r="V308" i="4" s="1"/>
  <c r="R332" i="4" l="1"/>
  <c r="C333" i="4"/>
  <c r="K679" i="4"/>
  <c r="AA679" i="4" s="1"/>
  <c r="J714" i="4"/>
  <c r="Z714" i="4" s="1"/>
  <c r="B309" i="4"/>
  <c r="V309" i="4" s="1"/>
  <c r="C334" i="4" l="1"/>
  <c r="R333" i="4"/>
  <c r="K680" i="4"/>
  <c r="AA680" i="4" s="1"/>
  <c r="B310" i="4"/>
  <c r="V310" i="4" s="1"/>
  <c r="C335" i="4" l="1"/>
  <c r="R334" i="4"/>
  <c r="K681" i="4"/>
  <c r="AA681" i="4" s="1"/>
  <c r="B311" i="4"/>
  <c r="V311" i="4" s="1"/>
  <c r="R335" i="4" l="1"/>
  <c r="C336" i="4"/>
  <c r="K682" i="4"/>
  <c r="AA682" i="4" s="1"/>
  <c r="B312" i="4"/>
  <c r="V312" i="4" s="1"/>
  <c r="R336" i="4" l="1"/>
  <c r="C337" i="4"/>
  <c r="K683" i="4"/>
  <c r="AA683" i="4" s="1"/>
  <c r="J718" i="4"/>
  <c r="Z718" i="4" s="1"/>
  <c r="B313" i="4"/>
  <c r="V313" i="4" s="1"/>
  <c r="C338" i="4" l="1"/>
  <c r="R337" i="4"/>
  <c r="K684" i="4"/>
  <c r="AA684" i="4" s="1"/>
  <c r="J719" i="4"/>
  <c r="Z719" i="4" s="1"/>
  <c r="B314" i="4"/>
  <c r="V314" i="4" s="1"/>
  <c r="C339" i="4" l="1"/>
  <c r="R338" i="4"/>
  <c r="K685" i="4"/>
  <c r="AA685" i="4" s="1"/>
  <c r="J720" i="4"/>
  <c r="Z720" i="4" s="1"/>
  <c r="B315" i="4"/>
  <c r="V315" i="4" s="1"/>
  <c r="C340" i="4" l="1"/>
  <c r="R339" i="4"/>
  <c r="K686" i="4"/>
  <c r="AA686" i="4" s="1"/>
  <c r="J721" i="4"/>
  <c r="Z721" i="4" s="1"/>
  <c r="B316" i="4"/>
  <c r="V316" i="4" s="1"/>
  <c r="C341" i="4" l="1"/>
  <c r="R340" i="4"/>
  <c r="K687" i="4"/>
  <c r="AA687" i="4" s="1"/>
  <c r="J722" i="4"/>
  <c r="Z722" i="4" s="1"/>
  <c r="B317" i="4"/>
  <c r="V317" i="4" s="1"/>
  <c r="C342" i="4" l="1"/>
  <c r="R341" i="4"/>
  <c r="K688" i="4"/>
  <c r="AA688" i="4" s="1"/>
  <c r="J723" i="4"/>
  <c r="Z723" i="4" s="1"/>
  <c r="B318" i="4"/>
  <c r="V318" i="4" s="1"/>
  <c r="C343" i="4" l="1"/>
  <c r="R342" i="4"/>
  <c r="K689" i="4"/>
  <c r="AA689" i="4" s="1"/>
  <c r="J724" i="4"/>
  <c r="Z724" i="4" s="1"/>
  <c r="B319" i="4"/>
  <c r="V319" i="4" s="1"/>
  <c r="C344" i="4" l="1"/>
  <c r="R343" i="4"/>
  <c r="K690" i="4"/>
  <c r="AA690" i="4" s="1"/>
  <c r="J725" i="4"/>
  <c r="Z725" i="4" s="1"/>
  <c r="B320" i="4"/>
  <c r="V320" i="4" s="1"/>
  <c r="C345" i="4" l="1"/>
  <c r="R344" i="4"/>
  <c r="K691" i="4"/>
  <c r="AA691" i="4" s="1"/>
  <c r="J726" i="4"/>
  <c r="Z726" i="4" s="1"/>
  <c r="B321" i="4"/>
  <c r="V321" i="4" s="1"/>
  <c r="C346" i="4" l="1"/>
  <c r="R345" i="4"/>
  <c r="K692" i="4"/>
  <c r="AA692" i="4" s="1"/>
  <c r="J727" i="4"/>
  <c r="Z727" i="4" s="1"/>
  <c r="B322" i="4"/>
  <c r="V322" i="4" s="1"/>
  <c r="C347" i="4" l="1"/>
  <c r="R346" i="4"/>
  <c r="J728" i="4"/>
  <c r="Z728" i="4" s="1"/>
  <c r="B323" i="4"/>
  <c r="V323" i="4" s="1"/>
  <c r="C348" i="4" l="1"/>
  <c r="R347" i="4"/>
  <c r="J729" i="4"/>
  <c r="Z729" i="4" s="1"/>
  <c r="B324" i="4"/>
  <c r="V324" i="4" s="1"/>
  <c r="C349" i="4" l="1"/>
  <c r="R348" i="4"/>
  <c r="B325" i="4"/>
  <c r="V325" i="4" s="1"/>
  <c r="J730" i="4"/>
  <c r="Z730" i="4" s="1"/>
  <c r="C350" i="4" l="1"/>
  <c r="R349" i="4"/>
  <c r="J731" i="4"/>
  <c r="Z731" i="4" s="1"/>
  <c r="C351" i="4" l="1"/>
  <c r="R350" i="4"/>
  <c r="J732" i="4"/>
  <c r="Z732" i="4" s="1"/>
  <c r="C352" i="4" l="1"/>
  <c r="R351" i="4"/>
  <c r="K699" i="4"/>
  <c r="AA699" i="4" s="1"/>
  <c r="B326" i="4"/>
  <c r="V326" i="4" s="1"/>
  <c r="C353" i="4" l="1"/>
  <c r="R352" i="4"/>
  <c r="K700" i="4"/>
  <c r="AA700" i="4" s="1"/>
  <c r="J735" i="4"/>
  <c r="Z735" i="4" s="1"/>
  <c r="B327" i="4"/>
  <c r="V327" i="4" s="1"/>
  <c r="C354" i="4" l="1"/>
  <c r="R353" i="4"/>
  <c r="K701" i="4"/>
  <c r="AA701" i="4" s="1"/>
  <c r="J736" i="4"/>
  <c r="Z736" i="4" s="1"/>
  <c r="B328" i="4"/>
  <c r="V328" i="4" s="1"/>
  <c r="R354" i="4" l="1"/>
  <c r="C355" i="4"/>
  <c r="K702" i="4"/>
  <c r="AA702" i="4" s="1"/>
  <c r="J737" i="4"/>
  <c r="Z737" i="4" s="1"/>
  <c r="B329" i="4"/>
  <c r="V329" i="4" s="1"/>
  <c r="C356" i="4" l="1"/>
  <c r="R355" i="4"/>
  <c r="K703" i="4"/>
  <c r="AA703" i="4" s="1"/>
  <c r="J738" i="4"/>
  <c r="Z738" i="4" s="1"/>
  <c r="B330" i="4"/>
  <c r="V330" i="4" s="1"/>
  <c r="C357" i="4" l="1"/>
  <c r="R356" i="4"/>
  <c r="K704" i="4"/>
  <c r="AA704" i="4" s="1"/>
  <c r="J739" i="4"/>
  <c r="Z739" i="4" s="1"/>
  <c r="B331" i="4"/>
  <c r="V331" i="4" s="1"/>
  <c r="C358" i="4" l="1"/>
  <c r="R357" i="4"/>
  <c r="B332" i="4"/>
  <c r="V332" i="4" s="1"/>
  <c r="K705" i="4"/>
  <c r="AA705" i="4" s="1"/>
  <c r="J740" i="4"/>
  <c r="Z740" i="4" s="1"/>
  <c r="C359" i="4" l="1"/>
  <c r="R358" i="4"/>
  <c r="K706" i="4"/>
  <c r="AA706" i="4" s="1"/>
  <c r="J741" i="4"/>
  <c r="Z741" i="4" s="1"/>
  <c r="C360" i="4" l="1"/>
  <c r="R359" i="4"/>
  <c r="K707" i="4"/>
  <c r="AA707" i="4" s="1"/>
  <c r="J742" i="4"/>
  <c r="Z742" i="4" s="1"/>
  <c r="C361" i="4" l="1"/>
  <c r="R360" i="4"/>
  <c r="K708" i="4"/>
  <c r="AA708" i="4" s="1"/>
  <c r="J743" i="4"/>
  <c r="Z743" i="4" s="1"/>
  <c r="B333" i="4"/>
  <c r="V333" i="4" s="1"/>
  <c r="C362" i="4" l="1"/>
  <c r="R361" i="4"/>
  <c r="B334" i="4"/>
  <c r="V334" i="4" s="1"/>
  <c r="K709" i="4"/>
  <c r="AA709" i="4" s="1"/>
  <c r="J744" i="4"/>
  <c r="Z744" i="4" s="1"/>
  <c r="C363" i="4" l="1"/>
  <c r="R362" i="4"/>
  <c r="K710" i="4"/>
  <c r="AA710" i="4" s="1"/>
  <c r="J745" i="4"/>
  <c r="Z745" i="4" s="1"/>
  <c r="C364" i="4" l="1"/>
  <c r="R363" i="4"/>
  <c r="K711" i="4"/>
  <c r="AA711" i="4" s="1"/>
  <c r="J746" i="4"/>
  <c r="Z746" i="4" s="1"/>
  <c r="B335" i="4"/>
  <c r="V335" i="4" s="1"/>
  <c r="C365" i="4" l="1"/>
  <c r="R364" i="4"/>
  <c r="K712" i="4"/>
  <c r="AA712" i="4" s="1"/>
  <c r="J747" i="4"/>
  <c r="Z747" i="4" s="1"/>
  <c r="B336" i="4"/>
  <c r="V336" i="4" s="1"/>
  <c r="C366" i="4" l="1"/>
  <c r="R365" i="4"/>
  <c r="K713" i="4"/>
  <c r="AA713" i="4" s="1"/>
  <c r="J748" i="4"/>
  <c r="Z748" i="4" s="1"/>
  <c r="B337" i="4"/>
  <c r="V337" i="4" s="1"/>
  <c r="C367" i="4" l="1"/>
  <c r="R366" i="4"/>
  <c r="K714" i="4"/>
  <c r="AA714" i="4" s="1"/>
  <c r="J749" i="4"/>
  <c r="Z749" i="4" s="1"/>
  <c r="B338" i="4"/>
  <c r="V338" i="4" s="1"/>
  <c r="C368" i="4" l="1"/>
  <c r="R367" i="4"/>
  <c r="J750" i="4"/>
  <c r="Z750" i="4" s="1"/>
  <c r="B339" i="4"/>
  <c r="V339" i="4" s="1"/>
  <c r="C369" i="4" l="1"/>
  <c r="R368" i="4"/>
  <c r="B340" i="4"/>
  <c r="V340" i="4" s="1"/>
  <c r="C370" i="4" l="1"/>
  <c r="R369" i="4"/>
  <c r="K717" i="4"/>
  <c r="AA717" i="4" s="1"/>
  <c r="B341" i="4"/>
  <c r="V341" i="4" s="1"/>
  <c r="C371" i="4" l="1"/>
  <c r="R370" i="4"/>
  <c r="K718" i="4"/>
  <c r="AA718" i="4" s="1"/>
  <c r="B342" i="4"/>
  <c r="V342" i="4" s="1"/>
  <c r="C372" i="4" l="1"/>
  <c r="R371" i="4"/>
  <c r="K719" i="4"/>
  <c r="AA719" i="4" s="1"/>
  <c r="B343" i="4"/>
  <c r="V343" i="4" s="1"/>
  <c r="C373" i="4" l="1"/>
  <c r="R372" i="4"/>
  <c r="K720" i="4"/>
  <c r="AA720" i="4" s="1"/>
  <c r="B344" i="4"/>
  <c r="V344" i="4" s="1"/>
  <c r="C374" i="4" l="1"/>
  <c r="R373" i="4"/>
  <c r="K721" i="4"/>
  <c r="AA721" i="4" s="1"/>
  <c r="B345" i="4"/>
  <c r="V345" i="4" s="1"/>
  <c r="C375" i="4" l="1"/>
  <c r="R374" i="4"/>
  <c r="K722" i="4"/>
  <c r="AA722" i="4" s="1"/>
  <c r="B346" i="4"/>
  <c r="V346" i="4" s="1"/>
  <c r="C376" i="4" l="1"/>
  <c r="R375" i="4"/>
  <c r="K723" i="4"/>
  <c r="AA723" i="4" s="1"/>
  <c r="B347" i="4"/>
  <c r="V347" i="4" s="1"/>
  <c r="C377" i="4" l="1"/>
  <c r="R376" i="4"/>
  <c r="K724" i="4"/>
  <c r="AA724" i="4" s="1"/>
  <c r="B348" i="4"/>
  <c r="V348" i="4" s="1"/>
  <c r="R377" i="4" l="1"/>
  <c r="C378" i="4"/>
  <c r="K725" i="4"/>
  <c r="AA725" i="4" s="1"/>
  <c r="B349" i="4"/>
  <c r="V349" i="4" s="1"/>
  <c r="R378" i="4" l="1"/>
  <c r="C379" i="4"/>
  <c r="K726" i="4"/>
  <c r="AA726" i="4" s="1"/>
  <c r="B350" i="4"/>
  <c r="V350" i="4" s="1"/>
  <c r="C380" i="4" l="1"/>
  <c r="R379" i="4"/>
  <c r="K727" i="4"/>
  <c r="AA727" i="4" s="1"/>
  <c r="B351" i="4"/>
  <c r="V351" i="4" s="1"/>
  <c r="R380" i="4" l="1"/>
  <c r="C381" i="4"/>
  <c r="K728" i="4"/>
  <c r="AA728" i="4" s="1"/>
  <c r="B352" i="4"/>
  <c r="V352" i="4" s="1"/>
  <c r="C382" i="4" l="1"/>
  <c r="R381" i="4"/>
  <c r="K729" i="4"/>
  <c r="AA729" i="4" s="1"/>
  <c r="B353" i="4"/>
  <c r="V353" i="4" s="1"/>
  <c r="C383" i="4" l="1"/>
  <c r="R382" i="4"/>
  <c r="K730" i="4"/>
  <c r="AA730" i="4" s="1"/>
  <c r="B354" i="4"/>
  <c r="V354" i="4" s="1"/>
  <c r="C384" i="4" l="1"/>
  <c r="R383" i="4"/>
  <c r="K731" i="4"/>
  <c r="AA731" i="4" s="1"/>
  <c r="B355" i="4"/>
  <c r="V355" i="4" s="1"/>
  <c r="C385" i="4" l="1"/>
  <c r="R384" i="4"/>
  <c r="K732" i="4"/>
  <c r="AA732" i="4" s="1"/>
  <c r="B356" i="4"/>
  <c r="V356" i="4" s="1"/>
  <c r="C386" i="4" l="1"/>
  <c r="R385" i="4"/>
  <c r="B357" i="4"/>
  <c r="V357" i="4" s="1"/>
  <c r="R386" i="4" l="1"/>
  <c r="C387" i="4"/>
  <c r="B358" i="4"/>
  <c r="V358" i="4" s="1"/>
  <c r="C388" i="4" l="1"/>
  <c r="R387" i="4"/>
  <c r="B359" i="4"/>
  <c r="V359" i="4" s="1"/>
  <c r="R388" i="4" l="1"/>
  <c r="C389" i="4"/>
  <c r="K736" i="4"/>
  <c r="AA736" i="4" s="1"/>
  <c r="B360" i="4"/>
  <c r="V360" i="4" s="1"/>
  <c r="C390" i="4" l="1"/>
  <c r="R389" i="4"/>
  <c r="K737" i="4"/>
  <c r="AA737" i="4" s="1"/>
  <c r="B361" i="4"/>
  <c r="V361" i="4" s="1"/>
  <c r="C391" i="4" l="1"/>
  <c r="R390" i="4"/>
  <c r="K738" i="4"/>
  <c r="AA738" i="4" s="1"/>
  <c r="B362" i="4"/>
  <c r="V362" i="4" s="1"/>
  <c r="R391" i="4" l="1"/>
  <c r="C392" i="4"/>
  <c r="K739" i="4"/>
  <c r="AA739" i="4" s="1"/>
  <c r="B363" i="4"/>
  <c r="V363" i="4" s="1"/>
  <c r="R392" i="4" l="1"/>
  <c r="C393" i="4"/>
  <c r="K740" i="4"/>
  <c r="AA740" i="4" s="1"/>
  <c r="B364" i="4"/>
  <c r="V364" i="4" s="1"/>
  <c r="C394" i="4" l="1"/>
  <c r="R393" i="4"/>
  <c r="K741" i="4"/>
  <c r="AA741" i="4" s="1"/>
  <c r="B365" i="4"/>
  <c r="V365" i="4" s="1"/>
  <c r="C395" i="4" l="1"/>
  <c r="R394" i="4"/>
  <c r="K742" i="4"/>
  <c r="AA742" i="4" s="1"/>
  <c r="B366" i="4"/>
  <c r="V366" i="4" s="1"/>
  <c r="C396" i="4" l="1"/>
  <c r="R395" i="4"/>
  <c r="K743" i="4"/>
  <c r="AA743" i="4" s="1"/>
  <c r="B367" i="4"/>
  <c r="V367" i="4" s="1"/>
  <c r="C397" i="4" l="1"/>
  <c r="R396" i="4"/>
  <c r="K744" i="4"/>
  <c r="AA744" i="4" s="1"/>
  <c r="B368" i="4"/>
  <c r="V368" i="4" s="1"/>
  <c r="C398" i="4" l="1"/>
  <c r="R397" i="4"/>
  <c r="K745" i="4"/>
  <c r="AA745" i="4" s="1"/>
  <c r="B369" i="4"/>
  <c r="V369" i="4" s="1"/>
  <c r="C399" i="4" l="1"/>
  <c r="R398" i="4"/>
  <c r="K746" i="4"/>
  <c r="AA746" i="4" s="1"/>
  <c r="B370" i="4"/>
  <c r="V370" i="4" s="1"/>
  <c r="R399" i="4" l="1"/>
  <c r="C400" i="4"/>
  <c r="K747" i="4"/>
  <c r="AA747" i="4" s="1"/>
  <c r="B371" i="4"/>
  <c r="V371" i="4" s="1"/>
  <c r="R400" i="4" l="1"/>
  <c r="C401" i="4"/>
  <c r="K748" i="4"/>
  <c r="AA748" i="4" s="1"/>
  <c r="B372" i="4"/>
  <c r="V372" i="4" s="1"/>
  <c r="R401" i="4" l="1"/>
  <c r="C402" i="4"/>
  <c r="K749" i="4"/>
  <c r="AA749" i="4" s="1"/>
  <c r="B373" i="4"/>
  <c r="V373" i="4" s="1"/>
  <c r="C403" i="4" l="1"/>
  <c r="R402" i="4"/>
  <c r="B374" i="4"/>
  <c r="K750" i="4"/>
  <c r="AA750" i="4" s="1"/>
  <c r="R403" i="4" l="1"/>
  <c r="C404" i="4"/>
  <c r="B375" i="4"/>
  <c r="V375" i="4" s="1"/>
  <c r="V374" i="4"/>
  <c r="R404" i="4" l="1"/>
  <c r="C405" i="4"/>
  <c r="B376" i="4"/>
  <c r="V376" i="4" s="1"/>
  <c r="R405" i="4" l="1"/>
  <c r="C406" i="4"/>
  <c r="B377" i="4"/>
  <c r="V377" i="4" s="1"/>
  <c r="C407" i="4" l="1"/>
  <c r="R406" i="4"/>
  <c r="B378" i="4"/>
  <c r="V378" i="4" s="1"/>
  <c r="C408" i="4" l="1"/>
  <c r="R407" i="4"/>
  <c r="B379" i="4"/>
  <c r="V379" i="4" s="1"/>
  <c r="C409" i="4" l="1"/>
  <c r="R408" i="4"/>
  <c r="B380" i="4"/>
  <c r="V380" i="4" s="1"/>
  <c r="R409" i="4" l="1"/>
  <c r="C410" i="4"/>
  <c r="C411" i="4" s="1"/>
  <c r="B381" i="4"/>
  <c r="V381" i="4" s="1"/>
  <c r="C412" i="4" l="1"/>
  <c r="R411" i="4"/>
  <c r="B382" i="4"/>
  <c r="V382" i="4" s="1"/>
  <c r="C413" i="4" l="1"/>
  <c r="R412" i="4"/>
  <c r="B383" i="4"/>
  <c r="V383" i="4" s="1"/>
  <c r="C414" i="4" l="1"/>
  <c r="R413" i="4"/>
  <c r="B384" i="4"/>
  <c r="V384" i="4" s="1"/>
  <c r="C415" i="4" l="1"/>
  <c r="R414" i="4"/>
  <c r="B385" i="4"/>
  <c r="V385" i="4" s="1"/>
  <c r="R415" i="4" l="1"/>
  <c r="C416" i="4"/>
  <c r="B386" i="4"/>
  <c r="V386" i="4" s="1"/>
  <c r="R416" i="4" l="1"/>
  <c r="C417" i="4"/>
  <c r="B387" i="4"/>
  <c r="V387" i="4" s="1"/>
  <c r="C418" i="4" l="1"/>
  <c r="R417" i="4"/>
  <c r="B388" i="4"/>
  <c r="V388" i="4" s="1"/>
  <c r="R418" i="4" l="1"/>
  <c r="C419" i="4"/>
  <c r="B389" i="4"/>
  <c r="V389" i="4" s="1"/>
  <c r="R419" i="4" l="1"/>
  <c r="C420" i="4"/>
  <c r="B390" i="4"/>
  <c r="V390" i="4" s="1"/>
  <c r="R420" i="4" l="1"/>
  <c r="C421" i="4"/>
  <c r="B391" i="4"/>
  <c r="V391" i="4" s="1"/>
  <c r="C422" i="4" l="1"/>
  <c r="R421" i="4"/>
  <c r="B392" i="4"/>
  <c r="V392" i="4" s="1"/>
  <c r="C423" i="4" l="1"/>
  <c r="R422" i="4"/>
  <c r="B393" i="4"/>
  <c r="V393" i="4" s="1"/>
  <c r="R423" i="4" l="1"/>
  <c r="C424" i="4"/>
  <c r="B394" i="4"/>
  <c r="V394" i="4" s="1"/>
  <c r="R424" i="4" l="1"/>
  <c r="C425" i="4"/>
  <c r="B395" i="4"/>
  <c r="V395" i="4" s="1"/>
  <c r="C426" i="4" l="1"/>
  <c r="R425" i="4"/>
  <c r="B396" i="4"/>
  <c r="V396" i="4" s="1"/>
  <c r="R426" i="4" l="1"/>
  <c r="C427" i="4"/>
  <c r="B397" i="4"/>
  <c r="V397" i="4" s="1"/>
  <c r="C428" i="4" l="1"/>
  <c r="R427" i="4"/>
  <c r="B398" i="4"/>
  <c r="V398" i="4" s="1"/>
  <c r="C429" i="4" l="1"/>
  <c r="R428" i="4"/>
  <c r="B399" i="4"/>
  <c r="V399" i="4" s="1"/>
  <c r="C430" i="4" l="1"/>
  <c r="R429" i="4"/>
  <c r="B400" i="4"/>
  <c r="V400" i="4" s="1"/>
  <c r="C431" i="4" l="1"/>
  <c r="R430" i="4"/>
  <c r="B401" i="4"/>
  <c r="V401" i="4" s="1"/>
  <c r="C432" i="4" l="1"/>
  <c r="R431" i="4"/>
  <c r="B402" i="4"/>
  <c r="V402" i="4" s="1"/>
  <c r="C433" i="4" l="1"/>
  <c r="R432" i="4"/>
  <c r="B403" i="4"/>
  <c r="V403" i="4" s="1"/>
  <c r="C434" i="4" l="1"/>
  <c r="R433" i="4"/>
  <c r="B404" i="4"/>
  <c r="V404" i="4" s="1"/>
  <c r="C435" i="4" l="1"/>
  <c r="R434" i="4"/>
  <c r="B405" i="4"/>
  <c r="V405" i="4" s="1"/>
  <c r="C436" i="4" l="1"/>
  <c r="R435" i="4"/>
  <c r="B406" i="4"/>
  <c r="V406" i="4" s="1"/>
  <c r="C437" i="4" l="1"/>
  <c r="R436" i="4"/>
  <c r="B407" i="4"/>
  <c r="V407" i="4" s="1"/>
  <c r="C438" i="4" l="1"/>
  <c r="R437" i="4"/>
  <c r="B408" i="4"/>
  <c r="V408" i="4" s="1"/>
  <c r="C439" i="4" l="1"/>
  <c r="R438" i="4"/>
  <c r="B409" i="4"/>
  <c r="V409" i="4" s="1"/>
  <c r="C440" i="4" l="1"/>
  <c r="R439" i="4"/>
  <c r="B410" i="4"/>
  <c r="V410" i="4" s="1"/>
  <c r="C441" i="4" l="1"/>
  <c r="R440" i="4"/>
  <c r="B411" i="4"/>
  <c r="V411" i="4" s="1"/>
  <c r="C442" i="4" l="1"/>
  <c r="R441" i="4"/>
  <c r="B412" i="4"/>
  <c r="V412" i="4" s="1"/>
  <c r="C443" i="4" l="1"/>
  <c r="R442" i="4"/>
  <c r="B413" i="4"/>
  <c r="V413" i="4" s="1"/>
  <c r="C444" i="4" l="1"/>
  <c r="R443" i="4"/>
  <c r="B414" i="4"/>
  <c r="V414" i="4" s="1"/>
  <c r="C445" i="4" l="1"/>
  <c r="R444" i="4"/>
  <c r="B415" i="4"/>
  <c r="V415" i="4" s="1"/>
  <c r="C446" i="4" l="1"/>
  <c r="R445" i="4"/>
  <c r="B416" i="4"/>
  <c r="V416" i="4" s="1"/>
  <c r="C447" i="4" l="1"/>
  <c r="R446" i="4"/>
  <c r="B417" i="4"/>
  <c r="V417" i="4" s="1"/>
  <c r="C448" i="4" l="1"/>
  <c r="R447" i="4"/>
  <c r="B418" i="4"/>
  <c r="V418" i="4" s="1"/>
  <c r="R448" i="4" l="1"/>
  <c r="C449" i="4"/>
  <c r="B419" i="4"/>
  <c r="V419" i="4" s="1"/>
  <c r="C450" i="4" l="1"/>
  <c r="R449" i="4"/>
  <c r="B420" i="4"/>
  <c r="V420" i="4" s="1"/>
  <c r="C451" i="4" l="1"/>
  <c r="R450" i="4"/>
  <c r="B421" i="4"/>
  <c r="V421" i="4" s="1"/>
  <c r="C452" i="4" l="1"/>
  <c r="R451" i="4"/>
  <c r="B422" i="4"/>
  <c r="V422" i="4" s="1"/>
  <c r="C453" i="4" l="1"/>
  <c r="R452" i="4"/>
  <c r="B423" i="4"/>
  <c r="V423" i="4" s="1"/>
  <c r="C454" i="4" l="1"/>
  <c r="R453" i="4"/>
  <c r="B424" i="4"/>
  <c r="V424" i="4" s="1"/>
  <c r="C455" i="4" l="1"/>
  <c r="R454" i="4"/>
  <c r="B425" i="4"/>
  <c r="V425" i="4" s="1"/>
  <c r="C456" i="4" l="1"/>
  <c r="R455" i="4"/>
  <c r="B426" i="4"/>
  <c r="V426" i="4" s="1"/>
  <c r="C457" i="4" l="1"/>
  <c r="R456" i="4"/>
  <c r="B427" i="4"/>
  <c r="V427" i="4" s="1"/>
  <c r="C458" i="4" l="1"/>
  <c r="R457" i="4"/>
  <c r="B428" i="4"/>
  <c r="V428" i="4" s="1"/>
  <c r="C459" i="4" l="1"/>
  <c r="R458" i="4"/>
  <c r="B429" i="4"/>
  <c r="V429" i="4" s="1"/>
  <c r="C460" i="4" l="1"/>
  <c r="R459" i="4"/>
  <c r="B430" i="4"/>
  <c r="V430" i="4" s="1"/>
  <c r="C461" i="4" l="1"/>
  <c r="R460" i="4"/>
  <c r="B431" i="4"/>
  <c r="V431" i="4" s="1"/>
  <c r="C462" i="4" l="1"/>
  <c r="R461" i="4"/>
  <c r="B432" i="4"/>
  <c r="V432" i="4" s="1"/>
  <c r="C463" i="4" l="1"/>
  <c r="R462" i="4"/>
  <c r="B433" i="4"/>
  <c r="V433" i="4" s="1"/>
  <c r="C464" i="4" l="1"/>
  <c r="R463" i="4"/>
  <c r="B434" i="4"/>
  <c r="V434" i="4" s="1"/>
  <c r="C465" i="4" l="1"/>
  <c r="R464" i="4"/>
  <c r="B435" i="4"/>
  <c r="V435" i="4" s="1"/>
  <c r="C466" i="4" l="1"/>
  <c r="R465" i="4"/>
  <c r="B436" i="4"/>
  <c r="V436" i="4" s="1"/>
  <c r="C467" i="4" l="1"/>
  <c r="R466" i="4"/>
  <c r="B437" i="4"/>
  <c r="V437" i="4" s="1"/>
  <c r="C468" i="4" l="1"/>
  <c r="R467" i="4"/>
  <c r="B438" i="4"/>
  <c r="V438" i="4" s="1"/>
  <c r="C469" i="4" l="1"/>
  <c r="R468" i="4"/>
  <c r="B439" i="4"/>
  <c r="V439" i="4" s="1"/>
  <c r="C470" i="4" l="1"/>
  <c r="R469" i="4"/>
  <c r="B440" i="4"/>
  <c r="V440" i="4" s="1"/>
  <c r="C471" i="4" l="1"/>
  <c r="R470" i="4"/>
  <c r="B441" i="4"/>
  <c r="V441" i="4" s="1"/>
  <c r="C472" i="4" l="1"/>
  <c r="R471" i="4"/>
  <c r="B442" i="4"/>
  <c r="V442" i="4" s="1"/>
  <c r="R472" i="4" l="1"/>
  <c r="C473" i="4"/>
  <c r="B443" i="4"/>
  <c r="V443" i="4" s="1"/>
  <c r="C474" i="4" l="1"/>
  <c r="R473" i="4"/>
  <c r="B444" i="4"/>
  <c r="V444" i="4" s="1"/>
  <c r="C475" i="4" l="1"/>
  <c r="R474" i="4"/>
  <c r="B445" i="4"/>
  <c r="V445" i="4" s="1"/>
  <c r="C476" i="4" l="1"/>
  <c r="R475" i="4"/>
  <c r="B446" i="4"/>
  <c r="V446" i="4" s="1"/>
  <c r="C477" i="4" l="1"/>
  <c r="R476" i="4"/>
  <c r="B447" i="4"/>
  <c r="V447" i="4" s="1"/>
  <c r="C478" i="4" l="1"/>
  <c r="R477" i="4"/>
  <c r="B448" i="4"/>
  <c r="V448" i="4" s="1"/>
  <c r="C479" i="4" l="1"/>
  <c r="R478" i="4"/>
  <c r="B449" i="4"/>
  <c r="V449" i="4" s="1"/>
  <c r="C480" i="4" l="1"/>
  <c r="R479" i="4"/>
  <c r="B450" i="4"/>
  <c r="V450" i="4" s="1"/>
  <c r="C481" i="4" l="1"/>
  <c r="R480" i="4"/>
  <c r="B451" i="4"/>
  <c r="V451" i="4" s="1"/>
  <c r="C482" i="4" l="1"/>
  <c r="R481" i="4"/>
  <c r="B452" i="4"/>
  <c r="V452" i="4" s="1"/>
  <c r="C483" i="4" l="1"/>
  <c r="R482" i="4"/>
  <c r="B453" i="4"/>
  <c r="V453" i="4" s="1"/>
  <c r="C484" i="4" l="1"/>
  <c r="R483" i="4"/>
  <c r="B454" i="4"/>
  <c r="V454" i="4" s="1"/>
  <c r="C485" i="4" l="1"/>
  <c r="R484" i="4"/>
  <c r="B455" i="4"/>
  <c r="V455" i="4" s="1"/>
  <c r="R485" i="4" l="1"/>
  <c r="C486" i="4"/>
  <c r="B456" i="4"/>
  <c r="V456" i="4" s="1"/>
  <c r="C487" i="4" l="1"/>
  <c r="R486" i="4"/>
  <c r="B457" i="4"/>
  <c r="V457" i="4" s="1"/>
  <c r="C488" i="4" l="1"/>
  <c r="R487" i="4"/>
  <c r="B458" i="4"/>
  <c r="V458" i="4" s="1"/>
  <c r="C489" i="4" l="1"/>
  <c r="R488" i="4"/>
  <c r="B459" i="4"/>
  <c r="V459" i="4" s="1"/>
  <c r="C490" i="4" l="1"/>
  <c r="R489" i="4"/>
  <c r="B460" i="4"/>
  <c r="V460" i="4" s="1"/>
  <c r="C491" i="4" l="1"/>
  <c r="R490" i="4"/>
  <c r="B461" i="4"/>
  <c r="V461" i="4" s="1"/>
  <c r="C492" i="4" l="1"/>
  <c r="R491" i="4"/>
  <c r="B462" i="4"/>
  <c r="V462" i="4" s="1"/>
  <c r="C493" i="4" l="1"/>
  <c r="R492" i="4"/>
  <c r="B463" i="4"/>
  <c r="V463" i="4" s="1"/>
  <c r="C494" i="4" l="1"/>
  <c r="R493" i="4"/>
  <c r="B464" i="4"/>
  <c r="V464" i="4" s="1"/>
  <c r="C495" i="4" l="1"/>
  <c r="R494" i="4"/>
  <c r="B465" i="4"/>
  <c r="V465" i="4" s="1"/>
  <c r="R495" i="4" l="1"/>
  <c r="C496" i="4"/>
  <c r="B466" i="4"/>
  <c r="V466" i="4" s="1"/>
  <c r="C497" i="4" l="1"/>
  <c r="R496" i="4"/>
  <c r="B467" i="4"/>
  <c r="V467" i="4" s="1"/>
  <c r="C498" i="4" l="1"/>
  <c r="R497" i="4"/>
  <c r="B468" i="4"/>
  <c r="V468" i="4" s="1"/>
  <c r="C499" i="4" l="1"/>
  <c r="R498" i="4"/>
  <c r="B469" i="4"/>
  <c r="V469" i="4" s="1"/>
  <c r="R499" i="4" l="1"/>
  <c r="C500" i="4"/>
  <c r="B470" i="4"/>
  <c r="V470" i="4" s="1"/>
  <c r="R500" i="4" l="1"/>
  <c r="C501" i="4"/>
  <c r="B471" i="4"/>
  <c r="V471" i="4" s="1"/>
  <c r="C502" i="4" l="1"/>
  <c r="R501" i="4"/>
  <c r="B472" i="4"/>
  <c r="V472" i="4" s="1"/>
  <c r="C503" i="4" l="1"/>
  <c r="R502" i="4"/>
  <c r="B473" i="4"/>
  <c r="V473" i="4" s="1"/>
  <c r="C504" i="4" l="1"/>
  <c r="R503" i="4"/>
  <c r="B474" i="4"/>
  <c r="V474" i="4" s="1"/>
  <c r="C505" i="4" l="1"/>
  <c r="R504" i="4"/>
  <c r="B475" i="4"/>
  <c r="V475" i="4" s="1"/>
  <c r="C506" i="4" l="1"/>
  <c r="R505" i="4"/>
  <c r="B476" i="4"/>
  <c r="V476" i="4" s="1"/>
  <c r="C507" i="4" l="1"/>
  <c r="R506" i="4"/>
  <c r="B477" i="4"/>
  <c r="V477" i="4" s="1"/>
  <c r="C508" i="4" l="1"/>
  <c r="R507" i="4"/>
  <c r="B478" i="4"/>
  <c r="V478" i="4" s="1"/>
  <c r="C509" i="4" l="1"/>
  <c r="R508" i="4"/>
  <c r="B479" i="4"/>
  <c r="V479" i="4" s="1"/>
  <c r="C510" i="4" l="1"/>
  <c r="R509" i="4"/>
  <c r="B480" i="4"/>
  <c r="V480" i="4" s="1"/>
  <c r="C511" i="4" l="1"/>
  <c r="R510" i="4"/>
  <c r="B481" i="4"/>
  <c r="V481" i="4" s="1"/>
  <c r="C512" i="4" l="1"/>
  <c r="R511" i="4"/>
  <c r="B482" i="4"/>
  <c r="V482" i="4" s="1"/>
  <c r="C513" i="4" l="1"/>
  <c r="R512" i="4"/>
  <c r="B483" i="4"/>
  <c r="V483" i="4" s="1"/>
  <c r="C514" i="4" l="1"/>
  <c r="R513" i="4"/>
  <c r="B484" i="4"/>
  <c r="V484" i="4" s="1"/>
  <c r="C515" i="4" l="1"/>
  <c r="R514" i="4"/>
  <c r="B485" i="4"/>
  <c r="V485" i="4" s="1"/>
  <c r="C516" i="4" l="1"/>
  <c r="R515" i="4"/>
  <c r="B486" i="4"/>
  <c r="V486" i="4" s="1"/>
  <c r="C517" i="4" l="1"/>
  <c r="R516" i="4"/>
  <c r="B487" i="4"/>
  <c r="V487" i="4" s="1"/>
  <c r="C518" i="4" l="1"/>
  <c r="R517" i="4"/>
  <c r="B488" i="4"/>
  <c r="V488" i="4" s="1"/>
  <c r="C519" i="4" l="1"/>
  <c r="R518" i="4"/>
  <c r="B489" i="4"/>
  <c r="V489" i="4" s="1"/>
  <c r="C520" i="4" l="1"/>
  <c r="R519" i="4"/>
  <c r="B490" i="4"/>
  <c r="V490" i="4" s="1"/>
  <c r="C521" i="4" l="1"/>
  <c r="R520" i="4"/>
  <c r="B491" i="4"/>
  <c r="V491" i="4" s="1"/>
  <c r="C522" i="4" l="1"/>
  <c r="R521" i="4"/>
  <c r="B492" i="4"/>
  <c r="V492" i="4" s="1"/>
  <c r="C523" i="4" l="1"/>
  <c r="R522" i="4"/>
  <c r="B493" i="4"/>
  <c r="V493" i="4" s="1"/>
  <c r="C524" i="4" l="1"/>
  <c r="R523" i="4"/>
  <c r="B494" i="4"/>
  <c r="V494" i="4" s="1"/>
  <c r="C525" i="4" l="1"/>
  <c r="R524" i="4"/>
  <c r="B495" i="4"/>
  <c r="V495" i="4" s="1"/>
  <c r="C526" i="4" l="1"/>
  <c r="R525" i="4"/>
  <c r="B496" i="4"/>
  <c r="V496" i="4" s="1"/>
  <c r="C527" i="4" l="1"/>
  <c r="R526" i="4"/>
  <c r="B497" i="4"/>
  <c r="V497" i="4" s="1"/>
  <c r="C528" i="4" l="1"/>
  <c r="R527" i="4"/>
  <c r="B498" i="4"/>
  <c r="V498" i="4" s="1"/>
  <c r="C529" i="4" l="1"/>
  <c r="R528" i="4"/>
  <c r="B499" i="4"/>
  <c r="V499" i="4" s="1"/>
  <c r="C530" i="4" l="1"/>
  <c r="R529" i="4"/>
  <c r="B500" i="4"/>
  <c r="V500" i="4" s="1"/>
  <c r="C531" i="4" l="1"/>
  <c r="R530" i="4"/>
  <c r="B501" i="4"/>
  <c r="V501" i="4" s="1"/>
  <c r="C532" i="4" l="1"/>
  <c r="R531" i="4"/>
  <c r="B502" i="4"/>
  <c r="V502" i="4" s="1"/>
  <c r="C533" i="4" l="1"/>
  <c r="R532" i="4"/>
  <c r="B503" i="4"/>
  <c r="V503" i="4" s="1"/>
  <c r="C534" i="4" l="1"/>
  <c r="R533" i="4"/>
  <c r="B504" i="4"/>
  <c r="V504" i="4" s="1"/>
  <c r="C535" i="4" l="1"/>
  <c r="R534" i="4"/>
  <c r="B505" i="4"/>
  <c r="V505" i="4" s="1"/>
  <c r="C536" i="4" l="1"/>
  <c r="R535" i="4"/>
  <c r="B506" i="4"/>
  <c r="V506" i="4" s="1"/>
  <c r="C537" i="4" l="1"/>
  <c r="R536" i="4"/>
  <c r="B507" i="4"/>
  <c r="V507" i="4" s="1"/>
  <c r="C538" i="4" l="1"/>
  <c r="R537" i="4"/>
  <c r="B508" i="4"/>
  <c r="V508" i="4" s="1"/>
  <c r="C539" i="4" l="1"/>
  <c r="R538" i="4"/>
  <c r="B509" i="4"/>
  <c r="V509" i="4" s="1"/>
  <c r="R539" i="4" l="1"/>
  <c r="C540" i="4"/>
  <c r="B510" i="4"/>
  <c r="V510" i="4" s="1"/>
  <c r="C541" i="4" l="1"/>
  <c r="R540" i="4"/>
  <c r="B511" i="4"/>
  <c r="V511" i="4" s="1"/>
  <c r="C542" i="4" l="1"/>
  <c r="R541" i="4"/>
  <c r="B512" i="4"/>
  <c r="V512" i="4" s="1"/>
  <c r="C543" i="4" l="1"/>
  <c r="R542" i="4"/>
  <c r="B513" i="4"/>
  <c r="V513" i="4" s="1"/>
  <c r="R543" i="4" l="1"/>
  <c r="C544" i="4"/>
  <c r="B514" i="4"/>
  <c r="V514" i="4" s="1"/>
  <c r="R544" i="4" l="1"/>
  <c r="C545" i="4"/>
  <c r="B515" i="4"/>
  <c r="V515" i="4" s="1"/>
  <c r="C546" i="4" l="1"/>
  <c r="R545" i="4"/>
  <c r="B516" i="4"/>
  <c r="V516" i="4" s="1"/>
  <c r="C547" i="4" l="1"/>
  <c r="R546" i="4"/>
  <c r="B517" i="4"/>
  <c r="V517" i="4" s="1"/>
  <c r="R547" i="4" l="1"/>
  <c r="C548" i="4"/>
  <c r="B518" i="4"/>
  <c r="V518" i="4" s="1"/>
  <c r="C549" i="4" l="1"/>
  <c r="R548" i="4"/>
  <c r="B519" i="4"/>
  <c r="V519" i="4" s="1"/>
  <c r="C550" i="4" l="1"/>
  <c r="R549" i="4"/>
  <c r="B520" i="4"/>
  <c r="V520" i="4" s="1"/>
  <c r="R550" i="4" l="1"/>
  <c r="C551" i="4"/>
  <c r="B521" i="4"/>
  <c r="V521" i="4" s="1"/>
  <c r="R551" i="4" l="1"/>
  <c r="C552" i="4"/>
  <c r="B522" i="4"/>
  <c r="V522" i="4" s="1"/>
  <c r="C553" i="4" l="1"/>
  <c r="R552" i="4"/>
  <c r="B523" i="4"/>
  <c r="V523" i="4" s="1"/>
  <c r="C554" i="4" l="1"/>
  <c r="R553" i="4"/>
  <c r="B524" i="4"/>
  <c r="V524" i="4" s="1"/>
  <c r="C555" i="4" l="1"/>
  <c r="R554" i="4"/>
  <c r="B525" i="4"/>
  <c r="V525" i="4" s="1"/>
  <c r="C556" i="4" l="1"/>
  <c r="R555" i="4"/>
  <c r="B526" i="4"/>
  <c r="V526" i="4" s="1"/>
  <c r="C557" i="4" l="1"/>
  <c r="R556" i="4"/>
  <c r="B527" i="4"/>
  <c r="V527" i="4" s="1"/>
  <c r="C558" i="4" l="1"/>
  <c r="R557" i="4"/>
  <c r="B528" i="4"/>
  <c r="V528" i="4" s="1"/>
  <c r="C559" i="4" l="1"/>
  <c r="R558" i="4"/>
  <c r="B529" i="4"/>
  <c r="V529" i="4" s="1"/>
  <c r="C560" i="4" l="1"/>
  <c r="R559" i="4"/>
  <c r="B530" i="4"/>
  <c r="V530" i="4" s="1"/>
  <c r="C561" i="4" l="1"/>
  <c r="R560" i="4"/>
  <c r="B531" i="4"/>
  <c r="V531" i="4" s="1"/>
  <c r="B532" i="4"/>
  <c r="V532" i="4" s="1"/>
  <c r="C562" i="4" l="1"/>
  <c r="R561" i="4"/>
  <c r="B533" i="4"/>
  <c r="V533" i="4" s="1"/>
  <c r="C563" i="4" l="1"/>
  <c r="R562" i="4"/>
  <c r="B534" i="4"/>
  <c r="V534" i="4" s="1"/>
  <c r="C564" i="4" l="1"/>
  <c r="R563" i="4"/>
  <c r="B535" i="4"/>
  <c r="V535" i="4" s="1"/>
  <c r="R564" i="4" l="1"/>
  <c r="C565" i="4"/>
  <c r="B536" i="4"/>
  <c r="V536" i="4" s="1"/>
  <c r="C566" i="4" l="1"/>
  <c r="R565" i="4"/>
  <c r="B537" i="4"/>
  <c r="V537" i="4" s="1"/>
  <c r="C567" i="4" l="1"/>
  <c r="R566" i="4"/>
  <c r="B538" i="4"/>
  <c r="V538" i="4" s="1"/>
  <c r="C568" i="4" l="1"/>
  <c r="R567" i="4"/>
  <c r="B539" i="4"/>
  <c r="V539" i="4" s="1"/>
  <c r="C569" i="4" l="1"/>
  <c r="R568" i="4"/>
  <c r="B540" i="4"/>
  <c r="V540" i="4" s="1"/>
  <c r="C570" i="4" l="1"/>
  <c r="R569" i="4"/>
  <c r="B541" i="4"/>
  <c r="V541" i="4" s="1"/>
  <c r="C571" i="4" l="1"/>
  <c r="R570" i="4"/>
  <c r="B542" i="4"/>
  <c r="V542" i="4" s="1"/>
  <c r="C572" i="4" l="1"/>
  <c r="R571" i="4"/>
  <c r="B543" i="4"/>
  <c r="V543" i="4" s="1"/>
  <c r="C573" i="4" l="1"/>
  <c r="R572" i="4"/>
  <c r="B544" i="4"/>
  <c r="V544" i="4" s="1"/>
  <c r="C574" i="4" l="1"/>
  <c r="R573" i="4"/>
  <c r="B545" i="4"/>
  <c r="V545" i="4" s="1"/>
  <c r="C575" i="4" l="1"/>
  <c r="R574" i="4"/>
  <c r="B546" i="4"/>
  <c r="V546" i="4" s="1"/>
  <c r="C576" i="4" l="1"/>
  <c r="R575" i="4"/>
  <c r="B547" i="4"/>
  <c r="V547" i="4" s="1"/>
  <c r="C577" i="4" l="1"/>
  <c r="R576" i="4"/>
  <c r="B548" i="4"/>
  <c r="V548" i="4" s="1"/>
  <c r="C578" i="4" l="1"/>
  <c r="R577" i="4"/>
  <c r="B549" i="4"/>
  <c r="V549" i="4" s="1"/>
  <c r="C579" i="4" l="1"/>
  <c r="R578" i="4"/>
  <c r="B550" i="4"/>
  <c r="V550" i="4" s="1"/>
  <c r="C580" i="4" l="1"/>
  <c r="R579" i="4"/>
  <c r="B551" i="4"/>
  <c r="V551" i="4" s="1"/>
  <c r="C581" i="4" l="1"/>
  <c r="R580" i="4"/>
  <c r="B552" i="4"/>
  <c r="V552" i="4" s="1"/>
  <c r="C582" i="4" l="1"/>
  <c r="R581" i="4"/>
  <c r="B553" i="4"/>
  <c r="V553" i="4" s="1"/>
  <c r="C583" i="4" l="1"/>
  <c r="R582" i="4"/>
  <c r="B554" i="4"/>
  <c r="V554" i="4" s="1"/>
  <c r="C584" i="4" l="1"/>
  <c r="R583" i="4"/>
  <c r="B555" i="4"/>
  <c r="V555" i="4" s="1"/>
  <c r="C585" i="4" l="1"/>
  <c r="R584" i="4"/>
  <c r="B556" i="4"/>
  <c r="V556" i="4" s="1"/>
  <c r="C586" i="4" l="1"/>
  <c r="R585" i="4"/>
  <c r="B557" i="4"/>
  <c r="V557" i="4" s="1"/>
  <c r="C587" i="4" l="1"/>
  <c r="R586" i="4"/>
  <c r="B558" i="4"/>
  <c r="V558" i="4" s="1"/>
  <c r="C588" i="4" l="1"/>
  <c r="R587" i="4"/>
  <c r="B559" i="4"/>
  <c r="V559" i="4" s="1"/>
  <c r="C589" i="4" l="1"/>
  <c r="R588" i="4"/>
  <c r="B560" i="4"/>
  <c r="V560" i="4" s="1"/>
  <c r="C590" i="4" l="1"/>
  <c r="R589" i="4"/>
  <c r="B561" i="4"/>
  <c r="V561" i="4" s="1"/>
  <c r="C591" i="4" l="1"/>
  <c r="R590" i="4"/>
  <c r="B562" i="4"/>
  <c r="V562" i="4" s="1"/>
  <c r="C592" i="4" l="1"/>
  <c r="R591" i="4"/>
  <c r="B563" i="4"/>
  <c r="V563" i="4" s="1"/>
  <c r="C593" i="4" l="1"/>
  <c r="R592" i="4"/>
  <c r="B564" i="4"/>
  <c r="V564" i="4" s="1"/>
  <c r="C594" i="4" l="1"/>
  <c r="R593" i="4"/>
  <c r="B565" i="4"/>
  <c r="V565" i="4" s="1"/>
  <c r="C595" i="4" l="1"/>
  <c r="R594" i="4"/>
  <c r="B566" i="4"/>
  <c r="V566" i="4" s="1"/>
  <c r="C596" i="4" l="1"/>
  <c r="R595" i="4"/>
  <c r="B567" i="4"/>
  <c r="V567" i="4" s="1"/>
  <c r="C597" i="4" l="1"/>
  <c r="R596" i="4"/>
  <c r="B568" i="4"/>
  <c r="V568" i="4" s="1"/>
  <c r="C598" i="4" l="1"/>
  <c r="R597" i="4"/>
  <c r="B569" i="4"/>
  <c r="V569" i="4" s="1"/>
  <c r="C599" i="4" l="1"/>
  <c r="R598" i="4"/>
  <c r="B570" i="4"/>
  <c r="V570" i="4" s="1"/>
  <c r="C600" i="4" l="1"/>
  <c r="R599" i="4"/>
  <c r="B571" i="4"/>
  <c r="V571" i="4" s="1"/>
  <c r="C601" i="4" l="1"/>
  <c r="R600" i="4"/>
  <c r="B572" i="4"/>
  <c r="V572" i="4" s="1"/>
  <c r="C602" i="4" l="1"/>
  <c r="R601" i="4"/>
  <c r="B573" i="4"/>
  <c r="V573" i="4" s="1"/>
  <c r="C603" i="4" l="1"/>
  <c r="R602" i="4"/>
  <c r="B574" i="4"/>
  <c r="V574" i="4" s="1"/>
  <c r="C604" i="4" l="1"/>
  <c r="R603" i="4"/>
  <c r="B575" i="4"/>
  <c r="V575" i="4" s="1"/>
  <c r="C605" i="4" l="1"/>
  <c r="R604" i="4"/>
  <c r="B576" i="4"/>
  <c r="V576" i="4" s="1"/>
  <c r="C606" i="4" l="1"/>
  <c r="R605" i="4"/>
  <c r="B577" i="4"/>
  <c r="V577" i="4" s="1"/>
  <c r="C607" i="4" l="1"/>
  <c r="R606" i="4"/>
  <c r="B578" i="4"/>
  <c r="V578" i="4" s="1"/>
  <c r="C608" i="4" l="1"/>
  <c r="R607" i="4"/>
  <c r="B579" i="4"/>
  <c r="V579" i="4" s="1"/>
  <c r="C609" i="4" l="1"/>
  <c r="R608" i="4"/>
  <c r="B580" i="4"/>
  <c r="V580" i="4" s="1"/>
  <c r="C610" i="4" l="1"/>
  <c r="R609" i="4"/>
  <c r="B581" i="4"/>
  <c r="V581" i="4" s="1"/>
  <c r="C611" i="4" l="1"/>
  <c r="R610" i="4"/>
  <c r="B582" i="4"/>
  <c r="V582" i="4" s="1"/>
  <c r="C612" i="4" l="1"/>
  <c r="R611" i="4"/>
  <c r="B583" i="4"/>
  <c r="V583" i="4" s="1"/>
  <c r="C613" i="4" l="1"/>
  <c r="R612" i="4"/>
  <c r="B584" i="4"/>
  <c r="V584" i="4" s="1"/>
  <c r="C614" i="4" l="1"/>
  <c r="R613" i="4"/>
  <c r="B585" i="4"/>
  <c r="V585" i="4" s="1"/>
  <c r="C615" i="4" l="1"/>
  <c r="R614" i="4"/>
  <c r="B586" i="4"/>
  <c r="V586" i="4" s="1"/>
  <c r="C616" i="4" l="1"/>
  <c r="R615" i="4"/>
  <c r="B587" i="4"/>
  <c r="V587" i="4" s="1"/>
  <c r="R616" i="4" l="1"/>
  <c r="C617" i="4"/>
  <c r="B588" i="4"/>
  <c r="V588" i="4" s="1"/>
  <c r="C618" i="4" l="1"/>
  <c r="R617" i="4"/>
  <c r="B589" i="4"/>
  <c r="V589" i="4" s="1"/>
  <c r="C619" i="4" l="1"/>
  <c r="R618" i="4"/>
  <c r="B590" i="4"/>
  <c r="V590" i="4" s="1"/>
  <c r="C620" i="4" l="1"/>
  <c r="R619" i="4"/>
  <c r="B591" i="4"/>
  <c r="V591" i="4" s="1"/>
  <c r="C621" i="4" l="1"/>
  <c r="R620" i="4"/>
  <c r="B592" i="4"/>
  <c r="V592" i="4" s="1"/>
  <c r="C622" i="4" l="1"/>
  <c r="R621" i="4"/>
  <c r="B593" i="4"/>
  <c r="V593" i="4" s="1"/>
  <c r="C623" i="4" l="1"/>
  <c r="R622" i="4"/>
  <c r="B594" i="4"/>
  <c r="V594" i="4" s="1"/>
  <c r="C624" i="4" l="1"/>
  <c r="R623" i="4"/>
  <c r="B595" i="4"/>
  <c r="V595" i="4" s="1"/>
  <c r="C625" i="4" l="1"/>
  <c r="R624" i="4"/>
  <c r="B596" i="4"/>
  <c r="V596" i="4" s="1"/>
  <c r="C626" i="4" l="1"/>
  <c r="R625" i="4"/>
  <c r="B597" i="4"/>
  <c r="V597" i="4" s="1"/>
  <c r="C627" i="4" l="1"/>
  <c r="R626" i="4"/>
  <c r="B598" i="4"/>
  <c r="V598" i="4" s="1"/>
  <c r="C628" i="4" l="1"/>
  <c r="R627" i="4"/>
  <c r="B599" i="4"/>
  <c r="V599" i="4" s="1"/>
  <c r="C629" i="4" l="1"/>
  <c r="R628" i="4"/>
  <c r="B600" i="4"/>
  <c r="V600" i="4" s="1"/>
  <c r="C630" i="4" l="1"/>
  <c r="R629" i="4"/>
  <c r="B601" i="4"/>
  <c r="V601" i="4" s="1"/>
  <c r="C631" i="4" l="1"/>
  <c r="R630" i="4"/>
  <c r="B602" i="4"/>
  <c r="V602" i="4" s="1"/>
  <c r="C632" i="4" l="1"/>
  <c r="R631" i="4"/>
  <c r="B603" i="4"/>
  <c r="V603" i="4" s="1"/>
  <c r="C633" i="4" l="1"/>
  <c r="R632" i="4"/>
  <c r="B604" i="4"/>
  <c r="V604" i="4" s="1"/>
  <c r="C634" i="4" l="1"/>
  <c r="R633" i="4"/>
  <c r="B605" i="4"/>
  <c r="V605" i="4" s="1"/>
  <c r="C635" i="4" l="1"/>
  <c r="R634" i="4"/>
  <c r="B606" i="4"/>
  <c r="V606" i="4" s="1"/>
  <c r="C636" i="4" l="1"/>
  <c r="R635" i="4"/>
  <c r="B607" i="4"/>
  <c r="V607" i="4" s="1"/>
  <c r="C637" i="4" l="1"/>
  <c r="R636" i="4"/>
  <c r="B608" i="4"/>
  <c r="V608" i="4" s="1"/>
  <c r="C638" i="4" l="1"/>
  <c r="R637" i="4"/>
  <c r="B609" i="4"/>
  <c r="V609" i="4" s="1"/>
  <c r="C639" i="4" l="1"/>
  <c r="R638" i="4"/>
  <c r="B610" i="4"/>
  <c r="V610" i="4" s="1"/>
  <c r="C640" i="4" l="1"/>
  <c r="R639" i="4"/>
  <c r="B611" i="4"/>
  <c r="V611" i="4" s="1"/>
  <c r="C641" i="4" l="1"/>
  <c r="C642" i="4" s="1"/>
  <c r="R640" i="4"/>
  <c r="B612" i="4"/>
  <c r="V612" i="4" s="1"/>
  <c r="C643" i="4" l="1"/>
  <c r="R642" i="4"/>
  <c r="B613" i="4"/>
  <c r="V613" i="4" s="1"/>
  <c r="C644" i="4" l="1"/>
  <c r="R643" i="4"/>
  <c r="B614" i="4"/>
  <c r="V614" i="4" s="1"/>
  <c r="R644" i="4" l="1"/>
  <c r="C645" i="4"/>
  <c r="B615" i="4"/>
  <c r="V615" i="4" s="1"/>
  <c r="C646" i="4" l="1"/>
  <c r="R645" i="4"/>
  <c r="B616" i="4"/>
  <c r="V616" i="4" s="1"/>
  <c r="C647" i="4" l="1"/>
  <c r="R646" i="4"/>
  <c r="B617" i="4"/>
  <c r="V617" i="4" s="1"/>
  <c r="C648" i="4" l="1"/>
  <c r="R647" i="4"/>
  <c r="B618" i="4"/>
  <c r="V618" i="4" s="1"/>
  <c r="C649" i="4" l="1"/>
  <c r="R648" i="4"/>
  <c r="B619" i="4"/>
  <c r="V619" i="4" s="1"/>
  <c r="C650" i="4" l="1"/>
  <c r="R649" i="4"/>
  <c r="B620" i="4"/>
  <c r="V620" i="4" s="1"/>
  <c r="C651" i="4" l="1"/>
  <c r="R650" i="4"/>
  <c r="B621" i="4"/>
  <c r="V621" i="4" s="1"/>
  <c r="C652" i="4" l="1"/>
  <c r="R651" i="4"/>
  <c r="B622" i="4"/>
  <c r="V622" i="4" s="1"/>
  <c r="C653" i="4" l="1"/>
  <c r="R652" i="4"/>
  <c r="B623" i="4"/>
  <c r="V623" i="4" s="1"/>
  <c r="C654" i="4" l="1"/>
  <c r="R653" i="4"/>
  <c r="B624" i="4"/>
  <c r="V624" i="4" s="1"/>
  <c r="C655" i="4" l="1"/>
  <c r="R654" i="4"/>
  <c r="B625" i="4"/>
  <c r="V625" i="4" s="1"/>
  <c r="C656" i="4" l="1"/>
  <c r="R655" i="4"/>
  <c r="B626" i="4"/>
  <c r="V626" i="4" s="1"/>
  <c r="C657" i="4" l="1"/>
  <c r="R656" i="4"/>
  <c r="B627" i="4"/>
  <c r="V627" i="4" s="1"/>
  <c r="C658" i="4" l="1"/>
  <c r="R657" i="4"/>
  <c r="B628" i="4"/>
  <c r="V628" i="4" s="1"/>
  <c r="C659" i="4" l="1"/>
  <c r="R658" i="4"/>
  <c r="B629" i="4"/>
  <c r="V629" i="4" s="1"/>
  <c r="C660" i="4" l="1"/>
  <c r="R659" i="4"/>
  <c r="B630" i="4"/>
  <c r="V630" i="4" s="1"/>
  <c r="C661" i="4" l="1"/>
  <c r="R660" i="4"/>
  <c r="B631" i="4"/>
  <c r="V631" i="4" s="1"/>
  <c r="R661" i="4" l="1"/>
  <c r="C662" i="4"/>
  <c r="B632" i="4"/>
  <c r="V632" i="4" s="1"/>
  <c r="C663" i="4" l="1"/>
  <c r="R662" i="4"/>
  <c r="B633" i="4"/>
  <c r="V633" i="4" s="1"/>
  <c r="C664" i="4" l="1"/>
  <c r="R663" i="4"/>
  <c r="B634" i="4"/>
  <c r="V634" i="4" s="1"/>
  <c r="C665" i="4" l="1"/>
  <c r="R664" i="4"/>
  <c r="B635" i="4"/>
  <c r="V635" i="4" s="1"/>
  <c r="C666" i="4" l="1"/>
  <c r="R665" i="4"/>
  <c r="B636" i="4"/>
  <c r="V636" i="4" s="1"/>
  <c r="R666" i="4" l="1"/>
  <c r="C667" i="4"/>
  <c r="B637" i="4"/>
  <c r="V637" i="4" s="1"/>
  <c r="C668" i="4" l="1"/>
  <c r="R667" i="4"/>
  <c r="B638" i="4"/>
  <c r="V638" i="4" s="1"/>
  <c r="R668" i="4" l="1"/>
  <c r="C669" i="4"/>
  <c r="B639" i="4"/>
  <c r="V639" i="4" s="1"/>
  <c r="C670" i="4" l="1"/>
  <c r="R669" i="4"/>
  <c r="B640" i="4"/>
  <c r="V640" i="4" s="1"/>
  <c r="C671" i="4" l="1"/>
  <c r="R670" i="4"/>
  <c r="B641" i="4"/>
  <c r="V641" i="4" s="1"/>
  <c r="C672" i="4" l="1"/>
  <c r="R671" i="4"/>
  <c r="B642" i="4"/>
  <c r="V642" i="4" s="1"/>
  <c r="C673" i="4" l="1"/>
  <c r="R672" i="4"/>
  <c r="B643" i="4"/>
  <c r="V643" i="4" s="1"/>
  <c r="C674" i="4" l="1"/>
  <c r="R673" i="4"/>
  <c r="B644" i="4"/>
  <c r="V644" i="4" s="1"/>
  <c r="R674" i="4" l="1"/>
  <c r="C675" i="4"/>
  <c r="B645" i="4"/>
  <c r="V645" i="4" s="1"/>
  <c r="C676" i="4" l="1"/>
  <c r="R675" i="4"/>
  <c r="B646" i="4"/>
  <c r="V646" i="4" s="1"/>
  <c r="C677" i="4" l="1"/>
  <c r="R676" i="4"/>
  <c r="B647" i="4"/>
  <c r="V647" i="4" s="1"/>
  <c r="R677" i="4" l="1"/>
  <c r="C678" i="4"/>
  <c r="B648" i="4"/>
  <c r="V648" i="4" s="1"/>
  <c r="C679" i="4" l="1"/>
  <c r="R678" i="4"/>
  <c r="B649" i="4"/>
  <c r="V649" i="4" s="1"/>
  <c r="C680" i="4" l="1"/>
  <c r="R679" i="4"/>
  <c r="B650" i="4"/>
  <c r="V650" i="4" s="1"/>
  <c r="R680" i="4" l="1"/>
  <c r="C681" i="4"/>
  <c r="B651" i="4"/>
  <c r="V651" i="4" s="1"/>
  <c r="C682" i="4" l="1"/>
  <c r="R681" i="4"/>
  <c r="B652" i="4"/>
  <c r="V652" i="4" s="1"/>
  <c r="C683" i="4" l="1"/>
  <c r="R682" i="4"/>
  <c r="B653" i="4"/>
  <c r="V653" i="4" s="1"/>
  <c r="C684" i="4" l="1"/>
  <c r="R683" i="4"/>
  <c r="B654" i="4"/>
  <c r="V654" i="4" s="1"/>
  <c r="C685" i="4" l="1"/>
  <c r="R684" i="4"/>
  <c r="B655" i="4"/>
  <c r="V655" i="4" s="1"/>
  <c r="C686" i="4" l="1"/>
  <c r="R685" i="4"/>
  <c r="B656" i="4"/>
  <c r="V656" i="4" s="1"/>
  <c r="C687" i="4" l="1"/>
  <c r="R686" i="4"/>
  <c r="B657" i="4"/>
  <c r="V657" i="4" s="1"/>
  <c r="C688" i="4" l="1"/>
  <c r="R687" i="4"/>
  <c r="B658" i="4"/>
  <c r="V658" i="4" s="1"/>
  <c r="R688" i="4" l="1"/>
  <c r="C689" i="4"/>
  <c r="B659" i="4"/>
  <c r="V659" i="4" s="1"/>
  <c r="C690" i="4" l="1"/>
  <c r="R689" i="4"/>
  <c r="B660" i="4"/>
  <c r="V660" i="4" s="1"/>
  <c r="R690" i="4" l="1"/>
  <c r="C691" i="4"/>
  <c r="B661" i="4"/>
  <c r="V661" i="4" s="1"/>
  <c r="C692" i="4" l="1"/>
  <c r="R691" i="4"/>
  <c r="B662" i="4"/>
  <c r="V662" i="4" s="1"/>
  <c r="C693" i="4" l="1"/>
  <c r="R692" i="4"/>
  <c r="B663" i="4"/>
  <c r="V663" i="4" s="1"/>
  <c r="C694" i="4" l="1"/>
  <c r="R693" i="4"/>
  <c r="B664" i="4"/>
  <c r="V664" i="4" s="1"/>
  <c r="R694" i="4" l="1"/>
  <c r="C695" i="4"/>
  <c r="B665" i="4"/>
  <c r="V665" i="4" s="1"/>
  <c r="R695" i="4" l="1"/>
  <c r="C696" i="4"/>
  <c r="B666" i="4"/>
  <c r="V666" i="4" s="1"/>
  <c r="R696" i="4" l="1"/>
  <c r="C697" i="4"/>
  <c r="B667" i="4"/>
  <c r="V667" i="4" s="1"/>
  <c r="C698" i="4" l="1"/>
  <c r="R697" i="4"/>
  <c r="B668" i="4"/>
  <c r="V668" i="4" s="1"/>
  <c r="C699" i="4" l="1"/>
  <c r="R698" i="4"/>
  <c r="B669" i="4"/>
  <c r="V669" i="4" s="1"/>
  <c r="C700" i="4" l="1"/>
  <c r="R699" i="4"/>
  <c r="B670" i="4"/>
  <c r="V670" i="4" s="1"/>
  <c r="C701" i="4" l="1"/>
  <c r="R700" i="4"/>
  <c r="B671" i="4"/>
  <c r="V671" i="4" s="1"/>
  <c r="R701" i="4" l="1"/>
  <c r="C702" i="4"/>
  <c r="B672" i="4"/>
  <c r="V672" i="4" s="1"/>
  <c r="C703" i="4" l="1"/>
  <c r="R702" i="4"/>
  <c r="B673" i="4"/>
  <c r="V673" i="4" s="1"/>
  <c r="C704" i="4" l="1"/>
  <c r="R703" i="4"/>
  <c r="B674" i="4"/>
  <c r="V674" i="4" s="1"/>
  <c r="C705" i="4" l="1"/>
  <c r="R704" i="4"/>
  <c r="B675" i="4"/>
  <c r="V675" i="4" s="1"/>
  <c r="R705" i="4" l="1"/>
  <c r="C706" i="4"/>
  <c r="B676" i="4"/>
  <c r="V676" i="4" s="1"/>
  <c r="C707" i="4" l="1"/>
  <c r="R706" i="4"/>
  <c r="B677" i="4"/>
  <c r="V677" i="4" s="1"/>
  <c r="C708" i="4" l="1"/>
  <c r="R707" i="4"/>
  <c r="B678" i="4"/>
  <c r="V678" i="4" s="1"/>
  <c r="C709" i="4" l="1"/>
  <c r="R708" i="4"/>
  <c r="B679" i="4"/>
  <c r="V679" i="4" s="1"/>
  <c r="C710" i="4" l="1"/>
  <c r="R709" i="4"/>
  <c r="B680" i="4"/>
  <c r="V680" i="4" s="1"/>
  <c r="C711" i="4" l="1"/>
  <c r="R710" i="4"/>
  <c r="B681" i="4"/>
  <c r="V681" i="4" s="1"/>
  <c r="R711" i="4" l="1"/>
  <c r="C712" i="4"/>
  <c r="B682" i="4"/>
  <c r="V682" i="4" s="1"/>
  <c r="R712" i="4" l="1"/>
  <c r="C713" i="4"/>
  <c r="B683" i="4"/>
  <c r="V683" i="4" s="1"/>
  <c r="R713" i="4" l="1"/>
  <c r="C714" i="4"/>
  <c r="B684" i="4"/>
  <c r="V684" i="4" s="1"/>
  <c r="C715" i="4" l="1"/>
  <c r="R714" i="4"/>
  <c r="B685" i="4"/>
  <c r="V685" i="4" s="1"/>
  <c r="C716" i="4" l="1"/>
  <c r="R715" i="4"/>
  <c r="B686" i="4"/>
  <c r="V686" i="4" s="1"/>
  <c r="C717" i="4" l="1"/>
  <c r="R716" i="4"/>
  <c r="B687" i="4"/>
  <c r="V687" i="4" s="1"/>
  <c r="C718" i="4" l="1"/>
  <c r="R717" i="4"/>
  <c r="B688" i="4"/>
  <c r="V688" i="4" s="1"/>
  <c r="C719" i="4" l="1"/>
  <c r="R718" i="4"/>
  <c r="B689" i="4"/>
  <c r="V689" i="4" s="1"/>
  <c r="C720" i="4" l="1"/>
  <c r="R719" i="4"/>
  <c r="B690" i="4"/>
  <c r="V690" i="4" s="1"/>
  <c r="C721" i="4" l="1"/>
  <c r="R720" i="4"/>
  <c r="B691" i="4"/>
  <c r="V691" i="4" s="1"/>
  <c r="C722" i="4" l="1"/>
  <c r="R721" i="4"/>
  <c r="B692" i="4"/>
  <c r="V692" i="4" s="1"/>
  <c r="C723" i="4" l="1"/>
  <c r="R722" i="4"/>
  <c r="B693" i="4"/>
  <c r="V693" i="4" s="1"/>
  <c r="C724" i="4" l="1"/>
  <c r="R723" i="4"/>
  <c r="B694" i="4"/>
  <c r="V694" i="4" s="1"/>
  <c r="C725" i="4" l="1"/>
  <c r="R724" i="4"/>
  <c r="B695" i="4"/>
  <c r="V695" i="4" s="1"/>
  <c r="C726" i="4" l="1"/>
  <c r="R725" i="4"/>
  <c r="B696" i="4"/>
  <c r="V696" i="4" s="1"/>
  <c r="C727" i="4" l="1"/>
  <c r="R726" i="4"/>
  <c r="B697" i="4"/>
  <c r="V697" i="4" s="1"/>
  <c r="C728" i="4" l="1"/>
  <c r="R727" i="4"/>
  <c r="B698" i="4"/>
  <c r="V698" i="4" s="1"/>
  <c r="C729" i="4" l="1"/>
  <c r="R728" i="4"/>
  <c r="B699" i="4"/>
  <c r="V699" i="4" s="1"/>
  <c r="C730" i="4" l="1"/>
  <c r="R729" i="4"/>
  <c r="B700" i="4"/>
  <c r="V700" i="4" s="1"/>
  <c r="C731" i="4" l="1"/>
  <c r="R730" i="4"/>
  <c r="B701" i="4"/>
  <c r="V701" i="4" s="1"/>
  <c r="C732" i="4" l="1"/>
  <c r="R731" i="4"/>
  <c r="B702" i="4"/>
  <c r="V702" i="4" s="1"/>
  <c r="C733" i="4" l="1"/>
  <c r="R732" i="4"/>
  <c r="B703" i="4"/>
  <c r="V703" i="4" s="1"/>
  <c r="C734" i="4" l="1"/>
  <c r="R733" i="4"/>
  <c r="B704" i="4"/>
  <c r="V704" i="4" s="1"/>
  <c r="C735" i="4" l="1"/>
  <c r="R734" i="4"/>
  <c r="B705" i="4"/>
  <c r="V705" i="4" s="1"/>
  <c r="C736" i="4" l="1"/>
  <c r="R735" i="4"/>
  <c r="B706" i="4"/>
  <c r="V706" i="4" s="1"/>
  <c r="R736" i="4" l="1"/>
  <c r="C737" i="4"/>
  <c r="B707" i="4"/>
  <c r="V707" i="4" s="1"/>
  <c r="C738" i="4" l="1"/>
  <c r="R737" i="4"/>
  <c r="B708" i="4"/>
  <c r="V708" i="4" s="1"/>
  <c r="C739" i="4" l="1"/>
  <c r="R738" i="4"/>
  <c r="B709" i="4"/>
  <c r="V709" i="4" s="1"/>
  <c r="R739" i="4" l="1"/>
  <c r="C740" i="4"/>
  <c r="B710" i="4"/>
  <c r="V710" i="4" s="1"/>
  <c r="R740" i="4" l="1"/>
  <c r="C741" i="4"/>
  <c r="B711" i="4"/>
  <c r="V711" i="4" s="1"/>
  <c r="R741" i="4" l="1"/>
  <c r="C742" i="4"/>
  <c r="B712" i="4"/>
  <c r="V712" i="4" s="1"/>
  <c r="C743" i="4" l="1"/>
  <c r="R742" i="4"/>
  <c r="B713" i="4"/>
  <c r="V713" i="4" s="1"/>
  <c r="C744" i="4" l="1"/>
  <c r="R743" i="4"/>
  <c r="B714" i="4"/>
  <c r="V714" i="4" s="1"/>
  <c r="C745" i="4" l="1"/>
  <c r="R744" i="4"/>
  <c r="B715" i="4"/>
  <c r="V715" i="4" s="1"/>
  <c r="C746" i="4" l="1"/>
  <c r="R745" i="4"/>
  <c r="B716" i="4"/>
  <c r="V716" i="4" s="1"/>
  <c r="C747" i="4" l="1"/>
  <c r="R746" i="4"/>
  <c r="B717" i="4"/>
  <c r="V717" i="4" s="1"/>
  <c r="R747" i="4" l="1"/>
  <c r="C748" i="4"/>
  <c r="B718" i="4"/>
  <c r="V718" i="4" s="1"/>
  <c r="C749" i="4" l="1"/>
  <c r="R748" i="4"/>
  <c r="B719" i="4"/>
  <c r="V719" i="4" s="1"/>
  <c r="R749" i="4" l="1"/>
  <c r="C750" i="4"/>
  <c r="B720" i="4"/>
  <c r="V720" i="4" s="1"/>
  <c r="C751" i="4" l="1"/>
  <c r="R750" i="4"/>
  <c r="B721" i="4"/>
  <c r="V721" i="4" s="1"/>
  <c r="C752" i="4" l="1"/>
  <c r="R751" i="4"/>
  <c r="B722" i="4"/>
  <c r="V722" i="4" s="1"/>
  <c r="C753" i="4" l="1"/>
  <c r="R752" i="4"/>
  <c r="B723" i="4"/>
  <c r="V723" i="4" s="1"/>
  <c r="R753" i="4" l="1"/>
  <c r="C754" i="4"/>
  <c r="B724" i="4"/>
  <c r="V724" i="4" s="1"/>
  <c r="R754" i="4" l="1"/>
  <c r="C755" i="4"/>
  <c r="B725" i="4"/>
  <c r="V725" i="4" s="1"/>
  <c r="C756" i="4" l="1"/>
  <c r="R755" i="4"/>
  <c r="B726" i="4"/>
  <c r="V726" i="4" s="1"/>
  <c r="C757" i="4" l="1"/>
  <c r="R756" i="4"/>
  <c r="B727" i="4"/>
  <c r="V727" i="4" s="1"/>
  <c r="C758" i="4" l="1"/>
  <c r="R757" i="4"/>
  <c r="B728" i="4"/>
  <c r="V728" i="4" s="1"/>
  <c r="C759" i="4" l="1"/>
  <c r="R758" i="4"/>
  <c r="B729" i="4"/>
  <c r="V729" i="4" s="1"/>
  <c r="C760" i="4" l="1"/>
  <c r="R759" i="4"/>
  <c r="B730" i="4"/>
  <c r="V730" i="4" s="1"/>
  <c r="C761" i="4" l="1"/>
  <c r="R760" i="4"/>
  <c r="B731" i="4"/>
  <c r="V731" i="4" s="1"/>
  <c r="R761" i="4" l="1"/>
  <c r="C762" i="4"/>
  <c r="B732" i="4"/>
  <c r="V732" i="4" s="1"/>
  <c r="C763" i="4" l="1"/>
  <c r="R762" i="4"/>
  <c r="B733" i="4"/>
  <c r="V733" i="4" s="1"/>
  <c r="C764" i="4" l="1"/>
  <c r="R763" i="4"/>
  <c r="B734" i="4"/>
  <c r="V734" i="4" s="1"/>
  <c r="C765" i="4" l="1"/>
  <c r="R764" i="4"/>
  <c r="B735" i="4"/>
  <c r="V735" i="4" s="1"/>
  <c r="C766" i="4" l="1"/>
  <c r="R765" i="4"/>
  <c r="B736" i="4"/>
  <c r="V736" i="4" s="1"/>
  <c r="R766" i="4" l="1"/>
  <c r="C767" i="4"/>
  <c r="B737" i="4"/>
  <c r="V737" i="4" s="1"/>
  <c r="C768" i="4" l="1"/>
  <c r="R767" i="4"/>
  <c r="B738" i="4"/>
  <c r="V738" i="4" s="1"/>
  <c r="C769" i="4" l="1"/>
  <c r="R768" i="4"/>
  <c r="B739" i="4"/>
  <c r="V739" i="4" s="1"/>
  <c r="C770" i="4" l="1"/>
  <c r="R769" i="4"/>
  <c r="B740" i="4"/>
  <c r="V740" i="4" s="1"/>
  <c r="R770" i="4" l="1"/>
  <c r="C771" i="4"/>
  <c r="B741" i="4"/>
  <c r="V741" i="4" s="1"/>
  <c r="R771" i="4" l="1"/>
  <c r="C772" i="4"/>
  <c r="B742" i="4"/>
  <c r="V742" i="4" s="1"/>
  <c r="C773" i="4" l="1"/>
  <c r="R772" i="4"/>
  <c r="B743" i="4"/>
  <c r="V743" i="4" s="1"/>
  <c r="C774" i="4" l="1"/>
  <c r="R773" i="4"/>
  <c r="B744" i="4"/>
  <c r="V744" i="4" s="1"/>
  <c r="C775" i="4" l="1"/>
  <c r="R774" i="4"/>
  <c r="B745" i="4"/>
  <c r="V745" i="4" s="1"/>
  <c r="C776" i="4" l="1"/>
  <c r="R775" i="4"/>
  <c r="B746" i="4"/>
  <c r="V746" i="4" s="1"/>
  <c r="C777" i="4" l="1"/>
  <c r="R776" i="4"/>
  <c r="B747" i="4"/>
  <c r="V747" i="4" s="1"/>
  <c r="C778" i="4" l="1"/>
  <c r="R777" i="4"/>
  <c r="B748" i="4"/>
  <c r="V748" i="4" s="1"/>
  <c r="R778" i="4" l="1"/>
  <c r="C779" i="4"/>
  <c r="B749" i="4"/>
  <c r="V749" i="4" s="1"/>
  <c r="C780" i="4" l="1"/>
  <c r="R779" i="4"/>
  <c r="B750" i="4"/>
  <c r="V750" i="4" s="1"/>
  <c r="C781" i="4" l="1"/>
  <c r="R780" i="4"/>
  <c r="B751" i="4"/>
  <c r="B752" i="4" s="1"/>
  <c r="V752" i="4" s="1"/>
  <c r="R781" i="4" l="1"/>
  <c r="C782" i="4"/>
  <c r="V751" i="4"/>
  <c r="B753" i="4"/>
  <c r="V753" i="4" s="1"/>
  <c r="C783" i="4" l="1"/>
  <c r="R782" i="4"/>
  <c r="B754" i="4"/>
  <c r="V754" i="4" s="1"/>
  <c r="C784" i="4" l="1"/>
  <c r="R783" i="4"/>
  <c r="B755" i="4"/>
  <c r="V755" i="4" s="1"/>
  <c r="C785" i="4" l="1"/>
  <c r="R784" i="4"/>
  <c r="B756" i="4"/>
  <c r="V756" i="4" s="1"/>
  <c r="C786" i="4" l="1"/>
  <c r="R785" i="4"/>
  <c r="B757" i="4"/>
  <c r="V757" i="4" s="1"/>
  <c r="C787" i="4" l="1"/>
  <c r="R786" i="4"/>
  <c r="B758" i="4"/>
  <c r="V758" i="4" s="1"/>
  <c r="C788" i="4" l="1"/>
  <c r="R787" i="4"/>
  <c r="B759" i="4"/>
  <c r="V759" i="4" s="1"/>
  <c r="C789" i="4" l="1"/>
  <c r="R788" i="4"/>
  <c r="B760" i="4"/>
  <c r="V760" i="4" s="1"/>
  <c r="C790" i="4" l="1"/>
  <c r="R789" i="4"/>
  <c r="B761" i="4"/>
  <c r="V761" i="4" s="1"/>
  <c r="C791" i="4" l="1"/>
  <c r="R790" i="4"/>
  <c r="B762" i="4"/>
  <c r="V762" i="4" s="1"/>
  <c r="C792" i="4" l="1"/>
  <c r="R791" i="4"/>
  <c r="B763" i="4"/>
  <c r="V763" i="4" s="1"/>
  <c r="C793" i="4" l="1"/>
  <c r="R792" i="4"/>
  <c r="B764" i="4"/>
  <c r="V764" i="4" s="1"/>
  <c r="C794" i="4" l="1"/>
  <c r="R793" i="4"/>
  <c r="B765" i="4"/>
  <c r="V765" i="4" s="1"/>
  <c r="C795" i="4" l="1"/>
  <c r="R794" i="4"/>
  <c r="B766" i="4"/>
  <c r="V766" i="4" s="1"/>
  <c r="C796" i="4" l="1"/>
  <c r="R795" i="4"/>
  <c r="B767" i="4"/>
  <c r="V767" i="4" s="1"/>
  <c r="C797" i="4" l="1"/>
  <c r="R796" i="4"/>
  <c r="B768" i="4"/>
  <c r="V768" i="4" s="1"/>
  <c r="C798" i="4" l="1"/>
  <c r="R797" i="4"/>
  <c r="B769" i="4"/>
  <c r="V769" i="4" s="1"/>
  <c r="C799" i="4" l="1"/>
  <c r="R798" i="4"/>
  <c r="B770" i="4"/>
  <c r="V770" i="4" s="1"/>
  <c r="C800" i="4" l="1"/>
  <c r="R799" i="4"/>
  <c r="B771" i="4"/>
  <c r="V771" i="4" s="1"/>
  <c r="C801" i="4" l="1"/>
  <c r="R800" i="4"/>
  <c r="B772" i="4"/>
  <c r="V772" i="4" s="1"/>
  <c r="C802" i="4" l="1"/>
  <c r="R801" i="4"/>
  <c r="B773" i="4"/>
  <c r="V773" i="4" s="1"/>
  <c r="C803" i="4" l="1"/>
  <c r="R802" i="4"/>
  <c r="B774" i="4"/>
  <c r="V774" i="4" s="1"/>
  <c r="C804" i="4" l="1"/>
  <c r="R803" i="4"/>
  <c r="B775" i="4"/>
  <c r="V775" i="4" s="1"/>
  <c r="C805" i="4" l="1"/>
  <c r="R804" i="4"/>
  <c r="B776" i="4"/>
  <c r="V776" i="4" s="1"/>
  <c r="C806" i="4" l="1"/>
  <c r="R805" i="4"/>
  <c r="B777" i="4"/>
  <c r="V777" i="4" s="1"/>
  <c r="C807" i="4" l="1"/>
  <c r="R806" i="4"/>
  <c r="B778" i="4"/>
  <c r="V778" i="4" s="1"/>
  <c r="C808" i="4" l="1"/>
  <c r="R807" i="4"/>
  <c r="B779" i="4"/>
  <c r="V779" i="4" s="1"/>
  <c r="C809" i="4" l="1"/>
  <c r="R808" i="4"/>
  <c r="B780" i="4"/>
  <c r="V780" i="4" s="1"/>
  <c r="C810" i="4" l="1"/>
  <c r="R809" i="4"/>
  <c r="B781" i="4"/>
  <c r="V781" i="4" s="1"/>
  <c r="C811" i="4" l="1"/>
  <c r="R810" i="4"/>
  <c r="B782" i="4"/>
  <c r="V782" i="4" s="1"/>
  <c r="C812" i="4" l="1"/>
  <c r="R811" i="4"/>
  <c r="B783" i="4"/>
  <c r="V783" i="4" s="1"/>
  <c r="C813" i="4" l="1"/>
  <c r="R812" i="4"/>
  <c r="B784" i="4"/>
  <c r="V784" i="4" s="1"/>
  <c r="C814" i="4" l="1"/>
  <c r="R813" i="4"/>
  <c r="B785" i="4"/>
  <c r="V785" i="4" s="1"/>
  <c r="C815" i="4" l="1"/>
  <c r="R814" i="4"/>
  <c r="B786" i="4"/>
  <c r="V786" i="4" s="1"/>
  <c r="C816" i="4" l="1"/>
  <c r="R815" i="4"/>
  <c r="B787" i="4"/>
  <c r="V787" i="4" s="1"/>
  <c r="R816" i="4" l="1"/>
  <c r="C817" i="4"/>
  <c r="B788" i="4"/>
  <c r="V788" i="4" s="1"/>
  <c r="R817" i="4" l="1"/>
  <c r="C818" i="4"/>
  <c r="B789" i="4"/>
  <c r="V789" i="4" s="1"/>
  <c r="C819" i="4" l="1"/>
  <c r="R818" i="4"/>
  <c r="B790" i="4"/>
  <c r="V790" i="4" s="1"/>
  <c r="R819" i="4" l="1"/>
  <c r="C820" i="4"/>
  <c r="B791" i="4"/>
  <c r="V791" i="4" s="1"/>
  <c r="R820" i="4" l="1"/>
  <c r="C821" i="4"/>
  <c r="B792" i="4"/>
  <c r="V792" i="4" s="1"/>
  <c r="C822" i="4" l="1"/>
  <c r="R821" i="4"/>
  <c r="B793" i="4"/>
  <c r="V793" i="4" s="1"/>
  <c r="C823" i="4" l="1"/>
  <c r="R822" i="4"/>
  <c r="B794" i="4"/>
  <c r="V794" i="4" s="1"/>
  <c r="C824" i="4" l="1"/>
  <c r="R823" i="4"/>
  <c r="B795" i="4"/>
  <c r="V795" i="4" s="1"/>
  <c r="R824" i="4" l="1"/>
  <c r="C825" i="4"/>
  <c r="B796" i="4"/>
  <c r="V796" i="4" s="1"/>
  <c r="C826" i="4" l="1"/>
  <c r="R825" i="4"/>
  <c r="B797" i="4"/>
  <c r="V797" i="4" s="1"/>
  <c r="R826" i="4" l="1"/>
  <c r="C827" i="4"/>
  <c r="B798" i="4"/>
  <c r="V798" i="4" s="1"/>
  <c r="C828" i="4" l="1"/>
  <c r="R827" i="4"/>
  <c r="B799" i="4"/>
  <c r="V799" i="4" s="1"/>
  <c r="C829" i="4" l="1"/>
  <c r="R828" i="4"/>
  <c r="B800" i="4"/>
  <c r="V800" i="4" s="1"/>
  <c r="C830" i="4" l="1"/>
  <c r="R829" i="4"/>
  <c r="B801" i="4"/>
  <c r="V801" i="4" s="1"/>
  <c r="R830" i="4" l="1"/>
  <c r="C831" i="4"/>
  <c r="B802" i="4"/>
  <c r="V802" i="4" s="1"/>
  <c r="R831" i="4" l="1"/>
  <c r="C832" i="4"/>
  <c r="B803" i="4"/>
  <c r="V803" i="4" s="1"/>
  <c r="C833" i="4" l="1"/>
  <c r="R832" i="4"/>
  <c r="B804" i="4"/>
  <c r="V804" i="4" s="1"/>
  <c r="C834" i="4" l="1"/>
  <c r="R833" i="4"/>
  <c r="B805" i="4"/>
  <c r="V805" i="4" s="1"/>
  <c r="C835" i="4" l="1"/>
  <c r="R834" i="4"/>
  <c r="B806" i="4"/>
  <c r="V806" i="4" s="1"/>
  <c r="C836" i="4" l="1"/>
  <c r="R835" i="4"/>
  <c r="B807" i="4"/>
  <c r="V807" i="4" s="1"/>
  <c r="R836" i="4" l="1"/>
  <c r="C837" i="4"/>
  <c r="B808" i="4"/>
  <c r="V808" i="4" s="1"/>
  <c r="C838" i="4" l="1"/>
  <c r="R837" i="4"/>
  <c r="B809" i="4"/>
  <c r="V809" i="4" s="1"/>
  <c r="R838" i="4" l="1"/>
  <c r="C839" i="4"/>
  <c r="B810" i="4"/>
  <c r="V810" i="4" s="1"/>
  <c r="C840" i="4" l="1"/>
  <c r="R839" i="4"/>
  <c r="B811" i="4"/>
  <c r="V811" i="4" s="1"/>
  <c r="C841" i="4" l="1"/>
  <c r="R840" i="4"/>
  <c r="B812" i="4"/>
  <c r="V812" i="4" s="1"/>
  <c r="C842" i="4" l="1"/>
  <c r="R841" i="4"/>
  <c r="B813" i="4"/>
  <c r="V813" i="4" s="1"/>
  <c r="C843" i="4" l="1"/>
  <c r="R842" i="4"/>
  <c r="B814" i="4"/>
  <c r="V814" i="4" s="1"/>
  <c r="C844" i="4" l="1"/>
  <c r="R843" i="4"/>
  <c r="B815" i="4"/>
  <c r="V815" i="4" s="1"/>
  <c r="R844" i="4" l="1"/>
  <c r="C845" i="4"/>
  <c r="B816" i="4"/>
  <c r="V816" i="4" s="1"/>
  <c r="C846" i="4" l="1"/>
  <c r="R845" i="4"/>
  <c r="B817" i="4"/>
  <c r="V817" i="4" s="1"/>
  <c r="R846" i="4" l="1"/>
  <c r="C847" i="4"/>
  <c r="B818" i="4"/>
  <c r="V818" i="4" s="1"/>
  <c r="C848" i="4" l="1"/>
  <c r="R847" i="4"/>
  <c r="B819" i="4"/>
  <c r="V819" i="4" s="1"/>
  <c r="R848" i="4" l="1"/>
  <c r="C849" i="4"/>
  <c r="B820" i="4"/>
  <c r="V820" i="4" s="1"/>
  <c r="C850" i="4" l="1"/>
  <c r="R849" i="4"/>
  <c r="B821" i="4"/>
  <c r="V821" i="4" s="1"/>
  <c r="C851" i="4" l="1"/>
  <c r="R850" i="4"/>
  <c r="B822" i="4"/>
  <c r="V822" i="4" s="1"/>
  <c r="C852" i="4" l="1"/>
  <c r="R851" i="4"/>
  <c r="B823" i="4"/>
  <c r="V823" i="4" s="1"/>
  <c r="C853" i="4" l="1"/>
  <c r="R852" i="4"/>
  <c r="B824" i="4"/>
  <c r="V824" i="4" s="1"/>
  <c r="C854" i="4" l="1"/>
  <c r="R853" i="4"/>
  <c r="B825" i="4"/>
  <c r="V825" i="4" s="1"/>
  <c r="C855" i="4" l="1"/>
  <c r="R854" i="4"/>
  <c r="B826" i="4"/>
  <c r="V826" i="4" s="1"/>
  <c r="C856" i="4" l="1"/>
  <c r="R855" i="4"/>
  <c r="B827" i="4"/>
  <c r="V827" i="4" s="1"/>
  <c r="C857" i="4" l="1"/>
  <c r="R856" i="4"/>
  <c r="B828" i="4"/>
  <c r="V828" i="4" s="1"/>
  <c r="C858" i="4" l="1"/>
  <c r="R857" i="4"/>
  <c r="B829" i="4"/>
  <c r="V829" i="4" s="1"/>
  <c r="C859" i="4" l="1"/>
  <c r="R858" i="4"/>
  <c r="B830" i="4"/>
  <c r="V830" i="4" s="1"/>
  <c r="C860" i="4" l="1"/>
  <c r="R859" i="4"/>
  <c r="B831" i="4"/>
  <c r="V831" i="4" s="1"/>
  <c r="C861" i="4" l="1"/>
  <c r="R860" i="4"/>
  <c r="B832" i="4"/>
  <c r="V832" i="4" s="1"/>
  <c r="C862" i="4" l="1"/>
  <c r="R861" i="4"/>
  <c r="B833" i="4"/>
  <c r="V833" i="4" s="1"/>
  <c r="C863" i="4" l="1"/>
  <c r="R862" i="4"/>
  <c r="B834" i="4"/>
  <c r="V834" i="4" s="1"/>
  <c r="C864" i="4" l="1"/>
  <c r="R863" i="4"/>
  <c r="B835" i="4"/>
  <c r="V835" i="4" s="1"/>
  <c r="C865" i="4" l="1"/>
  <c r="R864" i="4"/>
  <c r="B836" i="4"/>
  <c r="V836" i="4" s="1"/>
  <c r="C866" i="4" l="1"/>
  <c r="R865" i="4"/>
  <c r="B837" i="4"/>
  <c r="V837" i="4" s="1"/>
  <c r="C867" i="4" l="1"/>
  <c r="R866" i="4"/>
  <c r="B838" i="4"/>
  <c r="V838" i="4" s="1"/>
  <c r="C868" i="4" l="1"/>
  <c r="R867" i="4"/>
  <c r="B839" i="4"/>
  <c r="V839" i="4" s="1"/>
  <c r="C869" i="4" l="1"/>
  <c r="R868" i="4"/>
  <c r="B840" i="4"/>
  <c r="V840" i="4" s="1"/>
  <c r="C870" i="4" l="1"/>
  <c r="R869" i="4"/>
  <c r="B841" i="4"/>
  <c r="V841" i="4" s="1"/>
  <c r="C871" i="4" l="1"/>
  <c r="R870" i="4"/>
  <c r="B842" i="4"/>
  <c r="V842" i="4" s="1"/>
  <c r="C872" i="4" l="1"/>
  <c r="R871" i="4"/>
  <c r="B843" i="4"/>
  <c r="V843" i="4" s="1"/>
  <c r="C873" i="4" l="1"/>
  <c r="R872" i="4"/>
  <c r="B844" i="4"/>
  <c r="V844" i="4" s="1"/>
  <c r="C874" i="4" l="1"/>
  <c r="R873" i="4"/>
  <c r="B845" i="4"/>
  <c r="V845" i="4" s="1"/>
  <c r="C875" i="4" l="1"/>
  <c r="R874" i="4"/>
  <c r="B846" i="4"/>
  <c r="V846" i="4" s="1"/>
  <c r="C876" i="4" l="1"/>
  <c r="R875" i="4"/>
  <c r="B847" i="4"/>
  <c r="V847" i="4" s="1"/>
  <c r="C877" i="4" l="1"/>
  <c r="R876" i="4"/>
  <c r="B848" i="4"/>
  <c r="V848" i="4" s="1"/>
  <c r="C878" i="4" l="1"/>
  <c r="R877" i="4"/>
  <c r="B849" i="4"/>
  <c r="V849" i="4" s="1"/>
  <c r="C879" i="4" l="1"/>
  <c r="R878" i="4"/>
  <c r="B850" i="4"/>
  <c r="V850" i="4" s="1"/>
  <c r="C880" i="4" l="1"/>
  <c r="R879" i="4"/>
  <c r="B851" i="4"/>
  <c r="V851" i="4" s="1"/>
  <c r="C881" i="4" l="1"/>
  <c r="R880" i="4"/>
  <c r="B852" i="4"/>
  <c r="V852" i="4" s="1"/>
  <c r="C882" i="4" l="1"/>
  <c r="R881" i="4"/>
  <c r="B853" i="4"/>
  <c r="V853" i="4" s="1"/>
  <c r="C883" i="4" l="1"/>
  <c r="R882" i="4"/>
  <c r="B854" i="4"/>
  <c r="V854" i="4" s="1"/>
  <c r="C884" i="4" l="1"/>
  <c r="R883" i="4"/>
  <c r="B855" i="4"/>
  <c r="V855" i="4" s="1"/>
  <c r="C885" i="4" l="1"/>
  <c r="R884" i="4"/>
  <c r="B856" i="4"/>
  <c r="V856" i="4" s="1"/>
  <c r="C886" i="4" l="1"/>
  <c r="R885" i="4"/>
  <c r="B857" i="4"/>
  <c r="V857" i="4" s="1"/>
  <c r="C887" i="4" l="1"/>
  <c r="R886" i="4"/>
  <c r="B858" i="4"/>
  <c r="V858" i="4" s="1"/>
  <c r="C888" i="4" l="1"/>
  <c r="R887" i="4"/>
  <c r="B859" i="4"/>
  <c r="V859" i="4" s="1"/>
  <c r="C889" i="4" l="1"/>
  <c r="R888" i="4"/>
  <c r="B860" i="4"/>
  <c r="V860" i="4" s="1"/>
  <c r="C890" i="4" l="1"/>
  <c r="R889" i="4"/>
  <c r="B861" i="4"/>
  <c r="V861" i="4" s="1"/>
  <c r="C891" i="4" l="1"/>
  <c r="R890" i="4"/>
  <c r="B862" i="4"/>
  <c r="V862" i="4" s="1"/>
  <c r="B863" i="4"/>
  <c r="V863" i="4" s="1"/>
  <c r="R891" i="4" l="1"/>
  <c r="C892" i="4"/>
  <c r="B864" i="4"/>
  <c r="V864" i="4" s="1"/>
  <c r="C893" i="4" l="1"/>
  <c r="R892" i="4"/>
  <c r="B865" i="4"/>
  <c r="V865" i="4" s="1"/>
  <c r="C894" i="4" l="1"/>
  <c r="R893" i="4"/>
  <c r="B866" i="4"/>
  <c r="V866" i="4" s="1"/>
  <c r="C895" i="4" l="1"/>
  <c r="R894" i="4"/>
  <c r="B867" i="4"/>
  <c r="V867" i="4" s="1"/>
  <c r="C896" i="4" l="1"/>
  <c r="R895" i="4"/>
  <c r="B868" i="4"/>
  <c r="V868" i="4" s="1"/>
  <c r="C897" i="4" l="1"/>
  <c r="R896" i="4"/>
  <c r="B869" i="4"/>
  <c r="V869" i="4" s="1"/>
  <c r="C898" i="4" l="1"/>
  <c r="R897" i="4"/>
  <c r="B870" i="4"/>
  <c r="V870" i="4" s="1"/>
  <c r="C899" i="4" l="1"/>
  <c r="R898" i="4"/>
  <c r="B871" i="4"/>
  <c r="V871" i="4" s="1"/>
  <c r="R899" i="4" l="1"/>
  <c r="C900" i="4"/>
  <c r="B872" i="4"/>
  <c r="V872" i="4" s="1"/>
  <c r="C901" i="4" l="1"/>
  <c r="R900" i="4"/>
  <c r="B873" i="4"/>
  <c r="V873" i="4" s="1"/>
  <c r="C902" i="4" l="1"/>
  <c r="R901" i="4"/>
  <c r="B874" i="4"/>
  <c r="V874" i="4" s="1"/>
  <c r="R902" i="4" l="1"/>
  <c r="C903" i="4"/>
  <c r="B875" i="4"/>
  <c r="V875" i="4" s="1"/>
  <c r="R903" i="4" l="1"/>
  <c r="C904" i="4"/>
  <c r="B876" i="4"/>
  <c r="V876" i="4" s="1"/>
  <c r="C905" i="4" l="1"/>
  <c r="R904" i="4"/>
  <c r="B877" i="4"/>
  <c r="V877" i="4" s="1"/>
  <c r="R905" i="4" l="1"/>
  <c r="C906" i="4"/>
  <c r="B878" i="4"/>
  <c r="V878" i="4" s="1"/>
  <c r="R906" i="4" l="1"/>
  <c r="C907" i="4"/>
  <c r="B879" i="4"/>
  <c r="V879" i="4" s="1"/>
  <c r="C908" i="4" l="1"/>
  <c r="R907" i="4"/>
  <c r="B880" i="4"/>
  <c r="V880" i="4" s="1"/>
  <c r="C909" i="4" l="1"/>
  <c r="R908" i="4"/>
  <c r="B881" i="4"/>
  <c r="V881" i="4" s="1"/>
  <c r="C910" i="4" l="1"/>
  <c r="R909" i="4"/>
  <c r="B882" i="4"/>
  <c r="V882" i="4" s="1"/>
  <c r="C911" i="4" l="1"/>
  <c r="R910" i="4"/>
  <c r="B883" i="4"/>
  <c r="V883" i="4" s="1"/>
  <c r="C912" i="4" l="1"/>
  <c r="R911" i="4"/>
  <c r="B884" i="4"/>
  <c r="V884" i="4" s="1"/>
  <c r="R912" i="4" l="1"/>
  <c r="C913" i="4"/>
  <c r="B885" i="4"/>
  <c r="V885" i="4" s="1"/>
  <c r="R913" i="4" l="1"/>
  <c r="C914" i="4"/>
  <c r="B886" i="4"/>
  <c r="V886" i="4" s="1"/>
  <c r="R914" i="4" l="1"/>
  <c r="C915" i="4"/>
  <c r="B887" i="4"/>
  <c r="V887" i="4" s="1"/>
  <c r="C916" i="4" l="1"/>
  <c r="R915" i="4"/>
  <c r="B888" i="4"/>
  <c r="V888" i="4" s="1"/>
  <c r="R916" i="4" l="1"/>
  <c r="C917" i="4"/>
  <c r="B889" i="4"/>
  <c r="V889" i="4" s="1"/>
  <c r="R917" i="4" l="1"/>
  <c r="C918" i="4"/>
  <c r="B890" i="4"/>
  <c r="V890" i="4" s="1"/>
  <c r="R918" i="4" l="1"/>
  <c r="C919" i="4"/>
  <c r="B891" i="4"/>
  <c r="V891" i="4" s="1"/>
  <c r="C920" i="4" l="1"/>
  <c r="R919" i="4"/>
  <c r="B892" i="4"/>
  <c r="V892" i="4" s="1"/>
  <c r="C921" i="4" l="1"/>
  <c r="R920" i="4"/>
  <c r="B893" i="4"/>
  <c r="V893" i="4" s="1"/>
  <c r="C922" i="4" l="1"/>
  <c r="R921" i="4"/>
  <c r="B894" i="4"/>
  <c r="V894" i="4" s="1"/>
  <c r="C923" i="4" l="1"/>
  <c r="R922" i="4"/>
  <c r="B895" i="4"/>
  <c r="V895" i="4" s="1"/>
  <c r="C924" i="4" l="1"/>
  <c r="R923" i="4"/>
  <c r="B896" i="4"/>
  <c r="V896" i="4" s="1"/>
  <c r="C925" i="4" l="1"/>
  <c r="R924" i="4"/>
  <c r="B897" i="4"/>
  <c r="V897" i="4" s="1"/>
  <c r="C926" i="4" l="1"/>
  <c r="R925" i="4"/>
  <c r="B898" i="4"/>
  <c r="V898" i="4" s="1"/>
  <c r="C927" i="4" l="1"/>
  <c r="R926" i="4"/>
  <c r="B899" i="4"/>
  <c r="V899" i="4" s="1"/>
  <c r="C928" i="4" l="1"/>
  <c r="R927" i="4"/>
  <c r="B900" i="4"/>
  <c r="V900" i="4" s="1"/>
  <c r="C929" i="4" l="1"/>
  <c r="R928" i="4"/>
  <c r="B901" i="4"/>
  <c r="V901" i="4" s="1"/>
  <c r="C930" i="4" l="1"/>
  <c r="R929" i="4"/>
  <c r="B902" i="4"/>
  <c r="V902" i="4" s="1"/>
  <c r="C931" i="4" l="1"/>
  <c r="R930" i="4"/>
  <c r="B903" i="4"/>
  <c r="V903" i="4" s="1"/>
  <c r="C932" i="4" l="1"/>
  <c r="R931" i="4"/>
  <c r="B904" i="4"/>
  <c r="V904" i="4" s="1"/>
  <c r="R932" i="4" l="1"/>
  <c r="C933" i="4"/>
  <c r="B905" i="4"/>
  <c r="V905" i="4" s="1"/>
  <c r="C934" i="4" l="1"/>
  <c r="R933" i="4"/>
  <c r="B906" i="4"/>
  <c r="V906" i="4" s="1"/>
  <c r="C935" i="4" l="1"/>
  <c r="R934" i="4"/>
  <c r="B907" i="4"/>
  <c r="V907" i="4" s="1"/>
  <c r="R935" i="4" l="1"/>
  <c r="C936" i="4"/>
  <c r="B908" i="4"/>
  <c r="V908" i="4" s="1"/>
  <c r="R936" i="4" l="1"/>
  <c r="C937" i="4"/>
  <c r="B909" i="4"/>
  <c r="V909" i="4" s="1"/>
  <c r="C938" i="4" l="1"/>
  <c r="R937" i="4"/>
  <c r="B910" i="4"/>
  <c r="V910" i="4" s="1"/>
  <c r="C939" i="4" l="1"/>
  <c r="R938" i="4"/>
  <c r="B911" i="4"/>
  <c r="V911" i="4" s="1"/>
  <c r="R939" i="4" l="1"/>
  <c r="C940" i="4"/>
  <c r="B912" i="4"/>
  <c r="V912" i="4" s="1"/>
  <c r="C941" i="4" l="1"/>
  <c r="R940" i="4"/>
  <c r="B913" i="4"/>
  <c r="V913" i="4" s="1"/>
  <c r="C942" i="4" l="1"/>
  <c r="R941" i="4"/>
  <c r="B914" i="4"/>
  <c r="V914" i="4" s="1"/>
  <c r="R942" i="4" l="1"/>
  <c r="C943" i="4"/>
  <c r="B915" i="4"/>
  <c r="V915" i="4" s="1"/>
  <c r="C944" i="4" l="1"/>
  <c r="R943" i="4"/>
  <c r="B916" i="4"/>
  <c r="V916" i="4" s="1"/>
  <c r="R944" i="4" l="1"/>
  <c r="C945" i="4"/>
  <c r="B917" i="4"/>
  <c r="V917" i="4" s="1"/>
  <c r="C946" i="4" l="1"/>
  <c r="R945" i="4"/>
  <c r="B918" i="4"/>
  <c r="V918" i="4" s="1"/>
  <c r="C947" i="4" l="1"/>
  <c r="R946" i="4"/>
  <c r="B919" i="4"/>
  <c r="V919" i="4" s="1"/>
  <c r="C948" i="4" l="1"/>
  <c r="R947" i="4"/>
  <c r="B920" i="4"/>
  <c r="V920" i="4" s="1"/>
  <c r="C949" i="4" l="1"/>
  <c r="R948" i="4"/>
  <c r="B921" i="4"/>
  <c r="V921" i="4" s="1"/>
  <c r="R949" i="4" l="1"/>
  <c r="C950" i="4"/>
  <c r="B922" i="4"/>
  <c r="V922" i="4" s="1"/>
  <c r="R950" i="4" l="1"/>
  <c r="C951" i="4"/>
  <c r="B923" i="4"/>
  <c r="V923" i="4" s="1"/>
  <c r="C952" i="4" l="1"/>
  <c r="R951" i="4"/>
  <c r="B924" i="4"/>
  <c r="V924" i="4" s="1"/>
  <c r="C953" i="4" l="1"/>
  <c r="R952" i="4"/>
  <c r="B925" i="4"/>
  <c r="V925" i="4" s="1"/>
  <c r="C954" i="4" l="1"/>
  <c r="R953" i="4"/>
  <c r="B926" i="4"/>
  <c r="V926" i="4" s="1"/>
  <c r="C955" i="4" l="1"/>
  <c r="R954" i="4"/>
  <c r="B927" i="4"/>
  <c r="V927" i="4" s="1"/>
  <c r="C956" i="4" l="1"/>
  <c r="R955" i="4"/>
  <c r="B928" i="4"/>
  <c r="V928" i="4" s="1"/>
  <c r="C957" i="4" l="1"/>
  <c r="R956" i="4"/>
  <c r="B929" i="4"/>
  <c r="V929" i="4" s="1"/>
  <c r="C958" i="4" l="1"/>
  <c r="R957" i="4"/>
  <c r="B930" i="4"/>
  <c r="V930" i="4" s="1"/>
  <c r="R958" i="4" l="1"/>
  <c r="C959" i="4"/>
  <c r="B931" i="4"/>
  <c r="V931" i="4" s="1"/>
  <c r="R959" i="4" l="1"/>
  <c r="C960" i="4"/>
  <c r="B932" i="4"/>
  <c r="V932" i="4" s="1"/>
  <c r="R960" i="4" l="1"/>
  <c r="C961" i="4"/>
  <c r="B933" i="4"/>
  <c r="V933" i="4" s="1"/>
  <c r="R961" i="4" l="1"/>
  <c r="C962" i="4"/>
  <c r="B934" i="4"/>
  <c r="V934" i="4" s="1"/>
  <c r="C963" i="4" l="1"/>
  <c r="R962" i="4"/>
  <c r="B935" i="4"/>
  <c r="V935" i="4" s="1"/>
  <c r="C964" i="4" l="1"/>
  <c r="R963" i="4"/>
  <c r="B936" i="4"/>
  <c r="V936" i="4" s="1"/>
  <c r="C965" i="4" l="1"/>
  <c r="R964" i="4"/>
  <c r="B937" i="4"/>
  <c r="V937" i="4" s="1"/>
  <c r="C966" i="4" l="1"/>
  <c r="R965" i="4"/>
  <c r="B938" i="4"/>
  <c r="V938" i="4" s="1"/>
  <c r="C967" i="4" l="1"/>
  <c r="R966" i="4"/>
  <c r="B939" i="4"/>
  <c r="V939" i="4" s="1"/>
  <c r="C968" i="4" l="1"/>
  <c r="R967" i="4"/>
  <c r="B940" i="4"/>
  <c r="V940" i="4" s="1"/>
  <c r="C969" i="4" l="1"/>
  <c r="R968" i="4"/>
  <c r="B941" i="4"/>
  <c r="V941" i="4" s="1"/>
  <c r="C970" i="4" l="1"/>
  <c r="R969" i="4"/>
  <c r="B942" i="4"/>
  <c r="V942" i="4" s="1"/>
  <c r="C971" i="4" l="1"/>
  <c r="R970" i="4"/>
  <c r="B943" i="4"/>
  <c r="V943" i="4" s="1"/>
  <c r="R971" i="4" l="1"/>
  <c r="C972" i="4"/>
  <c r="B944" i="4"/>
  <c r="V944" i="4" s="1"/>
  <c r="C973" i="4" l="1"/>
  <c r="R972" i="4"/>
  <c r="B945" i="4"/>
  <c r="V945" i="4" s="1"/>
  <c r="C974" i="4" l="1"/>
  <c r="R973" i="4"/>
  <c r="B946" i="4"/>
  <c r="V946" i="4" s="1"/>
  <c r="C975" i="4" l="1"/>
  <c r="R974" i="4"/>
  <c r="B947" i="4"/>
  <c r="V947" i="4" s="1"/>
  <c r="C976" i="4" l="1"/>
  <c r="R975" i="4"/>
  <c r="B948" i="4"/>
  <c r="V948" i="4" s="1"/>
  <c r="C977" i="4" l="1"/>
  <c r="R976" i="4"/>
  <c r="B949" i="4"/>
  <c r="V949" i="4" s="1"/>
  <c r="C978" i="4" l="1"/>
  <c r="R977" i="4"/>
  <c r="B950" i="4"/>
  <c r="V950" i="4" s="1"/>
  <c r="C979" i="4" l="1"/>
  <c r="R978" i="4"/>
  <c r="B951" i="4"/>
  <c r="V951" i="4" s="1"/>
  <c r="C980" i="4" l="1"/>
  <c r="R979" i="4"/>
  <c r="B952" i="4"/>
  <c r="V952" i="4" s="1"/>
  <c r="C981" i="4" l="1"/>
  <c r="R980" i="4"/>
  <c r="B953" i="4"/>
  <c r="V953" i="4" s="1"/>
  <c r="R981" i="4" l="1"/>
  <c r="C982" i="4"/>
  <c r="B954" i="4"/>
  <c r="V954" i="4" s="1"/>
  <c r="C983" i="4" l="1"/>
  <c r="R982" i="4"/>
  <c r="B955" i="4"/>
  <c r="V955" i="4" s="1"/>
  <c r="C984" i="4" l="1"/>
  <c r="R983" i="4"/>
  <c r="B956" i="4"/>
  <c r="V956" i="4" s="1"/>
  <c r="R984" i="4" l="1"/>
  <c r="C985" i="4"/>
  <c r="B957" i="4"/>
  <c r="V957" i="4" s="1"/>
  <c r="R985" i="4" l="1"/>
  <c r="C986" i="4"/>
  <c r="B958" i="4"/>
  <c r="V958" i="4" s="1"/>
  <c r="C987" i="4" l="1"/>
  <c r="R986" i="4"/>
  <c r="B959" i="4"/>
  <c r="V959" i="4" s="1"/>
  <c r="C988" i="4" l="1"/>
  <c r="R987" i="4"/>
  <c r="B960" i="4"/>
  <c r="V960" i="4" s="1"/>
  <c r="C989" i="4" l="1"/>
  <c r="R988" i="4"/>
  <c r="B961" i="4"/>
  <c r="V961" i="4" s="1"/>
  <c r="C990" i="4" l="1"/>
  <c r="R989" i="4"/>
  <c r="B962" i="4"/>
  <c r="V962" i="4" s="1"/>
  <c r="C991" i="4" l="1"/>
  <c r="R990" i="4"/>
  <c r="B963" i="4"/>
  <c r="V963" i="4" s="1"/>
  <c r="C992" i="4" l="1"/>
  <c r="R991" i="4"/>
  <c r="B964" i="4"/>
  <c r="V964" i="4" s="1"/>
  <c r="C993" i="4" l="1"/>
  <c r="R992" i="4"/>
  <c r="B965" i="4"/>
  <c r="V965" i="4" s="1"/>
  <c r="C994" i="4" l="1"/>
  <c r="R993" i="4"/>
  <c r="B966" i="4"/>
  <c r="V966" i="4" s="1"/>
  <c r="C995" i="4" l="1"/>
  <c r="R994" i="4"/>
  <c r="B967" i="4"/>
  <c r="V967" i="4" s="1"/>
  <c r="C996" i="4" l="1"/>
  <c r="R995" i="4"/>
  <c r="B968" i="4"/>
  <c r="V968" i="4" s="1"/>
  <c r="R996" i="4" l="1"/>
  <c r="C997" i="4"/>
  <c r="B969" i="4"/>
  <c r="V969" i="4" s="1"/>
  <c r="C998" i="4" l="1"/>
  <c r="R997" i="4"/>
  <c r="B970" i="4"/>
  <c r="V970" i="4" s="1"/>
  <c r="R998" i="4" l="1"/>
  <c r="C999" i="4"/>
  <c r="B971" i="4"/>
  <c r="V971" i="4" s="1"/>
  <c r="C1000" i="4" l="1"/>
  <c r="R999" i="4"/>
  <c r="B972" i="4"/>
  <c r="V972" i="4" s="1"/>
  <c r="C1001" i="4" l="1"/>
  <c r="R1000" i="4"/>
  <c r="B973" i="4"/>
  <c r="V973" i="4" s="1"/>
  <c r="C1002" i="4" l="1"/>
  <c r="R1001" i="4"/>
  <c r="B974" i="4"/>
  <c r="V974" i="4" s="1"/>
  <c r="C1003" i="4" l="1"/>
  <c r="R1002" i="4"/>
  <c r="B975" i="4"/>
  <c r="V975" i="4" s="1"/>
  <c r="C1004" i="4" l="1"/>
  <c r="R1003" i="4"/>
  <c r="B976" i="4"/>
  <c r="V976" i="4" s="1"/>
  <c r="C1005" i="4" l="1"/>
  <c r="R1004" i="4"/>
  <c r="B977" i="4"/>
  <c r="V977" i="4" s="1"/>
  <c r="C1006" i="4" l="1"/>
  <c r="R1005" i="4"/>
  <c r="B978" i="4"/>
  <c r="V978" i="4" s="1"/>
  <c r="R1006" i="4" l="1"/>
  <c r="C1007" i="4"/>
  <c r="B979" i="4"/>
  <c r="V979" i="4" s="1"/>
  <c r="C1008" i="4" l="1"/>
  <c r="R1007" i="4"/>
  <c r="B980" i="4"/>
  <c r="V980" i="4" s="1"/>
  <c r="C1009" i="4" l="1"/>
  <c r="R1008" i="4"/>
  <c r="B981" i="4"/>
  <c r="V981" i="4" s="1"/>
  <c r="C1010" i="4" l="1"/>
  <c r="R1009" i="4"/>
  <c r="B982" i="4"/>
  <c r="V982" i="4" s="1"/>
  <c r="C1011" i="4" l="1"/>
  <c r="R1010" i="4"/>
  <c r="B983" i="4"/>
  <c r="V983" i="4" s="1"/>
  <c r="C1012" i="4" l="1"/>
  <c r="R1011" i="4"/>
  <c r="B984" i="4"/>
  <c r="V984" i="4" s="1"/>
  <c r="C1013" i="4" l="1"/>
  <c r="R1012" i="4"/>
  <c r="B985" i="4"/>
  <c r="V985" i="4" s="1"/>
  <c r="C1014" i="4" l="1"/>
  <c r="R1013" i="4"/>
  <c r="B986" i="4"/>
  <c r="V986" i="4" s="1"/>
  <c r="C1015" i="4" l="1"/>
  <c r="R1014" i="4"/>
  <c r="B987" i="4"/>
  <c r="V987" i="4" s="1"/>
  <c r="C1016" i="4" l="1"/>
  <c r="R1015" i="4"/>
  <c r="B988" i="4"/>
  <c r="V988" i="4" s="1"/>
  <c r="C1017" i="4" l="1"/>
  <c r="R1016" i="4"/>
  <c r="B989" i="4"/>
  <c r="V989" i="4" s="1"/>
  <c r="C1018" i="4" l="1"/>
  <c r="R1017" i="4"/>
  <c r="B990" i="4"/>
  <c r="V990" i="4" s="1"/>
  <c r="C1019" i="4" l="1"/>
  <c r="R1018" i="4"/>
  <c r="B991" i="4"/>
  <c r="V991" i="4" s="1"/>
  <c r="C1020" i="4" l="1"/>
  <c r="R1019" i="4"/>
  <c r="B992" i="4"/>
  <c r="V992" i="4" s="1"/>
  <c r="C1021" i="4" l="1"/>
  <c r="R1020" i="4"/>
  <c r="B993" i="4"/>
  <c r="V993" i="4" s="1"/>
  <c r="C1022" i="4" l="1"/>
  <c r="R1021" i="4"/>
  <c r="B994" i="4"/>
  <c r="V994" i="4" s="1"/>
  <c r="C1023" i="4" l="1"/>
  <c r="R1022" i="4"/>
  <c r="B995" i="4"/>
  <c r="V995" i="4" s="1"/>
  <c r="C1024" i="4" l="1"/>
  <c r="R1023" i="4"/>
  <c r="B996" i="4"/>
  <c r="V996" i="4" s="1"/>
  <c r="C1025" i="4" l="1"/>
  <c r="R1024" i="4"/>
  <c r="B997" i="4"/>
  <c r="V997" i="4" s="1"/>
  <c r="C1026" i="4" l="1"/>
  <c r="R1025" i="4"/>
  <c r="B998" i="4"/>
  <c r="V998" i="4" s="1"/>
  <c r="C1027" i="4" l="1"/>
  <c r="R1026" i="4"/>
  <c r="B999" i="4"/>
  <c r="V999" i="4" s="1"/>
  <c r="R1027" i="4" l="1"/>
  <c r="C1028" i="4"/>
  <c r="B1000" i="4"/>
  <c r="V1000" i="4" s="1"/>
  <c r="R1028" i="4" l="1"/>
  <c r="C1029" i="4"/>
  <c r="B1001" i="4"/>
  <c r="V1001" i="4" s="1"/>
  <c r="R1029" i="4" l="1"/>
  <c r="C1030" i="4"/>
  <c r="B1002" i="4"/>
  <c r="V1002" i="4" s="1"/>
  <c r="R1030" i="4" l="1"/>
  <c r="C1031" i="4"/>
  <c r="B1003" i="4"/>
  <c r="V1003" i="4" s="1"/>
  <c r="R1031" i="4" l="1"/>
  <c r="C1032" i="4"/>
  <c r="B1004" i="4"/>
  <c r="V1004" i="4" s="1"/>
  <c r="R1032" i="4" l="1"/>
  <c r="C1033" i="4"/>
  <c r="B1005" i="4"/>
  <c r="V1005" i="4" s="1"/>
  <c r="R1033" i="4" l="1"/>
  <c r="C1034" i="4"/>
  <c r="B1006" i="4"/>
  <c r="V1006" i="4" s="1"/>
  <c r="R1034" i="4" l="1"/>
  <c r="C1035" i="4"/>
  <c r="B1007" i="4"/>
  <c r="V1007" i="4" s="1"/>
  <c r="R1035" i="4" l="1"/>
  <c r="C1036" i="4"/>
  <c r="B1008" i="4"/>
  <c r="V1008" i="4" s="1"/>
  <c r="R1036" i="4" l="1"/>
  <c r="C1037" i="4"/>
  <c r="B1009" i="4"/>
  <c r="V1009" i="4" s="1"/>
  <c r="R1037" i="4" l="1"/>
  <c r="C1038" i="4"/>
  <c r="B1010" i="4"/>
  <c r="V1010" i="4" s="1"/>
  <c r="R1038" i="4" l="1"/>
  <c r="C1039" i="4"/>
  <c r="B1011" i="4"/>
  <c r="V1011" i="4" s="1"/>
  <c r="C1040" i="4" l="1"/>
  <c r="R1039" i="4"/>
  <c r="B1012" i="4"/>
  <c r="V1012" i="4" s="1"/>
  <c r="R1040" i="4" l="1"/>
  <c r="C1041" i="4"/>
  <c r="B1013" i="4"/>
  <c r="V1013" i="4" s="1"/>
  <c r="C1042" i="4" l="1"/>
  <c r="R1041" i="4"/>
  <c r="B1014" i="4"/>
  <c r="V1014" i="4" s="1"/>
  <c r="C1043" i="4" l="1"/>
  <c r="R1042" i="4"/>
  <c r="B1015" i="4"/>
  <c r="V1015" i="4" s="1"/>
  <c r="C1044" i="4" l="1"/>
  <c r="R1043" i="4"/>
  <c r="B1016" i="4"/>
  <c r="V1016" i="4" s="1"/>
  <c r="R1044" i="4" l="1"/>
  <c r="C1045" i="4"/>
  <c r="B1017" i="4"/>
  <c r="V1017" i="4" s="1"/>
  <c r="C1046" i="4" l="1"/>
  <c r="R1045" i="4"/>
  <c r="B1018" i="4"/>
  <c r="V1018" i="4" s="1"/>
  <c r="C1047" i="4" l="1"/>
  <c r="R1046" i="4"/>
  <c r="B1019" i="4"/>
  <c r="V1019" i="4" s="1"/>
  <c r="C1048" i="4" l="1"/>
  <c r="R1047" i="4"/>
  <c r="B1020" i="4"/>
  <c r="V1020" i="4" s="1"/>
  <c r="C1049" i="4" l="1"/>
  <c r="R1048" i="4"/>
  <c r="B1021" i="4"/>
  <c r="V1021" i="4" s="1"/>
  <c r="C1050" i="4" l="1"/>
  <c r="R1049" i="4"/>
  <c r="B1022" i="4"/>
  <c r="V1022" i="4" s="1"/>
  <c r="C1051" i="4" l="1"/>
  <c r="R1050" i="4"/>
  <c r="B1023" i="4"/>
  <c r="V1023" i="4" s="1"/>
  <c r="C1052" i="4" l="1"/>
  <c r="R1051" i="4"/>
  <c r="B1024" i="4"/>
  <c r="V1024" i="4" s="1"/>
  <c r="R1052" i="4" l="1"/>
  <c r="C1053" i="4"/>
  <c r="R1053" i="4" s="1"/>
  <c r="B1025" i="4"/>
  <c r="V1025" i="4" s="1"/>
  <c r="B1026" i="4" l="1"/>
  <c r="V1026" i="4" s="1"/>
  <c r="B1027" i="4" l="1"/>
  <c r="V1027" i="4" s="1"/>
  <c r="B1028" i="4" l="1"/>
  <c r="V1028" i="4" s="1"/>
  <c r="B1029" i="4" l="1"/>
  <c r="V1029" i="4" s="1"/>
  <c r="B1030" i="4" l="1"/>
  <c r="V1030" i="4" s="1"/>
  <c r="B1031" i="4" l="1"/>
  <c r="V1031" i="4" s="1"/>
  <c r="B1032" i="4" l="1"/>
  <c r="V1032" i="4" s="1"/>
  <c r="B1033" i="4" l="1"/>
  <c r="V1033" i="4" s="1"/>
  <c r="B1034" i="4" l="1"/>
  <c r="V1034" i="4" s="1"/>
  <c r="B1035" i="4" l="1"/>
  <c r="V1035" i="4" s="1"/>
  <c r="B1036" i="4" l="1"/>
  <c r="V1036" i="4" s="1"/>
  <c r="B1037" i="4" l="1"/>
  <c r="V1037" i="4" s="1"/>
  <c r="B1038" i="4" l="1"/>
  <c r="V1038" i="4" s="1"/>
  <c r="B1039" i="4" l="1"/>
  <c r="V1039" i="4" s="1"/>
  <c r="B1040" i="4" l="1"/>
  <c r="V1040" i="4" s="1"/>
  <c r="B1041" i="4" l="1"/>
  <c r="V1041" i="4" s="1"/>
  <c r="B1042" i="4" l="1"/>
  <c r="V1042" i="4" s="1"/>
  <c r="B1043" i="4" l="1"/>
  <c r="V1043" i="4" s="1"/>
  <c r="B1044" i="4" l="1"/>
  <c r="V1044" i="4" s="1"/>
  <c r="B1045" i="4" l="1"/>
  <c r="V1045" i="4" s="1"/>
  <c r="B1046" i="4" l="1"/>
  <c r="V1046" i="4" s="1"/>
  <c r="B1047" i="4" l="1"/>
  <c r="V1047" i="4" s="1"/>
  <c r="B1048" i="4" l="1"/>
  <c r="V1048" i="4" s="1"/>
  <c r="B1049" i="4" l="1"/>
  <c r="V1049" i="4" s="1"/>
  <c r="B1050" i="4" l="1"/>
  <c r="V1050" i="4" s="1"/>
  <c r="B1051" i="4" l="1"/>
  <c r="V1051" i="4" s="1"/>
  <c r="B1052" i="4" l="1"/>
  <c r="V1052" i="4" s="1"/>
  <c r="B1053" i="4" l="1"/>
  <c r="V1053" i="4" s="1"/>
</calcChain>
</file>

<file path=xl/sharedStrings.xml><?xml version="1.0" encoding="utf-8"?>
<sst xmlns="http://schemas.openxmlformats.org/spreadsheetml/2006/main" count="53695" uniqueCount="9315">
  <si>
    <t>id</t>
  </si>
  <si>
    <t>coleccion</t>
  </si>
  <si>
    <t>sector</t>
  </si>
  <si>
    <t>tema</t>
  </si>
  <si>
    <t>contenido</t>
  </si>
  <si>
    <t>escala</t>
  </si>
  <si>
    <t>territorio</t>
  </si>
  <si>
    <t>temporalidad</t>
  </si>
  <si>
    <t>unidad_medida</t>
  </si>
  <si>
    <t>fuente</t>
  </si>
  <si>
    <t>titulo</t>
  </si>
  <si>
    <t>descripcion_larga</t>
  </si>
  <si>
    <t>visualizacion</t>
  </si>
  <si>
    <t>tag</t>
  </si>
  <si>
    <t>Educación</t>
  </si>
  <si>
    <t>Chile</t>
  </si>
  <si>
    <t>Región</t>
  </si>
  <si>
    <t>Antofagasta</t>
  </si>
  <si>
    <t>Comuna</t>
  </si>
  <si>
    <t>Recoleta</t>
  </si>
  <si>
    <t>País</t>
  </si>
  <si>
    <t>url</t>
  </si>
  <si>
    <t>Ovalle</t>
  </si>
  <si>
    <t>O'Higgins</t>
  </si>
  <si>
    <t>Filtro Integrado</t>
  </si>
  <si>
    <t>Muestra</t>
  </si>
  <si>
    <t>Coquimbo</t>
  </si>
  <si>
    <t>Valparaíso</t>
  </si>
  <si>
    <t>Maule</t>
  </si>
  <si>
    <t>Los Lagos</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</si>
  <si>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</si>
  <si>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</si>
  <si>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</si>
  <si>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</si>
  <si>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</si>
  <si>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</si>
  <si>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</si>
  <si>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</si>
  <si>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</si>
  <si>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</si>
  <si>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</si>
  <si>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</si>
  <si>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</si>
  <si>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</si>
  <si>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</si>
  <si>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</si>
  <si>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</si>
  <si>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</si>
  <si>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</si>
  <si>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</si>
  <si>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</si>
  <si>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</si>
  <si>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</si>
  <si>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</si>
  <si>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</si>
  <si>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</si>
  <si>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</si>
  <si>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</si>
  <si>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</si>
  <si>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</si>
  <si>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</si>
  <si>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</si>
  <si>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</si>
  <si>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</si>
  <si>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</si>
  <si>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</si>
  <si>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</si>
  <si>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</si>
  <si>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</si>
  <si>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</si>
  <si>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</si>
  <si>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</si>
  <si>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</si>
  <si>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</si>
  <si>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</si>
  <si>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</si>
  <si>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</si>
  <si>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</si>
  <si>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</si>
  <si>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</si>
  <si>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</si>
  <si>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</si>
  <si>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</si>
  <si>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</si>
  <si>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</si>
  <si>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</si>
  <si>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</si>
  <si>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</si>
  <si>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</si>
  <si>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</si>
  <si>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</si>
  <si>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</si>
  <si>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</si>
  <si>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</si>
  <si>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</si>
  <si>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</si>
  <si>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</si>
  <si>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</si>
  <si>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</si>
  <si>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</si>
  <si>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</si>
  <si>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</si>
  <si>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</si>
  <si>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</si>
  <si>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</si>
  <si>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</si>
  <si>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</si>
  <si>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</si>
  <si>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</si>
  <si>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</si>
  <si>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</si>
  <si>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</si>
  <si>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</si>
  <si>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</si>
  <si>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</si>
  <si>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</si>
  <si>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</si>
  <si>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</si>
  <si>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</si>
  <si>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</si>
  <si>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</si>
  <si>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</si>
  <si>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</si>
  <si>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</si>
  <si>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</si>
  <si>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</si>
  <si>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</si>
  <si>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</si>
  <si>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</si>
  <si>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</si>
  <si>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</si>
  <si>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</si>
  <si>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</si>
  <si>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</si>
  <si>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</si>
  <si>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</si>
  <si>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</si>
  <si>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</si>
  <si>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</si>
  <si>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</si>
  <si>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</si>
  <si>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</si>
  <si>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</si>
  <si>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</si>
  <si>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</si>
  <si>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</si>
  <si>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</si>
  <si>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</si>
  <si>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</si>
  <si>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</si>
  <si>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</si>
  <si>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</si>
  <si>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</si>
  <si>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</si>
  <si>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</si>
  <si>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</si>
  <si>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</si>
  <si>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</si>
  <si>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</si>
  <si>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</si>
  <si>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</si>
  <si>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</si>
  <si>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</si>
  <si>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</si>
  <si>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</si>
  <si>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</si>
  <si>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</si>
  <si>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</si>
  <si>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</si>
  <si>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</si>
  <si>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</si>
  <si>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</si>
  <si>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</si>
  <si>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</si>
  <si>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</si>
  <si>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</si>
  <si>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</si>
  <si>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</si>
  <si>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</si>
  <si>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</si>
  <si>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</si>
  <si>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</si>
  <si>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</si>
  <si>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</si>
  <si>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</si>
  <si>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</si>
  <si>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</si>
  <si>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</si>
  <si>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</si>
  <si>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</si>
  <si>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</si>
  <si>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</si>
  <si>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</si>
  <si>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</si>
  <si>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</si>
  <si>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</si>
  <si>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</si>
  <si>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</si>
  <si>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</si>
  <si>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</si>
  <si>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</si>
  <si>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</si>
  <si>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</si>
  <si>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</si>
  <si>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</si>
  <si>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</si>
  <si>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</si>
  <si>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</si>
  <si>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</si>
  <si>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</si>
  <si>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</si>
  <si>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</si>
  <si>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</si>
  <si>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</si>
  <si>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</si>
  <si>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</si>
  <si>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</si>
  <si>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</si>
  <si>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</si>
  <si>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</si>
  <si>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</si>
  <si>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</si>
  <si>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</si>
  <si>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</si>
  <si>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</si>
  <si>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</si>
  <si>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</si>
  <si>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</si>
  <si>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</si>
  <si>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</si>
  <si>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</si>
  <si>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</si>
  <si>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</si>
  <si>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</si>
  <si>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</si>
  <si>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</si>
  <si>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</si>
  <si>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</si>
  <si>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</si>
  <si>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</si>
  <si>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</si>
  <si>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</si>
  <si>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</si>
  <si>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</si>
  <si>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</si>
  <si>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</si>
  <si>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</si>
  <si>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</si>
  <si>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</si>
  <si>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</si>
  <si>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</si>
  <si>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</si>
  <si>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</si>
  <si>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</si>
  <si>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</si>
  <si>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</si>
  <si>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</si>
  <si>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</si>
  <si>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</si>
  <si>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</si>
  <si>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</si>
  <si>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</si>
  <si>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</si>
  <si>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</si>
  <si>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</si>
  <si>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</si>
  <si>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</si>
  <si>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</si>
  <si>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</si>
  <si>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</si>
  <si>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</si>
  <si>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</si>
  <si>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</si>
  <si>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</si>
  <si>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</si>
  <si>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</si>
  <si>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</si>
  <si>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</si>
  <si>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</si>
  <si>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</si>
  <si>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</si>
  <si>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</si>
  <si>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</si>
  <si>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</si>
  <si>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</si>
  <si>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</si>
  <si>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</si>
  <si>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</si>
  <si>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</si>
  <si>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</si>
  <si>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</si>
  <si>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</si>
  <si>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</si>
  <si>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</si>
  <si>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</si>
  <si>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</si>
  <si>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</si>
  <si>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</si>
  <si>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</si>
  <si>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</si>
  <si>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</si>
  <si>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</si>
  <si>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</si>
  <si>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</si>
  <si>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</si>
  <si>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</si>
  <si>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</si>
  <si>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</si>
  <si>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</si>
  <si>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</si>
  <si>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</si>
  <si>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</si>
  <si>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</si>
  <si>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</si>
  <si>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</si>
  <si>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</si>
  <si>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</si>
  <si>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</si>
  <si>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</si>
  <si>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</si>
  <si>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</si>
  <si>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</si>
  <si>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</si>
  <si>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</si>
  <si>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</si>
  <si>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</si>
  <si>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</si>
  <si>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</si>
  <si>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</si>
  <si>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</si>
  <si>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</si>
  <si>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</si>
  <si>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</si>
  <si>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</si>
  <si>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</si>
  <si>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</si>
  <si>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</si>
  <si>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</si>
  <si>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</si>
  <si>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</si>
  <si>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</si>
  <si>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</si>
  <si>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</si>
  <si>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</si>
  <si>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</si>
  <si>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</si>
  <si>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</si>
  <si>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</si>
  <si>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</si>
  <si>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</si>
  <si>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</si>
  <si>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</si>
  <si>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</si>
  <si>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</si>
  <si>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</si>
  <si>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</si>
  <si>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</si>
  <si>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</si>
  <si>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</si>
  <si>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</si>
  <si>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</si>
  <si>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</si>
  <si>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</si>
  <si>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</si>
  <si>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</si>
  <si>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</si>
  <si>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</si>
  <si>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Filtro URL</t>
  </si>
  <si>
    <t>Región de Tarapacá</t>
  </si>
  <si>
    <t>Región de Antofagasta</t>
  </si>
  <si>
    <t>Región de Atacama</t>
  </si>
  <si>
    <t>Región de Coquimbo</t>
  </si>
  <si>
    <t>Región de Valparaíso</t>
  </si>
  <si>
    <t>Región de O'Higgins</t>
  </si>
  <si>
    <t>Región de Maule</t>
  </si>
  <si>
    <t>Región del Biobío</t>
  </si>
  <si>
    <t>Región de La Araucanía</t>
  </si>
  <si>
    <t>Región de Los Lagos</t>
  </si>
  <si>
    <t>Región de Aysén</t>
  </si>
  <si>
    <t>Región de Magallanes</t>
  </si>
  <si>
    <t>Región Metropolitana</t>
  </si>
  <si>
    <t>Región de Los Ríos</t>
  </si>
  <si>
    <t>Región de Arica y Parinacota</t>
  </si>
  <si>
    <t>Región de Ñuble</t>
  </si>
  <si>
    <t>Suscripcion</t>
  </si>
  <si>
    <t>idcoleccion</t>
  </si>
  <si>
    <t>Color</t>
  </si>
  <si>
    <t>id_tema</t>
  </si>
  <si>
    <t>id_contenido</t>
  </si>
  <si>
    <t>idescala</t>
  </si>
  <si>
    <t>id_muestra</t>
  </si>
  <si>
    <t>idfiltro</t>
  </si>
  <si>
    <t>0001</t>
  </si>
  <si>
    <t>0002</t>
  </si>
  <si>
    <t>id_grafico</t>
  </si>
  <si>
    <t>idterritorio</t>
  </si>
  <si>
    <t>id_territorio</t>
  </si>
  <si>
    <t>cod</t>
  </si>
  <si>
    <t>#1774B9</t>
  </si>
  <si>
    <t>Agencia de Información</t>
  </si>
  <si>
    <t>Agencia Información</t>
  </si>
  <si>
    <t>Periodo 2006-2017</t>
  </si>
  <si>
    <t>Encuestas CASEN</t>
  </si>
  <si>
    <t>Ninguno</t>
  </si>
  <si>
    <t>Socioeconómico</t>
  </si>
  <si>
    <t>0003</t>
  </si>
  <si>
    <t>0004</t>
  </si>
  <si>
    <t>0005</t>
  </si>
  <si>
    <t>0006</t>
  </si>
  <si>
    <t>0007</t>
  </si>
  <si>
    <t>0008</t>
  </si>
  <si>
    <t>0009</t>
  </si>
  <si>
    <t>0010</t>
  </si>
  <si>
    <t>0011</t>
  </si>
  <si>
    <t>0012</t>
  </si>
  <si>
    <t>0013</t>
  </si>
  <si>
    <t>0014</t>
  </si>
  <si>
    <t>0015</t>
  </si>
  <si>
    <t>0016</t>
  </si>
  <si>
    <t>0017</t>
  </si>
  <si>
    <t>0019</t>
  </si>
  <si>
    <t>Indicadores de Calidad de Educación Municipal</t>
  </si>
  <si>
    <t>Periodo 2001-2020</t>
  </si>
  <si>
    <t>Porcentaje (%)</t>
  </si>
  <si>
    <t>Proporción de Alumnos de 4to Medio con más de 450 puntos en la PSU según dependencia de colegios</t>
  </si>
  <si>
    <t>0020</t>
  </si>
  <si>
    <t>0021</t>
  </si>
  <si>
    <t>0022</t>
  </si>
  <si>
    <t>Sistema Nacional de Información Municipal</t>
  </si>
  <si>
    <t>Más allá de la gestión alcaldicia, durante los últimos 20 años la proporción de alumnos con más de 450 puntos en la PSU se mantiene estable para colegios municipales en relación a los Subvencionados y Particulares Pagados.</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</si>
  <si>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</si>
  <si>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</si>
  <si>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</si>
  <si>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</si>
  <si>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</si>
  <si>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</si>
  <si>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</si>
  <si>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</si>
  <si>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</si>
  <si>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</si>
  <si>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</si>
  <si>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</si>
  <si>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</si>
  <si>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</si>
  <si>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</si>
  <si>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</si>
  <si>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</si>
  <si>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</si>
  <si>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</si>
  <si>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</si>
  <si>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</si>
  <si>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</si>
  <si>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</si>
  <si>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</si>
  <si>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</si>
  <si>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</si>
  <si>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Centro de Estudios y Análisis del Delito (CEAD) de la Subsecretaría de Prevención del Delito</t>
  </si>
  <si>
    <t>Año 2020</t>
  </si>
  <si>
    <t>Número de Denuncias</t>
  </si>
  <si>
    <t>Mujeres</t>
  </si>
  <si>
    <t>Violaciones</t>
  </si>
  <si>
    <t>0049</t>
  </si>
  <si>
    <t>0050</t>
  </si>
  <si>
    <t>0051</t>
  </si>
  <si>
    <t>0052</t>
  </si>
  <si>
    <t>0053</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</si>
  <si>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</si>
  <si>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</si>
  <si>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</si>
  <si>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</si>
  <si>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</si>
  <si>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</si>
  <si>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</si>
  <si>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</si>
  <si>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</si>
  <si>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</si>
  <si>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</si>
  <si>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</si>
  <si>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</si>
  <si>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</si>
  <si>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</si>
  <si>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</si>
  <si>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</si>
  <si>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</si>
  <si>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</si>
  <si>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</si>
  <si>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</si>
  <si>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</si>
  <si>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</si>
  <si>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</si>
  <si>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</si>
  <si>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</si>
  <si>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</si>
  <si>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</si>
  <si>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</si>
  <si>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</si>
  <si>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</si>
  <si>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</si>
  <si>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</si>
  <si>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</si>
  <si>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Periodo 2019-2020</t>
  </si>
  <si>
    <t>Ranking de Comunas: Número de Alumnos por Docente en Aula del año 2019 y 2020 y su variación porcentual para los Colegios Municipales</t>
  </si>
  <si>
    <t>Gobiernos locales</t>
  </si>
  <si>
    <t>https://analytics.zoho.com/open-view/2395394000007756457</t>
  </si>
  <si>
    <t>Ranking</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</si>
  <si>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</si>
  <si>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</si>
  <si>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</si>
  <si>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</si>
  <si>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</si>
  <si>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</si>
  <si>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</si>
  <si>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</si>
  <si>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</si>
  <si>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</si>
  <si>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</si>
  <si>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</si>
  <si>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</si>
  <si>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</si>
  <si>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</si>
  <si>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</si>
  <si>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</si>
  <si>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</si>
  <si>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</si>
  <si>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</si>
  <si>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</si>
  <si>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</si>
  <si>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</si>
  <si>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0130</t>
  </si>
  <si>
    <t>0131</t>
  </si>
  <si>
    <t>0133</t>
  </si>
  <si>
    <t>0134</t>
  </si>
  <si>
    <t>0135</t>
  </si>
  <si>
    <t>0136</t>
  </si>
  <si>
    <t>0139</t>
  </si>
  <si>
    <t>0141</t>
  </si>
  <si>
    <t>0142</t>
  </si>
  <si>
    <t>0143</t>
  </si>
  <si>
    <t>0147</t>
  </si>
  <si>
    <t>0148</t>
  </si>
  <si>
    <t>0150</t>
  </si>
  <si>
    <t>0151</t>
  </si>
  <si>
    <t>0152</t>
  </si>
  <si>
    <t>0153</t>
  </si>
  <si>
    <t>0156</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</si>
  <si>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</si>
  <si>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</si>
  <si>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</si>
  <si>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</si>
  <si>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</si>
  <si>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</si>
  <si>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</si>
  <si>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</si>
  <si>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</si>
  <si>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</si>
  <si>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</si>
  <si>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</si>
  <si>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</si>
  <si>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</si>
  <si>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</si>
  <si>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</si>
  <si>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</si>
  <si>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</si>
  <si>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</si>
  <si>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</si>
  <si>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</si>
  <si>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</si>
  <si>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</si>
  <si>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Salud</t>
  </si>
  <si>
    <t>COVID-19</t>
  </si>
  <si>
    <t>Periodo 2020-2021</t>
  </si>
  <si>
    <t>Agropecuario y Forestal</t>
  </si>
  <si>
    <t>Exportaciones</t>
  </si>
  <si>
    <t>Periodo 2012-2020</t>
  </si>
  <si>
    <t>Toneladas</t>
  </si>
  <si>
    <t>Servicio Nacional de Aduanas</t>
  </si>
  <si>
    <t>Gráfico</t>
  </si>
  <si>
    <t>Abuso sexual</t>
  </si>
  <si>
    <t>Periodo 2013-2019</t>
  </si>
  <si>
    <t>Número de Sentencias</t>
  </si>
  <si>
    <t>Poder Judicial</t>
  </si>
  <si>
    <t>CLP/mes</t>
  </si>
  <si>
    <t>Número de Casos</t>
  </si>
  <si>
    <t>Cuenta de id_grafico</t>
  </si>
  <si>
    <t>Total Agencia Información</t>
  </si>
  <si>
    <t>Número de Alumnos</t>
  </si>
  <si>
    <t>Nube de palabras</t>
  </si>
  <si>
    <t>Política y Gobierno</t>
  </si>
  <si>
    <t>Dirección de Presupuestos (DIPRES)</t>
  </si>
  <si>
    <t>Número de programas/instituciones evaluadas según línea de evaluación (periodo 1997 -2020)</t>
  </si>
  <si>
    <t>Dashboard</t>
  </si>
  <si>
    <t>Corporación Nacional Forestal (CONAF)</t>
  </si>
  <si>
    <t>Periodo 2010-2020</t>
  </si>
  <si>
    <t>Gráfico animado</t>
  </si>
  <si>
    <t>Hectáreas</t>
  </si>
  <si>
    <t>Evolución de la Superficie de Plantaciones Forestales Afectadas por Incendios por Comuna</t>
  </si>
  <si>
    <t>Año 2021</t>
  </si>
  <si>
    <t>CLP/Kg</t>
  </si>
  <si>
    <t>Precios</t>
  </si>
  <si>
    <t>Hortaliza</t>
  </si>
  <si>
    <t>Fruta</t>
  </si>
  <si>
    <t>Oficina de Estudios y Políticas Agrarias (ODEPA)</t>
  </si>
  <si>
    <t>El precio de las papas tuvo una fuerte baja a finales del verano y se ha mantenido relativamente estable desde esa fecha. En general, los precios más altos se encuentran en el mercado Agrícola del Norte de Arica, mientras que los más bajos en la Macroferia Regional de Talca.</t>
  </si>
  <si>
    <t>Arte y cultura</t>
  </si>
  <si>
    <t>Existen 332 comunas que tienen algún tipo de espacio cultural en el país. La comuna que cuenta con la mayor cantidad de espacios culturales es Santiago, con 54 espacios públicos y 40 privados.</t>
  </si>
  <si>
    <t>Titularidad de espacios culturales</t>
  </si>
  <si>
    <t>Número de espacios culturales</t>
  </si>
  <si>
    <t>Observatorio Cultural</t>
  </si>
  <si>
    <t>Cantidad de Espacios Culturales por Tipo de Titularidad y Comuna en el año 2021</t>
  </si>
  <si>
    <t>https://analytics.zoho.com/open-view/2395394000008056226</t>
  </si>
  <si>
    <t>Resultados de evaluaciones</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</si>
  <si>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</si>
  <si>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</si>
  <si>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</si>
  <si>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</si>
  <si>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</si>
  <si>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</si>
  <si>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</si>
  <si>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</si>
  <si>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</si>
  <si>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</si>
  <si>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</si>
  <si>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</si>
  <si>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</si>
  <si>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</si>
  <si>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</si>
  <si>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</si>
  <si>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</si>
  <si>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</si>
  <si>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</si>
  <si>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</si>
  <si>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</si>
  <si>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</si>
  <si>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</si>
  <si>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</si>
  <si>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</si>
  <si>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</si>
  <si>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</si>
  <si>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</si>
  <si>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</si>
  <si>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</si>
  <si>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</si>
  <si>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</si>
  <si>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</si>
  <si>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</si>
  <si>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</si>
  <si>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</si>
  <si>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</si>
  <si>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</si>
  <si>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</si>
  <si>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</si>
  <si>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</si>
  <si>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</si>
  <si>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</si>
  <si>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</si>
  <si>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</si>
  <si>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</si>
  <si>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</si>
  <si>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</si>
  <si>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</si>
  <si>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</si>
  <si>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</si>
  <si>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</si>
  <si>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</si>
  <si>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</si>
  <si>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</si>
  <si>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</si>
  <si>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</si>
  <si>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</si>
  <si>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</si>
  <si>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</si>
  <si>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</si>
  <si>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</si>
  <si>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</si>
  <si>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</si>
  <si>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</si>
  <si>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</si>
  <si>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</si>
  <si>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</si>
  <si>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</si>
  <si>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</si>
  <si>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</si>
  <si>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</si>
  <si>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</si>
  <si>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</si>
  <si>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</si>
  <si>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</si>
  <si>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</si>
  <si>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</si>
  <si>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</si>
  <si>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</si>
  <si>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</si>
  <si>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</si>
  <si>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</si>
  <si>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</si>
  <si>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</si>
  <si>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</si>
  <si>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</si>
  <si>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</si>
  <si>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</si>
  <si>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</si>
  <si>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</si>
  <si>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</si>
  <si>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</si>
  <si>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</si>
  <si>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</si>
  <si>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</si>
  <si>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</si>
  <si>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</si>
  <si>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</si>
  <si>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</si>
  <si>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</si>
  <si>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</si>
  <si>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</si>
  <si>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</si>
  <si>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</si>
  <si>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</si>
  <si>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</si>
  <si>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</si>
  <si>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</si>
  <si>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</si>
  <si>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</si>
  <si>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</si>
  <si>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</si>
  <si>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</si>
  <si>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</si>
  <si>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</si>
  <si>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</si>
  <si>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</si>
  <si>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</si>
  <si>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</si>
  <si>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</si>
  <si>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</si>
  <si>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</si>
  <si>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</si>
  <si>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</si>
  <si>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</si>
  <si>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</si>
  <si>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</si>
  <si>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</si>
  <si>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</si>
  <si>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</si>
  <si>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</si>
  <si>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</si>
  <si>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</si>
  <si>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</si>
  <si>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</si>
  <si>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</si>
  <si>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</si>
  <si>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</si>
  <si>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</si>
  <si>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</si>
  <si>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</si>
  <si>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</si>
  <si>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</si>
  <si>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</si>
  <si>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</si>
  <si>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</si>
  <si>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</si>
  <si>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</si>
  <si>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</si>
  <si>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</si>
  <si>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</si>
  <si>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</si>
  <si>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</si>
  <si>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</si>
  <si>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</si>
  <si>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</si>
  <si>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</si>
  <si>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</si>
  <si>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</si>
  <si>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</si>
  <si>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</si>
  <si>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</si>
  <si>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</si>
  <si>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</si>
  <si>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</si>
  <si>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</si>
  <si>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</si>
  <si>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</si>
  <si>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</si>
  <si>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</si>
  <si>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</si>
  <si>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https://analytics.zoho.com/open-view/2395394000005950690</t>
  </si>
  <si>
    <t>Gráfico de Evolución</t>
  </si>
  <si>
    <t>Social</t>
  </si>
  <si>
    <t>Violencia Intrafamiliar</t>
  </si>
  <si>
    <t>Evolución trimestral de Casos de Violencia Intrafamiliar presentados a la Fiscalía, a nivel nacional</t>
  </si>
  <si>
    <t>El segundo trimestre del año 2020 registra la menor cantidad de casos de Violencia Intrafamiliar (VIF) presentados a la Fiscalía Nacional, con 7.496 casos de víctimas hombres y 22.517 casos de víctimas mujeres.</t>
  </si>
  <si>
    <t>https://analytics.zoho.com/open-view/2395394000007782028</t>
  </si>
  <si>
    <t>Periodo 2019-2021</t>
  </si>
  <si>
    <t>Casos de VIF</t>
  </si>
  <si>
    <t>Fiscalía Nacional</t>
  </si>
  <si>
    <t>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t>
  </si>
  <si>
    <t>Mapa de calor</t>
  </si>
  <si>
    <t>Producción</t>
  </si>
  <si>
    <t>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t>
  </si>
  <si>
    <t>https://analytics.zoho.com/open-view/2395394000005948862</t>
  </si>
  <si>
    <t>https://analytics.zoho.com/open-view/2395394000008206985</t>
  </si>
  <si>
    <t>https://analytics.zoho.com/open-view/2395394000008210549</t>
  </si>
  <si>
    <t>Denuncias por violación por comuna</t>
  </si>
  <si>
    <t>Sentencias dictadas por delito por región</t>
  </si>
  <si>
    <t>0370</t>
  </si>
  <si>
    <t>Casos de VIF por comuna</t>
  </si>
  <si>
    <t>Casos de VIF por región</t>
  </si>
  <si>
    <t>300-R</t>
  </si>
  <si>
    <t>Periodo 2018-2020</t>
  </si>
  <si>
    <t xml:space="preserve">Gráfico </t>
  </si>
  <si>
    <t>https://analytics.zoho.com/open-view/2395394000007782157</t>
  </si>
  <si>
    <t>https://analytics.zoho.com/open-view/2395394000008207372</t>
  </si>
  <si>
    <t>Evolución anual de superficie plantada (ha) de lechuga por región</t>
  </si>
  <si>
    <t>Periodo 2010-2019</t>
  </si>
  <si>
    <t>https://analytics.zoho.com/open-view/2395394000007782340</t>
  </si>
  <si>
    <t>Plantaciones</t>
  </si>
  <si>
    <t>Vivienda y Construcción</t>
  </si>
  <si>
    <t>Instrumentos de Planificación Territorial (IPT)</t>
  </si>
  <si>
    <t>Estado</t>
  </si>
  <si>
    <t>Observatorio Urbano - Ministerio de Vivienda y Urbanismo (MINVU)</t>
  </si>
  <si>
    <t>Estado del Plan Regional de Desarrollo Urbano por Región</t>
  </si>
  <si>
    <t>https://app.powerbi.com/view?r=eyJrIjoiYzhiZDQ3N2YtMmRkOS00NzAyLThjNjItNzk0NWM1NWE1YjE0IiwidCI6IjhmYmFhNWJmLTJlY2MtNGRjOC1iNTZiLThmOTJlMzA3ZjA3NiIsImMiOjR9</t>
  </si>
  <si>
    <t>https://analytics.zoho.com/open-view/2395394000008056138</t>
  </si>
  <si>
    <t>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t>
  </si>
  <si>
    <t>UF</t>
  </si>
  <si>
    <t>Economía</t>
  </si>
  <si>
    <t>Ventas</t>
  </si>
  <si>
    <t>Ventas anuales</t>
  </si>
  <si>
    <t>Servicio de Impuestos Internos (SII)</t>
  </si>
  <si>
    <t>Año 2019</t>
  </si>
  <si>
    <t>El rubro económico que cuenta con el mayor porcentaje de ventas anuales en UF es el G - Comercio al por mayor y al menor; reparación de vehículos automotores y motocicletas, con un 25% de las ventas totales en la Región de Valparaíso.</t>
  </si>
  <si>
    <t>Establecimientos de Apoyo</t>
  </si>
  <si>
    <t>La región Metropolitana es la que cuenta con más Centros de la Mujer, llegando a 31 establecimientos. Le siguen las regiones de Biobío y Valparaíso, con 14 y 12 centros respectivamente. La región que actualmente tiene menos centros es Arica y Parinacota, con solo 1.</t>
  </si>
  <si>
    <t>https://analytics.zoho.com/open-view/2395394000007777048</t>
  </si>
  <si>
    <t>Servicio Nacional de la Mujer y Equidad de Género (SERNAMEG)</t>
  </si>
  <si>
    <t>Número de Centros de la Mujer</t>
  </si>
  <si>
    <t>Cantidad de Centros de la Mujer por región</t>
  </si>
  <si>
    <t>Periodo 2014-2019</t>
  </si>
  <si>
    <t>Número de Mujeres</t>
  </si>
  <si>
    <t>https://analytics.zoho.com/open-view/2395394000007777075</t>
  </si>
  <si>
    <t>Cantidad de ingresos efectivos de mujeres en Chile</t>
  </si>
  <si>
    <t>Número de salidas</t>
  </si>
  <si>
    <t>Cantidad de salidas en Chile</t>
  </si>
  <si>
    <t>https://analytics.zoho.com/open-view/2395394000007777114</t>
  </si>
  <si>
    <t>En el periodo 2014-2019, el tipo de salida más común desde las Casas de Acogida es el Egreso Efectivo de las mujeres, representando un 57,4% del total.</t>
  </si>
  <si>
    <t>https://analytics.zoho.com/open-view/2395394000007777153</t>
  </si>
  <si>
    <t>Proporción de salidas en Chile</t>
  </si>
  <si>
    <t>Atenciones de Salud Violencia de Género</t>
  </si>
  <si>
    <t>Periodo 2010-2016</t>
  </si>
  <si>
    <t>Número de atenciones médicas</t>
  </si>
  <si>
    <t>Departamento de Estadísticas e Información de la Salud (DEIS) - Ministerio de Salud</t>
  </si>
  <si>
    <t>https://app.powerbi.com/view?r=eyJrIjoiODk3Zjc3ZTItZTdlNi00NGRlLTljYzktZTM5OTQ1YzI1MDYxIiwidCI6IjhmYmFhNWJmLTJlY2MtNGRjOC1iNTZiLThmOTJlMzA3ZjA3NiIsImMiOjR9</t>
  </si>
  <si>
    <t>https://app.powerbi.com/view?r=eyJrIjoiNzYyYzA1MTQtYjU4ZC00YmIyLTgxMTMtODQ1MzE1OTdkZTU5IiwidCI6IjhmYmFhNWJmLTJlY2MtNGRjOC1iNTZiLThmOTJlMzA3ZjA3NiIsImMiOjR9</t>
  </si>
  <si>
    <t>https://app.powerbi.com/view?r=eyJrIjoiMzk2YjAzMGUtYTE2Zi00ZGU3LTg1ZjAtN2IxNzExMjg3N2E1IiwidCI6IjhmYmFhNWJmLTJlY2MtNGRjOC1iNTZiLThmOTJlMzA3ZjA3NiIsImMiOjR9</t>
  </si>
  <si>
    <t>https://app.powerbi.com/view?r=eyJrIjoiYzgzMTI1M2UtNmViNS00YTA0LTk2NGYtMTFmYmExYTczNWRhIiwidCI6IjhmYmFhNWJmLTJlY2MtNGRjOC1iNTZiLThmOTJlMzA3ZjA3NiIsImMiOjR9</t>
  </si>
  <si>
    <t>https://app.powerbi.com/view?r=eyJrIjoiYTRjMTJkZmEtNzNlMC00ODRlLWIxMzYtNzAzYWVlMGQ2YTU0IiwidCI6IjhmYmFhNWJmLTJlY2MtNGRjOC1iNTZiLThmOTJlMzA3ZjA3NiIsImMiOjR9</t>
  </si>
  <si>
    <t>https://app.powerbi.com/view?r=eyJrIjoiZmVjZWI5N2YtMjVhMS00Zjc1LWFmN2YtZDM4NDA1ODMzMGNiIiwidCI6IjhmYmFhNWJmLTJlY2MtNGRjOC1iNTZiLThmOTJlMzA3ZjA3NiIsImMiOjR9</t>
  </si>
  <si>
    <t>https://app.powerbi.com/view?r=eyJrIjoiNDExYTM1N2EtYTNiYi00OGNkLThhMjMtMDVjNGQ5NzNjZTU1IiwidCI6IjhmYmFhNWJmLTJlY2MtNGRjOC1iNTZiLThmOTJlMzA3ZjA3NiIsImMiOjR9</t>
  </si>
  <si>
    <t>https://app.powerbi.com/view?r=eyJrIjoiMzlhNGFhN2QtNjRlZi00YjY1LTlmNzctMmRmZDZkNWUwNmIzIiwidCI6IjhmYmFhNWJmLTJlY2MtNGRjOC1iNTZiLThmOTJlMzA3ZjA3NiIsImMiOjR9</t>
  </si>
  <si>
    <t>https://app.powerbi.com/view?r=eyJrIjoiZWNmYzYxNjQtMTQ1OC00MTkwLWFkYTUtYzUwZmM0NWVjN2U2IiwidCI6IjhmYmFhNWJmLTJlY2MtNGRjOC1iNTZiLThmOTJlMzA3ZjA3NiIsImMiOjR9</t>
  </si>
  <si>
    <t>https://app.powerbi.com/view?r=eyJrIjoiOWIxNDkwMzUtMGQyNi00ZGEzLWE1OGItYTI1OGM4Njk1NjlhIiwidCI6IjhmYmFhNWJmLTJlY2MtNGRjOC1iNTZiLThmOTJlMzA3ZjA3NiIsImMiOjR9</t>
  </si>
  <si>
    <t>https://app.powerbi.com/view?r=eyJrIjoiNWYxNzdhNGItMDA0OC00ZjY5LWI0YTUtMDUwYzk1M2JmZGVhIiwidCI6IjhmYmFhNWJmLTJlY2MtNGRjOC1iNTZiLThmOTJlMzA3ZjA3NiIsImMiOjR9</t>
  </si>
  <si>
    <t>https://app.powerbi.com/view?r=eyJrIjoiZDZiYjg2ODAtOGYwZS00MGNlLTkwZWEtZTU3NDMwOTZjZGYxIiwidCI6IjhmYmFhNWJmLTJlY2MtNGRjOC1iNTZiLThmOTJlMzA3ZjA3NiIsImMiOjR9</t>
  </si>
  <si>
    <t>https://app.powerbi.com/view?r=eyJrIjoiNDQzYmFiMjctODc3Ny00N2ZlLTgyNTctMzBmMmY3NTdhNmQ3IiwidCI6IjhmYmFhNWJmLTJlY2MtNGRjOC1iNTZiLThmOTJlMzA3ZjA3NiIsImMiOjR9</t>
  </si>
  <si>
    <t>https://app.powerbi.com/view?r=eyJrIjoiNWIxNzRiOTctMWUyMi00YjkzLWJmMDUtN2UzODhlZWFlZjA1IiwidCI6IjhmYmFhNWJmLTJlY2MtNGRjOC1iNTZiLThmOTJlMzA3ZjA3NiIsImMiOjR9</t>
  </si>
  <si>
    <t>https://app.powerbi.com/view?r=eyJrIjoiZThkYzY0YTItNWE2NS00MjE5LTgzNTItOWFmNjE2NWE5NTIwIiwidCI6IjhmYmFhNWJmLTJlY2MtNGRjOC1iNTZiLThmOTJlMzA3ZjA3NiIsImMiOjR9</t>
  </si>
  <si>
    <t>USD</t>
  </si>
  <si>
    <t>https://analytics.zoho.com/open-view/2395394000007801200</t>
  </si>
  <si>
    <t>Energía</t>
  </si>
  <si>
    <t>MW</t>
  </si>
  <si>
    <t>Comisión Nacional de Energía (CNE)</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</si>
  <si>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</si>
  <si>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</si>
  <si>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</si>
  <si>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</si>
  <si>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</si>
  <si>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</si>
  <si>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</si>
  <si>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</si>
  <si>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</si>
  <si>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</si>
  <si>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</si>
  <si>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</si>
  <si>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</si>
  <si>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</si>
  <si>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</si>
  <si>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</si>
  <si>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</si>
  <si>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</si>
  <si>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</si>
  <si>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</si>
  <si>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</si>
  <si>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</si>
  <si>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</si>
  <si>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</si>
  <si>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</si>
  <si>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</si>
  <si>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</si>
  <si>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</si>
  <si>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</si>
  <si>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</si>
  <si>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</si>
  <si>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</si>
  <si>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</si>
  <si>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</si>
  <si>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</si>
  <si>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</si>
  <si>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</si>
  <si>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</si>
  <si>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</si>
  <si>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</si>
  <si>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</si>
  <si>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</si>
  <si>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</si>
  <si>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</si>
  <si>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</si>
  <si>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</si>
  <si>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</si>
  <si>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</si>
  <si>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</si>
  <si>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</si>
  <si>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</si>
  <si>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</si>
  <si>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</si>
  <si>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</si>
  <si>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</si>
  <si>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</si>
  <si>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</si>
  <si>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</si>
  <si>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</si>
  <si>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</si>
  <si>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</si>
  <si>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</si>
  <si>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</si>
  <si>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</si>
  <si>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</si>
  <si>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</si>
  <si>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</si>
  <si>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</si>
  <si>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</si>
  <si>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</si>
  <si>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Periodo 1979-2020</t>
  </si>
  <si>
    <t>Importaciones</t>
  </si>
  <si>
    <t>Dentro del grupo de frutas Tropicales y Subtropicales, el plátano es la fruta con mayor importación en Chile. En el año 2020 se importaron 264.242 toneladas de esta fruta, superando en 1,4 veces la cantidad importada en el año 2012.</t>
  </si>
  <si>
    <t>https://analytics.zoho.com/open-view/2395394000007777591?ZOHO_CRITERIA=%22Trasposicion_4.3%22.%22Id_Producto%22%20%3D%20100108</t>
  </si>
  <si>
    <t>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t>
  </si>
  <si>
    <t>https://analytics.zoho.com/open-view/2395394000007777311</t>
  </si>
  <si>
    <t>Periodo 2011-2018</t>
  </si>
  <si>
    <t>Programa de Cáncer de Cuello Uterino</t>
  </si>
  <si>
    <t>https://analytics.zoho.com/open-view/2395394000008047165</t>
  </si>
  <si>
    <t>Programa de VIH/SIDA</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</si>
  <si>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t>
  </si>
  <si>
    <t>Elaboración propia con datos de CONAF/SUD-Austral, CASEN, CENSO 2017.</t>
  </si>
  <si>
    <t>Número de comunas</t>
  </si>
  <si>
    <t>Índice de Vulnerabilidad</t>
  </si>
  <si>
    <t>Vulnerabilidad</t>
  </si>
  <si>
    <t>Medio Ambiente</t>
  </si>
  <si>
    <t>Cantidad de comunas según grado por región</t>
  </si>
  <si>
    <t>Región-Comuna</t>
  </si>
  <si>
    <t>300-C</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</si>
  <si>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</si>
  <si>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</si>
  <si>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</si>
  <si>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</si>
  <si>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</si>
  <si>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</si>
  <si>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</si>
  <si>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</si>
  <si>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</si>
  <si>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</si>
  <si>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</si>
  <si>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</si>
  <si>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</si>
  <si>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</si>
  <si>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</si>
  <si>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</si>
  <si>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</si>
  <si>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</si>
  <si>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</si>
  <si>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</si>
  <si>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</si>
  <si>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</si>
  <si>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</si>
  <si>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t>
  </si>
  <si>
    <t>https://analytics.zoho.com/open-view/2395394000008229874</t>
  </si>
  <si>
    <t>https://analytics.zoho.com/open-view/2395394000006789672</t>
  </si>
  <si>
    <t>https://analytics.zoho.com/open-view/2395394000008231525</t>
  </si>
  <si>
    <t>https://analytics.zoho.com/open-view/2395394000008231718</t>
  </si>
  <si>
    <t>Evolución del Ingreso Promedio Mensual a Escala Nacional (CLP/mes)</t>
  </si>
  <si>
    <t>Comunas con vulnerabilidad alta</t>
  </si>
  <si>
    <t>Comunas con vulnerabilidad alta y moderada por región</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</si>
  <si>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t>
  </si>
  <si>
    <t>Periodo 2016-2021</t>
  </si>
  <si>
    <t>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t>
  </si>
  <si>
    <t>https://app.powerbi.com/view?r=eyJrIjoiZWFlZTlkOTMtZjVmMS00ZTNjLWIwYjctMWQ3YTI0ZDIwMjlmIiwidCI6IjhmYmFhNWJmLTJlY2MtNGRjOC1iNTZiLThmOTJlMzA3ZjA3NiIsImMiOjR9</t>
  </si>
  <si>
    <t>https://app.powerbi.com/view?r=eyJrIjoiYjE4Yzc3NGQtYjM2NS00ZDMwLTg0NDYtOTRjYzQ4MzU0MWI1IiwidCI6IjhmYmFhNWJmLTJlY2MtNGRjOC1iNTZiLThmOTJlMzA3ZjA3NiIsImMiOjR9</t>
  </si>
  <si>
    <t>Servicio Nacional de Pesca y Acuicultura (SERNAPESCA)</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</si>
  <si>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</si>
  <si>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</si>
  <si>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</si>
  <si>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</si>
  <si>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</si>
  <si>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</si>
  <si>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</si>
  <si>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</si>
  <si>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</si>
  <si>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</si>
  <si>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</si>
  <si>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</si>
  <si>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</si>
  <si>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</si>
  <si>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</si>
  <si>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</si>
  <si>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</si>
  <si>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</si>
  <si>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</si>
  <si>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</si>
  <si>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</si>
  <si>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</si>
  <si>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</si>
  <si>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</si>
  <si>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</si>
  <si>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</si>
  <si>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</si>
  <si>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</si>
  <si>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</si>
  <si>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</si>
  <si>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</si>
  <si>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</si>
  <si>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</si>
  <si>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</si>
  <si>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</si>
  <si>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</si>
  <si>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</si>
  <si>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</si>
  <si>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</si>
  <si>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</si>
  <si>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</si>
  <si>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</si>
  <si>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</si>
  <si>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</si>
  <si>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</si>
  <si>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</si>
  <si>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</si>
  <si>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</si>
  <si>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</si>
  <si>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</si>
  <si>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</si>
  <si>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</si>
  <si>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</si>
  <si>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</si>
  <si>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</si>
  <si>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</si>
  <si>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</si>
  <si>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</si>
  <si>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</si>
  <si>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</si>
  <si>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</si>
  <si>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</si>
  <si>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</si>
  <si>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</si>
  <si>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</si>
  <si>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</si>
  <si>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</si>
  <si>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</si>
  <si>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</si>
  <si>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</si>
  <si>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</si>
  <si>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</si>
  <si>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</si>
  <si>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</si>
  <si>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</si>
  <si>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</si>
  <si>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</si>
  <si>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</si>
  <si>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</si>
  <si>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</si>
  <si>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</si>
  <si>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</si>
  <si>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</si>
  <si>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</si>
  <si>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</si>
  <si>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</si>
  <si>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</si>
  <si>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</si>
  <si>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</si>
  <si>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</si>
  <si>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</si>
  <si>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</si>
  <si>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</si>
  <si>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</si>
  <si>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</si>
  <si>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</si>
  <si>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</si>
  <si>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</si>
  <si>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</si>
  <si>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</si>
  <si>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</si>
  <si>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</si>
  <si>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</si>
  <si>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</si>
  <si>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</si>
  <si>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</si>
  <si>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</si>
  <si>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</si>
  <si>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</si>
  <si>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</si>
  <si>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</si>
  <si>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</si>
  <si>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</si>
  <si>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</si>
  <si>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</si>
  <si>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</si>
  <si>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</si>
  <si>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</si>
  <si>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</si>
  <si>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</si>
  <si>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</si>
  <si>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</si>
  <si>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</si>
  <si>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</si>
  <si>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</si>
  <si>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</si>
  <si>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</si>
  <si>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</si>
  <si>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</si>
  <si>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</si>
  <si>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</si>
  <si>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</si>
  <si>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</si>
  <si>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</si>
  <si>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</si>
  <si>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</si>
  <si>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</si>
  <si>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</si>
  <si>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</si>
  <si>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</si>
  <si>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</si>
  <si>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</si>
  <si>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</si>
  <si>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</si>
  <si>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</si>
  <si>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</si>
  <si>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</si>
  <si>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</si>
  <si>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</si>
  <si>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</si>
  <si>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</si>
  <si>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</si>
  <si>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</si>
  <si>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</si>
  <si>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</si>
  <si>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</si>
  <si>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</si>
  <si>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</si>
  <si>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</si>
  <si>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</si>
  <si>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</si>
  <si>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</si>
  <si>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</si>
  <si>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</si>
  <si>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</si>
  <si>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</si>
  <si>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</si>
  <si>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</si>
  <si>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</si>
  <si>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</si>
  <si>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</si>
  <si>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</si>
  <si>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</si>
  <si>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</si>
  <si>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</si>
  <si>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</si>
  <si>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</si>
  <si>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</si>
  <si>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</si>
  <si>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</si>
  <si>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</si>
  <si>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</si>
  <si>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</si>
  <si>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</si>
  <si>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</si>
  <si>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</si>
  <si>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</si>
  <si>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</si>
  <si>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</si>
  <si>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</si>
  <si>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</si>
  <si>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</si>
  <si>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</si>
  <si>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</si>
  <si>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</si>
  <si>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</si>
  <si>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</si>
  <si>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</si>
  <si>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</si>
  <si>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</si>
  <si>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</si>
  <si>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</si>
  <si>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</si>
  <si>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</si>
  <si>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</si>
  <si>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</si>
  <si>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</si>
  <si>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</si>
  <si>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</si>
  <si>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</si>
  <si>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</si>
  <si>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</si>
  <si>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</si>
  <si>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</si>
  <si>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</si>
  <si>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</si>
  <si>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</si>
  <si>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</si>
  <si>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</si>
  <si>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</si>
  <si>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</si>
  <si>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</si>
  <si>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</si>
  <si>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</si>
  <si>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</si>
  <si>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</si>
  <si>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</si>
  <si>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</si>
  <si>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</si>
  <si>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</si>
  <si>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</si>
  <si>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</si>
  <si>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</si>
  <si>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</si>
  <si>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</si>
  <si>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</si>
  <si>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</si>
  <si>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</si>
  <si>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</si>
  <si>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</si>
  <si>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</si>
  <si>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</si>
  <si>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</si>
  <si>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</si>
  <si>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</si>
  <si>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</si>
  <si>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</si>
  <si>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</si>
  <si>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</si>
  <si>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</si>
  <si>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</si>
  <si>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</si>
  <si>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</si>
  <si>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</si>
  <si>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</si>
  <si>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</si>
  <si>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</si>
  <si>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</si>
  <si>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</si>
  <si>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</si>
  <si>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</si>
  <si>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</si>
  <si>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</si>
  <si>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</si>
  <si>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</si>
  <si>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</si>
  <si>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</si>
  <si>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</si>
  <si>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</si>
  <si>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</si>
  <si>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</si>
  <si>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</si>
  <si>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</si>
  <si>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</si>
  <si>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</si>
  <si>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</si>
  <si>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</si>
  <si>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</si>
  <si>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</si>
  <si>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</si>
  <si>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</si>
  <si>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</si>
  <si>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</si>
  <si>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</si>
  <si>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</si>
  <si>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</si>
  <si>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</si>
  <si>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</si>
  <si>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</si>
  <si>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</si>
  <si>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</si>
  <si>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</si>
  <si>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</si>
  <si>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</si>
  <si>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</si>
  <si>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</si>
  <si>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</si>
  <si>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</si>
  <si>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</si>
  <si>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</si>
  <si>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</si>
  <si>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</si>
  <si>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</si>
  <si>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</si>
  <si>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</si>
  <si>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</si>
  <si>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</si>
  <si>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</si>
  <si>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</si>
  <si>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</si>
  <si>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</si>
  <si>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</si>
  <si>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</si>
  <si>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</si>
  <si>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</si>
  <si>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</si>
  <si>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</si>
  <si>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</si>
  <si>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</si>
  <si>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</si>
  <si>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</si>
  <si>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</si>
  <si>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</si>
  <si>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</si>
  <si>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</si>
  <si>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</si>
  <si>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</si>
  <si>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</si>
  <si>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</si>
  <si>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</si>
  <si>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</si>
  <si>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</si>
  <si>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</si>
  <si>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</si>
  <si>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</si>
  <si>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</si>
  <si>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</si>
  <si>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</si>
  <si>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</si>
  <si>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</si>
  <si>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</si>
  <si>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</si>
  <si>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</si>
  <si>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</si>
  <si>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</si>
  <si>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</si>
  <si>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</si>
  <si>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</si>
  <si>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</si>
  <si>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</si>
  <si>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</si>
  <si>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</si>
  <si>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</si>
  <si>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</si>
  <si>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</si>
  <si>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</si>
  <si>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</si>
  <si>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</si>
  <si>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</si>
  <si>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</si>
  <si>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</si>
  <si>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</si>
  <si>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</si>
  <si>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</si>
  <si>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</si>
  <si>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</si>
  <si>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</si>
  <si>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</si>
  <si>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1103</t>
  </si>
  <si>
    <t>1104</t>
  </si>
  <si>
    <t>1105</t>
  </si>
  <si>
    <t>1106</t>
  </si>
  <si>
    <t>1124</t>
  </si>
  <si>
    <t>Número de personas</t>
  </si>
  <si>
    <t>Población por sexo</t>
  </si>
  <si>
    <t>Instituto Nacional de Estadísticas (INE)</t>
  </si>
  <si>
    <t>Defunciones</t>
  </si>
  <si>
    <t>https://app.powerbi.com/view?r=eyJrIjoiZjJhYWRiZjAtNTRkMC00ZmZhLWFmZmUtMjljYjc5MzRiMTZjIiwidCI6IjhmYmFhNWJmLTJlY2MtNGRjOC1iNTZiLThmOTJlMzA3ZjA3NiIsImMiOjR9</t>
  </si>
  <si>
    <t>Periodo 2010-2021</t>
  </si>
  <si>
    <t>Nacimientos</t>
  </si>
  <si>
    <t>Transporte y tránsito</t>
  </si>
  <si>
    <t>Permisos de circulación</t>
  </si>
  <si>
    <t>Número de permisos de circulación</t>
  </si>
  <si>
    <t>Periodo 2008-2019</t>
  </si>
  <si>
    <t>Permisos de circulación anuales por región</t>
  </si>
  <si>
    <t>Our World In Data</t>
  </si>
  <si>
    <t>Periodo 1990-2019</t>
  </si>
  <si>
    <t>https://analytics.zoho.com/open-view/2395394000007837327</t>
  </si>
  <si>
    <t>https://analytics.zoho.com/open-view/2395394000007837543</t>
  </si>
  <si>
    <t>Las emisiones de CO2 que han sufrido las más amplias variaciones entre los años 1990 y 2019 son las del gas. La variación porcentual anual más alta fue en el año 1997 y la más negativa fue en 2008.</t>
  </si>
  <si>
    <t>Dada la predicción para el año 2025, las emisiones per cápita de CO2 por quema de petróleo serán de 4,1 (t), mientras que para el gas serán de 0,6 (t) y para el carbón de 1 (t).</t>
  </si>
  <si>
    <t>Elaboración propia basada en Our World In Data</t>
  </si>
  <si>
    <t>https://analytics.zoho.com/open-view/2395394000007837090</t>
  </si>
  <si>
    <t>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t>
  </si>
  <si>
    <t>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t>
  </si>
  <si>
    <t>https://analytics.zoho.com/open-view/2395394000007891846</t>
  </si>
  <si>
    <t>Periodo 2005-2019</t>
  </si>
  <si>
    <t>Personas</t>
  </si>
  <si>
    <t>https://analytics.zoho.com/open-view/2395394000008038511</t>
  </si>
  <si>
    <t>Trabajadores dependientes</t>
  </si>
  <si>
    <t>Tamaño empresa</t>
  </si>
  <si>
    <t>Trabajadores dependientes o a honorarios</t>
  </si>
  <si>
    <t>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t>
  </si>
  <si>
    <t>https://analytics.zoho.com/open-view/2395394000008195941</t>
  </si>
  <si>
    <t>0018</t>
  </si>
  <si>
    <t>0054</t>
  </si>
  <si>
    <t>0055</t>
  </si>
  <si>
    <t>0056</t>
  </si>
  <si>
    <t>0057</t>
  </si>
  <si>
    <t>0058</t>
  </si>
  <si>
    <t>0059</t>
  </si>
  <si>
    <t>0060</t>
  </si>
  <si>
    <t>0061</t>
  </si>
  <si>
    <t>0062</t>
  </si>
  <si>
    <t>0063</t>
  </si>
  <si>
    <t>0064</t>
  </si>
  <si>
    <t>0065</t>
  </si>
  <si>
    <t>0066</t>
  </si>
  <si>
    <t>0067</t>
  </si>
  <si>
    <t>0068</t>
  </si>
  <si>
    <t>0069</t>
  </si>
  <si>
    <t>https://analytics.zoho.com/open-view/2395394000008181172</t>
  </si>
  <si>
    <t>https://analytics.zoho.com/open-view/2395394000007777467</t>
  </si>
  <si>
    <t xml:space="preserve">Capacidad Instalada </t>
  </si>
  <si>
    <t>https://analytics.zoho.com/open-view/2395394000008439156</t>
  </si>
  <si>
    <t>https://analytics.zoho.com/open-view/2395394000008435674</t>
  </si>
  <si>
    <t>SIMCE</t>
  </si>
  <si>
    <t>Agencia de Calidad de la Educación</t>
  </si>
  <si>
    <t>Periodo 2015 - 2018</t>
  </si>
  <si>
    <t>https://analytics.zoho.com/open-view/2395394000007908466</t>
  </si>
  <si>
    <t>Puntaje</t>
  </si>
  <si>
    <t>https://analytics.zoho.com/open-view/2395394000007908947</t>
  </si>
  <si>
    <t>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t>
  </si>
  <si>
    <t>Periodo 2014 - 2019</t>
  </si>
  <si>
    <t>Indicadores de Desarrollo Personal y Social</t>
  </si>
  <si>
    <t>https://analytics.zoho.com/open-view/2395394000007832763</t>
  </si>
  <si>
    <t>Femicidios</t>
  </si>
  <si>
    <t>Cantidad de víctimas por edad</t>
  </si>
  <si>
    <t>Número de víctimas</t>
  </si>
  <si>
    <t>Entre los 0 y 95 años se registran victimas de femicidio a partir del año 2010 a la fecha, concentrándose la mayor cantidad de víctimas en el rango etario comprendido entre los 16 y los 54 años.</t>
  </si>
  <si>
    <t>https://analytics.zoho.com/open-view/2395394000007849686</t>
  </si>
  <si>
    <t>La mayor cantidad de femicidios se llevan a cabo por los convivientes, cónyuges, ex convivientes o ex cónyuges.</t>
  </si>
  <si>
    <t xml:space="preserve">Cantidad de víctimas por relación con el femicida </t>
  </si>
  <si>
    <t>https://analytics.zoho.com/open-view/2395394000007849604</t>
  </si>
  <si>
    <t>Cantidad de víctimas de femicidios en Chile</t>
  </si>
  <si>
    <t>Periodo 2018-2021</t>
  </si>
  <si>
    <t>Ministerio de la Mujer y Equidad de Género (MINMEG)</t>
  </si>
  <si>
    <t>https://analytics.zoho.com/open-view/2395394000007774595</t>
  </si>
  <si>
    <t>Comparando los últimos 4 años, coincide el número de víctimas registradas a finales del primer semestre, las que bordean los 20 casos.</t>
  </si>
  <si>
    <t>Al mes de mayo del año 2021, el parque vehicular escolar registra 26.550 vehículos, siendo la región Metropolitana la que lidera la cifra con un total de 8.268 vehículos. La región del Biobío es la segunda región con la mayor cantidad de estos, alcanzando los 2.974 vehículos.</t>
  </si>
  <si>
    <t>Periodo 2014-2021</t>
  </si>
  <si>
    <t>Cantidad de vehículos escolares por región</t>
  </si>
  <si>
    <t>https://public.flourish.studio/visualisation/6688416/</t>
  </si>
  <si>
    <t>Periodo 1997-2020</t>
  </si>
  <si>
    <t>Detalle Programas e Instituciones</t>
  </si>
  <si>
    <t>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t>
  </si>
  <si>
    <t>Número de fallecidos</t>
  </si>
  <si>
    <t>Periodo 2015-2018</t>
  </si>
  <si>
    <t>https://analytics.zoho.com/open-view/2395394000007946692</t>
  </si>
  <si>
    <t>https://analytics.zoho.com/open-view/2395394000007908748</t>
  </si>
  <si>
    <t>https://analytics.zoho.com/open-view/2395394000007959800</t>
  </si>
  <si>
    <t>https://analytics.zoho.com/open-view/2395394000007946934</t>
  </si>
  <si>
    <t>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t>
  </si>
  <si>
    <t>Al comparar la superficie autorizada para edificaciones entre los meses de mayo del 2020 y 2021, se observa que las obras nuevas disminuyeron, mientras que las ampliaciones aumentaron, sin importar si la edificación posee un uso habitacional o no habitacional.</t>
  </si>
  <si>
    <t>https://public.flourish.studio/visualisation/6691988/</t>
  </si>
  <si>
    <t>Superficie de edificación autorizada en Chile</t>
  </si>
  <si>
    <t>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t>
  </si>
  <si>
    <t>Trabajadores por sexo</t>
  </si>
  <si>
    <t>https://analytics.zoho.com/open-view/2395394000008038558</t>
  </si>
  <si>
    <t>CLP</t>
  </si>
  <si>
    <t>Renta neta informada</t>
  </si>
  <si>
    <t>Renta neta</t>
  </si>
  <si>
    <t>https://analytics.zoho.com/open-view/2395394000008435942</t>
  </si>
  <si>
    <t>El número de empresas aumentó sostenidamente durante los años comprendidos en el periodo 2005-2019. Las empresas correspondientes al tramo Sin Ventas, presentan el mayor crecimiento durante todo este periodo, seguido por los tramos Micro 3 y Micro 1.</t>
  </si>
  <si>
    <t>Número de empresas</t>
  </si>
  <si>
    <t>Empresas</t>
  </si>
  <si>
    <t>Empresas por tamaño</t>
  </si>
  <si>
    <t>https://analytics.zoho.com/open-view/2395394000008438077</t>
  </si>
  <si>
    <t>Programa de Salud Cardiovascular</t>
  </si>
  <si>
    <t>Categoría</t>
  </si>
  <si>
    <t>Año 2018</t>
  </si>
  <si>
    <t>https://analytics.zoho.com/open-view/2395394000008043046</t>
  </si>
  <si>
    <t>Periodo 1990-2018</t>
  </si>
  <si>
    <t>Kilotoneladas</t>
  </si>
  <si>
    <t>https://analytics.zoho.com/open-view/2395394000007900622</t>
  </si>
  <si>
    <t>Sistema Nacional de Inventarios de Gases de Efecto Invernadero</t>
  </si>
  <si>
    <t>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t>
  </si>
  <si>
    <t>Absorciones de CO2</t>
  </si>
  <si>
    <t>Emisiones netas de CO2</t>
  </si>
  <si>
    <t>En el año 1990, se observó la cantidad más baja de emisiones netas de CO2 en el país, con -684 kilotoneladas (kt), mientras que en el año 2017 ocurrió la más alta, alcanzando 6.219 (kt).</t>
  </si>
  <si>
    <t>https://analytics.zoho.com/open-view/2395394000007906094</t>
  </si>
  <si>
    <t>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t>
  </si>
  <si>
    <t>https://analytics.zoho.com/open-view/2395394000007972705</t>
  </si>
  <si>
    <t>El subsector que más CO2 equivalente emitió en el año 2018 fue "Actividades de quema de combustible", alcanzando 85.974 kilotoneladas (kt). Por el contrario, el subsector que absorbió más CO2 equivalente fue "Tierras forestales", llegando a absorber 61.344 (kt).</t>
  </si>
  <si>
    <t>https://analytics.zoho.com/open-view/2395394000008027347</t>
  </si>
  <si>
    <t>Durante el año tributario 2019, en la región de Magallanes se registraron 855 hombres trabajadores dependientes informados y 83 mujeres trabajadoras dependientes informadas, en el rubro B-Explotación minera y canteras.</t>
  </si>
  <si>
    <t>https://analytics.zoho.com/open-view/2395394000008532437</t>
  </si>
  <si>
    <t>A nivel nacional, las ventas anuales en UF muestran una tendencia de crecimiento exponencial, llegando hasta 529.791.788 UF en el rubro de L-Actividades Inmobiliarias.</t>
  </si>
  <si>
    <t>https://analytics.zoho.com/open-view/2395394000008025748</t>
  </si>
  <si>
    <t>https://analytics.zoho.com/open-view/2395394000008034444</t>
  </si>
  <si>
    <t>Servicio de Salud</t>
  </si>
  <si>
    <t>https://analytics.zoho.com/open-view/2395394000008034280</t>
  </si>
  <si>
    <t>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t>
  </si>
  <si>
    <t>Incendios Forestales</t>
  </si>
  <si>
    <t>Número de incendios y Hectáreas</t>
  </si>
  <si>
    <t>Elecciones</t>
  </si>
  <si>
    <t>Servicio Electoral (SERVEL)</t>
  </si>
  <si>
    <t>Periodo 1990-2020</t>
  </si>
  <si>
    <t>Número de cupos</t>
  </si>
  <si>
    <t>Candidatos electos</t>
  </si>
  <si>
    <t>Cupos</t>
  </si>
  <si>
    <t>Periodo 1993-2019</t>
  </si>
  <si>
    <t>https://analytics.zoho.com/open-view/2395394000008461061</t>
  </si>
  <si>
    <t>Empresas vigentes</t>
  </si>
  <si>
    <t xml:space="preserve">Trabajadores </t>
  </si>
  <si>
    <t>Número de trabajadores</t>
  </si>
  <si>
    <t>https://analytics.zoho.com/open-view/2395394000008461297</t>
  </si>
  <si>
    <t>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t>
  </si>
  <si>
    <t>https://analytics.zoho.com/open-view/2395394000008049492</t>
  </si>
  <si>
    <t>Periodo 2012-2018</t>
  </si>
  <si>
    <t>https://analytics.zoho.com/open-view/2395394000008049248</t>
  </si>
  <si>
    <t>https://analytics.zoho.com/open-view/2395394000008049343</t>
  </si>
  <si>
    <t>Espacios culturales</t>
  </si>
  <si>
    <t>Las comunas que tienen más de 50 espacios culturales son Santiago, Valparaíso y Providencia, con 104, 60 y 51 espacios, respectivamente.</t>
  </si>
  <si>
    <t>https://analytics.zoho.com/open-view/2395394000008046482</t>
  </si>
  <si>
    <t>https://analytics.zoho.com/open-view/2395394000008056809</t>
  </si>
  <si>
    <t>La categoría de espacio cultural que predomina en Chile es "Otros espacios con uso cultural". En ella, Valparaíso tiene 153 espacios. Por otro lado, la categoría menos habitual es "Carpa de Circo", con solo 5 espacios, repartidos en Coquimbo, Valparaíso y Ñuble.</t>
  </si>
  <si>
    <t>https://analytics.zoho.com/open-view/2395394000008056334</t>
  </si>
  <si>
    <t>Ubicación</t>
  </si>
  <si>
    <t>Lat-Long</t>
  </si>
  <si>
    <t xml:space="preserve">Mapa </t>
  </si>
  <si>
    <t>https://analytics.zoho.com/open-view/2395394000008643867</t>
  </si>
  <si>
    <t>https://analytics.zoho.com/open-view/2395394000008645520</t>
  </si>
  <si>
    <t>https://public.flourish.studio/visualisation/6936641/</t>
  </si>
  <si>
    <t>https://analytics.zoho.com/open-view/2395394000008645674</t>
  </si>
  <si>
    <t>https://analytics.zoho.com/open-view/2395394000008646336</t>
  </si>
  <si>
    <t>https://app.powerbi.com/view?r=eyJrIjoiODUwZTBkYWItOTg4OC00NTY4LThmOGYtNmY1Yjg4ZTBiYThlIiwidCI6IjhmYmFhNWJmLTJlY2MtNGRjOC1iNTZiLThmOTJlMzA3ZjA3NiIsImMiOjR9</t>
  </si>
  <si>
    <t>https://app.powerbi.com/view?r=eyJrIjoiNDJiYjBiMTgtMDI3MC00MTYzLWIyNjctOWY3YWI3MzQ5OTZmIiwidCI6IjhmYmFhNWJmLTJlY2MtNGRjOC1iNTZiLThmOTJlMzA3ZjA3NiIsImMiOjR9</t>
  </si>
  <si>
    <t>https://app.powerbi.com/view?r=eyJrIjoiYTkxMWQzMWItYjVkZC00MDM1LWI1N2YtODI3ZTcwMjZlMTJhIiwidCI6IjhmYmFhNWJmLTJlY2MtNGRjOC1iNTZiLThmOTJlMzA3ZjA3NiIsImMiOjR9</t>
  </si>
  <si>
    <t>https://app.powerbi.com/view?r=eyJrIjoiMzM3MzQwMDMtMzNkNS00ZmJjLWI4NTgtNzQzNDViZjM2ZDdhIiwidCI6IjhmYmFhNWJmLTJlY2MtNGRjOC1iNTZiLThmOTJlMzA3ZjA3NiIsImMiOjR9</t>
  </si>
  <si>
    <t>https://app.powerbi.com/view?r=eyJrIjoiYzQyZThjYTctOTk5OS00NTY4LWJmZWEtZDYzMjdhNDE5N2Y5IiwidCI6IjhmYmFhNWJmLTJlY2MtNGRjOC1iNTZiLThmOTJlMzA3ZjA3NiIsImMiOjR9</t>
  </si>
  <si>
    <t>https://app.powerbi.com/view?r=eyJrIjoiNGEyYjQ5YjQtM2RlMy00NzZmLTg2YjUtOWE5YTg4NmZmYTJiIiwidCI6IjhmYmFhNWJmLTJlY2MtNGRjOC1iNTZiLThmOTJlMzA3ZjA3NiIsImMiOjR9</t>
  </si>
  <si>
    <t>https://app.powerbi.com/view?r=eyJrIjoiZjFmZDM4OTItZTEwYi00Mjk2LWJiNWUtMGQ5ZTNlOTVkNjZlIiwidCI6IjhmYmFhNWJmLTJlY2MtNGRjOC1iNTZiLThmOTJlMzA3ZjA3NiIsImMiOjR9</t>
  </si>
  <si>
    <t>https://app.powerbi.com/view?r=eyJrIjoiMDI1ZjhhZTctMDhlZi00ZmI1LWIzMjctMzMxM2ZhYzMxN2QzIiwidCI6IjhmYmFhNWJmLTJlY2MtNGRjOC1iNTZiLThmOTJlMzA3ZjA3NiIsImMiOjR9</t>
  </si>
  <si>
    <t>https://app.powerbi.com/view?r=eyJrIjoiZDFmNjZkOGEtZmZjZS00NTVjLWFiYzgtN2M0NDQ0M2NiNmJjIiwidCI6IjhmYmFhNWJmLTJlY2MtNGRjOC1iNTZiLThmOTJlMzA3ZjA3NiIsImMiOjR9</t>
  </si>
  <si>
    <t>https://app.powerbi.com/view?r=eyJrIjoiZjg1YTE4MDktYzFmNi00YjcyLWFlMWMtM2I5ZjhlOGZiNjM1IiwidCI6IjhmYmFhNWJmLTJlY2MtNGRjOC1iNTZiLThmOTJlMzA3ZjA3NiIsImMiOjR9</t>
  </si>
  <si>
    <t>https://app.powerbi.com/view?r=eyJrIjoiYWFlYWExNTItZDc4YS00MmVlLThjYmQtZDE0Mjg4MDI4ZTZiIiwidCI6IjhmYmFhNWJmLTJlY2MtNGRjOC1iNTZiLThmOTJlMzA3ZjA3NiIsImMiOjR9</t>
  </si>
  <si>
    <t>https://app.powerbi.com/view?r=eyJrIjoiNmQ4YjE5NzAtZjZhYy00NzMxLWI5MTAtNGM4YzQzZGIyNTgwIiwidCI6IjhmYmFhNWJmLTJlY2MtNGRjOC1iNTZiLThmOTJlMzA3ZjA3NiIsImMiOjR9&amp;pageName=ReportSection9386d36f00b3701c0c1d</t>
  </si>
  <si>
    <t>https://app.powerbi.com/view?r=eyJrIjoiYjc2MjY2MjYtZDUyZS00MjUwLWI1MWItOTFkN2I5NzJhZWQzIiwidCI6IjhmYmFhNWJmLTJlY2MtNGRjOC1iNTZiLThmOTJlMzA3ZjA3NiIsImMiOjR9</t>
  </si>
  <si>
    <t>https://app.powerbi.com/view?r=eyJrIjoiNjllOGM2MWUtZmRjNS00ZGRjLTk2NDEtYTQ4MDRiMWY3MTQ0IiwidCI6IjhmYmFhNWJmLTJlY2MtNGRjOC1iNTZiLThmOTJlMzA3ZjA3NiIsImMiOjR9</t>
  </si>
  <si>
    <t>https://app.powerbi.com/view?r=eyJrIjoiYmM4NDNmZGQtNDEzMS00MzRkLWJiZWUtYjljYWE2MGU5NzgwIiwidCI6IjhmYmFhNWJmLTJlY2MtNGRjOC1iNTZiLThmOTJlMzA3ZjA3NiIsImMiOjR9</t>
  </si>
  <si>
    <t>https://app.powerbi.com/view?r=eyJrIjoiOWVmOWU0YTYtZWY0NS00ZTZlLWJlMDMtYTMwNWVjOTU5YTNhIiwidCI6IjhmYmFhNWJmLTJlY2MtNGRjOC1iNTZiLThmOTJlMzA3ZjA3NiIsImMiOjR9</t>
  </si>
  <si>
    <t>Periodo 2008-2020</t>
  </si>
  <si>
    <t>https://analytics.zoho.com/open-view/2395394000008099175</t>
  </si>
  <si>
    <t>0127</t>
  </si>
  <si>
    <t>0128</t>
  </si>
  <si>
    <t>0129</t>
  </si>
  <si>
    <t>0132</t>
  </si>
  <si>
    <t>0137</t>
  </si>
  <si>
    <t>0138</t>
  </si>
  <si>
    <t>0140</t>
  </si>
  <si>
    <t>0144</t>
  </si>
  <si>
    <t>0145</t>
  </si>
  <si>
    <t>0146</t>
  </si>
  <si>
    <t>0149</t>
  </si>
  <si>
    <t>0154</t>
  </si>
  <si>
    <t>0155</t>
  </si>
  <si>
    <t>0157</t>
  </si>
  <si>
    <t>0441</t>
  </si>
  <si>
    <t>0442</t>
  </si>
  <si>
    <t>0443</t>
  </si>
  <si>
    <t>0444</t>
  </si>
  <si>
    <t>0445</t>
  </si>
  <si>
    <t>0446</t>
  </si>
  <si>
    <t>0447</t>
  </si>
  <si>
    <t>0448</t>
  </si>
  <si>
    <t>0449</t>
  </si>
  <si>
    <t>0450</t>
  </si>
  <si>
    <t>0451</t>
  </si>
  <si>
    <t>0452</t>
  </si>
  <si>
    <t>0453</t>
  </si>
  <si>
    <t>0454</t>
  </si>
  <si>
    <t>0455</t>
  </si>
  <si>
    <t>0456</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</si>
  <si>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</si>
  <si>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</si>
  <si>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</si>
  <si>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</si>
  <si>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</si>
  <si>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</si>
  <si>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</si>
  <si>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</si>
  <si>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</si>
  <si>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</si>
  <si>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</si>
  <si>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</si>
  <si>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</si>
  <si>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</si>
  <si>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</si>
  <si>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</si>
  <si>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</si>
  <si>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</si>
  <si>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</si>
  <si>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</si>
  <si>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</si>
  <si>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</si>
  <si>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</si>
  <si>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</si>
  <si>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</si>
  <si>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</si>
  <si>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</si>
  <si>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</si>
  <si>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</si>
  <si>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</si>
  <si>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</si>
  <si>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</si>
  <si>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</si>
  <si>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</si>
  <si>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</si>
  <si>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</si>
  <si>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</si>
  <si>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</si>
  <si>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</si>
  <si>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</si>
  <si>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</si>
  <si>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</si>
  <si>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</si>
  <si>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</si>
  <si>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</si>
  <si>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</si>
  <si>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</si>
  <si>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</si>
  <si>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</si>
  <si>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</si>
  <si>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</si>
  <si>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</si>
  <si>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</si>
  <si>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</si>
  <si>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</si>
  <si>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</si>
  <si>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</si>
  <si>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</si>
  <si>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</si>
  <si>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</si>
  <si>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</si>
  <si>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</si>
  <si>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</si>
  <si>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</si>
  <si>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</si>
  <si>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</si>
  <si>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</si>
  <si>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</si>
  <si>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</si>
  <si>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</si>
  <si>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</si>
  <si>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</si>
  <si>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</si>
  <si>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</si>
  <si>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</si>
  <si>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</si>
  <si>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</si>
  <si>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</si>
  <si>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</si>
  <si>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</si>
  <si>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</si>
  <si>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</si>
  <si>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</si>
  <si>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</si>
  <si>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</si>
  <si>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</si>
  <si>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</si>
  <si>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</si>
  <si>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</si>
  <si>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</si>
  <si>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</si>
  <si>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</si>
  <si>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</si>
  <si>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</si>
  <si>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</si>
  <si>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</si>
  <si>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</si>
  <si>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</si>
  <si>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</si>
  <si>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</si>
  <si>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</si>
  <si>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</si>
  <si>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</si>
  <si>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</si>
  <si>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</si>
  <si>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</si>
  <si>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</si>
  <si>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</si>
  <si>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</si>
  <si>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</si>
  <si>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</si>
  <si>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</si>
  <si>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</si>
  <si>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</si>
  <si>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</si>
  <si>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</si>
  <si>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</si>
  <si>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</si>
  <si>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</si>
  <si>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</si>
  <si>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</si>
  <si>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</si>
  <si>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</si>
  <si>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</si>
  <si>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</si>
  <si>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</si>
  <si>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</si>
  <si>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</si>
  <si>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</si>
  <si>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</si>
  <si>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</si>
  <si>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</si>
  <si>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</si>
  <si>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</si>
  <si>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</si>
  <si>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</si>
  <si>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</si>
  <si>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</si>
  <si>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</si>
  <si>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</si>
  <si>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</si>
  <si>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</si>
  <si>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</si>
  <si>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</si>
  <si>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</si>
  <si>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</si>
  <si>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</si>
  <si>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</si>
  <si>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</si>
  <si>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</si>
  <si>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</si>
  <si>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</si>
  <si>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</si>
  <si>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</si>
  <si>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</si>
  <si>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</si>
  <si>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</si>
  <si>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</si>
  <si>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</si>
  <si>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</si>
  <si>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</si>
  <si>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</si>
  <si>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</si>
  <si>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</si>
  <si>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</si>
  <si>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</si>
  <si>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</si>
  <si>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</si>
  <si>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</si>
  <si>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</si>
  <si>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</si>
  <si>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</si>
  <si>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</si>
  <si>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</si>
  <si>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</si>
  <si>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</si>
  <si>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</si>
  <si>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</si>
  <si>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</si>
  <si>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</si>
  <si>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</si>
  <si>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</si>
  <si>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</si>
  <si>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</si>
  <si>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</si>
  <si>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</si>
  <si>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</si>
  <si>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</si>
  <si>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</si>
  <si>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</si>
  <si>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</si>
  <si>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</si>
  <si>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</si>
  <si>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</si>
  <si>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</si>
  <si>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</si>
  <si>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</si>
  <si>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</si>
  <si>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</si>
  <si>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</si>
  <si>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</si>
  <si>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</si>
  <si>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</si>
  <si>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</si>
  <si>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</si>
  <si>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</si>
  <si>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</si>
  <si>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</si>
  <si>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</si>
  <si>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</si>
  <si>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</si>
  <si>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</si>
  <si>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</si>
  <si>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</si>
  <si>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</si>
  <si>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</si>
  <si>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</si>
  <si>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</si>
  <si>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</si>
  <si>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</si>
  <si>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</si>
  <si>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</si>
  <si>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</si>
  <si>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</si>
  <si>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</si>
  <si>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</si>
  <si>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</si>
  <si>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</si>
  <si>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</si>
  <si>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</si>
  <si>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</si>
  <si>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</si>
  <si>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</si>
  <si>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</si>
  <si>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</si>
  <si>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</si>
  <si>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</si>
  <si>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</si>
  <si>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</si>
  <si>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</si>
  <si>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</si>
  <si>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</si>
  <si>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</si>
  <si>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</si>
  <si>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</si>
  <si>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</si>
  <si>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</si>
  <si>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</si>
  <si>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</si>
  <si>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</si>
  <si>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</si>
  <si>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</si>
  <si>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</si>
  <si>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</si>
  <si>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</si>
  <si>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https://analytics.zoho.com/open-view/2395394000008099329</t>
  </si>
  <si>
    <t>La Población en Control del Programa VIH/SIDA aumentó entre los años 2012 y 2018, superando los 35 mil casos para este último año, el doble de la cantidad vista al principio del periodo.</t>
  </si>
  <si>
    <t>https://analytics.zoho.com/open-view/2395394000008099475</t>
  </si>
  <si>
    <t>Ingreso por etnia</t>
  </si>
  <si>
    <t>Ingreso Promedio Regional</t>
  </si>
  <si>
    <t>Ingreso Promedio Nacional</t>
  </si>
  <si>
    <t>Total COVID-19</t>
  </si>
  <si>
    <t>Total Vulnerabilidad</t>
  </si>
  <si>
    <t>Total Empresas</t>
  </si>
  <si>
    <t>Total Elecciones</t>
  </si>
  <si>
    <t>100-C-2</t>
  </si>
  <si>
    <t>100-C-15</t>
  </si>
  <si>
    <t>100-C-3</t>
  </si>
  <si>
    <t>100-C-11</t>
  </si>
  <si>
    <t>100-C-4</t>
  </si>
  <si>
    <t>100-C-9</t>
  </si>
  <si>
    <t>100-C-10</t>
  </si>
  <si>
    <t>100-C-14</t>
  </si>
  <si>
    <t>100-C-12</t>
  </si>
  <si>
    <t>100-C-7</t>
  </si>
  <si>
    <t>100-C-16</t>
  </si>
  <si>
    <t>100-C-6</t>
  </si>
  <si>
    <t>100-C-1</t>
  </si>
  <si>
    <t>100-C-5</t>
  </si>
  <si>
    <t>100-C-8</t>
  </si>
  <si>
    <t>200-C-13</t>
  </si>
  <si>
    <t>100-R-2</t>
  </si>
  <si>
    <t>100-R-15</t>
  </si>
  <si>
    <t>100-R-3</t>
  </si>
  <si>
    <t>100-R-11</t>
  </si>
  <si>
    <t>100-R-4</t>
  </si>
  <si>
    <t>100-R-9</t>
  </si>
  <si>
    <t>100-R-10</t>
  </si>
  <si>
    <t>100-R-14</t>
  </si>
  <si>
    <t>100-R-12</t>
  </si>
  <si>
    <t>100-R-7</t>
  </si>
  <si>
    <t>100-R-16</t>
  </si>
  <si>
    <t>100-R-6</t>
  </si>
  <si>
    <t>100-R-1</t>
  </si>
  <si>
    <t>100-R-5</t>
  </si>
  <si>
    <t>100-R-8</t>
  </si>
  <si>
    <t>200-R-13</t>
  </si>
  <si>
    <t>Ingresos Históricos</t>
  </si>
  <si>
    <t>Violencia Contra la Mujer</t>
  </si>
  <si>
    <t>Agricultura</t>
  </si>
  <si>
    <t>Delincuencia</t>
  </si>
  <si>
    <t>Territorio</t>
  </si>
  <si>
    <t>Glaciares</t>
  </si>
  <si>
    <t>Demografía</t>
  </si>
  <si>
    <t>Inventario de Gases de Efecto Invernadero (GEI)</t>
  </si>
  <si>
    <t>Trabajo</t>
  </si>
  <si>
    <t>Transporte</t>
  </si>
  <si>
    <t>Total Ingresos Históricos</t>
  </si>
  <si>
    <t>Total Violencia Contra la Mujer</t>
  </si>
  <si>
    <t>Total Agricultura</t>
  </si>
  <si>
    <t>Total Delincuencia</t>
  </si>
  <si>
    <t>Total Territorio</t>
  </si>
  <si>
    <t>Total Energía</t>
  </si>
  <si>
    <t>Total Glaciares</t>
  </si>
  <si>
    <t>Total Demografía</t>
  </si>
  <si>
    <t>Total Transporte</t>
  </si>
  <si>
    <t>Total Inventario de Gases de Efecto Invernadero (GEI)</t>
  </si>
  <si>
    <t>Cultura</t>
  </si>
  <si>
    <t>Mujer Salud</t>
  </si>
  <si>
    <t>Programas de Salud</t>
  </si>
  <si>
    <t>Forestal</t>
  </si>
  <si>
    <t>Evaluación de Programas</t>
  </si>
  <si>
    <t>Total Evaluación de Programas</t>
  </si>
  <si>
    <t>Total Forestal</t>
  </si>
  <si>
    <t>Total Cultura</t>
  </si>
  <si>
    <t>Total Mujer Salud</t>
  </si>
  <si>
    <t>Total Programas de Salud</t>
  </si>
  <si>
    <t>Total Vivienda y Construcción</t>
  </si>
  <si>
    <t>Pueblos Indígenas</t>
  </si>
  <si>
    <t>Total Pueblos Indígenas</t>
  </si>
  <si>
    <t>Gestión Municipal Territorial</t>
  </si>
  <si>
    <t>https://analytics.zoho.com/open-view/2395394000008069848</t>
  </si>
  <si>
    <t>Periodo 2006-2019</t>
  </si>
  <si>
    <t>Número de Predios</t>
  </si>
  <si>
    <t>1108</t>
  </si>
  <si>
    <t>Establecimientos de Salud</t>
  </si>
  <si>
    <t>Número de Establecimientos</t>
  </si>
  <si>
    <t>https://analytics.zoho.com/open-view/2395394000008230301</t>
  </si>
  <si>
    <t>1109</t>
  </si>
  <si>
    <t>1110</t>
  </si>
  <si>
    <t>1111</t>
  </si>
  <si>
    <t>1112</t>
  </si>
  <si>
    <t>1113</t>
  </si>
  <si>
    <t>1114</t>
  </si>
  <si>
    <t>1115</t>
  </si>
  <si>
    <t>1116</t>
  </si>
  <si>
    <t>1117</t>
  </si>
  <si>
    <t>1118</t>
  </si>
  <si>
    <t>1119</t>
  </si>
  <si>
    <t>1120</t>
  </si>
  <si>
    <t>1121</t>
  </si>
  <si>
    <t>1122</t>
  </si>
  <si>
    <t>1123</t>
  </si>
  <si>
    <t>1125</t>
  </si>
  <si>
    <t>Región-Categoría</t>
  </si>
  <si>
    <t>Mapa de Calor</t>
  </si>
  <si>
    <t>https://analytics.zoho.com/open-view/2395394000008214196</t>
  </si>
  <si>
    <t>1126</t>
  </si>
  <si>
    <t>1127</t>
  </si>
  <si>
    <t>1128</t>
  </si>
  <si>
    <t>1129</t>
  </si>
  <si>
    <t>1130</t>
  </si>
  <si>
    <t>1131</t>
  </si>
  <si>
    <t>1132</t>
  </si>
  <si>
    <t>1133</t>
  </si>
  <si>
    <t>1134</t>
  </si>
  <si>
    <t>1135</t>
  </si>
  <si>
    <t>1136</t>
  </si>
  <si>
    <t>1137</t>
  </si>
  <si>
    <t>1138</t>
  </si>
  <si>
    <t>1139</t>
  </si>
  <si>
    <t>1140</t>
  </si>
  <si>
    <t>1141</t>
  </si>
  <si>
    <t>1142</t>
  </si>
  <si>
    <t>https://analytics.zoho.com/open-view/2395394000008214357</t>
  </si>
  <si>
    <t>1143</t>
  </si>
  <si>
    <t>1144</t>
  </si>
  <si>
    <t>1145</t>
  </si>
  <si>
    <t>1146</t>
  </si>
  <si>
    <t>1147</t>
  </si>
  <si>
    <t>1148</t>
  </si>
  <si>
    <t>1149</t>
  </si>
  <si>
    <t>1150</t>
  </si>
  <si>
    <t>1151</t>
  </si>
  <si>
    <t>1152</t>
  </si>
  <si>
    <t>1153</t>
  </si>
  <si>
    <t>1154</t>
  </si>
  <si>
    <t>1155</t>
  </si>
  <si>
    <t>1156</t>
  </si>
  <si>
    <t>1157</t>
  </si>
  <si>
    <t>1158</t>
  </si>
  <si>
    <t>1159</t>
  </si>
  <si>
    <t>Cantidad de atenciones por concepto de urgencia y región</t>
  </si>
  <si>
    <t>Las Atenciones en Salud por Violencia de Género se califican de acuerdo al concepto bajo el cual fue ingresada la urgencia. El concepto "Otra Violencia" fue el más común durante el periodo 2010-2016, seguido por "Violencia Intrafamiliar" para el año 2016.</t>
  </si>
  <si>
    <t>https://analytics.zoho.com/open-view/2395394000008195644</t>
  </si>
  <si>
    <t>1160</t>
  </si>
  <si>
    <t>Cantidad de atenciones por concepto de urgencia</t>
  </si>
  <si>
    <t>1161</t>
  </si>
  <si>
    <t>1162</t>
  </si>
  <si>
    <t>1163</t>
  </si>
  <si>
    <t>1164</t>
  </si>
  <si>
    <t>1165</t>
  </si>
  <si>
    <t>1166</t>
  </si>
  <si>
    <t>1167</t>
  </si>
  <si>
    <t>1168</t>
  </si>
  <si>
    <t>1169</t>
  </si>
  <si>
    <t>1170</t>
  </si>
  <si>
    <t>1171</t>
  </si>
  <si>
    <t>1172</t>
  </si>
  <si>
    <t>1173</t>
  </si>
  <si>
    <t>1174</t>
  </si>
  <si>
    <t>1175</t>
  </si>
  <si>
    <t>1176</t>
  </si>
  <si>
    <t>https://analytics.zoho.com/open-view/2395394000008214286</t>
  </si>
  <si>
    <t>1177</t>
  </si>
  <si>
    <t>1178</t>
  </si>
  <si>
    <t>1179</t>
  </si>
  <si>
    <t>1180</t>
  </si>
  <si>
    <t>1181</t>
  </si>
  <si>
    <t>1182</t>
  </si>
  <si>
    <t>1183</t>
  </si>
  <si>
    <t>1184</t>
  </si>
  <si>
    <t>1185</t>
  </si>
  <si>
    <t>1186</t>
  </si>
  <si>
    <t>1187</t>
  </si>
  <si>
    <t>1188</t>
  </si>
  <si>
    <t>1189</t>
  </si>
  <si>
    <t>1190</t>
  </si>
  <si>
    <t>1191</t>
  </si>
  <si>
    <t>1192</t>
  </si>
  <si>
    <t>1193</t>
  </si>
  <si>
    <t>Transporte y Tránsito</t>
  </si>
  <si>
    <t>Licencias de Conducir Profesionales</t>
  </si>
  <si>
    <t>Licencias de Conducir</t>
  </si>
  <si>
    <t>Cantidad  de Licencias de Conducir profesionales por tipo</t>
  </si>
  <si>
    <t>Periodo 2011-2017</t>
  </si>
  <si>
    <t>Número de Licencias de Conducir</t>
  </si>
  <si>
    <t>https://analytics.zoho.com/open-view/2395394000008278466</t>
  </si>
  <si>
    <t>1194</t>
  </si>
  <si>
    <t>1195</t>
  </si>
  <si>
    <t>1196</t>
  </si>
  <si>
    <t>1197</t>
  </si>
  <si>
    <t>1198</t>
  </si>
  <si>
    <t>1199</t>
  </si>
  <si>
    <t>1200</t>
  </si>
  <si>
    <t>1201</t>
  </si>
  <si>
    <t>1202</t>
  </si>
  <si>
    <t>1203</t>
  </si>
  <si>
    <t>1204</t>
  </si>
  <si>
    <t>1205</t>
  </si>
  <si>
    <t>1206</t>
  </si>
  <si>
    <t>1207</t>
  </si>
  <si>
    <t>1208</t>
  </si>
  <si>
    <t>1209</t>
  </si>
  <si>
    <t>1210</t>
  </si>
  <si>
    <t>Permisos de circulación anuales por tipo de transporte</t>
  </si>
  <si>
    <t>https://analytics.zoho.com/open-view/2395394000008277077</t>
  </si>
  <si>
    <t>1211</t>
  </si>
  <si>
    <t>1212</t>
  </si>
  <si>
    <t>1213</t>
  </si>
  <si>
    <t>1214</t>
  </si>
  <si>
    <t>1215</t>
  </si>
  <si>
    <t>1216</t>
  </si>
  <si>
    <t>1217</t>
  </si>
  <si>
    <t>1218</t>
  </si>
  <si>
    <t>1219</t>
  </si>
  <si>
    <t>1220</t>
  </si>
  <si>
    <t>1221</t>
  </si>
  <si>
    <t>1222</t>
  </si>
  <si>
    <t>1223</t>
  </si>
  <si>
    <t>1224</t>
  </si>
  <si>
    <t>1225</t>
  </si>
  <si>
    <t>1226</t>
  </si>
  <si>
    <t>1227</t>
  </si>
  <si>
    <t>Región-Año</t>
  </si>
  <si>
    <t>Cantidad  de Licencias de Conducir no profesionales</t>
  </si>
  <si>
    <t>https://analytics.zoho.com/open-view/2395394000008277863</t>
  </si>
  <si>
    <t>1228</t>
  </si>
  <si>
    <t>1229</t>
  </si>
  <si>
    <t>1230</t>
  </si>
  <si>
    <t>1231</t>
  </si>
  <si>
    <t>1232</t>
  </si>
  <si>
    <t>1233</t>
  </si>
  <si>
    <t>1234</t>
  </si>
  <si>
    <t>1235</t>
  </si>
  <si>
    <t>1236</t>
  </si>
  <si>
    <t>1237</t>
  </si>
  <si>
    <t>1238</t>
  </si>
  <si>
    <t>1239</t>
  </si>
  <si>
    <t>1240</t>
  </si>
  <si>
    <t>1241</t>
  </si>
  <si>
    <t>1242</t>
  </si>
  <si>
    <t>1243</t>
  </si>
  <si>
    <t>1244</t>
  </si>
  <si>
    <t>Permisos de circulación anuales de tipo de transporte colectivo</t>
  </si>
  <si>
    <t>https://analytics.zoho.com/open-view/2395394000008255577</t>
  </si>
  <si>
    <t>1245</t>
  </si>
  <si>
    <t>Año</t>
  </si>
  <si>
    <t>1246</t>
  </si>
  <si>
    <t>1247</t>
  </si>
  <si>
    <t>1248</t>
  </si>
  <si>
    <t>1249</t>
  </si>
  <si>
    <t>1250</t>
  </si>
  <si>
    <t>1251</t>
  </si>
  <si>
    <t>1252</t>
  </si>
  <si>
    <t>1253</t>
  </si>
  <si>
    <t>1254</t>
  </si>
  <si>
    <t>1255</t>
  </si>
  <si>
    <t>1256</t>
  </si>
  <si>
    <t>1257</t>
  </si>
  <si>
    <t>1258</t>
  </si>
  <si>
    <t>1259</t>
  </si>
  <si>
    <t>1260</t>
  </si>
  <si>
    <t>1261</t>
  </si>
  <si>
    <t>https://analytics.zoho.com/open-view/2395394000008475464</t>
  </si>
  <si>
    <t>1262</t>
  </si>
  <si>
    <t>1263</t>
  </si>
  <si>
    <t>1264</t>
  </si>
  <si>
    <t>1265</t>
  </si>
  <si>
    <t>1266</t>
  </si>
  <si>
    <t>1267</t>
  </si>
  <si>
    <t>1268</t>
  </si>
  <si>
    <t>1269</t>
  </si>
  <si>
    <t>1270</t>
  </si>
  <si>
    <t>1271</t>
  </si>
  <si>
    <t>1272</t>
  </si>
  <si>
    <t>1273</t>
  </si>
  <si>
    <t>1274</t>
  </si>
  <si>
    <t>1275</t>
  </si>
  <si>
    <t>1276</t>
  </si>
  <si>
    <t>1277</t>
  </si>
  <si>
    <t>1278</t>
  </si>
  <si>
    <t>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t>
  </si>
  <si>
    <t>https://analytics.zoho.com/open-view/2395394000008257880</t>
  </si>
  <si>
    <t>1279</t>
  </si>
  <si>
    <t>1280</t>
  </si>
  <si>
    <t>1281</t>
  </si>
  <si>
    <t>1282</t>
  </si>
  <si>
    <t>1283</t>
  </si>
  <si>
    <t>1284</t>
  </si>
  <si>
    <t>1285</t>
  </si>
  <si>
    <t>1286</t>
  </si>
  <si>
    <t>1287</t>
  </si>
  <si>
    <t>1288</t>
  </si>
  <si>
    <t>1289</t>
  </si>
  <si>
    <t>1290</t>
  </si>
  <si>
    <t>1291</t>
  </si>
  <si>
    <t>1292</t>
  </si>
  <si>
    <t>1293</t>
  </si>
  <si>
    <t>1294</t>
  </si>
  <si>
    <t>1295</t>
  </si>
  <si>
    <t>https://analytics.zoho.com/open-view/2395394000008280544</t>
  </si>
  <si>
    <t>1296</t>
  </si>
  <si>
    <t>Número de Centrales</t>
  </si>
  <si>
    <t>https://analytics.zoho.com/open-view/2395394000008280397</t>
  </si>
  <si>
    <t>1297</t>
  </si>
  <si>
    <t>Centrales ERNC</t>
  </si>
  <si>
    <t>https://analytics.zoho.com/open-view/2395394000008478954</t>
  </si>
  <si>
    <t>1298</t>
  </si>
  <si>
    <t>1299</t>
  </si>
  <si>
    <t>1300</t>
  </si>
  <si>
    <t>1301</t>
  </si>
  <si>
    <t>1302</t>
  </si>
  <si>
    <t>1303</t>
  </si>
  <si>
    <t>1304</t>
  </si>
  <si>
    <t>1305</t>
  </si>
  <si>
    <t>1306</t>
  </si>
  <si>
    <t>1307</t>
  </si>
  <si>
    <t>1308</t>
  </si>
  <si>
    <t>1309</t>
  </si>
  <si>
    <t>1310</t>
  </si>
  <si>
    <t>1311</t>
  </si>
  <si>
    <t>1312</t>
  </si>
  <si>
    <t>1313</t>
  </si>
  <si>
    <t>1314</t>
  </si>
  <si>
    <t>https://analytics.zoho.com/open-view/2395394000008280219</t>
  </si>
  <si>
    <t>1315</t>
  </si>
  <si>
    <t>Farmacias</t>
  </si>
  <si>
    <t>Número de Farmacias</t>
  </si>
  <si>
    <t>Ministerio de Salud</t>
  </si>
  <si>
    <t>https://analytics.zoho.com/open-view/2395394000008421316</t>
  </si>
  <si>
    <t>1316</t>
  </si>
  <si>
    <t>https://analytics.zoho.com/open-view/2395394000008421106</t>
  </si>
  <si>
    <t>1317</t>
  </si>
  <si>
    <t xml:space="preserve">https://analytics.zoho.com/open-view/2395394000008421956 </t>
  </si>
  <si>
    <t>1318</t>
  </si>
  <si>
    <t>1319</t>
  </si>
  <si>
    <t>1320</t>
  </si>
  <si>
    <t>1321</t>
  </si>
  <si>
    <t>1322</t>
  </si>
  <si>
    <t>1323</t>
  </si>
  <si>
    <t>1324</t>
  </si>
  <si>
    <t>1325</t>
  </si>
  <si>
    <t>1326</t>
  </si>
  <si>
    <t>1327</t>
  </si>
  <si>
    <t>1328</t>
  </si>
  <si>
    <t>1329</t>
  </si>
  <si>
    <t>1330</t>
  </si>
  <si>
    <t>1331</t>
  </si>
  <si>
    <t>1332</t>
  </si>
  <si>
    <t>1333</t>
  </si>
  <si>
    <t>1334</t>
  </si>
  <si>
    <t>https://analytics.zoho.com/open-view/2395394000008421914</t>
  </si>
  <si>
    <t>1335</t>
  </si>
  <si>
    <t>Comercio Exterior</t>
  </si>
  <si>
    <t>Detalle</t>
  </si>
  <si>
    <t>Aduana de Chile</t>
  </si>
  <si>
    <t>https://analytics.zoho.com/open-view/2395394000008410521?ZOHO_CRITERIA=%22Pa%C3%ADs_Todo%22.%22id_TipoProducto%22%3D7</t>
  </si>
  <si>
    <t>1336</t>
  </si>
  <si>
    <t>Tipo de Producto</t>
  </si>
  <si>
    <t>Periodo 2015-2021</t>
  </si>
  <si>
    <t>https://analytics.zoho.com/open-view/2395394000008172059</t>
  </si>
  <si>
    <t>1337</t>
  </si>
  <si>
    <t>Hasta junio del 2021, la región que ha alcanzado el mayor valor en dólares por importaciones ha sido la región de Valparaíso, con USD 822.866.845.194. En el otro extremo, se encuentra la Región de Los Ríos, cuyas importaciones levemente superan los 2 millones de dólares.</t>
  </si>
  <si>
    <t>https://analytics.zoho.com/open-view/2395394000008189310</t>
  </si>
  <si>
    <t>1338</t>
  </si>
  <si>
    <t>https://analytics.zoho.com/open-view/2395394000008189214</t>
  </si>
  <si>
    <t>1339</t>
  </si>
  <si>
    <t>1340</t>
  </si>
  <si>
    <t>1341</t>
  </si>
  <si>
    <t>1342</t>
  </si>
  <si>
    <t>1343</t>
  </si>
  <si>
    <t>1344</t>
  </si>
  <si>
    <t>1345</t>
  </si>
  <si>
    <t>1346</t>
  </si>
  <si>
    <t>1347</t>
  </si>
  <si>
    <t>1348</t>
  </si>
  <si>
    <t>1349</t>
  </si>
  <si>
    <t>1350</t>
  </si>
  <si>
    <t>1351</t>
  </si>
  <si>
    <t>1352</t>
  </si>
  <si>
    <t>1353</t>
  </si>
  <si>
    <t>1354</t>
  </si>
  <si>
    <t>https://analytics.zoho.com/open-view/2395394000008461828</t>
  </si>
  <si>
    <t>1355</t>
  </si>
  <si>
    <t>1356</t>
  </si>
  <si>
    <t>1357</t>
  </si>
  <si>
    <t>1358</t>
  </si>
  <si>
    <t>1359</t>
  </si>
  <si>
    <t>1360</t>
  </si>
  <si>
    <t>1361</t>
  </si>
  <si>
    <t>1362</t>
  </si>
  <si>
    <t>1363</t>
  </si>
  <si>
    <t>1364</t>
  </si>
  <si>
    <t>1365</t>
  </si>
  <si>
    <t>1366</t>
  </si>
  <si>
    <t>1367</t>
  </si>
  <si>
    <t>1368</t>
  </si>
  <si>
    <t>1369</t>
  </si>
  <si>
    <t>1370</t>
  </si>
  <si>
    <t>https://analytics.zoho.com/open-view/2395394000008554040</t>
  </si>
  <si>
    <t>1371</t>
  </si>
  <si>
    <t>Balanza</t>
  </si>
  <si>
    <t>Dada la evolución nacional de las importaciones y exportaciones hasta el segundo trimestre del año 2021, el volumen de estas dos actividades llegó a su punto más alto durante el cuarto trimestre del año 2018, con un poco mas de 17.500 millones de kilogramos cada una.</t>
  </si>
  <si>
    <t>https://analytics.zoho.com/open-view/2395394000008189846</t>
  </si>
  <si>
    <t>1372</t>
  </si>
  <si>
    <t>1373</t>
  </si>
  <si>
    <t>1374</t>
  </si>
  <si>
    <t>1375</t>
  </si>
  <si>
    <t>1376</t>
  </si>
  <si>
    <t>1377</t>
  </si>
  <si>
    <t>1378</t>
  </si>
  <si>
    <t>1379</t>
  </si>
  <si>
    <t>1380</t>
  </si>
  <si>
    <t>1381</t>
  </si>
  <si>
    <t>1382</t>
  </si>
  <si>
    <t>1383</t>
  </si>
  <si>
    <t>1384</t>
  </si>
  <si>
    <t>1385</t>
  </si>
  <si>
    <t>1386</t>
  </si>
  <si>
    <t>1387</t>
  </si>
  <si>
    <t>Gobiernos Locales</t>
  </si>
  <si>
    <t>Parques Urbanos</t>
  </si>
  <si>
    <t>Número de Parques Urbanos</t>
  </si>
  <si>
    <t>https://analytics.zoho.com/open-view/2395394000008083407</t>
  </si>
  <si>
    <t>1388</t>
  </si>
  <si>
    <t>1389</t>
  </si>
  <si>
    <t>1390</t>
  </si>
  <si>
    <t>1391</t>
  </si>
  <si>
    <t>1392</t>
  </si>
  <si>
    <t>1393</t>
  </si>
  <si>
    <t>1394</t>
  </si>
  <si>
    <t>1395</t>
  </si>
  <si>
    <t>1396</t>
  </si>
  <si>
    <t>1397</t>
  </si>
  <si>
    <t>1398</t>
  </si>
  <si>
    <t>1399</t>
  </si>
  <si>
    <t>1400</t>
  </si>
  <si>
    <t>1401</t>
  </si>
  <si>
    <t>1402</t>
  </si>
  <si>
    <t>1403</t>
  </si>
  <si>
    <t>1404</t>
  </si>
  <si>
    <t>Plazas Públicas</t>
  </si>
  <si>
    <t>Número de Plazas Públicas</t>
  </si>
  <si>
    <t>https://analytics.zoho.com/open-view/2395394000008183410</t>
  </si>
  <si>
    <t>1405</t>
  </si>
  <si>
    <t>1406</t>
  </si>
  <si>
    <t>1407</t>
  </si>
  <si>
    <t>1408</t>
  </si>
  <si>
    <t>1409</t>
  </si>
  <si>
    <t>1410</t>
  </si>
  <si>
    <t>1411</t>
  </si>
  <si>
    <t>1412</t>
  </si>
  <si>
    <t>1413</t>
  </si>
  <si>
    <t>1414</t>
  </si>
  <si>
    <t>1415</t>
  </si>
  <si>
    <t>1416</t>
  </si>
  <si>
    <t>1417</t>
  </si>
  <si>
    <t>1418</t>
  </si>
  <si>
    <t>1419</t>
  </si>
  <si>
    <t>1420</t>
  </si>
  <si>
    <t>1421</t>
  </si>
  <si>
    <t>m2</t>
  </si>
  <si>
    <t>https://analytics.zoho.com/open-view/2395394000008069731</t>
  </si>
  <si>
    <t>1422</t>
  </si>
  <si>
    <t>1423</t>
  </si>
  <si>
    <t>1424</t>
  </si>
  <si>
    <t>1425</t>
  </si>
  <si>
    <t>1426</t>
  </si>
  <si>
    <t>1427</t>
  </si>
  <si>
    <t>1428</t>
  </si>
  <si>
    <t>1429</t>
  </si>
  <si>
    <t>1430</t>
  </si>
  <si>
    <t>1431</t>
  </si>
  <si>
    <t>1432</t>
  </si>
  <si>
    <t>1433</t>
  </si>
  <si>
    <t>1434</t>
  </si>
  <si>
    <t>1435</t>
  </si>
  <si>
    <t>1436</t>
  </si>
  <si>
    <t>1437</t>
  </si>
  <si>
    <t>1438</t>
  </si>
  <si>
    <t>Salud Mental</t>
  </si>
  <si>
    <t>Periodo 2009-2017</t>
  </si>
  <si>
    <t>Porcentaje</t>
  </si>
  <si>
    <t>https://analytics.zoho.com/open-view/2395394000007274123</t>
  </si>
  <si>
    <t>1439</t>
  </si>
  <si>
    <t>Tasa</t>
  </si>
  <si>
    <t>https://analytics.zoho.com/open-view/2395394000007277131</t>
  </si>
  <si>
    <t>1440</t>
  </si>
  <si>
    <t>https://analytics.zoho.com/open-view/2395394000008496666</t>
  </si>
  <si>
    <t>1441</t>
  </si>
  <si>
    <t>1442</t>
  </si>
  <si>
    <t>1443</t>
  </si>
  <si>
    <t>1444</t>
  </si>
  <si>
    <t>1445</t>
  </si>
  <si>
    <t>1446</t>
  </si>
  <si>
    <t>1447</t>
  </si>
  <si>
    <t>1448</t>
  </si>
  <si>
    <t>1449</t>
  </si>
  <si>
    <t>1450</t>
  </si>
  <si>
    <t>1451</t>
  </si>
  <si>
    <t>1452</t>
  </si>
  <si>
    <t>1453</t>
  </si>
  <si>
    <t>1454</t>
  </si>
  <si>
    <t>1455</t>
  </si>
  <si>
    <t>1456</t>
  </si>
  <si>
    <t>Total Establecimientos de Salud</t>
  </si>
  <si>
    <t>Total Comercio Exterior</t>
  </si>
  <si>
    <t>Total Gestión Municipal Territorial</t>
  </si>
  <si>
    <t>Cantidad de Establecimientos de la Salud en la Región de Arica y Parinacota, Año 2021</t>
  </si>
  <si>
    <t>https://analytics.zoho.com/open-view/2395394000008516451?ZOHO_CRITERIA=%222.1%22.%22C%C3%B3digo%20Regi%C3%B3n%22%20%3D%2015</t>
  </si>
  <si>
    <t>Cantidad de Establecimientos de la Salud en la Región de Tarapacá, Año 2021</t>
  </si>
  <si>
    <t>https://analytics.zoho.com/open-view/2395394000008516451?ZOHO_CRITERIA=%222.1%22.%22C%C3%B3digo%20Regi%C3%B3n%22%20%3D%201</t>
  </si>
  <si>
    <t>Cantidad de Establecimientos de la Salud en la Región de Antofagasta, Año 2021</t>
  </si>
  <si>
    <t>https://analytics.zoho.com/open-view/2395394000008516451?ZOHO_CRITERIA=%222.1%22.%22C%C3%B3digo%20Regi%C3%B3n%22%20%3D%202</t>
  </si>
  <si>
    <t>Cantidad de Establecimientos de la Salud en la Región de Atacama, Año 2021</t>
  </si>
  <si>
    <t>https://analytics.zoho.com/open-view/2395394000008516451?ZOHO_CRITERIA=%222.1%22.%22C%C3%B3digo%20Regi%C3%B3n%22%20%3D%203</t>
  </si>
  <si>
    <t>Cantidad de Establecimientos de la Salud en la Región de Coquimbo, Año 2021</t>
  </si>
  <si>
    <t>https://analytics.zoho.com/open-view/2395394000008516451?ZOHO_CRITERIA=%222.1%22.%22C%C3%B3digo%20Regi%C3%B3n%22%20%3D%204</t>
  </si>
  <si>
    <t>Cantidad de Establecimientos de la Salud en la Región de Valparaíso, Año 2021</t>
  </si>
  <si>
    <t>https://analytics.zoho.com/open-view/2395394000008516451?ZOHO_CRITERIA=%222.1%22.%22C%C3%B3digo%20Regi%C3%B3n%22%20%3D%205</t>
  </si>
  <si>
    <t>Cantidad de Establecimientos de la Salud en la Región de O'Higgins, Año 2021</t>
  </si>
  <si>
    <t>https://analytics.zoho.com/open-view/2395394000008516451?ZOHO_CRITERIA=%222.1%22.%22C%C3%B3digo%20Regi%C3%B3n%22%20%3D%206</t>
  </si>
  <si>
    <t>Cantidad de Establecimientos de la Salud en la Región de Maule, Año 2021</t>
  </si>
  <si>
    <t>https://analytics.zoho.com/open-view/2395394000008516451?ZOHO_CRITERIA=%222.1%22.%22C%C3%B3digo%20Regi%C3%B3n%22%20%3D%207</t>
  </si>
  <si>
    <t>Cantidad de Establecimientos de la Salud en la Región del Biobío, Año 2021</t>
  </si>
  <si>
    <t>https://analytics.zoho.com/open-view/2395394000008516451?ZOHO_CRITERIA=%222.1%22.%22C%C3%B3digo%20Regi%C3%B3n%22%20%3D%208</t>
  </si>
  <si>
    <t>Cantidad de Establecimientos de la Salud en la Región de La Araucanía, Año 2021</t>
  </si>
  <si>
    <t>https://analytics.zoho.com/open-view/2395394000008516451?ZOHO_CRITERIA=%222.1%22.%22C%C3%B3digo%20Regi%C3%B3n%22%20%3D%209</t>
  </si>
  <si>
    <t>Cantidad de Establecimientos de la Salud en la Región de Los Lagos, Año 2021</t>
  </si>
  <si>
    <t>https://analytics.zoho.com/open-view/2395394000008516451?ZOHO_CRITERIA=%222.1%22.%22C%C3%B3digo%20Regi%C3%B3n%22%20%3D%2010</t>
  </si>
  <si>
    <t>Cantidad de Establecimientos de la Salud en la Región de Aysén, Año 2021</t>
  </si>
  <si>
    <t>https://analytics.zoho.com/open-view/2395394000008516451?ZOHO_CRITERIA=%222.1%22.%22C%C3%B3digo%20Regi%C3%B3n%22%20%3D%2011</t>
  </si>
  <si>
    <t>Cantidad de Establecimientos de la Salud en la Región de Magallanes, Año 2021</t>
  </si>
  <si>
    <t>https://analytics.zoho.com/open-view/2395394000008516451?ZOHO_CRITERIA=%222.1%22.%22C%C3%B3digo%20Regi%C3%B3n%22%20%3D%2012</t>
  </si>
  <si>
    <t>Cantidad de Establecimientos de la Salud en la Región Metropolitana, Año 2021</t>
  </si>
  <si>
    <t>https://analytics.zoho.com/open-view/2395394000008516451?ZOHO_CRITERIA=%222.1%22.%22C%C3%B3digo%20Regi%C3%B3n%22%20%3D%2013</t>
  </si>
  <si>
    <t>Cantidad de Establecimientos de la Salud en la Región de Los Ríos, Año 2021</t>
  </si>
  <si>
    <t>https://analytics.zoho.com/open-view/2395394000008516451?ZOHO_CRITERIA=%222.1%22.%22C%C3%B3digo%20Regi%C3%B3n%22%20%3D%2014</t>
  </si>
  <si>
    <t>Cantidad de Establecimientos de la Salud por Comuna en la Región de Tarapacá, Año 2021</t>
  </si>
  <si>
    <t>https://analytics.zoho.com/open-view/2395394000008516065?ZOHO_CRITERIA=%222.1%22.%22C%C3%B3digo%20Regi%C3%B3n%22%20%3D%201</t>
  </si>
  <si>
    <t>Cantidad de Establecimientos de la Salud por Comuna en la Región de Antofagasta, Año 2021</t>
  </si>
  <si>
    <t>https://analytics.zoho.com/open-view/2395394000008516065?ZOHO_CRITERIA=%222.1%22.%22C%C3%B3digo%20Regi%C3%B3n%22%20%3D%202</t>
  </si>
  <si>
    <t>Cantidad de Establecimientos de la Salud por Comuna en la Región de Atacama, Año 2021</t>
  </si>
  <si>
    <t>https://analytics.zoho.com/open-view/2395394000008516065?ZOHO_CRITERIA=%222.1%22.%22C%C3%B3digo%20Regi%C3%B3n%22%20%3D%203</t>
  </si>
  <si>
    <t>Cantidad de Establecimientos de la Salud por Comuna en la Región de Coquimbo, Año 2021</t>
  </si>
  <si>
    <t>https://analytics.zoho.com/open-view/2395394000008516065?ZOHO_CRITERIA=%222.1%22.%22C%C3%B3digo%20Regi%C3%B3n%22%20%3D%204</t>
  </si>
  <si>
    <t>Cantidad de Establecimientos de la Salud por Comuna en la Región de Valparaíso, Año 2021</t>
  </si>
  <si>
    <t>https://analytics.zoho.com/open-view/2395394000008516065?ZOHO_CRITERIA=%222.1%22.%22C%C3%B3digo%20Regi%C3%B3n%22%20%3D%205</t>
  </si>
  <si>
    <t>Cantidad de Establecimientos de la Salud por Comuna en la Región de O'Higgins, Año 2021</t>
  </si>
  <si>
    <t>https://analytics.zoho.com/open-view/2395394000008516065?ZOHO_CRITERIA=%222.1%22.%22C%C3%B3digo%20Regi%C3%B3n%22%20%3D%206</t>
  </si>
  <si>
    <t>Cantidad de Establecimientos de la Salud por Comuna en la Región de Maule, Año 2021</t>
  </si>
  <si>
    <t>https://analytics.zoho.com/open-view/2395394000008516065?ZOHO_CRITERIA=%222.1%22.%22C%C3%B3digo%20Regi%C3%B3n%22%20%3D%207</t>
  </si>
  <si>
    <t>Cantidad de Establecimientos de la Salud por Comuna en la Región del Biobío, Año 2021</t>
  </si>
  <si>
    <t>https://analytics.zoho.com/open-view/2395394000008516065?ZOHO_CRITERIA=%222.1%22.%22C%C3%B3digo%20Regi%C3%B3n%22%20%3D%208</t>
  </si>
  <si>
    <t>Cantidad de Establecimientos de la Salud por Comuna en la Región de La Araucanía, Año 2021</t>
  </si>
  <si>
    <t>https://analytics.zoho.com/open-view/2395394000008516065?ZOHO_CRITERIA=%222.1%22.%22C%C3%B3digo%20Regi%C3%B3n%22%20%3D%209</t>
  </si>
  <si>
    <t>Cantidad de Establecimientos de la Salud por Comuna en la Región de Los Lagos, Año 2021</t>
  </si>
  <si>
    <t>https://analytics.zoho.com/open-view/2395394000008516065?ZOHO_CRITERIA=%222.1%22.%22C%C3%B3digo%20Regi%C3%B3n%22%20%3D%2010</t>
  </si>
  <si>
    <t>Cantidad de Establecimientos de la Salud por Comuna en la Región de Aysén, Año 2021</t>
  </si>
  <si>
    <t>https://analytics.zoho.com/open-view/2395394000008516065?ZOHO_CRITERIA=%222.1%22.%22C%C3%B3digo%20Regi%C3%B3n%22%20%3D%2011</t>
  </si>
  <si>
    <t>Cantidad de Establecimientos de la Salud por Comuna en la Región de Magallanes, Año 2021</t>
  </si>
  <si>
    <t>https://analytics.zoho.com/open-view/2395394000008516065?ZOHO_CRITERIA=%222.1%22.%22C%C3%B3digo%20Regi%C3%B3n%22%20%3D%2012</t>
  </si>
  <si>
    <t>Cantidad de Establecimientos de la Salud por Comuna en la Región Metropolitana, Año 2021</t>
  </si>
  <si>
    <t>https://analytics.zoho.com/open-view/2395394000008516065?ZOHO_CRITERIA=%222.1%22.%22C%C3%B3digo%20Regi%C3%B3n%22%20%3D%2013</t>
  </si>
  <si>
    <t>Cantidad de Establecimientos de la Salud por Comuna en la Región de Los Ríos, Año 2021</t>
  </si>
  <si>
    <t>https://analytics.zoho.com/open-view/2395394000008516065?ZOHO_CRITERIA=%222.1%22.%22C%C3%B3digo%20Regi%C3%B3n%22%20%3D%2014</t>
  </si>
  <si>
    <t>Cantidad de Establecimientos de la Salud por Comuna en la Región de Arica y Parinacota, Año 2021</t>
  </si>
  <si>
    <t>https://analytics.zoho.com/open-view/2395394000008516065?ZOHO_CRITERIA=%222.1%22.%22C%C3%B3digo%20Regi%C3%B3n%22%20%3D%2015</t>
  </si>
  <si>
    <t>https://analytics.zoho.com/open-view/2395394000008516593?ZOHO_CRITERIA=%222.1%22.%22C%C3%B3digo%20Regi%C3%B3n%22%20%3D%201</t>
  </si>
  <si>
    <t>https://analytics.zoho.com/open-view/2395394000008516593?ZOHO_CRITERIA=%222.1%22.%22C%C3%B3digo%20Regi%C3%B3n%22%20%3D%202</t>
  </si>
  <si>
    <t>https://analytics.zoho.com/open-view/2395394000008516593?ZOHO_CRITERIA=%222.1%22.%22C%C3%B3digo%20Regi%C3%B3n%22%20%3D%203</t>
  </si>
  <si>
    <t>https://analytics.zoho.com/open-view/2395394000008516593?ZOHO_CRITERIA=%222.1%22.%22C%C3%B3digo%20Regi%C3%B3n%22%20%3D%204</t>
  </si>
  <si>
    <t>https://analytics.zoho.com/open-view/2395394000008516593?ZOHO_CRITERIA=%222.1%22.%22C%C3%B3digo%20Regi%C3%B3n%22%20%3D%205</t>
  </si>
  <si>
    <t>https://analytics.zoho.com/open-view/2395394000008516593?ZOHO_CRITERIA=%222.1%22.%22C%C3%B3digo%20Regi%C3%B3n%22%20%3D%206</t>
  </si>
  <si>
    <t>https://analytics.zoho.com/open-view/2395394000008516593?ZOHO_CRITERIA=%222.1%22.%22C%C3%B3digo%20Regi%C3%B3n%22%20%3D%207</t>
  </si>
  <si>
    <t>https://analytics.zoho.com/open-view/2395394000008516593?ZOHO_CRITERIA=%222.1%22.%22C%C3%B3digo%20Regi%C3%B3n%22%20%3D%208</t>
  </si>
  <si>
    <t>https://analytics.zoho.com/open-view/2395394000008516593?ZOHO_CRITERIA=%222.1%22.%22C%C3%B3digo%20Regi%C3%B3n%22%20%3D%209</t>
  </si>
  <si>
    <t>https://analytics.zoho.com/open-view/2395394000008516593?ZOHO_CRITERIA=%222.1%22.%22C%C3%B3digo%20Regi%C3%B3n%22%20%3D%2010</t>
  </si>
  <si>
    <t>https://analytics.zoho.com/open-view/2395394000008516593?ZOHO_CRITERIA=%222.1%22.%22C%C3%B3digo%20Regi%C3%B3n%22%20%3D%2011</t>
  </si>
  <si>
    <t>https://analytics.zoho.com/open-view/2395394000008516593?ZOHO_CRITERIA=%222.1%22.%22C%C3%B3digo%20Regi%C3%B3n%22%20%3D%2012</t>
  </si>
  <si>
    <t>https://analytics.zoho.com/open-view/2395394000008516593?ZOHO_CRITERIA=%222.1%22.%22C%C3%B3digo%20Regi%C3%B3n%22%20%3D%2013</t>
  </si>
  <si>
    <t>https://analytics.zoho.com/open-view/2395394000008516593?ZOHO_CRITERIA=%222.1%22.%22C%C3%B3digo%20Regi%C3%B3n%22%20%3D%2014</t>
  </si>
  <si>
    <t>https://analytics.zoho.com/open-view/2395394000008516593?ZOHO_CRITERIA=%222.1%22.%22C%C3%B3digo%20Regi%C3%B3n%22%20%3D%2015</t>
  </si>
  <si>
    <t>https://analytics.zoho.com/open-view/2395394000008516001?ZOHO_CRITERIA=%2227.10%22.%22Id_Regi%C3%B3n%22%20%3D%201</t>
  </si>
  <si>
    <t>https://analytics.zoho.com/open-view/2395394000008516001?ZOHO_CRITERIA=%2227.10%22.%22Id_Regi%C3%B3n%22%20%3D%202</t>
  </si>
  <si>
    <t>https://analytics.zoho.com/open-view/2395394000008516001?ZOHO_CRITERIA=%2227.10%22.%22Id_Regi%C3%B3n%22%20%3D%203</t>
  </si>
  <si>
    <t>https://analytics.zoho.com/open-view/2395394000008516001?ZOHO_CRITERIA=%2227.10%22.%22Id_Regi%C3%B3n%22%20%3D%204</t>
  </si>
  <si>
    <t>https://analytics.zoho.com/open-view/2395394000008516001?ZOHO_CRITERIA=%2227.10%22.%22Id_Regi%C3%B3n%22%20%3D%205</t>
  </si>
  <si>
    <t>https://analytics.zoho.com/open-view/2395394000008516001?ZOHO_CRITERIA=%2227.10%22.%22Id_Regi%C3%B3n%22%20%3D%206</t>
  </si>
  <si>
    <t>https://analytics.zoho.com/open-view/2395394000008516001?ZOHO_CRITERIA=%2227.10%22.%22Id_Regi%C3%B3n%22%20%3D%207</t>
  </si>
  <si>
    <t>https://analytics.zoho.com/open-view/2395394000008516001?ZOHO_CRITERIA=%2227.10%22.%22Id_Regi%C3%B3n%22%20%3D%208</t>
  </si>
  <si>
    <t>https://analytics.zoho.com/open-view/2395394000008516001?ZOHO_CRITERIA=%2227.10%22.%22Id_Regi%C3%B3n%22%20%3D%209</t>
  </si>
  <si>
    <t>https://analytics.zoho.com/open-view/2395394000008516001?ZOHO_CRITERIA=%2227.10%22.%22Id_Regi%C3%B3n%22%20%3D%2010</t>
  </si>
  <si>
    <t>https://analytics.zoho.com/open-view/2395394000008516001?ZOHO_CRITERIA=%2227.10%22.%22Id_Regi%C3%B3n%22%20%3D%2011</t>
  </si>
  <si>
    <t>https://analytics.zoho.com/open-view/2395394000008516001?ZOHO_CRITERIA=%2227.10%22.%22Id_Regi%C3%B3n%22%20%3D%2012</t>
  </si>
  <si>
    <t>https://analytics.zoho.com/open-view/2395394000008516001?ZOHO_CRITERIA=%2227.10%22.%22Id_Regi%C3%B3n%22%20%3D%2013</t>
  </si>
  <si>
    <t>https://analytics.zoho.com/open-view/2395394000008516001?ZOHO_CRITERIA=%2227.10%22.%22Id_Regi%C3%B3n%22%20%3D%2014</t>
  </si>
  <si>
    <t>https://analytics.zoho.com/open-view/2395394000008516001?ZOHO_CRITERIA=%2227.10%22.%22Id_Regi%C3%B3n%22%20%3D%2015</t>
  </si>
  <si>
    <t>https://analytics.zoho.com/open-view/2395394000008516645?ZOHO_CRITERIA=%222.1%22.%22C%C3%B3digo%20Regi%C3%B3n%22%20%3D%201</t>
  </si>
  <si>
    <t>https://analytics.zoho.com/open-view/2395394000008516645?ZOHO_CRITERIA=%222.1%22.%22C%C3%B3digo%20Regi%C3%B3n%22%20%3D%202</t>
  </si>
  <si>
    <t>https://analytics.zoho.com/open-view/2395394000008516645?ZOHO_CRITERIA=%222.1%22.%22C%C3%B3digo%20Regi%C3%B3n%22%20%3D%203</t>
  </si>
  <si>
    <t>https://analytics.zoho.com/open-view/2395394000008516645?ZOHO_CRITERIA=%222.1%22.%22C%C3%B3digo%20Regi%C3%B3n%22%20%3D%204</t>
  </si>
  <si>
    <t>https://analytics.zoho.com/open-view/2395394000008516645?ZOHO_CRITERIA=%222.1%22.%22C%C3%B3digo%20Regi%C3%B3n%22%20%3D%205</t>
  </si>
  <si>
    <t>https://analytics.zoho.com/open-view/2395394000008516645?ZOHO_CRITERIA=%222.1%22.%22C%C3%B3digo%20Regi%C3%B3n%22%20%3D%206</t>
  </si>
  <si>
    <t>https://analytics.zoho.com/open-view/2395394000008516645?ZOHO_CRITERIA=%222.1%22.%22C%C3%B3digo%20Regi%C3%B3n%22%20%3D%207</t>
  </si>
  <si>
    <t>https://analytics.zoho.com/open-view/2395394000008516645?ZOHO_CRITERIA=%222.1%22.%22C%C3%B3digo%20Regi%C3%B3n%22%20%3D%208</t>
  </si>
  <si>
    <t>https://analytics.zoho.com/open-view/2395394000008516645?ZOHO_CRITERIA=%222.1%22.%22C%C3%B3digo%20Regi%C3%B3n%22%20%3D%209</t>
  </si>
  <si>
    <t>https://analytics.zoho.com/open-view/2395394000008516645?ZOHO_CRITERIA=%222.1%22.%22C%C3%B3digo%20Regi%C3%B3n%22%20%3D%2010</t>
  </si>
  <si>
    <t>https://analytics.zoho.com/open-view/2395394000008516645?ZOHO_CRITERIA=%222.1%22.%22C%C3%B3digo%20Regi%C3%B3n%22%20%3D%2011</t>
  </si>
  <si>
    <t>https://analytics.zoho.com/open-view/2395394000008516645?ZOHO_CRITERIA=%222.1%22.%22C%C3%B3digo%20Regi%C3%B3n%22%20%3D%2012</t>
  </si>
  <si>
    <t>https://analytics.zoho.com/open-view/2395394000008516645?ZOHO_CRITERIA=%222.1%22.%22C%C3%B3digo%20Regi%C3%B3n%22%20%3D%2013</t>
  </si>
  <si>
    <t>https://analytics.zoho.com/open-view/2395394000008516645?ZOHO_CRITERIA=%222.1%22.%22C%C3%B3digo%20Regi%C3%B3n%22%20%3D%2014</t>
  </si>
  <si>
    <t>https://analytics.zoho.com/open-view/2395394000008516645?ZOHO_CRITERIA=%222.1%22.%22C%C3%B3digo%20Regi%C3%B3n%22%20%3D%2015</t>
  </si>
  <si>
    <t>https://analytics.zoho.com/open-view/2395394000008413090?ZOHO_CRITERIA=%228.3%20Licencias_conducir%22.%22Codreg%22%3D1</t>
  </si>
  <si>
    <t>https://analytics.zoho.com/open-view/2395394000008413090?ZOHO_CRITERIA=%228.3%20Licencias_conducir%22.%22Codreg%22%3D2</t>
  </si>
  <si>
    <t>https://analytics.zoho.com/open-view/2395394000008413090?ZOHO_CRITERIA=%228.3%20Licencias_conducir%22.%22Codreg%22%3D3</t>
  </si>
  <si>
    <t>https://analytics.zoho.com/open-view/2395394000008413090?ZOHO_CRITERIA=%228.3%20Licencias_conducir%22.%22Codreg%22%3D4</t>
  </si>
  <si>
    <t>https://analytics.zoho.com/open-view/2395394000008413090?ZOHO_CRITERIA=%228.3%20Licencias_conducir%22.%22Codreg%22%3D5</t>
  </si>
  <si>
    <t>https://analytics.zoho.com/open-view/2395394000008413090?ZOHO_CRITERIA=%228.3%20Licencias_conducir%22.%22Codreg%22%3D6</t>
  </si>
  <si>
    <t>https://analytics.zoho.com/open-view/2395394000008413090?ZOHO_CRITERIA=%228.3%20Licencias_conducir%22.%22Codreg%22%3D7</t>
  </si>
  <si>
    <t>https://analytics.zoho.com/open-view/2395394000008413090?ZOHO_CRITERIA=%228.3%20Licencias_conducir%22.%22Codreg%22%3D8</t>
  </si>
  <si>
    <t>https://analytics.zoho.com/open-view/2395394000008413090?ZOHO_CRITERIA=%228.3%20Licencias_conducir%22.%22Codreg%22%3D9</t>
  </si>
  <si>
    <t>https://analytics.zoho.com/open-view/2395394000008413090?ZOHO_CRITERIA=%228.3%20Licencias_conducir%22.%22Codreg%22%3D10</t>
  </si>
  <si>
    <t>https://analytics.zoho.com/open-view/2395394000008413090?ZOHO_CRITERIA=%228.3%20Licencias_conducir%22.%22Codreg%22%3D11</t>
  </si>
  <si>
    <t>https://analytics.zoho.com/open-view/2395394000008413090?ZOHO_CRITERIA=%228.3%20Licencias_conducir%22.%22Codreg%22%3D12</t>
  </si>
  <si>
    <t>https://analytics.zoho.com/open-view/2395394000008413090?ZOHO_CRITERIA=%228.3%20Licencias_conducir%22.%22Codreg%22%3D13</t>
  </si>
  <si>
    <t>https://analytics.zoho.com/open-view/2395394000008413090?ZOHO_CRITERIA=%228.3%20Licencias_conducir%22.%22Codreg%22%3D14</t>
  </si>
  <si>
    <t>https://analytics.zoho.com/open-view/2395394000008413090?ZOHO_CRITERIA=%228.3%20Licencias_conducir%22.%22Codreg%22%3D15</t>
  </si>
  <si>
    <t>https://analytics.zoho.com/open-view/2395394000008413133?ZOHO_CRITERIA=%228.1%20Permiso_circulaci%C3%B3n%22.%22Codreg%22%3D1</t>
  </si>
  <si>
    <t>https://analytics.zoho.com/open-view/2395394000008413133?ZOHO_CRITERIA=%228.1%20Permiso_circulaci%C3%B3n%22.%22Codreg%22%3D2</t>
  </si>
  <si>
    <t>https://analytics.zoho.com/open-view/2395394000008413133?ZOHO_CRITERIA=%228.1%20Permiso_circulaci%C3%B3n%22.%22Codreg%22%3D3</t>
  </si>
  <si>
    <t>https://analytics.zoho.com/open-view/2395394000008413133?ZOHO_CRITERIA=%228.1%20Permiso_circulaci%C3%B3n%22.%22Codreg%22%3D4</t>
  </si>
  <si>
    <t>https://analytics.zoho.com/open-view/2395394000008413133?ZOHO_CRITERIA=%228.1%20Permiso_circulaci%C3%B3n%22.%22Codreg%22%3D5</t>
  </si>
  <si>
    <t>https://analytics.zoho.com/open-view/2395394000008413133?ZOHO_CRITERIA=%228.1%20Permiso_circulaci%C3%B3n%22.%22Codreg%22%3D6</t>
  </si>
  <si>
    <t>https://analytics.zoho.com/open-view/2395394000008413133?ZOHO_CRITERIA=%228.1%20Permiso_circulaci%C3%B3n%22.%22Codreg%22%3D7</t>
  </si>
  <si>
    <t>https://analytics.zoho.com/open-view/2395394000008413133?ZOHO_CRITERIA=%228.1%20Permiso_circulaci%C3%B3n%22.%22Codreg%22%3D8</t>
  </si>
  <si>
    <t>https://analytics.zoho.com/open-view/2395394000008413133?ZOHO_CRITERIA=%228.1%20Permiso_circulaci%C3%B3n%22.%22Codreg%22%3D9</t>
  </si>
  <si>
    <t>https://analytics.zoho.com/open-view/2395394000008413133?ZOHO_CRITERIA=%228.1%20Permiso_circulaci%C3%B3n%22.%22Codreg%22%3D10</t>
  </si>
  <si>
    <t>https://analytics.zoho.com/open-view/2395394000008413133?ZOHO_CRITERIA=%228.1%20Permiso_circulaci%C3%B3n%22.%22Codreg%22%3D11</t>
  </si>
  <si>
    <t>https://analytics.zoho.com/open-view/2395394000008413133?ZOHO_CRITERIA=%228.1%20Permiso_circulaci%C3%B3n%22.%22Codreg%22%3D12</t>
  </si>
  <si>
    <t>https://analytics.zoho.com/open-view/2395394000008413133?ZOHO_CRITERIA=%228.1%20Permiso_circulaci%C3%B3n%22.%22Codreg%22%3D13</t>
  </si>
  <si>
    <t>https://analytics.zoho.com/open-view/2395394000008413133?ZOHO_CRITERIA=%228.1%20Permiso_circulaci%C3%B3n%22.%22Codreg%22%3D14</t>
  </si>
  <si>
    <t>https://analytics.zoho.com/open-view/2395394000008413133?ZOHO_CRITERIA=%228.1%20Permiso_circulaci%C3%B3n%22.%22Codreg%22%3D15</t>
  </si>
  <si>
    <t>https://analytics.zoho.com/open-view/2395394000008475578?ZOHO_CRITERIA=%228.3%20Licencias_conducir%22.%22Codreg%22%3D1</t>
  </si>
  <si>
    <t>https://analytics.zoho.com/open-view/2395394000008475578?ZOHO_CRITERIA=%228.3%20Licencias_conducir%22.%22Codreg%22%3D2</t>
  </si>
  <si>
    <t>https://analytics.zoho.com/open-view/2395394000008475578?ZOHO_CRITERIA=%228.3%20Licencias_conducir%22.%22Codreg%22%3D3</t>
  </si>
  <si>
    <t>https://analytics.zoho.com/open-view/2395394000008475578?ZOHO_CRITERIA=%228.3%20Licencias_conducir%22.%22Codreg%22%3D4</t>
  </si>
  <si>
    <t>https://analytics.zoho.com/open-view/2395394000008475578?ZOHO_CRITERIA=%228.3%20Licencias_conducir%22.%22Codreg%22%3D5</t>
  </si>
  <si>
    <t>https://analytics.zoho.com/open-view/2395394000008475578?ZOHO_CRITERIA=%228.3%20Licencias_conducir%22.%22Codreg%22%3D6</t>
  </si>
  <si>
    <t>https://analytics.zoho.com/open-view/2395394000008475578?ZOHO_CRITERIA=%228.3%20Licencias_conducir%22.%22Codreg%22%3D7</t>
  </si>
  <si>
    <t>https://analytics.zoho.com/open-view/2395394000008475578?ZOHO_CRITERIA=%228.3%20Licencias_conducir%22.%22Codreg%22%3D8</t>
  </si>
  <si>
    <t>https://analytics.zoho.com/open-view/2395394000008475578?ZOHO_CRITERIA=%228.3%20Licencias_conducir%22.%22Codreg%22%3D9</t>
  </si>
  <si>
    <t>https://analytics.zoho.com/open-view/2395394000008475578?ZOHO_CRITERIA=%228.3%20Licencias_conducir%22.%22Codreg%22%3D10</t>
  </si>
  <si>
    <t>https://analytics.zoho.com/open-view/2395394000008475578?ZOHO_CRITERIA=%228.3%20Licencias_conducir%22.%22Codreg%22%3D11</t>
  </si>
  <si>
    <t>https://analytics.zoho.com/open-view/2395394000008475578?ZOHO_CRITERIA=%228.3%20Licencias_conducir%22.%22Codreg%22%3D12</t>
  </si>
  <si>
    <t>https://analytics.zoho.com/open-view/2395394000008475578?ZOHO_CRITERIA=%228.3%20Licencias_conducir%22.%22Codreg%22%3D13</t>
  </si>
  <si>
    <t>https://analytics.zoho.com/open-view/2395394000008475578?ZOHO_CRITERIA=%228.3%20Licencias_conducir%22.%22Codreg%22%3D14</t>
  </si>
  <si>
    <t>https://analytics.zoho.com/open-view/2395394000008475578?ZOHO_CRITERIA=%228.3%20Licencias_conducir%22.%22Codreg%22%3D15</t>
  </si>
  <si>
    <t>https://analytics.zoho.com/open-view/2395394000008475310?ZOHO_CRITERIA=%228.1%20Permiso_circulaci%C3%B3n%22.%22Codreg%22%3D1</t>
  </si>
  <si>
    <t>https://analytics.zoho.com/open-view/2395394000008475310?ZOHO_CRITERIA=%228.1%20Permiso_circulaci%C3%B3n%22.%22Codreg%22%3D2</t>
  </si>
  <si>
    <t>https://analytics.zoho.com/open-view/2395394000008475310?ZOHO_CRITERIA=%228.1%20Permiso_circulaci%C3%B3n%22.%22Codreg%22%3D3</t>
  </si>
  <si>
    <t>https://analytics.zoho.com/open-view/2395394000008475310?ZOHO_CRITERIA=%228.1%20Permiso_circulaci%C3%B3n%22.%22Codreg%22%3D4</t>
  </si>
  <si>
    <t>https://analytics.zoho.com/open-view/2395394000008475310?ZOHO_CRITERIA=%228.1%20Permiso_circulaci%C3%B3n%22.%22Codreg%22%3D5</t>
  </si>
  <si>
    <t>https://analytics.zoho.com/open-view/2395394000008475310?ZOHO_CRITERIA=%228.1%20Permiso_circulaci%C3%B3n%22.%22Codreg%22%3D6</t>
  </si>
  <si>
    <t>https://analytics.zoho.com/open-view/2395394000008475310?ZOHO_CRITERIA=%228.1%20Permiso_circulaci%C3%B3n%22.%22Codreg%22%3D7</t>
  </si>
  <si>
    <t>https://analytics.zoho.com/open-view/2395394000008475310?ZOHO_CRITERIA=%228.1%20Permiso_circulaci%C3%B3n%22.%22Codreg%22%3D8</t>
  </si>
  <si>
    <t>https://analytics.zoho.com/open-view/2395394000008475310?ZOHO_CRITERIA=%228.1%20Permiso_circulaci%C3%B3n%22.%22Codreg%22%3D9</t>
  </si>
  <si>
    <t>https://analytics.zoho.com/open-view/2395394000008475310?ZOHO_CRITERIA=%228.1%20Permiso_circulaci%C3%B3n%22.%22Codreg%22%3D10</t>
  </si>
  <si>
    <t>https://analytics.zoho.com/open-view/2395394000008475310?ZOHO_CRITERIA=%228.1%20Permiso_circulaci%C3%B3n%22.%22Codreg%22%3D11</t>
  </si>
  <si>
    <t>https://analytics.zoho.com/open-view/2395394000008475310?ZOHO_CRITERIA=%228.1%20Permiso_circulaci%C3%B3n%22.%22Codreg%22%3D12</t>
  </si>
  <si>
    <t>https://analytics.zoho.com/open-view/2395394000008475310?ZOHO_CRITERIA=%228.1%20Permiso_circulaci%C3%B3n%22.%22Codreg%22%3D13</t>
  </si>
  <si>
    <t>https://analytics.zoho.com/open-view/2395394000008475310?ZOHO_CRITERIA=%228.1%20Permiso_circulaci%C3%B3n%22.%22Codreg%22%3D14</t>
  </si>
  <si>
    <t>https://analytics.zoho.com/open-view/2395394000008475310?ZOHO_CRITERIA=%228.1%20Permiso_circulaci%C3%B3n%22.%22Codreg%22%3D15</t>
  </si>
  <si>
    <t>https://analytics.zoho.com/open-view/2395394000008413167?ZOHO_CRITERIA=%228.3%20Licencias_conducir%22.%22Codreg%22%3D1</t>
  </si>
  <si>
    <t>https://analytics.zoho.com/open-view/2395394000008413167?ZOHO_CRITERIA=%228.3%20Licencias_conducir%22.%22Codreg%22%3D2</t>
  </si>
  <si>
    <t>https://analytics.zoho.com/open-view/2395394000008413167?ZOHO_CRITERIA=%228.3%20Licencias_conducir%22.%22Codreg%22%3D3</t>
  </si>
  <si>
    <t>https://analytics.zoho.com/open-view/2395394000008413167?ZOHO_CRITERIA=%228.3%20Licencias_conducir%22.%22Codreg%22%3D4</t>
  </si>
  <si>
    <t>https://analytics.zoho.com/open-view/2395394000008413167?ZOHO_CRITERIA=%228.3%20Licencias_conducir%22.%22Codreg%22%3D5</t>
  </si>
  <si>
    <t>https://analytics.zoho.com/open-view/2395394000008413167?ZOHO_CRITERIA=%228.3%20Licencias_conducir%22.%22Codreg%22%3D6</t>
  </si>
  <si>
    <t>https://analytics.zoho.com/open-view/2395394000008413167?ZOHO_CRITERIA=%228.3%20Licencias_conducir%22.%22Codreg%22%3D7</t>
  </si>
  <si>
    <t>https://analytics.zoho.com/open-view/2395394000008413167?ZOHO_CRITERIA=%228.3%20Licencias_conducir%22.%22Codreg%22%3D8</t>
  </si>
  <si>
    <t>https://analytics.zoho.com/open-view/2395394000008413167?ZOHO_CRITERIA=%228.3%20Licencias_conducir%22.%22Codreg%22%3D9</t>
  </si>
  <si>
    <t>https://analytics.zoho.com/open-view/2395394000008413167?ZOHO_CRITERIA=%228.3%20Licencias_conducir%22.%22Codreg%22%3D10</t>
  </si>
  <si>
    <t>https://analytics.zoho.com/open-view/2395394000008413167?ZOHO_CRITERIA=%228.3%20Licencias_conducir%22.%22Codreg%22%3D11</t>
  </si>
  <si>
    <t>https://analytics.zoho.com/open-view/2395394000008413167?ZOHO_CRITERIA=%228.3%20Licencias_conducir%22.%22Codreg%22%3D12</t>
  </si>
  <si>
    <t>https://analytics.zoho.com/open-view/2395394000008413167?ZOHO_CRITERIA=%228.3%20Licencias_conducir%22.%22Codreg%22%3D13</t>
  </si>
  <si>
    <t>https://analytics.zoho.com/open-view/2395394000008413167?ZOHO_CRITERIA=%228.3%20Licencias_conducir%22.%22Codreg%22%3D14</t>
  </si>
  <si>
    <t>https://analytics.zoho.com/open-view/2395394000008413167?ZOHO_CRITERIA=%228.3%20Licencias_conducir%22.%22Codreg%22%3D15</t>
  </si>
  <si>
    <t>Capacidad Instalada (MW) de Centrales Eléctricas por Tipo de Energía en la Región de Tarapacá, para el Año 2021</t>
  </si>
  <si>
    <t>https://analytics.zoho.com/open-view/2395394000008478582?ZOHO_CRITERIA=%2216%20Energ%C3%ADas%20Renovables%20y%20No%20Renovables%22.%22Cod_Regi%C3%B3n%22%20%3D%201</t>
  </si>
  <si>
    <t>Capacidad Instalada (MW) de Centrales Eléctricas por Tipo de Energía en la Región de Antofagasta, para el Año 2021</t>
  </si>
  <si>
    <t>https://analytics.zoho.com/open-view/2395394000008478582?ZOHO_CRITERIA=%2216%20Energ%C3%ADas%20Renovables%20y%20No%20Renovables%22.%22Cod_Regi%C3%B3n%22%20%3D%202</t>
  </si>
  <si>
    <t>Capacidad Instalada (MW) de Centrales Eléctricas por Tipo de Energía en la Región de Atacama, para el Año 2021</t>
  </si>
  <si>
    <t>https://analytics.zoho.com/open-view/2395394000008478582?ZOHO_CRITERIA=%2216%20Energ%C3%ADas%20Renovables%20y%20No%20Renovables%22.%22Cod_Regi%C3%B3n%22%20%3D%203</t>
  </si>
  <si>
    <t>Capacidad Instalada (MW) de Centrales Eléctricas por Tipo de Energía en la Región de Coquimbo, para el Año 2021</t>
  </si>
  <si>
    <t>https://analytics.zoho.com/open-view/2395394000008478582?ZOHO_CRITERIA=%2216%20Energ%C3%ADas%20Renovables%20y%20No%20Renovables%22.%22Cod_Regi%C3%B3n%22%20%3D%204</t>
  </si>
  <si>
    <t>Capacidad Instalada (MW) de Centrales Eléctricas por Tipo de Energía en la Región de Valparaíso, para el Año 2021</t>
  </si>
  <si>
    <t>https://analytics.zoho.com/open-view/2395394000008478582?ZOHO_CRITERIA=%2216%20Energ%C3%ADas%20Renovables%20y%20No%20Renovables%22.%22Cod_Regi%C3%B3n%22%20%3D%205</t>
  </si>
  <si>
    <t>Capacidad Instalada (MW) de Centrales Eléctricas por Tipo de Energía en la Región de O'Higgins, para el Año 2021</t>
  </si>
  <si>
    <t>https://analytics.zoho.com/open-view/2395394000008478582?ZOHO_CRITERIA=%2216%20Energ%C3%ADas%20Renovables%20y%20No%20Renovables%22.%22Cod_Regi%C3%B3n%22%20%3D%206</t>
  </si>
  <si>
    <t>Capacidad Instalada (MW) de Centrales Eléctricas por Tipo de Energía en la Región de Maule, para el Año 2021</t>
  </si>
  <si>
    <t>https://analytics.zoho.com/open-view/2395394000008478582?ZOHO_CRITERIA=%2216%20Energ%C3%ADas%20Renovables%20y%20No%20Renovables%22.%22Cod_Regi%C3%B3n%22%20%3D%207</t>
  </si>
  <si>
    <t>Capacidad Instalada (MW) de Centrales Eléctricas por Tipo de Energía en la Región del Biobío, para el Año 2021</t>
  </si>
  <si>
    <t>https://analytics.zoho.com/open-view/2395394000008478582?ZOHO_CRITERIA=%2216%20Energ%C3%ADas%20Renovables%20y%20No%20Renovables%22.%22Cod_Regi%C3%B3n%22%20%3D%208</t>
  </si>
  <si>
    <t>Capacidad Instalada (MW) de Centrales Eléctricas por Tipo de Energía en la Región de La Araucanía, para el Año 2021</t>
  </si>
  <si>
    <t>https://analytics.zoho.com/open-view/2395394000008478582?ZOHO_CRITERIA=%2216%20Energ%C3%ADas%20Renovables%20y%20No%20Renovables%22.%22Cod_Regi%C3%B3n%22%20%3D%209</t>
  </si>
  <si>
    <t>Capacidad Instalada (MW) de Centrales Eléctricas por Tipo de Energía en la Región de Los Lagos, para el Año 2021</t>
  </si>
  <si>
    <t>https://analytics.zoho.com/open-view/2395394000008478582?ZOHO_CRITERIA=%2216%20Energ%C3%ADas%20Renovables%20y%20No%20Renovables%22.%22Cod_Regi%C3%B3n%22%20%3D%2010</t>
  </si>
  <si>
    <t>Capacidad Instalada (MW) de Centrales Eléctricas por Tipo de Energía en la Región de Aysén, para el Año 2021</t>
  </si>
  <si>
    <t>https://analytics.zoho.com/open-view/2395394000008478582?ZOHO_CRITERIA=%2216%20Energ%C3%ADas%20Renovables%20y%20No%20Renovables%22.%22Cod_Regi%C3%B3n%22%20%3D%2011</t>
  </si>
  <si>
    <t>Capacidad Instalada (MW) de Centrales Eléctricas por Tipo de Energía en la Región de Magallanes, para el Año 2021</t>
  </si>
  <si>
    <t>https://analytics.zoho.com/open-view/2395394000008478582?ZOHO_CRITERIA=%2216%20Energ%C3%ADas%20Renovables%20y%20No%20Renovables%22.%22Cod_Regi%C3%B3n%22%20%3D%2012</t>
  </si>
  <si>
    <t>Capacidad Instalada (MW) de Centrales Eléctricas por Tipo de Energía en la Región Metropolitana, para el Año 2021</t>
  </si>
  <si>
    <t>https://analytics.zoho.com/open-view/2395394000008478582?ZOHO_CRITERIA=%2216%20Energ%C3%ADas%20Renovables%20y%20No%20Renovables%22.%22Cod_Regi%C3%B3n%22%20%3D%2013</t>
  </si>
  <si>
    <t>https://analytics.zoho.com/open-view/2395394000008492075?ZOHO_CRITERIA=%2216%20Energ%C3%ADas%20Renovables%20y%20No%20Renovables%22.%22Cod_Regi%C3%B3n%22%20%3D%201</t>
  </si>
  <si>
    <t>https://analytics.zoho.com/open-view/2395394000008492075?ZOHO_CRITERIA=%2216%20Energ%C3%ADas%20Renovables%20y%20No%20Renovables%22.%22Cod_Regi%C3%B3n%22%20%3D%202</t>
  </si>
  <si>
    <t>https://analytics.zoho.com/open-view/2395394000008492075?ZOHO_CRITERIA=%2216%20Energ%C3%ADas%20Renovables%20y%20No%20Renovables%22.%22Cod_Regi%C3%B3n%22%20%3D%203</t>
  </si>
  <si>
    <t>https://analytics.zoho.com/open-view/2395394000008492075?ZOHO_CRITERIA=%2216%20Energ%C3%ADas%20Renovables%20y%20No%20Renovables%22.%22Cod_Regi%C3%B3n%22%20%3D%204</t>
  </si>
  <si>
    <t>https://analytics.zoho.com/open-view/2395394000008492075?ZOHO_CRITERIA=%2216%20Energ%C3%ADas%20Renovables%20y%20No%20Renovables%22.%22Cod_Regi%C3%B3n%22%20%3D%205</t>
  </si>
  <si>
    <t>https://analytics.zoho.com/open-view/2395394000008492075?ZOHO_CRITERIA=%2216%20Energ%C3%ADas%20Renovables%20y%20No%20Renovables%22.%22Cod_Regi%C3%B3n%22%20%3D%206</t>
  </si>
  <si>
    <t>https://analytics.zoho.com/open-view/2395394000008492075?ZOHO_CRITERIA=%2216%20Energ%C3%ADas%20Renovables%20y%20No%20Renovables%22.%22Cod_Regi%C3%B3n%22%20%3D%207</t>
  </si>
  <si>
    <t>https://analytics.zoho.com/open-view/2395394000008492075?ZOHO_CRITERIA=%2216%20Energ%C3%ADas%20Renovables%20y%20No%20Renovables%22.%22Cod_Regi%C3%B3n%22%20%3D%208</t>
  </si>
  <si>
    <t>https://analytics.zoho.com/open-view/2395394000008492075?ZOHO_CRITERIA=%2216%20Energ%C3%ADas%20Renovables%20y%20No%20Renovables%22.%22Cod_Regi%C3%B3n%22%20%3D%209</t>
  </si>
  <si>
    <t>https://analytics.zoho.com/open-view/2395394000008492075?ZOHO_CRITERIA=%2216%20Energ%C3%ADas%20Renovables%20y%20No%20Renovables%22.%22Cod_Regi%C3%B3n%22%20%3D%2010</t>
  </si>
  <si>
    <t>https://analytics.zoho.com/open-view/2395394000008492075?ZOHO_CRITERIA=%2216%20Energ%C3%ADas%20Renovables%20y%20No%20Renovables%22.%22Cod_Regi%C3%B3n%22%20%3D%2011</t>
  </si>
  <si>
    <t>https://analytics.zoho.com/open-view/2395394000008492075?ZOHO_CRITERIA=%2216%20Energ%C3%ADas%20Renovables%20y%20No%20Renovables%22.%22Cod_Regi%C3%B3n%22%20%3D%2012</t>
  </si>
  <si>
    <t>https://analytics.zoho.com/open-view/2395394000008516725?ZOHO_CRITERIA=%22Localiza%20CL%22.%22Codreg%22%20%3D%201</t>
  </si>
  <si>
    <t>https://analytics.zoho.com/open-view/2395394000008516725?ZOHO_CRITERIA=%22Localiza%20CL%22.%22Codreg%22%20%3D%202</t>
  </si>
  <si>
    <t>https://analytics.zoho.com/open-view/2395394000008516725?ZOHO_CRITERIA=%22Localiza%20CL%22.%22Codreg%22%20%3D%203</t>
  </si>
  <si>
    <t>https://analytics.zoho.com/open-view/2395394000008516725?ZOHO_CRITERIA=%22Localiza%20CL%22.%22Codreg%22%20%3D%204</t>
  </si>
  <si>
    <t>https://analytics.zoho.com/open-view/2395394000008516725?ZOHO_CRITERIA=%22Localiza%20CL%22.%22Codreg%22%20%3D%205</t>
  </si>
  <si>
    <t>https://analytics.zoho.com/open-view/2395394000008516725?ZOHO_CRITERIA=%22Localiza%20CL%22.%22Codreg%22%20%3D%206</t>
  </si>
  <si>
    <t>https://analytics.zoho.com/open-view/2395394000008516725?ZOHO_CRITERIA=%22Localiza%20CL%22.%22Codreg%22%20%3D%207</t>
  </si>
  <si>
    <t>https://analytics.zoho.com/open-view/2395394000008516725?ZOHO_CRITERIA=%22Localiza%20CL%22.%22Codreg%22%20%3D%208</t>
  </si>
  <si>
    <t>https://analytics.zoho.com/open-view/2395394000008516725?ZOHO_CRITERIA=%22Localiza%20CL%22.%22Codreg%22%20%3D%209</t>
  </si>
  <si>
    <t>https://analytics.zoho.com/open-view/2395394000008516725?ZOHO_CRITERIA=%22Localiza%20CL%22.%22Codreg%22%20%3D%2010</t>
  </si>
  <si>
    <t>https://analytics.zoho.com/open-view/2395394000008516725?ZOHO_CRITERIA=%22Localiza%20CL%22.%22Codreg%22%20%3D%2011</t>
  </si>
  <si>
    <t>Volumen de las importaciones en kilogramo según tipo de terminal de entrada en Chile, Periodo 2015-2021</t>
  </si>
  <si>
    <t>Volumen de las importaciones en kilogramo según tipo de terminal de entrada en la Región de Tarapacá, Periodo 2015-2021</t>
  </si>
  <si>
    <t>https://analytics.zoho.com/open-view/2395394000008461682?ZOHO_CRITERIA=%221.1%20Lugar_Salida_Entrada%22.%22C%C3%B3digo%20Regi%C3%B3n%22%3D1</t>
  </si>
  <si>
    <t>Volumen de las importaciones en kilogramo según tipo de terminal de entrada en la Región de Antofagasta, Periodo 2015-2021</t>
  </si>
  <si>
    <t>https://analytics.zoho.com/open-view/2395394000008461682?ZOHO_CRITERIA=%221.1%20Lugar_Salida_Entrada%22.%22C%C3%B3digo%20Regi%C3%B3n%22%3D2</t>
  </si>
  <si>
    <t>Volumen de las importaciones en kilogramo según tipo de terminal de entrada en la Región de Atacama, Periodo 2015-2021</t>
  </si>
  <si>
    <t>https://analytics.zoho.com/open-view/2395394000008461682?ZOHO_CRITERIA=%221.1%20Lugar_Salida_Entrada%22.%22C%C3%B3digo%20Regi%C3%B3n%22%3D3</t>
  </si>
  <si>
    <t>Volumen de las importaciones en kilogramo según tipo de terminal de entrada en la Región de Coquimbo, Periodo 2015-2021</t>
  </si>
  <si>
    <t>https://analytics.zoho.com/open-view/2395394000008461682?ZOHO_CRITERIA=%221.1%20Lugar_Salida_Entrada%22.%22C%C3%B3digo%20Regi%C3%B3n%22%3D4</t>
  </si>
  <si>
    <t>Volumen de las importaciones en kilogramo según tipo de terminal de entrada en la Región de Valparaíso, Periodo 2015-2021</t>
  </si>
  <si>
    <t>https://analytics.zoho.com/open-view/2395394000008461682?ZOHO_CRITERIA=%221.1%20Lugar_Salida_Entrada%22.%22C%C3%B3digo%20Regi%C3%B3n%22%3D5</t>
  </si>
  <si>
    <t>Volumen de las importaciones en kilogramo según tipo de terminal de entrada en la Región de O'Higgins, Periodo 2015-2021</t>
  </si>
  <si>
    <t>https://analytics.zoho.com/open-view/2395394000008461682?ZOHO_CRITERIA=%221.1%20Lugar_Salida_Entrada%22.%22C%C3%B3digo%20Regi%C3%B3n%22%3D6</t>
  </si>
  <si>
    <t>Volumen de las importaciones en kilogramo según tipo de terminal de entrada en la Región de Maule, Periodo 2015-2021</t>
  </si>
  <si>
    <t>https://analytics.zoho.com/open-view/2395394000008461682?ZOHO_CRITERIA=%221.1%20Lugar_Salida_Entrada%22.%22C%C3%B3digo%20Regi%C3%B3n%22%3D7</t>
  </si>
  <si>
    <t>Volumen de las importaciones en kilogramo según tipo de terminal de entrada en la Región del Biobío, Periodo 2015-2021</t>
  </si>
  <si>
    <t>https://analytics.zoho.com/open-view/2395394000008461682?ZOHO_CRITERIA=%221.1%20Lugar_Salida_Entrada%22.%22C%C3%B3digo%20Regi%C3%B3n%22%3D8</t>
  </si>
  <si>
    <t>Volumen de las importaciones en kilogramo según tipo de terminal de entrada en la Región de La Araucanía, Periodo 2015-2021</t>
  </si>
  <si>
    <t>https://analytics.zoho.com/open-view/2395394000008461682?ZOHO_CRITERIA=%221.1%20Lugar_Salida_Entrada%22.%22C%C3%B3digo%20Regi%C3%B3n%22%3D9</t>
  </si>
  <si>
    <t>Volumen de las importaciones en kilogramo según tipo de terminal de entrada en la Región de Los Lagos, Periodo 2015-2021</t>
  </si>
  <si>
    <t>https://analytics.zoho.com/open-view/2395394000008461682?ZOHO_CRITERIA=%221.1%20Lugar_Salida_Entrada%22.%22C%C3%B3digo%20Regi%C3%B3n%22%3D10</t>
  </si>
  <si>
    <t>Volumen de las importaciones en kilogramo según tipo de terminal de entrada en la Región de Aysén, Periodo 2015-2021</t>
  </si>
  <si>
    <t>https://analytics.zoho.com/open-view/2395394000008461682?ZOHO_CRITERIA=%221.1%20Lugar_Salida_Entrada%22.%22C%C3%B3digo%20Regi%C3%B3n%22%3D11</t>
  </si>
  <si>
    <t>Volumen de las importaciones en kilogramo según tipo de terminal de entrada en la Región de Magallanes, Periodo 2015-2021</t>
  </si>
  <si>
    <t>https://analytics.zoho.com/open-view/2395394000008461682?ZOHO_CRITERIA=%221.1%20Lugar_Salida_Entrada%22.%22C%C3%B3digo%20Regi%C3%B3n%22%3D12</t>
  </si>
  <si>
    <t>Volumen de las importaciones en kilogramo según tipo de terminal de entrada en la Región Metropolitana, Periodo 2015-2021</t>
  </si>
  <si>
    <t>https://analytics.zoho.com/open-view/2395394000008461682?ZOHO_CRITERIA=%221.1%20Lugar_Salida_Entrada%22.%22C%C3%B3digo%20Regi%C3%B3n%22%3D13</t>
  </si>
  <si>
    <t>Volumen de las importaciones en kilogramo según tipo de terminal de entrada en la Región de Los Ríos, Periodo 2015-2021</t>
  </si>
  <si>
    <t>https://analytics.zoho.com/open-view/2395394000008461682?ZOHO_CRITERIA=%221.1%20Lugar_Salida_Entrada%22.%22C%C3%B3digo%20Regi%C3%B3n%22%3D14</t>
  </si>
  <si>
    <t>Volumen de las importaciones en kilogramo según tipo de terminal de entrada en la Región de Arica y Parinacota, Periodo 2015-2021</t>
  </si>
  <si>
    <t>https://analytics.zoho.com/open-view/2395394000008461682?ZOHO_CRITERIA=%221.1%20Lugar_Salida_Entrada%22.%22C%C3%B3digo%20Regi%C3%B3n%22%3D15</t>
  </si>
  <si>
    <t>Valor de las exportaciones en USD según terminal de salida para Chile, Periodo 2015-2021</t>
  </si>
  <si>
    <t>Valor de las exportaciones en USD según terminal de salida para la Región de Tarapacá, Periodo 2015-2021</t>
  </si>
  <si>
    <t>https://analytics.zoho.com/open-view/2395394000008189059?ZOHO_CRITERIA=%221.1%20Lugar_Salida_Entrada%22.%22C%C3%B3digo%20Regi%C3%B3n%22%3D1</t>
  </si>
  <si>
    <t>Valor de las exportaciones en USD según terminal de salida para la Región de Antofagasta, Periodo 2015-2021</t>
  </si>
  <si>
    <t>https://analytics.zoho.com/open-view/2395394000008189059?ZOHO_CRITERIA=%221.1%20Lugar_Salida_Entrada%22.%22C%C3%B3digo%20Regi%C3%B3n%22%3D2</t>
  </si>
  <si>
    <t>Valor de las exportaciones en USD según terminal de salida para la Región de Atacama, Periodo 2015-2021</t>
  </si>
  <si>
    <t>https://analytics.zoho.com/open-view/2395394000008189059?ZOHO_CRITERIA=%221.1%20Lugar_Salida_Entrada%22.%22C%C3%B3digo%20Regi%C3%B3n%22%3D3</t>
  </si>
  <si>
    <t>Valor de las exportaciones en USD según terminal de salida para la Región de Coquimbo, Periodo 2015-2021</t>
  </si>
  <si>
    <t>https://analytics.zoho.com/open-view/2395394000008189059?ZOHO_CRITERIA=%221.1%20Lugar_Salida_Entrada%22.%22C%C3%B3digo%20Regi%C3%B3n%22%3D4</t>
  </si>
  <si>
    <t>Valor de las exportaciones en USD según terminal de salida para la Región de Valparaíso, Periodo 2015-2021</t>
  </si>
  <si>
    <t>https://analytics.zoho.com/open-view/2395394000008189059?ZOHO_CRITERIA=%221.1%20Lugar_Salida_Entrada%22.%22C%C3%B3digo%20Regi%C3%B3n%22%3D5</t>
  </si>
  <si>
    <t>Valor de las exportaciones en USD según terminal de salida para la Región de O'Higgins, Periodo 2015-2021</t>
  </si>
  <si>
    <t>https://analytics.zoho.com/open-view/2395394000008189059?ZOHO_CRITERIA=%221.1%20Lugar_Salida_Entrada%22.%22C%C3%B3digo%20Regi%C3%B3n%22%3D6</t>
  </si>
  <si>
    <t>Valor de las exportaciones en USD según terminal de salida para la Región de Maule, Periodo 2015-2021</t>
  </si>
  <si>
    <t>https://analytics.zoho.com/open-view/2395394000008189059?ZOHO_CRITERIA=%221.1%20Lugar_Salida_Entrada%22.%22C%C3%B3digo%20Regi%C3%B3n%22%3D7</t>
  </si>
  <si>
    <t>Valor de las exportaciones en USD según terminal de salida para la Región del Biobío, Periodo 2015-2021</t>
  </si>
  <si>
    <t>https://analytics.zoho.com/open-view/2395394000008189059?ZOHO_CRITERIA=%221.1%20Lugar_Salida_Entrada%22.%22C%C3%B3digo%20Regi%C3%B3n%22%3D8</t>
  </si>
  <si>
    <t>Valor de las exportaciones en USD según terminal de salida para la Región de La Araucanía, Periodo 2015-2021</t>
  </si>
  <si>
    <t>https://analytics.zoho.com/open-view/2395394000008189059?ZOHO_CRITERIA=%221.1%20Lugar_Salida_Entrada%22.%22C%C3%B3digo%20Regi%C3%B3n%22%3D9</t>
  </si>
  <si>
    <t>Valor de las exportaciones en USD según terminal de salida para la Región de Los Lagos, Periodo 2015-2021</t>
  </si>
  <si>
    <t>https://analytics.zoho.com/open-view/2395394000008189059?ZOHO_CRITERIA=%221.1%20Lugar_Salida_Entrada%22.%22C%C3%B3digo%20Regi%C3%B3n%22%3D10</t>
  </si>
  <si>
    <t>Valor de las exportaciones en USD según terminal de salida para la Región de Aysén, Periodo 2015-2021</t>
  </si>
  <si>
    <t>https://analytics.zoho.com/open-view/2395394000008189059?ZOHO_CRITERIA=%221.1%20Lugar_Salida_Entrada%22.%22C%C3%B3digo%20Regi%C3%B3n%22%3D11</t>
  </si>
  <si>
    <t>Valor de las exportaciones en USD según terminal de salida para la Región de Magallanes, Periodo 2015-2021</t>
  </si>
  <si>
    <t>https://analytics.zoho.com/open-view/2395394000008189059?ZOHO_CRITERIA=%221.1%20Lugar_Salida_Entrada%22.%22C%C3%B3digo%20Regi%C3%B3n%22%3D12</t>
  </si>
  <si>
    <t>Valor de las exportaciones en USD según terminal de salida para la Región Metropolitana, Periodo 2015-2021</t>
  </si>
  <si>
    <t>https://analytics.zoho.com/open-view/2395394000008189059?ZOHO_CRITERIA=%221.1%20Lugar_Salida_Entrada%22.%22C%C3%B3digo%20Regi%C3%B3n%22%3D13</t>
  </si>
  <si>
    <t>Valor de las exportaciones en USD según terminal de salida para la Región de Los Ríos, Periodo 2015-2021</t>
  </si>
  <si>
    <t>https://analytics.zoho.com/open-view/2395394000008189059?ZOHO_CRITERIA=%221.1%20Lugar_Salida_Entrada%22.%22C%C3%B3digo%20Regi%C3%B3n%22%3D14</t>
  </si>
  <si>
    <t>https://analytics.zoho.com/open-view/2395394000008532260?ZOHO_CRITERIA=%221.1%20Lugar_Salida_Entrada%22.%22C%C3%B3digo%20Regi%C3%B3n%22%3D1</t>
  </si>
  <si>
    <t>https://analytics.zoho.com/open-view/2395394000008532260?ZOHO_CRITERIA=%221.1%20Lugar_Salida_Entrada%22.%22C%C3%B3digo%20Regi%C3%B3n%22%3D2</t>
  </si>
  <si>
    <t>https://analytics.zoho.com/open-view/2395394000008532260?ZOHO_CRITERIA=%221.1%20Lugar_Salida_Entrada%22.%22C%C3%B3digo%20Regi%C3%B3n%22%3D3</t>
  </si>
  <si>
    <t>https://analytics.zoho.com/open-view/2395394000008532260?ZOHO_CRITERIA=%221.1%20Lugar_Salida_Entrada%22.%22C%C3%B3digo%20Regi%C3%B3n%22%3D4</t>
  </si>
  <si>
    <t>https://analytics.zoho.com/open-view/2395394000008532260?ZOHO_CRITERIA=%221.1%20Lugar_Salida_Entrada%22.%22C%C3%B3digo%20Regi%C3%B3n%22%3D5</t>
  </si>
  <si>
    <t>https://analytics.zoho.com/open-view/2395394000008532260?ZOHO_CRITERIA=%221.1%20Lugar_Salida_Entrada%22.%22C%C3%B3digo%20Regi%C3%B3n%22%3D6</t>
  </si>
  <si>
    <t>https://analytics.zoho.com/open-view/2395394000008532260?ZOHO_CRITERIA=%221.1%20Lugar_Salida_Entrada%22.%22C%C3%B3digo%20Regi%C3%B3n%22%3D7</t>
  </si>
  <si>
    <t>https://analytics.zoho.com/open-view/2395394000008532260?ZOHO_CRITERIA=%221.1%20Lugar_Salida_Entrada%22.%22C%C3%B3digo%20Regi%C3%B3n%22%3D8</t>
  </si>
  <si>
    <t>https://analytics.zoho.com/open-view/2395394000008532260?ZOHO_CRITERIA=%221.1%20Lugar_Salida_Entrada%22.%22C%C3%B3digo%20Regi%C3%B3n%22%3D9</t>
  </si>
  <si>
    <t>https://analytics.zoho.com/open-view/2395394000008532260?ZOHO_CRITERIA=%221.1%20Lugar_Salida_Entrada%22.%22C%C3%B3digo%20Regi%C3%B3n%22%3D10</t>
  </si>
  <si>
    <t>https://analytics.zoho.com/open-view/2395394000008532260?ZOHO_CRITERIA=%221.1%20Lugar_Salida_Entrada%22.%22C%C3%B3digo%20Regi%C3%B3n%22%3D11</t>
  </si>
  <si>
    <t>https://analytics.zoho.com/open-view/2395394000008532260?ZOHO_CRITERIA=%221.1%20Lugar_Salida_Entrada%22.%22C%C3%B3digo%20Regi%C3%B3n%22%3D12</t>
  </si>
  <si>
    <t>https://analytics.zoho.com/open-view/2395394000008532260?ZOHO_CRITERIA=%221.1%20Lugar_Salida_Entrada%22.%22C%C3%B3digo%20Regi%C3%B3n%22%3D13</t>
  </si>
  <si>
    <t>https://analytics.zoho.com/open-view/2395394000008532260?ZOHO_CRITERIA=%221.1%20Lugar_Salida_Entrada%22.%22C%C3%B3digo%20Regi%C3%B3n%22%3D14</t>
  </si>
  <si>
    <t>https://analytics.zoho.com/open-view/2395394000008532260?ZOHO_CRITERIA=%221.1%20Lugar_Salida_Entrada%22.%22C%C3%B3digo%20Regi%C3%B3n%22%3D15</t>
  </si>
  <si>
    <t>Cantidad de Parques Urbanos por Comuna en la Región de Tarapacá, Año 2020</t>
  </si>
  <si>
    <t>https://analytics.zoho.com/open-view/2395394000008464607?ZOHO_CRITERIA=%22Localiza%20CL%22.%22Codreg%22%20%3D%201</t>
  </si>
  <si>
    <t>Cantidad de Parques Urbanos por Comuna en la Región de Antofagasta, Año 2020</t>
  </si>
  <si>
    <t>https://analytics.zoho.com/open-view/2395394000008464607?ZOHO_CRITERIA=%22Localiza%20CL%22.%22Codreg%22%20%3D%202</t>
  </si>
  <si>
    <t>Cantidad de Parques Urbanos por Comuna en la Región de Atacama, Año 2020</t>
  </si>
  <si>
    <t>https://analytics.zoho.com/open-view/2395394000008464607?ZOHO_CRITERIA=%22Localiza%20CL%22.%22Codreg%22%20%3D%203</t>
  </si>
  <si>
    <t>Cantidad de Parques Urbanos por Comuna en la Región de Coquimbo, Año 2020</t>
  </si>
  <si>
    <t>https://analytics.zoho.com/open-view/2395394000008464607?ZOHO_CRITERIA=%22Localiza%20CL%22.%22Codreg%22%20%3D%204</t>
  </si>
  <si>
    <t>Cantidad de Parques Urbanos por Comuna en la Región de Valparaíso, Año 2020</t>
  </si>
  <si>
    <t>https://analytics.zoho.com/open-view/2395394000008464607?ZOHO_CRITERIA=%22Localiza%20CL%22.%22Codreg%22%20%3D%205</t>
  </si>
  <si>
    <t>Cantidad de Parques Urbanos por Comuna en la Región de O'Higgins, Año 2020</t>
  </si>
  <si>
    <t>https://analytics.zoho.com/open-view/2395394000008464607?ZOHO_CRITERIA=%22Localiza%20CL%22.%22Codreg%22%20%3D%206</t>
  </si>
  <si>
    <t>Cantidad de Parques Urbanos por Comuna en la Región de Maule, Año 2020</t>
  </si>
  <si>
    <t>https://analytics.zoho.com/open-view/2395394000008464607?ZOHO_CRITERIA=%22Localiza%20CL%22.%22Codreg%22%20%3D%207</t>
  </si>
  <si>
    <t>Cantidad de Parques Urbanos por Comuna en la Región del Biobío, Año 2020</t>
  </si>
  <si>
    <t>https://analytics.zoho.com/open-view/2395394000008464607?ZOHO_CRITERIA=%22Localiza%20CL%22.%22Codreg%22%20%3D%208</t>
  </si>
  <si>
    <t>Cantidad de Parques Urbanos por Comuna en la Región de La Araucanía, Año 2020</t>
  </si>
  <si>
    <t>https://analytics.zoho.com/open-view/2395394000008464607?ZOHO_CRITERIA=%22Localiza%20CL%22.%22Codreg%22%20%3D%209</t>
  </si>
  <si>
    <t>Cantidad de Parques Urbanos por Comuna en la Región de Los Lagos, Año 2020</t>
  </si>
  <si>
    <t>https://analytics.zoho.com/open-view/2395394000008464607?ZOHO_CRITERIA=%22Localiza%20CL%22.%22Codreg%22%20%3D%2010</t>
  </si>
  <si>
    <t>Cantidad de Parques Urbanos por Comuna en la Región de Aysén, Año 2020</t>
  </si>
  <si>
    <t>https://analytics.zoho.com/open-view/2395394000008464607?ZOHO_CRITERIA=%22Localiza%20CL%22.%22Codreg%22%20%3D%2011</t>
  </si>
  <si>
    <t>Cantidad de Parques Urbanos por Comuna en la Región de Magallanes, Año 2020</t>
  </si>
  <si>
    <t>https://analytics.zoho.com/open-view/2395394000008464607?ZOHO_CRITERIA=%22Localiza%20CL%22.%22Codreg%22%20%3D%2012</t>
  </si>
  <si>
    <t>Cantidad de Parques Urbanos por Comuna en la Región Metropolitana, Año 2020</t>
  </si>
  <si>
    <t>https://analytics.zoho.com/open-view/2395394000008464607?ZOHO_CRITERIA=%22Localiza%20CL%22.%22Codreg%22%20%3D%2013</t>
  </si>
  <si>
    <t>Cantidad de Parques Urbanos por Comuna en la Región de Los Ríos, Año 2020</t>
  </si>
  <si>
    <t>https://analytics.zoho.com/open-view/2395394000008464607?ZOHO_CRITERIA=%22Localiza%20CL%22.%22Codreg%22%20%3D%2014</t>
  </si>
  <si>
    <t>Cantidad de Parques Urbanos por Comuna en la Región de Arica y Parinacota, Año 2020</t>
  </si>
  <si>
    <t>https://analytics.zoho.com/open-view/2395394000008464607?ZOHO_CRITERIA=%22Localiza%20CL%22.%22Codreg%22%20%3D%2015</t>
  </si>
  <si>
    <t>https://analytics.zoho.com/open-view/2395394000008464727?ZOHO_CRITERIA=%22Localiza%20CL%22.%22Codreg%22%20%3D%201</t>
  </si>
  <si>
    <t>https://analytics.zoho.com/open-view/2395394000008464727?ZOHO_CRITERIA=%22Localiza%20CL%22.%22Codreg%22%20%3D%202</t>
  </si>
  <si>
    <t>https://analytics.zoho.com/open-view/2395394000008464727?ZOHO_CRITERIA=%22Localiza%20CL%22.%22Codreg%22%20%3D%203</t>
  </si>
  <si>
    <t>https://analytics.zoho.com/open-view/2395394000008464727?ZOHO_CRITERIA=%22Localiza%20CL%22.%22Codreg%22%20%3D%204</t>
  </si>
  <si>
    <t>https://analytics.zoho.com/open-view/2395394000008464727?ZOHO_CRITERIA=%22Localiza%20CL%22.%22Codreg%22%20%3D%205</t>
  </si>
  <si>
    <t>https://analytics.zoho.com/open-view/2395394000008464727?ZOHO_CRITERIA=%22Localiza%20CL%22.%22Codreg%22%20%3D%206</t>
  </si>
  <si>
    <t>https://analytics.zoho.com/open-view/2395394000008464727?ZOHO_CRITERIA=%22Localiza%20CL%22.%22Codreg%22%20%3D%207</t>
  </si>
  <si>
    <t>https://analytics.zoho.com/open-view/2395394000008464727?ZOHO_CRITERIA=%22Localiza%20CL%22.%22Codreg%22%20%3D%208</t>
  </si>
  <si>
    <t>https://analytics.zoho.com/open-view/2395394000008464727?ZOHO_CRITERIA=%22Localiza%20CL%22.%22Codreg%22%20%3D%209</t>
  </si>
  <si>
    <t>https://analytics.zoho.com/open-view/2395394000008464727?ZOHO_CRITERIA=%22Localiza%20CL%22.%22Codreg%22%20%3D%2010</t>
  </si>
  <si>
    <t>https://analytics.zoho.com/open-view/2395394000008464727?ZOHO_CRITERIA=%22Localiza%20CL%22.%22Codreg%22%20%3D%2011</t>
  </si>
  <si>
    <t>https://analytics.zoho.com/open-view/2395394000008464727?ZOHO_CRITERIA=%22Localiza%20CL%22.%22Codreg%22%20%3D%2012</t>
  </si>
  <si>
    <t>https://analytics.zoho.com/open-view/2395394000008464727?ZOHO_CRITERIA=%22Localiza%20CL%22.%22Codreg%22%20%3D%2013</t>
  </si>
  <si>
    <t>https://analytics.zoho.com/open-view/2395394000008464727?ZOHO_CRITERIA=%22Localiza%20CL%22.%22Codreg%22%20%3D%2014</t>
  </si>
  <si>
    <t>https://analytics.zoho.com/open-view/2395394000008464727?ZOHO_CRITERIA=%22Localiza%20CL%22.%22Codreg%22%20%3D%2015</t>
  </si>
  <si>
    <t>https://analytics.zoho.com/open-view/2395394000008478003?ZOHO_CRITERIA=%22Localiza%20CL%22.%22Codreg%22%20%3D%201</t>
  </si>
  <si>
    <t>https://analytics.zoho.com/open-view/2395394000008478003?ZOHO_CRITERIA=%22Localiza%20CL%22.%22Codreg%22%20%3D%202</t>
  </si>
  <si>
    <t>https://analytics.zoho.com/open-view/2395394000008478003?ZOHO_CRITERIA=%22Localiza%20CL%22.%22Codreg%22%20%3D%203</t>
  </si>
  <si>
    <t>https://analytics.zoho.com/open-view/2395394000008478003?ZOHO_CRITERIA=%22Localiza%20CL%22.%22Codreg%22%20%3D%204</t>
  </si>
  <si>
    <t>https://analytics.zoho.com/open-view/2395394000008478003?ZOHO_CRITERIA=%22Localiza%20CL%22.%22Codreg%22%20%3D%205</t>
  </si>
  <si>
    <t>https://analytics.zoho.com/open-view/2395394000008478003?ZOHO_CRITERIA=%22Localiza%20CL%22.%22Codreg%22%20%3D%206</t>
  </si>
  <si>
    <t>https://analytics.zoho.com/open-view/2395394000008478003?ZOHO_CRITERIA=%22Localiza%20CL%22.%22Codreg%22%20%3D%207</t>
  </si>
  <si>
    <t>https://analytics.zoho.com/open-view/2395394000008478003?ZOHO_CRITERIA=%22Localiza%20CL%22.%22Codreg%22%20%3D%208</t>
  </si>
  <si>
    <t>https://analytics.zoho.com/open-view/2395394000008478003?ZOHO_CRITERIA=%22Localiza%20CL%22.%22Codreg%22%20%3D%209</t>
  </si>
  <si>
    <t>https://analytics.zoho.com/open-view/2395394000008478003?ZOHO_CRITERIA=%22Localiza%20CL%22.%22Codreg%22%20%3D%2010</t>
  </si>
  <si>
    <t>https://analytics.zoho.com/open-view/2395394000008478003?ZOHO_CRITERIA=%22Localiza%20CL%22.%22Codreg%22%20%3D%2011</t>
  </si>
  <si>
    <t>https://analytics.zoho.com/open-view/2395394000008478003?ZOHO_CRITERIA=%22Localiza%20CL%22.%22Codreg%22%20%3D%2012</t>
  </si>
  <si>
    <t>https://analytics.zoho.com/open-view/2395394000008478003?ZOHO_CRITERIA=%22Localiza%20CL%22.%22Codreg%22%20%3D%2013</t>
  </si>
  <si>
    <t>Tránsito</t>
  </si>
  <si>
    <t>Cantidad de Establecimientos de la Salud por Región en Chile, Año 2021</t>
  </si>
  <si>
    <t>Cantidad de Establecimientos de la Salud en la Región de Ñuble, Año 2021</t>
  </si>
  <si>
    <t>https://analytics.zoho.com/open-view/2395394000008516451?ZOHO_CRITERIA=%222.1%22.%22C%C3%B3digo%20Regi%C3%B3n%22%20%3D%2016</t>
  </si>
  <si>
    <t>Cantidad de Establecimientos de la Salud por Comuna en Chile, Año 2021</t>
  </si>
  <si>
    <t>Cantidad de Establecimientos de la Salud por Comuna en la Región de Ñuble, Año 2021</t>
  </si>
  <si>
    <t>https://analytics.zoho.com/open-view/2395394000008516065?ZOHO_CRITERIA=%222.1%22.%22C%C3%B3digo%20Regi%C3%B3n%22%20%3D%2016</t>
  </si>
  <si>
    <t>Cantidad de Establecimientos de la Salud por Tipo en Chile, Año 2021</t>
  </si>
  <si>
    <t>Cantidad de Establecimientos de la Salud por Tipo en la Región de Tarapacá, Año 2021</t>
  </si>
  <si>
    <t>Cantidad de Establecimientos de la Salud por Tipo en la Región de Antofagasta, Año 2021</t>
  </si>
  <si>
    <t>Cantidad de Establecimientos de la Salud por Tipo en la Región de Atacama, Año 2021</t>
  </si>
  <si>
    <t>Cantidad de Establecimientos de la Salud por Tipo en la Región de Coquimbo, Año 2021</t>
  </si>
  <si>
    <t>Cantidad de Establecimientos de la Salud por Tipo en la Región de Valparaíso, Año 2021</t>
  </si>
  <si>
    <t>Cantidad de Establecimientos de la Salud por Tipo en la Región de O'Higgins, Año 2021</t>
  </si>
  <si>
    <t>Cantidad de Establecimientos de la Salud por Tipo en la Región de Maule, Año 2021</t>
  </si>
  <si>
    <t>Cantidad de Establecimientos de la Salud por Tipo en la Región del Biobío, Año 2021</t>
  </si>
  <si>
    <t>Cantidad de Establecimientos de la Salud por Tipo en la Región de La Araucanía, Año 2021</t>
  </si>
  <si>
    <t>Cantidad de Establecimientos de la Salud por Tipo en la Región de Los Lagos, Año 2021</t>
  </si>
  <si>
    <t>Cantidad de Establecimientos de la Salud por Tipo en la Región de Aysén, Año 2021</t>
  </si>
  <si>
    <t>Cantidad de Establecimientos de la Salud por Tipo en la Región de Magallanes, Año 2021</t>
  </si>
  <si>
    <t>Cantidad de Establecimientos de la Salud por Tipo en la Región Metropolitana, Año 2021</t>
  </si>
  <si>
    <t>Cantidad de Establecimientos de la Salud por Tipo en la Región de Los Ríos, Año 2021</t>
  </si>
  <si>
    <t>Cantidad de Establecimientos de la Salud por Tipo en la Región de Arica y Parinacota, Año 2021</t>
  </si>
  <si>
    <t>Cantidad de Establecimientos de la Salud por Tipo en la Región de Ñuble, Año 2021</t>
  </si>
  <si>
    <t>https://analytics.zoho.com/open-view/2395394000008516593?ZOHO_CRITERIA=%222.1%22.%22C%C3%B3digo%20Regi%C3%B3n%22%20%3D%2016</t>
  </si>
  <si>
    <t>Atenciones Médicas por Violencia de Género por Región en Chile, Periodo 2010-2016</t>
  </si>
  <si>
    <t>Atenciones Médicas por Violencia de Género en la Región de Tarapacá, Periodo 2010-2016</t>
  </si>
  <si>
    <t>Atenciones Médicas por Violencia de Género en la Región de Antofagasta, Periodo 2010-2016</t>
  </si>
  <si>
    <t>Atenciones Médicas por Violencia de Género en la Región de Atacama, Periodo 2010-2016</t>
  </si>
  <si>
    <t>Atenciones Médicas por Violencia de Género en la Región de Coquimbo, Periodo 2010-2016</t>
  </si>
  <si>
    <t>Atenciones Médicas por Violencia de Género en la Región de Valparaíso, Periodo 2010-2016</t>
  </si>
  <si>
    <t>Atenciones Médicas por Violencia de Género en la Región de O'Higgins, Periodo 2010-2016</t>
  </si>
  <si>
    <t>Atenciones Médicas por Violencia de Género en la Región de Maule, Periodo 2010-2016</t>
  </si>
  <si>
    <t>Atenciones Médicas por Violencia de Género en la Región del Biobío, Periodo 2010-2016</t>
  </si>
  <si>
    <t>Atenciones Médicas por Violencia de Género en la Región de La Araucanía, Periodo 2010-2016</t>
  </si>
  <si>
    <t>Atenciones Médicas por Violencia de Género en la Región de Los Lagos, Periodo 2010-2016</t>
  </si>
  <si>
    <t>Atenciones Médicas por Violencia de Género en la Región de Aysén, Periodo 2010-2016</t>
  </si>
  <si>
    <t>Atenciones Médicas por Violencia de Género en la Región de Magallanes, Periodo 2010-2016</t>
  </si>
  <si>
    <t>Atenciones Médicas por Violencia de Género en la Región Metropolitana, Periodo 2010-2016</t>
  </si>
  <si>
    <t>Atenciones Médicas por Violencia de Género en la Región de Los Ríos, Periodo 2010-2016</t>
  </si>
  <si>
    <t>Atenciones Médicas por Violencia de Género en la Región de Arica y Parinacota, Periodo 2010-2016</t>
  </si>
  <si>
    <t>Atenciones Médicas por Violencia de Género en la Región de Ñuble, Periodo 2010-2016</t>
  </si>
  <si>
    <t>https://analytics.zoho.com/open-view/2395394000008516001?ZOHO_CRITERIA=%2227.10%22.%22Id_Regi%C3%B3n%22%20%3D%2016</t>
  </si>
  <si>
    <t>Cantidad de Establecimientos de la Salud por Tipo y Categoría en Chile, Año 2021</t>
  </si>
  <si>
    <t>Cantidad de Establecimientos de la Salud por Tipo y Categoría en la Región de Tarapacá, Año 2021</t>
  </si>
  <si>
    <t>Cantidad de Establecimientos de la Salud por Tipo y Categoría en la Región de Antofagasta, Año 2021</t>
  </si>
  <si>
    <t>Cantidad de Establecimientos de la Salud por Tipo y Categoría en la Región de Atacama, Año 2021</t>
  </si>
  <si>
    <t>Cantidad de Establecimientos de la Salud por Tipo y Categoría en la Región de Coquimbo, Año 2021</t>
  </si>
  <si>
    <t>Cantidad de Establecimientos de la Salud por Tipo y Categoría en la Región de Valparaíso, Año 2021</t>
  </si>
  <si>
    <t>Cantidad de Establecimientos de la Salud por Tipo y Categoría en la Región de O'Higgins, Año 2021</t>
  </si>
  <si>
    <t>Cantidad de Establecimientos de la Salud por Tipo y Categoría en la Región de Maule, Año 2021</t>
  </si>
  <si>
    <t>Cantidad de Establecimientos de la Salud por Tipo y Categoría en la Región del Biobío, Año 2021</t>
  </si>
  <si>
    <t>Cantidad de Establecimientos de la Salud por Tipo y Categoría en la Región de La Araucanía, Año 2021</t>
  </si>
  <si>
    <t>Cantidad de Establecimientos de la Salud por Tipo y Categoría en la Región de Los Lagos, Año 2021</t>
  </si>
  <si>
    <t>Cantidad de Establecimientos de la Salud por Tipo y Categoría en la Región de Aysén, Año 2021</t>
  </si>
  <si>
    <t>Cantidad de Establecimientos de la Salud por Tipo y Categoría en la Región de Magallanes, Año 2021</t>
  </si>
  <si>
    <t>Cantidad de Establecimientos de la Salud por Tipo y Categoría en la Región Metropolitana, Año 2021</t>
  </si>
  <si>
    <t>Cantidad de Establecimientos de la Salud por Tipo y Categoría en la Región de Los Ríos, Año 2021</t>
  </si>
  <si>
    <t>Cantidad de Establecimientos de la Salud por Tipo y Categoría en la Región de Arica y Parinacota, Año 2021</t>
  </si>
  <si>
    <t>Cantidad de Establecimientos de la Salud por Tipo y Categoría en la Región de Ñuble, Año 2021</t>
  </si>
  <si>
    <t>https://analytics.zoho.com/open-view/2395394000008516645?ZOHO_CRITERIA=%222.1%22.%22C%C3%B3digo%20Regi%C3%B3n%22%20%3D%2016</t>
  </si>
  <si>
    <t>Cantidad de licencias de conducir del tipo profesional según clase en Chile, Periodo 2011-2017</t>
  </si>
  <si>
    <t>Cantidad de licencias de conducir del tipo profesional según clase en la Región de Tarapacá, Periodo 2011-2017</t>
  </si>
  <si>
    <t>Cantidad de licencias de conducir del tipo profesional según clase en la Región de Antofagasta, Periodo 2011-2017</t>
  </si>
  <si>
    <t>Cantidad de licencias de conducir del tipo profesional según clase en la Región de Atacama, Periodo 2011-2017</t>
  </si>
  <si>
    <t>Cantidad de licencias de conducir del tipo profesional según clase en la Región de Coquimbo, Periodo 2011-2017</t>
  </si>
  <si>
    <t>Cantidad de licencias de conducir del tipo profesional según clase en la Región de Valparaíso, Periodo 2011-2017</t>
  </si>
  <si>
    <t>Cantidad de licencias de conducir del tipo profesional según clase en la Región de O'Higgins, Periodo 2011-2017</t>
  </si>
  <si>
    <t>Cantidad de licencias de conducir del tipo profesional según clase en la Región de Maule, Periodo 2011-2017</t>
  </si>
  <si>
    <t>Cantidad de licencias de conducir del tipo profesional según clase en la Región del Biobío, Periodo 2011-2017</t>
  </si>
  <si>
    <t>Cantidad de licencias de conducir del tipo profesional según clase en la Región de La Araucanía, Periodo 2011-2017</t>
  </si>
  <si>
    <t>Cantidad de licencias de conducir del tipo profesional según clase en la Región de Los Lagos, Periodo 2011-2017</t>
  </si>
  <si>
    <t>Cantidad de licencias de conducir del tipo profesional según clase en la Región de Aysén, Periodo 2011-2017</t>
  </si>
  <si>
    <t>Cantidad de licencias de conducir del tipo profesional según clase en la Región de Magallanes, Periodo 2011-2017</t>
  </si>
  <si>
    <t>Cantidad de licencias de conducir del tipo profesional según clase en la Región Metropolitana, Periodo 2011-2017</t>
  </si>
  <si>
    <t>Cantidad de licencias de conducir del tipo profesional según clase en la Región de Los Ríos, Periodo 2011-2017</t>
  </si>
  <si>
    <t>Cantidad de licencias de conducir del tipo profesional según clase en la Región de Arica y Parinacota, Periodo 2011-2017</t>
  </si>
  <si>
    <t>Cantidad de licencias de conducir del tipo profesional según clase en la Región de Ñuble, Periodo 2011-2017</t>
  </si>
  <si>
    <t>https://analytics.zoho.com/open-view/2395394000008413090?ZOHO_CRITERIA=%228.3%20Licencias_conducir%22.%22Codreg%22%3D16</t>
  </si>
  <si>
    <t>Cantidad de permisos de circulación según tipo de transporte en Chile, Periodo 2008-2019</t>
  </si>
  <si>
    <t>Cantidad de permisos de circulación según tipo de transporte en la Región de Tarapacá, Periodo 2008-2019</t>
  </si>
  <si>
    <t>Cantidad de permisos de circulación según tipo de transporte en la Región de Antofagasta, Periodo 2008-2019</t>
  </si>
  <si>
    <t>Cantidad de permisos de circulación según tipo de transporte en la Región de Atacama, Periodo 2008-2019</t>
  </si>
  <si>
    <t>Cantidad de permisos de circulación según tipo de transporte en la Región de Coquimbo, Periodo 2008-2019</t>
  </si>
  <si>
    <t>Cantidad de permisos de circulación según tipo de transporte en la Región de Valparaíso, Periodo 2008-2019</t>
  </si>
  <si>
    <t>Cantidad de permisos de circulación según tipo de transporte en la Región de O'Higgins, Periodo 2008-2019</t>
  </si>
  <si>
    <t>Cantidad de permisos de circulación según tipo de transporte en la Región de Maule, Periodo 2008-2019</t>
  </si>
  <si>
    <t>Cantidad de permisos de circulación según tipo de transporte en la Región del Biobío, Periodo 2008-2019</t>
  </si>
  <si>
    <t>Cantidad de permisos de circulación según tipo de transporte en la Región de La Araucanía, Periodo 2008-2019</t>
  </si>
  <si>
    <t>Cantidad de permisos de circulación según tipo de transporte en la Región de Los Lagos, Periodo 2008-2019</t>
  </si>
  <si>
    <t>Cantidad de permisos de circulación según tipo de transporte en la Región de Aysén, Periodo 2008-2019</t>
  </si>
  <si>
    <t>Cantidad de permisos de circulación según tipo de transporte en la Región de Magallanes, Periodo 2008-2019</t>
  </si>
  <si>
    <t>Cantidad de permisos de circulación según tipo de transporte en la Región Metropolitana, Periodo 2008-2019</t>
  </si>
  <si>
    <t>Cantidad de permisos de circulación según tipo de transporte en la Región de Los Ríos, Periodo 2008-2019</t>
  </si>
  <si>
    <t>Cantidad de permisos de circulación según tipo de transporte en la Región de Arica y Parinacota, Periodo 2008-2019</t>
  </si>
  <si>
    <t>Cantidad de permisos de circulación según tipo de transporte en la Región de Ñuble, Periodo 2008-2019</t>
  </si>
  <si>
    <t>https://analytics.zoho.com/open-view/2395394000008413133?ZOHO_CRITERIA=%228.1%20Permiso_circulaci%C3%B3n%22.%22Codreg%22%3D16</t>
  </si>
  <si>
    <t>Cantidad de licencias de conducir del tipo no profesional por Comuna en Chile, Periodo 2011-2017</t>
  </si>
  <si>
    <t>Cantidad de licencias de conducir del tipo no profesional por Comuna en la Región de Tarapacá, Periodo 2011-2017</t>
  </si>
  <si>
    <t>Cantidad de licencias de conducir del tipo no profesional por Comuna en la Región de Antofagasta, Periodo 2011-2017</t>
  </si>
  <si>
    <t>Cantidad de licencias de conducir del tipo no profesional por Comuna en la Región de Atacama, Periodo 2011-2017</t>
  </si>
  <si>
    <t>Cantidad de licencias de conducir del tipo no profesional por Comuna en la Región de Coquimbo, Periodo 2011-2017</t>
  </si>
  <si>
    <t>Cantidad de licencias de conducir del tipo no profesional por Comuna en la Región de Valparaíso, Periodo 2011-2017</t>
  </si>
  <si>
    <t>Cantidad de licencias de conducir del tipo no profesional por Comuna en la Región de O'Higgins, Periodo 2011-2017</t>
  </si>
  <si>
    <t>Cantidad de licencias de conducir del tipo no profesional por Comuna en la Región de Maule, Periodo 2011-2017</t>
  </si>
  <si>
    <t>Cantidad de licencias de conducir del tipo no profesional por Comuna en la Región del Biobío, Periodo 2011-2017</t>
  </si>
  <si>
    <t>Cantidad de licencias de conducir del tipo no profesional por Comuna en la Región de La Araucanía, Periodo 2011-2017</t>
  </si>
  <si>
    <t>Cantidad de licencias de conducir del tipo no profesional por Comuna en la Región de Los Lagos, Periodo 2011-2017</t>
  </si>
  <si>
    <t>Cantidad de licencias de conducir del tipo no profesional por Comuna en la Región de Aysén, Periodo 2011-2017</t>
  </si>
  <si>
    <t>Cantidad de licencias de conducir del tipo no profesional por Comuna en la Región de Magallanes, Periodo 2011-2017</t>
  </si>
  <si>
    <t>Cantidad de licencias de conducir del tipo no profesional por Comuna en la Región Metropolitana, Periodo 2011-2017</t>
  </si>
  <si>
    <t>Cantidad de licencias de conducir del tipo no profesional por Comuna en la Región de Los Ríos, Periodo 2011-2017</t>
  </si>
  <si>
    <t>Cantidad de licencias de conducir del tipo no profesional por Comuna en la Región de Arica y Parinacota, Periodo 2011-2017</t>
  </si>
  <si>
    <t>Cantidad de licencias de conducir del tipo no profesional por Comuna en la Región de Ñuble, Periodo 2011-2017</t>
  </si>
  <si>
    <t>https://analytics.zoho.com/open-view/2395394000008475578?ZOHO_CRITERIA=%228.3%20Licencias_conducir%22.%22Codreg%22%3D16</t>
  </si>
  <si>
    <t>Cantidad de permisos de circulación de transportes colectivos por Comuna en Chile, Periodo 2008-2019</t>
  </si>
  <si>
    <t>Cantidad de permisos de circulación de transportes colectivos por Comuna en la Región de Tarapacá, Periodo 2008-2019</t>
  </si>
  <si>
    <t>Cantidad de permisos de circulación de transportes colectivos por Comuna en la Región de Antofagasta, Periodo 2008-2019</t>
  </si>
  <si>
    <t>Cantidad de permisos de circulación de transportes colectivos por Comuna en la Región de Atacama, Periodo 2008-2019</t>
  </si>
  <si>
    <t>Cantidad de permisos de circulación de transportes colectivos por Comuna en la Región de Coquimbo, Periodo 2008-2019</t>
  </si>
  <si>
    <t>Cantidad de permisos de circulación de transportes colectivos por Comuna en la Región de Valparaíso, Periodo 2008-2019</t>
  </si>
  <si>
    <t>Cantidad de permisos de circulación de transportes colectivos por Comuna en la Región de O'Higgins, Periodo 2008-2019</t>
  </si>
  <si>
    <t>Cantidad de permisos de circulación de transportes colectivos por Comuna en la Región de Maule, Periodo 2008-2019</t>
  </si>
  <si>
    <t>Cantidad de permisos de circulación de transportes colectivos por Comuna en la Región del Biobío, Periodo 2008-2019</t>
  </si>
  <si>
    <t>Cantidad de permisos de circulación de transportes colectivos por Comuna en la Región de La Araucanía, Periodo 2008-2019</t>
  </si>
  <si>
    <t>Cantidad de permisos de circulación de transportes colectivos por Comuna en la Región de Los Lagos, Periodo 2008-2019</t>
  </si>
  <si>
    <t>Cantidad de permisos de circulación de transportes colectivos por Comuna en la Región de Aysén, Periodo 2008-2019</t>
  </si>
  <si>
    <t>Cantidad de permisos de circulación de transportes colectivos por Comuna en la Región de Magallanes, Periodo 2008-2019</t>
  </si>
  <si>
    <t>Cantidad de permisos de circulación de transportes colectivos por Comuna en la Región Metropolitana, Periodo 2008-2019</t>
  </si>
  <si>
    <t>Cantidad de permisos de circulación de transportes colectivos por Comuna en la Región de Los Ríos, Periodo 2008-2019</t>
  </si>
  <si>
    <t>Cantidad de permisos de circulación de transportes colectivos por Comuna en la Región de Arica y Parinacota, Periodo 2008-2019</t>
  </si>
  <si>
    <t>Cantidad de permisos de circulación de transportes colectivos por Comuna en la Región de Ñuble, Periodo 2008-2019</t>
  </si>
  <si>
    <t>https://analytics.zoho.com/open-view/2395394000008475310?ZOHO_CRITERIA=%228.1%20Permiso_circulaci%C3%B3n%22.%22Codreg%22%3D16</t>
  </si>
  <si>
    <t>Cantidad de licencias de conducir por clase y Comuna en Chile, Periodo 2011-2017</t>
  </si>
  <si>
    <t>Cantidad de licencias de conducir por clase y Comuna en la Región de Tarapacá, Periodo 2011-2017</t>
  </si>
  <si>
    <t>Cantidad de licencias de conducir por clase y Comuna en la Región de Antofagasta, Periodo 2011-2017</t>
  </si>
  <si>
    <t>Cantidad de licencias de conducir por clase y Comuna en la Región de Atacama, Periodo 2011-2017</t>
  </si>
  <si>
    <t>Cantidad de licencias de conducir por clase y Comuna en la Región de Coquimbo, Periodo 2011-2017</t>
  </si>
  <si>
    <t>Cantidad de licencias de conducir por clase y Comuna en la Región de Valparaíso, Periodo 2011-2017</t>
  </si>
  <si>
    <t>Cantidad de licencias de conducir por clase y Comuna en la Región de O'Higgins, Periodo 2011-2017</t>
  </si>
  <si>
    <t>Cantidad de licencias de conducir por clase y Comuna en la Región de Maule, Periodo 2011-2017</t>
  </si>
  <si>
    <t>Cantidad de licencias de conducir por clase y Comuna en la Región del Biobío, Periodo 2011-2017</t>
  </si>
  <si>
    <t>Cantidad de licencias de conducir por clase y Comuna en la Región de La Araucanía, Periodo 2011-2017</t>
  </si>
  <si>
    <t>Cantidad de licencias de conducir por clase y Comuna en la Región de Los Lagos, Periodo 2011-2017</t>
  </si>
  <si>
    <t>Cantidad de licencias de conducir por clase y Comuna en la Región de Aysén, Periodo 2011-2017</t>
  </si>
  <si>
    <t>Cantidad de licencias de conducir por clase y Comuna en la Región de Magallanes, Periodo 2011-2017</t>
  </si>
  <si>
    <t>Cantidad de licencias de conducir por clase y Comuna en la Región Metropolitana, Periodo 2011-2017</t>
  </si>
  <si>
    <t>Cantidad de licencias de conducir por clase y Comuna en la Región de Los Ríos, Periodo 2011-2017</t>
  </si>
  <si>
    <t>Cantidad de licencias de conducir por clase y Comuna en la Región de Arica y Parinacota, Periodo 2011-2017</t>
  </si>
  <si>
    <t>Cantidad de licencias de conducir por clase y Comuna en la Región de Ñuble, Periodo 2011-2017</t>
  </si>
  <si>
    <t>https://analytics.zoho.com/open-view/2395394000008413167?ZOHO_CRITERIA=%228.3%20Licencias_conducir%22.%22Codreg%22%3D16</t>
  </si>
  <si>
    <t>Capacidad Instalada (MW) de Centrales Eléctricas por Tipo de Energía y Región en Chile, para el Año 2021</t>
  </si>
  <si>
    <t>Capacidad Instalada (MW) de Centrales Eléctricas por Tipo de Energía en la Región de Los Ríos, para el Año 2021</t>
  </si>
  <si>
    <t>https://analytics.zoho.com/open-view/2395394000008478582?ZOHO_CRITERIA=%2216%20Energ%C3%ADas%20Renovables%20y%20No%20Renovables%22.%22Cod_Regi%C3%B3n%22%20%3D%2014</t>
  </si>
  <si>
    <t>Capacidad Instalada (MW) de Centrales Eléctricas por Tipo de Energía en la Región de Arica y Parinacota, para el Año 2021</t>
  </si>
  <si>
    <t>https://analytics.zoho.com/open-view/2395394000008478582?ZOHO_CRITERIA=%2216%20Energ%C3%ADas%20Renovables%20y%20No%20Renovables%22.%22Cod_Regi%C3%B3n%22%20%3D%2015</t>
  </si>
  <si>
    <t>Capacidad Instalada (MW) de Centrales Eléctricas por Tipo de Energía en la Región de Ñuble, para el Año 2021</t>
  </si>
  <si>
    <t>https://analytics.zoho.com/open-view/2395394000008478582?ZOHO_CRITERIA=%2216%20Energ%C3%ADas%20Renovables%20y%20No%20Renovables%22.%22Cod_Regi%C3%B3n%22%20%3D%2016</t>
  </si>
  <si>
    <t>Top 10 de Propietarios de Centrales Eléctricas con Mayor Capacidad Instalada (MW) en Chile, para el Año 2021</t>
  </si>
  <si>
    <t>https://analytics.zoho.com/open-view/2395394000008492075?ZOHO_CRITERIA=%2216%20Energ%C3%ADas%20Renovables%20y%20No%20Renovables%22.%22Cod_Regi%C3%B3n%22%20%3D%2013</t>
  </si>
  <si>
    <t>https://analytics.zoho.com/open-view/2395394000008492075?ZOHO_CRITERIA=%2216%20Energ%C3%ADas%20Renovables%20y%20No%20Renovables%22.%22Cod_Regi%C3%B3n%22%20%3D%2014</t>
  </si>
  <si>
    <t>https://analytics.zoho.com/open-view/2395394000008492075?ZOHO_CRITERIA=%2216%20Energ%C3%ADas%20Renovables%20y%20No%20Renovables%22.%22Cod_Regi%C3%B3n%22%20%3D%2015</t>
  </si>
  <si>
    <t>https://analytics.zoho.com/open-view/2395394000008492075?ZOHO_CRITERIA=%2216%20Energ%C3%ADas%20Renovables%20y%20No%20Renovables%22.%22Cod_Regi%C3%B3n%22%20%3D%2016</t>
  </si>
  <si>
    <t>Capacidad Instalada (MW) de Centrales Eléctricas por Región en Chile, Año 2021</t>
  </si>
  <si>
    <t>Cantidad de Farmacias por Región en Chile, Año 2021</t>
  </si>
  <si>
    <t>Cantidad de Farmacias de Turno por Comuna en Chile, Año 2021</t>
  </si>
  <si>
    <t>Cantidad de Farmacias de Turno por Comuna en la Región de Tarapacá, Año 2021</t>
  </si>
  <si>
    <t>Cantidad de Farmacias de Turno por Comuna en la Región de Antofagasta, Año 2021</t>
  </si>
  <si>
    <t>Cantidad de Farmacias de Turno por Comuna en la Región de Atacama, Año 2021</t>
  </si>
  <si>
    <t>Cantidad de Farmacias de Turno por Comuna en la Región de Coquimbo, Año 2021</t>
  </si>
  <si>
    <t>Cantidad de Farmacias de Turno por Comuna en la Región de Valparaíso, Año 2021</t>
  </si>
  <si>
    <t>Cantidad de Farmacias de Turno por Comuna en la Región de O'Higgins, Año 2021</t>
  </si>
  <si>
    <t>Cantidad de Farmacias de Turno por Comuna en la Región de Maule, Año 2021</t>
  </si>
  <si>
    <t>Cantidad de Farmacias de Turno por Comuna en la Región del Biobío, Año 2021</t>
  </si>
  <si>
    <t>Cantidad de Farmacias de Turno por Comuna en la Región de La Araucanía, Año 2021</t>
  </si>
  <si>
    <t>Cantidad de Farmacias de Turno por Comuna en la Región de Los Lagos, Año 2021</t>
  </si>
  <si>
    <t>Cantidad de Farmacias de Turno por Comuna en la Región de Aysén, Año 2021</t>
  </si>
  <si>
    <t>Cantidad de Farmacias de Turno por Comuna en la Región de Magallanes, Año 2021</t>
  </si>
  <si>
    <t>https://analytics.zoho.com/open-view/2395394000008516725?ZOHO_CRITERIA=%22Localiza%20CL%22.%22Codreg%22%20%3D%2012</t>
  </si>
  <si>
    <t>Cantidad de Farmacias de Turno por Comuna en la Región Metropolitana, Año 2021</t>
  </si>
  <si>
    <t>https://analytics.zoho.com/open-view/2395394000008516725?ZOHO_CRITERIA=%22Localiza%20CL%22.%22Codreg%22%20%3D%2013</t>
  </si>
  <si>
    <t>Cantidad de Farmacias de Turno por Comuna en la Región de Los Ríos, Año 2021</t>
  </si>
  <si>
    <t>https://analytics.zoho.com/open-view/2395394000008516725?ZOHO_CRITERIA=%22Localiza%20CL%22.%22Codreg%22%20%3D%2014</t>
  </si>
  <si>
    <t>Cantidad de Farmacias de Turno por Comuna en la Región de Ñuble, Año 2021</t>
  </si>
  <si>
    <t>https://analytics.zoho.com/open-view/2395394000008516725?ZOHO_CRITERIA=%22Localiza%20CL%22.%22Codreg%22%20%3D%2016</t>
  </si>
  <si>
    <t>Cantidad de Farmacias de Turno por Región en Chile, Año 2021</t>
  </si>
  <si>
    <t>Evolución Trimestral de Exportaciones (USD) de Productos del Mar desde Chile, Periodo 2018-2021</t>
  </si>
  <si>
    <t>Evolución Trimestral de Exportaciones (USD) por Tipo de Producto desde Chile, Periodo 2015-2021</t>
  </si>
  <si>
    <t>Mapa de calor que muestra el valor de las Importaciones en USD por Región  en Chile, Año 2021</t>
  </si>
  <si>
    <t>Valor de las exportaciones en USD según terminal de salida para la Región de Arica y Parinacota, Periodo 2015-2021</t>
  </si>
  <si>
    <t>https://analytics.zoho.com/open-view/2395394000008189059?ZOHO_CRITERIA=%221.1%20Lugar_Salida_Entrada%22.%22C%C3%B3digo%20Regi%C3%B3n%22%3D15</t>
  </si>
  <si>
    <t>Volumen de las exportaciones en kilogramo en Chile, Periodo 2015-2021</t>
  </si>
  <si>
    <t>Evolución por trimestre de Importaciones y exportaciones según el volumen (kg) en Chile, Periodo 2015-2021</t>
  </si>
  <si>
    <t>Evolución por trimestre de Importaciones y exportaciones según el volumen (kg) en la Región de Tarapacá, Periodo 2015-2021</t>
  </si>
  <si>
    <t>Evolución por trimestre de Importaciones y exportaciones según el volumen (kg) en la Región de Antofagasta, Periodo 2015-2021</t>
  </si>
  <si>
    <t>Evolución por trimestre de Importaciones y exportaciones según el volumen (kg) en la Región de Atacama, Periodo 2015-2021</t>
  </si>
  <si>
    <t>Evolución por trimestre de Importaciones y exportaciones según el volumen (kg) en la Región de Coquimbo, Periodo 2015-2021</t>
  </si>
  <si>
    <t>Evolución por trimestre de Importaciones y exportaciones según el volumen (kg) en la Región de Valparaíso, Periodo 2015-2021</t>
  </si>
  <si>
    <t>Evolución por trimestre de Importaciones y exportaciones según el volumen (kg) en la Región de O'Higgins, Periodo 2015-2021</t>
  </si>
  <si>
    <t>Evolución por trimestre de Importaciones y exportaciones según el volumen (kg) en la Región de Maule, Periodo 2015-2021</t>
  </si>
  <si>
    <t>Evolución por trimestre de Importaciones y exportaciones según el volumen (kg) en la Región del Biobío, Periodo 2015-2021</t>
  </si>
  <si>
    <t>Evolución por trimestre de Importaciones y exportaciones según el volumen (kg) en la Región de La Araucanía, Periodo 2015-2021</t>
  </si>
  <si>
    <t>Evolución por trimestre de Importaciones y exportaciones según el volumen (kg) en la Región de Los Lagos, Periodo 2015-2021</t>
  </si>
  <si>
    <t>Evolución por trimestre de Importaciones y exportaciones según el volumen (kg) en la Región de Aysén, Periodo 2015-2021</t>
  </si>
  <si>
    <t>Evolución por trimestre de Importaciones y exportaciones según el volumen (kg) en la Región de Magallanes, Periodo 2015-2021</t>
  </si>
  <si>
    <t>Evolución por trimestre de Importaciones y exportaciones según el volumen (kg) en la Región Metropolitana, Periodo 2015-2021</t>
  </si>
  <si>
    <t>Evolución por trimestre de Importaciones y exportaciones según el volumen (kg) en la Región de Los Ríos, Periodo 2015-2021</t>
  </si>
  <si>
    <t>Evolución por trimestre de Importaciones y exportaciones según el volumen (kg) en la Región de Arica y Parinacota, Periodo 2015-2021</t>
  </si>
  <si>
    <t>Cantidad de Parques Urbanos por Comuna en Chile, Año 2020</t>
  </si>
  <si>
    <t>Cantidad de Parques Urbanos por Comuna en la Región de Ñuble, Año 2020</t>
  </si>
  <si>
    <t>https://analytics.zoho.com/open-view/2395394000008464607?ZOHO_CRITERIA=%22Localiza%20CL%22.%22Codreg%22%20%3D%2016</t>
  </si>
  <si>
    <t>Cantidad de Plazas Públicas por Comuna en Chile, Año 2020</t>
  </si>
  <si>
    <t>Cantidad de Plazas Públicas por Comuna en la Región de Tarapacá, Año 2020</t>
  </si>
  <si>
    <t>Cantidad de Plazas Públicas por Comuna en la Región de Antofagasta, Año 2020</t>
  </si>
  <si>
    <t>Cantidad de Plazas Públicas por Comuna en la Región de Atacama, Año 2020</t>
  </si>
  <si>
    <t>Cantidad de Plazas Públicas por Comuna en la Región de Coquimbo, Año 2020</t>
  </si>
  <si>
    <t>Cantidad de Plazas Públicas por Comuna en la Región de Valparaíso, Año 2020</t>
  </si>
  <si>
    <t>Cantidad de Plazas Públicas por Comuna en la Región de O'Higgins, Año 2020</t>
  </si>
  <si>
    <t>Cantidad de Plazas Públicas por Comuna en la Región de Maule, Año 2020</t>
  </si>
  <si>
    <t>Cantidad de Plazas Públicas por Comuna en la Región del Biobío, Año 2020</t>
  </si>
  <si>
    <t>Cantidad de Plazas Públicas por Comuna en la Región de La Araucanía, Año 2020</t>
  </si>
  <si>
    <t>Cantidad de Plazas Públicas por Comuna en la Región de Los Lagos, Año 2020</t>
  </si>
  <si>
    <t>Cantidad de Plazas Públicas por Comuna en la Región de Aysén, Año 2020</t>
  </si>
  <si>
    <t>Cantidad de Plazas Públicas por Comuna en la Región de Magallanes, Año 2020</t>
  </si>
  <si>
    <t>Cantidad de Plazas Públicas por Comuna en la Región Metropolitana, Año 2020</t>
  </si>
  <si>
    <t>Cantidad de Plazas Públicas por Comuna en la Región de Los Ríos, Año 2020</t>
  </si>
  <si>
    <t>Cantidad de Plazas Públicas por Comuna en la Región de Arica y Parinacota, Año 2020</t>
  </si>
  <si>
    <t>Cantidad de Plazas Públicas por Comuna en la Región de Ñuble, Año 2020</t>
  </si>
  <si>
    <t>https://analytics.zoho.com/open-view/2395394000008464727?ZOHO_CRITERIA=%22Localiza%20CL%22.%22Codreg%22%20%3D%2016</t>
  </si>
  <si>
    <t>Áreas Verdes Mantenidas (m2) por Habitante y Comuna en Chile, Periodo 2001-2020</t>
  </si>
  <si>
    <t>Áreas Verdes Mantenidas (m2) por Habitante y Comuna en la Región de Tarapacá, Periodo 2001-2020</t>
  </si>
  <si>
    <t>Áreas Verdes Mantenidas (m2) por Habitante y Comuna en la Región de Antofagasta, Periodo 2001-2020</t>
  </si>
  <si>
    <t>Áreas Verdes Mantenidas (m2) por Habitante y Comuna en la Región de Atacama, Periodo 2001-2020</t>
  </si>
  <si>
    <t>Áreas Verdes Mantenidas (m2) por Habitante y Comuna en la Región de Coquimbo, Periodo 2001-2020</t>
  </si>
  <si>
    <t>Áreas Verdes Mantenidas (m2) por Habitante y Comuna en la Región de Valparaíso, Periodo 2001-2020</t>
  </si>
  <si>
    <t>Áreas Verdes Mantenidas (m2) por Habitante y Comuna en la Región de O'Higgins, Periodo 2001-2020</t>
  </si>
  <si>
    <t>Áreas Verdes Mantenidas (m2) por Habitante y Comuna en la Región de Maule, Periodo 2001-2020</t>
  </si>
  <si>
    <t>Áreas Verdes Mantenidas (m2) por Habitante y Comuna en la Región del Biobío, Periodo 2001-2020</t>
  </si>
  <si>
    <t>Áreas Verdes Mantenidas (m2) por Habitante y Comuna en la Región de La Araucanía, Periodo 2001-2020</t>
  </si>
  <si>
    <t>Áreas Verdes Mantenidas (m2) por Habitante y Comuna en la Región de Los Lagos, Periodo 2001-2020</t>
  </si>
  <si>
    <t>Áreas Verdes Mantenidas (m2) por Habitante y Comuna en la Región de Aysén, Periodo 2001-2020</t>
  </si>
  <si>
    <t>Áreas Verdes Mantenidas (m2) por Habitante y Comuna en la Región de Magallanes, Periodo 2001-2020</t>
  </si>
  <si>
    <t>Áreas Verdes Mantenidas (m2) por Habitante y Comuna en la Región Metropolitana, Periodo 2001-2020</t>
  </si>
  <si>
    <t>Áreas Verdes Mantenidas (m2) por Habitante y Comuna en la Región de Los Ríos, Periodo 2001-2020</t>
  </si>
  <si>
    <t>https://analytics.zoho.com/open-view/2395394000008478003?ZOHO_CRITERIA=%22Localiza%20CL%22.%22Codreg%22%20%3D%2014</t>
  </si>
  <si>
    <t>Áreas Verdes Mantenidas (m2) por Habitante y Comuna en la Región de Arica y Parinacota, Periodo 2001-2020</t>
  </si>
  <si>
    <t>https://analytics.zoho.com/open-view/2395394000008478003?ZOHO_CRITERIA=%22Localiza%20CL%22.%22Codreg%22%20%3D%2015</t>
  </si>
  <si>
    <t>Áreas Verdes Mantenidas (m2) por Habitante y Comuna en la Región de Ñuble, Periodo 2001-2020</t>
  </si>
  <si>
    <t>https://analytics.zoho.com/open-view/2395394000008478003?ZOHO_CRITERIA=%22Localiza%20CL%22.%22Codreg%22%20%3D%2016</t>
  </si>
  <si>
    <t>Evolución de la Tasa de Consultas Mentales a Escala Regional (Consultas cada 100 mil habitantes) en Chile, Periodo 2009-2017</t>
  </si>
  <si>
    <t>Evolución de la Tasa de Consultas Mentales a Escala Comunal (Consultas cada 100 mil habitantes) en  Chile, Periodo 2009-2017</t>
  </si>
  <si>
    <t>Evolución de la Tasa de Consultas Mentales a Escala Comunal (Consultas cada 100 mil habitantes) en la  Región de Tarapacá, Periodo 2009-2017</t>
  </si>
  <si>
    <t>https://analytics.zoho.com/open-view/2395394000008502284?ZOHO_CRITERIA=%22Localiza%20Chile%22.%22Codreg%22%3D1</t>
  </si>
  <si>
    <t>Evolución de la Tasa de Consultas Mentales a Escala Comunal (Consultas cada 100 mil habitantes) en la  Región de Antofagasta, Periodo 2009-2017</t>
  </si>
  <si>
    <t>https://analytics.zoho.com/open-view/2395394000008502284?ZOHO_CRITERIA=%22Localiza%20Chile%22.%22Codreg%22%3D2</t>
  </si>
  <si>
    <t>Evolución de la Tasa de Consultas Mentales a Escala Comunal (Consultas cada 100 mil habitantes) en la  Región de Atacama, Periodo 2009-2017</t>
  </si>
  <si>
    <t>https://analytics.zoho.com/open-view/2395394000008502284?ZOHO_CRITERIA=%22Localiza%20Chile%22.%22Codreg%22%3D3</t>
  </si>
  <si>
    <t>Evolución de la Tasa de Consultas Mentales a Escala Comunal (Consultas cada 100 mil habitantes) en la  Región de Coquimbo, Periodo 2009-2017</t>
  </si>
  <si>
    <t>https://analytics.zoho.com/open-view/2395394000008502284?ZOHO_CRITERIA=%22Localiza%20Chile%22.%22Codreg%22%3D4</t>
  </si>
  <si>
    <t>Evolución de la Tasa de Consultas Mentales a Escala Comunal (Consultas cada 100 mil habitantes) en la  Región de Valparaíso, Periodo 2009-2017</t>
  </si>
  <si>
    <t>https://analytics.zoho.com/open-view/2395394000008502284?ZOHO_CRITERIA=%22Localiza%20Chile%22.%22Codreg%22%3D5</t>
  </si>
  <si>
    <t>Evolución de la Tasa de Consultas Mentales a Escala Comunal (Consultas cada 100 mil habitantes) en la  Región de O'Higgins, Periodo 2009-2017</t>
  </si>
  <si>
    <t>https://analytics.zoho.com/open-view/2395394000008502284?ZOHO_CRITERIA=%22Localiza%20Chile%22.%22Codreg%22%3D6</t>
  </si>
  <si>
    <t>Evolución de la Tasa de Consultas Mentales a Escala Comunal (Consultas cada 100 mil habitantes) en la  Región de Maule, Periodo 2009-2017</t>
  </si>
  <si>
    <t>https://analytics.zoho.com/open-view/2395394000008502284?ZOHO_CRITERIA=%22Localiza%20Chile%22.%22Codreg%22%3D7</t>
  </si>
  <si>
    <t>Evolución de la Tasa de Consultas Mentales a Escala Comunal (Consultas cada 100 mil habitantes) en la  Región del Biobío, Periodo 2009-2017</t>
  </si>
  <si>
    <t>https://analytics.zoho.com/open-view/2395394000008502284?ZOHO_CRITERIA=%22Localiza%20Chile%22.%22Codreg%22%3D8</t>
  </si>
  <si>
    <t>Evolución de la Tasa de Consultas Mentales a Escala Comunal (Consultas cada 100 mil habitantes) en la  Región de La Araucanía, Periodo 2009-2017</t>
  </si>
  <si>
    <t>https://analytics.zoho.com/open-view/2395394000008502284?ZOHO_CRITERIA=%22Localiza%20Chile%22.%22Codreg%22%3D9</t>
  </si>
  <si>
    <t>Evolución de la Tasa de Consultas Mentales a Escala Comunal (Consultas cada 100 mil habitantes) en la  Región de Los Lagos, Periodo 2009-2017</t>
  </si>
  <si>
    <t>https://analytics.zoho.com/open-view/2395394000008502284?ZOHO_CRITERIA=%22Localiza%20Chile%22.%22Codreg%22%3D10</t>
  </si>
  <si>
    <t>Evolución de la Tasa de Consultas Mentales a Escala Comunal (Consultas cada 100 mil habitantes) en la  Región de Aysén, Periodo 2009-2017</t>
  </si>
  <si>
    <t>https://analytics.zoho.com/open-view/2395394000008502284?ZOHO_CRITERIA=%22Localiza%20Chile%22.%22Codreg%22%3D11</t>
  </si>
  <si>
    <t>Evolución de la Tasa de Consultas Mentales a Escala Comunal (Consultas cada 100 mil habitantes) en la  Región de Magallanes, Periodo 2009-2017</t>
  </si>
  <si>
    <t>https://analytics.zoho.com/open-view/2395394000008502284?ZOHO_CRITERIA=%22Localiza%20Chile%22.%22Codreg%22%3D12</t>
  </si>
  <si>
    <t>Evolución de la Tasa de Consultas Mentales a Escala Comunal (Consultas cada 100 mil habitantes) en la  Región Metropolitana, Periodo 2009-2017</t>
  </si>
  <si>
    <t>https://analytics.zoho.com/open-view/2395394000008502284?ZOHO_CRITERIA=%22Localiza%20Chile%22.%22Codreg%22%3D13</t>
  </si>
  <si>
    <t>Evolución de la Tasa de Consultas Mentales a Escala Comunal (Consultas cada 100 mil habitantes) en la  Región de Los Ríos, Periodo 2009-2017</t>
  </si>
  <si>
    <t>https://analytics.zoho.com/open-view/2395394000008502284?ZOHO_CRITERIA=%22Localiza%20Chile%22.%22Codreg%22%3D14</t>
  </si>
  <si>
    <t>Evolución de la Tasa de Consultas Mentales a Escala Comunal (Consultas cada 100 mil habitantes) en la  Región de Arica y Parinacota, Periodo 2009-2017</t>
  </si>
  <si>
    <t>https://analytics.zoho.com/open-view/2395394000008502284?ZOHO_CRITERIA=%22Localiza%20Chile%22.%22Codreg%22%3D15</t>
  </si>
  <si>
    <t>Evolución de la Tasa de Consultas Mentales a Escala Comunal (Consultas cada 100 mil habitantes) en la  Región de Ñuble, Periodo 2009-2017</t>
  </si>
  <si>
    <t>https://analytics.zoho.com/open-view/2395394000008502284?ZOHO_CRITERIA=%22Localiza%20Chile%22.%22Codreg%22%3D16</t>
  </si>
  <si>
    <t>Kilogramo</t>
  </si>
  <si>
    <t>Ministerio de Ciencia, Tecnología, Conocimiento e Innovación</t>
  </si>
  <si>
    <t>Cantidad de Licencias de Conducir por clase</t>
  </si>
  <si>
    <t>Cantidad de Centrales</t>
  </si>
  <si>
    <t>Propietarios de Centrales</t>
  </si>
  <si>
    <t xml:space="preserve">Áreas Verdes  </t>
  </si>
  <si>
    <t>Predios Agrícolas</t>
  </si>
  <si>
    <t>Total Tránsito</t>
  </si>
  <si>
    <t>Estado de la Salud</t>
  </si>
  <si>
    <t>Región-Servicio de Salud</t>
  </si>
  <si>
    <t>Tecnología, Internet y Telecomunicaciones</t>
  </si>
  <si>
    <t>Conexiones de internet fija</t>
  </si>
  <si>
    <t>Internet</t>
  </si>
  <si>
    <t>Periodo 2007-2019</t>
  </si>
  <si>
    <t>Biblioteca del Congreso Nacional</t>
  </si>
  <si>
    <t>https://analytics.zoho.com/open-view/2395394000008435350</t>
  </si>
  <si>
    <t>https://analytics.zoho.com/open-view/2395394000008438417</t>
  </si>
  <si>
    <t>https://analytics.zoho.com/open-view/2395394000008435500?ZOHO_CRITERIA=%22Conexi%C3%B3n_Internet_fija%22.%22Codreg%22%3D1</t>
  </si>
  <si>
    <t>https://analytics.zoho.com/open-view/2395394000008435500?ZOHO_CRITERIA=%22Conexi%C3%B3n_Internet_fija%22.%22Codreg%22%3D2</t>
  </si>
  <si>
    <t>https://analytics.zoho.com/open-view/2395394000008435500?ZOHO_CRITERIA=%22Conexi%C3%B3n_Internet_fija%22.%22Codreg%22%3D3</t>
  </si>
  <si>
    <t>https://analytics.zoho.com/open-view/2395394000008435500?ZOHO_CRITERIA=%22Conexi%C3%B3n_Internet_fija%22.%22Codreg%22%3D4</t>
  </si>
  <si>
    <t>https://analytics.zoho.com/open-view/2395394000008435500?ZOHO_CRITERIA=%22Conexi%C3%B3n_Internet_fija%22.%22Codreg%22%3D5</t>
  </si>
  <si>
    <t>https://analytics.zoho.com/open-view/2395394000008435500?ZOHO_CRITERIA=%22Conexi%C3%B3n_Internet_fija%22.%22Codreg%22%3D6</t>
  </si>
  <si>
    <t>https://analytics.zoho.com/open-view/2395394000008435500?ZOHO_CRITERIA=%22Conexi%C3%B3n_Internet_fija%22.%22Codreg%22%3D7</t>
  </si>
  <si>
    <t>https://analytics.zoho.com/open-view/2395394000008435500?ZOHO_CRITERIA=%22Conexi%C3%B3n_Internet_fija%22.%22Codreg%22%3D8</t>
  </si>
  <si>
    <t>https://analytics.zoho.com/open-view/2395394000008435500?ZOHO_CRITERIA=%22Conexi%C3%B3n_Internet_fija%22.%22Codreg%22%3D9</t>
  </si>
  <si>
    <t>https://analytics.zoho.com/open-view/2395394000008435500?ZOHO_CRITERIA=%22Conexi%C3%B3n_Internet_fija%22.%22Codreg%22%3D10</t>
  </si>
  <si>
    <t>https://analytics.zoho.com/open-view/2395394000008435500?ZOHO_CRITERIA=%22Conexi%C3%B3n_Internet_fija%22.%22Codreg%22%3D11</t>
  </si>
  <si>
    <t>https://analytics.zoho.com/open-view/2395394000008435500?ZOHO_CRITERIA=%22Conexi%C3%B3n_Internet_fija%22.%22Codreg%22%3D12</t>
  </si>
  <si>
    <t>https://analytics.zoho.com/open-view/2395394000008435500?ZOHO_CRITERIA=%22Conexi%C3%B3n_Internet_fija%22.%22Codreg%22%3D13</t>
  </si>
  <si>
    <t>https://analytics.zoho.com/open-view/2395394000008435500?ZOHO_CRITERIA=%22Conexi%C3%B3n_Internet_fija%22.%22Codreg%22%3D14</t>
  </si>
  <si>
    <t>https://analytics.zoho.com/open-view/2395394000008435500?ZOHO_CRITERIA=%22Conexi%C3%B3n_Internet_fija%22.%22Codreg%22%3D15</t>
  </si>
  <si>
    <t>https://analytics.zoho.com/open-view/2395394000008435500?ZOHO_CRITERIA=%22Conexi%C3%B3n_Internet_fija%22.%22Codreg%22%3D16</t>
  </si>
  <si>
    <t>Televisión de pago</t>
  </si>
  <si>
    <t>Telecomunicaciones</t>
  </si>
  <si>
    <t>https://analytics.zoho.com/open-view/2395394000008461424</t>
  </si>
  <si>
    <t>https://analytics.zoho.com/open-view/2395394000008434853?ZOHO_CRITERIA=%22Televisi%C3%B3n_Pago%22.%22CodRegi%C3%B3n%22%3D1</t>
  </si>
  <si>
    <t>https://analytics.zoho.com/open-view/2395394000008434853?ZOHO_CRITERIA=%22Televisi%C3%B3n_Pago%22.%22CodRegi%C3%B3n%22%3D2</t>
  </si>
  <si>
    <t>https://analytics.zoho.com/open-view/2395394000008434853?ZOHO_CRITERIA=%22Televisi%C3%B3n_Pago%22.%22CodRegi%C3%B3n%22%3D3</t>
  </si>
  <si>
    <t>https://analytics.zoho.com/open-view/2395394000008434853?ZOHO_CRITERIA=%22Televisi%C3%B3n_Pago%22.%22CodRegi%C3%B3n%22%3D4</t>
  </si>
  <si>
    <t>https://analytics.zoho.com/open-view/2395394000008434853?ZOHO_CRITERIA=%22Televisi%C3%B3n_Pago%22.%22CodRegi%C3%B3n%22%3D5</t>
  </si>
  <si>
    <t>https://analytics.zoho.com/open-view/2395394000008434853?ZOHO_CRITERIA=%22Televisi%C3%B3n_Pago%22.%22CodRegi%C3%B3n%22%3D6</t>
  </si>
  <si>
    <t>https://analytics.zoho.com/open-view/2395394000008434853?ZOHO_CRITERIA=%22Televisi%C3%B3n_Pago%22.%22CodRegi%C3%B3n%22%3D7</t>
  </si>
  <si>
    <t>https://analytics.zoho.com/open-view/2395394000008434853?ZOHO_CRITERIA=%22Televisi%C3%B3n_Pago%22.%22CodRegi%C3%B3n%22%3D8</t>
  </si>
  <si>
    <t>https://analytics.zoho.com/open-view/2395394000008434853?ZOHO_CRITERIA=%22Televisi%C3%B3n_Pago%22.%22CodRegi%C3%B3n%22%3D9</t>
  </si>
  <si>
    <t>https://analytics.zoho.com/open-view/2395394000008434853?ZOHO_CRITERIA=%22Televisi%C3%B3n_Pago%22.%22CodRegi%C3%B3n%22%3D10</t>
  </si>
  <si>
    <t>https://analytics.zoho.com/open-view/2395394000008434853?ZOHO_CRITERIA=%22Televisi%C3%B3n_Pago%22.%22CodRegi%C3%B3n%22%3D11</t>
  </si>
  <si>
    <t>https://analytics.zoho.com/open-view/2395394000008434853?ZOHO_CRITERIA=%22Televisi%C3%B3n_Pago%22.%22CodRegi%C3%B3n%22%3D12</t>
  </si>
  <si>
    <t>https://analytics.zoho.com/open-view/2395394000008434853?ZOHO_CRITERIA=%22Televisi%C3%B3n_Pago%22.%22CodRegi%C3%B3n%22%3D13</t>
  </si>
  <si>
    <t>https://analytics.zoho.com/open-view/2395394000008434853?ZOHO_CRITERIA=%22Televisi%C3%B3n_Pago%22.%22CodRegi%C3%B3n%22%3D14</t>
  </si>
  <si>
    <t>https://analytics.zoho.com/open-view/2395394000008434853?ZOHO_CRITERIA=%22Televisi%C3%B3n_Pago%22.%22CodRegi%C3%B3n%22%3D15</t>
  </si>
  <si>
    <t>https://analytics.zoho.com/open-view/2395394000008434853?ZOHO_CRITERIA=%22Televisi%C3%B3n_Pago%22.%22CodRegi%C3%B3n%22%3D16</t>
  </si>
  <si>
    <t>Comunas por región con la mayor cantidad de suscripciones de televisión de pago, Año 2019</t>
  </si>
  <si>
    <t>https://analytics.zoho.com/open-view/2395394000008435117</t>
  </si>
  <si>
    <t>Comunas de la región de Tarapacá con la mayor cantidad de suscripciones de televisión de pago, Año 2019</t>
  </si>
  <si>
    <t>https://analytics.zoho.com/open-view/2395394000008511008?ZOHO_CRITERIA=%22Televisi%C3%B3n_Pago%22.%22CodRegi%C3%B3n%22%3D1</t>
  </si>
  <si>
    <t>Comunas de la región de Antofagasta con la mayor cantidad de suscripciones de televisión de pago, Año 2019</t>
  </si>
  <si>
    <t>https://analytics.zoho.com/open-view/2395394000008511008?ZOHO_CRITERIA=%22Televisi%C3%B3n_Pago%22.%22CodRegi%C3%B3n%22%3D2</t>
  </si>
  <si>
    <t>Comunas de la región de Atacama con la mayor cantidad de suscripciones de televisión de pago, Año 2019</t>
  </si>
  <si>
    <t>https://analytics.zoho.com/open-view/2395394000008511008?ZOHO_CRITERIA=%22Televisi%C3%B3n_Pago%22.%22CodRegi%C3%B3n%22%3D3</t>
  </si>
  <si>
    <t>Comunas de la región de Coquimbo con la mayor cantidad de suscripciones de televisión de pago, Año 2019</t>
  </si>
  <si>
    <t>https://analytics.zoho.com/open-view/2395394000008511008?ZOHO_CRITERIA=%22Televisi%C3%B3n_Pago%22.%22CodRegi%C3%B3n%22%3D4</t>
  </si>
  <si>
    <t>Comunas de la región de Valparaíso con la mayor cantidad de suscripciones de televisión de pago, Año 2019</t>
  </si>
  <si>
    <t>https://analytics.zoho.com/open-view/2395394000008511008?ZOHO_CRITERIA=%22Televisi%C3%B3n_Pago%22.%22CodRegi%C3%B3n%22%3D5</t>
  </si>
  <si>
    <t>Comunas de la región de O'Higgins con la mayor cantidad de suscripciones de televisión de pago, Año 2019</t>
  </si>
  <si>
    <t>https://analytics.zoho.com/open-view/2395394000008511008?ZOHO_CRITERIA=%22Televisi%C3%B3n_Pago%22.%22CodRegi%C3%B3n%22%3D6</t>
  </si>
  <si>
    <t>Comunas de la región de Maule con la mayor cantidad de suscripciones de televisión de pago, Año 2019</t>
  </si>
  <si>
    <t>https://analytics.zoho.com/open-view/2395394000008511008?ZOHO_CRITERIA=%22Televisi%C3%B3n_Pago%22.%22CodRegi%C3%B3n%22%3D7</t>
  </si>
  <si>
    <t>Comunas de la región del Biobío con la mayor cantidad de suscripciones de televisión de pago, Año 2019</t>
  </si>
  <si>
    <t>https://analytics.zoho.com/open-view/2395394000008511008?ZOHO_CRITERIA=%22Televisi%C3%B3n_Pago%22.%22CodRegi%C3%B3n%22%3D8</t>
  </si>
  <si>
    <t>Comunas de la región de La Araucanía con la mayor cantidad de suscripciones de televisión de pago, Año 2019</t>
  </si>
  <si>
    <t>https://analytics.zoho.com/open-view/2395394000008511008?ZOHO_CRITERIA=%22Televisi%C3%B3n_Pago%22.%22CodRegi%C3%B3n%22%3D9</t>
  </si>
  <si>
    <t>Comunas de la región de Los Lagos con la mayor cantidad de suscripciones de televisión de pago, Año 2019</t>
  </si>
  <si>
    <t>https://analytics.zoho.com/open-view/2395394000008511008?ZOHO_CRITERIA=%22Televisi%C3%B3n_Pago%22.%22CodRegi%C3%B3n%22%3D10</t>
  </si>
  <si>
    <t>Comunas de la región de Aysén con la mayor cantidad de suscripciones de televisión de pago, Año 2019</t>
  </si>
  <si>
    <t>https://analytics.zoho.com/open-view/2395394000008511008?ZOHO_CRITERIA=%22Televisi%C3%B3n_Pago%22.%22CodRegi%C3%B3n%22%3D11</t>
  </si>
  <si>
    <t>Comunas de la región de Magallanes con la mayor cantidad de suscripciones de televisión de pago, Año 2019</t>
  </si>
  <si>
    <t>https://analytics.zoho.com/open-view/2395394000008511008?ZOHO_CRITERIA=%22Televisi%C3%B3n_Pago%22.%22CodRegi%C3%B3n%22%3D12</t>
  </si>
  <si>
    <t>Comunas de la región Metropolitana con la mayor cantidad de suscripciones de televisión de pago, Año 2019</t>
  </si>
  <si>
    <t>https://analytics.zoho.com/open-view/2395394000008511008?ZOHO_CRITERIA=%22Televisi%C3%B3n_Pago%22.%22CodRegi%C3%B3n%22%3D13</t>
  </si>
  <si>
    <t>Comunas de la región de Los Ríos con la mayor cantidad de suscripciones de televisión de pago, Año 2019</t>
  </si>
  <si>
    <t>https://analytics.zoho.com/open-view/2395394000008511008?ZOHO_CRITERIA=%22Televisi%C3%B3n_Pago%22.%22CodRegi%C3%B3n%22%3D14</t>
  </si>
  <si>
    <t>Comunas de la región de Arica y Parinacota con la mayor cantidad de suscripciones de televisión de pago, Año 2019</t>
  </si>
  <si>
    <t>https://analytics.zoho.com/open-view/2395394000008511008?ZOHO_CRITERIA=%22Televisi%C3%B3n_Pago%22.%22CodRegi%C3%B3n%22%3D15</t>
  </si>
  <si>
    <t>Comunas de la región de Ñuble con la mayor cantidad de suscripciones de televisión de pago, Año 2019</t>
  </si>
  <si>
    <t>https://analytics.zoho.com/open-view/2395394000008511008?ZOHO_CRITERIA=%22Televisi%C3%B3n_Pago%22.%22CodRegi%C3%B3n%22%3D16</t>
  </si>
  <si>
    <t>Población de pueblos indígenas</t>
  </si>
  <si>
    <t>Pueblos indígenas</t>
  </si>
  <si>
    <t>Año 2017</t>
  </si>
  <si>
    <t>Cantidad de Personas que se Identifican con un Pueblo Indígena por Comuna en Chile, Año 2017</t>
  </si>
  <si>
    <t>https://analytics.zoho.com/open-view/2395394000008436309</t>
  </si>
  <si>
    <t>Cantidad de Personas que se Identifican con un Pueblo Indígena en la región de Tarapacá, Año 2017</t>
  </si>
  <si>
    <t>https://analytics.zoho.com/open-view/2395394000008503085?ZOHO_CRITERIA=%22Pueblos%20Ind%C3%ADgenas%20Edad%22.%22id_Region%22%20%3D%201</t>
  </si>
  <si>
    <t>Cantidad de Personas que se Identifican con un Pueblo Indígena en la región de Antofagasta, Año 2017</t>
  </si>
  <si>
    <t>https://analytics.zoho.com/open-view/2395394000008503085?ZOHO_CRITERIA=%22Pueblos%20Ind%C3%ADgenas%20Edad%22.%22id_Region%22%20%3D%202</t>
  </si>
  <si>
    <t>Cantidad de Personas que se Identifican con un Pueblo Indígena en la región de Atacama, Año 2017</t>
  </si>
  <si>
    <t>https://analytics.zoho.com/open-view/2395394000008503085?ZOHO_CRITERIA=%22Pueblos%20Ind%C3%ADgenas%20Edad%22.%22id_Region%22%20%3D%203</t>
  </si>
  <si>
    <t>Cantidad de Personas que se Identifican con un Pueblo Indígena en la región de Coquimbo, Año 2017</t>
  </si>
  <si>
    <t>https://analytics.zoho.com/open-view/2395394000008503085?ZOHO_CRITERIA=%22Pueblos%20Ind%C3%ADgenas%20Edad%22.%22id_Region%22%20%3D%204</t>
  </si>
  <si>
    <t>Cantidad de Personas que se Identifican con un Pueblo Indígena en la región de Valparaíso, Año 2017</t>
  </si>
  <si>
    <t>https://analytics.zoho.com/open-view/2395394000008503085?ZOHO_CRITERIA=%22Pueblos%20Ind%C3%ADgenas%20Edad%22.%22id_Region%22%20%3D%205</t>
  </si>
  <si>
    <t>Cantidad de Personas que se Identifican con un Pueblo Indígena en la región de O'Higgins, Año 2017</t>
  </si>
  <si>
    <t>https://analytics.zoho.com/open-view/2395394000008503085?ZOHO_CRITERIA=%22Pueblos%20Ind%C3%ADgenas%20Edad%22.%22id_Region%22%20%3D%206</t>
  </si>
  <si>
    <t>Cantidad de Personas que se Identifican con un Pueblo Indígena en la región de Maule, Año 2017</t>
  </si>
  <si>
    <t>https://analytics.zoho.com/open-view/2395394000008503085?ZOHO_CRITERIA=%22Pueblos%20Ind%C3%ADgenas%20Edad%22.%22id_Region%22%20%3D%207</t>
  </si>
  <si>
    <t>Cantidad de Personas que se Identifican con un Pueblo Indígena en la región del Biobío, Año 2017</t>
  </si>
  <si>
    <t>https://analytics.zoho.com/open-view/2395394000008503085?ZOHO_CRITERIA=%22Pueblos%20Ind%C3%ADgenas%20Edad%22.%22id_Region%22%20%3D%208</t>
  </si>
  <si>
    <t>Cantidad de Personas que se Identifican con un Pueblo Indígena en la región de La Araucanía, Año 2017</t>
  </si>
  <si>
    <t>https://analytics.zoho.com/open-view/2395394000008503085?ZOHO_CRITERIA=%22Pueblos%20Ind%C3%ADgenas%20Edad%22.%22id_Region%22%20%3D%209</t>
  </si>
  <si>
    <t>Cantidad de Personas que se Identifican con un Pueblo Indígena en la región de Los Lagos, Año 2017</t>
  </si>
  <si>
    <t>https://analytics.zoho.com/open-view/2395394000008503085?ZOHO_CRITERIA=%22Pueblos%20Ind%C3%ADgenas%20Edad%22.%22id_Region%22%20%3D%2010</t>
  </si>
  <si>
    <t>Cantidad de Personas que se Identifican con un Pueblo Indígena en la región de Aysén, Año 2017</t>
  </si>
  <si>
    <t>https://analytics.zoho.com/open-view/2395394000008503085?ZOHO_CRITERIA=%22Pueblos%20Ind%C3%ADgenas%20Edad%22.%22id_Region%22%20%3D%2011</t>
  </si>
  <si>
    <t>Cantidad de Personas que se Identifican con un Pueblo Indígena en la región de Magallanes, Año 2017</t>
  </si>
  <si>
    <t>https://analytics.zoho.com/open-view/2395394000008503085?ZOHO_CRITERIA=%22Pueblos%20Ind%C3%ADgenas%20Edad%22.%22id_Region%22%20%3D%2012</t>
  </si>
  <si>
    <t>Cantidad de Personas que se Identifican con un Pueblo Indígena en la región Metropolitana, Año 2017</t>
  </si>
  <si>
    <t>https://analytics.zoho.com/open-view/2395394000008503085?ZOHO_CRITERIA=%22Pueblos%20Ind%C3%ADgenas%20Edad%22.%22id_Region%22%20%3D%2013</t>
  </si>
  <si>
    <t>Cantidad de Personas que se Identifican con un Pueblo Indígena en la región de Los Ríos, Año 2017</t>
  </si>
  <si>
    <t>https://analytics.zoho.com/open-view/2395394000008503085?ZOHO_CRITERIA=%22Pueblos%20Ind%C3%ADgenas%20Edad%22.%22id_Region%22%20%3D%2014</t>
  </si>
  <si>
    <t>Cantidad de Personas que se Identifican con un Pueblo Indígena en la región de Arica y Parinacota, Año 2017</t>
  </si>
  <si>
    <t>https://analytics.zoho.com/open-view/2395394000008503085?ZOHO_CRITERIA=%22Pueblos%20Ind%C3%ADgenas%20Edad%22.%22id_Region%22%20%3D%2015</t>
  </si>
  <si>
    <t>Cantidad de Personas que se Identifican con un Pueblo Indígena en la región de Ñuble, Año 2017</t>
  </si>
  <si>
    <t>https://analytics.zoho.com/open-view/2395394000008503085?ZOHO_CRITERIA=%22Pueblos%20Ind%C3%ADgenas%20Edad%22.%22id_Region%22%20%3D%2016</t>
  </si>
  <si>
    <t>Cantidad de Personas que se Identifican con un Pueblo Indígena por Grupo de Edad en Chile, Año 2017</t>
  </si>
  <si>
    <t>https://analytics.zoho.com/open-view/2395394000008436580</t>
  </si>
  <si>
    <t>Cantidad de Personas que se Identifican con un Pueblo Indígena por Grupo de Edad en la región de Tarapacá, Año 2017</t>
  </si>
  <si>
    <t>https://analytics.zoho.com/open-view/2395394000008503207?ZOHO_CRITERIA=%22Pueblos%20Ind%C3%ADgenas%20Edad%22.%22id_Region%22%20%3D%201</t>
  </si>
  <si>
    <t>https://analytics.zoho.com/open-view/2395394000008503207?ZOHO_CRITERIA=%22Pueblos%20Ind%C3%ADgenas%20Edad%22.%22id_Region%22%20%3D%202</t>
  </si>
  <si>
    <t>https://analytics.zoho.com/open-view/2395394000008503207?ZOHO_CRITERIA=%22Pueblos%20Ind%C3%ADgenas%20Edad%22.%22id_Region%22%20%3D%203</t>
  </si>
  <si>
    <t>https://analytics.zoho.com/open-view/2395394000008503207?ZOHO_CRITERIA=%22Pueblos%20Ind%C3%ADgenas%20Edad%22.%22id_Region%22%20%3D%204</t>
  </si>
  <si>
    <t>https://analytics.zoho.com/open-view/2395394000008503207?ZOHO_CRITERIA=%22Pueblos%20Ind%C3%ADgenas%20Edad%22.%22id_Region%22%20%3D%205</t>
  </si>
  <si>
    <t>https://analytics.zoho.com/open-view/2395394000008503207?ZOHO_CRITERIA=%22Pueblos%20Ind%C3%ADgenas%20Edad%22.%22id_Region%22%20%3D%206</t>
  </si>
  <si>
    <t>https://analytics.zoho.com/open-view/2395394000008503207?ZOHO_CRITERIA=%22Pueblos%20Ind%C3%ADgenas%20Edad%22.%22id_Region%22%20%3D%207</t>
  </si>
  <si>
    <t>https://analytics.zoho.com/open-view/2395394000008503207?ZOHO_CRITERIA=%22Pueblos%20Ind%C3%ADgenas%20Edad%22.%22id_Region%22%20%3D%208</t>
  </si>
  <si>
    <t>https://analytics.zoho.com/open-view/2395394000008503207?ZOHO_CRITERIA=%22Pueblos%20Ind%C3%ADgenas%20Edad%22.%22id_Region%22%20%3D%209</t>
  </si>
  <si>
    <t>https://analytics.zoho.com/open-view/2395394000008503207?ZOHO_CRITERIA=%22Pueblos%20Ind%C3%ADgenas%20Edad%22.%22id_Region%22%20%3D%2010</t>
  </si>
  <si>
    <t>https://analytics.zoho.com/open-view/2395394000008503207?ZOHO_CRITERIA=%22Pueblos%20Ind%C3%ADgenas%20Edad%22.%22id_Region%22%20%3D%2011</t>
  </si>
  <si>
    <t>https://analytics.zoho.com/open-view/2395394000008503207?ZOHO_CRITERIA=%22Pueblos%20Ind%C3%ADgenas%20Edad%22.%22id_Region%22%20%3D%2012</t>
  </si>
  <si>
    <t>https://analytics.zoho.com/open-view/2395394000008503207?ZOHO_CRITERIA=%22Pueblos%20Ind%C3%ADgenas%20Edad%22.%22id_Region%22%20%3D%2013</t>
  </si>
  <si>
    <t>https://analytics.zoho.com/open-view/2395394000008503207?ZOHO_CRITERIA=%22Pueblos%20Ind%C3%ADgenas%20Edad%22.%22id_Region%22%20%3D%2014</t>
  </si>
  <si>
    <t>https://analytics.zoho.com/open-view/2395394000008503207?ZOHO_CRITERIA=%22Pueblos%20Ind%C3%ADgenas%20Edad%22.%22id_Region%22%20%3D%2015</t>
  </si>
  <si>
    <t>https://analytics.zoho.com/open-view/2395394000008503207?ZOHO_CRITERIA=%22Pueblos%20Ind%C3%ADgenas%20Edad%22.%22id_Region%22%20%3D%2016</t>
  </si>
  <si>
    <t>Cantidad de Personas que se Identifican con un Pueblo Indígena por Pueblo en Chile, Año 2017</t>
  </si>
  <si>
    <t>https://analytics.zoho.com/open-view/2395394000008436794</t>
  </si>
  <si>
    <t>Cantidad de Personas que se Identifican con un Pueblo Indígena por Pueblo y región en Chile, Año 2017</t>
  </si>
  <si>
    <t>https://analytics.zoho.com/open-view/2395394000008436989</t>
  </si>
  <si>
    <t>Cantidad de Personas que se Identifican con un Pueblo Indígena por Pueblo en la región de Tarapacá, Año 2017</t>
  </si>
  <si>
    <t>https://analytics.zoho.com/open-view/2395394000008503341?ZOHO_CRITERIA=%22Pueblos%20Ind%C3%ADgenas%20Edad%22.%22id_Region%22%20%3D%201</t>
  </si>
  <si>
    <t>Cantidad de Personas que se Identifican con un Pueblo Indígena por Pueblo en la región de Antofagasta, Año 2017</t>
  </si>
  <si>
    <t>https://analytics.zoho.com/open-view/2395394000008503341?ZOHO_CRITERIA=%22Pueblos%20Ind%C3%ADgenas%20Edad%22.%22id_Region%22%20%3D%202</t>
  </si>
  <si>
    <t>Cantidad de Personas que se Identifican con un Pueblo Indígena por Pueblo en la región de Atacama, Año 2017</t>
  </si>
  <si>
    <t>https://analytics.zoho.com/open-view/2395394000008503341?ZOHO_CRITERIA=%22Pueblos%20Ind%C3%ADgenas%20Edad%22.%22id_Region%22%20%3D%203</t>
  </si>
  <si>
    <t>Cantidad de Personas que se Identifican con un Pueblo Indígena por Pueblo en la región de Coquimbo, Año 2017</t>
  </si>
  <si>
    <t>https://analytics.zoho.com/open-view/2395394000008503341?ZOHO_CRITERIA=%22Pueblos%20Ind%C3%ADgenas%20Edad%22.%22id_Region%22%20%3D%204</t>
  </si>
  <si>
    <t>Cantidad de Personas que se Identifican con un Pueblo Indígena por Pueblo en la región de Valparaíso, Año 2017</t>
  </si>
  <si>
    <t>https://analytics.zoho.com/open-view/2395394000008503341?ZOHO_CRITERIA=%22Pueblos%20Ind%C3%ADgenas%20Edad%22.%22id_Region%22%20%3D%205</t>
  </si>
  <si>
    <t>Cantidad de Personas que se Identifican con un Pueblo Indígena por Pueblo en la región de O'Higgins, Año 2017</t>
  </si>
  <si>
    <t>https://analytics.zoho.com/open-view/2395394000008503341?ZOHO_CRITERIA=%22Pueblos%20Ind%C3%ADgenas%20Edad%22.%22id_Region%22%20%3D%206</t>
  </si>
  <si>
    <t>Cantidad de Personas que se Identifican con un Pueblo Indígena por Pueblo en la región de Maule, Año 2017</t>
  </si>
  <si>
    <t>https://analytics.zoho.com/open-view/2395394000008503341?ZOHO_CRITERIA=%22Pueblos%20Ind%C3%ADgenas%20Edad%22.%22id_Region%22%20%3D%207</t>
  </si>
  <si>
    <t>Cantidad de Personas que se Identifican con un Pueblo Indígena por Pueblo en la región de Biobío, Año 2017</t>
  </si>
  <si>
    <t>https://analytics.zoho.com/open-view/2395394000008503341?ZOHO_CRITERIA=%22Pueblos%20Ind%C3%ADgenas%20Edad%22.%22id_Region%22%20%3D%208</t>
  </si>
  <si>
    <t>Cantidad de Personas que se Identifican con un Pueblo Indígena por Pueblo en la región de La Araucanía, Año 2017</t>
  </si>
  <si>
    <t>https://analytics.zoho.com/open-view/2395394000008503341?ZOHO_CRITERIA=%22Pueblos%20Ind%C3%ADgenas%20Edad%22.%22id_Region%22%20%3D%209</t>
  </si>
  <si>
    <t>Cantidad de Personas que se Identifican con un Pueblo Indígena por Pueblo en la región de Los Lagos, Año 2017</t>
  </si>
  <si>
    <t>https://analytics.zoho.com/open-view/2395394000008503341?ZOHO_CRITERIA=%22Pueblos%20Ind%C3%ADgenas%20Edad%22.%22id_Region%22%20%3D%2010</t>
  </si>
  <si>
    <t>Cantidad de Personas que se Identifican con un Pueblo Indígena por Pueblo en la región de Aysén, Año 2017</t>
  </si>
  <si>
    <t>https://analytics.zoho.com/open-view/2395394000008503341?ZOHO_CRITERIA=%22Pueblos%20Ind%C3%ADgenas%20Edad%22.%22id_Region%22%20%3D%2011</t>
  </si>
  <si>
    <t>Cantidad de Personas que se Identifican con un Pueblo Indígena por Pueblo en la región de Magallanes, Año 2017</t>
  </si>
  <si>
    <t>https://analytics.zoho.com/open-view/2395394000008503341?ZOHO_CRITERIA=%22Pueblos%20Ind%C3%ADgenas%20Edad%22.%22id_Region%22%20%3D%2012</t>
  </si>
  <si>
    <t>Cantidad de Personas que se Identifican con un Pueblo Indígena por Pueblo en la región Metropolitana, Año 2017</t>
  </si>
  <si>
    <t>https://analytics.zoho.com/open-view/2395394000008503341?ZOHO_CRITERIA=%22Pueblos%20Ind%C3%ADgenas%20Edad%22.%22id_Region%22%20%3D%2013</t>
  </si>
  <si>
    <t>Cantidad de Personas que se Identifican con un Pueblo Indígena por Pueblo en la región de Los Ríos, Año 2017</t>
  </si>
  <si>
    <t>https://analytics.zoho.com/open-view/2395394000008503341?ZOHO_CRITERIA=%22Pueblos%20Ind%C3%ADgenas%20Edad%22.%22id_Region%22%20%3D%2014</t>
  </si>
  <si>
    <t>Cantidad de Personas que se Identifican con un Pueblo Indígena por Pueblo en la región de Arica y Parinacota, Año 2017</t>
  </si>
  <si>
    <t>https://analytics.zoho.com/open-view/2395394000008503341?ZOHO_CRITERIA=%22Pueblos%20Ind%C3%ADgenas%20Edad%22.%22id_Region%22%20%3D%2015</t>
  </si>
  <si>
    <t>Cantidad de Personas que se Identifican con un Pueblo Indígena por Pueblo en la región de Ñuble, Año 2017</t>
  </si>
  <si>
    <t>https://analytics.zoho.com/open-view/2395394000008503341?ZOHO_CRITERIA=%22Pueblos%20Ind%C3%ADgenas%20Edad%22.%22id_Region%22%20%3D%2016</t>
  </si>
  <si>
    <t>Cantidad de Personas que se Identifican con un Pueblo Indígena por Sexo y Región en Chile, Año 2017</t>
  </si>
  <si>
    <t>https://analytics.zoho.com/open-view/2395394000008439092</t>
  </si>
  <si>
    <t>https://analytics.zoho.com/open-view/2395394000008503554?ZOHO_CRITERIA=%22Pueblos%20Ind%C3%ADgenas%20Sexo%22.%22id_Region%22%20%3D%201</t>
  </si>
  <si>
    <t>https://analytics.zoho.com/open-view/2395394000008503554?ZOHO_CRITERIA=%22Pueblos%20Ind%C3%ADgenas%20Sexo%22.%22id_Region%22%20%3D%202</t>
  </si>
  <si>
    <t>https://analytics.zoho.com/open-view/2395394000008503554?ZOHO_CRITERIA=%22Pueblos%20Ind%C3%ADgenas%20Sexo%22.%22id_Region%22%20%3D%203</t>
  </si>
  <si>
    <t>https://analytics.zoho.com/open-view/2395394000008503554?ZOHO_CRITERIA=%22Pueblos%20Ind%C3%ADgenas%20Sexo%22.%22id_Region%22%20%3D%204</t>
  </si>
  <si>
    <t>https://analytics.zoho.com/open-view/2395394000008503554?ZOHO_CRITERIA=%22Pueblos%20Ind%C3%ADgenas%20Sexo%22.%22id_Region%22%20%3D%205</t>
  </si>
  <si>
    <t>https://analytics.zoho.com/open-view/2395394000008503554?ZOHO_CRITERIA=%22Pueblos%20Ind%C3%ADgenas%20Sexo%22.%22id_Region%22%20%3D%206</t>
  </si>
  <si>
    <t>https://analytics.zoho.com/open-view/2395394000008503554?ZOHO_CRITERIA=%22Pueblos%20Ind%C3%ADgenas%20Sexo%22.%22id_Region%22%20%3D%207</t>
  </si>
  <si>
    <t>https://analytics.zoho.com/open-view/2395394000008503554?ZOHO_CRITERIA=%22Pueblos%20Ind%C3%ADgenas%20Sexo%22.%22id_Region%22%20%3D%208</t>
  </si>
  <si>
    <t>https://analytics.zoho.com/open-view/2395394000008503554?ZOHO_CRITERIA=%22Pueblos%20Ind%C3%ADgenas%20Sexo%22.%22id_Region%22%20%3D%209</t>
  </si>
  <si>
    <t>https://analytics.zoho.com/open-view/2395394000008503554?ZOHO_CRITERIA=%22Pueblos%20Ind%C3%ADgenas%20Sexo%22.%22id_Region%22%20%3D%2010</t>
  </si>
  <si>
    <t>https://analytics.zoho.com/open-view/2395394000008503554?ZOHO_CRITERIA=%22Pueblos%20Ind%C3%ADgenas%20Sexo%22.%22id_Region%22%20%3D%2011</t>
  </si>
  <si>
    <t>https://analytics.zoho.com/open-view/2395394000008503554?ZOHO_CRITERIA=%22Pueblos%20Ind%C3%ADgenas%20Sexo%22.%22id_Region%22%20%3D%2012</t>
  </si>
  <si>
    <t>https://analytics.zoho.com/open-view/2395394000008503554?ZOHO_CRITERIA=%22Pueblos%20Ind%C3%ADgenas%20Sexo%22.%22id_Region%22%20%3D%2013</t>
  </si>
  <si>
    <t>https://analytics.zoho.com/open-view/2395394000008503554?ZOHO_CRITERIA=%22Pueblos%20Ind%C3%ADgenas%20Sexo%22.%22id_Region%22%20%3D%2014</t>
  </si>
  <si>
    <t>https://analytics.zoho.com/open-view/2395394000008503554?ZOHO_CRITERIA=%22Pueblos%20Ind%C3%ADgenas%20Sexo%22.%22id_Region%22%20%3D%2015</t>
  </si>
  <si>
    <t>https://analytics.zoho.com/open-view/2395394000008503554?ZOHO_CRITERIA=%22Pueblos%20Ind%C3%ADgenas%20Sexo%22.%22id_Region%22%20%3D%2016</t>
  </si>
  <si>
    <t>Tasa de desocupación</t>
  </si>
  <si>
    <t>Fecha</t>
  </si>
  <si>
    <t>Periodo 1986-2021</t>
  </si>
  <si>
    <t xml:space="preserve">Tasa </t>
  </si>
  <si>
    <t>Banco Central</t>
  </si>
  <si>
    <t>Tasa de Desocupación en Chile en el Periodo 1986-2021</t>
  </si>
  <si>
    <t>https://analytics.zoho.com/open-view/2395394000008196724</t>
  </si>
  <si>
    <t>Fuerza de trabajo</t>
  </si>
  <si>
    <t>Variación de la Fuerza de Trabajo en Chile con el Año Anterior en el Periodo 1986-2021</t>
  </si>
  <si>
    <t>https://analytics.zoho.com/open-view/2395394000008199603</t>
  </si>
  <si>
    <t>Desocupados</t>
  </si>
  <si>
    <t>Variación de desocupados en Chile con el Año Anterior en el Periodo 1986-2021</t>
  </si>
  <si>
    <t>https://analytics.zoho.com/open-view/2395394000008199783</t>
  </si>
  <si>
    <t>Producción minera</t>
  </si>
  <si>
    <t>Minería</t>
  </si>
  <si>
    <t>Región-Fecha</t>
  </si>
  <si>
    <t>Índice de producción minera</t>
  </si>
  <si>
    <t>Índice de Producción Minera en Chile en el Periodo 2014-2021</t>
  </si>
  <si>
    <t>https://analytics.zoho.com/open-view/2395394000008086091</t>
  </si>
  <si>
    <t>Producción de cobre en la región de Coquimbo en el periodo 2014-2021</t>
  </si>
  <si>
    <t>https://analytics.zoho.com/open-view/2395394000008086867</t>
  </si>
  <si>
    <t>Producción de cobre en la región de Antofagasta en el periodo 2014-2021</t>
  </si>
  <si>
    <t>Producción de cobre en la región de Atacama en el periodo 2014-2021</t>
  </si>
  <si>
    <t>Producción de cobre en la región de Valparaíso en el periodo 2014-2021</t>
  </si>
  <si>
    <t>Producción de cloruro de sodio en Chile en el periodo 2014-2021</t>
  </si>
  <si>
    <t>https://analytics.zoho.com/open-view/2395394000008087059</t>
  </si>
  <si>
    <t>Producción de hierro en Chile en el periodo 2014-2021</t>
  </si>
  <si>
    <t>https://analytics.zoho.com/open-view/2395394000008087414</t>
  </si>
  <si>
    <t>Turismo</t>
  </si>
  <si>
    <t>Pernoctaciones</t>
  </si>
  <si>
    <t>Número de pernoctaciones por fecha</t>
  </si>
  <si>
    <t>Número de pernoctaciones</t>
  </si>
  <si>
    <t>Número de pernoctaciones en Chile en el periodo 2016-2021</t>
  </si>
  <si>
    <t>Entre julio de 2016 y febrero de 2020, el número de pernoctaciones en Chile fluctuó entre las 1.509.923 y las 3.055.234 por mes. Luego, en abril de 2020, este número presenta su mínimo para todo el periodo observado con 150.982 pernoctaciones durante ese mes.</t>
  </si>
  <si>
    <t>Habitaciones ocupadas</t>
  </si>
  <si>
    <t>Precio promedio de habitación ocupada por fecha</t>
  </si>
  <si>
    <t>Precio Promedio de Habitación Ocupada en Chile en el periodo 2016-2021</t>
  </si>
  <si>
    <t>Pesca industrial</t>
  </si>
  <si>
    <t>Desembarque de pesca industrial en Chile en el periodo 2014-2021</t>
  </si>
  <si>
    <t>Pesca artesanal</t>
  </si>
  <si>
    <t>Acuicultura</t>
  </si>
  <si>
    <t>Cosecha acuícola en Chile en el periodo 2014-2021</t>
  </si>
  <si>
    <t>Superficie de Parques Urbanos en Chile en el año 2019</t>
  </si>
  <si>
    <t>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t>
  </si>
  <si>
    <t>https://analytics.zoho.com/open-view/2395394000008183442</t>
  </si>
  <si>
    <t>https://analytics.zoho.com/open-view/2395394000008478071?ZOHO_CRITERIA=%22Localiza%20CL%22.%22Codreg%22%20%3D%201</t>
  </si>
  <si>
    <t>https://analytics.zoho.com/open-view/2395394000008478071?ZOHO_CRITERIA=%22Localiza%20CL%22.%22Codreg%22%20%3D%202</t>
  </si>
  <si>
    <t>https://analytics.zoho.com/open-view/2395394000008478071?ZOHO_CRITERIA=%22Localiza%20CL%22.%22Codreg%22%20%3D%203</t>
  </si>
  <si>
    <t>https://analytics.zoho.com/open-view/2395394000008478071?ZOHO_CRITERIA=%22Localiza%20CL%22.%22Codreg%22%20%3D%204</t>
  </si>
  <si>
    <t>https://analytics.zoho.com/open-view/2395394000008478071?ZOHO_CRITERIA=%22Localiza%20CL%22.%22Codreg%22%20%3D%205</t>
  </si>
  <si>
    <t>https://analytics.zoho.com/open-view/2395394000008478071?ZOHO_CRITERIA=%22Localiza%20CL%22.%22Codreg%22%20%3D%206</t>
  </si>
  <si>
    <t>https://analytics.zoho.com/open-view/2395394000008478071?ZOHO_CRITERIA=%22Localiza%20CL%22.%22Codreg%22%20%3D%207</t>
  </si>
  <si>
    <t>https://analytics.zoho.com/open-view/2395394000008478071?ZOHO_CRITERIA=%22Localiza%20CL%22.%22Codreg%22%20%3D%208</t>
  </si>
  <si>
    <t>https://analytics.zoho.com/open-view/2395394000008478071?ZOHO_CRITERIA=%22Localiza%20CL%22.%22Codreg%22%20%3D%209</t>
  </si>
  <si>
    <t>https://analytics.zoho.com/open-view/2395394000008478071?ZOHO_CRITERIA=%22Localiza%20CL%22.%22Codreg%22%20%3D%2010</t>
  </si>
  <si>
    <t>https://analytics.zoho.com/open-view/2395394000008478071?ZOHO_CRITERIA=%22Localiza%20CL%22.%22Codreg%22%20%3D%2011</t>
  </si>
  <si>
    <t>https://analytics.zoho.com/open-view/2395394000008478071?ZOHO_CRITERIA=%22Localiza%20CL%22.%22Codreg%22%20%3D%2012</t>
  </si>
  <si>
    <t>https://analytics.zoho.com/open-view/2395394000008478071?ZOHO_CRITERIA=%22Localiza%20CL%22.%22Codreg%22%20%3D%2013</t>
  </si>
  <si>
    <t>https://analytics.zoho.com/open-view/2395394000008478071?ZOHO_CRITERIA=%22Localiza%20CL%22.%22Codreg%22%20%3D%2014</t>
  </si>
  <si>
    <t>https://analytics.zoho.com/open-view/2395394000008478071?ZOHO_CRITERIA=%22Localiza%20CL%22.%22Codreg%22%20%3D%2015</t>
  </si>
  <si>
    <t>https://analytics.zoho.com/open-view/2395394000008478071?ZOHO_CRITERIA=%22Localiza%20CL%22.%22Codreg%22%20%3D%2016</t>
  </si>
  <si>
    <t>En el año 2019, las comunas con más de 130 hectáreas de plazas públicas fueron Puente Alto, Maipú, Las Condes, La Florida, Coquimbo, San Bernardo, Talca y Rancagua, con 257,67 (ha), 266,11 (ha), 163,68 (ha), 151,82 (ha), 149,92 (ha), 137,22 (ha), 132,96 (ha) y 162,89 (ha), respectivamente.</t>
  </si>
  <si>
    <t>https://analytics.zoho.com/open-view/2395394000008183474</t>
  </si>
  <si>
    <t>https://analytics.zoho.com/open-view/2395394000008478183?ZOHO_CRITERIA=%22Localiza%20CL%22.%22Codreg%22%20%3D%201</t>
  </si>
  <si>
    <t>https://analytics.zoho.com/open-view/2395394000008478183?ZOHO_CRITERIA=%22Localiza%20CL%22.%22Codreg%22%20%3D%202</t>
  </si>
  <si>
    <t>https://analytics.zoho.com/open-view/2395394000008478183?ZOHO_CRITERIA=%22Localiza%20CL%22.%22Codreg%22%20%3D%203</t>
  </si>
  <si>
    <t>https://analytics.zoho.com/open-view/2395394000008478183?ZOHO_CRITERIA=%22Localiza%20CL%22.%22Codreg%22%20%3D%204</t>
  </si>
  <si>
    <t>https://analytics.zoho.com/open-view/2395394000008478183?ZOHO_CRITERIA=%22Localiza%20CL%22.%22Codreg%22%20%3D%205</t>
  </si>
  <si>
    <t>https://analytics.zoho.com/open-view/2395394000008478183?ZOHO_CRITERIA=%22Localiza%20CL%22.%22Codreg%22%20%3D%206</t>
  </si>
  <si>
    <t>https://analytics.zoho.com/open-view/2395394000008478183?ZOHO_CRITERIA=%22Localiza%20CL%22.%22Codreg%22%20%3D%207</t>
  </si>
  <si>
    <t>https://analytics.zoho.com/open-view/2395394000008478183?ZOHO_CRITERIA=%22Localiza%20CL%22.%22Codreg%22%20%3D%208</t>
  </si>
  <si>
    <t>https://analytics.zoho.com/open-view/2395394000008478183?ZOHO_CRITERIA=%22Localiza%20CL%22.%22Codreg%22%20%3D%209</t>
  </si>
  <si>
    <t>https://analytics.zoho.com/open-view/2395394000008478183?ZOHO_CRITERIA=%22Localiza%20CL%22.%22Codreg%22%20%3D%2010</t>
  </si>
  <si>
    <t>https://analytics.zoho.com/open-view/2395394000008478183?ZOHO_CRITERIA=%22Localiza%20CL%22.%22Codreg%22%20%3D%2011</t>
  </si>
  <si>
    <t>https://analytics.zoho.com/open-view/2395394000008478183?ZOHO_CRITERIA=%22Localiza%20CL%22.%22Codreg%22%20%3D%2012</t>
  </si>
  <si>
    <t>https://analytics.zoho.com/open-view/2395394000008478183?ZOHO_CRITERIA=%22Localiza%20CL%22.%22Codreg%22%20%3D%2013</t>
  </si>
  <si>
    <t>https://analytics.zoho.com/open-view/2395394000008478183?ZOHO_CRITERIA=%22Localiza%20CL%22.%22Codreg%22%20%3D%2014</t>
  </si>
  <si>
    <t>https://analytics.zoho.com/open-view/2395394000008478183?ZOHO_CRITERIA=%22Localiza%20CL%22.%22Codreg%22%20%3D%2015}</t>
  </si>
  <si>
    <t>https://analytics.zoho.com/open-view/2395394000008478183?ZOHO_CRITERIA=%22Localiza%20CL%22.%22Codreg%22%20%3D%2016</t>
  </si>
  <si>
    <t>Comercio exterior</t>
  </si>
  <si>
    <t>Evolución Mensual de Importaciones en Chile en el periodo 2015-2021</t>
  </si>
  <si>
    <t>https://analytics.zoho.com/open-view/2395394000008193854</t>
  </si>
  <si>
    <t>Importaciones y exportaciones</t>
  </si>
  <si>
    <t>Evolución Trimestral de Importaciones y Exportaciones en Chile en el periodo 2015-2021</t>
  </si>
  <si>
    <t>https://analytics.zoho.com/open-view/2395394000008205248</t>
  </si>
  <si>
    <t>https://analytics.zoho.com/open-view/2395394000008193221</t>
  </si>
  <si>
    <t>Valor de importaciones de alimentos por país de origen en el año 2021</t>
  </si>
  <si>
    <t>https://analytics.zoho.com/open-view/2395394000008193416</t>
  </si>
  <si>
    <t xml:space="preserve">Evolución Trimestral de Exportaciones por Producto Minero en el Periodo 2015-2021 </t>
  </si>
  <si>
    <t>https://analytics.zoho.com/open-view/2395394000008410521?ZOHO_CRITERIA=%22Pa%C3%ADs_Todo%22.%22id_TipoProducto%22%3D4</t>
  </si>
  <si>
    <t>Cantidad de Personas que se Identifican con un Pueblo Indígena por Sexo en la Región de Tarapacá, Año 2017</t>
  </si>
  <si>
    <t>Cantidad de Personas que se Identifican con un Pueblo Indígena por Sexo en la Región de Antofagasta, Año 2017</t>
  </si>
  <si>
    <t>Cantidad de Personas que se Identifican con un Pueblo Indígena por Sexo en la Región de Atacama, Año 2017</t>
  </si>
  <si>
    <t>Cantidad de Personas que se Identifican con un Pueblo Indígena por Sexo en la Región de Coquimbo, Año 2017</t>
  </si>
  <si>
    <t>Cantidad de Personas que se Identifican con un Pueblo Indígena por Sexo en la Región de Valparaíso, Año 2017</t>
  </si>
  <si>
    <t>Cantidad de Personas que se Identifican con un Pueblo Indígena por Sexo en la Región de O'Higgins, Año 2017</t>
  </si>
  <si>
    <t>Cantidad de Personas que se Identifican con un Pueblo Indígena por Sexo en la Región de Maule, Año 2017</t>
  </si>
  <si>
    <t>Cantidad de Personas que se Identifican con un Pueblo Indígena por Sexo en la Región del Biobío, Año 2017</t>
  </si>
  <si>
    <t>Cantidad de Personas que se Identifican con un Pueblo Indígena por Sexo en la Región de La Araucanía, Año 2017</t>
  </si>
  <si>
    <t>Cantidad de Personas que se Identifican con un Pueblo Indígena por Sexo en la Región de Los Lagos, Año 2017</t>
  </si>
  <si>
    <t>Cantidad de Personas que se Identifican con un Pueblo Indígena por Sexo en la Región de Aysén, Año 2017</t>
  </si>
  <si>
    <t>Cantidad de Personas que se Identifican con un Pueblo Indígena por Sexo en la Región de Magallanes, Año 2017</t>
  </si>
  <si>
    <t>Cantidad de Personas que se Identifican con un Pueblo Indígena por Sexo en la Región Metropolitana, Año 2017</t>
  </si>
  <si>
    <t>Cantidad de Personas que se Identifican con un Pueblo Indígena por Sexo en la Región de Los Ríos, Año 2017</t>
  </si>
  <si>
    <t>Cantidad de Personas que se Identifican con un Pueblo Indígena por Sexo en la Región de Arica y Parinacota, Año 2017</t>
  </si>
  <si>
    <t>Cantidad de Personas que se Identifican con un Pueblo Indígena por Sexo en la Región de Ñuble, Año 2017</t>
  </si>
  <si>
    <t>Índice de Producción Minera en la Región de Tarapacá en el Periodo 2014-2021</t>
  </si>
  <si>
    <t>Índice de Producción Minera en la Región de Antofagasta en el Periodo 2014-2021</t>
  </si>
  <si>
    <t>Índice de Producción Minera en la Región de Atacama en el Periodo 2014-2021</t>
  </si>
  <si>
    <t>Índice de Producción Minera en la Región de Coquimbo en el Periodo 2014-2021</t>
  </si>
  <si>
    <t>Número de Pernoctaciones en la Región de Tarapacá en el periodo 2016-2021</t>
  </si>
  <si>
    <t>Número de Pernoctaciones en la Región de Antofagasta en el periodo 2016-2021</t>
  </si>
  <si>
    <t>Número de Pernoctaciones en la Región de Atacama en el periodo 2016-2021</t>
  </si>
  <si>
    <t>Número de Pernoctaciones en la Región de Coquimbo en el periodo 2016-2021</t>
  </si>
  <si>
    <t>Número de Pernoctaciones en la Región de Valparaíso en el periodo 2016-2021</t>
  </si>
  <si>
    <t>Número de Pernoctaciones en la Región de O'Higgins en el periodo 2016-2021</t>
  </si>
  <si>
    <t>Número de Pernoctaciones en la Región de Maule en el periodo 2016-2021</t>
  </si>
  <si>
    <t>Número de Pernoctaciones en la Región del Biobío en el periodo 2016-2021</t>
  </si>
  <si>
    <t>Número de Pernoctaciones en la Región de La Araucanía en el periodo 2016-2021</t>
  </si>
  <si>
    <t>Número de Pernoctaciones en la Región de Los Lagos en el periodo 2016-2021</t>
  </si>
  <si>
    <t>Número de Pernoctaciones en la Región de Aysén en el periodo 2016-2021</t>
  </si>
  <si>
    <t>Número de Pernoctaciones en la Región de Magallanes en el periodo 2016-2021</t>
  </si>
  <si>
    <t>Número de Pernoctaciones en la Región Metropolitana en el periodo 2016-2021</t>
  </si>
  <si>
    <t>Número de Pernoctaciones en la Región de Los Ríos en el periodo 2016-2021</t>
  </si>
  <si>
    <t>Número de Pernoctaciones en la Región de Arica y Parinacota en el periodo 2016-2021</t>
  </si>
  <si>
    <t>Número de Pernoctaciones en la Región de Ñuble en el periodo 2016-2021</t>
  </si>
  <si>
    <t>Precio Promedio de Habitación Ocupada en la Región de Tarapacá en el periodo 2016-2021</t>
  </si>
  <si>
    <t>Precio Promedio de Habitación Ocupada en la Región de Antofagasta en el periodo 2016-2021</t>
  </si>
  <si>
    <t>Precio Promedio de Habitación Ocupada en la Región de Atacama en el periodo 2016-2021</t>
  </si>
  <si>
    <t>Precio Promedio de Habitación Ocupada en la Región de Coquimbo en el periodo 2016-2021</t>
  </si>
  <si>
    <t>Precio Promedio de Habitación Ocupada en la Región de Valparaíso en el periodo 2016-2021</t>
  </si>
  <si>
    <t>Precio Promedio de Habitación Ocupada en la Región de O'Higgins en el periodo 2016-2021</t>
  </si>
  <si>
    <t>Precio Promedio de Habitación Ocupada en la Región de Maule en el periodo 2016-2021</t>
  </si>
  <si>
    <t>Precio Promedio de Habitación Ocupada en la Región del Biobío en el periodo 2016-2021</t>
  </si>
  <si>
    <t>Precio Promedio de Habitación Ocupada en la Región de La Araucanía en el periodo 2016-2021</t>
  </si>
  <si>
    <t>Precio Promedio de Habitación Ocupada en la Región de Los Lagos en el periodo 2016-2021</t>
  </si>
  <si>
    <t>Precio Promedio de Habitación Ocupada en la Región de Aysén en el periodo 2016-2021</t>
  </si>
  <si>
    <t>Precio Promedio de Habitación Ocupada en la Región de Magallanes en el periodo 2016-2021</t>
  </si>
  <si>
    <t>Precio Promedio de Habitación Ocupada en la Región Metropolitana en el periodo 2016-2021</t>
  </si>
  <si>
    <t>Precio Promedio de Habitación Ocupada en la Región de Los Ríos en el periodo 2016-2021</t>
  </si>
  <si>
    <t>Precio Promedio de Habitación Ocupada en la Región de Arica y Parinacota en el periodo 2016-2021</t>
  </si>
  <si>
    <t>Precio Promedio de Habitación Ocupada en la Región de Ñuble en el periodo 2016-2021</t>
  </si>
  <si>
    <t>Superficie de Parques Urbanos en la Región de Tarapacá en el año 2019</t>
  </si>
  <si>
    <t>Superficie de Parques Urbanos en la Región de Antofagasta en el año 2019</t>
  </si>
  <si>
    <t>Superficie de Parques Urbanos en la Región de Atacama en el año 2019</t>
  </si>
  <si>
    <t>Superficie de Parques Urbanos en la Región de Coquimbo en el año 2019</t>
  </si>
  <si>
    <t>Superficie de Parques Urbanos en la Región de Valparaíso en el año 2019</t>
  </si>
  <si>
    <t>Superficie de Parques Urbanos en la Región de O'Higgins en el año 2019</t>
  </si>
  <si>
    <t>Superficie de Parques Urbanos en la Región de Maule en el año 2019</t>
  </si>
  <si>
    <t>Superficie de Parques Urbanos en la Región del Biobío en el año 2019</t>
  </si>
  <si>
    <t>Superficie de Parques Urbanos en la Región de La Araucanía en el año 2019</t>
  </si>
  <si>
    <t>Superficie de Parques Urbanos en la Región de Los Lagos en el año 2019</t>
  </si>
  <si>
    <t>Superficie de Parques Urbanos en la Región de Aysén en el año 2019</t>
  </si>
  <si>
    <t>Superficie de Parques Urbanos en la Región de Magallanes en el año 2019</t>
  </si>
  <si>
    <t>Superficie de Parques Urbanos en la Región Metropolitana en el año 2019</t>
  </si>
  <si>
    <t>Superficie de Parques Urbanos en la Región de Los Ríos en el año 2019</t>
  </si>
  <si>
    <t>Superficie de Parques Urbanos en la Región de Arica y Parinacota en el año 2019</t>
  </si>
  <si>
    <t>Superficie de Parques Urbanos en la Región de Ñuble en el año 2019</t>
  </si>
  <si>
    <t>Superficie de Plazas Públicas en la Chile en el año 2019</t>
  </si>
  <si>
    <t>Superficie de Plazas Públicas en la Región de Tarapacá en el año 2019</t>
  </si>
  <si>
    <t>Superficie de Plazas Públicas en la Región de Antofagasta en el año 2019</t>
  </si>
  <si>
    <t>Superficie de Plazas Públicas en la Región de Atacama en el año 2019</t>
  </si>
  <si>
    <t>Superficie de Plazas Públicas en la Región de Coquimbo en el año 2019</t>
  </si>
  <si>
    <t>Superficie de Plazas Públicas en la Región de Valparaíso en el año 2019</t>
  </si>
  <si>
    <t>Superficie de Plazas Públicas en la Región de O'Higgins en el año 2019</t>
  </si>
  <si>
    <t>Superficie de Plazas Públicas en la Región de Maule en el año 2019</t>
  </si>
  <si>
    <t>Superficie de Plazas Públicas en la Región del Biobío en el año 2019</t>
  </si>
  <si>
    <t>Superficie de Plazas Públicas en la Región de La Araucanía en el año 2019</t>
  </si>
  <si>
    <t>Superficie de Plazas Públicas en la Región de Los Lagos en el año 2019</t>
  </si>
  <si>
    <t>Superficie de Plazas Públicas en la Región de Aysén en el año 2019</t>
  </si>
  <si>
    <t>Superficie de Plazas Públicas en la Región de Magallanes en el año 2019</t>
  </si>
  <si>
    <t>Superficie de Plazas Públicas en la Región Metropolitana en el año 2019</t>
  </si>
  <si>
    <t>Superficie de Plazas Públicas en la Región de Los Ríos en el año 2019</t>
  </si>
  <si>
    <t>Superficie de Plazas Públicas en la Región de Arica y Parinacota en el año 2019</t>
  </si>
  <si>
    <t>Total Estado de la Salud</t>
  </si>
  <si>
    <t>Total Internet</t>
  </si>
  <si>
    <t>Total Telecomunicaciones</t>
  </si>
  <si>
    <t>Total Minería</t>
  </si>
  <si>
    <t>Total Turismo</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</si>
  <si>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</si>
  <si>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</si>
  <si>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</si>
  <si>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</si>
  <si>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</si>
  <si>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</si>
  <si>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</si>
  <si>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</si>
  <si>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</si>
  <si>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</si>
  <si>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</si>
  <si>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</si>
  <si>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</si>
  <si>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</si>
  <si>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</si>
  <si>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</si>
  <si>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</si>
  <si>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</si>
  <si>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</si>
  <si>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</si>
  <si>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</si>
  <si>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</si>
  <si>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</si>
  <si>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</si>
  <si>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</si>
  <si>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</si>
  <si>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</si>
  <si>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</si>
  <si>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</si>
  <si>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</si>
  <si>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</si>
  <si>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</si>
  <si>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</si>
  <si>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</si>
  <si>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</si>
  <si>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</si>
  <si>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</si>
  <si>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</si>
  <si>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</si>
  <si>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</si>
  <si>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</si>
  <si>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</si>
  <si>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</si>
  <si>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</si>
  <si>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</si>
  <si>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</si>
  <si>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</si>
  <si>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</si>
  <si>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</si>
  <si>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</si>
  <si>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</si>
  <si>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</si>
  <si>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</si>
  <si>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</si>
  <si>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</si>
  <si>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</si>
  <si>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</si>
  <si>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</si>
  <si>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</si>
  <si>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</si>
  <si>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</si>
  <si>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</si>
  <si>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</si>
  <si>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</si>
  <si>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</si>
  <si>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</si>
  <si>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</si>
  <si>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</si>
  <si>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</si>
  <si>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</si>
  <si>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</si>
  <si>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</si>
  <si>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</si>
  <si>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</si>
  <si>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</si>
  <si>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</si>
  <si>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</si>
  <si>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</si>
  <si>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</si>
  <si>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</si>
  <si>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</si>
  <si>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</si>
  <si>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</si>
  <si>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</si>
  <si>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</si>
  <si>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</si>
  <si>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</si>
  <si>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</si>
  <si>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</si>
  <si>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</si>
  <si>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</si>
  <si>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</si>
  <si>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</si>
  <si>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</si>
  <si>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</si>
  <si>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</si>
  <si>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</si>
  <si>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</si>
  <si>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</si>
  <si>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</si>
  <si>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</si>
  <si>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</si>
  <si>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</si>
  <si>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</si>
  <si>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</si>
  <si>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</si>
  <si>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</si>
  <si>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</si>
  <si>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</si>
  <si>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</si>
  <si>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</si>
  <si>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</si>
  <si>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</si>
  <si>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</si>
  <si>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</si>
  <si>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</si>
  <si>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</si>
  <si>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</si>
  <si>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</si>
  <si>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</si>
  <si>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</si>
  <si>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</si>
  <si>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</si>
  <si>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</si>
  <si>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</si>
  <si>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</si>
  <si>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</si>
  <si>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</si>
  <si>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</si>
  <si>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</si>
  <si>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</si>
  <si>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</si>
  <si>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</si>
  <si>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</si>
  <si>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</si>
  <si>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</si>
  <si>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</si>
  <si>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</si>
  <si>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</si>
  <si>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</si>
  <si>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</si>
  <si>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</si>
  <si>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</si>
  <si>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</si>
  <si>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</si>
  <si>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</si>
  <si>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</si>
  <si>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</si>
  <si>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</si>
  <si>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</si>
  <si>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</si>
  <si>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</si>
  <si>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</si>
  <si>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</si>
  <si>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</si>
  <si>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</si>
  <si>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</si>
  <si>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</si>
  <si>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</si>
  <si>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</si>
  <si>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</si>
  <si>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</si>
  <si>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</si>
  <si>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</si>
  <si>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</si>
  <si>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</si>
  <si>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</si>
  <si>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</si>
  <si>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</si>
  <si>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</si>
  <si>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</si>
  <si>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</si>
  <si>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</si>
  <si>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</si>
  <si>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</si>
  <si>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</si>
  <si>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</si>
  <si>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</si>
  <si>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</si>
  <si>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</si>
  <si>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</si>
  <si>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</si>
  <si>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</si>
  <si>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</si>
  <si>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</si>
  <si>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</si>
  <si>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</si>
  <si>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</si>
  <si>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</si>
  <si>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</si>
  <si>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</si>
  <si>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</si>
  <si>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</si>
  <si>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</si>
  <si>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</si>
  <si>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</si>
  <si>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</si>
  <si>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</si>
  <si>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</si>
  <si>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</si>
  <si>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</si>
  <si>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</si>
  <si>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</si>
  <si>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</si>
  <si>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</si>
  <si>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</si>
  <si>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</si>
  <si>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</si>
  <si>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</si>
  <si>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</si>
  <si>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</si>
  <si>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</si>
  <si>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</si>
  <si>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</si>
  <si>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</si>
  <si>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</si>
  <si>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</si>
  <si>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</si>
  <si>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</si>
  <si>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</si>
  <si>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</si>
  <si>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</si>
  <si>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</si>
  <si>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</si>
  <si>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</si>
  <si>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</si>
  <si>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</si>
  <si>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</si>
  <si>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</si>
  <si>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</si>
  <si>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</si>
  <si>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</si>
  <si>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</si>
  <si>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</si>
  <si>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</si>
  <si>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</si>
  <si>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</si>
  <si>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</si>
  <si>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</si>
  <si>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</si>
  <si>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</si>
  <si>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</si>
  <si>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</si>
  <si>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</si>
  <si>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</si>
  <si>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</si>
  <si>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1107</t>
  </si>
  <si>
    <t>Gestión Municipal de Educación</t>
  </si>
  <si>
    <t>PSU</t>
  </si>
  <si>
    <t>Indicadores de Participación y formación ciudadana</t>
  </si>
  <si>
    <t>https://analytics.zoho.com/open-view/2395394000008056877</t>
  </si>
  <si>
    <t>Número de suscripciones</t>
  </si>
  <si>
    <t>Toneladas métricas de contenido fino (tmf)</t>
  </si>
  <si>
    <t xml:space="preserve">Toneladas métricas (tm) </t>
  </si>
  <si>
    <t>Número de vehículos</t>
  </si>
  <si>
    <t>Índice de Producción Manufacturera</t>
  </si>
  <si>
    <t>Índice</t>
  </si>
  <si>
    <t>Evolución del Índice de Producción Manufacturera (IPMan) a Escala Nacional</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</si>
  <si>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t>
  </si>
  <si>
    <t>https://analytics.zoho.com/open-view/2395394000008742241</t>
  </si>
  <si>
    <t>Evolución del Índice de Producción Manufacturera (IPMan) en la Región de Valparaíso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</si>
  <si>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t>
  </si>
  <si>
    <t>https://analytics.zoho.com/open-view/2395394000008742319?ZOHO_CRITERIA=%22Consolidado_Estadisticas_Regionales_New%22.%22C%C3%B3digo%20regi%C3%B3n%22%20%3D%205</t>
  </si>
  <si>
    <t>Evolución del Índice de Producción Manufacturera (IPMan) en la Región de O'Higgins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</si>
  <si>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t>
  </si>
  <si>
    <t>https://analytics.zoho.com/open-view/2395394000008742319?ZOHO_CRITERIA=%22Consolidado_Estadisticas_Regionales_New%22.%22C%C3%B3digo%20regi%C3%B3n%22%20%3D%206</t>
  </si>
  <si>
    <t>Evolución del Índice de Producción Manufacturera (IPMan) en la Región del Biobío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</si>
  <si>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t>
  </si>
  <si>
    <t>https://analytics.zoho.com/open-view/2395394000008742319?ZOHO_CRITERIA=%22Consolidado_Estadisticas_Regionales_New%22.%22C%C3%B3digo%20regi%C3%B3n%22%20%3D%208</t>
  </si>
  <si>
    <t>Evolución del Índice de Producción Manufacturera (IPMan) en la Región de La Araucanía</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</si>
  <si>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t>
  </si>
  <si>
    <t>https://analytics.zoho.com/open-view/2395394000008742319?ZOHO_CRITERIA=%22Consolidado_Estadisticas_Regionales_New%22.%22C%C3%B3digo%20regi%C3%B3n%22%20%3D%209</t>
  </si>
  <si>
    <t>Evolución del Índice de Producción Manufacturera (IPMan) en la Región de Los Ríos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</si>
  <si>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t>
  </si>
  <si>
    <t>https://analytics.zoho.com/open-view/2395394000008742319?ZOHO_CRITERIA=%22Consolidado_Estadisticas_Regionales_New%22.%22C%C3%B3digo%20regi%C3%B3n%22%20%3D%2014</t>
  </si>
  <si>
    <t>Supermercados</t>
  </si>
  <si>
    <t>Número de supermercados</t>
  </si>
  <si>
    <t>Evolución del Número de establecimientos clasificados como supermercados, que cuentan con tres o más cajas instaladas a Escala Nacional</t>
  </si>
  <si>
    <t>En enero de 2014, la cantidad de supermercados con 3 o más cajas instaladas era de 1.161, mientras que en marzo de 2021, era de 1.176. El mínimo se registró en noviembre de 2019, con 1.100 establecimientos, y el máximo en diciembre de 2015, con 1.229.</t>
  </si>
  <si>
    <t>https://analytics.zoho.com/open-view/2395394000008715761</t>
  </si>
  <si>
    <t>Evolución del Número de establecimientos clasificados como supermercados, que cuentan con tres o más cajas instaladas en la Región de Tarapacá</t>
  </si>
  <si>
    <t>En la Región de Tarapacá, en enero de 2014, la cantidad de supermercados con 3 o más cajas instaladas era de 13, mientras que en abril de 2021, era de 14. El promedio de supermercados en este período es de 14.</t>
  </si>
  <si>
    <t>https://analytics.zoho.com/open-view/2395394000008715905?ZOHO_CRITERIA=%22Consolidado_Estadisticas_Regionales_New%22.%22C%C3%B3digo%20regi%C3%B3n%22%20%3D%201</t>
  </si>
  <si>
    <t>Evolución del Número de establecimientos clasificados como supermercados, que cuentan con tres o más cajas instaladas en la Región de Antofagasta</t>
  </si>
  <si>
    <t>En la Región de Antofagasta, en enero de 2014, la cantidad de supermercados con 3 o más cajas instaladas era de 32, y en abril de 2021, era de 34. El promedio de supermercados en este período es de 34.</t>
  </si>
  <si>
    <t>https://analytics.zoho.com/open-view/2395394000008715905?ZOHO_CRITERIA=%22Consolidado_Estadisticas_Regionales_New%22.%22C%C3%B3digo%20regi%C3%B3n%22%20%3D%202</t>
  </si>
  <si>
    <t>Evolución del Número de establecimientos clasificados como supermercados, que cuentan con tres o más cajas instaladas en la Región de Atacama</t>
  </si>
  <si>
    <t>En la Región de Atacama, en enero de 2014, la cantidad de supermercados con 3 o más cajas instaladas era de 23, mientras que en abril de 2021, era de 26. El promedio de supermercados en este período es de 24.</t>
  </si>
  <si>
    <t>https://analytics.zoho.com/open-view/2395394000008715905?ZOHO_CRITERIA=%22Consolidado_Estadisticas_Regionales_New%22.%22C%C3%B3digo%20regi%C3%B3n%22%20%3D%203</t>
  </si>
  <si>
    <t>Evolución del Número de establecimientos clasificados como supermercados, que cuentan con tres o más cajas instaladas en la Región de Coquimbo</t>
  </si>
  <si>
    <t>En la Región de Coquimbo, en enero de 2014, la cantidad de supermercados con 3 o más cajas instaladas era de 53, mientras que en abril de 2021, era de 61. El promedio de supermercados en este período es de 57.</t>
  </si>
  <si>
    <t>https://analytics.zoho.com/open-view/2395394000008715905?ZOHO_CRITERIA=%22Consolidado_Estadisticas_Regionales_New%22.%22C%C3%B3digo%20regi%C3%B3n%22%20%3D%204</t>
  </si>
  <si>
    <t>Evolución del Número de establecimientos clasificados como supermercados, que cuentan con tres o más cajas instaladas en la Región de Valparaíso</t>
  </si>
  <si>
    <t>En la Región de Valparaíso, en enero de 2014, la cantidad de supermercados con 3 o más cajas instaladas era de 158, mientras que en abril de 2021, era de 167. El promedio de supermercados en este período es de 163.</t>
  </si>
  <si>
    <t>https://analytics.zoho.com/open-view/2395394000008715905?ZOHO_CRITERIA=%22Consolidado_Estadisticas_Regionales_New%22.%22C%C3%B3digo%20regi%C3%B3n%22%20%3D%205</t>
  </si>
  <si>
    <t>Evolución del Número de establecimientos clasificados como supermercados, que cuentan con tres o más cajas instaladas en la Región de O'Higgins</t>
  </si>
  <si>
    <t>En la Región de O'Higgins, en enero de 2014, la cantidad de supermercados con 3 o más cajas instaladas era de 75, mientras que en abril de 2021, era de 81. El promedio de supermercados en este período es de 78.</t>
  </si>
  <si>
    <t>https://analytics.zoho.com/open-view/2395394000008715905?ZOHO_CRITERIA=%22Consolidado_Estadisticas_Regionales_New%22.%22C%C3%B3digo%20regi%C3%B3n%22%20%3D%206</t>
  </si>
  <si>
    <t>Evolución del Número de establecimientos clasificados como supermercados, que cuentan con tres o más cajas instaladas en la Región de Maule</t>
  </si>
  <si>
    <t>En la Región de Maule, en enero de 2014, la cantidad de supermercados con 3 o más cajas instaladas era de 67, mientras que en abril de 2021, era de 73. El promedio de supermercados en este período es de 71.</t>
  </si>
  <si>
    <t>https://analytics.zoho.com/open-view/2395394000008715905?ZOHO_CRITERIA=%22Consolidado_Estadisticas_Regionales_New%22.%22C%C3%B3digo%20regi%C3%B3n%22%20%3D%207</t>
  </si>
  <si>
    <t>Evolución del Número de establecimientos clasificados como supermercados, que cuentan con tres o más cajas instaladas en la Región del Biobío</t>
  </si>
  <si>
    <t>En la Región del Biobío, en enero de 2014, la cantidad de supermercados con 3 o más cajas instaladas era de 129, mientras que en abril de 2021, era de 151. El promedio de supermercados en este período es de 144.</t>
  </si>
  <si>
    <t>https://analytics.zoho.com/open-view/2395394000008715905?ZOHO_CRITERIA=%22Consolidado_Estadisticas_Regionales_New%22.%22C%C3%B3digo%20regi%C3%B3n%22%20%3D%208</t>
  </si>
  <si>
    <t>Evolución del Número de establecimientos clasificados como supermercados, que cuentan con tres o más cajas instaladas en la Región de La Araucanía</t>
  </si>
  <si>
    <t>En la Región de La Araucanía, en enero de 2014, la cantidad de supermercados con 3 o más cajas instaladas era de 86, mientras que en abril de 2021, era de 101. El promedio de supermercados en este período es de 94.</t>
  </si>
  <si>
    <t>https://analytics.zoho.com/open-view/2395394000008715905?ZOHO_CRITERIA=%22Consolidado_Estadisticas_Regionales_New%22.%22C%C3%B3digo%20regi%C3%B3n%22%20%3D%209</t>
  </si>
  <si>
    <t>Evolución del Número de establecimientos clasificados como supermercados, que cuentan con tres o más cajas instaladas en la Región de Los Lagos</t>
  </si>
  <si>
    <t>En la Región de Los Lagos, en enero de 2014, la cantidad de supermercados con 3 o más cajas instaladas era de 66, mientras que en abril de 2021, era de 68. El promedio de supermercados en este período es de 69.</t>
  </si>
  <si>
    <t>https://analytics.zoho.com/open-view/2395394000008715905?ZOHO_CRITERIA=%22Consolidado_Estadisticas_Regionales_New%22.%22C%C3%B3digo%20regi%C3%B3n%22%20%3D%2010</t>
  </si>
  <si>
    <t>Evolución del Número de establecimientos clasificados como supermercados, que cuentan con tres o más cajas instaladas en la Región de Aysén</t>
  </si>
  <si>
    <t>En la Región de Aysén, en enero de 2014, la cantidad de supermercados con 3 o más cajas instaladas era de 6, mientras que en abril de 2021, era de 9. El promedio de supermercados en este período es de 8.</t>
  </si>
  <si>
    <t>https://analytics.zoho.com/open-view/2395394000008715905?ZOHO_CRITERIA=%22Consolidado_Estadisticas_Regionales_New%22.%22C%C3%B3digo%20regi%C3%B3n%22%20%3D%2011</t>
  </si>
  <si>
    <t>Evolución del Número de establecimientos clasificados como supermercados, que cuentan con tres o más cajas instaladas en la Región de Magallanes</t>
  </si>
  <si>
    <t>En la Región de Magallanes, en enero de 2014, la cantidad de supermercados con 3 o más cajas instaladas era de 12, mientras que en abril de 2021, era de 11. El promedio de supermercados en este período es de 11.</t>
  </si>
  <si>
    <t>https://analytics.zoho.com/open-view/2395394000008715905?ZOHO_CRITERIA=%22Consolidado_Estadisticas_Regionales_New%22.%22C%C3%B3digo%20regi%C3%B3n%22%20%3D%2012</t>
  </si>
  <si>
    <t>Evolución del Número de establecimientos clasificados como supermercados, que cuentan con tres o más cajas instaladas en la Región Metropolitana</t>
  </si>
  <si>
    <t>En la Región Metropolitana, en enero de 2014, la cantidad de supermercados con 3 o más cajas instaladas era de 524, mientras que en abril de 2021, era de 464. El promedio de supermercados en este período es de 512.</t>
  </si>
  <si>
    <t>https://analytics.zoho.com/open-view/2395394000008715905?ZOHO_CRITERIA=%22Consolidado_Estadisticas_Regionales_New%22.%22C%C3%B3digo%20regi%C3%B3n%22%20%3D%2013</t>
  </si>
  <si>
    <t>Evolución del Número de establecimientos clasificados como supermercados, que cuentan con tres o más cajas instaladas en la Región de Los Ríos</t>
  </si>
  <si>
    <t>En la Región de Los Ríos, en enero de 2014, la cantidad de supermercados con 3 o más cajas instaladas era de 37, mientras que en abril de 2021, era de 45. El promedio de supermercados en este período es de 42.</t>
  </si>
  <si>
    <t>https://analytics.zoho.com/open-view/2395394000008715905?ZOHO_CRITERIA=%22Consolidado_Estadisticas_Regionales_New%22.%22C%C3%B3digo%20regi%C3%B3n%22%20%3D%2014</t>
  </si>
  <si>
    <t>Evolución del Número de establecimientos clasificados como supermercados, que cuentan con tres o más cajas instaladas en la Región de Arica y Parinacota</t>
  </si>
  <si>
    <t>En la Región de Arica y Parinacota, en enero de 2014, la cantidad de supermercados con 3 o más cajas instaladas era de 6, mientras que en abril de 2021, era de 7. El promedio de supermercados en este período es de 7.</t>
  </si>
  <si>
    <t>https://analytics.zoho.com/open-view/2395394000008715905?ZOHO_CRITERIA=%22Consolidado_Estadisticas_Regionales_New%22.%22C%C3%B3digo%20regi%C3%B3n%22%20%3D%2015</t>
  </si>
  <si>
    <t>Evolución del Número de establecimientos clasificados como supermercados, que cuentan con tres o más cajas instaladas en la Región de Ñuble</t>
  </si>
  <si>
    <t>En la Región de Ñuble, en enero de 2014, la cantidad de supermercados con 3 o más cajas instaladas era de 32, mientras que en abril de 2021, era de 31. El promedio de supermercados en este período es de 32.</t>
  </si>
  <si>
    <t>https://analytics.zoho.com/open-view/2395394000008715905?ZOHO_CRITERIA=%22Consolidado_Estadisticas_Regionales_New%22.%22C%C3%B3digo%20regi%C3%B3n%22%20%3D%2016</t>
  </si>
  <si>
    <t>Índice de Elaboración de Productos Alimenticios</t>
  </si>
  <si>
    <t>Evolución del Índice de Producción de la división Elaboración de productos alimenticios a Escala Nacional</t>
  </si>
  <si>
    <t>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t>
  </si>
  <si>
    <t>https://analytics.zoho.com/open-view/2395394000008742076</t>
  </si>
  <si>
    <t>Evolución del Índice de Producción de la división Elaboración de productos alimenticios en la Región de Valparaíso</t>
  </si>
  <si>
    <t>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t>
  </si>
  <si>
    <t>https://analytics.zoho.com/open-view/2395394000008742160?ZOHO_CRITERIA=%22Consolidado_Estadisticas_Regionales_New%22.%22C%C3%B3digo%20regi%C3%B3n%22%20%3D%205</t>
  </si>
  <si>
    <t>Evolución del Índice de Producción de la división Elaboración de productos alimenticios en la Región de O'Higgins</t>
  </si>
  <si>
    <t>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t>
  </si>
  <si>
    <t>https://analytics.zoho.com/open-view/2395394000008742160?ZOHO_CRITERIA=%22Consolidado_Estadisticas_Regionales_New%22.%22C%C3%B3digo%20regi%C3%B3n%22%20%3D%206</t>
  </si>
  <si>
    <t>Evolución del Índice de Producción de la división Elaboración de productos alimenticios en la Región del Biobío</t>
  </si>
  <si>
    <t>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t>
  </si>
  <si>
    <t>https://analytics.zoho.com/open-view/2395394000008742160?ZOHO_CRITERIA=%22Consolidado_Estadisticas_Regionales_New%22.%22C%C3%B3digo%20regi%C3%B3n%22%20%3D%208</t>
  </si>
  <si>
    <t>Evolución del Índice de Producción de la división Elaboración de productos alimenticios en la Región de Los Ríos</t>
  </si>
  <si>
    <t>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t>
  </si>
  <si>
    <t>https://analytics.zoho.com/open-view/2395394000008742160?ZOHO_CRITERIA=%22Consolidado_Estadisticas_Regionales_New%22.%22C%C3%B3digo%20regi%C3%B3n%22%20%3D%2014</t>
  </si>
  <si>
    <t>Índice de Fabricación de Productos Farmacéuticos</t>
  </si>
  <si>
    <t>Evolución del Índice de Producción de la división Fabricación de productos farmacéuticos, sustancias químicas medicinales y productos botánicos de uso farmacéutico a Escala Nacional</t>
  </si>
  <si>
    <t>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t>
  </si>
  <si>
    <t>https://analytics.zoho.com/open-view/2395394000008741947</t>
  </si>
  <si>
    <t>Evolución del Índice de Producción de la división Fabricación de sustancias y productos químicos a Escala Nacional</t>
  </si>
  <si>
    <t>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t>
  </si>
  <si>
    <t>https://analytics.zoho.com/open-view/2395394000008741698</t>
  </si>
  <si>
    <t>Evolución del Índice de Producción de la división Fabricación de sustancias y productos químicos en la Región de Valparaíso</t>
  </si>
  <si>
    <t>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t>
  </si>
  <si>
    <t>https://analytics.zoho.com/open-view/2395394000008741824?ZOHO_CRITERIA=%22Consolidado_Estadisticas_Regionales_New%22.%22C%C3%B3digo%20regi%C3%B3n%22%20%3D%205</t>
  </si>
  <si>
    <t>Evolución del Índice de Producción de la división Fabricación de sustancias y productos químicos en la Región de O'Higgins</t>
  </si>
  <si>
    <t>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t>
  </si>
  <si>
    <t>https://analytics.zoho.com/open-view/2395394000008741824?ZOHO_CRITERIA=%22Consolidado_Estadisticas_Regionales_New%22.%22C%C3%B3digo%20regi%C3%B3n%22%20%3D%206</t>
  </si>
  <si>
    <t>Evolución del Índice de Producción de la división Fabricación de sustancias y productos químicos en la Región del Biobío</t>
  </si>
  <si>
    <t>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t>
  </si>
  <si>
    <t>https://analytics.zoho.com/open-view/2395394000008741824?ZOHO_CRITERIA=%22Consolidado_Estadisticas_Regionales_New%22.%22C%C3%B3digo%20regi%C3%B3n%22%20%3D%208</t>
  </si>
  <si>
    <t>Pórticos y Peajes</t>
  </si>
  <si>
    <t>Pasada de vehículos por plazas de peajes y pórticos de autopistas interurbanas</t>
  </si>
  <si>
    <t>Ministerio de Transportes y Telecomunicaciones</t>
  </si>
  <si>
    <t>Evolución de la Pasada de vehículos por plazas de peajes y pórticos de autopistas interurbanas a Escala Nacional</t>
  </si>
  <si>
    <t>https://analytics.zoho.com/open-view/2395394000008741354</t>
  </si>
  <si>
    <t>Evolución de la Pasada de vehículos por plazas de peajes y pórticos de autopistas interurbanas en la Región de Valparaíso</t>
  </si>
  <si>
    <t>En la Región de Valparaíso, en el año 2021 (enero a mayo), han pasado un promedio de 4.239.399 vehículos por plazas de peaje y pórticos de autopistas interurbanas, con un peak de 5.326.564 vehículos en febrero y un mínimo de 2.993.343 vehículos en abril.</t>
  </si>
  <si>
    <t>https://analytics.zoho.com/open-view/2395394000008741527?ZOHO_CRITERIA=%22Consolidado_Estadisticas_Regionales_New%22.%22C%C3%B3digo%20regi%C3%B3n%22%20%3D%205</t>
  </si>
  <si>
    <t>Evolución de la Pasada de vehículos por plazas de peajes y pórticos de autopistas interurbanas en la Región del Biobío</t>
  </si>
  <si>
    <t>En la Región del Biobío, en el año 2021 (enero a mayo), han pasado un promedio de 3.006.188 vehículos por plazas de peaje y pórticos de autopistas interurbanas, con un peak de 3.314.211 vehículos en febrero y un mínimo de 2.543.750 vehículos en abril.</t>
  </si>
  <si>
    <t>https://analytics.zoho.com/open-view/2395394000008741527?ZOHO_CRITERIA=%22Consolidado_Estadisticas_Regionales_New%22.%22C%C3%B3digo%20regi%C3%B3n%22%20%3D%208</t>
  </si>
  <si>
    <t>Evolución de la Pasada de vehículos por plazas de peajes y pórticos de autopistas interurbanas en la Región Metropolitana</t>
  </si>
  <si>
    <t>En la Región Metropolitana, en el año 2021 (enero a mayo), han pasado un promedio de 19.134.628 vehículos por plazas de peaje y pórticos de autopistas interurbanas, con un peak de 20.868.753 vehículos en febrero y un mínimo de 15.334.137 vehículos en abril.</t>
  </si>
  <si>
    <t>https://analytics.zoho.com/open-view/2395394000008741527?ZOHO_CRITERIA=%22Consolidado_Estadisticas_Regionales_New%22.%22C%C3%B3digo%20regi%C3%B3n%22%20%3D%2013</t>
  </si>
  <si>
    <t>Evolución de la Pasada de vehículos por plazas de peajes y pórticos de autopistas interurbanas en la Región de Ñuble</t>
  </si>
  <si>
    <t>En la Región de Ñuble, en el año 2021 (enero a mayo), han pasado un promedio de 1.293.243 vehículos por plazas de peaje y pórticos de autopistas interurbanas, con un peak de 1.425.952 vehículos en enero y un mínimo de 1.035.283 vehículos en abril.</t>
  </si>
  <si>
    <t>https://analytics.zoho.com/open-view/2395394000008741527?ZOHO_CRITERIA=%22Consolidado_Estadisticas_Regionales_New%22.%22C%C3%B3digo%20regi%C3%B3n%22%20%3D%2016</t>
  </si>
  <si>
    <t>Parque vehicular de taxis</t>
  </si>
  <si>
    <t>Evolución del Parque Vehicular de Taxis a Escala Nacional</t>
  </si>
  <si>
    <t>https://analytics.zoho.com/open-view/2395394000008741045</t>
  </si>
  <si>
    <t>Evolución del Parque Vehicular de Taxis en la Región de Tarapacá</t>
  </si>
  <si>
    <t>https://analytics.zoho.com/open-view/2395394000008741200?ZOHO_CRITERIA=%22Consolidado_Estadisticas_Regionales_New%22.%22C%C3%B3digo%20regi%C3%B3n%22%20%3D%201</t>
  </si>
  <si>
    <t>Evolución del Parque Vehicular de Taxis en la Región de Antofagasta</t>
  </si>
  <si>
    <t>https://analytics.zoho.com/open-view/2395394000008741200?ZOHO_CRITERIA=%22Consolidado_Estadisticas_Regionales_New%22.%22C%C3%B3digo%20regi%C3%B3n%22%20%3D%202</t>
  </si>
  <si>
    <t>Evolución del Parque Vehicular de Taxis en la Región de Atacama</t>
  </si>
  <si>
    <t>https://analytics.zoho.com/open-view/2395394000008741200?ZOHO_CRITERIA=%22Consolidado_Estadisticas_Regionales_New%22.%22C%C3%B3digo%20regi%C3%B3n%22%20%3D%203</t>
  </si>
  <si>
    <t>Evolución del Parque Vehicular de Taxis en la Región de Coquimbo</t>
  </si>
  <si>
    <t>https://analytics.zoho.com/open-view/2395394000008741200?ZOHO_CRITERIA=%22Consolidado_Estadisticas_Regionales_New%22.%22C%C3%B3digo%20regi%C3%B3n%22%20%3D%204</t>
  </si>
  <si>
    <t>Evolución del Parque Vehicular de Taxis en la Región de Valparaíso</t>
  </si>
  <si>
    <t>https://analytics.zoho.com/open-view/2395394000008741200?ZOHO_CRITERIA=%22Consolidado_Estadisticas_Regionales_New%22.%22C%C3%B3digo%20regi%C3%B3n%22%20%3D%205</t>
  </si>
  <si>
    <t>Evolución del Parque Vehicular de Taxis en la Región de O'Higgins</t>
  </si>
  <si>
    <t>https://analytics.zoho.com/open-view/2395394000008741200?ZOHO_CRITERIA=%22Consolidado_Estadisticas_Regionales_New%22.%22C%C3%B3digo%20regi%C3%B3n%22%20%3D%206</t>
  </si>
  <si>
    <t>Evolución del Parque Vehicular de Taxis en la Región de Maule</t>
  </si>
  <si>
    <t>https://analytics.zoho.com/open-view/2395394000008741200?ZOHO_CRITERIA=%22Consolidado_Estadisticas_Regionales_New%22.%22C%C3%B3digo%20regi%C3%B3n%22%20%3D%207</t>
  </si>
  <si>
    <t>Evolución del Parque Vehicular de Taxis en la Región del Biobío</t>
  </si>
  <si>
    <t>https://analytics.zoho.com/open-view/2395394000008741200?ZOHO_CRITERIA=%22Consolidado_Estadisticas_Regionales_New%22.%22C%C3%B3digo%20regi%C3%B3n%22%20%3D%208</t>
  </si>
  <si>
    <t>Evolución del Parque Vehicular de Taxis en la Región de La Araucanía</t>
  </si>
  <si>
    <t>https://analytics.zoho.com/open-view/2395394000008741200?ZOHO_CRITERIA=%22Consolidado_Estadisticas_Regionales_New%22.%22C%C3%B3digo%20regi%C3%B3n%22%20%3D%209</t>
  </si>
  <si>
    <t>Evolución del Parque Vehicular de Taxis en la Región de Los Lagos</t>
  </si>
  <si>
    <t>https://analytics.zoho.com/open-view/2395394000008741200?ZOHO_CRITERIA=%22Consolidado_Estadisticas_Regionales_New%22.%22C%C3%B3digo%20regi%C3%B3n%22%20%3D%2010</t>
  </si>
  <si>
    <t>Evolución del Parque Vehicular de Taxis en la Región de Aysén</t>
  </si>
  <si>
    <t>https://analytics.zoho.com/open-view/2395394000008741200?ZOHO_CRITERIA=%22Consolidado_Estadisticas_Regionales_New%22.%22C%C3%B3digo%20regi%C3%B3n%22%20%3D%2011</t>
  </si>
  <si>
    <t>Evolución del Parque Vehicular de Taxis en la Región de Magallanes</t>
  </si>
  <si>
    <t>https://analytics.zoho.com/open-view/2395394000008741200?ZOHO_CRITERIA=%22Consolidado_Estadisticas_Regionales_New%22.%22C%C3%B3digo%20regi%C3%B3n%22%20%3D%2012</t>
  </si>
  <si>
    <t>Evolución del Parque Vehicular de Taxis en la Región Metropolitana</t>
  </si>
  <si>
    <t>https://analytics.zoho.com/open-view/2395394000008741200?ZOHO_CRITERIA=%22Consolidado_Estadisticas_Regionales_New%22.%22C%C3%B3digo%20regi%C3%B3n%22%20%3D%2013</t>
  </si>
  <si>
    <t>Evolución del Parque Vehicular de Taxis en la Región de Los Ríos</t>
  </si>
  <si>
    <t>https://analytics.zoho.com/open-view/2395394000008741200?ZOHO_CRITERIA=%22Consolidado_Estadisticas_Regionales_New%22.%22C%C3%B3digo%20regi%C3%B3n%22%20%3D%2014</t>
  </si>
  <si>
    <t>Evolución del Parque Vehicular de Taxis en la Región de Arica y Parinacota</t>
  </si>
  <si>
    <t>https://analytics.zoho.com/open-view/2395394000008741200?ZOHO_CRITERIA=%22Consolidado_Estadisticas_Regionales_New%22.%22C%C3%B3digo%20regi%C3%B3n%22%20%3D%2015</t>
  </si>
  <si>
    <t>Evolución del Parque Vehicular de Taxis en la Región de Ñuble</t>
  </si>
  <si>
    <t>https://analytics.zoho.com/open-view/2395394000008741200?ZOHO_CRITERIA=%22Consolidado_Estadisticas_Regionales_New%22.%22C%C3%B3digo%20regi%C3%B3n%22%20%3D%2016</t>
  </si>
  <si>
    <t>Carga Portuaria</t>
  </si>
  <si>
    <t>Movimiento de Carga Portuaria</t>
  </si>
  <si>
    <t>Evolución del Movimiento de Carga Portuaria Embarcada al Exterior a Escala Nacional</t>
  </si>
  <si>
    <t>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t>
  </si>
  <si>
    <t>https://analytics.zoho.com/open-view/2395394000008744153</t>
  </si>
  <si>
    <t>Evolución del Movimiento de Carga Portuaria Embarcada al Exterior en la Región de Tarapacá</t>
  </si>
  <si>
    <t>https://analytics.zoho.com/open-view/2395394000008744325?ZOHO_CRITERIA=%22Consolidado_Estadisticas_Regionales_New%22.%22C%C3%B3digo%20regi%C3%B3n%22%20%3D%201</t>
  </si>
  <si>
    <t>Evolución del Movimiento de Carga Portuaria Embarcada al Exterior en la Región de Valparaíso</t>
  </si>
  <si>
    <t>https://analytics.zoho.com/open-view/2395394000008744325?ZOHO_CRITERIA=%22Consolidado_Estadisticas_Regionales_New%22.%22C%C3%B3digo%20regi%C3%B3n%22%20%3D%205</t>
  </si>
  <si>
    <t>Evolución del Movimiento de Carga Portuaria Embarcada al Exterior en la Región del Biobío</t>
  </si>
  <si>
    <t>https://analytics.zoho.com/open-view/2395394000008744325?ZOHO_CRITERIA=%22Consolidado_Estadisticas_Regionales_New%22.%22C%C3%B3digo%20regi%C3%B3n%22%20%3D%208</t>
  </si>
  <si>
    <t>Superficie Autorizada Habitacional (Obras Nuevas)</t>
  </si>
  <si>
    <t>Superficie Autorizada Habitacional de Obras Nuevas</t>
  </si>
  <si>
    <t>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t>
  </si>
  <si>
    <t>https://analytics.zoho.com/open-view/2395394000008744684</t>
  </si>
  <si>
    <t>https://analytics.zoho.com/open-view/2395394000008744885?ZOHO_CRITERIA=%22Consolidado_Estadisticas_Regionales_New%22.%22C%C3%B3digo%20regi%C3%B3n%22%20%3D%201</t>
  </si>
  <si>
    <t>https://analytics.zoho.com/open-view/2395394000008744885?ZOHO_CRITERIA=%22Consolidado_Estadisticas_Regionales_New%22.%22C%C3%B3digo%20regi%C3%B3n%22%20%3D%202</t>
  </si>
  <si>
    <t>https://analytics.zoho.com/open-view/2395394000008744885?ZOHO_CRITERIA=%22Consolidado_Estadisticas_Regionales_New%22.%22C%C3%B3digo%20regi%C3%B3n%22%20%3D%203</t>
  </si>
  <si>
    <t>https://analytics.zoho.com/open-view/2395394000008744885?ZOHO_CRITERIA=%22Consolidado_Estadisticas_Regionales_New%22.%22C%C3%B3digo%20regi%C3%B3n%22%20%3D%204</t>
  </si>
  <si>
    <t>https://analytics.zoho.com/open-view/2395394000008744885?ZOHO_CRITERIA=%22Consolidado_Estadisticas_Regionales_New%22.%22C%C3%B3digo%20regi%C3%B3n%22%20%3D%205</t>
  </si>
  <si>
    <t>https://analytics.zoho.com/open-view/2395394000008744885?ZOHO_CRITERIA=%22Consolidado_Estadisticas_Regionales_New%22.%22C%C3%B3digo%20regi%C3%B3n%22%20%3D%206</t>
  </si>
  <si>
    <t>https://analytics.zoho.com/open-view/2395394000008744885?ZOHO_CRITERIA=%22Consolidado_Estadisticas_Regionales_New%22.%22C%C3%B3digo%20regi%C3%B3n%22%20%3D%207</t>
  </si>
  <si>
    <t>https://analytics.zoho.com/open-view/2395394000008744885?ZOHO_CRITERIA=%22Consolidado_Estadisticas_Regionales_New%22.%22C%C3%B3digo%20regi%C3%B3n%22%20%3D%208</t>
  </si>
  <si>
    <t>https://analytics.zoho.com/open-view/2395394000008744885?ZOHO_CRITERIA=%22Consolidado_Estadisticas_Regionales_New%22.%22C%C3%B3digo%20regi%C3%B3n%22%20%3D%209</t>
  </si>
  <si>
    <t>https://analytics.zoho.com/open-view/2395394000008744885?ZOHO_CRITERIA=%22Consolidado_Estadisticas_Regionales_New%22.%22C%C3%B3digo%20regi%C3%B3n%22%20%3D%2010</t>
  </si>
  <si>
    <t>https://analytics.zoho.com/open-view/2395394000008744885?ZOHO_CRITERIA=%22Consolidado_Estadisticas_Regionales_New%22.%22C%C3%B3digo%20regi%C3%B3n%22%20%3D%2011</t>
  </si>
  <si>
    <t>https://analytics.zoho.com/open-view/2395394000008744885?ZOHO_CRITERIA=%22Consolidado_Estadisticas_Regionales_New%22.%22C%C3%B3digo%20regi%C3%B3n%22%20%3D%2012</t>
  </si>
  <si>
    <t>https://analytics.zoho.com/open-view/2395394000008744885?ZOHO_CRITERIA=%22Consolidado_Estadisticas_Regionales_New%22.%22C%C3%B3digo%20regi%C3%B3n%22%20%3D%2013</t>
  </si>
  <si>
    <t>https://analytics.zoho.com/open-view/2395394000008744885?ZOHO_CRITERIA=%22Consolidado_Estadisticas_Regionales_New%22.%22C%C3%B3digo%20regi%C3%B3n%22%20%3D%2014</t>
  </si>
  <si>
    <t>https://analytics.zoho.com/open-view/2395394000008744885?ZOHO_CRITERIA=%22Consolidado_Estadisticas_Regionales_New%22.%22C%C3%B3digo%20regi%C3%B3n%22%20%3D%2015</t>
  </si>
  <si>
    <t>https://analytics.zoho.com/open-view/2395394000008744885?ZOHO_CRITERIA=%22Consolidado_Estadisticas_Regionales_New%22.%22C%C3%B3digo%20regi%C3%B3n%22%20%3D%2016</t>
  </si>
  <si>
    <t>Viviendas Autorizadas</t>
  </si>
  <si>
    <t>Número de viviendas autorizadas</t>
  </si>
  <si>
    <t>Evolución Mensual del Número de Viviendas Autorizadas para Construcción a Escala Nacional</t>
  </si>
  <si>
    <t>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t>
  </si>
  <si>
    <t>https://analytics.zoho.com/open-view/2395394000008745083</t>
  </si>
  <si>
    <t>https://analytics.zoho.com/open-view/2395394000008745260?ZOHO_CRITERIA=%22Consolidado_Estadisticas_Regionales_New%22.%22C%C3%B3digo%20regi%C3%B3n%22%20%3D%201</t>
  </si>
  <si>
    <t>https://analytics.zoho.com/open-view/2395394000008745260?ZOHO_CRITERIA=%22Consolidado_Estadisticas_Regionales_New%22.%22C%C3%B3digo%20regi%C3%B3n%22%20%3D%202</t>
  </si>
  <si>
    <t>https://analytics.zoho.com/open-view/2395394000008745260?ZOHO_CRITERIA=%22Consolidado_Estadisticas_Regionales_New%22.%22C%C3%B3digo%20regi%C3%B3n%22%20%3D%203</t>
  </si>
  <si>
    <t>https://analytics.zoho.com/open-view/2395394000008745260?ZOHO_CRITERIA=%22Consolidado_Estadisticas_Regionales_New%22.%22C%C3%B3digo%20regi%C3%B3n%22%20%3D%204</t>
  </si>
  <si>
    <t>https://analytics.zoho.com/open-view/2395394000008745260?ZOHO_CRITERIA=%22Consolidado_Estadisticas_Regionales_New%22.%22C%C3%B3digo%20regi%C3%B3n%22%20%3D%206</t>
  </si>
  <si>
    <t>https://analytics.zoho.com/open-view/2395394000008745260?ZOHO_CRITERIA=%22Consolidado_Estadisticas_Regionales_New%22.%22C%C3%B3digo%20regi%C3%B3n%22%20%3D%207</t>
  </si>
  <si>
    <t>https://analytics.zoho.com/open-view/2395394000008745260?ZOHO_CRITERIA=%22Consolidado_Estadisticas_Regionales_New%22.%22C%C3%B3digo%20regi%C3%B3n%22%20%3D%208</t>
  </si>
  <si>
    <t>https://analytics.zoho.com/open-view/2395394000008745260?ZOHO_CRITERIA=%22Consolidado_Estadisticas_Regionales_New%22.%22C%C3%B3digo%20regi%C3%B3n%22%20%3D%209</t>
  </si>
  <si>
    <t>https://analytics.zoho.com/open-view/2395394000008745260?ZOHO_CRITERIA=%22Consolidado_Estadisticas_Regionales_New%22.%22C%C3%B3digo%20regi%C3%B3n%22%20%3D%2010</t>
  </si>
  <si>
    <t>https://analytics.zoho.com/open-view/2395394000008745260?ZOHO_CRITERIA=%22Consolidado_Estadisticas_Regionales_New%22.%22C%C3%B3digo%20regi%C3%B3n%22%20%3D%2011</t>
  </si>
  <si>
    <t>https://analytics.zoho.com/open-view/2395394000008745260?ZOHO_CRITERIA=%22Consolidado_Estadisticas_Regionales_New%22.%22C%C3%B3digo%20regi%C3%B3n%22%20%3D%2012</t>
  </si>
  <si>
    <t>https://analytics.zoho.com/open-view/2395394000008745260?ZOHO_CRITERIA=%22Consolidado_Estadisticas_Regionales_New%22.%22C%C3%B3digo%20regi%C3%B3n%22%20%3D%2013</t>
  </si>
  <si>
    <t>https://analytics.zoho.com/open-view/2395394000008745260?ZOHO_CRITERIA=%22Consolidado_Estadisticas_Regionales_New%22.%22C%C3%B3digo%20regi%C3%B3n%22%20%3D%2014</t>
  </si>
  <si>
    <t>https://analytics.zoho.com/open-view/2395394000008745260?ZOHO_CRITERIA=%22Consolidado_Estadisticas_Regionales_New%22.%22C%C3%B3digo%20regi%C3%B3n%22%20%3D%2015</t>
  </si>
  <si>
    <t>https://analytics.zoho.com/open-view/2395394000008745260?ZOHO_CRITERIA=%22Consolidado_Estadisticas_Regionales_New%22.%22C%C3%B3digo%20regi%C3%B3n%22%20%3D%2016</t>
  </si>
  <si>
    <t>Superficie Autorizada No Habitacional (Ampliaciones ICEF)</t>
  </si>
  <si>
    <t>Evolución de la Superficie de las solicitudes de edificación No Habitacional autorizada para construcción de Ampliaciones de la industria, comercio y establecimientos financieros (ICEF) a Escala Nacional</t>
  </si>
  <si>
    <t>https://analytics.zoho.com/open-view/2395394000008745431</t>
  </si>
  <si>
    <t>https://analytics.zoho.com/open-view/2395394000008745666?ZOHO_CRITERIA=%22Consolidado_Estadisticas_Regionales_New%22.%22C%C3%B3digo%20regi%C3%B3n%22%20%3D%201</t>
  </si>
  <si>
    <t>https://analytics.zoho.com/open-view/2395394000008745666?ZOHO_CRITERIA=%22Consolidado_Estadisticas_Regionales_New%22.%22C%C3%B3digo%20regi%C3%B3n%22%20%3D%202</t>
  </si>
  <si>
    <t>https://analytics.zoho.com/open-view/2395394000008745666?ZOHO_CRITERIA=%22Consolidado_Estadisticas_Regionales_New%22.%22C%C3%B3digo%20regi%C3%B3n%22%20%3D%203</t>
  </si>
  <si>
    <t>https://analytics.zoho.com/open-view/2395394000008745666?ZOHO_CRITERIA=%22Consolidado_Estadisticas_Regionales_New%22.%22C%C3%B3digo%20regi%C3%B3n%22%20%3D%204</t>
  </si>
  <si>
    <t>https://analytics.zoho.com/open-view/2395394000008745666?ZOHO_CRITERIA=%22Consolidado_Estadisticas_Regionales_New%22.%22C%C3%B3digo%20regi%C3%B3n%22%20%3D%205</t>
  </si>
  <si>
    <t>https://analytics.zoho.com/open-view/2395394000008745666?ZOHO_CRITERIA=%22Consolidado_Estadisticas_Regionales_New%22.%22C%C3%B3digo%20regi%C3%B3n%22%20%3D%206</t>
  </si>
  <si>
    <t>https://analytics.zoho.com/open-view/2395394000008745666?ZOHO_CRITERIA=%22Consolidado_Estadisticas_Regionales_New%22.%22C%C3%B3digo%20regi%C3%B3n%22%20%3D%207</t>
  </si>
  <si>
    <t>https://analytics.zoho.com/open-view/2395394000008745666?ZOHO_CRITERIA=%22Consolidado_Estadisticas_Regionales_New%22.%22C%C3%B3digo%20regi%C3%B3n%22%20%3D%208</t>
  </si>
  <si>
    <t>https://analytics.zoho.com/open-view/2395394000008745666?ZOHO_CRITERIA=%22Consolidado_Estadisticas_Regionales_New%22.%22C%C3%B3digo%20regi%C3%B3n%22%20%3D%209</t>
  </si>
  <si>
    <t>https://analytics.zoho.com/open-view/2395394000008745666?ZOHO_CRITERIA=%22Consolidado_Estadisticas_Regionales_New%22.%22C%C3%B3digo%20regi%C3%B3n%22%20%3D%2010</t>
  </si>
  <si>
    <t>https://analytics.zoho.com/open-view/2395394000008745666?ZOHO_CRITERIA=%22Consolidado_Estadisticas_Regionales_New%22.%22C%C3%B3digo%20regi%C3%B3n%22%20%3D%2011</t>
  </si>
  <si>
    <t>https://analytics.zoho.com/open-view/2395394000008745666?ZOHO_CRITERIA=%22Consolidado_Estadisticas_Regionales_New%22.%22C%C3%B3digo%20regi%C3%B3n%22%20%3D%2012</t>
  </si>
  <si>
    <t>https://analytics.zoho.com/open-view/2395394000008745666?ZOHO_CRITERIA=%22Consolidado_Estadisticas_Regionales_New%22.%22C%C3%B3digo%20regi%C3%B3n%22%20%3D%2013</t>
  </si>
  <si>
    <t>https://analytics.zoho.com/open-view/2395394000008745666?ZOHO_CRITERIA=%22Consolidado_Estadisticas_Regionales_New%22.%22C%C3%B3digo%20regi%C3%B3n%22%20%3D%2014</t>
  </si>
  <si>
    <t>https://analytics.zoho.com/open-view/2395394000008745666?ZOHO_CRITERIA=%22Consolidado_Estadisticas_Regionales_New%22.%22C%C3%B3digo%20regi%C3%B3n%22%20%3D%2015</t>
  </si>
  <si>
    <t>https://analytics.zoho.com/open-view/2395394000008745666?ZOHO_CRITERIA=%22Consolidado_Estadisticas_Regionales_New%22.%22C%C3%B3digo%20regi%C3%B3n%22%20%3D%2016</t>
  </si>
  <si>
    <t>Variación de Frecuencia de Casos Policiales entre 2019 y 2020 de Robo con Violencia o Intimidación</t>
  </si>
  <si>
    <t>Las comunas en las que los casos policiales de robo con violencia o intimidación aumentaron en más de un 100% entre los años 2019 y 2020 fueron 7: Lonquimay (300%), Pelarco (250%), San Rafael (200%), Estrella (150%), Coinco (140%), Longaví (136%) y Ránquil (133%).</t>
  </si>
  <si>
    <t>https://analytics.zoho.com/open-view/2395394000008449873</t>
  </si>
  <si>
    <t>Variación de Frecuencia de Casos Policiales entre 2019 y 2020 de Robo con Violencia o Intimidación en la Región de Tarapacá</t>
  </si>
  <si>
    <t>Variación de Frecuencia de Casos Policiales entre 2019 y 2020 de Robo con Violencia o Intimidación en la Región de Antofagasta</t>
  </si>
  <si>
    <t>Variación de Frecuencia de Casos Policiales entre 2019 y 2020 de Robo con Violencia o Intimidación en la Región de Atacama</t>
  </si>
  <si>
    <t>Variación de Frecuencia de Casos Policiales entre 2019 y 2020 de Robo con Violencia o Intimidación en la Región de Coquimbo</t>
  </si>
  <si>
    <t>Variación de Frecuencia de Casos Policiales entre 2019 y 2020 de Robo con Violencia o Intimidación en la Región de Valparaíso</t>
  </si>
  <si>
    <t>Variación de Frecuencia de Casos Policiales entre 2019 y 2020 de Robo con Violencia o Intimidación en la Región de O'Higgins</t>
  </si>
  <si>
    <t>Variación de Frecuencia de Casos Policiales entre 2019 y 2020 de Robo con Violencia o Intimidación en la Región de Maule</t>
  </si>
  <si>
    <t>Variación de Frecuencia de Casos Policiales entre 2019 y 2020 de Robo con Violencia o Intimidación en la Región del Biobío</t>
  </si>
  <si>
    <t>Variación de Frecuencia de Casos Policiales entre 2019 y 2020 de Robo con Violencia o Intimidación en la Región de La Araucanía</t>
  </si>
  <si>
    <t>Variación de Frecuencia de Casos Policiales entre 2019 y 2020 de Robo con Violencia o Intimidación en la Región de Los Lagos</t>
  </si>
  <si>
    <t>Variación de Frecuencia de Casos Policiales entre 2019 y 2020 de Robo con Violencia o Intimidación en la Región de Aysén</t>
  </si>
  <si>
    <t>Variación de Frecuencia de Casos Policiales entre 2019 y 2020 de Robo con Violencia o Intimidación en la Región de Magallanes</t>
  </si>
  <si>
    <t>Variación de Frecuencia de Casos Policiales entre 2019 y 2020 de Robo con Violencia o Intimidación en la Región Metropolitana</t>
  </si>
  <si>
    <t>Variación de Frecuencia de Casos Policiales entre 2019 y 2020 de Robo con Violencia o Intimidación en la Región de Los Ríos</t>
  </si>
  <si>
    <t>Variación de Frecuencia de Casos Policiales entre 2019 y 2020 de Robo con Violencia o Intimidación en la Región de Arica y Parinacota</t>
  </si>
  <si>
    <t>Variación de Frecuencia de Casos Policiales entre 2019 y 2020 de Robo con Violencia o Intimidación en la Región de Ñuble</t>
  </si>
  <si>
    <t>Variación de Frecuencia de Casos Policiales entre 2019 y 2020 de Homicidios</t>
  </si>
  <si>
    <t>Variación de Frecuencia de Casos Policiales entre 2019 y 2020 de Homicidios en la Región de Tarapacá</t>
  </si>
  <si>
    <t>Variación de Frecuencia de Casos Policiales entre 2019 y 2020 de Homicidios en la Región de Antofagasta</t>
  </si>
  <si>
    <t>Variación de Frecuencia de Casos Policiales entre 2019 y 2020 de Homicidios en la Región de Atacama</t>
  </si>
  <si>
    <t>Variación de Frecuencia de Casos Policiales entre 2019 y 2020 de Homicidios en la Región de Coquimbo</t>
  </si>
  <si>
    <t>Variación de Frecuencia de Casos Policiales entre 2019 y 2020 de Homicidios en la Región de Valparaíso</t>
  </si>
  <si>
    <t>Variación de Frecuencia de Casos Policiales entre 2019 y 2020 de Homicidios en la Región de O'Higgins</t>
  </si>
  <si>
    <t>Variación de Frecuencia de Casos Policiales entre 2019 y 2020 de Homicidios en la Región de Maule</t>
  </si>
  <si>
    <t>Variación de Frecuencia de Casos Policiales entre 2019 y 2020 de Homicidios en la Región del Biobío</t>
  </si>
  <si>
    <t>Variación de Frecuencia de Casos Policiales entre 2019 y 2020 de Homicidios en la Región de La Araucanía</t>
  </si>
  <si>
    <t>Variación de Frecuencia de Casos Policiales entre 2019 y 2020 de Homicidios en la Región de Los Lagos</t>
  </si>
  <si>
    <t>Variación de Frecuencia de Casos Policiales entre 2019 y 2020 de Homicidios en la Región de Aysén</t>
  </si>
  <si>
    <t>Variación de Frecuencia de Casos Policiales entre 2019 y 2020 de Homicidios en la Región de Magallanes</t>
  </si>
  <si>
    <t>Variación de Frecuencia de Casos Policiales entre 2019 y 2020 de Homicidios en la Región Metropolitana</t>
  </si>
  <si>
    <t>Variación de Frecuencia de Casos Policiales entre 2019 y 2020 de Homicidios en la Región de Los Ríos</t>
  </si>
  <si>
    <t>Variación de Frecuencia de Casos Policiales entre 2019 y 2020 de Homicidios en la Región de Arica y Parinacota</t>
  </si>
  <si>
    <t>Variación de Frecuencia de Casos Policiales entre 2019 y 2020 de Homicidios en la Región de Ñuble</t>
  </si>
  <si>
    <t>Relación entre Detenciones y Denuncias (%) para Delitos de Homicidio y Violación</t>
  </si>
  <si>
    <t>https://analytics.zoho.com/open-view/2395394000008443177</t>
  </si>
  <si>
    <t>Relación entre Detenciones y Denuncias (%) para Delitos de Homicidio y Violación en la Región de Tarapacá</t>
  </si>
  <si>
    <t>https://analytics.zoho.com/open-view/2395394000008467312?ZOHO_CRITERIA=%22Localiza%20Chile%22.%22Codreg%22%3D1</t>
  </si>
  <si>
    <t>Relación entre Detenciones y Denuncias (%) para Delitos de Homicidio y Violación en la Región de Antofagasta</t>
  </si>
  <si>
    <t>https://analytics.zoho.com/open-view/2395394000008467312?ZOHO_CRITERIA=%22Localiza%20Chile%22.%22Codreg%22%3D2</t>
  </si>
  <si>
    <t>Relación entre Detenciones y Denuncias (%) para Delitos de Homicidio y Violación en la Región de Atacama</t>
  </si>
  <si>
    <t>https://analytics.zoho.com/open-view/2395394000008467312?ZOHO_CRITERIA=%22Localiza%20Chile%22.%22Codreg%22%3D3</t>
  </si>
  <si>
    <t>Relación entre Detenciones y Denuncias (%) para Delitos de Homicidio y Violación en la Región de Coquimbo</t>
  </si>
  <si>
    <t>https://analytics.zoho.com/open-view/2395394000008467312?ZOHO_CRITERIA=%22Localiza%20Chile%22.%22Codreg%22%3D4</t>
  </si>
  <si>
    <t>Relación entre Detenciones y Denuncias (%) para Delitos de Homicidio y Violación en la Región de Valparaíso</t>
  </si>
  <si>
    <t>https://analytics.zoho.com/open-view/2395394000008467312?ZOHO_CRITERIA=%22Localiza%20Chile%22.%22Codreg%22%3D5</t>
  </si>
  <si>
    <t>Relación entre Detenciones y Denuncias (%) para Delitos de Homicidio y Violación en la Región de O'Higgins</t>
  </si>
  <si>
    <t>https://analytics.zoho.com/open-view/2395394000008467312?ZOHO_CRITERIA=%22Localiza%20Chile%22.%22Codreg%22%3D6</t>
  </si>
  <si>
    <t>Relación entre Detenciones y Denuncias (%) para Delitos de Homicidio y Violación en la Región de Maule</t>
  </si>
  <si>
    <t>https://analytics.zoho.com/open-view/2395394000008467312?ZOHO_CRITERIA=%22Localiza%20Chile%22.%22Codreg%22%3D7</t>
  </si>
  <si>
    <t>Relación entre Detenciones y Denuncias (%) para Delitos de Homicidio y Violación en la Región del Biobío</t>
  </si>
  <si>
    <t>https://analytics.zoho.com/open-view/2395394000008467312?ZOHO_CRITERIA=%22Localiza%20Chile%22.%22Codreg%22%3D8</t>
  </si>
  <si>
    <t>Relación entre Detenciones y Denuncias (%) para Delitos de Homicidio y Violación en la Región de La Araucanía</t>
  </si>
  <si>
    <t>https://analytics.zoho.com/open-view/2395394000008467312?ZOHO_CRITERIA=%22Localiza%20Chile%22.%22Codreg%22%3D9</t>
  </si>
  <si>
    <t>Relación entre Detenciones y Denuncias (%) para Delitos de Homicidio y Violación en la Región de Los Lagos</t>
  </si>
  <si>
    <t>https://analytics.zoho.com/open-view/2395394000008467312?ZOHO_CRITERIA=%22Localiza%20Chile%22.%22Codreg%22%3D10</t>
  </si>
  <si>
    <t>Relación entre Detenciones y Denuncias (%) para Delitos de Homicidio y Violación en la Región de Aysén</t>
  </si>
  <si>
    <t>https://analytics.zoho.com/open-view/2395394000008467312?ZOHO_CRITERIA=%22Localiza%20Chile%22.%22Codreg%22%3D11</t>
  </si>
  <si>
    <t>Relación entre Detenciones y Denuncias (%) para Delitos de Homicidio y Violación en la Región de Magallanes</t>
  </si>
  <si>
    <t>https://analytics.zoho.com/open-view/2395394000008467312?ZOHO_CRITERIA=%22Localiza%20Chile%22.%22Codreg%22%3D12</t>
  </si>
  <si>
    <t>Relación entre Detenciones y Denuncias (%) para Delitos de Homicidio y Violación en la Región Metropolitana</t>
  </si>
  <si>
    <t>https://analytics.zoho.com/open-view/2395394000008467312?ZOHO_CRITERIA=%22Localiza%20Chile%22.%22Codreg%22%3D13</t>
  </si>
  <si>
    <t>Relación entre Detenciones y Denuncias (%) para Delitos de Homicidio y Violación en la Región de Los Ríos</t>
  </si>
  <si>
    <t>https://analytics.zoho.com/open-view/2395394000008467312?ZOHO_CRITERIA=%22Localiza%20Chile%22.%22Codreg%22%3D14</t>
  </si>
  <si>
    <t>Relación entre Detenciones y Denuncias (%) para Delitos de Homicidio y Violación en la Región de Arica y Parinacota</t>
  </si>
  <si>
    <t>https://analytics.zoho.com/open-view/2395394000008467312?ZOHO_CRITERIA=%22Localiza%20Chile%22.%22Codreg%22%3D15</t>
  </si>
  <si>
    <t>Relación entre Detenciones y Denuncias (%) para Delitos de Homicidio y Violación en la Región de Ñuble</t>
  </si>
  <si>
    <t>https://analytics.zoho.com/open-view/2395394000008467312?ZOHO_CRITERIA=%22Localiza%20Chile%22.%22Codreg%22%3D16</t>
  </si>
  <si>
    <t>Pobreza Extrema y No Extrema</t>
  </si>
  <si>
    <t>Pobreza</t>
  </si>
  <si>
    <t>Pobreza en la Población Autodefinida como Indígena a Escala Comunal - 2020 (Extrema y No Extrema)</t>
  </si>
  <si>
    <t>https://analytics.zoho.com/open-view/2395394000008493041</t>
  </si>
  <si>
    <t>Pobreza en la Población Autodefinida como Indígena a Escala Comunal en la Región de Tarapacá - 2020 (Extrema y No Extrema)</t>
  </si>
  <si>
    <t>https://analytics.zoho.com/open-view/2395394000008493398?ZOHO_CRITERIA=%22Localiza%20CL%22.%22Codreg%22%3D1</t>
  </si>
  <si>
    <t>Pobreza en la Población Autodefinida como Indígena a Escala Comunal en la Región de Antofagasta - 2020 (Extrema y No Extrema)</t>
  </si>
  <si>
    <t>https://analytics.zoho.com/open-view/2395394000008493398?ZOHO_CRITERIA=%22Localiza%20CL%22.%22Codreg%22%3D2</t>
  </si>
  <si>
    <t>Pobreza en la Población Autodefinida como Indígena a Escala Comunal en la Región de Atacama - 2020 (Extrema y No Extrema)</t>
  </si>
  <si>
    <t>https://analytics.zoho.com/open-view/2395394000008493398?ZOHO_CRITERIA=%22Localiza%20CL%22.%22Codreg%22%3D3</t>
  </si>
  <si>
    <t>Pobreza en la Población Autodefinida como Indígena a Escala Comunal en la Región de Coquimbo - 2020 (Extrema y No Extrema)</t>
  </si>
  <si>
    <t>https://analytics.zoho.com/open-view/2395394000008493398?ZOHO_CRITERIA=%22Localiza%20CL%22.%22Codreg%22%3D4</t>
  </si>
  <si>
    <t>Pobreza en la Población Autodefinida como Indígena a Escala Comunal en la Región de Valparaíso - 2020 (Extrema y No Extrema)</t>
  </si>
  <si>
    <t>https://analytics.zoho.com/open-view/2395394000008493398?ZOHO_CRITERIA=%22Localiza%20CL%22.%22Codreg%22%3D5</t>
  </si>
  <si>
    <t>Pobreza en la Población Autodefinida como Indígena a Escala Comunal en la Región de O'Higgins - 2020 (Extrema y No Extrema)</t>
  </si>
  <si>
    <t>https://analytics.zoho.com/open-view/2395394000008493398?ZOHO_CRITERIA=%22Localiza%20CL%22.%22Codreg%22%3D6</t>
  </si>
  <si>
    <t>Pobreza en la Población Autodefinida como Indígena a Escala Comunal en la Región de Maule - 2020 (Extrema y No Extrema)</t>
  </si>
  <si>
    <t>https://analytics.zoho.com/open-view/2395394000008493398?ZOHO_CRITERIA=%22Localiza%20CL%22.%22Codreg%22%3D7</t>
  </si>
  <si>
    <t>Pobreza en la Población Autodefinida como Indígena a Escala Comunal en la Región del Biobío - 2020 (Extrema y No Extrema)</t>
  </si>
  <si>
    <t>https://analytics.zoho.com/open-view/2395394000008493398?ZOHO_CRITERIA=%22Localiza%20CL%22.%22Codreg%22%3D8</t>
  </si>
  <si>
    <t>Pobreza en la Población Autodefinida como Indígena a Escala Comunal en la Región de La Araucanía - 2020 (Extrema y No Extrema)</t>
  </si>
  <si>
    <t>https://analytics.zoho.com/open-view/2395394000008493398?ZOHO_CRITERIA=%22Localiza%20CL%22.%22Codreg%22%3D9</t>
  </si>
  <si>
    <t>Pobreza en la Población Autodefinida como Indígena a Escala Comunal en la Región de Los Lagos - 2020 (Extrema y No Extrema)</t>
  </si>
  <si>
    <t>https://analytics.zoho.com/open-view/2395394000008493398?ZOHO_CRITERIA=%22Localiza%20CL%22.%22Codreg%22%3D10</t>
  </si>
  <si>
    <t>Pobreza en la Población Autodefinida como Indígena a Escala Comunal en la Región de Aysén - 2020 (Extrema y No Extrema)</t>
  </si>
  <si>
    <t>https://analytics.zoho.com/open-view/2395394000008493398?ZOHO_CRITERIA=%22Localiza%20CL%22.%22Codreg%22%3D11</t>
  </si>
  <si>
    <t>Pobreza en la Población Autodefinida como Indígena a Escala Comunal en la Región de Magallanes - 2020 (Extrema y No Extrema)</t>
  </si>
  <si>
    <t>https://analytics.zoho.com/open-view/2395394000008493398?ZOHO_CRITERIA=%22Localiza%20CL%22.%22Codreg%22%3D12</t>
  </si>
  <si>
    <t>Pobreza en la Población Autodefinida como Indígena a Escala Comunal en la Región Metropolitana - 2020 (Extrema y No Extrema)</t>
  </si>
  <si>
    <t>https://analytics.zoho.com/open-view/2395394000008493398?ZOHO_CRITERIA=%22Localiza%20CL%22.%22Codreg%22%3D13</t>
  </si>
  <si>
    <t>Pobreza en la Población Autodefinida como Indígena a Escala Comunal en la Región de Los Ríos - 2020 (Extrema y No Extrema)</t>
  </si>
  <si>
    <t>https://analytics.zoho.com/open-view/2395394000008493398?ZOHO_CRITERIA=%22Localiza%20CL%22.%22Codreg%22%3D14</t>
  </si>
  <si>
    <t>Pobreza en la Población Autodefinida como Indígena a Escala Comunal en la Región de Arica y Parinacota - 2020 (Extrema y No Extrema)</t>
  </si>
  <si>
    <t>https://analytics.zoho.com/open-view/2395394000008493398?ZOHO_CRITERIA=%22Localiza%20CL%22.%22Codreg%22%3D15</t>
  </si>
  <si>
    <t>Pobreza en la Población Autodefinida como Indígena a Escala Comunal en la Región de Ñuble - 2020 (Extrema y No Extrema)</t>
  </si>
  <si>
    <t>https://analytics.zoho.com/open-view/2395394000008493398?ZOHO_CRITERIA=%22Localiza%20CL%22.%22Codreg%22%3D16</t>
  </si>
  <si>
    <t>Pobreza y Pobreza Extrema</t>
  </si>
  <si>
    <t>Periodo 2006-2020</t>
  </si>
  <si>
    <t>Evolución de la Pobreza y Pobreza Extrema a Escala Nacional</t>
  </si>
  <si>
    <t>De acuerdo a los resultados de la encuesta CASEN, los niveles de pobreza han disminuido de un 8,8% en el año 2006 a un 6,5% en el año 2020. Al contrario, la pobreza extrema ha aumentado de un 2,5% a un 4,3% en ese mismo periodo.</t>
  </si>
  <si>
    <t>https://analytics.zoho.com/open-view/2395394000008486718</t>
  </si>
  <si>
    <t>Evolución de la Pobreza y Pobreza Extrema en la Región de Tarapacá</t>
  </si>
  <si>
    <t>https://analytics.zoho.com/open-view/2395394000008493571?ZOHO_CRITERIA=%22Localiza%20CL%22.%22Codreg%22%3D1</t>
  </si>
  <si>
    <t>Evolución de la Pobreza y Pobreza Extrema en la Región de Antofagasta</t>
  </si>
  <si>
    <t>https://analytics.zoho.com/open-view/2395394000008493571?ZOHO_CRITERIA=%22Localiza%20CL%22.%22Codreg%22%3D2</t>
  </si>
  <si>
    <t>Evolución de la Pobreza y Pobreza Extrema en la Región de Atacama</t>
  </si>
  <si>
    <t>https://analytics.zoho.com/open-view/2395394000008493571?ZOHO_CRITERIA=%22Localiza%20CL%22.%22Codreg%22%3D3</t>
  </si>
  <si>
    <t>Evolución de la Pobreza y Pobreza Extrema en la Región de Coquimbo</t>
  </si>
  <si>
    <t>https://analytics.zoho.com/open-view/2395394000008493571?ZOHO_CRITERIA=%22Localiza%20CL%22.%22Codreg%22%3D4</t>
  </si>
  <si>
    <t>Evolución de la Pobreza y Pobreza Extrema en la Región de Valparaíso</t>
  </si>
  <si>
    <t>https://analytics.zoho.com/open-view/2395394000008493571?ZOHO_CRITERIA=%22Localiza%20CL%22.%22Codreg%22%3D5</t>
  </si>
  <si>
    <t>Evolución de la Pobreza y Pobreza Extrema en la Región de O'Higgins</t>
  </si>
  <si>
    <t>https://analytics.zoho.com/open-view/2395394000008493571?ZOHO_CRITERIA=%22Localiza%20CL%22.%22Codreg%22%3D6</t>
  </si>
  <si>
    <t>Evolución de la Pobreza y Pobreza Extrema en la Región de Maule</t>
  </si>
  <si>
    <t>https://analytics.zoho.com/open-view/2395394000008493571?ZOHO_CRITERIA=%22Localiza%20CL%22.%22Codreg%22%3D7</t>
  </si>
  <si>
    <t>Evolución de la Pobreza y Pobreza Extrema en la Región del Biobío</t>
  </si>
  <si>
    <t>https://analytics.zoho.com/open-view/2395394000008493571?ZOHO_CRITERIA=%22Localiza%20CL%22.%22Codreg%22%3D8</t>
  </si>
  <si>
    <t>Evolución de la Pobreza y Pobreza Extrema en la Región de La Araucanía</t>
  </si>
  <si>
    <t>https://analytics.zoho.com/open-view/2395394000008493571?ZOHO_CRITERIA=%22Localiza%20CL%22.%22Codreg%22%3D9</t>
  </si>
  <si>
    <t>Evolución de la Pobreza y Pobreza Extrema en la Región de Los Lagos</t>
  </si>
  <si>
    <t>https://analytics.zoho.com/open-view/2395394000008493571?ZOHO_CRITERIA=%22Localiza%20CL%22.%22Codreg%22%3D10</t>
  </si>
  <si>
    <t>Evolución de la Pobreza y Pobreza Extrema en la Región de Aysén</t>
  </si>
  <si>
    <t>https://analytics.zoho.com/open-view/2395394000008493571?ZOHO_CRITERIA=%22Localiza%20CL%22.%22Codreg%22%3D11</t>
  </si>
  <si>
    <t>Evolución de la Pobreza y Pobreza Extrema en la Región de Magallanes</t>
  </si>
  <si>
    <t>https://analytics.zoho.com/open-view/2395394000008493571?ZOHO_CRITERIA=%22Localiza%20CL%22.%22Codreg%22%3D12</t>
  </si>
  <si>
    <t>Evolución de la Pobreza y Pobreza Extrema en la Región Metropolitana</t>
  </si>
  <si>
    <t>https://analytics.zoho.com/open-view/2395394000008493571?ZOHO_CRITERIA=%22Localiza%20CL%22.%22Codreg%22%3D13</t>
  </si>
  <si>
    <t>Evolución de la Pobreza y Pobreza Extrema en la Región de Los Ríos</t>
  </si>
  <si>
    <t>https://analytics.zoho.com/open-view/2395394000008493571?ZOHO_CRITERIA=%22Localiza%20CL%22.%22Codreg%22%3D14</t>
  </si>
  <si>
    <t>Evolución de la Pobreza y Pobreza Extrema en la Región de Arica y Parinacota</t>
  </si>
  <si>
    <t>https://analytics.zoho.com/open-view/2395394000008493571?ZOHO_CRITERIA=%22Localiza%20CL%22.%22Codreg%22%3D15</t>
  </si>
  <si>
    <t>Evolución de la Pobreza y Pobreza Extrema en la Región de Ñuble</t>
  </si>
  <si>
    <t>https://analytics.zoho.com/open-view/2395394000008493571?ZOHO_CRITERIA=%22Localiza%20CL%22.%22Codreg%22%3D16</t>
  </si>
  <si>
    <t>Pobreza Extrema</t>
  </si>
  <si>
    <t>Geografía de la Pobreza Extrema a Escala Comunal - 2020</t>
  </si>
  <si>
    <t>Según la encuesta CASEN del año 2020, existen 28 comunas en Chile que tienen sobre un 10% de pobreza extrema. En cambio, solo 15 comunas tienen un porcentaje de pobreza extrema menor o igual a 1%.</t>
  </si>
  <si>
    <t>https://analytics.zoho.com/open-view/2395394000008483613</t>
  </si>
  <si>
    <t>Geografía de la Pobreza Extrema a Escala Comunal en la Región de Tarapacá - 2020</t>
  </si>
  <si>
    <t>https://analytics.zoho.com/open-view/2395394000008496266?ZOHO_CRITERIA=%22Localiza%20CL%22.%22Codreg%22%3D1</t>
  </si>
  <si>
    <t>Geografía de la Pobreza Extrema a Escala Comunal en la Región de Antofagasta - 2020</t>
  </si>
  <si>
    <t>https://analytics.zoho.com/open-view/2395394000008496266?ZOHO_CRITERIA=%22Localiza%20CL%22.%22Codreg%22%3D2</t>
  </si>
  <si>
    <t>Geografía de la Pobreza Extrema a Escala Comunal en la Región de Atacama - 2020</t>
  </si>
  <si>
    <t>https://analytics.zoho.com/open-view/2395394000008496266?ZOHO_CRITERIA=%22Localiza%20CL%22.%22Codreg%22%3D3</t>
  </si>
  <si>
    <t>Geografía de la Pobreza Extrema a Escala Comunal en la Región de Coquimbo - 2020</t>
  </si>
  <si>
    <t>https://analytics.zoho.com/open-view/2395394000008496266?ZOHO_CRITERIA=%22Localiza%20CL%22.%22Codreg%22%3D4</t>
  </si>
  <si>
    <t>Geografía de la Pobreza Extrema a Escala Comunal en la Región de Valparaíso - 2020</t>
  </si>
  <si>
    <t>https://analytics.zoho.com/open-view/2395394000008496266?ZOHO_CRITERIA=%22Localiza%20CL%22.%22Codreg%22%3D5</t>
  </si>
  <si>
    <t>Geografía de la Pobreza Extrema a Escala Comunal en la Región de O'Higgins - 2020</t>
  </si>
  <si>
    <t>https://analytics.zoho.com/open-view/2395394000008496266?ZOHO_CRITERIA=%22Localiza%20CL%22.%22Codreg%22%3D6</t>
  </si>
  <si>
    <t>Geografía de la Pobreza Extrema a Escala Comunal en la Región de Maule - 2020</t>
  </si>
  <si>
    <t>https://analytics.zoho.com/open-view/2395394000008496266?ZOHO_CRITERIA=%22Localiza%20CL%22.%22Codreg%22%3D7</t>
  </si>
  <si>
    <t>Geografía de la Pobreza Extrema a Escala Comunal en la Región del Biobío - 2020</t>
  </si>
  <si>
    <t>https://analytics.zoho.com/open-view/2395394000008496266?ZOHO_CRITERIA=%22Localiza%20CL%22.%22Codreg%22%3D8</t>
  </si>
  <si>
    <t>Geografía de la Pobreza Extrema a Escala Comunal en la Región de La Araucanía - 2020</t>
  </si>
  <si>
    <t>https://analytics.zoho.com/open-view/2395394000008496266?ZOHO_CRITERIA=%22Localiza%20CL%22.%22Codreg%22%3D9</t>
  </si>
  <si>
    <t>Geografía de la Pobreza Extrema a Escala Comunal en la Región de Los Lagos - 2020</t>
  </si>
  <si>
    <t>https://analytics.zoho.com/open-view/2395394000008496266?ZOHO_CRITERIA=%22Localiza%20CL%22.%22Codreg%22%3D10</t>
  </si>
  <si>
    <t>Geografía de la Pobreza Extrema a Escala Comunal en la Región de Aysén - 2020</t>
  </si>
  <si>
    <t>https://analytics.zoho.com/open-view/2395394000008496266?ZOHO_CRITERIA=%22Localiza%20CL%22.%22Codreg%22%3D11</t>
  </si>
  <si>
    <t>Geografía de la Pobreza Extrema a Escala Comunal en la Región de Magallanes - 2020</t>
  </si>
  <si>
    <t>https://analytics.zoho.com/open-view/2395394000008496266?ZOHO_CRITERIA=%22Localiza%20CL%22.%22Codreg%22%3D12</t>
  </si>
  <si>
    <t>Geografía de la Pobreza Extrema a Escala Comunal en la Región Metropolitana - 2020</t>
  </si>
  <si>
    <t>https://analytics.zoho.com/open-view/2395394000008496266?ZOHO_CRITERIA=%22Localiza%20CL%22.%22Codreg%22%3D13</t>
  </si>
  <si>
    <t>Geografía de la Pobreza Extrema a Escala Comunal en la Región de Los Ríos - 2020</t>
  </si>
  <si>
    <t>https://analytics.zoho.com/open-view/2395394000008496266?ZOHO_CRITERIA=%22Localiza%20CL%22.%22Codreg%22%3D14</t>
  </si>
  <si>
    <t>Geografía de la Pobreza Extrema a Escala Comunal en la Región de Arica y Parinacota - 2020</t>
  </si>
  <si>
    <t>https://analytics.zoho.com/open-view/2395394000008496266?ZOHO_CRITERIA=%22Localiza%20CL%22.%22Codreg%22%3D15</t>
  </si>
  <si>
    <t>Geografía de la Pobreza Extrema a Escala Comunal en la Región de Ñuble - 2020</t>
  </si>
  <si>
    <t>https://analytics.zoho.com/open-view/2395394000008496266?ZOHO_CRITERIA=%22Localiza%20CL%22.%22Codreg%22%3D16</t>
  </si>
  <si>
    <t>Protección de Menores</t>
  </si>
  <si>
    <t>Periodo 2016-2019</t>
  </si>
  <si>
    <t>Número de ingresos/egresos y Porcentaje</t>
  </si>
  <si>
    <t>Servicio Nacional de Menores (SENAME)</t>
  </si>
  <si>
    <t>Evolución de Ingresos y Egresos de NNA en el Periodo 2016-2019</t>
  </si>
  <si>
    <t>https://app.powerbi.com/view?r=eyJrIjoiMTZjZmZhZjQtN2I5ZS00ZWFmLWFkZWMtMDlkMGYzOGZmNzk2IiwidCI6IjhmYmFhNWJmLTJlY2MtNGRjOC1iNTZiLThmOTJlMzA3ZjA3NiIsImMiOjR9</t>
  </si>
  <si>
    <t>Número de ingresos/egresos</t>
  </si>
  <si>
    <t>Ingresos y Egresos de NNA por Línea de Atención en el Año 2019</t>
  </si>
  <si>
    <t>https://app.powerbi.com/view?r=eyJrIjoiMTFiMTI5YmQtYTU1Ni00MzI4LTk1NDUtMDRlYTM0NDAwYmJlIiwidCI6IjhmYmFhNWJmLTJlY2MtNGRjOC1iNTZiLThmOTJlMzA3ZjA3NiIsImMiOjR9</t>
  </si>
  <si>
    <t>Ingresos y Egresos de NNA por Región en el Año 2019</t>
  </si>
  <si>
    <t>En el año 2019, la mayor cantidad de egresos de niños, niñas y adolescentes (NNA) desde centros de SENAME ocurrió en la región Metropolitana, con 14.942, mientras que el egreso más bajo se dio en la región de Aysén, con 520 NNA.</t>
  </si>
  <si>
    <t>https://app.powerbi.com/view?r=eyJrIjoiNjg0OGI5NjEtNGNmMy00OGE4LWFlYzEtY2FmYWMxMjRhZmU5IiwidCI6IjhmYmFhNWJmLTJlY2MtNGRjOC1iNTZiLThmOTJlMzA3ZjA3NiIsImMiOjR9</t>
  </si>
  <si>
    <t>Predios No Agrícolas Habitacionales</t>
  </si>
  <si>
    <t>Número de predios</t>
  </si>
  <si>
    <t>Cantidad de Predios No Agrícolas Habitacionales por Comuna en el periodo 2006-2019</t>
  </si>
  <si>
    <t>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t>
  </si>
  <si>
    <t>https://analytics.zoho.com/open-view/2395394000008083041</t>
  </si>
  <si>
    <t>Cantidad de Predios No Agrícolas Habitacionales por Comuna en la Región de Tarapacá en el periodo 2006-2019</t>
  </si>
  <si>
    <t>https://analytics.zoho.com/open-view/2395394000008464571?ZOHO_CRITERIA=%22Localiza%20CL%22.%22Codreg%22%20%3D%201</t>
  </si>
  <si>
    <t>Cantidad de Predios No Agrícolas Habitacionales por Comuna en la Región de Antofagasta en el periodo 2006-2019</t>
  </si>
  <si>
    <t>https://analytics.zoho.com/open-view/2395394000008464571?ZOHO_CRITERIA=%22Localiza%20CL%22.%22Codreg%22%20%3D%202</t>
  </si>
  <si>
    <t>Cantidad de Predios No Agrícolas Habitacionales por Comuna en la Región de Atacama en el periodo 2006-2019</t>
  </si>
  <si>
    <t>https://analytics.zoho.com/open-view/2395394000008464571?ZOHO_CRITERIA=%22Localiza%20CL%22.%22Codreg%22%20%3D%203</t>
  </si>
  <si>
    <t>Cantidad de Predios No Agrícolas Habitacionales por Comuna en la Región de Coquimbo en el periodo 2006-2019</t>
  </si>
  <si>
    <t>https://analytics.zoho.com/open-view/2395394000008464571?ZOHO_CRITERIA=%22Localiza%20CL%22.%22Codreg%22%20%3D%204</t>
  </si>
  <si>
    <t>Cantidad de Predios No Agrícolas Habitacionales por Comuna en la Región de Valparaíso en el periodo 2006-2019</t>
  </si>
  <si>
    <t>https://analytics.zoho.com/open-view/2395394000008464571?ZOHO_CRITERIA=%22Localiza%20CL%22.%22Codreg%22%20%3D%205</t>
  </si>
  <si>
    <t>Cantidad de Predios No Agrícolas Habitacionales por Comuna en la Región de O'Higgins en el periodo 2006-2019</t>
  </si>
  <si>
    <t>https://analytics.zoho.com/open-view/2395394000008464571?ZOHO_CRITERIA=%22Localiza%20CL%22.%22Codreg%22%20%3D%206</t>
  </si>
  <si>
    <t>Cantidad de Predios No Agrícolas Habitacionales por Comuna en la Región de Maule en el periodo 2006-2019</t>
  </si>
  <si>
    <t>https://analytics.zoho.com/open-view/2395394000008464571?ZOHO_CRITERIA=%22Localiza%20CL%22.%22Codreg%22%20%3D%207</t>
  </si>
  <si>
    <t>Cantidad de Predios No Agrícolas Habitacionales por Comuna en la Región del Biobío en el periodo 2006-2019</t>
  </si>
  <si>
    <t>https://analytics.zoho.com/open-view/2395394000008464571?ZOHO_CRITERIA=%22Localiza%20CL%22.%22Codreg%22%20%3D%208</t>
  </si>
  <si>
    <t>Cantidad de Predios No Agrícolas Habitacionales por Comuna en la Región de La Araucanía en el periodo 2006-2019</t>
  </si>
  <si>
    <t>https://analytics.zoho.com/open-view/2395394000008464571?ZOHO_CRITERIA=%22Localiza%20CL%22.%22Codreg%22%20%3D%209</t>
  </si>
  <si>
    <t>Cantidad de Predios No Agrícolas Habitacionales por Comuna en la Región de Los Lagos en el periodo 2006-2019</t>
  </si>
  <si>
    <t>https://analytics.zoho.com/open-view/2395394000008464571?ZOHO_CRITERIA=%22Localiza%20CL%22.%22Codreg%22%20%3D%2010</t>
  </si>
  <si>
    <t>Cantidad de Predios No Agrícolas Habitacionales por Comuna en la Región de Aysén en el periodo 2006-2019</t>
  </si>
  <si>
    <t>https://analytics.zoho.com/open-view/2395394000008464571?ZOHO_CRITERIA=%22Localiza%20CL%22.%22Codreg%22%20%3D%2011</t>
  </si>
  <si>
    <t>Cantidad de Predios No Agrícolas Habitacionales por Comuna en la Región de Magallanes en el periodo 2006-2019</t>
  </si>
  <si>
    <t>https://analytics.zoho.com/open-view/2395394000008464571?ZOHO_CRITERIA=%22Localiza%20CL%22.%22Codreg%22%20%3D%2012</t>
  </si>
  <si>
    <t>Cantidad de Predios No Agrícolas Habitacionales por Comuna en la Región Metropolitana en el periodo 2006-2019</t>
  </si>
  <si>
    <t>https://analytics.zoho.com/open-view/2395394000008464571?ZOHO_CRITERIA=%22Localiza%20CL%22.%22Codreg%22%20%3D%2013</t>
  </si>
  <si>
    <t>Cantidad de Predios No Agrícolas Habitacionales por Comuna en la Región de Los Ríos en el periodo 2006-2019</t>
  </si>
  <si>
    <t>https://analytics.zoho.com/open-view/2395394000008464571?ZOHO_CRITERIA=%22Localiza%20CL%22.%22Codreg%22%20%3D%2014</t>
  </si>
  <si>
    <t>Cantidad de Predios No Agrícolas Habitacionales por Comuna en la Región de Arica y Parinacota en el periodo 2006-2019</t>
  </si>
  <si>
    <t>https://analytics.zoho.com/open-view/2395394000008464571?ZOHO_CRITERIA=%22Localiza%20CL%22.%22Codreg%22%20%3D%2015</t>
  </si>
  <si>
    <t>Cantidad de Predios No Agrícolas Habitacionales por Comuna en la Región de Ñuble en el periodo 2006-2019</t>
  </si>
  <si>
    <t>https://analytics.zoho.com/open-view/2395394000008464571?ZOHO_CRITERIA=%22Localiza%20CL%22.%22Codreg%22%20%3D%2016</t>
  </si>
  <si>
    <t>Propiedades Municipales</t>
  </si>
  <si>
    <t>Número de propiedades municipales</t>
  </si>
  <si>
    <t>Cantidad de Propiedades Municipales por Comuna en el periodo 2010-2019</t>
  </si>
  <si>
    <t>https://analytics.zoho.com/open-view/2395394000008083242</t>
  </si>
  <si>
    <t>Cantidad de Propiedades Municipales por Comuna en la Región de Tarapacá en el periodo 2010-2019</t>
  </si>
  <si>
    <t>https://analytics.zoho.com/open-view/2395394000008771662?ZOHO_CRITERIA=%22Localiza%20CL%22.%22Codreg%22%20%3D%201</t>
  </si>
  <si>
    <t>Cantidad de Propiedades Municipales por Comuna en la Región de Antofagasta en el periodo 2010-2019</t>
  </si>
  <si>
    <t>https://analytics.zoho.com/open-view/2395394000008771662?ZOHO_CRITERIA=%22Localiza%20CL%22.%22Codreg%22%20%3D%202</t>
  </si>
  <si>
    <t>Cantidad de Propiedades Municipales por Comuna en la Región de Atacama en el periodo 2010-2019</t>
  </si>
  <si>
    <t>https://analytics.zoho.com/open-view/2395394000008771662?ZOHO_CRITERIA=%22Localiza%20CL%22.%22Codreg%22%20%3D%203</t>
  </si>
  <si>
    <t>Cantidad de Propiedades Municipales por Comuna en la Región de Coquimbo en el periodo 2010-2019</t>
  </si>
  <si>
    <t>https://analytics.zoho.com/open-view/2395394000008771662?ZOHO_CRITERIA=%22Localiza%20CL%22.%22Codreg%22%20%3D%204</t>
  </si>
  <si>
    <t>Cantidad de Propiedades Municipales por Comuna en la Región de Valparaíso en el periodo 2010-2019</t>
  </si>
  <si>
    <t>https://analytics.zoho.com/open-view/2395394000008771662?ZOHO_CRITERIA=%22Localiza%20CL%22.%22Codreg%22%20%3D%205</t>
  </si>
  <si>
    <t>Cantidad de Propiedades Municipales por Comuna en la Región de O'Higgins en el periodo 2010-2019</t>
  </si>
  <si>
    <t>https://analytics.zoho.com/open-view/2395394000008771662?ZOHO_CRITERIA=%22Localiza%20CL%22.%22Codreg%22%20%3D%206</t>
  </si>
  <si>
    <t>Cantidad de Propiedades Municipales por Comuna en la Región de Maule en el periodo 2010-2019</t>
  </si>
  <si>
    <t>https://analytics.zoho.com/open-view/2395394000008771662?ZOHO_CRITERIA=%22Localiza%20CL%22.%22Codreg%22%20%3D%207</t>
  </si>
  <si>
    <t>Cantidad de Propiedades Municipales por Comuna en la Región del Biobío en el periodo 2010-2019</t>
  </si>
  <si>
    <t>https://analytics.zoho.com/open-view/2395394000008771662?ZOHO_CRITERIA=%22Localiza%20CL%22.%22Codreg%22%20%3D%208</t>
  </si>
  <si>
    <t>Cantidad de Propiedades Municipales por Comuna en la Región de La Araucanía en el periodo 2010-2019</t>
  </si>
  <si>
    <t>https://analytics.zoho.com/open-view/2395394000008771662?ZOHO_CRITERIA=%22Localiza%20CL%22.%22Codreg%22%20%3D%209</t>
  </si>
  <si>
    <t>Cantidad de Propiedades Municipales por Comuna en la Región de Los Lagos en el periodo 2010-2019</t>
  </si>
  <si>
    <t>https://analytics.zoho.com/open-view/2395394000008771662?ZOHO_CRITERIA=%22Localiza%20CL%22.%22Codreg%22%20%3D%2010</t>
  </si>
  <si>
    <t>Cantidad de Propiedades Municipales por Comuna en la Región de Aysén en el periodo 2010-2019</t>
  </si>
  <si>
    <t>https://analytics.zoho.com/open-view/2395394000008771662?ZOHO_CRITERIA=%22Localiza%20CL%22.%22Codreg%22%20%3D%2011</t>
  </si>
  <si>
    <t>Cantidad de Propiedades Municipales por Comuna en la Región de Magallanes en el periodo 2010-2019</t>
  </si>
  <si>
    <t>https://analytics.zoho.com/open-view/2395394000008771662?ZOHO_CRITERIA=%22Localiza%20CL%22.%22Codreg%22%20%3D%2012</t>
  </si>
  <si>
    <t>Cantidad de Propiedades Municipales por Comuna en la Región Metropolitana en el periodo 2010-2019</t>
  </si>
  <si>
    <t>https://analytics.zoho.com/open-view/2395394000008771662?ZOHO_CRITERIA=%22Localiza%20CL%22.%22Codreg%22%20%3D%2013</t>
  </si>
  <si>
    <t>Cantidad de Propiedades Municipales por Comuna en la Región de Los Ríos en el periodo 2010-2019</t>
  </si>
  <si>
    <t>https://analytics.zoho.com/open-view/2395394000008771662?ZOHO_CRITERIA=%22Localiza%20CL%22.%22Codreg%22%20%3D%2014</t>
  </si>
  <si>
    <t>Cantidad de Propiedades Municipales por Comuna en la Región de Arica y Parinacota en el periodo 2010-2019</t>
  </si>
  <si>
    <t>https://analytics.zoho.com/open-view/2395394000008771662?ZOHO_CRITERIA=%22Localiza%20CL%22.%22Codreg%22%20%3D%2015</t>
  </si>
  <si>
    <t>Cantidad de Propiedades Municipales por Comuna en la Región de Ñuble en el periodo 2010-2019</t>
  </si>
  <si>
    <t>https://analytics.zoho.com/open-view/2395394000008771662?ZOHO_CRITERIA=%22Localiza%20CL%22.%22Codreg%22%20%3D%2016</t>
  </si>
  <si>
    <t>Evolución Población en Control del Programa de Salud Cardiovascular, Chile 2012-2018</t>
  </si>
  <si>
    <t>https://analytics.zoho.com/open-view/2395394000008188638</t>
  </si>
  <si>
    <t>Población en Control del Programa de Salud Cardiovascular por Enfermedad, Chile 2012-2018</t>
  </si>
  <si>
    <t>https://analytics.zoho.com/open-view/2395394000008188953</t>
  </si>
  <si>
    <t>Población en Control del Programa de Salud Cardiovascular por Enfermedad en la Región de Tarapacá, 2012-2018</t>
  </si>
  <si>
    <t>https://analytics.zoho.com/open-view/2395394000008539404?ZOHO_CRITERIA=%22Uni%C3%B3n%202.11-2.12%22.%22C%C3%B3digo%20Regi%C3%B3n%22%20%3D%201</t>
  </si>
  <si>
    <t>Población en Control del Programa de Salud Cardiovascular por Enfermedad en la Región de Antofagasta, 2012-2018</t>
  </si>
  <si>
    <t>https://analytics.zoho.com/open-view/2395394000008539404?ZOHO_CRITERIA=%22Uni%C3%B3n%202.11-2.12%22.%22C%C3%B3digo%20Regi%C3%B3n%22%20%3D%202</t>
  </si>
  <si>
    <t>Población en Control del Programa de Salud Cardiovascular por Enfermedad en la Región de Atacama, 2012-2018</t>
  </si>
  <si>
    <t>https://analytics.zoho.com/open-view/2395394000008539404?ZOHO_CRITERIA=%22Uni%C3%B3n%202.11-2.12%22.%22C%C3%B3digo%20Regi%C3%B3n%22%20%3D%203</t>
  </si>
  <si>
    <t>Población en Control del Programa de Salud Cardiovascular por Enfermedad en la Región de Coquimbo, 2012-2018</t>
  </si>
  <si>
    <t>https://analytics.zoho.com/open-view/2395394000008539404?ZOHO_CRITERIA=%22Uni%C3%B3n%202.11-2.12%22.%22C%C3%B3digo%20Regi%C3%B3n%22%20%3D%204</t>
  </si>
  <si>
    <t>Población en Control del Programa de Salud Cardiovascular por Enfermedad en la Región de Valparaíso, 2012-2018</t>
  </si>
  <si>
    <t>https://analytics.zoho.com/open-view/2395394000008539404?ZOHO_CRITERIA=%22Uni%C3%B3n%202.11-2.12%22.%22C%C3%B3digo%20Regi%C3%B3n%22%20%3D%205</t>
  </si>
  <si>
    <t>Población en Control del Programa de Salud Cardiovascular por Enfermedad en la Región de O'Higgins, 2012-2018</t>
  </si>
  <si>
    <t>https://analytics.zoho.com/open-view/2395394000008539404?ZOHO_CRITERIA=%22Uni%C3%B3n%202.11-2.12%22.%22C%C3%B3digo%20Regi%C3%B3n%22%20%3D%206</t>
  </si>
  <si>
    <t>Población en Control del Programa de Salud Cardiovascular por Enfermedad en la Región de Maule, 2012-2018</t>
  </si>
  <si>
    <t>https://analytics.zoho.com/open-view/2395394000008539404?ZOHO_CRITERIA=%22Uni%C3%B3n%202.11-2.12%22.%22C%C3%B3digo%20Regi%C3%B3n%22%20%3D%207</t>
  </si>
  <si>
    <t>Población en Control del Programa de Salud Cardiovascular por Enfermedad en la Región del Biobío, 2012-2018</t>
  </si>
  <si>
    <t>https://analytics.zoho.com/open-view/2395394000008539404?ZOHO_CRITERIA=%22Uni%C3%B3n%202.11-2.12%22.%22C%C3%B3digo%20Regi%C3%B3n%22%20%3D%208</t>
  </si>
  <si>
    <t>Población en Control del Programa de Salud Cardiovascular por Enfermedad en la Región de La Araucanía, 2012-2018</t>
  </si>
  <si>
    <t>https://analytics.zoho.com/open-view/2395394000008539404?ZOHO_CRITERIA=%22Uni%C3%B3n%202.11-2.12%22.%22C%C3%B3digo%20Regi%C3%B3n%22%20%3D%209</t>
  </si>
  <si>
    <t>Población en Control del Programa de Salud Cardiovascular por Enfermedad en la Región de Los Lagos, 2012-2018</t>
  </si>
  <si>
    <t>https://analytics.zoho.com/open-view/2395394000008539404?ZOHO_CRITERIA=%22Uni%C3%B3n%202.11-2.12%22.%22C%C3%B3digo%20Regi%C3%B3n%22%20%3D%2010</t>
  </si>
  <si>
    <t>Población en Control del Programa de Salud Cardiovascular por Enfermedad en la Región de Aysén, 2012-2018</t>
  </si>
  <si>
    <t>https://analytics.zoho.com/open-view/2395394000008539404?ZOHO_CRITERIA=%22Uni%C3%B3n%202.11-2.12%22.%22C%C3%B3digo%20Regi%C3%B3n%22%20%3D%2011</t>
  </si>
  <si>
    <t>Población en Control del Programa de Salud Cardiovascular por Enfermedad en la Región de Magallanes, 2012-2018</t>
  </si>
  <si>
    <t>https://analytics.zoho.com/open-view/2395394000008539404?ZOHO_CRITERIA=%22Uni%C3%B3n%202.11-2.12%22.%22C%C3%B3digo%20Regi%C3%B3n%22%20%3D%2012</t>
  </si>
  <si>
    <t>Población en Control del Programa de Salud Cardiovascular por Enfermedad en la Región Metropolitana, 2012-2018</t>
  </si>
  <si>
    <t>https://analytics.zoho.com/open-view/2395394000008539404?ZOHO_CRITERIA=%22Uni%C3%B3n%202.11-2.12%22.%22C%C3%B3digo%20Regi%C3%B3n%22%20%3D%2013</t>
  </si>
  <si>
    <t>Población en Control del Programa de Salud Cardiovascular por Enfermedad en la Región de Los Ríos, 2012-2018</t>
  </si>
  <si>
    <t>https://analytics.zoho.com/open-view/2395394000008539404?ZOHO_CRITERIA=%22Uni%C3%B3n%202.11-2.12%22.%22C%C3%B3digo%20Regi%C3%B3n%22%20%3D%2014</t>
  </si>
  <si>
    <t>Población en Control del Programa de Salud Cardiovascular por Enfermedad en la Región de Arica y Parinacota, 2012-2018</t>
  </si>
  <si>
    <t>https://analytics.zoho.com/open-view/2395394000008539404?ZOHO_CRITERIA=%22Uni%C3%B3n%202.11-2.12%22.%22C%C3%B3digo%20Regi%C3%B3n%22%20%3D%2015</t>
  </si>
  <si>
    <t>Población en Control del Programa de Salud Cardiovascular por Enfermedad en la Región de Ñuble, 2012-2018</t>
  </si>
  <si>
    <t>https://analytics.zoho.com/open-view/2395394000008539404?ZOHO_CRITERIA=%22Uni%C3%B3n%202.11-2.12%22.%22C%C3%B3digo%20Regi%C3%B3n%22%20%3D%2016</t>
  </si>
  <si>
    <t>Población en Control del Programa de Salud Cardiovascular por Región, Chile 2012-2018</t>
  </si>
  <si>
    <t>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t>
  </si>
  <si>
    <t>https://analytics.zoho.com/open-view/2395394000008188130</t>
  </si>
  <si>
    <t>Población en Control del Programa de Salud Cardiovascular en la Región de Tarapacá, 2012-2018</t>
  </si>
  <si>
    <t>https://analytics.zoho.com/open-view/2395394000008188130?ZOHO_CRITERIA=%22Uni%C3%B3n%202.11-2.12%22.%22C%C3%B3digo%20Regi%C3%B3n%22%20%3D%201</t>
  </si>
  <si>
    <t>Población en Control del Programa de Salud Cardiovascular en la Región de Antofagasta, 2012-2018</t>
  </si>
  <si>
    <t>https://analytics.zoho.com/open-view/2395394000008188130?ZOHO_CRITERIA=%22Uni%C3%B3n%202.11-2.12%22.%22C%C3%B3digo%20Regi%C3%B3n%22%20%3D%202</t>
  </si>
  <si>
    <t>Población en Control del Programa de Salud Cardiovascular en la Región de Atacama, 2012-2018</t>
  </si>
  <si>
    <t>https://analytics.zoho.com/open-view/2395394000008188130?ZOHO_CRITERIA=%22Uni%C3%B3n%202.11-2.12%22.%22C%C3%B3digo%20Regi%C3%B3n%22%20%3D%203</t>
  </si>
  <si>
    <t>Población en Control del Programa de Salud Cardiovascular en la Región de Coquimbo, 2012-2018</t>
  </si>
  <si>
    <t>https://analytics.zoho.com/open-view/2395394000008188130?ZOHO_CRITERIA=%22Uni%C3%B3n%202.11-2.12%22.%22C%C3%B3digo%20Regi%C3%B3n%22%20%3D%204</t>
  </si>
  <si>
    <t>Población en Control del Programa de Salud Cardiovascular en la Región de Valparaíso, 2012-2018</t>
  </si>
  <si>
    <t>https://analytics.zoho.com/open-view/2395394000008188130?ZOHO_CRITERIA=%22Uni%C3%B3n%202.11-2.12%22.%22C%C3%B3digo%20Regi%C3%B3n%22%20%3D%205</t>
  </si>
  <si>
    <t>Población en Control del Programa de Salud Cardiovascular en la Región de O'Higgins, 2012-2018</t>
  </si>
  <si>
    <t>https://analytics.zoho.com/open-view/2395394000008188130?ZOHO_CRITERIA=%22Uni%C3%B3n%202.11-2.12%22.%22C%C3%B3digo%20Regi%C3%B3n%22%20%3D%206</t>
  </si>
  <si>
    <t>Población en Control del Programa de Salud Cardiovascular en la Región de Maule, 2012-2018</t>
  </si>
  <si>
    <t>https://analytics.zoho.com/open-view/2395394000008188130?ZOHO_CRITERIA=%22Uni%C3%B3n%202.11-2.12%22.%22C%C3%B3digo%20Regi%C3%B3n%22%20%3D%207</t>
  </si>
  <si>
    <t>Población en Control del Programa de Salud Cardiovascular en la Región del Biobío, 2012-2018</t>
  </si>
  <si>
    <t>https://analytics.zoho.com/open-view/2395394000008188130?ZOHO_CRITERIA=%22Uni%C3%B3n%202.11-2.12%22.%22C%C3%B3digo%20Regi%C3%B3n%22%20%3D%208</t>
  </si>
  <si>
    <t>Población en Control del Programa de Salud Cardiovascular en la Región de La Araucanía, 2012-2018</t>
  </si>
  <si>
    <t>https://analytics.zoho.com/open-view/2395394000008188130?ZOHO_CRITERIA=%22Uni%C3%B3n%202.11-2.12%22.%22C%C3%B3digo%20Regi%C3%B3n%22%20%3D%209</t>
  </si>
  <si>
    <t>Población en Control del Programa de Salud Cardiovascular en la Región de Los Lagos, 2012-2018</t>
  </si>
  <si>
    <t>https://analytics.zoho.com/open-view/2395394000008188130?ZOHO_CRITERIA=%22Uni%C3%B3n%202.11-2.12%22.%22C%C3%B3digo%20Regi%C3%B3n%22%20%3D%2010</t>
  </si>
  <si>
    <t>Población en Control del Programa de Salud Cardiovascular en la Región de Aysén, 2012-2018</t>
  </si>
  <si>
    <t>https://analytics.zoho.com/open-view/2395394000008188130?ZOHO_CRITERIA=%22Uni%C3%B3n%202.11-2.12%22.%22C%C3%B3digo%20Regi%C3%B3n%22%20%3D%2011</t>
  </si>
  <si>
    <t>Población en Control del Programa de Salud Cardiovascular en la Región de Magallanes, 2012-2018</t>
  </si>
  <si>
    <t>https://analytics.zoho.com/open-view/2395394000008188130?ZOHO_CRITERIA=%22Uni%C3%B3n%202.11-2.12%22.%22C%C3%B3digo%20Regi%C3%B3n%22%20%3D%2012</t>
  </si>
  <si>
    <t>Población en Control del Programa de Salud Cardiovascular en la Región Metropolitana, 2012-2018</t>
  </si>
  <si>
    <t>https://analytics.zoho.com/open-view/2395394000008188130?ZOHO_CRITERIA=%22Uni%C3%B3n%202.11-2.12%22.%22C%C3%B3digo%20Regi%C3%B3n%22%20%3D%2013</t>
  </si>
  <si>
    <t>Población en Control del Programa de Salud Cardiovascular en la Región de Los Ríos, 2012-2018</t>
  </si>
  <si>
    <t>https://analytics.zoho.com/open-view/2395394000008188130?ZOHO_CRITERIA=%22Uni%C3%B3n%202.11-2.12%22.%22C%C3%B3digo%20Regi%C3%B3n%22%20%3D%2014</t>
  </si>
  <si>
    <t>Población en Control del Programa de Salud Cardiovascular en la Región de Arica y Parinacota, 2012-2018</t>
  </si>
  <si>
    <t>https://analytics.zoho.com/open-view/2395394000008188130?ZOHO_CRITERIA=%22Uni%C3%B3n%202.11-2.12%22.%22C%C3%B3digo%20Regi%C3%B3n%22%20%3D%2015</t>
  </si>
  <si>
    <t>Población en Control del Programa de Salud Cardiovascular en la Región de Ñuble, 2012-2018</t>
  </si>
  <si>
    <t>https://analytics.zoho.com/open-view/2395394000008188130?ZOHO_CRITERIA=%22Uni%C3%B3n%202.11-2.12%22.%22C%C3%B3digo%20Regi%C3%B3n%22%20%3D%2016</t>
  </si>
  <si>
    <t>Población en Control del Programa de Salud Cardiovascular por Comuna, Chile 2012-2018</t>
  </si>
  <si>
    <t>https://analytics.zoho.com/open-view/2395394000008188039</t>
  </si>
  <si>
    <t>Población en Control del Programa de Salud Cardiovascular por Comuna en la Región de Tarapacá, 2012-2018</t>
  </si>
  <si>
    <t>https://analytics.zoho.com/open-view/2395394000008463254?ZOHO_CRITERIA=%22Uni%C3%B3n%202.11-2.12%22.%22C%C3%B3digo%20Regi%C3%B3n%22%20%3D%201</t>
  </si>
  <si>
    <t>Población en Control del Programa de Salud Cardiovascular por Comuna en la Región de Antofagasta, 2012-2018</t>
  </si>
  <si>
    <t>https://analytics.zoho.com/open-view/2395394000008463254?ZOHO_CRITERIA=%22Uni%C3%B3n%202.11-2.12%22.%22C%C3%B3digo%20Regi%C3%B3n%22%20%3D%202</t>
  </si>
  <si>
    <t>Población en Control del Programa de Salud Cardiovascular por Comuna en la Región de Atacama, 2012-2018</t>
  </si>
  <si>
    <t>https://analytics.zoho.com/open-view/2395394000008463254?ZOHO_CRITERIA=%22Uni%C3%B3n%202.11-2.12%22.%22C%C3%B3digo%20Regi%C3%B3n%22%20%3D%203</t>
  </si>
  <si>
    <t>Población en Control del Programa de Salud Cardiovascular por Comuna en la Región de Coquimbo, 2012-2018</t>
  </si>
  <si>
    <t>https://analytics.zoho.com/open-view/2395394000008463254?ZOHO_CRITERIA=%22Uni%C3%B3n%202.11-2.12%22.%22C%C3%B3digo%20Regi%C3%B3n%22%20%3D%204</t>
  </si>
  <si>
    <t>Población en Control del Programa de Salud Cardiovascular por Comuna en la Región de Valparaíso, 2012-2018</t>
  </si>
  <si>
    <t>https://analytics.zoho.com/open-view/2395394000008463254?ZOHO_CRITERIA=%22Uni%C3%B3n%202.11-2.12%22.%22C%C3%B3digo%20Regi%C3%B3n%22%20%3D%205</t>
  </si>
  <si>
    <t>Población en Control del Programa de Salud Cardiovascular por Comuna en la Región de O'Higgins, 2012-2018</t>
  </si>
  <si>
    <t>https://analytics.zoho.com/open-view/2395394000008463254?ZOHO_CRITERIA=%22Uni%C3%B3n%202.11-2.12%22.%22C%C3%B3digo%20Regi%C3%B3n%22%20%3D%206</t>
  </si>
  <si>
    <t>Población en Control del Programa de Salud Cardiovascular por Comuna en la Región de Maule, 2012-2018</t>
  </si>
  <si>
    <t>https://analytics.zoho.com/open-view/2395394000008463254?ZOHO_CRITERIA=%22Uni%C3%B3n%202.11-2.12%22.%22C%C3%B3digo%20Regi%C3%B3n%22%20%3D%207</t>
  </si>
  <si>
    <t>Población en Control del Programa de Salud Cardiovascular por Comuna en la Región del Biobío, 2012-2018</t>
  </si>
  <si>
    <t>https://analytics.zoho.com/open-view/2395394000008463254?ZOHO_CRITERIA=%22Uni%C3%B3n%202.11-2.12%22.%22C%C3%B3digo%20Regi%C3%B3n%22%20%3D%208</t>
  </si>
  <si>
    <t>Población en Control del Programa de Salud Cardiovascular por Comuna en la Región de La Araucanía, 2012-2018</t>
  </si>
  <si>
    <t>https://analytics.zoho.com/open-view/2395394000008463254?ZOHO_CRITERIA=%22Uni%C3%B3n%202.11-2.12%22.%22C%C3%B3digo%20Regi%C3%B3n%22%20%3D%209</t>
  </si>
  <si>
    <t>Población en Control del Programa de Salud Cardiovascular por Comuna en la Región de Los Lagos, 2012-2018</t>
  </si>
  <si>
    <t>https://analytics.zoho.com/open-view/2395394000008463254?ZOHO_CRITERIA=%22Uni%C3%B3n%202.11-2.12%22.%22C%C3%B3digo%20Regi%C3%B3n%22%20%3D%2010</t>
  </si>
  <si>
    <t>Población en Control del Programa de Salud Cardiovascular por Comuna en la Región de Aysén, 2012-2018</t>
  </si>
  <si>
    <t>https://analytics.zoho.com/open-view/2395394000008463254?ZOHO_CRITERIA=%22Uni%C3%B3n%202.11-2.12%22.%22C%C3%B3digo%20Regi%C3%B3n%22%20%3D%2011</t>
  </si>
  <si>
    <t>Población en Control del Programa de Salud Cardiovascular por Comuna en la Región de Magallanes, 2012-2018</t>
  </si>
  <si>
    <t>https://analytics.zoho.com/open-view/2395394000008463254?ZOHO_CRITERIA=%22Uni%C3%B3n%202.11-2.12%22.%22C%C3%B3digo%20Regi%C3%B3n%22%20%3D%2012</t>
  </si>
  <si>
    <t>Población en Control del Programa de Salud Cardiovascular por Comuna en la Región Metropolitana, 2012-2018</t>
  </si>
  <si>
    <t>https://analytics.zoho.com/open-view/2395394000008463254?ZOHO_CRITERIA=%22Uni%C3%B3n%202.11-2.12%22.%22C%C3%B3digo%20Regi%C3%B3n%22%20%3D%2013</t>
  </si>
  <si>
    <t>Población en Control del Programa de Salud Cardiovascular por Comuna en la Región de Los Ríos, 2012-2018</t>
  </si>
  <si>
    <t>https://analytics.zoho.com/open-view/2395394000008463254?ZOHO_CRITERIA=%22Uni%C3%B3n%202.11-2.12%22.%22C%C3%B3digo%20Regi%C3%B3n%22%20%3D%2014</t>
  </si>
  <si>
    <t>Población en Control del Programa de Salud Cardiovascular por Comuna en la Región de Arica y Parinacota, 2012-2018</t>
  </si>
  <si>
    <t>https://analytics.zoho.com/open-view/2395394000008463254?ZOHO_CRITERIA=%22Uni%C3%B3n%202.11-2.12%22.%22C%C3%B3digo%20Regi%C3%B3n%22%20%3D%2015</t>
  </si>
  <si>
    <t>Población en Control del Programa de Salud Cardiovascular por Comuna en la Región de Ñuble, 2012-2018</t>
  </si>
  <si>
    <t>https://analytics.zoho.com/open-view/2395394000008463254?ZOHO_CRITERIA=%22Uni%C3%B3n%202.11-2.12%22.%22C%C3%B3digo%20Regi%C3%B3n%22%20%3D%2016</t>
  </si>
  <si>
    <t>Población en Control del Programa de Salud Cardiovascular por Sexo, Chile 2012-2018</t>
  </si>
  <si>
    <t>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t>
  </si>
  <si>
    <t>https://analytics.zoho.com/open-view/2395394000008188229</t>
  </si>
  <si>
    <t>Población en Control del Programa de Salud Cardiovascular por Sexo en la Región de Tarapacá, 2012-2018</t>
  </si>
  <si>
    <t>https://analytics.zoho.com/open-view/2395394000008463332?ZOHO_CRITERIA=%22Uni%C3%B3n%202.11-2.12%22.%22C%C3%B3digo%20Regi%C3%B3n%22%20%3D%201</t>
  </si>
  <si>
    <t>Población en Control del Programa de Salud Cardiovascular por Sexo en la Región de Antofagasta, 2012-2018</t>
  </si>
  <si>
    <t>https://analytics.zoho.com/open-view/2395394000008463332?ZOHO_CRITERIA=%22Uni%C3%B3n%202.11-2.12%22.%22C%C3%B3digo%20Regi%C3%B3n%22%20%3D%202</t>
  </si>
  <si>
    <t>Población en Control del Programa de Salud Cardiovascular por Sexo en la Región de Atacama, 2012-2018</t>
  </si>
  <si>
    <t>https://analytics.zoho.com/open-view/2395394000008463332?ZOHO_CRITERIA=%22Uni%C3%B3n%202.11-2.12%22.%22C%C3%B3digo%20Regi%C3%B3n%22%20%3D%203</t>
  </si>
  <si>
    <t>Población en Control del Programa de Salud Cardiovascular por Sexo en la Región de Coquimbo, 2012-2018</t>
  </si>
  <si>
    <t>https://analytics.zoho.com/open-view/2395394000008463332?ZOHO_CRITERIA=%22Uni%C3%B3n%202.11-2.12%22.%22C%C3%B3digo%20Regi%C3%B3n%22%20%3D%204</t>
  </si>
  <si>
    <t>Población en Control del Programa de Salud Cardiovascular por Sexo en la Región de Valparaíso, 2012-2018</t>
  </si>
  <si>
    <t>https://analytics.zoho.com/open-view/2395394000008463332?ZOHO_CRITERIA=%22Uni%C3%B3n%202.11-2.12%22.%22C%C3%B3digo%20Regi%C3%B3n%22%20%3D%205</t>
  </si>
  <si>
    <t>Población en Control del Programa de Salud Cardiovascular por Sexo en la Región de O'Higgins, 2012-2018</t>
  </si>
  <si>
    <t>https://analytics.zoho.com/open-view/2395394000008463332?ZOHO_CRITERIA=%22Uni%C3%B3n%202.11-2.12%22.%22C%C3%B3digo%20Regi%C3%B3n%22%20%3D%206</t>
  </si>
  <si>
    <t>Población en Control del Programa de Salud Cardiovascular por Sexo en la Región de Maule, 2012-2018</t>
  </si>
  <si>
    <t>https://analytics.zoho.com/open-view/2395394000008463332?ZOHO_CRITERIA=%22Uni%C3%B3n%202.11-2.12%22.%22C%C3%B3digo%20Regi%C3%B3n%22%20%3D%207</t>
  </si>
  <si>
    <t>Población en Control del Programa de Salud Cardiovascular por Sexo en la Región del Biobío, 2012-2018</t>
  </si>
  <si>
    <t>https://analytics.zoho.com/open-view/2395394000008463332?ZOHO_CRITERIA=%22Uni%C3%B3n%202.11-2.12%22.%22C%C3%B3digo%20Regi%C3%B3n%22%20%3D%208</t>
  </si>
  <si>
    <t>Población en Control del Programa de Salud Cardiovascular por Sexo en la Región de La Araucanía, 2012-2018</t>
  </si>
  <si>
    <t>https://analytics.zoho.com/open-view/2395394000008463332?ZOHO_CRITERIA=%22Uni%C3%B3n%202.11-2.12%22.%22C%C3%B3digo%20Regi%C3%B3n%22%20%3D%209</t>
  </si>
  <si>
    <t>Población en Control del Programa de Salud Cardiovascular por Sexo en la Región de Los Lagos, 2012-2018</t>
  </si>
  <si>
    <t>https://analytics.zoho.com/open-view/2395394000008463332?ZOHO_CRITERIA=%22Uni%C3%B3n%202.11-2.12%22.%22C%C3%B3digo%20Regi%C3%B3n%22%20%3D%2010</t>
  </si>
  <si>
    <t>Población en Control del Programa de Salud Cardiovascular por Sexo en la Región de Aysén, 2012-2018</t>
  </si>
  <si>
    <t>https://analytics.zoho.com/open-view/2395394000008463332?ZOHO_CRITERIA=%22Uni%C3%B3n%202.11-2.12%22.%22C%C3%B3digo%20Regi%C3%B3n%22%20%3D%2011</t>
  </si>
  <si>
    <t>Población en Control del Programa de Salud Cardiovascular por Sexo en la Región de Magallanes, 2012-2018</t>
  </si>
  <si>
    <t>https://analytics.zoho.com/open-view/2395394000008463332?ZOHO_CRITERIA=%22Uni%C3%B3n%202.11-2.12%22.%22C%C3%B3digo%20Regi%C3%B3n%22%20%3D%2012</t>
  </si>
  <si>
    <t>Población en Control del Programa de Salud Cardiovascular por Sexo en la Región Metropolitana, 2012-2018</t>
  </si>
  <si>
    <t>https://analytics.zoho.com/open-view/2395394000008463332?ZOHO_CRITERIA=%22Uni%C3%B3n%202.11-2.12%22.%22C%C3%B3digo%20Regi%C3%B3n%22%20%3D%2013</t>
  </si>
  <si>
    <t>Población en Control del Programa de Salud Cardiovascular por Sexo en la Región de Los Ríos, 2012-2018</t>
  </si>
  <si>
    <t>https://analytics.zoho.com/open-view/2395394000008463332?ZOHO_CRITERIA=%22Uni%C3%B3n%202.11-2.12%22.%22C%C3%B3digo%20Regi%C3%B3n%22%20%3D%2014</t>
  </si>
  <si>
    <t>Población en Control del Programa de Salud Cardiovascular por Sexo en la Región de Arica y Parinacota, 2012-2018</t>
  </si>
  <si>
    <t>https://analytics.zoho.com/open-view/2395394000008463332?ZOHO_CRITERIA=%22Uni%C3%B3n%202.11-2.12%22.%22C%C3%B3digo%20Regi%C3%B3n%22%20%3D%2015</t>
  </si>
  <si>
    <t>Población en Control del Programa de Salud Cardiovascular por Sexo en la Región de Ñuble, 2012-2018</t>
  </si>
  <si>
    <t>https://analytics.zoho.com/open-view/2395394000008463332?ZOHO_CRITERIA=%22Uni%C3%B3n%202.11-2.12%22.%22C%C3%B3digo%20Regi%C3%B3n%22%20%3D%2016</t>
  </si>
  <si>
    <t>Población en Control del Programa de Salud Cardiovascular por Rango Etario, Chile 2012-2018</t>
  </si>
  <si>
    <t>El año 2014 tuvo un peak de Población en Control del Programa de Salud Cardiovascular que superó los 8 millones de personas, siendo el rango etario que tuvo más pacientes el de" 65 y más años". El año 2018, los pacientes no superaron los 6 millones, siendo el rango etario mayoritario el comprendido entre los "55-64 años".</t>
  </si>
  <si>
    <t>https://analytics.zoho.com/open-view/2395394000008188448</t>
  </si>
  <si>
    <t>Población en Control del Programa de Salud Cardiovascular por Rango Etario en la Región de Tarapacá, 2012-2018</t>
  </si>
  <si>
    <t>https://analytics.zoho.com/open-view/2395394000008463071?ZOHO_CRITERIA=%22Uni%C3%B3n%202.11-2.12%22.%22C%C3%B3digo%20Regi%C3%B3n%22%20%3D%201</t>
  </si>
  <si>
    <t>Población en Control del Programa de Salud Cardiovascular por Rango Etario en la Región de Antofagasta, 2012-2018</t>
  </si>
  <si>
    <t>https://analytics.zoho.com/open-view/2395394000008463071?ZOHO_CRITERIA=%22Uni%C3%B3n%202.11-2.12%22.%22C%C3%B3digo%20Regi%C3%B3n%22%20%3D%202</t>
  </si>
  <si>
    <t>Población en Control del Programa de Salud Cardiovascular por Rango Etario en la Región de Atacama, 2012-2018</t>
  </si>
  <si>
    <t>https://analytics.zoho.com/open-view/2395394000008463071?ZOHO_CRITERIA=%22Uni%C3%B3n%202.11-2.12%22.%22C%C3%B3digo%20Regi%C3%B3n%22%20%3D%203</t>
  </si>
  <si>
    <t>Población en Control del Programa de Salud Cardiovascular por Rango Etario en la Región de Coquimbo, 2012-2018</t>
  </si>
  <si>
    <t>https://analytics.zoho.com/open-view/2395394000008463071?ZOHO_CRITERIA=%22Uni%C3%B3n%202.11-2.12%22.%22C%C3%B3digo%20Regi%C3%B3n%22%20%3D%204</t>
  </si>
  <si>
    <t>Población en Control del Programa de Salud Cardiovascular por Rango Etario en la Región de Valparaíso, 2012-2018</t>
  </si>
  <si>
    <t>https://analytics.zoho.com/open-view/2395394000008463071?ZOHO_CRITERIA=%22Uni%C3%B3n%202.11-2.12%22.%22C%C3%B3digo%20Regi%C3%B3n%22%20%3D%205</t>
  </si>
  <si>
    <t>Población en Control del Programa de Salud Cardiovascular por Rango Etario en la Región de O'Higgins, 2012-2018</t>
  </si>
  <si>
    <t>https://analytics.zoho.com/open-view/2395394000008463071?ZOHO_CRITERIA=%22Uni%C3%B3n%202.11-2.12%22.%22C%C3%B3digo%20Regi%C3%B3n%22%20%3D%206</t>
  </si>
  <si>
    <t>Población en Control del Programa de Salud Cardiovascular por Rango Etario en la Región de Maule, 2012-2018</t>
  </si>
  <si>
    <t>https://analytics.zoho.com/open-view/2395394000008463071?ZOHO_CRITERIA=%22Uni%C3%B3n%202.11-2.12%22.%22C%C3%B3digo%20Regi%C3%B3n%22%20%3D%207</t>
  </si>
  <si>
    <t>Población en Control del Programa de Salud Cardiovascular por Rango Etario en la Región del Biobío, 2012-2018</t>
  </si>
  <si>
    <t>https://analytics.zoho.com/open-view/2395394000008463071?ZOHO_CRITERIA=%22Uni%C3%B3n%202.11-2.12%22.%22C%C3%B3digo%20Regi%C3%B3n%22%20%3D%208</t>
  </si>
  <si>
    <t>Población en Control del Programa de Salud Cardiovascular por Rango Etario en la Región de La Araucanía, 2012-2018</t>
  </si>
  <si>
    <t>https://analytics.zoho.com/open-view/2395394000008463071?ZOHO_CRITERIA=%22Uni%C3%B3n%202.11-2.12%22.%22C%C3%B3digo%20Regi%C3%B3n%22%20%3D%209</t>
  </si>
  <si>
    <t>Población en Control del Programa de Salud Cardiovascular por Rango Etario en la Región de Los Lagos, 2012-2018</t>
  </si>
  <si>
    <t>https://analytics.zoho.com/open-view/2395394000008463071?ZOHO_CRITERIA=%22Uni%C3%B3n%202.11-2.12%22.%22C%C3%B3digo%20Regi%C3%B3n%22%20%3D%2010</t>
  </si>
  <si>
    <t>Población en Control del Programa de Salud Cardiovascular por Rango Etario en la Región de Aysén, 2012-2018</t>
  </si>
  <si>
    <t>https://analytics.zoho.com/open-view/2395394000008463071?ZOHO_CRITERIA=%22Uni%C3%B3n%202.11-2.12%22.%22C%C3%B3digo%20Regi%C3%B3n%22%20%3D%2011</t>
  </si>
  <si>
    <t>Población en Control del Programa de Salud Cardiovascular por Rango Etario en la Región de Magallanes, 2012-2018</t>
  </si>
  <si>
    <t>https://analytics.zoho.com/open-view/2395394000008463071?ZOHO_CRITERIA=%22Uni%C3%B3n%202.11-2.12%22.%22C%C3%B3digo%20Regi%C3%B3n%22%20%3D%2012</t>
  </si>
  <si>
    <t>Población en Control del Programa de Salud Cardiovascular por Rango Etario en la Región Metropolitana, 2012-2018</t>
  </si>
  <si>
    <t>https://analytics.zoho.com/open-view/2395394000008463071?ZOHO_CRITERIA=%22Uni%C3%B3n%202.11-2.12%22.%22C%C3%B3digo%20Regi%C3%B3n%22%20%3D%2013</t>
  </si>
  <si>
    <t>Población en Control del Programa de Salud Cardiovascular por Rango Etario en la Región de Los Ríos, 2012-2018</t>
  </si>
  <si>
    <t>https://analytics.zoho.com/open-view/2395394000008463071?ZOHO_CRITERIA=%22Uni%C3%B3n%202.11-2.12%22.%22C%C3%B3digo%20Regi%C3%B3n%22%20%3D%2014</t>
  </si>
  <si>
    <t>Población en Control del Programa de Salud Cardiovascular por Rango Etario en la Región de Arica y Parinacota, 2012-2018</t>
  </si>
  <si>
    <t>https://analytics.zoho.com/open-view/2395394000008463071?ZOHO_CRITERIA=%22Uni%C3%B3n%202.11-2.12%22.%22C%C3%B3digo%20Regi%C3%B3n%22%20%3D%2015</t>
  </si>
  <si>
    <t>Población en Control del Programa de Salud Cardiovascular por Rango Etario en la Región de Ñuble, 2012-2018</t>
  </si>
  <si>
    <t>https://analytics.zoho.com/open-view/2395394000008463071?ZOHO_CRITERIA=%22Uni%C3%B3n%202.11-2.12%22.%22C%C3%B3digo%20Regi%C3%B3n%22%20%3D%2016</t>
  </si>
  <si>
    <t>Producción Manufacturera</t>
  </si>
  <si>
    <t>Total Trabajo</t>
  </si>
  <si>
    <t>Total Gestión Municipal de Educación</t>
  </si>
  <si>
    <t>Total Pobreza</t>
  </si>
  <si>
    <t>Total Protección de Menores</t>
  </si>
  <si>
    <t>DMCS - Robo con Violencia o Intimidación</t>
  </si>
  <si>
    <t>DMCS - Homicidio</t>
  </si>
  <si>
    <t>DMCS - Homicidio y Violación</t>
  </si>
  <si>
    <t>Parque Vehicular Taxis</t>
  </si>
  <si>
    <t>Delitos de Mayor Connotación Social (DMCS)</t>
  </si>
  <si>
    <t xml:space="preserve">Superficie Autorizada </t>
  </si>
  <si>
    <t>Métricas de la Educación</t>
  </si>
  <si>
    <t>Pesca y Acuicultura</t>
  </si>
  <si>
    <t>Total Métricas de la Educación</t>
  </si>
  <si>
    <t>Total Pesca y Acuicultura</t>
  </si>
  <si>
    <t>#1774B10</t>
  </si>
  <si>
    <t>#1774B11</t>
  </si>
  <si>
    <t>#1774B12</t>
  </si>
  <si>
    <t>#1774B13</t>
  </si>
  <si>
    <t>#1774B14</t>
  </si>
  <si>
    <t>#1774B15</t>
  </si>
  <si>
    <t>#1774B16</t>
  </si>
  <si>
    <t>#1774B17</t>
  </si>
  <si>
    <t>#1774B18</t>
  </si>
  <si>
    <t>#1774B19</t>
  </si>
  <si>
    <t>#1774B20</t>
  </si>
  <si>
    <t>#1774B21</t>
  </si>
  <si>
    <t>#1774B22</t>
  </si>
  <si>
    <t>#1774B23</t>
  </si>
  <si>
    <t>#1774B24</t>
  </si>
  <si>
    <t>#1774B25</t>
  </si>
  <si>
    <t>#1774B26</t>
  </si>
  <si>
    <t>#1774B27</t>
  </si>
  <si>
    <t>#1774B28</t>
  </si>
  <si>
    <t>#1774B29</t>
  </si>
  <si>
    <t>#1774B30</t>
  </si>
  <si>
    <t>#1774B31</t>
  </si>
  <si>
    <t>#1774B32</t>
  </si>
  <si>
    <t>#1774B33</t>
  </si>
  <si>
    <t>#1774B34</t>
  </si>
  <si>
    <t>#1774B35</t>
  </si>
  <si>
    <t>#1774B36</t>
  </si>
  <si>
    <t>#1774B37</t>
  </si>
  <si>
    <t>#1774B38</t>
  </si>
  <si>
    <t>#1774B39</t>
  </si>
  <si>
    <t>#1774B40</t>
  </si>
  <si>
    <t>#1774B41</t>
  </si>
  <si>
    <t>#1774B42</t>
  </si>
  <si>
    <t>#1774B43</t>
  </si>
  <si>
    <t>#1774B44</t>
  </si>
  <si>
    <t>#1774B45</t>
  </si>
  <si>
    <t>#1774B46</t>
  </si>
  <si>
    <t>#1774B47</t>
  </si>
  <si>
    <t>#1774B48</t>
  </si>
  <si>
    <t>#1774B49</t>
  </si>
  <si>
    <t>#1774B50</t>
  </si>
  <si>
    <t>#1774B51</t>
  </si>
  <si>
    <t>#1774B52</t>
  </si>
  <si>
    <t>#1774B53</t>
  </si>
  <si>
    <t>#1774B54</t>
  </si>
  <si>
    <t>#1774B55</t>
  </si>
  <si>
    <t>#1774B56</t>
  </si>
  <si>
    <t>#1774B57</t>
  </si>
  <si>
    <t>#1774B58</t>
  </si>
  <si>
    <t>#1774B59</t>
  </si>
  <si>
    <t>#1774B60</t>
  </si>
  <si>
    <t>#1774B61</t>
  </si>
  <si>
    <t>#1774B62</t>
  </si>
  <si>
    <t>#1774B63</t>
  </si>
  <si>
    <t>#1774B64</t>
  </si>
  <si>
    <t>#1774B65</t>
  </si>
  <si>
    <t>#1774B66</t>
  </si>
  <si>
    <t>#1774B67</t>
  </si>
  <si>
    <t>#1774B68</t>
  </si>
  <si>
    <t>#1774B69</t>
  </si>
  <si>
    <t>#1774B70</t>
  </si>
  <si>
    <t>#1774B71</t>
  </si>
  <si>
    <t>#1774B72</t>
  </si>
  <si>
    <t>#1774B73</t>
  </si>
  <si>
    <t>#1774B74</t>
  </si>
  <si>
    <t>#1774B75</t>
  </si>
  <si>
    <t>#1774B76</t>
  </si>
  <si>
    <t>#1774B77</t>
  </si>
  <si>
    <t>#1774B78</t>
  </si>
  <si>
    <t>#1774B79</t>
  </si>
  <si>
    <t>#1774B80</t>
  </si>
  <si>
    <t>#1774B81</t>
  </si>
  <si>
    <t>#1774B82</t>
  </si>
  <si>
    <t>#1774B83</t>
  </si>
  <si>
    <t>#1774B84</t>
  </si>
  <si>
    <t>#1774B85</t>
  </si>
  <si>
    <t>#1774B86</t>
  </si>
  <si>
    <t>#1774B87</t>
  </si>
  <si>
    <t>#1774B88</t>
  </si>
  <si>
    <t>#1774B89</t>
  </si>
  <si>
    <t>#1774B90</t>
  </si>
  <si>
    <t>#1774B91</t>
  </si>
  <si>
    <t>#1774B92</t>
  </si>
  <si>
    <t>#1774B93</t>
  </si>
  <si>
    <t>#1774B94</t>
  </si>
  <si>
    <t>#1774B95</t>
  </si>
  <si>
    <t>#1774B96</t>
  </si>
  <si>
    <t>#1774B97</t>
  </si>
  <si>
    <t>#1774B98</t>
  </si>
  <si>
    <t>#1774B99</t>
  </si>
  <si>
    <t>#1774B100</t>
  </si>
  <si>
    <t>#1774B101</t>
  </si>
  <si>
    <t>#1774B102</t>
  </si>
  <si>
    <t>#1774B103</t>
  </si>
  <si>
    <t>#1774B104</t>
  </si>
  <si>
    <t>#1774B105</t>
  </si>
  <si>
    <t>#1774B106</t>
  </si>
  <si>
    <t>#1774B107</t>
  </si>
  <si>
    <t>#1774B108</t>
  </si>
  <si>
    <t>#1774B109</t>
  </si>
  <si>
    <t>#1774B110</t>
  </si>
  <si>
    <t>#1774B111</t>
  </si>
  <si>
    <t>#1774B112</t>
  </si>
  <si>
    <t>#1774B113</t>
  </si>
  <si>
    <t>#1774B114</t>
  </si>
  <si>
    <t>#1774B115</t>
  </si>
  <si>
    <t>#1774B116</t>
  </si>
  <si>
    <t>#1774B117</t>
  </si>
  <si>
    <t>#1774B118</t>
  </si>
  <si>
    <t>#1774B119</t>
  </si>
  <si>
    <t>#1774B120</t>
  </si>
  <si>
    <t>#1774B121</t>
  </si>
  <si>
    <t>#1774B122</t>
  </si>
  <si>
    <t>#1774B123</t>
  </si>
  <si>
    <t>#1774B124</t>
  </si>
  <si>
    <t>#1774B125</t>
  </si>
  <si>
    <t>#1774B126</t>
  </si>
  <si>
    <t>#1774B127</t>
  </si>
  <si>
    <t>#1774B128</t>
  </si>
  <si>
    <t>#1774B129</t>
  </si>
  <si>
    <t>#1774B130</t>
  </si>
  <si>
    <t>#1774B131</t>
  </si>
  <si>
    <t>#1774B132</t>
  </si>
  <si>
    <t>#1774B133</t>
  </si>
  <si>
    <t>#1774B134</t>
  </si>
  <si>
    <t>#1774B135</t>
  </si>
  <si>
    <t>#1774B136</t>
  </si>
  <si>
    <t>#1774B137</t>
  </si>
  <si>
    <t>#1774B138</t>
  </si>
  <si>
    <t>#1774B139</t>
  </si>
  <si>
    <t>#1774B140</t>
  </si>
  <si>
    <t>#1774B141</t>
  </si>
  <si>
    <t>#1774B142</t>
  </si>
  <si>
    <t>#1774B143</t>
  </si>
  <si>
    <t>#1774B144</t>
  </si>
  <si>
    <t>#1774B145</t>
  </si>
  <si>
    <t>#1774B146</t>
  </si>
  <si>
    <t>#1774B147</t>
  </si>
  <si>
    <t>#1774B148</t>
  </si>
  <si>
    <t>#1774B149</t>
  </si>
  <si>
    <t>#1774B150</t>
  </si>
  <si>
    <t>#1774B151</t>
  </si>
  <si>
    <t>#1774B152</t>
  </si>
  <si>
    <t>#1774B153</t>
  </si>
  <si>
    <t>#1774B154</t>
  </si>
  <si>
    <t>#1774B155</t>
  </si>
  <si>
    <t>#1774B156</t>
  </si>
  <si>
    <t>#1774B157</t>
  </si>
  <si>
    <t>#1774B158</t>
  </si>
  <si>
    <t>#1774B159</t>
  </si>
  <si>
    <t>#1774B160</t>
  </si>
  <si>
    <t>#1774B161</t>
  </si>
  <si>
    <t>#1774B162</t>
  </si>
  <si>
    <t>#1774B163</t>
  </si>
  <si>
    <t>#1774B164</t>
  </si>
  <si>
    <t>#1774B165</t>
  </si>
  <si>
    <t>#1774B166</t>
  </si>
  <si>
    <t>#1774B167</t>
  </si>
  <si>
    <t>#1774B168</t>
  </si>
  <si>
    <t>#1774B169</t>
  </si>
  <si>
    <t>#1774B170</t>
  </si>
  <si>
    <t>#1774B171</t>
  </si>
  <si>
    <t>#1774B172</t>
  </si>
  <si>
    <t>#1774B173</t>
  </si>
  <si>
    <t>#1774B174</t>
  </si>
  <si>
    <t>#1774B175</t>
  </si>
  <si>
    <t>#1774B176</t>
  </si>
  <si>
    <t>#1774B177</t>
  </si>
  <si>
    <t>#1774B178</t>
  </si>
  <si>
    <t>#1774B179</t>
  </si>
  <si>
    <t>#1774B180</t>
  </si>
  <si>
    <t>#1774B181</t>
  </si>
  <si>
    <t>#1774B182</t>
  </si>
  <si>
    <t>#1774B183</t>
  </si>
  <si>
    <t>#1774B184</t>
  </si>
  <si>
    <t>#1774B185</t>
  </si>
  <si>
    <t>#1774B186</t>
  </si>
  <si>
    <t>#1774B187</t>
  </si>
  <si>
    <t>#1774B188</t>
  </si>
  <si>
    <t>#1774B189</t>
  </si>
  <si>
    <t>#1774B190</t>
  </si>
  <si>
    <t>#1774B191</t>
  </si>
  <si>
    <t>#1774B192</t>
  </si>
  <si>
    <t>#1774B193</t>
  </si>
  <si>
    <t>#1774B194</t>
  </si>
  <si>
    <t>#1774B195</t>
  </si>
  <si>
    <t>#1774B196</t>
  </si>
  <si>
    <t>#1774B197</t>
  </si>
  <si>
    <t>#1774B198</t>
  </si>
  <si>
    <t>#1774B199</t>
  </si>
  <si>
    <t>#1774B200</t>
  </si>
  <si>
    <t>#1774B201</t>
  </si>
  <si>
    <t>#1774B202</t>
  </si>
  <si>
    <t>#1774B203</t>
  </si>
  <si>
    <t>#1774B204</t>
  </si>
  <si>
    <t>#1774B205</t>
  </si>
  <si>
    <t>#1774B206</t>
  </si>
  <si>
    <t>#1774B207</t>
  </si>
  <si>
    <t>#1774B208</t>
  </si>
  <si>
    <t>#1774B209</t>
  </si>
  <si>
    <t>#1774B210</t>
  </si>
  <si>
    <t>#1774B211</t>
  </si>
  <si>
    <t>#1774B212</t>
  </si>
  <si>
    <t>#1774B213</t>
  </si>
  <si>
    <t>#1774B214</t>
  </si>
  <si>
    <t>#1774B215</t>
  </si>
  <si>
    <t>#1774B216</t>
  </si>
  <si>
    <t>#1774B217</t>
  </si>
  <si>
    <t>#1774B218</t>
  </si>
  <si>
    <t>#1774B219</t>
  </si>
  <si>
    <t>#1774B220</t>
  </si>
  <si>
    <t>#1774B221</t>
  </si>
  <si>
    <t>#1774B222</t>
  </si>
  <si>
    <t>#1774B223</t>
  </si>
  <si>
    <t>#1774B224</t>
  </si>
  <si>
    <t>#1774B225</t>
  </si>
  <si>
    <t>#1774B226</t>
  </si>
  <si>
    <t>#1774B227</t>
  </si>
  <si>
    <t>#1774B228</t>
  </si>
  <si>
    <t>#1774B229</t>
  </si>
  <si>
    <t>#1774B230</t>
  </si>
  <si>
    <t>#1774B231</t>
  </si>
  <si>
    <t>#1774B232</t>
  </si>
  <si>
    <t>#1774B233</t>
  </si>
  <si>
    <t>#1774B234</t>
  </si>
  <si>
    <t>#1774B235</t>
  </si>
  <si>
    <t>#1774B236</t>
  </si>
  <si>
    <t>#1774B237</t>
  </si>
  <si>
    <t>#1774B238</t>
  </si>
  <si>
    <t>#1774B239</t>
  </si>
  <si>
    <t>#1774B240</t>
  </si>
  <si>
    <t>#1774B241</t>
  </si>
  <si>
    <t>#1774B242</t>
  </si>
  <si>
    <t>#1774B243</t>
  </si>
  <si>
    <t>#1774B244</t>
  </si>
  <si>
    <t>#1774B245</t>
  </si>
  <si>
    <t>#1774B246</t>
  </si>
  <si>
    <t>#1774B247</t>
  </si>
  <si>
    <t>#1774B248</t>
  </si>
  <si>
    <t>#1774B249</t>
  </si>
  <si>
    <t>#1774B250</t>
  </si>
  <si>
    <t>#1774B251</t>
  </si>
  <si>
    <t>#1774B252</t>
  </si>
  <si>
    <t>#1774B253</t>
  </si>
  <si>
    <t>#1774B254</t>
  </si>
  <si>
    <t>#1774B255</t>
  </si>
  <si>
    <t>#1774B256</t>
  </si>
  <si>
    <t>#1774B257</t>
  </si>
  <si>
    <t>#1774B258</t>
  </si>
  <si>
    <t>#1774B259</t>
  </si>
  <si>
    <t>#1774B260</t>
  </si>
  <si>
    <t>#1774B261</t>
  </si>
  <si>
    <t>#1774B262</t>
  </si>
  <si>
    <t>#1774B263</t>
  </si>
  <si>
    <t>#1774B264</t>
  </si>
  <si>
    <t>#1774B265</t>
  </si>
  <si>
    <t>#1774B266</t>
  </si>
  <si>
    <t>#1774B267</t>
  </si>
  <si>
    <t>#1774B268</t>
  </si>
  <si>
    <t>#1774B269</t>
  </si>
  <si>
    <t>#1774B270</t>
  </si>
  <si>
    <t>#1774B271</t>
  </si>
  <si>
    <t>#1774B272</t>
  </si>
  <si>
    <t>#1774B273</t>
  </si>
  <si>
    <t>#1774B274</t>
  </si>
  <si>
    <t>#1774B275</t>
  </si>
  <si>
    <t>#1774B276</t>
  </si>
  <si>
    <t>#1774B277</t>
  </si>
  <si>
    <t>#1774B278</t>
  </si>
  <si>
    <t>#1774B279</t>
  </si>
  <si>
    <t>#1774B280</t>
  </si>
  <si>
    <t>#1774B281</t>
  </si>
  <si>
    <t>#1774B282</t>
  </si>
  <si>
    <t>#1774B283</t>
  </si>
  <si>
    <t>#1774B284</t>
  </si>
  <si>
    <t>#1774B285</t>
  </si>
  <si>
    <t>#1774B286</t>
  </si>
  <si>
    <t>#1774B287</t>
  </si>
  <si>
    <t>#1774B288</t>
  </si>
  <si>
    <t>#1774B289</t>
  </si>
  <si>
    <t>#1774B290</t>
  </si>
  <si>
    <t>#1774B291</t>
  </si>
  <si>
    <t>#1774B292</t>
  </si>
  <si>
    <t>#1774B293</t>
  </si>
  <si>
    <t>#1774B294</t>
  </si>
  <si>
    <t>#1774B295</t>
  </si>
  <si>
    <t>#1774B296</t>
  </si>
  <si>
    <t>#1774B297</t>
  </si>
  <si>
    <t>#1774B298</t>
  </si>
  <si>
    <t>#1774B299</t>
  </si>
  <si>
    <t>#1774B300</t>
  </si>
  <si>
    <t>#1774B301</t>
  </si>
  <si>
    <t>#1774B302</t>
  </si>
  <si>
    <t>#1774B303</t>
  </si>
  <si>
    <t>#1774B304</t>
  </si>
  <si>
    <t>#1774B305</t>
  </si>
  <si>
    <t>#1774B307</t>
  </si>
  <si>
    <t>#1774B308</t>
  </si>
  <si>
    <t>#1774B309</t>
  </si>
  <si>
    <t>#1774B310</t>
  </si>
  <si>
    <t>#1774B311</t>
  </si>
  <si>
    <t>#1774B312</t>
  </si>
  <si>
    <t>#1774B313</t>
  </si>
  <si>
    <t>#1774B314</t>
  </si>
  <si>
    <t>#1774B315</t>
  </si>
  <si>
    <t>#1774B316</t>
  </si>
  <si>
    <t>#1774B317</t>
  </si>
  <si>
    <t>#1774B318</t>
  </si>
  <si>
    <t>#1774B319</t>
  </si>
  <si>
    <t>#1774B320</t>
  </si>
  <si>
    <t>#1774B321</t>
  </si>
  <si>
    <t>#1774B322</t>
  </si>
  <si>
    <t>#1774B323</t>
  </si>
  <si>
    <t>#1774B324</t>
  </si>
  <si>
    <t>#1774B325</t>
  </si>
  <si>
    <t>#1774B326</t>
  </si>
  <si>
    <t>#1774B327</t>
  </si>
  <si>
    <t>#1774B328</t>
  </si>
  <si>
    <t>#1774B329</t>
  </si>
  <si>
    <t>#1774B330</t>
  </si>
  <si>
    <t>#1774B331</t>
  </si>
  <si>
    <t>#1774B332</t>
  </si>
  <si>
    <t>#1774B333</t>
  </si>
  <si>
    <t>#1774B334</t>
  </si>
  <si>
    <t>#1774B335</t>
  </si>
  <si>
    <t>#1774B336</t>
  </si>
  <si>
    <t>#1774B337</t>
  </si>
  <si>
    <t>#1774B338</t>
  </si>
  <si>
    <t>#1774B339</t>
  </si>
  <si>
    <t>#1774B340</t>
  </si>
  <si>
    <t>#1774B341</t>
  </si>
  <si>
    <t>#1774B342</t>
  </si>
  <si>
    <t>#1774B343</t>
  </si>
  <si>
    <t>#1774B344</t>
  </si>
  <si>
    <t>#1774B345</t>
  </si>
  <si>
    <t>#1774B346</t>
  </si>
  <si>
    <t>#1774B347</t>
  </si>
  <si>
    <t>#1774B348</t>
  </si>
  <si>
    <t>#1774B349</t>
  </si>
  <si>
    <t>#1774B350</t>
  </si>
  <si>
    <t>#1774B351</t>
  </si>
  <si>
    <t>#1774B352</t>
  </si>
  <si>
    <t>#1774B353</t>
  </si>
  <si>
    <t>#1774B354</t>
  </si>
  <si>
    <t>#1774B355</t>
  </si>
  <si>
    <t>#1774B356</t>
  </si>
  <si>
    <t>#1774B357</t>
  </si>
  <si>
    <t>#1774B358</t>
  </si>
  <si>
    <t>#1774B359</t>
  </si>
  <si>
    <t>#1774B360</t>
  </si>
  <si>
    <t>#1774B361</t>
  </si>
  <si>
    <t>#1774B362</t>
  </si>
  <si>
    <t>#1774B363</t>
  </si>
  <si>
    <t>#1774B364</t>
  </si>
  <si>
    <t>#1774B365</t>
  </si>
  <si>
    <t>#1774B366</t>
  </si>
  <si>
    <t>#1774B367</t>
  </si>
  <si>
    <t>#1774B368</t>
  </si>
  <si>
    <t>#1774B369</t>
  </si>
  <si>
    <t>#1774B370</t>
  </si>
  <si>
    <t>#1774B371</t>
  </si>
  <si>
    <t>#1774B372</t>
  </si>
  <si>
    <t>#1774B373</t>
  </si>
  <si>
    <t>#1774B374</t>
  </si>
  <si>
    <t>#1774B375</t>
  </si>
  <si>
    <t>#1774B376</t>
  </si>
  <si>
    <t>#1774B377</t>
  </si>
  <si>
    <t>#1774B378</t>
  </si>
  <si>
    <t>#1774B379</t>
  </si>
  <si>
    <t>#1774B380</t>
  </si>
  <si>
    <t>#1774B381</t>
  </si>
  <si>
    <t>#1774B382</t>
  </si>
  <si>
    <t>#1774B383</t>
  </si>
  <si>
    <t>#1774B384</t>
  </si>
  <si>
    <t>#1774B385</t>
  </si>
  <si>
    <t>#1774B386</t>
  </si>
  <si>
    <t>#1774B387</t>
  </si>
  <si>
    <t>#1774B388</t>
  </si>
  <si>
    <t>#1774B389</t>
  </si>
  <si>
    <t>#1774B390</t>
  </si>
  <si>
    <t>#1774B391</t>
  </si>
  <si>
    <t>#1774B392</t>
  </si>
  <si>
    <t>#1774B393</t>
  </si>
  <si>
    <t>#1774B394</t>
  </si>
  <si>
    <t>#1774B395</t>
  </si>
  <si>
    <t>#1774B396</t>
  </si>
  <si>
    <t>#1774B397</t>
  </si>
  <si>
    <t>#1774B398</t>
  </si>
  <si>
    <t>#1774B399</t>
  </si>
  <si>
    <t>#1774B400</t>
  </si>
  <si>
    <t>#1774B401</t>
  </si>
  <si>
    <t>#1774B402</t>
  </si>
  <si>
    <t>#1774B403</t>
  </si>
  <si>
    <t>#1774B404</t>
  </si>
  <si>
    <t>#1774B405</t>
  </si>
  <si>
    <t>#1774B406</t>
  </si>
  <si>
    <t>#1774B407</t>
  </si>
  <si>
    <t>#1774B408</t>
  </si>
  <si>
    <t>#1774B409</t>
  </si>
  <si>
    <t>#1774B410</t>
  </si>
  <si>
    <t>#1774B411</t>
  </si>
  <si>
    <t>#1774B412</t>
  </si>
  <si>
    <t>#1774B413</t>
  </si>
  <si>
    <t>#1774B414</t>
  </si>
  <si>
    <t>#1774B415</t>
  </si>
  <si>
    <t>#1774B416</t>
  </si>
  <si>
    <t>#1774B417</t>
  </si>
  <si>
    <t>#1774B418</t>
  </si>
  <si>
    <t>#1774B419</t>
  </si>
  <si>
    <t>#1774B420</t>
  </si>
  <si>
    <t>#1774B421</t>
  </si>
  <si>
    <t>#1774B422</t>
  </si>
  <si>
    <t>#1774B423</t>
  </si>
  <si>
    <t>#1774B424</t>
  </si>
  <si>
    <t>#1774B425</t>
  </si>
  <si>
    <t>#1774B426</t>
  </si>
  <si>
    <t>#1774B427</t>
  </si>
  <si>
    <t>#1774B428</t>
  </si>
  <si>
    <t>#1774B429</t>
  </si>
  <si>
    <t>#1774B430</t>
  </si>
  <si>
    <t>#1774B431</t>
  </si>
  <si>
    <t>#1774B432</t>
  </si>
  <si>
    <t>#1774B433</t>
  </si>
  <si>
    <t>#1774B434</t>
  </si>
  <si>
    <t>#1774B435</t>
  </si>
  <si>
    <t>#1774B436</t>
  </si>
  <si>
    <t>#1774B437</t>
  </si>
  <si>
    <t>#1774B438</t>
  </si>
  <si>
    <t>#1774B439</t>
  </si>
  <si>
    <t>#1774B440</t>
  </si>
  <si>
    <t>#1774B441</t>
  </si>
  <si>
    <t>#1774B442</t>
  </si>
  <si>
    <t>#1774B443</t>
  </si>
  <si>
    <t>#1774B444</t>
  </si>
  <si>
    <t>#1774B445</t>
  </si>
  <si>
    <t>#1774B446</t>
  </si>
  <si>
    <t>#1774B447</t>
  </si>
  <si>
    <t>#1774B448</t>
  </si>
  <si>
    <t>#1774B449</t>
  </si>
  <si>
    <t>#1774B450</t>
  </si>
  <si>
    <t>#1774B451</t>
  </si>
  <si>
    <t>#1774B452</t>
  </si>
  <si>
    <t>#1774B453</t>
  </si>
  <si>
    <t>#1774B454</t>
  </si>
  <si>
    <t>#1774B455</t>
  </si>
  <si>
    <t>#1774B456</t>
  </si>
  <si>
    <t>#1774B457</t>
  </si>
  <si>
    <t>#1774B458</t>
  </si>
  <si>
    <t>#1774B459</t>
  </si>
  <si>
    <t>#1774B460</t>
  </si>
  <si>
    <t>#1774B461</t>
  </si>
  <si>
    <t>#1774B462</t>
  </si>
  <si>
    <t>#1774B463</t>
  </si>
  <si>
    <t>#1774B464</t>
  </si>
  <si>
    <t>#1774B465</t>
  </si>
  <si>
    <t>#1774B466</t>
  </si>
  <si>
    <t>#1774B467</t>
  </si>
  <si>
    <t>#1774B468</t>
  </si>
  <si>
    <t>#1774B469</t>
  </si>
  <si>
    <t>#1774B470</t>
  </si>
  <si>
    <t>#1774B471</t>
  </si>
  <si>
    <t>#1774B472</t>
  </si>
  <si>
    <t>#1774B473</t>
  </si>
  <si>
    <t>#1774B474</t>
  </si>
  <si>
    <t>#1774B475</t>
  </si>
  <si>
    <t>#1774B476</t>
  </si>
  <si>
    <t>#1774B477</t>
  </si>
  <si>
    <t>#1774B478</t>
  </si>
  <si>
    <t>#1774B479</t>
  </si>
  <si>
    <t>#1774B480</t>
  </si>
  <si>
    <t>#1774B481</t>
  </si>
  <si>
    <t>#1774B482</t>
  </si>
  <si>
    <t>#1774B483</t>
  </si>
  <si>
    <t>#1774B484</t>
  </si>
  <si>
    <t>#1774B485</t>
  </si>
  <si>
    <t>#1774B486</t>
  </si>
  <si>
    <t>#1774B487</t>
  </si>
  <si>
    <t>#1774B488</t>
  </si>
  <si>
    <t>#1774B489</t>
  </si>
  <si>
    <t>#1774B490</t>
  </si>
  <si>
    <t>#1774B491</t>
  </si>
  <si>
    <t>#1774B492</t>
  </si>
  <si>
    <t>#1774B493</t>
  </si>
  <si>
    <t>#1774B494</t>
  </si>
  <si>
    <t>#1774B495</t>
  </si>
  <si>
    <t>#1774B496</t>
  </si>
  <si>
    <t>#1774B497</t>
  </si>
  <si>
    <t>#1774B498</t>
  </si>
  <si>
    <t>#1774B499</t>
  </si>
  <si>
    <t>#1774B500</t>
  </si>
  <si>
    <t>#1774B501</t>
  </si>
  <si>
    <t>#1774B502</t>
  </si>
  <si>
    <t>#1774B503</t>
  </si>
  <si>
    <t>#1774B504</t>
  </si>
  <si>
    <t>#1774B505</t>
  </si>
  <si>
    <t>#1774B506</t>
  </si>
  <si>
    <t>#1774B507</t>
  </si>
  <si>
    <t>#1774B508</t>
  </si>
  <si>
    <t>#1774B509</t>
  </si>
  <si>
    <t>#1774B510</t>
  </si>
  <si>
    <t>#1774B511</t>
  </si>
  <si>
    <t>#1774B512</t>
  </si>
  <si>
    <t>#1774B513</t>
  </si>
  <si>
    <t>#1774B514</t>
  </si>
  <si>
    <t>#1774B515</t>
  </si>
  <si>
    <t>#1774B516</t>
  </si>
  <si>
    <t>#1774B517</t>
  </si>
  <si>
    <t>#1774B518</t>
  </si>
  <si>
    <t>#1774B519</t>
  </si>
  <si>
    <t>#1774B520</t>
  </si>
  <si>
    <t>#1774B521</t>
  </si>
  <si>
    <t>#1774B522</t>
  </si>
  <si>
    <t>#1774B523</t>
  </si>
  <si>
    <t>#1774B524</t>
  </si>
  <si>
    <t>#1774B525</t>
  </si>
  <si>
    <t>#1774B526</t>
  </si>
  <si>
    <t>#1774B527</t>
  </si>
  <si>
    <t>#1774B528</t>
  </si>
  <si>
    <t>#1774B529</t>
  </si>
  <si>
    <t>#1774B530</t>
  </si>
  <si>
    <t>#1774B531</t>
  </si>
  <si>
    <t>#1774B532</t>
  </si>
  <si>
    <t>#1774B533</t>
  </si>
  <si>
    <t>#1774B534</t>
  </si>
  <si>
    <t>#1774B535</t>
  </si>
  <si>
    <t>#1774B536</t>
  </si>
  <si>
    <t>#1774B537</t>
  </si>
  <si>
    <t>#1774B538</t>
  </si>
  <si>
    <t>#1774B539</t>
  </si>
  <si>
    <t>#1774B540</t>
  </si>
  <si>
    <t>#1774B541</t>
  </si>
  <si>
    <t>#1774B542</t>
  </si>
  <si>
    <t>#1774B543</t>
  </si>
  <si>
    <t>#1774B544</t>
  </si>
  <si>
    <t>#1774B545</t>
  </si>
  <si>
    <t>#1774B546</t>
  </si>
  <si>
    <t>#1774B547</t>
  </si>
  <si>
    <t>#1774B548</t>
  </si>
  <si>
    <t>#1774B549</t>
  </si>
  <si>
    <t>#1774B550</t>
  </si>
  <si>
    <t>#1774B551</t>
  </si>
  <si>
    <t>#1774B552</t>
  </si>
  <si>
    <t>#1774B553</t>
  </si>
  <si>
    <t>#1774B554</t>
  </si>
  <si>
    <t>#1774B555</t>
  </si>
  <si>
    <t>#1774B556</t>
  </si>
  <si>
    <t>#1774B557</t>
  </si>
  <si>
    <t>#1774B558</t>
  </si>
  <si>
    <t>#1774B559</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</si>
  <si>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</si>
  <si>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</si>
  <si>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</si>
  <si>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</si>
  <si>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</si>
  <si>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</si>
  <si>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</si>
  <si>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</si>
  <si>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</si>
  <si>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</si>
  <si>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</si>
  <si>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</si>
  <si>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</si>
  <si>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</si>
  <si>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</si>
  <si>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</si>
  <si>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</si>
  <si>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</si>
  <si>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</si>
  <si>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</si>
  <si>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</si>
  <si>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</si>
  <si>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</si>
  <si>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</si>
  <si>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</si>
  <si>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</si>
  <si>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</si>
  <si>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</si>
  <si>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</si>
  <si>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</si>
  <si>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</si>
  <si>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</si>
  <si>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</si>
  <si>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</si>
  <si>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</si>
  <si>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</si>
  <si>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</si>
  <si>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</si>
  <si>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</si>
  <si>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</si>
  <si>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</si>
  <si>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</si>
  <si>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</si>
  <si>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</si>
  <si>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</si>
  <si>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</si>
  <si>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</si>
  <si>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</si>
  <si>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</si>
  <si>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</si>
  <si>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</si>
  <si>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</si>
  <si>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</si>
  <si>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</si>
  <si>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</si>
  <si>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</si>
  <si>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</si>
  <si>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</si>
  <si>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</si>
  <si>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</si>
  <si>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</si>
  <si>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</si>
  <si>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</si>
  <si>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</si>
  <si>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</si>
  <si>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</si>
  <si>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</si>
  <si>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</si>
  <si>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</si>
  <si>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</si>
  <si>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</si>
  <si>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</si>
  <si>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</si>
  <si>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</si>
  <si>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</si>
  <si>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</si>
  <si>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</si>
  <si>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</si>
  <si>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</si>
  <si>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</si>
  <si>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</si>
  <si>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</si>
  <si>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</si>
  <si>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</si>
  <si>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</si>
  <si>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</si>
  <si>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</si>
  <si>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</si>
  <si>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</si>
  <si>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</si>
  <si>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</si>
  <si>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</si>
  <si>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</si>
  <si>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</si>
  <si>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</si>
  <si>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</si>
  <si>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</si>
  <si>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</si>
  <si>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</si>
  <si>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</si>
  <si>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</si>
  <si>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</si>
  <si>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</si>
  <si>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</si>
  <si>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</si>
  <si>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</si>
  <si>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</si>
  <si>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</si>
  <si>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</si>
  <si>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</si>
  <si>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</si>
  <si>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</si>
  <si>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</si>
  <si>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</si>
  <si>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</si>
  <si>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</si>
  <si>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</si>
  <si>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</si>
  <si>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</si>
  <si>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</si>
  <si>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</si>
  <si>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</si>
  <si>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</si>
  <si>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</si>
  <si>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</si>
  <si>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</si>
  <si>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</si>
  <si>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</si>
  <si>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</si>
  <si>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</si>
  <si>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</si>
  <si>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</si>
  <si>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</si>
  <si>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</si>
  <si>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</si>
  <si>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</si>
  <si>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</si>
  <si>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</si>
  <si>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</si>
  <si>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</si>
  <si>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</si>
  <si>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</si>
  <si>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</si>
  <si>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</si>
  <si>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</si>
  <si>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</si>
  <si>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</si>
  <si>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</si>
  <si>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</si>
  <si>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</si>
  <si>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</si>
  <si>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</si>
  <si>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</si>
  <si>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</si>
  <si>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</si>
  <si>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</si>
  <si>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</si>
  <si>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</si>
  <si>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</si>
  <si>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</si>
  <si>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</si>
  <si>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</si>
  <si>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</si>
  <si>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</si>
  <si>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</si>
  <si>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</si>
  <si>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</si>
  <si>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</si>
  <si>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</si>
  <si>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</si>
  <si>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</si>
  <si>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</si>
  <si>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</si>
  <si>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</si>
  <si>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</si>
  <si>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</si>
  <si>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</si>
  <si>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</si>
  <si>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</si>
  <si>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</si>
  <si>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</si>
  <si>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</si>
  <si>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</si>
  <si>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</si>
  <si>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</si>
  <si>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</si>
  <si>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</si>
  <si>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</si>
  <si>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</si>
  <si>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</si>
  <si>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</si>
  <si>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</si>
  <si>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</si>
  <si>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</si>
  <si>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</si>
  <si>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</si>
  <si>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</si>
  <si>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</si>
  <si>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</si>
  <si>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</si>
  <si>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</si>
  <si>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</si>
  <si>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</si>
  <si>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</si>
  <si>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</si>
  <si>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</si>
  <si>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</si>
  <si>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</si>
  <si>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</si>
  <si>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</si>
  <si>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</si>
  <si>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</si>
  <si>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</si>
  <si>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</si>
  <si>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</si>
  <si>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</si>
  <si>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</si>
  <si>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</si>
  <si>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</si>
  <si>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</si>
  <si>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</si>
  <si>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</si>
  <si>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</si>
  <si>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</si>
  <si>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</si>
  <si>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</si>
  <si>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</si>
  <si>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</si>
  <si>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</si>
  <si>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</si>
  <si>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</si>
  <si>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</si>
  <si>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</si>
  <si>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</si>
  <si>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</si>
  <si>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</si>
  <si>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</si>
  <si>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</si>
  <si>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</si>
  <si>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</si>
  <si>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</si>
  <si>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</si>
  <si>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</si>
  <si>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</si>
  <si>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</si>
  <si>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</si>
  <si>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</si>
  <si>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</si>
  <si>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</si>
  <si>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</si>
  <si>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</si>
  <si>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</si>
  <si>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</si>
  <si>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</si>
  <si>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</si>
  <si>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</si>
  <si>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</si>
  <si>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</si>
  <si>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</si>
  <si>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</si>
  <si>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</si>
  <si>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</si>
  <si>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</si>
  <si>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</si>
  <si>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</si>
  <si>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</si>
  <si>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</si>
  <si>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</si>
  <si>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</si>
  <si>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</si>
  <si>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</si>
  <si>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</si>
  <si>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</si>
  <si>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</si>
  <si>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</si>
  <si>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</si>
  <si>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</si>
  <si>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</si>
  <si>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</si>
  <si>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</si>
  <si>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</si>
  <si>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</si>
  <si>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</si>
  <si>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</si>
  <si>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</si>
  <si>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</si>
  <si>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</si>
  <si>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</si>
  <si>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</si>
  <si>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https://analytics.zoho.com/open-view/2395394000008378144</t>
  </si>
  <si>
    <t>https://app.powerbi.com/view?r=eyJrIjoiZDhlM2ZjNDQtYjE2My00NmY3LWE5ZjktNjI2NGZkMDA0Njc3IiwidCI6IjhmYmFhNWJmLTJlY2MtNGRjOC1iNTZiLThmOTJlMzA3ZjA3NiIsImMiOjR9&amp;pageName=ReportSection9386d36f00b3701c0c1d</t>
  </si>
  <si>
    <t>https://app.powerbi.com/view?r=eyJrIjoiNTY2Mjc1MmUtNDRjNy00NzU3LWE0MWYtOGE3MjJjM2Q1MzczIiwidCI6IjhmYmFhNWJmLTJlY2MtNGRjOC1iNTZiLThmOTJlMzA3ZjA3NiIsImMiOjR9</t>
  </si>
  <si>
    <t>https://app.powerbi.com/view?r=eyJrIjoiNzUwZmFjMGEtMTIyYy00YzZiLWFmYzEtZTc5N2IyNGYxZjEyIiwidCI6IjhmYmFhNWJmLTJlY2MtNGRjOC1iNTZiLThmOTJlMzA3ZjA3NiIsImMiOjR9</t>
  </si>
  <si>
    <t>https://app.powerbi.com/view?r=eyJrIjoiOGRjNzkwNzgtMWMzZS00NDhlLWEyNzAtZDJhMTkyZjc1Yjk5IiwidCI6IjhmYmFhNWJmLTJlY2MtNGRjOC1iNTZiLThmOTJlMzA3ZjA3NiIsImMiOjR9</t>
  </si>
  <si>
    <t>https://app.powerbi.com/view?r=eyJrIjoiODdiNDkxMDAtN2FhMC00YWU3LTg5NDEtOTU2ODRhN2E0ZjI3IiwidCI6IjhmYmFhNWJmLTJlY2MtNGRjOC1iNTZiLThmOTJlMzA3ZjA3NiIsImMiOjR9</t>
  </si>
  <si>
    <t>https://app.powerbi.com/view?r=eyJrIjoiYTZmOTVjYjUtNDdkNS00ODllLWIwNjctNjM3MjNkNmM2OTAwIiwidCI6IjhmYmFhNWJmLTJlY2MtNGRjOC1iNTZiLThmOTJlMzA3ZjA3NiIsImMiOjR9</t>
  </si>
  <si>
    <t>https://app.powerbi.com/view?r=eyJrIjoiOTI0NDRhY2ItZGVlZS00Mjk2LWE0NWMtZmJkMTJlMWZhZDk4IiwidCI6IjhmYmFhNWJmLTJlY2MtNGRjOC1iNTZiLThmOTJlMzA3ZjA3NiIsImMiOjR9</t>
  </si>
  <si>
    <t>https://app.powerbi.com/view?r=eyJrIjoiMTc0YzhlMjQtNWY1NC00Njc1LTgzOGItNzAzNGZjZTlhYTAxIiwidCI6IjhmYmFhNWJmLTJlY2MtNGRjOC1iNTZiLThmOTJlMzA3ZjA3NiIsImMiOjR9</t>
  </si>
  <si>
    <t>https://app.powerbi.com/view?r=eyJrIjoiZjc1MDVmYTEtY2RhMi00MjVlLWE4YmItODA0MmJhZmE0MzUwIiwidCI6IjhmYmFhNWJmLTJlY2MtNGRjOC1iNTZiLThmOTJlMzA3ZjA3NiIsImMiOjR9</t>
  </si>
  <si>
    <t>https://app.powerbi.com/view?r=eyJrIjoiMmY4NjE0ZDQtMzQxOC00MmExLWJmMDktNjhmNTA4NDkyMjNhIiwidCI6IjhmYmFhNWJmLTJlY2MtNGRjOC1iNTZiLThmOTJlMzA3ZjA3NiIsImMiOjR9</t>
  </si>
  <si>
    <t>https://app.powerbi.com/view?r=eyJrIjoiMTE2MzJkOTktMWEyNy00MzVjLWEzYzUtODYyZGQyMmVhMDU5IiwidCI6IjhmYmFhNWJmLTJlY2MtNGRjOC1iNTZiLThmOTJlMzA3ZjA3NiIsImMiOjR9</t>
  </si>
  <si>
    <t>https://app.powerbi.com/view?r=eyJrIjoiNjNlODQ2MDYtNDIzMy00MGQ4LTlhMWUtMjE3ZDA4NThlZWJhIiwidCI6IjhmYmFhNWJmLTJlY2MtNGRjOC1iNTZiLThmOTJlMzA3ZjA3NiIsImMiOjR9</t>
  </si>
  <si>
    <t>https://app.powerbi.com/view?r=eyJrIjoiNTEyOGRlNjgtOWJlOC00NTZkLTljZjMtYTRiOTYyMWM0NWJjIiwidCI6IjhmYmFhNWJmLTJlY2MtNGRjOC1iNTZiLThmOTJlMzA3ZjA3NiIsImMiOjR9</t>
  </si>
  <si>
    <t>https://app.powerbi.com/view?r=eyJrIjoiZmVjOGIxMzItZDY5Ni00ZTk0LWEwY2ItN2IyZmViZTM4YmE0IiwidCI6IjhmYmFhNWJmLTJlY2MtNGRjOC1iNTZiLThmOTJlMzA3ZjA3NiIsImMiOjR9</t>
  </si>
  <si>
    <t>https://app.powerbi.com/view?r=eyJrIjoiM2M2ZDRjNjctN2Y2MC00ZmYzLTgwOTktMTFhMzg5NTFmOTBjIiwidCI6IjhmYmFhNWJmLTJlY2MtNGRjOC1iNTZiLThmOTJlMzA3ZjA3NiIsImMiOjR9</t>
  </si>
  <si>
    <t>https://app.powerbi.com/view?r=eyJrIjoiNTk3NjE1MDYtZDViMS00M2YzLTkyZDAtNTY5ZDk5OTA3ZTM3IiwidCI6IjhmYmFhNWJmLTJlY2MtNGRjOC1iNTZiLThmOTJlMzA3ZjA3NiIsImMiOjR9</t>
  </si>
  <si>
    <t>https://app.powerbi.com/view?r=eyJrIjoiMjc0Mjg5ODMtZmYzMy00OWJhLWJiYWQtZjQ3ZWIzMjQwNzMxIiwidCI6IjhmYmFhNWJmLTJlY2MtNGRjOC1iNTZiLThmOTJlMzA3ZjA3NiIsImMiOjR9</t>
  </si>
  <si>
    <t>https://analytics.zoho.com/open-view/2395394000007909646</t>
  </si>
  <si>
    <t>Parque Vehicular Escolar</t>
  </si>
  <si>
    <t>Emisiones GEI</t>
  </si>
  <si>
    <t>Absorciones GEI</t>
  </si>
  <si>
    <t>Emisiones y Absorciones GEI</t>
  </si>
  <si>
    <t>Estado de mantención de espacios culturales</t>
  </si>
  <si>
    <t>Acceso para discapacitados en espacios culturales</t>
  </si>
  <si>
    <t>Financiamiento de espacios culturales</t>
  </si>
  <si>
    <t>Ubicación de espacios culturales</t>
  </si>
  <si>
    <t>Población por rango Etario</t>
  </si>
  <si>
    <t>Total Economía</t>
  </si>
  <si>
    <t>Top 10 Comunas con la mayor cantidad de farmacias en Chile, Año 2021</t>
  </si>
  <si>
    <t>Ingresos y Egresos de NNA</t>
  </si>
  <si>
    <t xml:space="preserve">Casos Activos </t>
  </si>
  <si>
    <t>Fallecidos</t>
  </si>
  <si>
    <t>Pobreza población Indígena</t>
  </si>
  <si>
    <t>https://analytics.zoho.com/open-view/2395394000009046875</t>
  </si>
  <si>
    <t>https://analytics.zoho.com/open-view/2395394000009042786</t>
  </si>
  <si>
    <t>https://analytics.zoho.com/open-view/2395394000008056535</t>
  </si>
  <si>
    <t xml:space="preserve">Valor de exportaciones acumuladas por país de destino en el periodo 2015-2021 </t>
  </si>
  <si>
    <t>https://analytics.zoho.com/open-view/2395394000009077375</t>
  </si>
  <si>
    <t>https://infogram.com/evaluacion-programas-1h7g6k0mrr7302o?live</t>
  </si>
  <si>
    <t>https://infogram.com/evaluacion-programas-2-1h7z2l8xdmzyg6o?live</t>
  </si>
  <si>
    <t>https://analytics.zoho.com/open-view/2395394000009080022</t>
  </si>
  <si>
    <t>V</t>
  </si>
  <si>
    <t>Servicio de Registro Civil de Chile</t>
  </si>
  <si>
    <t>https://app.powerbi.com/view?r=eyJrIjoiOWNlNjk3Y2MtMGNiNS00OTEyLTkxZmUtODM4MDI5MDNlMTdiIiwidCI6IjhmYmFhNWJmLTJlY2MtNGRjOC1iNTZiLThmOTJlMzA3ZjA3NiIsImMiOjR9&amp;pageName=ReportSection4dc3b620a637a46619e6</t>
  </si>
  <si>
    <t>Protección Adultos Mayores</t>
  </si>
  <si>
    <t>Establecimientos Larga Estadía para Adultos Mayores (ELEAM)</t>
  </si>
  <si>
    <t>Número y Porcentaje</t>
  </si>
  <si>
    <t>Servicio Nacional del Adulto Mayor (SENAMA)</t>
  </si>
  <si>
    <t>ELEAM</t>
  </si>
  <si>
    <t>Variación número y cupos en Establecimientos de Larga Estadía para Adultos Mayores (ELEAM) en Chile, Periodo 2020-2021</t>
  </si>
  <si>
    <t>https://infogram.com/eleam-2021-1h7g6k0mjdj5o2o</t>
  </si>
  <si>
    <t>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t>
  </si>
  <si>
    <t>https://app.powerbi.com/view?r=eyJrIjoiYTU4N2U3YjktZjQ5OS00OGU4LThmYzItNDY4NGYxMzAyNjk2IiwidCI6IjhmYmFhNWJmLTJlY2MtNGRjOC1iNTZiLThmOTJlMzA3ZjA3NiIsImMiOjR9</t>
  </si>
  <si>
    <t>https://app.powerbi.com/view?r=eyJrIjoiZDA2MGUzOWItMzM3Yi00NmUwLThlYzctZmI2YzdmYzBmNDA2IiwidCI6IjhmYmFhNWJmLTJlY2MtNGRjOC1iNTZiLThmOTJlMzA3ZjA3NiIsImMiOjR9</t>
  </si>
  <si>
    <t>https://app.powerbi.com/view?r=eyJrIjoiYmEwNjFkOGUtMTAyNC00ZTM3LWI3OTItNTdhMjIzNzc5ODdkIiwidCI6IjhmYmFhNWJmLTJlY2MtNGRjOC1iNTZiLThmOTJlMzA3ZjA3NiIsImMiOjR9</t>
  </si>
  <si>
    <t>https://app.powerbi.com/view?r=eyJrIjoiNmJkNDVkNTAtYjZlZC00M2EyLWIxYjEtY2I4YTAxYWYwNmRkIiwidCI6IjhmYmFhNWJmLTJlY2MtNGRjOC1iNTZiLThmOTJlMzA3ZjA3NiIsImMiOjR9</t>
  </si>
  <si>
    <t>https://app.powerbi.com/view?r=eyJrIjoiOGI2NDMyOTYtMzdmNi00ZjNiLTliNTMtYWU2OTQ4ZDkxMDA3IiwidCI6IjhmYmFhNWJmLTJlY2MtNGRjOC1iNTZiLThmOTJlMzA3ZjA3NiIsImMiOjR9</t>
  </si>
  <si>
    <t>https://app.powerbi.com/view?r=eyJrIjoiZTZjMGE0MjAtZjg0OS00MmU0LWI4ODItOTc4ZTYyYTQ0OGJjIiwidCI6IjhmYmFhNWJmLTJlY2MtNGRjOC1iNTZiLThmOTJlMzA3ZjA3NiIsImMiOjR9</t>
  </si>
  <si>
    <t>https://app.powerbi.com/view?r=eyJrIjoiOTJkNmVmNzYtM2MxMy00NzkwLWIzMDEtMmUyMmE3Zjg3MTkxIiwidCI6IjhmYmFhNWJmLTJlY2MtNGRjOC1iNTZiLThmOTJlMzA3ZjA3NiIsImMiOjR9</t>
  </si>
  <si>
    <t>https://app.powerbi.com/view?r=eyJrIjoiMGU1NjM0MjEtODEzMi00OWQ3LTg5NzgtMzRiMGVkYjJiYzgxIiwidCI6IjhmYmFhNWJmLTJlY2MtNGRjOC1iNTZiLThmOTJlMzA3ZjA3NiIsImMiOjR9</t>
  </si>
  <si>
    <t>https://app.powerbi.com/view?r=eyJrIjoiZDRiOGFmYTAtOWIyYy00NDcyLWI0Y2ItNWYwMzczMjdhYTgwIiwidCI6IjhmYmFhNWJmLTJlY2MtNGRjOC1iNTZiLThmOTJlMzA3ZjA3NiIsImMiOjR9</t>
  </si>
  <si>
    <t>https://app.powerbi.com/view?r=eyJrIjoiMmRlZmU2MWMtYmU1Zi00MGYzLThhYTUtZmRiYjczOTNjN2ZjIiwidCI6IjhmYmFhNWJmLTJlY2MtNGRjOC1iNTZiLThmOTJlMzA3ZjA3NiIsImMiOjR9</t>
  </si>
  <si>
    <t>https://app.powerbi.com/view?r=eyJrIjoiNzcwNDhlNTgtODUxMy00OTAwLWE4N2YtYzUzNjNlYTRhZmQ0IiwidCI6IjhmYmFhNWJmLTJlY2MtNGRjOC1iNTZiLThmOTJlMzA3ZjA3NiIsImMiOjR9</t>
  </si>
  <si>
    <t>https://app.powerbi.com/view?r=eyJrIjoiNmMzM2ViNTctYzkwMy00MDAwLTg3OGQtM2VhNTkxNmJhNjVjIiwidCI6IjhmYmFhNWJmLTJlY2MtNGRjOC1iNTZiLThmOTJlMzA3ZjA3NiIsImMiOjR9</t>
  </si>
  <si>
    <t>https://app.powerbi.com/view?r=eyJrIjoiMGZhOWI5YTctNzI5Mi00YTRlLTlhOTctNjdiOTk0NTQ5OGRiIiwidCI6IjhmYmFhNWJmLTJlY2MtNGRjOC1iNTZiLThmOTJlMzA3ZjA3NiIsImMiOjR9</t>
  </si>
  <si>
    <t>https://app.powerbi.com/view?r=eyJrIjoiYzIxYmRlNzctOWNlNy00YWEzLWIyOWUtZDRmYzY5MjA1MmZlIiwidCI6IjhmYmFhNWJmLTJlY2MtNGRjOC1iNTZiLThmOTJlMzA3ZjA3NiIsImMiOjR9</t>
  </si>
  <si>
    <t>https://app.powerbi.com/view?r=eyJrIjoiYzRmMGQzMTMtYTU4ZS00MzEwLTk2ZjUtZDZmNDc2MDMzNmZjIiwidCI6IjhmYmFhNWJmLTJlY2MtNGRjOC1iNTZiLThmOTJlMzA3ZjA3NiIsImMiOjR9</t>
  </si>
  <si>
    <t>https://app.powerbi.com/view?r=eyJrIjoiNzljMWVjMDMtY2VmMS00ZmE2LTkzMDgtOGFiMDljOTQ0NGY0IiwidCI6IjhmYmFhNWJmLTJlY2MtNGRjOC1iNTZiLThmOTJlMzA3ZjA3NiIsImMiOjR9</t>
  </si>
  <si>
    <t>https://app.powerbi.com/view?r=eyJrIjoiNGI4NDk4MDQtMTIyZC00MDEzLWE1YjAtYzRhNDNlZWQwYWU0IiwidCI6IjhmYmFhNWJmLTJlY2MtNGRjOC1iNTZiLThmOTJlMzA3ZjA3NiIsImMiOjR9</t>
  </si>
  <si>
    <t>https://app.powerbi.com/view?r=eyJrIjoiMTQ5YjMxMmItNDYyYS00NDIxLWEwNzktYTlmZGZiODhjMWViIiwidCI6IjhmYmFhNWJmLTJlY2MtNGRjOC1iNTZiLThmOTJlMzA3ZjA3NiIsImMiOjR9</t>
  </si>
  <si>
    <t>https://app.powerbi.com/view?r=eyJrIjoiY2Q1ZjQxOTItNjU0MS00NDlmLWE1YmUtMGFlNWY5ZTA5ZWM2IiwidCI6IjhmYmFhNWJmLTJlY2MtNGRjOC1iNTZiLThmOTJlMzA3ZjA3NiIsImMiOjR9</t>
  </si>
  <si>
    <t>https://app.powerbi.com/view?r=eyJrIjoiYjJhMDkxMjEtODNmNS00N2Y4LWE5ODctZWMzMWI1ODM2ZmQ4IiwidCI6IjhmYmFhNWJmLTJlY2MtNGRjOC1iNTZiLThmOTJlMzA3ZjA3NiIsImMiOjR9</t>
  </si>
  <si>
    <t>https://app.powerbi.com/view?r=eyJrIjoiYWE4MGYxNmYtZTJmNi00OGE4LWFiMjItYzMwZjA5ZWI2MmQzIiwidCI6IjhmYmFhNWJmLTJlY2MtNGRjOC1iNTZiLThmOTJlMzA3ZjA3NiIsImMiOjR9</t>
  </si>
  <si>
    <t>https://app.powerbi.com/view?r=eyJrIjoiNzM3N2E2MTYtMDAyMS00OGE4LWI4MDMtMDYwMjI5MzNkYjhiIiwidCI6IjhmYmFhNWJmLTJlY2MtNGRjOC1iNTZiLThmOTJlMzA3ZjA3NiIsImMiOjR9</t>
  </si>
  <si>
    <t>https://app.powerbi.com/view?r=eyJrIjoiNjViZWFiZDctY2Y3OC00ZmNlLTliNWEtZGVhYmMxZDJmN2E4IiwidCI6IjhmYmFhNWJmLTJlY2MtNGRjOC1iNTZiLThmOTJlMzA3ZjA3NiIsImMiOjR9</t>
  </si>
  <si>
    <t>https://app.powerbi.com/view?r=eyJrIjoiZWYwNWIxNWUtYjQ0Ny00ZmE5LWE1M2UtNzIxNTFkZDMyYTVjIiwidCI6IjhmYmFhNWJmLTJlY2MtNGRjOC1iNTZiLThmOTJlMzA3ZjA3NiIsImMiOjR9</t>
  </si>
  <si>
    <t>https://app.powerbi.com/view?r=eyJrIjoiYWE4ODdhYzAtNTFmMS00YWQ5LTk5N2EtMTRkNWRmMjgyMjk5IiwidCI6IjhmYmFhNWJmLTJlY2MtNGRjOC1iNTZiLThmOTJlMzA3ZjA3NiIsImMiOjR9</t>
  </si>
  <si>
    <t>https://app.powerbi.com/view?r=eyJrIjoiNDkxZDIzOTctMGFjYi00NTI0LWI3MWEtNTcyOTgxZmZjMjhlIiwidCI6IjhmYmFhNWJmLTJlY2MtNGRjOC1iNTZiLThmOTJlMzA3ZjA3NiIsImMiOjR9</t>
  </si>
  <si>
    <t>https://app.powerbi.com/view?r=eyJrIjoiNGQzMWI4MTEtNDM5MC00NzBhLTlmOGItY2VkYWVmNjYzMGNhIiwidCI6IjhmYmFhNWJmLTJlY2MtNGRjOC1iNTZiLThmOTJlMzA3ZjA3NiIsImMiOjR9</t>
  </si>
  <si>
    <t>https://app.powerbi.com/view?r=eyJrIjoiMjcyYzIwZGYtZmUwMy00OGJiLWEwODktZjczYTY3NjE3ODM4IiwidCI6IjhmYmFhNWJmLTJlY2MtNGRjOC1iNTZiLThmOTJlMzA3ZjA3NiIsImMiOjR9</t>
  </si>
  <si>
    <t>https://app.powerbi.com/view?r=eyJrIjoiMWMxZmIxNDQtMTIzYi00NWQ5LThmN2QtNzJkNTVhZWZkYTIzIiwidCI6IjhmYmFhNWJmLTJlY2MtNGRjOC1iNTZiLThmOTJlMzA3ZjA3NiIsImMiOjR9</t>
  </si>
  <si>
    <t>https://app.powerbi.com/view?r=eyJrIjoiYjdhYzkzMmItZmM2Yi00NzczLWE0ZDYtMzY3YmYyNWY4ZjM4IiwidCI6IjhmYmFhNWJmLTJlY2MtNGRjOC1iNTZiLThmOTJlMzA3ZjA3NiIsImMiOjR9</t>
  </si>
  <si>
    <t>https://app.powerbi.com/view?r=eyJrIjoiMTJlNjA5ZjktMGIyMC00ZDc5LThjZDctN2Y4NDA5NTExMDY1IiwidCI6IjhmYmFhNWJmLTJlY2MtNGRjOC1iNTZiLThmOTJlMzA3ZjA3NiIsImMiOjR9</t>
  </si>
  <si>
    <t>https://app.powerbi.com/view?r=eyJrIjoiZGVkN2YxMjctMGZhZC00MGE1LTgzZWMtMjBlYjQxN2UzNTY0IiwidCI6IjhmYmFhNWJmLTJlY2MtNGRjOC1iNTZiLThmOTJlMzA3ZjA3NiIsImMiOjR9</t>
  </si>
  <si>
    <t>https://app.powerbi.com/view?r=eyJrIjoiNGJjZDhiMWUtMzk3ZS00M2Y4LTk3ZDMtNzJiNTAxN2U4ZDk2IiwidCI6IjhmYmFhNWJmLTJlY2MtNGRjOC1iNTZiLThmOTJlMzA3ZjA3NiIsImMiOjR9</t>
  </si>
  <si>
    <t>https://app.powerbi.com/view?r=eyJrIjoiNWEzMTMyZmYtMjA0MS00YjQxLTlhODAtNjY3MTBlOWJiNjg0IiwidCI6IjhmYmFhNWJmLTJlY2MtNGRjOC1iNTZiLThmOTJlMzA3ZjA3NiIsImMiOjR9</t>
  </si>
  <si>
    <t>https://app.powerbi.com/view?r=eyJrIjoiYzkwYmY4NTMtYTBlMS00ODM5LThhYTktZjZmYWNmMzc1ODQxIiwidCI6IjhmYmFhNWJmLTJlY2MtNGRjOC1iNTZiLThmOTJlMzA3ZjA3NiIsImMiOjR9</t>
  </si>
  <si>
    <t>https://app.powerbi.com/view?r=eyJrIjoiZWY4Y2NjYWQtYmY5Zi00MjlhLWE3MTEtNTQ1NjYwZjkzNzgyIiwidCI6IjhmYmFhNWJmLTJlY2MtNGRjOC1iNTZiLThmOTJlMzA3ZjA3NiIsImMiOjR9</t>
  </si>
  <si>
    <t>https://app.powerbi.com/view?r=eyJrIjoiMWQ2ZGU5ZjMtZWIwZS00MDVjLWJmYmYtZWQxNWYwMWI3YjMxIiwidCI6IjhmYmFhNWJmLTJlY2MtNGRjOC1iNTZiLThmOTJlMzA3ZjA3NiIsImMiOjR9</t>
  </si>
  <si>
    <t>https://app.powerbi.com/view?r=eyJrIjoiZTlhNjA2YzQtOTI5Ny00MDAxLWI0YzEtNzViYzgwNDZhY2ZlIiwidCI6IjhmYmFhNWJmLTJlY2MtNGRjOC1iNTZiLThmOTJlMzA3ZjA3NiIsImMiOjR9</t>
  </si>
  <si>
    <t>https://app.powerbi.com/view?r=eyJrIjoiZmI4YzUwZWUtOTIyZi00ZDdkLTkyZDMtNDc5NzY3NDdlMzgzIiwidCI6IjhmYmFhNWJmLTJlY2MtNGRjOC1iNTZiLThmOTJlMzA3ZjA3NiIsImMiOjR9</t>
  </si>
  <si>
    <t>https://app.powerbi.com/view?r=eyJrIjoiNzNjY2RiYmMtMjViYy00YjI3LTllYzktZmQwM2E0ZjkyOTI0IiwidCI6IjhmYmFhNWJmLTJlY2MtNGRjOC1iNTZiLThmOTJlMzA3ZjA3NiIsImMiOjR9</t>
  </si>
  <si>
    <t>https://app.powerbi.com/view?r=eyJrIjoiNzdiMGUxMTAtMWEyZi00NzVkLTg5N2ItYzhkYTQzZWJjMWQ0IiwidCI6IjhmYmFhNWJmLTJlY2MtNGRjOC1iNTZiLThmOTJlMzA3ZjA3NiIsImMiOjR9</t>
  </si>
  <si>
    <t>https://app.powerbi.com/view?r=eyJrIjoiYjI5YmYzYjAtYTk0Zi00MmFlLWFhM2MtNDljNTBlYjA5NWZiIiwidCI6IjhmYmFhNWJmLTJlY2MtNGRjOC1iNTZiLThmOTJlMzA3ZjA3NiIsImMiOjR9</t>
  </si>
  <si>
    <t>https://app.powerbi.com/view?r=eyJrIjoiMmY5MGUzNWMtM2Q3Zi00YmRmLTg1MWQtNTMyNjkyYjIzZDIzIiwidCI6IjhmYmFhNWJmLTJlY2MtNGRjOC1iNTZiLThmOTJlMzA3ZjA3NiIsImMiOjR9</t>
  </si>
  <si>
    <t>https://app.powerbi.com/view?r=eyJrIjoiOGViZjM0NDEtNzBjZC00YTUyLTk4N2EtYzZkM2NiNDRhNGRkIiwidCI6IjhmYmFhNWJmLTJlY2MtNGRjOC1iNTZiLThmOTJlMzA3ZjA3NiIsImMiOjR9</t>
  </si>
  <si>
    <t>https://app.powerbi.com/view?r=eyJrIjoiYzY4N2NhZDQtZmZhMC00ODc3LTg3YWQtYmViY2NkMmUxZGE3IiwidCI6IjhmYmFhNWJmLTJlY2MtNGRjOC1iNTZiLThmOTJlMzA3ZjA3NiIsImMiOjR9</t>
  </si>
  <si>
    <t>https://app.powerbi.com/view?r=eyJrIjoiNmRhZWE4NzktZThmMi00MjcyLThlZTYtMzIxODQzM2FlMWYxIiwidCI6IjhmYmFhNWJmLTJlY2MtNGRjOC1iNTZiLThmOTJlMzA3ZjA3NiIsImMiOjR9</t>
  </si>
  <si>
    <t>https://app.powerbi.com/view?r=eyJrIjoiOWQwMzQ4NmUtMTRiOS00MWE5LWFiZDUtM2JlZTg5OGY3Njc3IiwidCI6IjhmYmFhNWJmLTJlY2MtNGRjOC1iNTZiLThmOTJlMzA3ZjA3NiIsImMiOjR9</t>
  </si>
  <si>
    <t>https://app.powerbi.com/view?r=eyJrIjoiYmVmYjJhOWUtNTM1Mi00NTUwLWE1OGYtZjY0MTdlNzBmZjNjIiwidCI6IjhmYmFhNWJmLTJlY2MtNGRjOC1iNTZiLThmOTJlMzA3ZjA3NiIsImMiOjR9</t>
  </si>
  <si>
    <t>https://app.powerbi.com/view?r=eyJrIjoiZmFhNDBiZTktN2FmMC00YjI4LTgyN2MtZGQ5YjFlNGM2ZTRmIiwidCI6IjhmYmFhNWJmLTJlY2MtNGRjOC1iNTZiLThmOTJlMzA3ZjA3NiIsImMiOjR9</t>
  </si>
  <si>
    <t>https://app.powerbi.com/view?r=eyJrIjoiN2JkNmMxYTYtMDE0ZC00NDM0LWIxZjctMWJhYmZhYTM0NmRjIiwidCI6IjhmYmFhNWJmLTJlY2MtNGRjOC1iNTZiLThmOTJlMzA3ZjA3NiIsImMiOjR9</t>
  </si>
  <si>
    <t>https://app.powerbi.com/view?r=eyJrIjoiMzZjYWQwMDktMzUxNS00MTJlLThmYzUtNzFjMzA3MWM1Y2E5IiwidCI6IjhmYmFhNWJmLTJlY2MtNGRjOC1iNTZiLThmOTJlMzA3ZjA3NiIsImMiOjR9</t>
  </si>
  <si>
    <t>https://app.powerbi.com/view?r=eyJrIjoiZjRhOTM0ODctZjQ3ZS00OTA2LTliZjctNmM3ZWJjODJlNDliIiwidCI6IjhmYmFhNWJmLTJlY2MtNGRjOC1iNTZiLThmOTJlMzA3ZjA3NiIsImMiOjR9</t>
  </si>
  <si>
    <t>https://app.powerbi.com/view?r=eyJrIjoiYWRhNTI4ZmQtYWJhMS00MzllLWIxYWMtOGZlYmI5NjBiODBiIiwidCI6IjhmYmFhNWJmLTJlY2MtNGRjOC1iNTZiLThmOTJlMzA3ZjA3NiIsImMiOjR9</t>
  </si>
  <si>
    <t>https://app.powerbi.com/view?r=eyJrIjoiZTE0YzU4OWUtOTBlOC00MzUzLTg4NDQtZDg2Y2FlMDg4ZGIzIiwidCI6IjhmYmFhNWJmLTJlY2MtNGRjOC1iNTZiLThmOTJlMzA3ZjA3NiIsImMiOjR9</t>
  </si>
  <si>
    <t>https://app.powerbi.com/view?r=eyJrIjoiYWU1Mzg4NDItYTcxMy00M2Y4LTkzNjgtZTY2Y2FlOGEwZTNhIiwidCI6IjhmYmFhNWJmLTJlY2MtNGRjOC1iNTZiLThmOTJlMzA3ZjA3NiIsImMiOjR9</t>
  </si>
  <si>
    <t>https://app.powerbi.com/view?r=eyJrIjoiNjBmZmYzZGEtMmFiZC00YTU2LTg5Y2UtMTIxMDc4NGIwZDFhIiwidCI6IjhmYmFhNWJmLTJlY2MtNGRjOC1iNTZiLThmOTJlMzA3ZjA3NiIsImMiOjR9</t>
  </si>
  <si>
    <t>https://app.powerbi.com/view?r=eyJrIjoiYzAyMzExM2EtMGNjZi00ZmYxLThjYmUtYWViOWMyZmM3ZjI3IiwidCI6IjhmYmFhNWJmLTJlY2MtNGRjOC1iNTZiLThmOTJlMzA3ZjA3NiIsImMiOjR9</t>
  </si>
  <si>
    <t>https://app.powerbi.com/view?r=eyJrIjoiMmVmMTNjNzUtYzUxZi00ZWVjLWExYzctZTgyNTJmNWZjMWI3IiwidCI6IjhmYmFhNWJmLTJlY2MtNGRjOC1iNTZiLThmOTJlMzA3ZjA3NiIsImMiOjR9</t>
  </si>
  <si>
    <t>https://app.powerbi.com/view?r=eyJrIjoiOWU5N2QxMDgtYTcyZC00OTNkLThlNTctOWExYmZhYTRkOTM0IiwidCI6IjhmYmFhNWJmLTJlY2MtNGRjOC1iNTZiLThmOTJlMzA3ZjA3NiIsImMiOjR9</t>
  </si>
  <si>
    <t>https://app.powerbi.com/view?r=eyJrIjoiNTkzNTNiZTgtZmFiNy00OGM4LTllNjQtNGNlYWE4YjY5NTc1IiwidCI6IjhmYmFhNWJmLTJlY2MtNGRjOC1iNTZiLThmOTJlMzA3ZjA3NiIsImMiOjR9</t>
  </si>
  <si>
    <t>https://app.powerbi.com/view?r=eyJrIjoiY2FmMzQ5ZmMtY2ZiZC00ZGNiLWFjNjEtOTk2ZTY3NGI4OTAyIiwidCI6IjhmYmFhNWJmLTJlY2MtNGRjOC1iNTZiLThmOTJlMzA3ZjA3NiIsImMiOjR9</t>
  </si>
  <si>
    <t>https://app.powerbi.com/view?r=eyJrIjoiZGYzYWVjYzYtNmZiOC00MTBlLTkxODUtNjJjNTQ5OWRiYmY4IiwidCI6IjhmYmFhNWJmLTJlY2MtNGRjOC1iNTZiLThmOTJlMzA3ZjA3NiIsImMiOjR9</t>
  </si>
  <si>
    <t>https://app.powerbi.com/view?r=eyJrIjoiYzZjMjQ3MWYtNDBjNC00MGU0LThiZjAtZTdhOGFiOWRmY2MyIiwidCI6IjhmYmFhNWJmLTJlY2MtNGRjOC1iNTZiLThmOTJlMzA3ZjA3NiIsImMiOjR9</t>
  </si>
  <si>
    <t>https://app.powerbi.com/view?r=eyJrIjoiODU0Y2U2NGYtYzQzOS00ZmJhLWE0MWQtNWM0MmU4ODBmZjRmIiwidCI6IjhmYmFhNWJmLTJlY2MtNGRjOC1iNTZiLThmOTJlMzA3ZjA3NiIsImMiOjR9</t>
  </si>
  <si>
    <t>https://app.powerbi.com/view?r=eyJrIjoiM2UzOWE3YjAtYTk5NC00N2FlLTk2YWUtY2VmMGYzMmQxYjdlIiwidCI6IjhmYmFhNWJmLTJlY2MtNGRjOC1iNTZiLThmOTJlMzA3ZjA3NiIsImMiOjR9</t>
  </si>
  <si>
    <t>Número de votos</t>
  </si>
  <si>
    <t>https://analytics.zoho.com/open-view/2395394000009214303</t>
  </si>
  <si>
    <t>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t>
  </si>
  <si>
    <t>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t>
  </si>
  <si>
    <t>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t>
  </si>
  <si>
    <t>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t>
  </si>
  <si>
    <t>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t>
  </si>
  <si>
    <t>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t>
  </si>
  <si>
    <t>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t>
  </si>
  <si>
    <t>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t>
  </si>
  <si>
    <t>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t>
  </si>
  <si>
    <t>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t>
  </si>
  <si>
    <t>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t>
  </si>
  <si>
    <t>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t>
  </si>
  <si>
    <t>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t>
  </si>
  <si>
    <t>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t>
  </si>
  <si>
    <t>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t>
  </si>
  <si>
    <t>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t>
  </si>
  <si>
    <t>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t>
  </si>
  <si>
    <t>En la región de Tarapacá, la comuna de Colchane presenta el mayor incremento de casos policiales de robo con violencia o intimidación entre los años 2019 y 2020, aumentando en un 50%. En tanto la comuna de Pica presenta la mayor baja, disminuyendo en un rango del 50% al 74%.</t>
  </si>
  <si>
    <t>Las comunas en las que los casos policiales de homicidio aumentaron en más de un 100% entre los años 2019 y 2020 fueron: Constitución (300%), Macul (300%), Peñaflor (200%), Hualpén (200%), Licantén (200%), Longaví (200%), Valparaíso (200%), La Serena (133%), Los Ángeles (133%) y La Cisterna (133%).</t>
  </si>
  <si>
    <t>En la región de Antofagasta, la comuna de María Elena presenta el mayor incremento casos policiales de robo con violencia o intimidación entre los años 2019 y 2020, aumentando en un 17%. En tanto, la comuna de Ollagüe presenta la mayor baja, disminuyendo en un 100%.</t>
  </si>
  <si>
    <t>En la región de Atacama, la comuna de Huasco presenta el mayor incremento de casos policiales de robo con violencia o intimidación entre los años 2019 y 2020, aumentando en un 73%. En tanto, la comuna de Chañaral presenta la mayor baja, disminuyendo en un 41%.</t>
  </si>
  <si>
    <t>En la región de Coquimbo, la comuna de Punitaqui presenta el mayor incremento de casos policiales de robo con violencia o intimidación entre los años 2019 y 2020, aumentando en un 29%. En tanto, la comuna de Canela presenta la mayor baja, disminuyendo en un 80%.</t>
  </si>
  <si>
    <t>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t>
  </si>
  <si>
    <t>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t>
  </si>
  <si>
    <t>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t>
  </si>
  <si>
    <t>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t>
  </si>
  <si>
    <t>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t>
  </si>
  <si>
    <t xml:space="preserve">En la región de Los Lagos la comuna que presenta un mayor aumento en los casos policiales de robo con violencia o intimidación, entre los años 2019 y 2020, es Quinchao con un 100% de incremento. Por su parte la comuna de Puerto Octay presenta la mayor baja, disminuyendo en un 100%. </t>
  </si>
  <si>
    <t>En la comuna de Cisne en la región Aysén se observa la mayor baja en los casos policiales de robo con violencia o intimidación, entre los años 2019 y 2020, disminuyendo en un 100%.</t>
  </si>
  <si>
    <t>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t>
  </si>
  <si>
    <t>Las comunas de la región Metropolitana en las que más aumentaron los casos policiales de robo con violencia o intimidación, entre los años 2019 y 2020 son: María Pinto (45%) y Lo Barnechea (11%). Por su parte, la comuna de Alhué presenta la mayor baja, disminuyendo en un 50%.</t>
  </si>
  <si>
    <t>Las comunas de la región de Los Ríos en las que más aumentaron los casos policiales de robo con violencia o intimidación, entre los años 2019 y 2020 son: Lago Ranco (100%) y La Unión (47%). Por su parte, la comuna de Panguipulli presenta la mayor baja, disminuyendo en un 52%.</t>
  </si>
  <si>
    <t xml:space="preserve">En la región de Arica y Parinacota, la comuna de Camarones presenta la mayor baja en la frecuencia de los casos policiales de robo con violencia o intimidación entre los años 2019 y 2020, disminuyendo en un 100%. </t>
  </si>
  <si>
    <t>Las comunas de la región de Ñuble, en las que más aumentaron los casos policiales de robo con violencia o intimidación, entre los años 2019 y 2020 son: Ránquil (133%), Pemuco (100%) y Quirihue (83%). Por su parte, la comuna de Ninhue presentan la mayor baja, disminuyendo en un 100%.</t>
  </si>
  <si>
    <t>La comuna de Pozo Almonte en la región de Tarapacá presenta la mayor baja en los casos policiales de homicidio entre los años 2019 y 2020, disminuyendo en un 100%.</t>
  </si>
  <si>
    <t xml:space="preserve">En la región de Antofagasta, la comuna de Antofagasta presenta el mayor incremento en los casos policiales de homicidios, entre los años 2019- 2020, aumentando un 60%. </t>
  </si>
  <si>
    <t>La comuna de Copiapó en la región de Atacama presenta una baja del rango del 25% en los casos policiales de homicidio entre los años 2019 y 2020. Por su parte Vallenar no presenta variaciones.</t>
  </si>
  <si>
    <t>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t>
  </si>
  <si>
    <t>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t>
  </si>
  <si>
    <t>En la región de O'Higgins, las comunas que presentan las mayores bajas son Litueche, Marchihue, Coltauco, Lolol y Chimbarongo, disminuyendo en un 100%. Por su parte Mostazal y San Fernando no presentan variaciones.</t>
  </si>
  <si>
    <t>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t>
  </si>
  <si>
    <t>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t>
  </si>
  <si>
    <t>La comuna de Angol en la región de La Araucanía presenta el mayor incremento en los casos policiales de homicidios, entre los años 2019- 2020, aumentando en un 100%. Por su parte, las comunas que presentan mayores bajas son Gorbea, Loncoche y Lonquimay, disminuyendo en un 100%.</t>
  </si>
  <si>
    <t>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t>
  </si>
  <si>
    <t>La comuna de Coihaique en la región de Aysén presenta la mayor baja en los casos policiales de homicidio entre los años 2019 y 2020, disminuyendo en un 50%.</t>
  </si>
  <si>
    <t xml:space="preserve">La comuna de Punta Arenas en la región de Magallanes presenta la mayor baja en los casos policiales de homicidio entre los años 2019 y 2020, disminuyendo en un 60%. </t>
  </si>
  <si>
    <t>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t>
  </si>
  <si>
    <t>La comuna de Mariquina en la región de Los Ríos presenta el mayor incremento en los casos policiales de homicidios, entre los años 2019- 2020, aumentando en un 100%. Por su parte, la comuna de Lanco presenta la mayor baja, disminuyendo en un 100%.</t>
  </si>
  <si>
    <t xml:space="preserve">La comuna de Arica en la región de Arica y Parinacota es la única que presenta una baja en los casos policiales de homicidio entre los años 2019 y 2020, disminuyendo en un 69%. </t>
  </si>
  <si>
    <t>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t>
  </si>
  <si>
    <t>A nivel nacional, se observa una diferencia significativa para Homicidios y Violaciones, en cuanto a la relación entre detenciones y denuncias, siendo considerablemente mayor las detenciones por el delito de homicidios que por violación.</t>
  </si>
  <si>
    <t>En la región de Tarapacá se observa una diferencia significativa para Homicidios y Violaciones, en cuanto a la relación entre detenciones y denuncias, siendo considerablemente mayor las detenciones por el delito de homicidios que por violación.</t>
  </si>
  <si>
    <t>En la región de Antofagasta se observa una diferencia significativa para Homicidios y Violaciones, en cuanto a la relación entre detenciones y denuncias, siendo considerablemente mayor las detenciones por el delito de homicidios que por violación.</t>
  </si>
  <si>
    <t>En la región de Atacama se observa una diferencia significativa para Homicidios y Violaciones, en cuanto a la relación entre detenciones y denuncias, siendo considerablemente mayor las detenciones por el delito de homicidios que por violación.</t>
  </si>
  <si>
    <t>En la región de Coquimbo se observa una diferencia significativa para Homicidios y Violaciones, en cuanto a la relación entre detenciones y denuncias, siendo considerablemente mayor las detenciones por el delito de homicidios que por violación.</t>
  </si>
  <si>
    <t>En la región de Valparaíso se observa una diferencia significativa para Homicidios y Violaciones, en cuanto a la relación entre detenciones y denuncias, siendo considerablemente mayor las detenciones por el delito de homicidios que por violación.</t>
  </si>
  <si>
    <t>En la región de O'Higgins se observa una diferencia significativa para Homicidios y Violaciones, en cuanto a la relación entre detenciones y denuncias, siendo considerablemente mayor las detenciones por el delito de homicidios que por violación.</t>
  </si>
  <si>
    <t>En la región de Maule se observa una diferencia significativa para Homicidios y Violaciones, en cuanto a la relación entre detenciones y denuncias, siendo considerablemente mayor las detenciones por el delito de homicidios que por violación.</t>
  </si>
  <si>
    <t>En la región del Biobío se observa una diferencia significativa para Homicidios y Violaciones, en cuanto a la relación entre detenciones y denuncias, siendo considerablemente mayor las detenciones por el delito de homicidios que por violación.</t>
  </si>
  <si>
    <t>En la región de La Araucanía se observa una diferencia significativa para Homicidios y Violaciones, en cuanto a la relación entre detenciones y denuncias, siendo considerablemente mayor las detenciones por el delito de homicidios que por violación.</t>
  </si>
  <si>
    <t>En la región de Los Lagos se observa una diferencia significativa para Homicidios y Violaciones, en cuanto a la relación entre detenciones y denuncias, siendo considerablemente mayor las detenciones por el delito de homicidios que por violación.</t>
  </si>
  <si>
    <t>En la región de Aysén se observa una diferencia significativa para Homicidios y Violaciones, en cuanto a la relación entre detenciones y denuncias, siendo considerablemente mayor las detenciones por el delito de homicidios que por violación.</t>
  </si>
  <si>
    <t>En la región de Magallanes se observa una diferencia significativa para Homicidios y Violaciones, en cuanto a la relación entre detenciones y denuncias, siendo considerablemente mayor las detenciones por el delito de homicidios que por violación.</t>
  </si>
  <si>
    <t>En la región Metropolitana se observa una diferencia significativa para Homicidios y Violaciones, en cuanto a la relación entre detenciones y denuncias, siendo considerablemente mayor las detenciones por el delito de homicidios que por violación.</t>
  </si>
  <si>
    <t>En la región de Los Ríos se observa una diferencia significativa para Homicidios y Violaciones, en cuanto a la relación entre detenciones y denuncias, siendo considerablemente mayor las detenciones por el delito de homicidios que por violación.</t>
  </si>
  <si>
    <t>En la región de Arica y Parinacota se observa una diferencia significativa para Homicidios y Violaciones, en cuanto a la relación entre detenciones y denuncias, siendo considerablemente mayor las detenciones por el delito de homicidios que por violación.</t>
  </si>
  <si>
    <t>En la región de Ñuble se observa una diferencia significativa para Homicidios y Violaciones, en cuanto a la relación entre detenciones y denuncias, siendo considerablemente mayor las detenciones por el delito de homicidios que por violación.</t>
  </si>
  <si>
    <t>https://public.flourish.studio/visualisation/7122409/</t>
  </si>
  <si>
    <t>https://public.flourish.studio/visualisation/7125265/</t>
  </si>
  <si>
    <t>https://public.flourish.studio/visualisation/7125253/</t>
  </si>
  <si>
    <t>https://public.flourish.studio/visualisation/7125250/</t>
  </si>
  <si>
    <t>https://public.flourish.studio/visualisation/7125239/</t>
  </si>
  <si>
    <t>https://public.flourish.studio/visualisation/7125220/</t>
  </si>
  <si>
    <t>https://public.flourish.studio/visualisation/7125190/</t>
  </si>
  <si>
    <t>https://public.flourish.studio/visualisation/7125138/</t>
  </si>
  <si>
    <t>https://public.flourish.studio/visualisation/7124803/</t>
  </si>
  <si>
    <t>https://public.flourish.studio/visualisation/7124958/</t>
  </si>
  <si>
    <t>https://public.flourish.studio/visualisation/7125030/</t>
  </si>
  <si>
    <t>https://public.flourish.studio/visualisation/7125051/</t>
  </si>
  <si>
    <t>https://public.flourish.studio/visualisation/7125092/</t>
  </si>
  <si>
    <t>https://public.flourish.studio/visualisation/7125199/</t>
  </si>
  <si>
    <t>https://public.flourish.studio/visualisation/7125004/</t>
  </si>
  <si>
    <t>https://public.flourish.studio/visualisation/7125302/</t>
  </si>
  <si>
    <t>https://public.flourish.studio/visualisation/7125115/</t>
  </si>
  <si>
    <t>https://infogram.com/permisos-de-circulacion-1hxr4zxode8lo6y</t>
  </si>
  <si>
    <t>https://analytics.zoho.com/open-view/2395394000009315415</t>
  </si>
  <si>
    <t>N° de casos</t>
  </si>
  <si>
    <t>Población que tuvo al menos una Consulta Mental en Chile, a Escala Nacional, Periodo 2009-2017</t>
  </si>
  <si>
    <t>En la Región de Coquimbo, los últimos 3 años, el  Índice de Producción Minera (IPMin) alcanzó su valor máximo con 94,6 puntos en marzo del año 2020. Sin embargo, en marzo del año 2021 el índice presentó un descenso marcando 83,9 puntos.</t>
  </si>
  <si>
    <t xml:space="preserve">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t>
  </si>
  <si>
    <t xml:space="preserve">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t>
  </si>
  <si>
    <t>La producción de cobre en toneladas métricas de contenido fino (tmf) alcanzó el máximo, con una producción de 568.394 toneladas métricas, en diciembre del año 2018. La producción más baja, con 277.690 tmf, se registró en febrero del año 2017.</t>
  </si>
  <si>
    <t xml:space="preserve">En la Región de Atacama, en los últimos 3 años, la producción de cobre en toneladas métricas de contenido fino (tmf) alcanzó el máximo, con una producción de 48.548 tmf, en diciembre del año 2019. La producción más baja, con 28.625 tmf, se registró en noviembre del año 2020. </t>
  </si>
  <si>
    <t xml:space="preserve">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t>
  </si>
  <si>
    <t xml:space="preserve">En la Región de Tarapacá, en los últimos 3 años, la producción de cobre en toneladas métricas de contenido fino (tmf) alcanzó el máximo, con una producción de 66.900 tmf, en mayo del año 2020. La producción más baja, con 46.516 tmf, se registró en febrero del año 2019. </t>
  </si>
  <si>
    <t xml:space="preserve">En la Región de Atacama, en los últimos 3 años, el  Índice de Producción Minera (IPMin), alcanzó su valor máximo en diciembre del año 2019, con 110,5 puntos. Sin embargo, en noviembre del año 2020, el índice presentó un descenso marcando 78,4  puntos. </t>
  </si>
  <si>
    <t>En la Región de Antofagasta, en los últimos 3 años, el  Índice de Producción Minera (IPMin) alcanzó su valor máximo con 116,7 puntos en diciembre del año 2019. Sin embargo, en febrero del año 2021, el índice presentó un descenso marcando 84,6 puntos.</t>
  </si>
  <si>
    <t xml:space="preserve">En la Región de Coquimbo, en los últimos 3 años, la producción de cobre en toneladas métricas de contenido fino (tmf) alcanzó el máximo, con una producción de 121.215 tmf, en marzo del año 2020. La producción más baja, con 105.432 tmf, se registró en marzo del año 2021. </t>
  </si>
  <si>
    <t xml:space="preserve">En la Región de Valparaíso, en los últimos 3 años, la producción de cobre en toneladas métricas de contenido fino (tmf) alcanzó el máximo, con una producción de 26.087 tmf, en agosto del año 2020. La producción más baja, con 19.080 tmf, se registró en abril del año 2021. </t>
  </si>
  <si>
    <t xml:space="preserve">Gráfico de Evolución </t>
  </si>
  <si>
    <t>La producción cloruro de sodio en toneladas (t) alcanzó su máximo en julio de 2015, con una producción de 1.153.490 t. La producción más baja, con 431.393 t, se registró en enero del año 2014.</t>
  </si>
  <si>
    <t>La producción de hierro en toneladas métricas (tm) alcanzó su máximo, con una producción de 890.000 tm, en septiembre del año 2020. La producción más baja, con 120.172 tm se registró en marzo del año 2016.</t>
  </si>
  <si>
    <t>Durante el mes de febrero del año 2020, el desembarque pesquero industrial registró su máximo valor, con 104.563 toneladas. Sin embargo, se produce una disminución significativa en septiembre del mismo año, en el que se registró 2.514 toneladas.</t>
  </si>
  <si>
    <t>Desembarque artesanal de Algas en Chile en el periodo 2014-2021</t>
  </si>
  <si>
    <t xml:space="preserve">En el mes de febrero del año 2019, se registra un máximo de toneladas de desembarque artesanal de algas, con 19.841 toneladas. Las especies desembarcadas, en orden decreciente de toneladas son:  Pelillo, Luga Negra, Luga Roja, Huiro y Cochayuyo.  </t>
  </si>
  <si>
    <t xml:space="preserve">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t>
  </si>
  <si>
    <t>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t>
  </si>
  <si>
    <t>Cantidad de cupos para cargos de Elección Popular, específicamente para senadores, diputados, consejeros regionales, alcaldes y concejales, al año 2021. Cantidad varía según el cargo a ocupar y la densidad poblacional para las diferentes regiones y comunas de Chile.</t>
  </si>
  <si>
    <t>La comuna de Iquique presenta un mayor cantidad de casos activos por COVID-19 en los meses de enero y abril del año 2021, superando los 4.000 casos por millón de habitantes. En el mes de julio del mismo año, esta cifra disminuyó a menos de 1.500 casos por millón de habitantes.</t>
  </si>
  <si>
    <t>En la comuna de Coquimbo se observa una mayor cantidad de casos activos por COVID-19 en los meses de mayo y junio del año 2021, superando los 2.000 casos por millón de habitantes, presentando la baja más importante en el mes de Noviembre 2020.</t>
  </si>
  <si>
    <t>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t>
  </si>
  <si>
    <t>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t>
  </si>
  <si>
    <t>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t>
  </si>
  <si>
    <t>Gráfico que muestra la evolución de los casos activos de COVID-19 por millón de habitantes a nivel nacional con detalle regional y comunal, durante el periodo 2020-2021.</t>
  </si>
  <si>
    <t>Gráfico que muestra la evolución de los casos activos de COVID-19 por millón de habitantes en la región de Antogasta  con detalle comunal, durante el periodo 2020-2021.</t>
  </si>
  <si>
    <t xml:space="preserve">Gráfico que muestra la evolución de los casos activos de COVID-19 por millón de habitantes, con detalle comunal, en la región de Atacama, durante el periodo 2020-2021. </t>
  </si>
  <si>
    <t xml:space="preserve">Gráfico que muestra la evolución de los casos activos de COVID-19 por millón de habitantes, con detalle comunal, en la región de O´Higgins, durante el periodo 2020-2021. </t>
  </si>
  <si>
    <t xml:space="preserve">Gráfico que muestra la evolución de los casos activos de COVID-19 por millón de habitantes, con detalle comunal, en la región de Maule, durante el periodo 2020-2021. </t>
  </si>
  <si>
    <t xml:space="preserve">Gráfico que muestra la evolución de los casos activos de COVID-19 por millón de habitantes, con detalle comunal, en la región de La Araucania, durante el periodo 2020-2021. </t>
  </si>
  <si>
    <t xml:space="preserve">Gráfico que muestra la evolución de los casos activos de COVID-19 por millón de habitantes, con detalle comunal, en la región de Los Lagos, durante el periodo 2020-2021. </t>
  </si>
  <si>
    <t xml:space="preserve">Gráfico que muestra la evolución de los casos activos de COVID-19 por millón de habitantes, con detalle comunal, en la región de Aysén, durante el periodo 2020-2021. </t>
  </si>
  <si>
    <t xml:space="preserve">Gráfico que muestra la evolución de casos activos de COVID-19 por millón de habitantes, región Metropolina, con detalle comunal durante el periodo 2020-2021.  </t>
  </si>
  <si>
    <t xml:space="preserve">Gráfico que muestra la evolución de casos activos de COVID-19 por millón de habitantes, Región De Los Ríos con detalle comunal durante el periodo 2020-2021.  </t>
  </si>
  <si>
    <t xml:space="preserve">Gráfico que muestra la evolución de casos activos de COVID-19 por millón de habitantes, región de Arica y Parinacota, con detalle comunal durante el periodo 2020-2021.  </t>
  </si>
  <si>
    <t xml:space="preserve">Gráfico que muestra la evolución de casos activos de COVID-19 por millón de habitantes, región de Ñuble, con detalle comunal durante el periodo 2020-2021.  </t>
  </si>
  <si>
    <t>Mapa de fallecidos por millón de habitantes a nivel nacional, con detalle regional y comunal, durante el periodo 2020-2021</t>
  </si>
  <si>
    <t>Mapa de fallecidos por millón de habitantes, en la región de Antofagasta con detalle comunal, durante el periodo 2020-2021, se observa que la  comuna de María Elena es la que presenta mayor cantidad de fallecidos por millón de habitantes, en la región.</t>
  </si>
  <si>
    <t>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t>
  </si>
  <si>
    <t>Mapa de fallecidos por millón de habitantes en la región de Coquimbo con detalle comunal en el periodo 2020-2021.</t>
  </si>
  <si>
    <t>Mapa de fallecidos por millón de habitantes en la región de Valparaíso con detalle comunal en el periodo 2020-2021.</t>
  </si>
  <si>
    <t>Mapa de fallecidos por millón de habitantes en la región de O´higgins con detalle comunal en el periodo 2020-2021.</t>
  </si>
  <si>
    <t>Mapa de fallecidos por millón de habitantes en la región de Maule con detalle comunal en el periodo 2020-2021.</t>
  </si>
  <si>
    <t>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t>
  </si>
  <si>
    <t>Mapa de fallecidos por millón de habitantes en la región de Araucanía con detalle comunal en el periodo 2020-2021.</t>
  </si>
  <si>
    <t>Mapa de fallecidos por millón de habitantes en la región de Los Lagos con detalle comunal en el periodo 2020-2021.</t>
  </si>
  <si>
    <t>Mapa de fallecidos por millón de habitantes en la región de Aysén con detalle comunal en el periodo 2020-2021.</t>
  </si>
  <si>
    <t>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t>
  </si>
  <si>
    <t>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t>
  </si>
  <si>
    <t>Mapa de fallecidos por millón de habitantes en la región de Los Ríos con detalle comunal en el periodo 2020-2021.</t>
  </si>
  <si>
    <t>Mapa de fallecidos por millón de habitantes en la región de Arica y Parinacota con detalle comunal en el periodo 2020-2021.</t>
  </si>
  <si>
    <t>Mapa de fallecidos por millón de habitantes en la región de Ñuble con detalle comunal en el periodo 2020-2021.</t>
  </si>
  <si>
    <t>Según la encuesta CASEN realizada el año 2020, existen 12 comunas en las que más del 50% de la población autodefinida como indígena vive en pobreza extrema y no extrema.</t>
  </si>
  <si>
    <t xml:space="preserve">En la región de Tarapacá, en la comuna de Huara se encuentra un 46,0% de población indígena en situación de pobreza, siendo el mayor porcentaje de la región. </t>
  </si>
  <si>
    <t>En la región de Antofagasta, en la comuna de Mejillones se encuentra un 31,9% de población indígena en situación de pobreza, siendo el mayor porcentaje de la región.</t>
  </si>
  <si>
    <t xml:space="preserve">En la región de Atacama, en la comuna de Huasco se encuentra un 21,0% de población indígena en situación de pobreza, siendo el mayor porcentaje de la región. </t>
  </si>
  <si>
    <t xml:space="preserve">En la región de Coquimbo en la comuna Los Vilos se encuentra un 43,5% de población indígena en situación de pobreza, siendo el mayor porcentaje de la región. </t>
  </si>
  <si>
    <t xml:space="preserve">En la región de Valparaíso en la comuna Catemu se encuentra un 36,1% de población indígena en situación de pobreza, siendo el mayor porcentaje de la región. </t>
  </si>
  <si>
    <t xml:space="preserve">En la región de O'Higgins en la comuna de Paredones se encuentra un 38,2% de población indígena en situación de pobreza, siendo el mayor porcentaje de la región. </t>
  </si>
  <si>
    <t>En la región del Maule, en la comuna de Pelluhue se encuentra un 91,8% de población indígena en situación de pobreza, siendo el mayor porcentaje de la región.</t>
  </si>
  <si>
    <t>En la región del Biobío, en la comuna de Santa Bárbara se encuentra un 81,1% de población indígena en situación de pobreza, siendo el mayor porcentaje de la región.</t>
  </si>
  <si>
    <t>En la región de la Araucanía, en la comuna de Cunco se encuentra un 47,0% de población indígena en situación de pobreza, siendo el mayor porcentaje de la región.</t>
  </si>
  <si>
    <t>En la región de los Lagos, en la comuna de Puqueldón se encuentra un 50,0% de población indígena en situación de pobreza, siendo el mayor porcentaje de la región.</t>
  </si>
  <si>
    <t>En la región de Aysén, en la comuna de Aysén se encuentra un 13% de población indígena en situación de pobreza, siendo el mayor porcentaje de la región.</t>
  </si>
  <si>
    <t>En la región del Magallanes en la comuna de Natales se encuentra un 12,8% de población indígena en situación de pobreza, siendo el mayor porcentaje de la región.</t>
  </si>
  <si>
    <t>En la región Metropolitana en la comuna de Pirque se encuentra un 48,0% de población indígena en situación de pobreza, siendo el mayor porcentaje de la región.</t>
  </si>
  <si>
    <t>En la región de Los Ríos en la comuna Los Lagos se encuentra un 25,8% de población indígena en situación de pobreza, siendo el mayor porcentaje de la región.</t>
  </si>
  <si>
    <t>En la región de Arica y Parinacota en la comuna de Putre se encuentra un 28,5% de población indígena en situación de pobreza, siendo el mayor porcentaje de la región.</t>
  </si>
  <si>
    <t>En la región del Ñuble en la comuna de Ñiquén se encuentra un 94,5% de población indígena en situación de pobreza, siendo el mayor porcentaje de la región.</t>
  </si>
  <si>
    <t>En la región de Tarapacá, la  pobreza para el año 2006 fue de 6,9% en tanto en el 2020 de 7,0%. Mientras que la pobreza extrema para el año 2006 fue de 1,8% y para el año 2020 de 6,7% representando un incremento en los últimos 14 años.</t>
  </si>
  <si>
    <t>En la región de Antofagasta, la pobreza para el año 2006 fue de 4,0% en tanto en el 2020 de 6,1%. Mientras que la pobreza extrema para el año 2006 fue de 1,8% y para el año 2020 de 3,7% representando un incremento en los últimos 14 años.</t>
  </si>
  <si>
    <t>En la región de Atacama, la pobreza para el año 2006 fue de 6,1% en tanto en el 2020 de 5,7%. Mientras que la pobreza extrema para el año 2006 fue de 2,3% y para el año 2020 de 3,9% representando un incremento en los últimos 14 años.</t>
  </si>
  <si>
    <t>En la región de Coquimbo la pobreza para el año 2006 fue de 11,3% en tanto en el 2020 de 7,6%. Mientras que la pobreza extrema para el año 2006 fue de 2,1% y para el año 2020 de 4,1% representando un incremento en los últimos 14 años.</t>
  </si>
  <si>
    <t>En la región de Valparaíso, la pobreza para el año 2006 fue de 10,6% en tanto en el 2020 de 6,4%. Mientras que la pobreza extrema para el año 2006 fue de 2,3% y para el año 2020 de 4,9% representando un incremento en los últimos 14 años.</t>
  </si>
  <si>
    <t>En la región de O'Higgins, la pobreza para el año 2006 fue de 7,7% en tanto en el 2020 de 5,7%. Mientras que la pobreza extrema para el año 2006 fue de 1,6% y para el año 2020 de 4,3% representando un incremento en los últimos 14 años.</t>
  </si>
  <si>
    <t>En la región de Maule, la pobreza para el año 2006 fue de 11,8% en tanto en el 2020 de 7,7%. Mientras que la pobreza extrema para el año 2006 fue de 3,7% y para el año 2020 de 4,7% representando un incremento en los últimos 14 años.</t>
  </si>
  <si>
    <t>En la región de Biobío, la pobreza para el año 2006 fue de 13,1% en tanto en el 2020 de 8,0%. Mientras que la pobreza extrema para el año 2006 fue de 4,1% y para el año 2020 de 5,0% representando un incremento en los últimos 14 años.</t>
  </si>
  <si>
    <t>En la región de Araucanía, la pobreza para el año 2006 fue de 12,3% en tanto en el 2020 de 11,5%. Mientras que la pobreza extrema para el año 2006 fue de 4,8% y para el año 2020 de 6,0% representando un incremento en los últimos 14 años.</t>
  </si>
  <si>
    <t>En la región de Los Lagos, la pobreza para el año 2006 fue de 7,6% en tanto en el 2020 de 7,4%. Mientras que la pobreza extrema para el año 2006 fue de 2,2% y para el año 2020 de 3,5% representando un incremento en los últimos 14 años.</t>
  </si>
  <si>
    <t>En la región de Aysén, la pobreza para el año 2006 fue de 4,3% en tanto en el 2020 de 4,2%. Mientras que la pobreza extrema para el año 2006 fue de 3,0%y para el año 2020 de 2,3% representando una disminución en los últimos 14 años.</t>
  </si>
  <si>
    <t>En la región de Magallanes, la pobreza para el año 2006 fue de 3,2% en tanto en el 2020 de 3,9%. Mientras que la pobreza extrema para el año 2006 fue de 2,3% y para el año 2020 de 1,9% representando una disminución en los últimos 14 años.</t>
  </si>
  <si>
    <t>En la región Metropolitana la pobreza para el año 2006 fue de 6,6% en tanto en el 2020 de 5,2%. Mientras que la pobreza extrema para el año 2006 fue de 1,7% y para el año 2020 de 3,7% representando un incremento en los últimos 14 años.</t>
  </si>
  <si>
    <t>En la región de Los Ríos, la pobreza para el año 2006 fue de 12,3% en tanto en el 2020 de 7,6%. Mientras que la pobreza extrema para el año 2006 fue de 4,3% y para el año 2020 de 4,7% representando un incremento en los últimos 14 años.</t>
  </si>
  <si>
    <t>En la región de Arica y Parinacota, la pobreza para el año 2006 fue de 12,5% en tanto en el 2020 de 6,0%. Mientras que la pobreza extrema para el año 2006 fue de 3,5% y para el año 2020 de 6,0% representando un incremento en los últimos 14 años.</t>
  </si>
  <si>
    <t>En la región del Ñuble, la pobreza para el año 2006 fue de 14,5% en tanto en el 2020 de 9,6%. Mientras que la pobreza extrema para el año 2006 fue de 4,5% y para el año 2020 de 5,2% representando un incremento en los últimos 14 años.</t>
  </si>
  <si>
    <t>En la región de Tarapacá para el 2020, la comuna de Huara presentó el mayor porcentaje de pobreza extrema con un 16,8%, mientras que Pozo Almonte fue la comuna con menor porcentaje de pobreza extrema con un 4,6%.</t>
  </si>
  <si>
    <t>En la región de Antofagasta para el 2020, la comuna de Mejillones presentó el mayor porcentaje de pobreza extrema con un 18,0%, mientras que Tocopilla fue la comuna con menor porcentaje de pobreza extrema con un 1,0%.</t>
  </si>
  <si>
    <t>En la región de Atacama para el 2020, la comuna de Freirina presentó el mayor porcentaje de pobreza extrema con un 19,3%, mientras que Tierra Amarilla fue la comuna con menor porcentaje de pobreza extrema con un 1,0%.</t>
  </si>
  <si>
    <t>En la región de Coquimbo para el 2020, la comuna de Vicuña presentó el mayor porcentaje de pobreza extrema con un 9,0%, mientras que Salamanca fue la comuna con menor porcentaje de pobreza extrema con un 0,4%.</t>
  </si>
  <si>
    <t>En la región de Valparaíso para el 2020, la comuna de Calle Larga presentó el mayor porcentaje de pobreza extrema con un 9,2%, mientras que La Cruz fue la comuna con menor porcentaje de pobreza extrema con un 0,5%.</t>
  </si>
  <si>
    <t>En la región de O'Higgins para el 2020, la comuna de Peralillo presentó el mayor porcentaje de pobreza extrema con un 9,9%, mientras que Palmilla fue la comuna con menor porcentaje de pobreza extrema con un 0,8%.</t>
  </si>
  <si>
    <t>En la región de Maule para el 2020, la comuna de Pelluhue presentó el mayor porcentaje de pobreza extrema con un 16,9%, mientras que Teno fue la comuna con menor porcentaje de pobreza extrema con un 0,5%.</t>
  </si>
  <si>
    <t>En la región de Biobío para el 2020, la comuna de Cañete presentó el mayor porcentaje de pobreza extrema con un 19,4%, mientras que San Rosendo fue la comuna con menor porcentaje de pobreza extrema con un 0,5%.</t>
  </si>
  <si>
    <t>En la región de Araucanía para el 2020, la comuna de Curarrehue presentó el mayor porcentaje de pobreza extrema con un 17,1%, mientras que Lonquimay fue la comuna con menor porcentaje de pobreza extrema con un 0,8%.</t>
  </si>
  <si>
    <t>En la región de Los Lagos para el 2020, la comuna de Curaco de Veléz presentó el mayor porcentaje de pobreza extrema con un 14,1%, mientras que Puerto Varas fue la comuna con menor porcentaje de pobreza extrema con un 1,4%.</t>
  </si>
  <si>
    <t>En la región de Aysén para el 2020, la comuna de Río Ibáñez presentó el mayor porcentaje de pobreza extrema con un 7,4%, mientras que Coyhaique fue la comuna con menor porcentaje de pobreza extrema con un 2,1%.</t>
  </si>
  <si>
    <t>En la región de Magallanes para el 2020, la comuna de Porvenir presentó el mayor porcentaje de pobreza extrema con un 5,3%, mientras que Punta Arena fue la comuna con menor porcentaje de pobreza extrema con un 1,6%.</t>
  </si>
  <si>
    <t>En la región Metropolitana para el 2020, la comuna de Lampa presentó el mayor porcentaje de pobreza extrema con un 13,9%, mientras que San José de Maipo fue la comuna con menor porcentaje de pobreza extrema con un 0,2%.</t>
  </si>
  <si>
    <t>En la región de Los Ríos para el 2020, la comuna de Máfil presentó el mayor porcentaje de pobreza extrema con un 9,4%, mientras que Lago Ranco fue la comuna con menor porcentaje de pobreza extrema con un 1,7%.</t>
  </si>
  <si>
    <t>En la región de Arica y Parinacota para el 2020, la comuna de Putre presentó el mayor porcentaje de pobreza extrema con un 13,0%, mientras que Arica fue la comuna con menor porcentaje de pobreza extrema con un 6,0%.</t>
  </si>
  <si>
    <t>En la región de Ñuble para el 2020, la comuna de San Ignacio presentó el mayor porcentaje de pobreza extrema con un 16,0%, mientras que Cobquecura fue la comuna con menor porcentaje de pobreza extrema con un 0,3%.</t>
  </si>
  <si>
    <t>https://analytics.zoho.com/open-view/2395394000009355045</t>
  </si>
  <si>
    <t>https://analytics.zoho.com/open-view/2395394000009355244</t>
  </si>
  <si>
    <t>https://analytics.zoho.com/open-view/2395394000009355434</t>
  </si>
  <si>
    <t>https://analytics.zoho.com/open-view/2395394000009355612?ZOHO_CRITERIA=%22Consolidado_Estadisticas_Regionales_New%22.%22C%C3%B3digo%20regi%C3%B3n%22%20%3D%201</t>
  </si>
  <si>
    <t>https://analytics.zoho.com/open-view/2395394000009355612?ZOHO_CRITERIA=%22Consolidado_Estadisticas_Regionales_New%22.%22C%C3%B3digo%20regi%C3%B3n%22%20%3D%202</t>
  </si>
  <si>
    <t>https://analytics.zoho.com/open-view/2395394000009355612?ZOHO_CRITERIA=%22Consolidado_Estadisticas_Regionales_New%22.%22C%C3%B3digo%20regi%C3%B3n%22%20%3D%203</t>
  </si>
  <si>
    <t>https://analytics.zoho.com/open-view/2395394000009355612?ZOHO_CRITERIA=%22Consolidado_Estadisticas_Regionales_New%22.%22C%C3%B3digo%20regi%C3%B3n%22%20%3D%204</t>
  </si>
  <si>
    <t>Producción de cobre a nivel nacional en el periodo 2014-2021</t>
  </si>
  <si>
    <t>https://analytics.zoho.com/open-view/2395394000009355686?ZOHO_CRITERIA=%22Consolidado_Estadisticas_Regionales_New%22.%22C%C3%B3digo%20regi%C3%B3n%22%20%3D%201</t>
  </si>
  <si>
    <t>https://analytics.zoho.com/open-view/2395394000009355686?ZOHO_CRITERIA=%22Consolidado_Estadisticas_Regionales_New%22.%22C%C3%B3digo%20regi%C3%B3n%22%20%3D%202</t>
  </si>
  <si>
    <t>https://analytics.zoho.com/open-view/2395394000009355686?ZOHO_CRITERIA=%22Consolidado_Estadisticas_Regionales_New%22.%22C%C3%B3digo%20regi%C3%B3n%22%20%3D%203</t>
  </si>
  <si>
    <t>https://analytics.zoho.com/open-view/2395394000009355686?ZOHO_CRITERIA=%22Consolidado_Estadisticas_Regionales_New%22.%22C%C3%B3digo%20regi%C3%B3n%22%20%3D%204</t>
  </si>
  <si>
    <t>https://analytics.zoho.com/open-view/2395394000009355686?ZOHO_CRITERIA=%22Consolidado_Estadisticas_Regionales_New%22.%22C%C3%B3digo%20regi%C3%B3n%22%20%3D%205</t>
  </si>
  <si>
    <t>https://analytics.zoho.com/open-view/2395394000009355773</t>
  </si>
  <si>
    <t>https://analytics.zoho.com/open-view/2395394000009369072</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</si>
  <si>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</si>
  <si>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</si>
  <si>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</si>
  <si>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</si>
  <si>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</si>
  <si>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</si>
  <si>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</si>
  <si>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</si>
  <si>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</si>
  <si>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</si>
  <si>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</si>
  <si>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</si>
  <si>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</si>
  <si>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</si>
  <si>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</si>
  <si>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</si>
  <si>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t>
  </si>
  <si>
    <t>Cantidad de Personas que se Identifican con un Pueblo Indígena por Pueblo y Sexo, Año 2017</t>
  </si>
  <si>
    <t xml:space="preserve">En Chile para el año 2017 el pueblo indígena con mayor cantidad de personas fue el pueblo Mapuche con 861.241 hombres y 883.906 mujeres, mientras que la población indígena con menor cantidad de personas fue el pueblo Yagán o Yámana con 864 hombres y 736 mujeres.  </t>
  </si>
  <si>
    <t>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t>
  </si>
  <si>
    <t xml:space="preserve"> En la región de Tarapacá, la comuna con  mayor cantidad de personas que se autoidentifican como indígena es Iquique con 33.021 personas, le sigue Alto Hospicio con 32.079 personas.   </t>
  </si>
  <si>
    <t>Las comunas con más de 25.000 personas que se autoidentifican como indígenas en la Región de Antofagas son Antofagasta y Calama. En tanto María Elena y Ollahue son las que tienen menor cantidad.</t>
  </si>
  <si>
    <t>En la región de Atacama, la comuna con  mayor cantidad de personas que se autoidentifican como indígena es Copiapó con 27.078 personas, le sigue Vallenar con 12.369 personas.</t>
  </si>
  <si>
    <t>Mapa de cantidad de personas que se autoidentifican como Indígena a escala comunal de la región de Coquimbo para el año 2017 según el INE.</t>
  </si>
  <si>
    <t xml:space="preserve"> En la región de Valparaíso, la comuna con  mayor cantidad de personas que se autoidentifican como indígena es Viña del Mar con 20.573 personas, le sigue Valparaíso con 20.153 personas. </t>
  </si>
  <si>
    <t xml:space="preserve">En la región de O'Higgins, la comuna con  mayor cantidad de personas que se autoidentifican como indígena es Rancagua con 18.461 personas, le sigue San Fernando con 4.281 personas. </t>
  </si>
  <si>
    <t xml:space="preserve"> En la región de  Maule, la comuna con  mayor cantidad de personas que se autoidentifican como indígena es Curicó con 9.298 personas, le sigue Talca con 9.280 personas. </t>
  </si>
  <si>
    <t>Mapa de cantidad de personas que se autoidentifican como Indígena a escala comunal de la región de Biobío para el año 2017 según el INE</t>
  </si>
  <si>
    <t xml:space="preserve"> Las comunas con más de 25.000 personas que se autoidentifican como indígenas en la Región de Araucanía son Temuco con 68.369 y Padre Las Casas con 37.197. En tanto Renaico es la que tiene menor cantidad.</t>
  </si>
  <si>
    <t xml:space="preserve"> Las comunas con más de 25.000 personas que se autoidentifican como indígenas en la Región de Los Lagos son Puerto Montt con 52.483 y Osorno con 47.257. En tanto Cochamó, Futaleufú y Palena son las que tienen menor cantidad. </t>
  </si>
  <si>
    <t>Mapa de cantidad de personas que se autoidentifican como Indígena a escala comunal de la región de Aysén para el año 2017 según el INE.</t>
  </si>
  <si>
    <t xml:space="preserve">La comuna con más de 25.000 personas que se autoidentifican como indígenas en la Región de Magallanes es Punta Arenas con 28.334 personas. </t>
  </si>
  <si>
    <t xml:space="preserve">En la región de  Metropolitana, la comuna con  mayor cantidad de personas que se autoidentifican como indígena es Puente Alto con 62.337, le sigue Maipú con 51.728 personas. </t>
  </si>
  <si>
    <t>Las comunas con más de 25.000 personas que se autoidentifican como indígenas en la Región de Los Ríos es Valdivia con 28.868. En tanto Máfil y Corral son la que tienen menor cantidad de personas.</t>
  </si>
  <si>
    <t>Mapa de cantidad de personas que se autoidentifican como Indígena a escala comunal de la región de Arica y Parinacota para el año 2017 según el INE.</t>
  </si>
  <si>
    <t>Mapa de cantidad de personas que se autoidentifican como Indígena a escala comunal de la región de Ñuble para el año 2017 según el INE.</t>
  </si>
  <si>
    <t>La región con mayor cantidad de personas autoidentificadas como indígenas, que superan los 100 años de edad, es la región Metropolinada con 141 personas, seguidas de La Araucanía y los Lagos con 85 y 38 personas respectivamente.</t>
  </si>
  <si>
    <t>En la región de Tarapacá, el mayor grupo etario de personas autoidentificadas como indígena, para el año 2017, fue de "5 a 9" con 7.788 personas, seguido por el rango de "25 a 29" con 7.372 personas.</t>
  </si>
  <si>
    <t>En la región de Antofagasta, el mayor grupo etario de personas autoidentificadas como indígena para el año 2017  fue de "25 a 29" con 7.698 personas, seguido por el rango de "20 a 24"con 7.188 indígenas.</t>
  </si>
  <si>
    <t xml:space="preserve">Gráfico por grupo etario  de cantidad de personas que se autoidentifican como indígena en la región de Atacama para el año 2017, según el INE.
</t>
  </si>
  <si>
    <t>En la región de Coquimbo, el mayor grupo etario de personas autoidentificadas como indígena para el año 2017  fue de "5 a 9" con 5.570 personas, seguido por el rango de "15 a 19" con 5.310 indígenas.</t>
  </si>
  <si>
    <t>Gráfico por grupo etario  de cantidad de personas que se autoidentifican como indígena en la región de Valparaíso para el año 2017, según el INE.</t>
  </si>
  <si>
    <t>Gráfico por grupo etario  de cantidad de personas que se autoidentifican como indígena en la región de O'Higgins para el año 2017, según el INE.</t>
  </si>
  <si>
    <t>En la región del Maule, el mayor grupo etario de personas autoidentificadas como indígena para el año 2017  fue de "5 a 9" con 3.793 personas, seguido por el rango de "25 a 29" con 3.728 indígenas.</t>
  </si>
  <si>
    <t>En la región del Biobío, el mayor grupo etario de personas autoidentificadas como indígena para el año 2017  fue de "5 a 9" con 13.753 personas, seguido por el rango de "20 a 24" con 13.652 indígenas.</t>
  </si>
  <si>
    <t xml:space="preserve"> Gráfico por grupo etario  de cantidad de personas que se autoidentifican como indígena en la región de la Araucanía para el año 2017, según el INE.</t>
  </si>
  <si>
    <t>En la región de Los Lagos el grupo etario de "40 a 44" años, corresponde al 7,1% del total de las personas que se autoidentifican como  indígena en la región al año 2017.</t>
  </si>
  <si>
    <t>En la región de Aysén el grupo etario de "40 a 44" años, corresponde al 6,9% del total de las personas que se autoidentifican como indígena en la región al año 2017.</t>
  </si>
  <si>
    <t>En la región de Magallanes, el mayor grupo etario de personas autoidentificadas como indígena para el año 2017  fue de "25 a 29" con 3.607 personas, seguido por el rango de "15 a 19" con 3.353 indígenas.</t>
  </si>
  <si>
    <t>En la región de Metropolitana, el mayor grupo etario de personas autoidentificadas como indígena para el año 2017  fue de "25 a 29" con 62.378 personas, seguido por el rango de "15 a 19" con 60.139 indígenas.</t>
  </si>
  <si>
    <t>En la región de Los Ríos el grupo etario de "40 a 44" años, corresponde al 6,6% del total de las personas que se autoidentifican como indígena en la región al año 2017.</t>
  </si>
  <si>
    <t>En la región de Arica y Parinacota, el mayor grupo etario de personas autoidentificadas como indígena para el año 2017  fue de "5 a 9" con 7.050 personas, seguido por el rango de "20 a 24" con 6.929 indígenas.</t>
  </si>
  <si>
    <t>En la región de Ñuble el grupo etario de "40 a 44" años, corresponde al 6,5% del total de las personas que se autoidentifican como indígena en la región al año 2017.</t>
  </si>
  <si>
    <t xml:space="preserve">En Chile, para el año 2017, el pueblo indígena con mayor cantidad de personas autoidentificadas como indígena, fue el Pueblo Mapuche con 1.745.147 personas, mientras el pueblo Yagán o Yámana  fue el pueblo con menor cantidad, con 1.600 personas. </t>
  </si>
  <si>
    <t>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"Otro", referido a otros pueblos indígenas, originarios, tribales u otras etnias declaradas por la población censada, y “Pueblo Ignorado" referido a la población que se declaró perteneciente a un pueblo indígena u originario pero cuyo pueblo específico no fue declarado o posible de clasificar.</t>
  </si>
  <si>
    <t>En la región de Tarapacá, el pueblo Aymara presenta  mayor porcentaje de personas autoidentificada como indígena para el año 2017  con un 61,2 %, mientras que el pueblo indíegna con menor porcentaje es el Colla con un 1% .</t>
  </si>
  <si>
    <t xml:space="preserve">En la región de Antofagasta, el pueblo Likan Antai presenta  mayor porcentaje de personas autoidentificada como indígena para el año 2017  con un 30,7 %, mientras que el pueblo indíegna con menor porcentaje es el Colla con un 1,2% .
</t>
  </si>
  <si>
    <t>En la región de Atacama, el pueblo Diaguita presenta  mayor porcentaje de personas autoidentificada como indígena para el año 2017 con un 47,6 %, mientras que el pueblo indígena con menor porcentaje es el Likan Antai con un 0,7% .</t>
  </si>
  <si>
    <t>En la región de Coquimbo, el pueblo Diaguita presenta  mayor porcentaje de personas autoidentificada como indígena para el año 2017 con un 40,8 %, mientras que el pueblo indígena con menor porcentaje es el Yagán o Yámana con un 0,1% .</t>
  </si>
  <si>
    <t>En la región de Valparaíso, el pueblo Mapuche presenta  mayor porcentaje de personas autoidentificada como indígena para el año 2017 con un 77,3 %, mientras que el pueblo indígena con menor porcentaje es el Yagán o Yámana con un 0,1% .</t>
  </si>
  <si>
    <t>En la región de  O'Higgins, el pueblo Mapuche presenta  mayor porcentaje de personas autoidentificada como indígena para el año 2017 con un 90 %, mientras que el pueblo indígena con menor porcentaje es el Yagán o Yámana con un 0,1% .</t>
  </si>
  <si>
    <t>En la región del Maule, el pueblo Mapuche presenta  mayor porcentaje de personas autoidentificada como indígena para el año 2017 con un 90 %, mientras que el pueblo indígena con menor porcentaje es el Yagán o Yámana con un 0,1% .</t>
  </si>
  <si>
    <t>En la región del Biobío, el pueblo Mapuche presenta  mayor porcentaje de personas autoidentificada como indígena para el año 2017 con un 94,9 %, mientras que el pueblo indígena con menor porcentaje es el Yagán o Yámana con un 0,1% .</t>
  </si>
  <si>
    <t>En la región de La Araucanía, el pueblo Mapuche presenta  mayor porcentaje de personas autoidentificada como indígena para el año 2017 con un 97,8 %, mientras que el pueblo indígena con menor porcentaje es el Yagán o Yámana con un 0% .</t>
  </si>
  <si>
    <t>En la región de Los Lagos, el pueblo Mapuche presenta  mayor porcentaje de personas autoidentificada como indígena para el año 2017 con un 96,5 %, mientras que el pueblo indígena con menor porcentaje es el Colla con 0% .</t>
  </si>
  <si>
    <t>En la región de Aysén, el pueblo Mapuche presenta  mayor porcentaje de personas autoidentificada como indígena para el año 2017 con un 95,2 %, mientras que el pueblo indígena con menor porcentaje es el Colla con 0% .</t>
  </si>
  <si>
    <t>En la región de Magallanes, el pueblo Mapuche presenta  mayor porcentaje de personas autoidentificada como indígena para el año 2017 con un 93,1 %, seguido por el pueblo Kawésqar con un 2,5%  mientras que el pueblo indígena con menor porcentaje es el Colla con 0% .</t>
  </si>
  <si>
    <t>En la región de Metropolitana, el pueblo Mapuche presenta  mayor porcentaje de personas autoidentificada como indígena para el año 2017 con un 88,5 %,  mientras que el pueblo indígena con menor porcentaje es el Yagán o Yámana con 0,1% .</t>
  </si>
  <si>
    <t>En la región de Metropolitana, el pueblo Mapuche presenta  mayor porcentaje de personas autoidentificada como indígena para el año 2017 con un 96,8%,  mientras que el pueblo indígena con menor porcentaje es el Likan Antai con 0% .</t>
  </si>
  <si>
    <t>En la región de Arica y Parinacota, el pueblo Aymara presenta  mayor porcentaje de personas autoidentificada como indígena para el año 2017 con un 75,3%, seguido por el pueblo Mapuche con un 10%,  mientras que el pueblo indígena con menor porcentaje es el Yagán o Yámana% .</t>
  </si>
  <si>
    <t>En la región de Ñuble, el pueblo Mapuche presenta  mayor porcentaje de personas autoidentificada como indígena para el año 2017 con un 89,5%,   mientras que el pueblo indígena con menor porcentaje es el Yagán o Yámana con un 0,1% .</t>
  </si>
  <si>
    <t>Sólo en las regiones de Ñuble, O´Higgins, Maule, Aysén y Antofagasta, se observa una mayor presencia de hombres pertenecientes a pueblos indígenas. En las regiones restantes la presencia de mujeres pertenecientes a pueblos indígenas es mayor que la de hombres.</t>
  </si>
  <si>
    <t>En la región de Tarapacá, el mayor porcentaje de personas que se autoidentifican con un pueblo indígenas es de género femenino alcanzando el 50,2% del total.</t>
  </si>
  <si>
    <t>En la región de Antofagasta, el mayor porcentaje de personas que se autoidentifican con un pueblo indígenas es de género Masculino alcanzando el 51,3% del total.</t>
  </si>
  <si>
    <t>Del total de personas que se autoidentifican como indígena en la región de Atacama, el 49,9% son hombres y el 50,1% son mujeres.</t>
  </si>
  <si>
    <t>En la región de Coquimbo, el mayor porcentaje de personas que se autoidentifican con un pueblo indígenas es de género femenino alcanzando el 50,1% del total.</t>
  </si>
  <si>
    <t>Del total de personas que se autoidentifican como indígena en la región de Valparaíso, el 49,4% son hombres y el 50,6% son mujeres.</t>
  </si>
  <si>
    <t xml:space="preserve"> Del total de personas que se autoidentifican como indígena en la región de O'Higgins, el 51,7% son hombres y el 48,3% son mujeres</t>
  </si>
  <si>
    <t>En la región de Maule, el mayor porcentaje de personas que se autoidentifican con un pueblo indígenas es de género masculino alcanzando el 50,9% del total.</t>
  </si>
  <si>
    <t>Del total de personas que se autoidentifican como indígena en la región del Biobío, el 49% son hombres y el 51% son mujeres.</t>
  </si>
  <si>
    <t>En la región de La Araucanía, el mayor porcentaje de personas que se autoidentifican con un pueblo indígenas es de género femenino alcanzando el 51% del total.</t>
  </si>
  <si>
    <t>En la región de Los Lagos, el mayor porcentaje de personas que se autoidentifican con un pueblo indígenas es de género femenino alcanzando el 51,8% del total.</t>
  </si>
  <si>
    <t>Del total de personas que se autoidentifican como indígena en la región de Aysén, el 50,6% son hombres y el 49,4% son mujeres.</t>
  </si>
  <si>
    <t>Del total de personas que se autoidentifican como indígena en la región de Magallanes, el 49,7% son hombres y el 50,3% son mujeres.</t>
  </si>
  <si>
    <t>En la región Metropolitana, el mayor porcentaje de personas que se autoidentifican con un pueblo indígenas es de género femenino alcanzando el 50,7% del total.</t>
  </si>
  <si>
    <t>En la región de Los Ríos, el mayor porcentaje de personas que se autoidentifican con un pueblo indígenas es de género femenino alcanzando el 51,2% del total.</t>
  </si>
  <si>
    <t xml:space="preserve"> Del total de personas que se autoidentifican como indígena en la región de Arica y Parinacota, el 48,5% son hombres y el 51,5% son mujeres.</t>
  </si>
  <si>
    <t xml:space="preserve"> Del total de personas que se autoidentifican como indígena en la región de Ñuble, el 50,2% son hombres y el 49,8% son mujeres.</t>
  </si>
  <si>
    <t>La región Metropolitana cuenta con 397 espacios culturales, de ellos 220 son de titularidad pública y 151 de titularidad privada, las comunas que presentan la mayor cantidad son Santiago y Providencia.</t>
  </si>
  <si>
    <t>La región Metropolitana es la que posee más espacios culturales con acceso para discapacitados, con 250 espacios de 397 que tiene en total la región, destacando las comunas de Santiago, Providencia y Las Condes.</t>
  </si>
  <si>
    <t>En la Región de Magallanes, la comuna con mayor cantidad de espacios culturales es Punta Arenas que se encuentra en el rango de 21 a 30, en tanto que Cabo de Hornos es la comuna con menor cantidad de espacios culturales.</t>
  </si>
  <si>
    <t>En la región Metropolitana, las comunas que tienen más de 50 espacios culturales son Santiago, Valparaíso y Providencia, con 104, 60 y 51 espacios, respectivamente.</t>
  </si>
  <si>
    <t>En la Región de Los Ríos, la comuna con mayor cantidad de espacios culturales es Valdivia que se encuentra en el rango de 21 a 30, en tanto que las comunas en el menor rango de 0 a 3 son Mariquina y Corral.</t>
  </si>
  <si>
    <t>En la Región de Arica y Parinacota se centra la mayor cantidad de centros culturales en la comuna de Arica, la que se encuentra en el rango de 21-30, en cambio las otras 3 comunas de la región se encuentran en el rango menor de 0-3.</t>
  </si>
  <si>
    <t>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t>
  </si>
  <si>
    <t>Mapa de espacios culturales en la región Metropolitana a nivel regional y comunal, para el año 2021, indicando ubicación geográfica y descripción de cada espacio cultural.</t>
  </si>
  <si>
    <t xml:space="preserve">La región Metropolitana posee 281 espacios culturales en buen estado mantención, siendo solo 48 espacios los catalogados como en estado regular o malo. </t>
  </si>
  <si>
    <t>La Región de Tarapacá cuenta con 57 espacios culturales tanto Público como Privados, destacando la comuna de Iquique con 20 espacios públicos y 7 privados.</t>
  </si>
  <si>
    <t>La Región de Antofagasta presenta 62 espacios culturales, 34 son de titularidad pública y 26 de titularidad privada, la mayoría de ellos se encuentran en la comuna de Antofagasta, seguidos por Calama.</t>
  </si>
  <si>
    <t>La Región de Atacama cuenta con 51 espacios culturales tanto Público como Privados, destacando la comuna de Copiapó con 8 espacios públicos y 2 privados.</t>
  </si>
  <si>
    <t>La Región de Coquimbo presenta 120 espacios culturales, 97 son de titularidad pública y 21 de titularidad privada, la mayoría de ellos se encuentran en la comuna de Coquimbo y La Serena.</t>
  </si>
  <si>
    <t>La Región de Valparaíso presenta diversos espacios culturales, destacando la comuna de Valparaíso con 26 espacios de titularidad pública y 34 de titularidad privada y Viña del Mar con 12 espacios de titularidad público y 20 de titularidad privada.</t>
  </si>
  <si>
    <t>La Región de O'Higgins cuenta con 206 espacios culturales tanto Público como Privados, destacando la comuna de Rancagua con 11 espacios públicos y 9 privados.</t>
  </si>
  <si>
    <t>La Región de Maule cuenta con 169 espacios culturales tanto Público como Privados, destacando la comuna de Talca con 20 espacios de titularidad pública y 15 de titularidad privada.</t>
  </si>
  <si>
    <t>La Región de Biobío presenta 163 espacios culturales en el año 2021, la comuna que tiene mayor cantidad de espacios de titularidad pública es Lota con 9 espacios y de titularidad privada es Concepción con 21 espacios.</t>
  </si>
  <si>
    <t>En la Región de La Araucanía se destaca la comuna de Temuco, en donde se encuentran 16 espacios culturales de titularidad pública y 8 espacios culturales de titularidad privada.</t>
  </si>
  <si>
    <t>La Región de Los Lagos cuenta con 153 espacios culturales, de ellos 126 son de titularidad pública y 24 de titularidad privada. Las comunas que presentan la mayor cantidad son Osorno y Puerto Montt.</t>
  </si>
  <si>
    <t>La Región de Aysén cuenta con 83 espacios culturales, de los cuales 70 son de titularidad pública y 13 de titularidad privada, la comuna con más espacios es Coihaique.</t>
  </si>
  <si>
    <t>La Región de Magallanes presenta 63 espacios culturales en el año 2021, la comuna que tiene mayor cantidad de espacios culturales es Punta Arenas con 46 espacios públicos y 17 espacios privados.</t>
  </si>
  <si>
    <t>La Región de Los Ríos presenta 77 espacios culturales en el año 2021, destaca la comuna de Valdivia con 8 espacios de titularidad pública y 17 espacios de titularidad privada.</t>
  </si>
  <si>
    <t>La Región de Arica y Parinacota cuenta con 34 espacios culturales en el año 2021, de los cuales 23 son públicos ubicados en las 4 comunas de la región y 11 son privados ubicados solo en la comuna de Arica.</t>
  </si>
  <si>
    <t>La Región de Ñuble cuenta con 86 espacios culturales de los cuales 69 son de titularidad pública y 12 de titularidad privada, estando la mayoría en la comuna de Chillán.</t>
  </si>
  <si>
    <t>La Región de Tarapacá presenta 57 espacios culturales en el año 2021, 25 espacios informan tener acceso para discapacitados y 32 no lo poseen.</t>
  </si>
  <si>
    <t>La Región de Antofagasta presenta 62 espacios culturales en el año 2021, 40 espacios informan tener acceso para discapacitados y 21 no lo poseen.</t>
  </si>
  <si>
    <t>La Región de Atacama presenta 51 espacios culturales en el año 2021, 33 espacios informan tener acceso para discapacitados y 16 no lo poseen.</t>
  </si>
  <si>
    <t>La Región de Coquimbo presenta 120 espacios culturales en el año 2021, 79 espacios informan tener acceso para discapacitados y 35 no lo poseen.</t>
  </si>
  <si>
    <t>La Región de Valparaíso cuenta con 324 espacios culturales en el año 2021, 143 espacios informan tener acceso para discapacitados y 133 no los poseen.</t>
  </si>
  <si>
    <t>La Región de O'Higgins cuenta con 206 espacios culturales de los cuales 116 tienen acceso para discapacitados y 51 no lo tienen, mientras que 39 de ellos no presentan información.</t>
  </si>
  <si>
    <t>La Región de Maule cuenta con 84 espacios culturales con acceso para discapacitados del total de espacios de la región. La comuna de Talca tiene 35 espacios culturales en total y de ellos sólo 17 presentan acceso para discapacitados.</t>
  </si>
  <si>
    <t>En la Región de Biobío se pueden encontrar 77 espacios culturales con acceso para discapacitados, de los cuales 19 se encuentran en la comuna de Concepción.</t>
  </si>
  <si>
    <t>En la Región de La Araucanía se pueden encontrar 66 espacios culturales con acceso para discapacitados, de los cuales 14 se encuentran en la comuna de Temuco.</t>
  </si>
  <si>
    <t>La Región de Los Lagos cuenta con 153 espacios culturales, de los cuales 84 tienen acceso para discapacitados y 48 no lo tienen</t>
  </si>
  <si>
    <t>La Región de Aysén cuenta con 83 espacios culturales de ellos 45 cuentan con acceso para discapacitados, la comuna de Coyhaique cuenta con 12 espacios con dicho acceso.</t>
  </si>
  <si>
    <t>En la Región de Magallanes existen 63 espacios culturales en total, de ellos 45 presenta acceso para discapacitados, encontrando 16 de ellos en la comuna de Punta Arenas.</t>
  </si>
  <si>
    <t>La Región de Los Ríos cuenta con 77 espacios culturales, de los cuales 27 tienen acceso para discapacitados y 15 no lo tienen</t>
  </si>
  <si>
    <t>La Región de Arica y Parinacota cuenta con 34 espacios culturales de los cuales 22 cuentan con acceso para discapacitados, estando 21 de ellos en la comuna de Arica.</t>
  </si>
  <si>
    <t>La Región de Ñuble cuenta con 45 espacios culturales con acceso para discapacitados del total de espacios de la región, 10 de ellos se encuentran en la comuna de Chillán.</t>
  </si>
  <si>
    <t>La comuna de la Región de Tarapacá con más espacios culturales es Iquique con 27 espacios, mientras que la que tiene menor cantidad es la comuna de Colchane con 3.</t>
  </si>
  <si>
    <t xml:space="preserve">La comuna de Antofagasta presenta la mayor cantidad de espacios culturales en la Región de Antofagasta en el año 2021, contabilizando 22 espacios. </t>
  </si>
  <si>
    <t>La Región de Atacama cuenta con 51 espacios culturales, de los cuales 10 se encuentran en Copiapó, las comunas con menos cantidad son Huasco y Freirina con 4 y 2 respectivamente.</t>
  </si>
  <si>
    <t>La Región de Coquimbo cuenta con 120 espacios culturales para el año 2021, destacando 3 comunas con la cantidad más alta, que son Coquimbo con 17, La Serena con 16 y Vicuña con 12 espacios.</t>
  </si>
  <si>
    <t>La comuna de Valparaíso es la que presenta el mayor número de espacios culturales en la Región de Valparaíso, contabilizando 60 espacio el año 2021.</t>
  </si>
  <si>
    <t>En la Región de O'Higgins, la comuna con la mayor cantidad de espacios culturales es Rancagua, con 20 espacios. Las comunas con menos cantidad son Codegua y Nancagua ambos con 2.</t>
  </si>
  <si>
    <t>La Región de Maule cuenta con 169 espacios culturales, de los cuales 35 se encuentran en Talca. Las comunas con menos cantidad son San Clemente, Pencahue y Pulluhue todos con 3 espacios.</t>
  </si>
  <si>
    <t>La Región de Biobío cuenta con 163 espacios culturales, de estos solo uno se encuentra en el rango de 21 a 30, se trata de Concepción con 28 espacios.</t>
  </si>
  <si>
    <t>La Región de La Araucanía cuenta con una comuna en el rango de 21 a 30 espacios culturales, se trata de Temuco, en tanto en el menor rango de 0 a 3, encontramos 11 comunas de la región.</t>
  </si>
  <si>
    <t>La Región de Los Lagos cuenta con tres comunas en el rango de 11 a 20 espacios culturales, se tratan de Osorno, Puerto Montt y Puerto Varas, en tanto en el menor rango, de 0 a 3, encontramos solo 1 comuna de la región.</t>
  </si>
  <si>
    <t>La Región de Aysén cuenta con 83 espacios culturales en total, la mayor parte de las comunas se encuentran en el rango de 5 a 10 espacios, en tanto la comuna con mayor cantidad es Coihaique con 21 espacios culturales.</t>
  </si>
  <si>
    <t>La Región de Ñuble cuenta con una comuna en el rango de 21 a 30 espacios culturales, se trata de Chillán, en tanto en el menor rango, de 0 a 3, encontramos 11 comunas de la región.</t>
  </si>
  <si>
    <t>En la Región de Tarapacá la gran parte de los espacios culturales se financian por fuentes públicas, llegando a 43 espacios del total regional.</t>
  </si>
  <si>
    <t>En la Región de Atacama la gran parte de los espacios culturales se financian por fuentes públicas, llegando a 34 espacios del total regional.</t>
  </si>
  <si>
    <t>La categoría de espacio cultural que predomina en la Región de Valparaíso es "Otros espacios con uso cultural", con 153 espacios del total regional. Por otro lado, la categoría menos habitual es "Centro de documentación" con solo un espacio.</t>
  </si>
  <si>
    <t>La categoría de espacio cultural que predomina en la Región de Maule es "Otros espacios con uso cultural", con 96 espacios del total regional. Por otro lado, la categoría menos habitual es "Sala de ensayo" y "Galería de arte" con solo un espacio cada uno.</t>
  </si>
  <si>
    <t>Las categorías de espacios culturales menos habituales en la Región de La Araucanía son "Sala de exposición", "Centro de documentación" y "Archivo" con solo un espacio cada una. Por otro lado, la categoría que predomina en la región es "Otros espacios con uso cultural", con 38 espacios.</t>
  </si>
  <si>
    <t>La categoría de espacio cultural que predomina en la Región de Magallanes es "Otros espacios con uso cultural", con 31 espacios del total regional. Por otro lado, la categoría menos habitual es "Sala de ensayo" con solo un espacio.</t>
  </si>
  <si>
    <t>En la Región de Tarapacá se observa que el estado de mantención de los espacios culturales se encuentra en su mayoría en estado bueno o regular, clasificados 27 en buen estado y 24 regular.</t>
  </si>
  <si>
    <t>De los 62 espacios culturales de la Región de Antofagasta, 46 se encuentran en buen estado de mantención, 9 en estado regular y dos en mal estado.</t>
  </si>
  <si>
    <t>En la Región de Atacama se observa que el estado de mantención de los espacios culturales se encuentra en su mayoría en estado bueno o regular, clasificándose 23 en buen estado y 20 como regular.</t>
  </si>
  <si>
    <t>De los 120 espacios culturales de la Región de Coquimbo, 80 se encuentran en buen estado de mantención, 33 en estado regular y 2 en mal estado.</t>
  </si>
  <si>
    <t>La Región de Valparaíso presenta un alto porcentaje de espacios culturales en buen estado de mantención, llegando a 208, sin embargo 62 espacios se encuentran en estado regular y para 48 no hay información disponible,</t>
  </si>
  <si>
    <t>La mayoría de los espacios culturales con los que cuenta la Región de O'Higgins, al año 2021, se encuentran en buen estado de mantención, siendo estos 122 de los 206 espacios que posee la región.</t>
  </si>
  <si>
    <t>La Región de Maule presenta un bajo porcentaje de espacios culturales en mal estado de mantención, con solo 3 espacios del total regional. La gran mayoría de espadios (102) se encuentran en buen estado.</t>
  </si>
  <si>
    <t>La Región de Biobío posee 163 espacios culturales al año 2021, de los cuales 70 se encuentran en buen estado de mantención y 31 en estado regular.</t>
  </si>
  <si>
    <t>La Región de La Araucanía presenta un bajo porcentaje de espacios culturales en mal estado de mantención, con sólo 3 espacios del total regional. La gran mayoría de espadios (68) se encuentran en buen estado.</t>
  </si>
  <si>
    <t>La Región de Los Lagos posee 153 espacios culturales al año 2021, de los cuales 78 se encuentran en buen estado de mantención y 42 en estado regular.</t>
  </si>
  <si>
    <t>La Región de Aysén registra 83 espacios culturales al año 2021; de ellos, 17 espacios presentan un mal estado de mantención y 38 un buen estado.</t>
  </si>
  <si>
    <t>La Región de Magallanes registra 63 espacios culturales al año 2021; de ellos, 45 espacios presentan un buen estado de mantención y 14 un estado regular.</t>
  </si>
  <si>
    <t>La Región de Los Ríos posee 77 espacios culturales al año 2021; de ellos, 31 espacios presentan un buen estado de mantención, sin embargo, 35 espacios no presentan registro de información de estado.</t>
  </si>
  <si>
    <t>La Región de Arica y Parinacota posee solo 1 espacio cultural en mal estado de mantención, mientras que la gran mayoría, equivalente a 21 espacios, posee buen estado de mantención.</t>
  </si>
  <si>
    <t>En la Región de Ñuble, de los 86 espacios culturales de la región, 46 se encuentran en la categoría de buen estado de mantención.</t>
  </si>
  <si>
    <t>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t>
  </si>
  <si>
    <t>Mapa de espacios culturales en la Región de Tarapacá a nivel regional y comunal, para el año 2021, indicando ubicación geográfica y descripción de cada espacio cultural.</t>
  </si>
  <si>
    <t>Mapa de espacios culturales en la Región de Antofagasta a nivel regional y comunal, para el año 2021, indicando ubicación geográfica y descripción de cada espacio cultural.</t>
  </si>
  <si>
    <t>Mapa de espacios culturales en la Región de Atacama a nivel regional y comunal, para el año 2021, indicando ubicación geográfica y descripción de cada espacio cultural.</t>
  </si>
  <si>
    <t>Mapa de espacios culturales en la Región de Coquimbo a nivel regional y comunal, para el año 2021, indicando ubicación geográfica y descripción de cada espacio cultural.</t>
  </si>
  <si>
    <t>Mapa de espacios culturales en la Región de Valparaíso a nivel regional y comunal, para el año 2021, indicando ubicación geográfica y descripción de cada espacio cultural.</t>
  </si>
  <si>
    <t>Mapa de espacios culturales en la Región de O'Higgins a nivel regional y comunal, para el año 2021, indicando ubicación geográfica y descripción de cada espacio cultural.</t>
  </si>
  <si>
    <t>Mapa de espacios culturales en la Región de Maule a nivel regional y comunal, para el año 2021, indicando ubicación geográfica y descripción de cada espacio cultural.</t>
  </si>
  <si>
    <t>Mapa de espacios culturales en la Región de Biobío a nivel regional y comunal, para el año 2021, indicando ubicación geográfica y descripción de cada espacio cultural.</t>
  </si>
  <si>
    <t>Mapa de espacios culturales en la Región de La Araucanía a nivel regional y comunal, para el año 2021, indicando ubicación geográfica y descripción de cada espacio cultural.</t>
  </si>
  <si>
    <t>Mapa de espacios culturales en la Región de Los Lagos a nivel regional y comunal, para el año 2021, indicando ubicación geográfica y descripción de cada espacio cultural.</t>
  </si>
  <si>
    <t>Mapa de espacios culturales en la Región de Aysén a nivel regional y comunal, para el año 2021, indicando ubicación geográfica y descripción de cada espacio cultural.</t>
  </si>
  <si>
    <t>Mapa de espacios culturales en la Región de Magallanes a nivel regional y comunal, para el año 2021, indicando ubicación geográfica y descripción de cada espacio cultural.</t>
  </si>
  <si>
    <t>Mapa de espacios culturales en la Región de Los Ríos a nivel regional y comunal, para el año 2021, indicando ubicación geográfica y descripción de cada espacio cultural.</t>
  </si>
  <si>
    <t>Mapa de espacios culturales en la Región de Arica y Parinacota a nivel regional y comunal, para el año 2021, indicando ubicación geográfica y descripción de cada espacio cultural.</t>
  </si>
  <si>
    <t>Mapa de espacios culturales en la Región de Ñuble a nivel regional y comunal, para el año 2021, indicando ubicación geográfica y descripción de cada espacio cultural.</t>
  </si>
  <si>
    <t>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t>
  </si>
  <si>
    <t>La Región de Antofagasta presenta 62 espacios culturales, de estos, 24 se financian de fuentes públicas, 19 con financiamiento mixto y 15 con financiamiento privado.</t>
  </si>
  <si>
    <t>En la Región de Coquimbo, de los 120 espacios culturales de la región, 84 son financiados por fuentes públicas.</t>
  </si>
  <si>
    <t>La Región de Valparaíso presenta 324 espacios culturales; de estos, 133 son financiados por fuentes públicas, 85 por fuentes privadas y 55 por fuentes mixtas.</t>
  </si>
  <si>
    <t>En la Región de O'Higgins, de los 206 espacios culturales existentes, se observa que el mayor porcentaje, equivalente a 120 espacios, son financiados por fuentes públicas.</t>
  </si>
  <si>
    <t>En la Región de Maule se observa que de los 169 espacios culturales de la región, 24 de ellos son financiados por fuentes privadas.</t>
  </si>
  <si>
    <t>En la Región de Biobío se observa que de los 163 espacios culturales de la región, 33 son financiados por fuentes privadas.</t>
  </si>
  <si>
    <t>La Región de La Araucanía presenta 70 espacios culturales financiados por fuentes públicas y 9 por fuentes privadas.</t>
  </si>
  <si>
    <t>En la Región de Los Lagos se observa que de los 153 espacios culturales de la región, 92 son financiados por fuentes públicas.</t>
  </si>
  <si>
    <t>En la Región de Aysén, de los 83 espacios culturales totales, se observa que el mayor porcentaje, equivalente a 66espacios, son financiados por fuentes públicas.</t>
  </si>
  <si>
    <t>La Región de Magallanes posee 63 espacios culturales, de ellos 44 tienen financiamiento público, 11 financiamiento privado y 7 financiamiento mixto.</t>
  </si>
  <si>
    <t>La región Metropolitana presenta variados financiamientos para los espacios culturales de la región, siendo 146 espacios financiados mediante fuentes públicas, 113 con fuentes privadas y 70 con fuentes mixtas.</t>
  </si>
  <si>
    <t>Del total de 77 espacios culturales de la Región de Los Ríos, 20 tienen financiamiento público. Llama la atención que para 36 espacios no se posee información respecto de su fuente de financiamiento.</t>
  </si>
  <si>
    <t>En la Región de Arica y Parinacota, 10 de los espacios culturales de la región tienen fuentes de financiamiento privadas, mientras que 18 tienen fuentes públicas de financiamiento.</t>
  </si>
  <si>
    <t>En la Región de Ñuble, de los 86 espacios culturales de la región, 48 poseen financiamiento público, mientras que para 20 no se posee información.</t>
  </si>
  <si>
    <t>La Región de Tarapacá posee 57 espacios culturales, predomina las categorías "Otros espacios con uso cultural" y "Biblioteca", con 23 y 10 espacios respectivamente.</t>
  </si>
  <si>
    <t>La Región de Antofagasta posee 62 espacios culturales, predominan las categorías "Otros espacios con uso cultural" y "Centro cultural o Casa de la cultura", con 28 y 13 espacios respectivamente.</t>
  </si>
  <si>
    <t>La categoría de espacio cultural que predomina en la Región de Atacama es "Otros espacios con uso cultural", con 27 espacios del total regional. Por otro lado, las categorías menos habituales son "Sala de exposición", "Galería de arte", "Cine o sala de cine", "Archivo", con solo 2 espacios cada una.</t>
  </si>
  <si>
    <t>La Región de Coquimbo posee 120 espacios culturales, predomina la categoría "Otros espacios con uso cultural" y "Centro cultural o Casa de la cultura", con 56 y 22 espacios respectivamente.</t>
  </si>
  <si>
    <t>La Región de O'Higgins posee 206 espacios culturales, de estos 10 tienen la categoría "Museo" y 25 la categoría "Biblioteca".</t>
  </si>
  <si>
    <t>La Región de Biobío posee 163 espacios culturales, de estos 13 tienen la categoría "Museo" y 7 la categoría "Galería de arte".</t>
  </si>
  <si>
    <t>La Región de Los Lagos posee 153 espacios culturales, predominan las categorías "Otros espacios con uso cultural" y "Centro cultural o Casa de la cultura", con 66 y 26 espacios respectivamente.</t>
  </si>
  <si>
    <t>La Región de Aysén posee 83 espacios culturales, predominan en la región las categorías "Otros espacios con uso cultural" y "Biblioteca", con 57 y 13 espacios respectivamente.</t>
  </si>
  <si>
    <t>La región Metropolitana posee 397 espacios culturales, predominando en la región las categorías "Biblioteca" y "Centro cultural o Casa de la cultura", con 101 y 75 espacios respectivamente. Por otro lado, la categoría menos habitual es "Sala de ensayo", con solo dos espacios del total regional.</t>
  </si>
  <si>
    <t>La Región de Los Ríos posee 77 espacios culturales, predominando en la región la categoría "Otros espacios con uso cultural", con 39 espacios del total regional. Por otro lado, las categorías menos habituales son "Sala de exposición", "Sala de ensayo", "Galería de arte" y "Cine o sala de cine" con dos espacios cada una.</t>
  </si>
  <si>
    <t>La Región de Arica y Parinacota posee 34 espacios culturales, predominando en la región la categoría de "Biblioteca" con 12 espacios del total regional.</t>
  </si>
  <si>
    <t>En la Región de Ñuble predominan las categorías "Otros espacios con uso cultural" y "Biblioteca" con 35 y 23 espacios respectivamente del total regional de espacios culturales.</t>
  </si>
  <si>
    <t>A nivel nacional, las defunciones presentan un incremento constante desde el año 2012 en adelante, sin embargo, el año 2020 aumentan significativamente más que los años anteriores.</t>
  </si>
  <si>
    <t>El gráfico muestra la evolución, en el periodo 2010-2021, de la cantidad de defunciones anuales en la región de Los Lagos, información regional y comunal, según información de Servicio de registro Civil de Chile.</t>
  </si>
  <si>
    <t>El gráfico muestra la evolución, en el periodo 2010-2021, de la cantidad de defunciones anuales en la región de Los Ríos, información regional y comunal, según información de Servicio de Registro Civil de Chile.</t>
  </si>
  <si>
    <t>El gráfico muestra la evolución, en el periodo 2010-2021, de la cantidad de defunciones anuales en la región de Arica y Parinacota, información regional y comunal, según información de Servicio de Registro Civil de Chile.</t>
  </si>
  <si>
    <t>El gráfico muestra la evolución, en el periodo 2010-2021, de la cantidad de defunciones anuales en la región de Ñuble, información regional y comunal, según información de Servicio de Registro Civil de Chile.</t>
  </si>
  <si>
    <t>A nivel nacional, en el periodo 2010-2021, se observa que el año 2014 presenta la mayor cantidad de nacimientos con 252.177, presentando una baja para los años siguientes, llegando a 194.981 nacimientos el año 2020</t>
  </si>
  <si>
    <t>Se observa que desde el año 2015 se presenta una disminución constante de los nacimientos en la región de Tarapacá, pasando de 5.729 nacimientos el año 2015 a 4.668 en el año 2020.</t>
  </si>
  <si>
    <t>La región de Antofagasta, presenta la mayor cantidad de nacimientos el año 2014 con 10.117, luego de este año se observa una disminución constante de los nacimientos. En el año 2020 llegan a ser 7.394 nacimientos a nivel regional.</t>
  </si>
  <si>
    <t>La región de Atacama, presenta la mayor cantidad de nacimientos el año 2014 con 4.894, luego de este año se observa una disminución constante de los nacimientos. En el año 2020 llegan a ser 3.198 nacimientos a nivel regional.</t>
  </si>
  <si>
    <t>El gráfico presenta la evolución, en el periodo 2010-2021, de la cantidad de nacimientos anuales, en la región de Coquimbo, a escala regional y comunal, según datos de Servicio de Registro Civil de Chile.</t>
  </si>
  <si>
    <t>El gráfico presenta la evolución, en el periodo 2010-2021, de la cantidad de nacimientos anuales, en la región de Valparaíso, a escala regional y comunal, según datos de Servicio de Registro Civil de Chile.</t>
  </si>
  <si>
    <t>La región de O'Higgins, en el periodo 2010-2011, el año 2010 presenta la mayor cantidad de nacimiento llegando a 12.332 casos. En tanto el año 2020 se observa una disminución en referencia al resto de los años con 10.198 nacimientos</t>
  </si>
  <si>
    <t>El gráfico presenta la evolución, en el periodo 2010-2021, de la cantidad de nacimientos anuales, en la región de Maule, a escala regional y comunal, según datos de Servicio de Registro Civil de Chile.</t>
  </si>
  <si>
    <t>La región de Biobío, presenta la mayor cantidad de nacimientos el año 2014 con 22.120, luego de este año se observa una disminución constante de los nacimientos. En el año 2020 llegan a ser 16.428 nacimientos a nivel regional.</t>
  </si>
  <si>
    <t>La región de La Araucanía, presenta la mayor cantidad de nacimientos el año 2014 con 13.485, luego de este año se observa una disminución constante de los nacimientos. Siendo el año 2020 el año con menor cantidad llegando a 10.231 nacimientos a nivel regional.</t>
  </si>
  <si>
    <t>El gráfico presenta la evolución, en el periodo 2010-2021, de la cantidad de nacimientos anuales, en la región de Los Lagos, a escala regional y comunal, según datos de Servicio de Registro Civil de Chile.</t>
  </si>
  <si>
    <t>El gráfico presenta la evolución, en el periodo 2010-2021, de la cantidad de nacimientos anuales, en la región de Aysén, a escala regional y comunal, según datos de Servicio de Registro Civil de Chile.</t>
  </si>
  <si>
    <t>La región de Magallanes, el año 2014 presenta 20180 nacimientos, luego se observa una disminución constante año a año.  Siendo el año 2020 el año con menor cantidad llegando a 1.610 nacimientos a nivel regional.</t>
  </si>
  <si>
    <t>La región Metropolitana, se observa que al año con mayor cantidad de nacimientos es el año 2014 con 105.083. En tanto el año 2020 es el que presenta la menor cantidad llegando a 82.733 nacimientos a nivel regional.</t>
  </si>
  <si>
    <t>El gráfico presenta la evolución, en el periodo 2010-2021, de la cantidad de nacimientos anuales, en la región de Los Ríos, a escala regional y comunal, según datos de Servicio de Registro Civil de Chile.</t>
  </si>
  <si>
    <t>La región de Arica y Parinacota, el año 2014 presenta 3.549 nacimientos, luego se observa una disminución constante año a año.  Siendo el año 2020 el año con menor cantidad llegando a 2.845 nacimientos a nivel regional.</t>
  </si>
  <si>
    <t>El gráfico presenta la evolución, en el periodo 2010-2021, de la cantidad de nacimientos anuales, en la región de Ñuble, a escala regional y comunal, según datos de Servicio de Registro Civil de Chile.</t>
  </si>
  <si>
    <t>En la región de Tarapacá se observa que el año 2010 presenta la menor cantidad de defunciones anuales con 1.254. El año 2019 existe un alza, llegando a 1.521, lo que se ve incrementado el año 2020.</t>
  </si>
  <si>
    <t xml:space="preserve">En la región de Antofagasta se observa desde el año 2015 un incremento constante, siendo el año 2020 el que presenta un mayor aumento con 3.690 defunciones. </t>
  </si>
  <si>
    <t xml:space="preserve">En la región de Coquimbo se observa desde el año 2011 un incremento constante, siendo el año 2020 el que presenta un mayor aumento con 4.781 defunciones. </t>
  </si>
  <si>
    <t>En la región de Coquimbo se observa desde el año 2011 un incremento constante, siendo el año 2020 el que presenta un mayor aumento con 14.576 defunciones.</t>
  </si>
  <si>
    <t>En la región de Atacama se observa que el año 2010 presenta la menor cantidad de defunciones anuales con 1.380 casos, presentando un alza en los años siguientes. En tanto el año 2020, presenta la mayor alza con 1.633 defunciones.</t>
  </si>
  <si>
    <t>En la región de O'Higgins se observa que el año 2011 presenta la menor cantidad de defunciones anuales con 4.739 casos, presentando un alza en los años siguientes. En tanto el año 2020, presenta la mayor alza con 6.425 defunciones.</t>
  </si>
  <si>
    <t>En la región de Maule se observa que el año 2011 presenta la menor cantidad de defunciones anuales con 5.810 casos, presentando un alza en los años siguientes. En tanto el año 2020, presenta la mayor alza con 7.496 defunciones.</t>
  </si>
  <si>
    <t xml:space="preserve">En la región de Biobío se observa desde el año 2011 un incremento constante, siendo el año 2020 el que presenta un mayor aumento con 11.020 defunciones. </t>
  </si>
  <si>
    <t>En la región de La Araucanía se observa que el año 2011 presenta la menor cantidad de defunciones anuales con 5.808 casos, presentando un alza en los años siguientes. El año 2019 presenta 6.854 defunciones, en tanto el año 2020, presenta la mayor alza con 7.128 defunciones.</t>
  </si>
  <si>
    <t>En la región de La Aysén se observa que el año 2016 presenta la menor cantidad de defunciones anuales con 470 casos. El año 2019 presenta 533 defunciones, en tanto el año 2020, presenta la mayor alza con 593.</t>
  </si>
  <si>
    <t>En la región de Magallanes se observa que el año 2015 presenta 1.023 defunciones, presentando un alza en los años siguientes. En tanto el año 2020, presenta la mayor alza con 1.268 defunciones.</t>
  </si>
  <si>
    <t>En la región Metropolitana, el año 2011 presenta 36.874 defunciones anuales, en los años siguientes se observa un alza continua, llegando al año 2019 con 42.183. En tanto el año 2020 presenta la mayor alza del periodo con 51.970 defunciones.</t>
  </si>
  <si>
    <t>https://analytics.zoho.com/open-view/2395394000009424433</t>
  </si>
  <si>
    <t>https://analytics.zoho.com/open-view/2395394000009424437</t>
  </si>
  <si>
    <t>https://analytics.zoho.com/open-view/2395394000009424436</t>
  </si>
  <si>
    <t>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t>
  </si>
  <si>
    <t>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t>
  </si>
  <si>
    <t>El rubro económico que cuenta con el mayor porcentaje de ventas anuales en UF es el B - explotación de minas y canteras, con un 24% de las ventas totales en la Región de Atacama.</t>
  </si>
  <si>
    <t>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t>
  </si>
  <si>
    <t>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t>
  </si>
  <si>
    <t>El rubro económico que cuenta con el mayor porcentaje de ventas anuales en UF es el G - Comercio al por mayor y al menor; reparación de vehículos automotores y motocicletas, con un 28% de las ventas totales en la Región de Maule.</t>
  </si>
  <si>
    <t>En la región del Biobío, el rubro económico con mayor cantidad de ventas anuales en UF en el año 2019 es G - Comercio al por mayor y al menor; reparación de vehículos automotores y motocicletas, con un 28% del total regional, seguido por C - Industria manufacturera con un 22%.</t>
  </si>
  <si>
    <t>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t>
  </si>
  <si>
    <t>El rubro económico que cuenta con el mayor porcentaje de ventas anuales en UF es el A - Agricultura, ganadería, silvicultura y pesca, con un 47% de las ventas totales en la Región de Los Lagos.</t>
  </si>
  <si>
    <t>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t>
  </si>
  <si>
    <t>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t>
  </si>
  <si>
    <t>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t>
  </si>
  <si>
    <t>El rubro económico que cuenta con el mayor porcentaje de ventas anuales en UF es el A - Agricultura, ganadería, silvicultura y pesca, con un 24% de las ventas totales en la Región de Los Ríos.</t>
  </si>
  <si>
    <t>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t>
  </si>
  <si>
    <t>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t>
  </si>
  <si>
    <t>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t>
  </si>
  <si>
    <t>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t>
  </si>
  <si>
    <t>En la región de Maule, los trabajadores dependientes informados superaron en más de 370.000 a los trabajadores a honorarios informados en el año 2005. Se observa que esta brecha tiende a aumentar cada año, alcanzando en el año 2019 una diferencia de más de 677.000 trabajadores.</t>
  </si>
  <si>
    <t>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t>
  </si>
  <si>
    <t>En la región de Aysén, los trabajadores dependientes informados superaron en más de 28.000 a los trabajadores a honorarios informados en el año 2005. Se observa que esta brecha tiende a aumentar cada año, alcanzando en el año 2019 una diferencia de más de 27.000 trabajadores.</t>
  </si>
  <si>
    <t>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t>
  </si>
  <si>
    <t>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</si>
  <si>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t>
  </si>
  <si>
    <t>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t>
  </si>
  <si>
    <t>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t>
  </si>
  <si>
    <t>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</si>
  <si>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t>
  </si>
  <si>
    <t>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t>
  </si>
  <si>
    <t>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t>
  </si>
  <si>
    <t>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t>
  </si>
  <si>
    <t>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t>
  </si>
  <si>
    <t>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t>
  </si>
  <si>
    <t>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t>
  </si>
  <si>
    <t>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t>
  </si>
  <si>
    <t>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t>
  </si>
  <si>
    <t>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t>
  </si>
  <si>
    <t>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t>
  </si>
  <si>
    <t>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t>
  </si>
  <si>
    <t>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t>
  </si>
  <si>
    <t>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t>
  </si>
  <si>
    <t>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t>
  </si>
  <si>
    <t>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t>
  </si>
  <si>
    <t>A nivel nacional se observa un crecimiento en los últimos años, en el número de empresas por tamaño según ventas en Chile, en el periodo 2005-2019, destacando el año 2019 con el mayor crecimiento.</t>
  </si>
  <si>
    <t>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t>
  </si>
  <si>
    <t>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t>
  </si>
  <si>
    <t>El número de empresas aumentó sostenidamente durante los años comprendidos en el periodo 2005-2019, en la región de Coquimbo. Las empresas correspondientes al tramo Sin Ventas, presentan el mayor crecimiento durante todo este periodo, seguido por los tramos Micro 3 y Micro 1.</t>
  </si>
  <si>
    <t>El número de empresas aumentó sostenidamente durante los años comprendidos en el periodo 2005-2019, en la región de Maule. En el año 2019 las empresas correspondientes al tramo Sin Ventas, presentan el mayor crecimiento, seguido por los tramos Micro 1 y Micro 2.</t>
  </si>
  <si>
    <t>El número de empresas aumentó sostenidamente durante los años comprendidos en el periodo 2005-2019, en la región de La Araucanía. En el año 2019 las empresas correspondientes al tramo Sin Ventas, presentan el mayor crecimiento, seguido por el tramo Micro 3.</t>
  </si>
  <si>
    <t>El número de empresas aumentó sostenidamente durante los años comprendidos en el periodo 2005-2019, en la región de Aysén. En el año 2019 las empresas correspondientes al tramo Micro 1, presentan el mayor crecimiento, seguido por el tramo Sin Ventas.</t>
  </si>
  <si>
    <t>El número de empresas aumentó sostenidamente durante los años comprendidos en el periodo 2005-2019, en la región de Los Ríos. En el año 2019 las empresas correspondientes al tramo Sin Ventas, presentan el mayor crecimiento, seguido por el tramo Micro 1.</t>
  </si>
  <si>
    <t>El número de empresas aumentó sostenidamente durante los años comprendidos en el periodo 2005-2019, en la región de Arica y Parinacota. El tramo de empresas que presenta mayor crecimiento entre los años 2017-2019 es Micro 1.</t>
  </si>
  <si>
    <t>El número de empresas aumentó sostenidamente durante los años comprendidos en el periodo 2005-2019, en la región de Ñuble. En el año 2019 las empresas correspondientes al tramo Sin Ventas, presentan el mayor crecimiento, seguido por el tramo Micro 1.</t>
  </si>
  <si>
    <t>A nivel nacional, según el número de trabajadores dependientes en el rubro B- Explotación mineta y canteras, en el periodo 2005-2019, se observa que el mayor porcentaje son hombres, produciéndose la mayor diferencia el año 2012 con 58.499 hombres y 4.560 mujeres.</t>
  </si>
  <si>
    <t>En la Región de Tarapacá, el año 2011 es el que presenta mayor cantidad de trabajadores dependientes en el rubro B-Explotación minera y canteras, 5.711 hombres y 371 mujeres. En tanto el año 2019 registra 2.465 hombres y 191 mujeres.</t>
  </si>
  <si>
    <t>Durante el año 2019, en la región de Antofagasta se registraron 9.330 hombres trabajadores dependientes informados y 829 mujeres trabajadoras dependientes informadas, en el rubro B-Explotación minera y canteras.</t>
  </si>
  <si>
    <t>En la Región de Coquimbo, el año 2011 es el que presenta mayor cantidad de trabajadores dependientes en el rubro B-Explotación minera y canteras, 10.249 hombres y 990 mujeres. En tanto el año 2019 registra 7.093 hombres y 717 mujeres.</t>
  </si>
  <si>
    <t>Durante el año 2019, en la región de Valparaíso se registraron 2.974 hombres trabajadores dependientes informados y 319 mujeres trabajadoras dependientes informadas, en el rubro B-Explotación minera y canteras.</t>
  </si>
  <si>
    <t>En la Región de Maule, el año 2010 es el que presenta mayor cantidad de trabajadores dependientes en el rubro B-Explotación minera y canteras, 3.081 hombres y 104 mujeres. En tanto el año 2019 registra 1.502 hombres y 130 mujeres.</t>
  </si>
  <si>
    <t>En la Región de Biobío, el año 2013 es el que presenta mayor cantidad de trabajadores dependientes en el rubro B-Explotación minera y canteras, 4.282 hombres y 299 mujeres. En tanto el año 2019 registra 1.718 hombres y 150 mujeres.</t>
  </si>
  <si>
    <t>Durante el año 2019, en la región de Los Lagos se registraron 781 hombres trabajadores dependientes informados y 88 mujeres trabajadoras dependientes informadas, en el rubro B-Explotación minera y canteras.</t>
  </si>
  <si>
    <t xml:space="preserve">Durante el año 2019, en la región de Aysén se registró la menor cantidad de trabajadores dependientes en el rubro B-Explotación minera y canteras, con 133 hombres y 15 mujeres. </t>
  </si>
  <si>
    <t>Durante el año 2019, en la región Metropolitana se registraron 62.190 hombres trabajadores dependientes informados y 7.984 mujeres trabajadoras dependientes informadas, en el rubro B-Explotación minera y canteras.</t>
  </si>
  <si>
    <t xml:space="preserve">En la Región de Los Ríos, el año 2019 es el que presenta mayor cantidad de trabajadores dependientes en el rubro B-Explotación minera y canteras del periodo, siendo 1.095 hombres y 615 mujeres. </t>
  </si>
  <si>
    <t>Durante el año 2019, en la región de Arica y Parinacota se registraron 328 hombres trabajadores dependientes informados y 59 mujeres trabajadoras dependientes informadas, en el rubro B-Explotación minera y canteras.</t>
  </si>
  <si>
    <t>Durante el año 2019, en la región de Ñuble se registraron 583 hombres trabajadores dependientes informados y 35 mujeres trabajadoras dependientes informadas, en el rubro B-Explotación minera y canteras.</t>
  </si>
  <si>
    <t>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</si>
  <si>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</si>
  <si>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</si>
  <si>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</si>
  <si>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</si>
  <si>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t>
  </si>
  <si>
    <t>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t>
  </si>
  <si>
    <t>Gráfico que muestra la evolución del número de trabajadores informados por tipo de contrato a nivel nacional, en el periodo 2005-2019, según lo informado por el Servicio de Impuestos Internos (SII).</t>
  </si>
  <si>
    <t>En la región de Tarapacá, los trabajadores dependientes superan a los de honorarios con una diferencia de 121.070 trabajadores en el año 2019.</t>
  </si>
  <si>
    <t>En la región de La Araucanía, los trabajadores dependientes superan a los de honorarios, presentándose el año 2019 una diferencia de 353.692 trabajadores entre ambos grupos.</t>
  </si>
  <si>
    <t>En la región de Los Lagos, los trabajadores dependientes superan a los de honorarios, presentándose el año 2019 una diferencia de 483.566 trabajadores entre ambos grupos.</t>
  </si>
  <si>
    <t>En la región de Magallanes, la menor diferencia entre los trabajadores dependientes y a honorarios se presenta el año 2005 con 64.906 personas, en tanto que la mayor diferencia se presenta el año 2019 con 92.626 personas.</t>
  </si>
  <si>
    <t>En la región de Los Ríos, los trabajadores dependientes superan a los de honorarios, presentándose el año 2019 una diferencia de 108.586 trabajadores entre ambos grupos.</t>
  </si>
  <si>
    <t>En la región de Arica y Parinacota, la menor diferencia entre los trabajadores dependientes y a honorarios se presenta el año 2005 con 47.086 personas, en tanto que la mayor diferencia se presenta el año 2019 con 62.662 personas.</t>
  </si>
  <si>
    <t>En la región de Ñuble, los trabajadores dependientes superan a los de honorarios, presentándose el año 2019 una diferencia de 209.178 trabajadores entre ambos grupos.</t>
  </si>
  <si>
    <t>En la región de Atacama, los trabajadores dependientes superan a los de honorarios, presentándose el año 2019 una diferencia de 125.976 trabajadores entre ambos grupos.</t>
  </si>
  <si>
    <t>En la región de Coquimbo, los trabajadores dependientes superan a los de honorarios, presentándose el año 2019 una diferencia de 273.872 trabajadores entre ambos grupos.</t>
  </si>
  <si>
    <t>En la región de O'Higgins, los trabajadores dependientes superan a los de honorarios, presentándose el año 2019 una diferencia de 713.182 trabajadores entre ambos grupos.</t>
  </si>
  <si>
    <t>Gráfico que muestra el número de trabajadores dependientes informados por género para cada tramo, según las ventas anuales en UF, en la región de Biobío, según datos entregados por el Servicio de Impuestos Internos (SII).</t>
  </si>
  <si>
    <t>Gráfico que muestra el número de trabajadores dependientes informados por género para cada tramo, según las ventas anuales en UF, en la región de La Araucanía, según datos entregados por el Servicio de Impuestos Internos (SII).</t>
  </si>
  <si>
    <t>Gráfico que muestra el número de trabajadores dependientes informados por género para cada tramo, según las ventas anuales en UF, en la región de Magallanes, según datos entregados por el Servicio de Impuestos Internos (SII).</t>
  </si>
  <si>
    <t>Gráfico que muestra el número de trabajadores dependientes informados por género para cada tramo, según las ventas anuales en UF, en la región de Arica y Parinacota, según datos entregados por el Servicio de Impuestos Internos (SII).</t>
  </si>
  <si>
    <t>Gráfico que muestra el número de trabajadores dependientes informados por género para cada tramo, según las ventas anuales en UF, en la región de Ñuble, según datos entregados por el Servicio de Impuestos Internos (SII).</t>
  </si>
  <si>
    <t>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</si>
  <si>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 la renta neta informada de trabajadoras, por tramo de empresas, a nivel regional, en el periodo 2005-2019, según datos del Servicio de Impuestos Internos (SII).</t>
  </si>
  <si>
    <t>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</si>
  <si>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del número de empresas por tamaño, según ventas en la región de Antofagasta, en el periodo 2005-2019, según información entregada por el Servicio de Impuestos Internos (SII).</t>
  </si>
  <si>
    <t>Gráfico que muestra la evolución del número de empresas por tamaño, según ventas en la región de Valparaíso, en el periodo 2005-2019, según información entregada por el Servicio de Impuestos Internos (SII).</t>
  </si>
  <si>
    <t>El número de empresas aumentó sostenidamente durante los años comprendidos en el periodo 2005-2019, en la región de O'Higgins. En el año 2019 las empresas correspondientes al tramo Sin Ventas, presentan el mayor crecimiento, seguido por los tramos Micro 1 y Micro 3.</t>
  </si>
  <si>
    <t>Gráfico que muestra la evolución del número de empresas por tamaño, según ventas en la región de Biobío, en el periodo 2005-2019, según información entregada por el Servicio de Impuestos Internos (SII).</t>
  </si>
  <si>
    <t>Gráfico que muestra la evolución del número de empresas por tamaño, según ventas en la región de Los Lagos, en el periodo 2005-2019, según información entregada por el Servicio de Impuestos Internos (SII).</t>
  </si>
  <si>
    <t>Gráfico que muestra la evolución del número de empresas por tamaño, según ventas en la región de Magallanes, en el periodo 2005-2019, según información entregada por el Servicio de Impuestos Internos (SII).</t>
  </si>
  <si>
    <t>Gráfico que muestra la evolución del número de trabajadores dependientes por sexo en el rubro B - Explotación minera y canteras, en la región de Atacama, periodo 2005 - 2019, según información de Servicio Impuestos Internos (SII).</t>
  </si>
  <si>
    <t>Gráfico que muestra la evolución del número de trabajadores dependientes por sexo en el rubro B - Explotación minera y canteras, en la región de O'Higgins, periodo 2005 - 2019, según información de Servicio Impuestos Internos (SII).</t>
  </si>
  <si>
    <t>Gráfico que muestra la evolución del número de trabajadores dependientes por sexo en el rubro B - Explotación minera y canteras, en la región de La Araucanía, periodo 2005 - 2019, según información de Servicio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</si>
  <si>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</si>
  <si>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"Persona Jurídica Comercial" aumentaron exponencialmente hasta el año 2018, alcanzando las 2.555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</si>
  <si>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"Persona Jurídica Comercial" aumentaron exponencialmente hasta el año 2019, alcanzando las 926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</si>
  <si>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"Persona Jurídica Comercial" aumentaron exponencialmente hasta el año 2019, alcanzando las 3.039 empresas.</t>
  </si>
  <si>
    <t>En la región de Valparaíso, se observa que la mayor cantidad de empresas vigentes según año de inicio de actividades, en el periodo 1993-2019, son del tipo contribuyente "Persona Jurídica Comercial", llegando en el año 2019 a 8.103 empresas.</t>
  </si>
  <si>
    <t>Gráfico que muestra la evolución del número de empresas vigentes según el año de inicio de actividades y tipo de contribuyente en la región de O'Higgins, en el periodo 1993-2019. Información en base a registro de Servicio de Impuestos Internos (SII).</t>
  </si>
  <si>
    <t>En la región de Maule se observa que la mayor cantidad de empresas vigentes según año de inicio de actividades, en el periodo 1993-2019, son del tipo contribuyente "Persona Jurídica Comercial", llegando en el año 2019 a 4.407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</si>
  <si>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"Persona Jurídica Comercial" aumentaron exponencialmente hasta el año 2019, alcanzando las 5.973 empresas.</t>
  </si>
  <si>
    <t>Gráfico que muestra la evolución del número de empresas vigentes según el año de inicio de actividades y tipo de contribuyente en la región de Araucanía, en el periodo 1993-2019. Información en base a registro de Servicio de Impuestos Internos (SII).</t>
  </si>
  <si>
    <t>En la región de Los Lagos, se observa que la mayor cantidad de empresas vigentes según año de inicio de actividades, en el periodo 1993-2019, son del tipo contribuyente "Persona Jurídica Comercial", llegando en el año 2019 a 3.941 empresas.</t>
  </si>
  <si>
    <t>En la región de Aysén se observa que la mayor cantidad de empresas vigentes según año de inicio de actividades, en el periodo 1993-2019, son del tipo contribuyente "Persona Jurídica Comercial", llegando en el año 2019 a 616 empresas.</t>
  </si>
  <si>
    <t>Gráfico que muestra la evolución del número de empresas vigentes según el año de inicio de actividades y tipo de contribuyente en la región de Magallanes,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</si>
  <si>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"Persona Jurídica Comercial" aumentaron exponencialmente hasta el año 2019, alcanzando las 45.136 empresas.</t>
  </si>
  <si>
    <t>En la región de Los Ríos se observa que la mayor cantidad de empresas vigentes según año de inicio de actividades, en el periodo 1993-2019, son del tipo contribuyente "Persona Jurídica Comercial", llegando en el año 2019 a 1.543 empresas.</t>
  </si>
  <si>
    <t>En la región de Arica y Parinacota se observa que la mayor cantidad de empresas vigentes según año de inicio de actividades, en el periodo 1993-2019, son del tipo contribuyente "Persona Jurídica Comercial", llegando en el año 2019 a 660 empresas.</t>
  </si>
  <si>
    <t>Gráfico que muestra la evolución del número de empresas vigentes según el año de inicio de actividades y tipo de contribuyente en la región de Ñuble,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</si>
  <si>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t>
  </si>
  <si>
    <t>En la región de Tarapacá se observa una baja en el número de trabajadores de empresas vigente, por año de inicio de actividades, en el año 2019, bajando de 5.708 trabajadores en el año 2018 a 1.996 en el año 2019.</t>
  </si>
  <si>
    <t>En la región de Atacama se observa una baja en el número de trabajadores de empresas vigente, por año de inicio de actividades, en el año 2019, bajando de 5.777 trabajadores en el año 2018 a 1.505 en el año 2019.</t>
  </si>
  <si>
    <t>En la región de Valparaíso se observa que el año con mayor número de trabajadores de empresas vigente, por año de inicio de actividades, es el año 2018 con 34.277. En tanto en el año 2019 se ve una baja, llegando a 15.248 trabajadores.</t>
  </si>
  <si>
    <t>En la región de O'Higgins se observa que el año con mayor número de trabajadores de empresas vigente, por año de inicio de actividades, es el año 2018 con 30.124. En tanto en el año 2019 se ve una baja, llegando a 17.955 trabajadores.</t>
  </si>
  <si>
    <t>En la región de Maule se observa una baja en el número de trabajadores de empresas vigente, por año de inicio de actividades, en el año 2019, bajando de 19.460 trabajadores en el año 2018 a 12.211 en el año 2019.</t>
  </si>
  <si>
    <t>En la región del Biobío se observa una baja en el número de trabajadores de empresas vigente, por año de inicio de actividades, en el año 2019, bajando de 28.297 trabajadores en el año 2018 a 10.776 en el año 2019.</t>
  </si>
  <si>
    <t>En la región de Los Lagos se observa una baja en el número de trabajadores de empresas vigente, por año de inicio de actividades, en el año 2019, bajando de 15.069 trabajadores en el año 2018 a 7.628 en el año 2019.</t>
  </si>
  <si>
    <t>En la región de Aysén se observa que el año con mayor número de trabajadores de empresas vigente, por año de inicio de actividades, es el año 2017 con 2.569. En tanto el año 2019 se ve una baja, llegando a 626 trabajadores.</t>
  </si>
  <si>
    <t>En la región de Magallanes se observa una baja en el número de trabajadores de empresas vigente, por año de inicio de actividades, en el año 2019, bajando de 2.128 trabajadores en el año 2018 a 1.316 en el año 2019.</t>
  </si>
  <si>
    <t>En la región de Los Ríos se observa que el año con mayor número de trabajadores de empresas vigente, por año de inicio de actividades, es el año 2016 con 5.629. En tanto el año 2019 se ve una baja, llegando a 1.563 trabajadores.</t>
  </si>
  <si>
    <t>En la región de Ñuble se observa una baja en el número de trabajadores de empresas vigente, por año de inicio de actividades, en el año 2019, bajando de 5.691 trabajadores en el año 2018 a 2.394 en el año 2019.</t>
  </si>
  <si>
    <t>La región de Antofagasta es la que posee el mayor ingreso promedio mensual en el año 2017, entre las 16 regiones del país, con una cifra de algo más de 380 mil CLP/mes. En relación a la estimación anterior, del año 2015, el ingreso aumenta en un 7,3%.</t>
  </si>
  <si>
    <t>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t>
  </si>
  <si>
    <t>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t>
  </si>
  <si>
    <t>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t>
  </si>
  <si>
    <t>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t>
  </si>
  <si>
    <t>Según la evolución del ingreso promedio mensual en la Región de Valparaíso, con base en las encuestas CASEN, se observa que el año 2017 presenta un aumento del 13,2% con respecto al ingreso del 2015.</t>
  </si>
  <si>
    <t>Según la evolución del ingreso promedio mensual en la Región de Maule, con base en las encuestas CASEN, se observa que el año 2017 presenta un aumento del 12,2% con respecto al ingreso del 2015.</t>
  </si>
  <si>
    <t>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t>
  </si>
  <si>
    <t>Según la evolución del ingreso promedio mensual en la Región del Biobío, con base en las encuestas CASEN, se observa que el año 2017 presenta un aumento del 13,9% con respecto al ingreso del 2015, llegando a un aproximado de 288 mil CLP/mes.</t>
  </si>
  <si>
    <t>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t>
  </si>
  <si>
    <t>Según la evolución del ingreso promedio mensual en la Región de Magallanes, con base en las encuestas CASEN, se observa que el año 2017 presenta un aumento del 13% con respecto al ingreso del 2015, llegando a un aproximado de 379 mil CLP/mes.</t>
  </si>
  <si>
    <t>Según la evolución del ingreso promedio mensual en la Región Metropolitana, con base en las encuestas CASEN, se observa que el año 2017 presenta un aumento del 9,5% con respecto al ingreso del 2015, llegando a un aproximado de 346 mil CLP/mes.</t>
  </si>
  <si>
    <t>Según la evolución del ingreso promedio mensual en la Región de Los Ríos,con base en las encuestas CASEN, se observa que el año 2017 presenta un aumento del 12% con respecto al ingreso del 2015, llegando a un aproximado de 274 mil CLP/mes.</t>
  </si>
  <si>
    <t>Considerando la evolución de ingreso promedio mensual en la región de Antofagasta, según las encuestas CASEN del periodo 2006-2017, se observa que en el año 2017 la etnia con promedio más altos de ingresos es la Diaguita con un sueldo promedio de 460 mil CLP/mes.</t>
  </si>
  <si>
    <t>Considerando la evolución de ingreso promedio mensual en la región de Valparaíso, según las encuestas CASEN del periodo 2006-2017, se observa que en el año 2017 la etnia con promedio más altos de ingresos es la Aymara con un sueldo promedio de 350 mil CLP/mes.</t>
  </si>
  <si>
    <t>Considerando la evolución de ingreso promedio mensual en la región de O'Higgins, según las encuestas CASEN del periodo 2006-2017, se observa que en el año 2017 la etnia con promedio más altos de ingresos es la Aymara con un sueldo promedio de 500 mil CLP/mes.</t>
  </si>
  <si>
    <t>Considerando la evolución de ingreso promedio mensual en la región de La Araucanía, según las encuestas CASEN del periodo 2006-2017, se observa que en el año 2017 la etnia con promedio más altos de ingresos es la Diaguita con un sueldo promedio de 330 mil CLP/mes.</t>
  </si>
  <si>
    <t>Considerando la evolución de ingreso promedio mensual en la región de Magallanes, según las encuestas CASEN del periodo 2006-2017, se observa que en el año 2017 la etnia con promedio más altos de ingresos es la Yagan con un sueldo promedio de 430 mil CLP/mes.</t>
  </si>
  <si>
    <t>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t>
  </si>
  <si>
    <t>Considerando la evolución de ingreso promedio mensual en la región de Arica y Parinacota, según las encuestas CASEN del periodo 2006-2017, se observa que en el año 2017 la etnia con promedio más bajo de ingresos es la Coya con un sueldo promedio de 195 mil CLP/mes.</t>
  </si>
  <si>
    <t>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t>
  </si>
  <si>
    <t>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t>
  </si>
  <si>
    <t>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t>
  </si>
  <si>
    <t>Considerando la evolución del ingreso promedio mensual en la región de Los Lagos según las encuestas CASEN 2006-2017, se observa que esta región presenta el promedio más bajo a nivel nacional en el año 2017, llegando a 253 mil CLP/mes.</t>
  </si>
  <si>
    <t>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t>
  </si>
  <si>
    <t>La población de la etnia Mapuche se distribuye en las 16 regiones del país en distintas proporciones. Las regiones donde las personas de este grupo étnico logran mayores ingresos mensuales, en promedio, son las de Arica y Parinacota y Magallanes.</t>
  </si>
  <si>
    <t>Considerando la evolución de ingreso promedio mensual en la región de Tarapacá, según las encuestas CASEN del periodo 2006-2017, se observa que en el año 2017 las etnias con promedio más altos de ingresos son los Atacameños y Coya con un sueldo promedio de 570 mil CLP/mes.</t>
  </si>
  <si>
    <t xml:space="preserve">Considerando la evolución de ingreso promedio mensual en la región de Atacama, según las encuestas CASEN del periodo 2006-2017, se observa que el año 2011 muestra el promedio más alto del periodo para las etnias Pascuense y Yagan con un sueldo aproximado de 500 mil CLP/mes. </t>
  </si>
  <si>
    <t xml:space="preserve">Considerando la evolución de ingreso promedio mensual en la región de Coquimbo, según las encuestas CASEN del periodo 2006-2017, se observa que el año 2015 muestra el promedio más alto del periodo para la etnia Atacameños con un sueldo aproximado de 400 mil CLP/mes. </t>
  </si>
  <si>
    <t>Gráfico que muestra la evolución del ingreso promedio mensual por etnia en la región de Maule, según las encuestas CASEN del periodo 2006-2017.</t>
  </si>
  <si>
    <t>Gráfico que muestra la evolución del ingreso promedio mensual por etnia en la región del Biobío, según las encuestas CASEN del periodo 2006-2017.</t>
  </si>
  <si>
    <t xml:space="preserve">Considerando la evolución de ingreso promedio mensual en la región de Los Lagos, según las encuestas CASEN del periodo 2006-2017, se observa que el año 2015 muestra el promedio más alto del periodo para la etnia Quechua con un sueldo aproximado de 330 mil CLP/mes. </t>
  </si>
  <si>
    <t>Considerando la evolución de ingreso promedio mensual en la región de Aysén, según las encuestas CASEN del periodo 2006-2017, se observa que en el año 2017 la etnia con promedio más altos de ingresos es la Alacalufe con un sueldo promedio de 617 mil CLP/mes.</t>
  </si>
  <si>
    <t>Gráfico que muestra la evolución del ingreso promedio mensual por etnia en la región de Los Ríos, según las encuestas CASEN del periodo 2006-2017.</t>
  </si>
  <si>
    <t>Gráfico que muestra la evolución del ingreso promedio mensual por etnia en la región de Ñuble, según las encuestas CASEN del periodo 2006-2017.</t>
  </si>
  <si>
    <t>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t>
  </si>
  <si>
    <t>Para el año 2018, las comunas con la mayor cantidad de casos de Cáncer de Cuello Uterino fueron Temuco con 30 casos, seguido por La Serena y Valparaíso con 23 casos cada una y luego Santiago con 22 casos.</t>
  </si>
  <si>
    <t xml:space="preserve">Considerando la evolución de los casos de Cáncer de Cuello Uterino en la Región de Tarapacá, entre el periodo 2011-2018, se observa que el año con mayor cantidad de casos fue el año 2013, llegando a 24 casos en total. Por su parte, en el año 2018 se observan 5 casos totales. </t>
  </si>
  <si>
    <t xml:space="preserve">Considerando la evolución de los casos de Cáncer de Cuello Uterino en la Región de Coquimbo, entre el periodo 2011-2018, se observa que el año con mayor cantidad de casos fue el año 2012, llegando a 72 casos en total. En tanto, en el año 2018 se observan 23 casos totales. </t>
  </si>
  <si>
    <t xml:space="preserve">Considerando la evolución de los casos de Cáncer de Cuello Uterino en la Región de Biobío, entre el periodo 2011-2018, se observa que el año con mayor cantidad de casos fue el año 2015, llegando a 65 casos en total. En tanto, en el año 2018 se observan 22 casos. </t>
  </si>
  <si>
    <t>Considerando la evolución de los casos de Cáncer de Cuello Uterino en la Región de La Araucanía, entre el periodo 2011-2018, se observa un aumento en los últimos años, siendo el año 2016 el que tuvo mayor cantidad con 34 casos. En tanto, en el año 2018 se observan 32 casos.</t>
  </si>
  <si>
    <t>Considerando la evolución de los casos de Cáncer de Cuello Uterino en la Región Metropolitana, entre el periodo 2011-2018, se observa un aumento significativo el año 2018 en comparación a los años anteriores, llegando a 9 casos.</t>
  </si>
  <si>
    <t>El rango etario que presentó la mayor cantidad de casos acumulados de Cáncer de Cuello Uterino, en el periodo 2011 al 2018, fue el de "65 y más años", con 293 casos , seguido del rango etario "55-59". Por otro lado, el rango etario con la menor cantidad de casos fue el clasificados como "menor de 25", alcanzando 72 casos para todo el periodo, sin embargo este rango etario, el año 2018, presenta un incremento considerable de casos.</t>
  </si>
  <si>
    <t>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t>
  </si>
  <si>
    <t>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t>
  </si>
  <si>
    <t>Al observar la evolución de los casos de la población en control del Programa de Cáncer de Cuello Uterino en la Región de O'Higgins, en el periodo 2011-2018, destaca que el año 2018 muestra una baja en los números llegando a un solo caso.</t>
  </si>
  <si>
    <t>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t>
  </si>
  <si>
    <t>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t>
  </si>
  <si>
    <t>Al observar la evolución de los casos de la población en control del Programa de Cáncer de Cuello Uterino en la Región de Magallanes, en el periodo 2011-2018, destaca el año 2011, que presenta la mayor cantidad con 4 casos. En el año 2018 se informan 2 casos.</t>
  </si>
  <si>
    <t>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t>
  </si>
  <si>
    <t>Al observar la evolución de los casos de la población en control del Programa de Cáncer de Cuello Uterino en la Región de Ñuble, en el periodo 2011-2018, destaca un alza en la cantidad de casos, siendo el año 2018 el que presenta mayor cantidad con 9 casos.</t>
  </si>
  <si>
    <t>Al observar la evolución de los casos de Cáncer de Cuello Uterino en la región de Antofagasta en el periodo 2011-2018, destaca que la comuna con mayor cantidad de casos es la comuna de Antofagasta, siendo el año 2014 el que presenta mayor cantidad de casos en la región.</t>
  </si>
  <si>
    <t>En la Región de Atacama destaca que la comuna de Copiapó es la que presenta más cantidad de casos de Cáncer de Cuello Uterino en el periodo 2011 - 2018.</t>
  </si>
  <si>
    <t xml:space="preserve">Al observar la evolución de los casos de Cáncer de Cuello Uterino en la región de Valparaíso, en el periodo 2011-2018, destaca que la comuna con mayor cantidad de casos es la comuna de Valparaíso, seguida de Viña del Mar. </t>
  </si>
  <si>
    <t xml:space="preserve">Considerando la evolución de los casos de Cáncer de Cuello Uterino en la Región de O'Higgins, entre el periodo 2011-2018, se observa que el año con mayor cantidad de casos fue el año 2012, llegando a 34 casos en total. En tanto, en el año 2018 se observa solo un caso. </t>
  </si>
  <si>
    <t>En la Región de Maule destaca que la comuna de Talca es la que presenta más cantidad de casos de Cáncer de Cuello Uterino en el periodo 2011 - 2018.</t>
  </si>
  <si>
    <t>Considerando la evolución de los casos de Cáncer de Cuello Uterino en la Región de Los Lagos, en el periodo 2011-2018, se observa que el año 2015 es el que presenta menor cantidad de casos llegando a 6, subiendo luego año a año, llegando a 14 caos en el año 2018.</t>
  </si>
  <si>
    <t>Gráfico que muestra la evolución de los casos de Cáncer de Cuello Uterino en la Región de Aysén con detalle comunal, en el periodo 2011 - 2018, según información entregada por DEIS del Ministerio de Salud.</t>
  </si>
  <si>
    <t>Gráfico que muestra la evolución de los casos de Cáncer de Cuello Uterino en la Región de Magallanes con detalle comunal, en el periodo 2011 - 2018, según información entregada por DEIS del Ministerio de Salud.</t>
  </si>
  <si>
    <t xml:space="preserve">Considerando la evolución de los casos de Cáncer de Cuello Uterino en la Región Metropolitana, entre el periodo 2011-2018, se observa que los años con mayor cantidad de casos son 2011 y 2012, llegando a 81 casos cada uno. En tanto, en el año 2018 se observan 66 casos. </t>
  </si>
  <si>
    <t xml:space="preserve">Considerando la evolución de los casos de Cáncer de Cuello Uterino en la Región de Los Ríos, entre el periodo 2011-2018, se observa que el año con mayor cantidad de casos es el 2016, llegando a 9 casos. En tanto en el año 2018 se llegó a 8 casos. </t>
  </si>
  <si>
    <t xml:space="preserve">Considerando la evolución de los casos de Cáncer de Cuello Uterino en la Región de Los Arica y Parinacota, entre el periodo 2011-2018, se observa que el año con mayor cantidad de casos es el 2015, llegando a 16 casos. En tanto el año 2018 llega a 10 casos. </t>
  </si>
  <si>
    <t xml:space="preserve">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t>
  </si>
  <si>
    <t>Gráfico que muestra la evolución de la población en control del Programa de Cáncer de Cuello Uterino por rango etario en la Región de Atacama para el periodo 2011-2018, según información entregada por el DEIS del Ministerio de Salud.</t>
  </si>
  <si>
    <t>Gráfico que muestra la evolución de la población en control del Programa de Cáncer de Cuello Uterino por rango etario en la Región de Antofagasta para el periodo 2011-2018, según información entregada por el DEIS del Ministerio de Salud.</t>
  </si>
  <si>
    <t>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t>
  </si>
  <si>
    <t>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t>
  </si>
  <si>
    <t>Considerando la evolución de la cantidad de casos acumulados de Cáncer de Cuello Uterino en la Región de O'Higgins, en el periodo 2011-2018, se observa que el año 2017 tiene la mayor cantidad de casos acumulados, siendo el rango de "65 y más" el que presenta mayor cantidad de casos. Por su parte, se aprecia una baja total en el año 2018</t>
  </si>
  <si>
    <t>Considerando la evolución de la cantidad de casos acumulados de Cáncer de Cuello Uterino en la Región de Maule, en el periodo 2011-2018, se observa que el año 2014 presenta la mayor cantidad de casos en el rango etario de "65 y más", mientras que el año 2018 presenta solo un caso.</t>
  </si>
  <si>
    <t>Considerando la evolución de la cantidad de casos acumulados de Cáncer de Cuello Uterino en la Región de Biobío, en el periodo 2011-2018, se observa que el año 2015 tiene la mayor cantidad de casos acumulados, siendo el rango de "35 a 39" años el mayor.</t>
  </si>
  <si>
    <t>Al observar la evolución de la cantidad de casos acumulados de Cáncer de Cuello Uterino en la Región de La Araucanía, en el periodo 2011-2018, se muestra que el año 2016 tiene la mayor cantidad de casos acumulados, siendo el rango de "60-64" años el con más casos.</t>
  </si>
  <si>
    <t>Considerando la evolución de la cantidad de casos acumulados de Cáncer de Cuello Uterino en la Región de Los Lagos, en el periodo 2011-2018, se observa un aumento de casos en el año 2018, siendo el rango de "55-59" el que tiene la mayor cantidad con 6 casos.</t>
  </si>
  <si>
    <t>Considerando la evolución de la cantidad de casos acumulados de Cáncer de Cuello Uterino en la Región de Aysén, en el periodo 2011-2018, se observa en el año 2018 solo 1 caso para dos rangos etarios, de "35-39" y "40-44" años.</t>
  </si>
  <si>
    <t xml:space="preserve">Considerando la evolución de la cantidad de casos acumulados de Cáncer de Cuello Uterino en la Región de Magallanes, en el periodo 2011-2018, se informan en el año 2018 solo 1 caso para dos rangos etarios, de "40-44" y "menor de 25" años. </t>
  </si>
  <si>
    <t>Considerando la evolución de la cantidad de casos acumulados de Cáncer de Cuello Uterino en la Región Metropolitana, en el periodo 2011-2018, se observa que en el año 2018 el rango etario con mayor cantidad de casos es de "30-34" años.</t>
  </si>
  <si>
    <t>Considerando la evolución de la cantidad de casos acumulados de Cáncer de Cuello Uterino en la Región de Los Ríos, en el periodo 2011-2018, se observa en el año 2016 la mayor cantidad de casos en el rango etario "65 y más", llegando a 4 casos.</t>
  </si>
  <si>
    <t>Considerando la evolución de la población en Control del Programa de Cáncer de Cuello Uterino por Rango Etario en la Región de Arica y Parinacota, en el periodo 2011-2018, se observa que el año 2015 tiene la mayor cantidad de casos acumulados siendo el rango de "30-34" años el que presentan mayor cantidad.</t>
  </si>
  <si>
    <t>Considerando la evolución de la población en Control del Programa de Cáncer de Cuello Uterino por Rango Etario en la Región de Ñuble, en el periodo 2011-2018, se observa un aumento de los casos en el año 2018, siendo el rango etario de "25-29" años el que presenta más casos.</t>
  </si>
  <si>
    <t>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t>
  </si>
  <si>
    <t>Al observar la evolución de los casos de la población en control del Programa de Cáncer de Cuello Uterino en la Región de Antofagasta, en el periodo 2011-2018, destaca que el año 2015 presenta la menor cantidad de registros, con solo un caso.</t>
  </si>
  <si>
    <t>Al observar la evolución de los casos de la población en control del Programa de Cáncer de Cuello Uterino en la Región de Atacama, en el periodo 2011-2018, muestra que el año 2018 presenta cero casos para la región.</t>
  </si>
  <si>
    <t>Considerando la evolución de la población en control del Programa de Cáncer de Cuello Uterino en la región de Valparaíso, en el periodo 2011-2018, se observa que el año 2016 presenta la mayor cantidad con 51 casos, mientras que el año 2018 se observan 45 casos.</t>
  </si>
  <si>
    <t>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t>
  </si>
  <si>
    <t>Al observar la evolución de los casos de la población en control del Programa de Cáncer de Cuello Uterino en la Región de La Araucanía, en el periodo 2011-2018, destaca que se presenta un aumento de casos desde el año 2011 en adelante, presentándose 32 casos el año 2018.</t>
  </si>
  <si>
    <t>Gráfico que muestra la evolución de los casos de la población en control del Programa de Cáncer de Cuello Uterino en la Región de Aysén, en el periodo 2011-2018, según información reportada por el DEIS de Ministerio de Salud.</t>
  </si>
  <si>
    <t>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t>
  </si>
  <si>
    <t xml:space="preserve">Considerando la evolución de la población en control del Programa de Cáncer de Cuello Uterino en la región de Los Ríos, en el periodo 2011-2018, se observa que en el año 2016 se reporta la mayor cantidad con 9 casos, mientras que el año 2018 presenta 8 casos. </t>
  </si>
  <si>
    <t>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t>
  </si>
  <si>
    <t>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t>
  </si>
  <si>
    <t xml:space="preserve">En la región de Coquimbo, el año 2008, se registró la mayor diferencia en la cantidad de suscriptores a televisión de pago con respecto al año anterior, con una variación porcentual de 36,6%, reflejando un aumento de 12.972 suscriptores. </t>
  </si>
  <si>
    <t>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t>
  </si>
  <si>
    <t xml:space="preserve">En la región de O'Higgins, el año 2008, se registró la mayor diferencia en la cantidad de suscriptores a televisión de pago con respecto al año anterior, con una variación porcentual de 32,9%, reflejando un aumento de 17.237 suscriptores. </t>
  </si>
  <si>
    <t xml:space="preserve">En la región de Biobío, el año 2010, se registró la mayor diferencia en la cantidad de suscriptores a televisión de pago con respecto al año anterior, con una variación de 55.145 suscriptores. </t>
  </si>
  <si>
    <t xml:space="preserve">En la región de La Araucanía, el año 2013, se registró la mayor diferencia en la cantidad de suscriptores a televisión de pago con respecto al año anterior, con una variación de 28.687 suscriptores. </t>
  </si>
  <si>
    <t>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t>
  </si>
  <si>
    <t>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t>
  </si>
  <si>
    <t xml:space="preserve">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t>
  </si>
  <si>
    <t>La cantidad de suscriptores a televisión de pago en la región de Ñuble aumentó constantemente entre los años 2008 y 2018, pasando de 21.562 suscriptores a 72.846. En el año 2019, sin embargo, ocurrió una baja de 314 suscripciones.</t>
  </si>
  <si>
    <t>A nivel nacional, la comuna que tuvo la mayor cantidad de suscripciones de televisión de pago en el año 2019 fue Puente Alto, con 108.225. Le siguieron Las Condes, con 99.920, Santiago, con 92.963 y Maipú, con 92.186 suscriptores.</t>
  </si>
  <si>
    <t>En el año 2019, la comuna con más suscripciones a televisión de pago en la región de Tarapacá fue Iquique, con 35.732. Al contrario, la que tuvo menos suscritos fue Colchane, con 22.</t>
  </si>
  <si>
    <t>En el año 2019, la comuna con más suscripciones a televisión de pago en la región de Antofagasta fue Antofagasta, con 83.566. Al contrario, la que tuvo menos suscritos fue Ollagüe, con 58.</t>
  </si>
  <si>
    <t>En el año 2019, la comuna con más suscripciones a televisión de pago en la región de Atacama fue Copiapó, con 28.336. Al contrario, la que tuvo menos suscritos fue Alto del Carmen, con 959.</t>
  </si>
  <si>
    <t>En el año 2019, la comuna con más suscripciones a televisión de pago en la región de Coquimbo fue Coquimbo, con 45.052. Al contrario, la que tuvo menos suscritos fue Río Hurtado, con 682.</t>
  </si>
  <si>
    <t>En el año 2019, la comuna con más suscripciones a televisión de pago en la región de Valparaíso fue Viña del Mar, con 87.417. Al contrario, la que tuvo menos suscritos fue Isla de Pascua, con 8.</t>
  </si>
  <si>
    <t>En el año 2019, la comuna con más suscripciones a televisión de pago en la región de O'Higgins fue Rancagua, con 52.102. Al contrario, la que tuvo menos suscritos fue La Estrella, con 566.</t>
  </si>
  <si>
    <t>En el año 2019, la comuna con más suscripciones a televisión de pago en la región de Maule fue Curicó, con 33.660. Al contrario, la que tuvo menos suscritos fue Empedrado, con 373.</t>
  </si>
  <si>
    <t>En el año 2019, la comuna con más suscripciones a televisión de pago en la región de Biobío fue Concepción, con 49.930. Al contrario, la que tuvo menos suscritos fue San Rosendo, con 301.</t>
  </si>
  <si>
    <t>En el año 2019, la comuna con más suscripciones a televisión de pago en la región de La Araucanía fue Temuco, con 48.555. Al contrario, la que tuvo menos suscritos fue Los Sauces, con 715.</t>
  </si>
  <si>
    <t>En el año 2019, la comuna con más suscripciones a televisión de pago en la región de Los Lagos fue Puerto Montt, con 51.755. Al contrario, la que tuvo menos suscritos fue Palena, con 333.</t>
  </si>
  <si>
    <t>En el año 2019, la comuna con más suscripciones a televisión de pago en la región de Aysén fue Guaitecas, con 13.894. Al contrario, la que tuvo menos suscritos fue Tortel, con 140.</t>
  </si>
  <si>
    <t>En el año 2019, la comuna con más suscripciones a televisión de pago en la región de Magallanes fue Punta Arenas, con 26.196. Al contrario, la que tuvo menos suscritos fue Río Verde, con 19.</t>
  </si>
  <si>
    <t>En el año 2019, la comuna con más suscripciones a televisión de pago en la región Metropolitana fue Puente Alto, con 108.225. Al contrario, la que tuvo menos suscritos fue Alhué, con 1.026.</t>
  </si>
  <si>
    <t>En el año 2019, la comuna con más suscripciones a televisión de pago en la región de Los Ríos fue Valdivia, con 35.044. Al contrario, la que tuvo menos suscritos fue Corral, con 1.045.</t>
  </si>
  <si>
    <t>En el año 2019, la comuna con más suscripciones a televisión de pago en la región de Arica y Parinacota fue Arica, con 4.352. Al contrario, la que tuvo menos suscritos fue General Lagos, con 10.</t>
  </si>
  <si>
    <t>En el año 2019, la comuna con más suscripciones a televisión de pago en la región de Ñuble fue Chillán, con 35.767. Al contrario, la que tuvo menos suscritos fue Treguaco, con 478.</t>
  </si>
  <si>
    <t>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t>
  </si>
  <si>
    <t>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t>
  </si>
  <si>
    <t xml:space="preserve">En la región de Maule, el año 2013, se registró la mayor diferencia en la cantidad de suscriptores a televisión de pago con respecto al año anterior, con una variación de 36.219 suscriptores. </t>
  </si>
  <si>
    <t xml:space="preserve">La cantidad de suscriptores a televisión de pago en la región de Los Lagos aumentó constantemente entre los años 2008 y 2018, pasando de 54.299 a 162.444 suscriptores. </t>
  </si>
  <si>
    <t>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t>
  </si>
  <si>
    <t>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t>
  </si>
  <si>
    <t>En el período comprendido entre los años 2014 y 2021, el parque vehicular de taxis a nivel nacional alcanzó su mínimo en marzo de 2014, con 100.611 vehículos. El máximo se registró en junio de 2016, con 103.345 taxis. El promedio nacional es de 102.373 vehículos.</t>
  </si>
  <si>
    <t xml:space="preserve">En el período comprendido entre los años 2014 y 2021, el parque vehicular de taxis en la región del Maule alcanzó su mínimo en septiembre 2018, con 4.323 vehículos. El máximo se registró en marzo 2021, con 4.411 taxis. El promedio regional es de 4.366 vehículos. </t>
  </si>
  <si>
    <t>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t>
  </si>
  <si>
    <t>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t>
  </si>
  <si>
    <t>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t>
  </si>
  <si>
    <t xml:space="preserve">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t>
  </si>
  <si>
    <t>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t>
  </si>
  <si>
    <t>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t>
  </si>
  <si>
    <t>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t>
  </si>
  <si>
    <t>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t>
  </si>
  <si>
    <t>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t>
  </si>
  <si>
    <t xml:space="preserve">En la región del Biobío, el parque vehicular de taxis disminuyó significamente, pasando de 6.974 vehículos en diciembre del 2018 a 4.902 en marzo del 2019, cifra que se ha mantenido relativamente constante hasta la fecha. </t>
  </si>
  <si>
    <t>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t>
  </si>
  <si>
    <t>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t>
  </si>
  <si>
    <t>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t>
  </si>
  <si>
    <t xml:space="preserve">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t>
  </si>
  <si>
    <t>En el período comprendido entre los años 2014 y 2021, el parque vehicular de taxis en la región de Ñuble alcanzó su mínimo en diciembre de 2020, con 2.015 vehículos. El máximo se registró en junio de 2020, con 2.062 taxis. El promedio regional es de 2.049 vehículos.</t>
  </si>
  <si>
    <t>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"Incendios intencionales" . En cuanto a superficie, en la temporada 2016-2017 más de 515.000 hectáreas sufrieron incendios, siendo la causa mayoritaria la definida como "Desconocida (se investiga pero no es posible establecer la causa origen)" (174.368,1 ha) lo que representa un 68,1% de la superficie afectada en la temporada mencionada.</t>
  </si>
  <si>
    <t>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"Desconocida (se investiga pero no es posible establecer la causa origen)" . En cuanto a superficie, en la temporada 2015-2016 más de 39 hectáreas sufrieron incendios, siendo la causa mayoritaria la definida como "Desconocida (se investiga pero no es posible establecer la causa origen)" (39,3 ha) lo que representa un 100,0% de la superficie afectada en la temporada mencionada.</t>
  </si>
  <si>
    <t>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"No determinada (la causa no es investigada)" . En cuanto a superficie, en la temporada 2015-2016 más de 2.190 hectáreas sufrieron incendios, siendo la causa mayoritaria la definida como "Uso de fuego para actividades recreativas en áreas no habilitadas  (excursionistas  paseantes  asados)" (2.186,5 ha) lo que representa un 99,8% de la superficie afectada en la temporada mencionada.</t>
  </si>
  <si>
    <t>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"Uso de fuego por transeúntes" . En cuanto a superficie, en la temporada 2010-2011 más de 281 hectáreas sufrieron incendios, siendo la causa mayoritaria la definida como "Uso de fuego por transeúntes" (202,5 ha) lo que representa un 72,2% de la superficie afectada en la temporada mencionada.</t>
  </si>
  <si>
    <t>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"Uso de fuego por transeúntes" . En cuanto a superficie, en la temporada 2014-2015 más de 710 hectáreas sufrieron incendios, siendo la causa mayoritaria la definida como "Quema ilegal de desechos agrí­colas" (282,8 ha) lo que representa un 39,8% de la superficie afectada en la temporada mencionada.</t>
  </si>
  <si>
    <t>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"Desconocida (se investiga pero no es posible establecer la causa origen)" . En cuanto a superficie, en la temporada 2015-2016 más de 642 hectáreas sufrieron incendios, siendo la causa mayoritaria la definida como "Uso de fuego en zonas de faenas agropecuarias (alimentación y calefacción)" (247,7 ha) lo que representa un 38,6% de la superficie afectada en la temporada mencionada.</t>
  </si>
  <si>
    <t>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"Todas" . En cuanto a superficie, en la temporada 2011-2012 más de 17.606 hectáreas sufrieron incendios, siendo la causa mayoritaria la definida como "Uso de fuego por transeúntes" (17.606,3 ha) lo que representa un 100,0% de la superficie afectada en la temporada mencionada.</t>
  </si>
  <si>
    <t>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"Uso de fuego por transeúntes" . En cuanto a superficie, en la temporada 2016-2017 más de 250.020 hectáreas sufrieron incendios, siendo la causa mayoritaria la definida como "Desconocida (se investiga pero no es posible establecer la causa origen)" (162.909,4 ha) lo que representa un 65,2% de la superficie afectada en la temporada mencionada.</t>
  </si>
  <si>
    <t>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"Otros intencionales no clasificados" . En cuanto a superficie, en la temporada 2016-2017 más de 32.583 hectáreas sufrieron incendios, siendo la causa mayoritaria la definida como "Niños jugando con fuego" (12.249,4 ha) lo que representa un 37,6% de la superficie afectada en la temporada mencionada.</t>
  </si>
  <si>
    <t>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"Uso de fuego por transeúntes" . En cuanto a superficie, en la temporada 2016-2017 más de 17.232 hectáreas sufrieron incendios, siendo la causa mayoritaria la definida como "Uso de fuego por transeúntes" (11.727,9 ha) lo que representa un 68,1% de la superficie afectada en la temporada mencionada.</t>
  </si>
  <si>
    <t>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"Uso de fuego por transeúntes" . En cuanto a superficie, en la temporada 2016-2017 más de 99.930 hectáreas sufrieron incendios, siendo la causa mayoritaria la definida como "Corte de cable por caí­da de tendido eléctrico o postación" (65.072,8 ha) lo que representa un 65,1% de la superficie afectada en la temporada mencionada.</t>
  </si>
  <si>
    <t>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"Vandalismo (excluidos terrorismo y atentado incendiario)" . En cuanto a superficie, en la temporada 2019-2020 más de 31.648 hectáreas sufrieron incendios, siendo la causa mayoritaria la definida como "Vandalismo (excluidos terrorismo y atentado incendiario)" (11.742,8 ha) lo que representa un 37,1% de la superficie afectada en la temporada mencionada.</t>
  </si>
  <si>
    <t>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"Uso de fuego por transeúntes" . En cuanto a superficie, en la temporada 2016-2017 más de 23.791 hectáreas sufrieron incendios, siendo la causa mayoritaria la definida como "Soldadura y montaje de estructuras varias (torres de alta tensión  oleoductos  etc.)" (7.990,5 ha) lo que representa un 33,6% de la superficie afectada en la temporada mencionada.</t>
  </si>
  <si>
    <t>La superficie total afectada por incendios forestales entre los años 2010 y 2020 en Chile fue de 1.212.326,0 hectáreas. Durante la temporada 2016-2017 se afectaron 570.197,1 hectáreas en la región, siendo la causa general más recurrente reportada la de "Incendios de causa desconocida" con 177.898,1 hectáreas afectadas. De esta superficie, 174.710,1 hectáreas fueron clasificadas dentro de la causa específica "Desconocida (se investiga pero no es posible establecer la causa origen)" lo que representa un 98,2% de la Causa General.</t>
  </si>
  <si>
    <t>La superficie total afectada por incendios forestales entre los años 2010 y 2020 en la Región de Valparaíso fue de 81.197,1 hectáreas. Durante la temporada 2016-2017 se afectaron 27.118,1 hectáreas en la región, siendo la causa general más recurrente reportada la de "Tránsito de personas  vehículos o aeronaves " con 16.663,3 hectáreas afectadas. De esta superficie, 16.637,7 hectáreas fueron clasificadas dentro de la causa específica "Uso de fuego por transeúntes" lo que representa un 99,8% de la Causa General.</t>
  </si>
  <si>
    <t>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t>
  </si>
  <si>
    <t>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t>
  </si>
  <si>
    <t>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t>
  </si>
  <si>
    <t>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t>
  </si>
  <si>
    <t>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t>
  </si>
  <si>
    <t>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t>
  </si>
  <si>
    <t>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t>
  </si>
  <si>
    <t>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t>
  </si>
  <si>
    <t>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t>
  </si>
  <si>
    <t>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t>
  </si>
  <si>
    <t>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t>
  </si>
  <si>
    <t>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t>
  </si>
  <si>
    <t>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t>
  </si>
  <si>
    <t>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t>
  </si>
  <si>
    <t xml:space="preserve">Las exportaciones a China han significado una ganacia para Chile que supera los 141.000 millones de dólares, durante el periodo 2015 - 2021. En segundo lugar se encuentra Estados Unidos, superando 65.000 millones de USD. </t>
  </si>
  <si>
    <t>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t>
  </si>
  <si>
    <t xml:space="preserve">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t>
  </si>
  <si>
    <t>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t>
  </si>
  <si>
    <t>La capacidad instalada en Mw para el año 2021 en la Región de Tarapacá se compone en un 77,9% de centrales de energía renovable y en un 22,1% de centrales de energía no renovable.</t>
  </si>
  <si>
    <t>La capacidad instalada en Mw para el año 2021 en la Región de La Araucanía se compone en un 97,3% de centrales de energía renovable y en un 2,7% de centrales de energía no renovable.</t>
  </si>
  <si>
    <t>La capacidad instalada en Mw para el año 2021 en la Región de Los Lagos se compone en un 71,2% de centrales de energía renovable y en un 28,8% de centrales de energía no renovable.</t>
  </si>
  <si>
    <t>La capacidad instalada en Mw para el año 2021 en la Región de Aysén se compone en un 42% de centrales de energía renovable y en un 58% de centrales de energía no renovable.</t>
  </si>
  <si>
    <t>La capacidad instalada en Mw para el año 2021 en la Región de Magallanes se compone en un 2,4% de centrales de energía renovable y en un 97,6% de centrales de energía no renovable.</t>
  </si>
  <si>
    <t>La capacidad instalada en Mw para el año 2021 en la Región Metropolitana se compone en un 59,1% de centrales de energía renovable y en un 40,9% de centrales de energía no renovable.</t>
  </si>
  <si>
    <t>La capacidad instalada en Mw para el año 2021 en la Región de Los Ríos se compone en un 63,6% de centrales de energía renovable y en un 36,4% de centrales de energía no renovable.</t>
  </si>
  <si>
    <t>La capacidad instalada en Mw para el año 2021 en la Región de Arica y Parinacota se compone en un 59,6% de centrales de energía renovable y en un 40,4% de centrales de energía no renovable.</t>
  </si>
  <si>
    <t>La capacidad instalada en Mw para el año 2021 en la Región de Ñuble se compone en un 90,8% de centrales de energía renovable y en un 9,2% de centrales de energía no renovable.</t>
  </si>
  <si>
    <t>La capacidad instalada en Mw para el año 2021 en la Región de Antofagasta se compone en un 25,9% de centrales de energía renovable y en un 74,1% de centrales de energía no renovable.</t>
  </si>
  <si>
    <t>La capacidad instalada en Mw para el año 2021 en la Región de Atacama se compone en un 56% de centrales de energía renovable y en un 44% de centrales de energía no renovable.</t>
  </si>
  <si>
    <t>La capacidad instalada en Mw para el año 2021 en la Región de Coquimbo se compone en un 71,8% de centrales de energía renovable y en un 28,2% de centrales de energía no renovable.</t>
  </si>
  <si>
    <t>La capacidad instalada en Mw para el año 2021 en la Región de Valparaíso se compone en un 11,6% de centrales de energía renovable y en un 88,4% de centrales de energía no renovable.</t>
  </si>
  <si>
    <t>La capacidad instalada en Mw para el año 2021 en la Región de O'Higgins se compone en un 81,8% de centrales de energía renovable y en un 18,2% de centrales de energía no renovable.</t>
  </si>
  <si>
    <t>La capacidad instalada en Mw para el año 2021 en la Región de Maule se compone en un 92,4% de centrales de energía renovable y en un 7,6% de centrales de energía no renovable.</t>
  </si>
  <si>
    <t>La capacidad instalada en Mw para el año 2021 en la Región del Biobío se compone en un 77,6% de centrales de energía renovable y en un 32,4% de centrales de energía no renovable.</t>
  </si>
  <si>
    <t>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t>
  </si>
  <si>
    <t>La comuna de Pozo Almonte en la Región de Tarapacá, para el año 2021, es la que posee mayor cantidad de centrales de Energía Renovable No Convencional (8), lo que representa el 72,7% de estas centrales para la región.</t>
  </si>
  <si>
    <t>La comuna de Calama en la Región de Antofagasta, para el año 2021, es la que posee mayor cantidad de centrales de Energía Renovable No Convencional (8), lo que representa el 36,4% de estas centrales para la región.</t>
  </si>
  <si>
    <t>La comuna de Copiapó en la Región de Atacama, para el año 2021, es la que posee mayor cantidad de centrales de Energía Renovable No Convencional (8), lo que representa el 27,6% de estas centrales para la región.</t>
  </si>
  <si>
    <t>La comuna de Ovalle en la Región de Coquimbo, para el año 2021, es la que posee mayor cantidad de centrales de Energía Renovable No Convencional (16), lo que representa el 34,8% de estas centrales para la región.</t>
  </si>
  <si>
    <t>La comuna de La Ligua en la Región de Valparaíso, para el año 2021, es la que posee mayor cantidad de centrales de Energía Renovable No Convencional (6), lo que representa el 13,0% de estas centrales para la región.</t>
  </si>
  <si>
    <t>La comuna de Melipeuco en la Región de Araucanía, para el año 2021, es la que posee mayor cantidad de centrales de Energía Renovable No Convencional (5), lo que representa el 23,8% de estas centrales para la región.</t>
  </si>
  <si>
    <t>La comuna de Puyehue en la Región de Los Lagos, para el año 2021, es la que posee mayor cantidad de centrales de Energía Renovable No Convencional (6), lo que representa el 24,0% de estas centrales para la región.</t>
  </si>
  <si>
    <t>La comuna de Coihaique en la Región de Aysén, para el año 2021, es la que posee mayor cantidad de centrales de Energía Renovable No Convencional (7), lo que representa el 58,3% de estas centrales para la región.</t>
  </si>
  <si>
    <t>La comuna de Punta Arenas en la Región de Magallanes, para el año 2021, es la única que posee centrales de Energía Renovable No Convencional (3), lo que representa el 100% de estas centrales para la región.</t>
  </si>
  <si>
    <t>La comuna de San Pedro en la Región Metropolitana, para el año 2021, es la que posee mayor cantidad de centrales de Energía Renovable No Convencional (11), lo que representa el 16,2% de estas centrales para la región.</t>
  </si>
  <si>
    <t>La comuna de Río Bueno en la Región de Los Ríos, para el año 2021, es la que posee mayor cantidad de centrales de Energía Renovable No Convencional (10), lo que representa el 47,6% de estas centrales para la región.</t>
  </si>
  <si>
    <t>La comuna de Putre en la Región de Arica y Parinacota, para el año 2021, es la que posee mayor cantidad de centrales de Energía Renovable No Convencional (2), lo que representa el 50,0% de estas centrales para la región.</t>
  </si>
  <si>
    <t>La comuna de Bulnes en la Región de Ñuble, para el año 2021, es la que posee mayor cantidad de centrales de Energía Renovable No Convencional (3), lo que representa el 17,6% de estas centrales para la región.</t>
  </si>
  <si>
    <t>Las comunas de Mostazal y Chimbarongo en la Región de O'Higgins, para el año 2021, son las que poseen mayor cantidad de centrales de Energía Renovable No Convencional (6 cada una), lo que representa el 10,9% de estas centrales para la región (21,8% sumando ambas comunas).</t>
  </si>
  <si>
    <t>La comuna de San Clemente en la Región de Maule, para el año 2021, es la que posee mayor cantidad de centrales de Energía Renovable No Convencional (7), lo que representa el 14,9% de estas centrales para la región.</t>
  </si>
  <si>
    <t>La comuna de Mulchén en la Región del Biobío, para el año 2021, es la que posee mayor cantidad de centrales de Energía Renovable No Convencional (11), lo que representa el 25,0% de estas centrales para la región.</t>
  </si>
  <si>
    <t>En Chile, para el año 2021, ENEL GENERACIÓN CHILE es la empresa que tiene la mayor capacidad instalada de centrales eléctricas, con 5.176 (MW). Le siguen COLBÚN y ENGIE, con 3.092 y 1.606 (MW), respectivamente.</t>
  </si>
  <si>
    <t>A nivel nacional, la región Metropolitana tiene mayor cantidad de centrales eléctricas de energía renovable, alcanzando 73. Por otro lado, la región de Los Lagos es la que cuenta con más centrales eléctricas de energía no renovable, con 43.</t>
  </si>
  <si>
    <t>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t>
  </si>
  <si>
    <t>Cantidad de Centrales Eléctricas de Energía Renovable No Convencional por Comuna en Chile, para el Año 2021</t>
  </si>
  <si>
    <t>Cantidad de Centrales Eléctricas de Energía Renovable No Convencional por Comuna en la Región de Tarapacá, para el Año 2021</t>
  </si>
  <si>
    <t>Cantidad de Centrales Eléctricas de Energía Renovable No Convencional por Comuna en la Región de Antofagasta, para el Año 2021</t>
  </si>
  <si>
    <t>Cantidad de Centrales Eléctricas de Energía Renovable No Convencional por Comuna en la Región de Atacama, para el Año 2021</t>
  </si>
  <si>
    <t>Cantidad de Centrales Eléctricas de Energía Renovable No Convencional por Comuna en la Región de Coquimbo, para el Año 2021</t>
  </si>
  <si>
    <t>Cantidad de Centrales Eléctricas de Energía Renovable No Convencional por Comuna en la Región de Valparaíso, para el Año 2021</t>
  </si>
  <si>
    <t>Cantidad de Centrales Eléctricas de Energía Renovable No Convencional por Comuna en la Región de O'Higgins, para el Año 2021</t>
  </si>
  <si>
    <t>Cantidad de Centrales Eléctricas de Energía Renovable No Convencional por Comuna en la Región de Maule, para el Año 2021</t>
  </si>
  <si>
    <t>Cantidad de Centrales Eléctricas de Energía Renovable No Convencional por Comuna en la Región del Biobío, para el Año 2021</t>
  </si>
  <si>
    <t>Cantidad de Centrales Eléctricas de Energía Renovable No Convencional por Comuna en la Región de La Araucanía, para el Año 2021</t>
  </si>
  <si>
    <t>Cantidad de Centrales Eléctricas de Energía Renovable No Convencional por Comuna en la Región de Los Lagos, para el Año 2021</t>
  </si>
  <si>
    <t>Cantidad de Centrales Eléctricas de Energía Renovable No Convencional por Comuna en la Región de Aysén, para el Año 2021</t>
  </si>
  <si>
    <t>Cantidad de Centrales Eléctricas de Energía Renovable No Convencional por Comuna en la Región de Magallanes, para el Año 2021</t>
  </si>
  <si>
    <t>Cantidad de Centrales Eléctricas de Energía Renovable No Convencional por Comuna en la Región Metropolitana, para el Año 2021</t>
  </si>
  <si>
    <t>Cantidad de Centrales Eléctricas de Energía Renovable No Convencional por Comuna en la Región de Los Ríos, para el Año 2021</t>
  </si>
  <si>
    <t>Cantidad de Centrales Eléctricas de Energía Renovable No Convencional por Comuna en la Región de Arica y Parinacota, para el Año 2021</t>
  </si>
  <si>
    <t>Cantidad de Centrales Eléctricas de Energía Renovable No Convencional por Comuna en la Región de Ñuble, para el Año 2021</t>
  </si>
  <si>
    <t>Cantidad de Centrales Eléctricas de Energía Renovable y No Renovable por Región en el año 2021</t>
  </si>
  <si>
    <t>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t>
  </si>
  <si>
    <t>La Región de Antofagasta, en el año 2021, cuenta con centrales eléctricas con 8 tipos de energía: carbón, gas natural, solar, petróleo diesel, eólica, hidráulica de pasada, geotérmica y de cogeneración. Las centrales a carbón poseen la mayor capacidad instalada con 2.303 MW.</t>
  </si>
  <si>
    <t>La Región de Tarapacá, en el año 2021, cuenta con centrales eléctricas con 4 tipos de energía: solar, fuel oil nº6, petróleo diesel y minihidráulica de pasada. Las centrales solares poseen la mayor capacidad instalada con 263 MW.</t>
  </si>
  <si>
    <t>La Región de Atacama, en el año 2021, cuenta con centrales eléctricas con 5 tipos de energía: solar, eólica, carbón-petcoke, petróleo diesel y minihidráulica de pasada. Las centrales solares poseen la mayor capacidad instalada con 951 MW.</t>
  </si>
  <si>
    <t>La Región de Coquimbo, en el año 2021, cuenta con centrales eléctricas con 4 tipos de energía: eólica, petróleo diesel, solar y minihidráulica de pasada. Las centrales eólicas poseen la mayor capacidad instalada con 689 MW.</t>
  </si>
  <si>
    <t>La Región de Valparaíso, en el año 2021, cuenta con centrales eléctricas con 7 tipos de energía: gas natural, carbón, petróleo diesel, hidráulica de pasada, solar, biogas y minihidráulica de pasada. Las centrales a gas natural poseen la mayor capacidad instalada con 1.528 MW.</t>
  </si>
  <si>
    <t>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t>
  </si>
  <si>
    <t>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t>
  </si>
  <si>
    <t>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t>
  </si>
  <si>
    <t>La Región de Araucanía, en el año 2021, cuenta con centrales eléctricas con 4 tipos de energía: eólica, minihidráulica de pasada, biomasa y petróleo diesel. Las centrales eólicas poseen la mayor capacidad instalada con 381 MW.</t>
  </si>
  <si>
    <t>La Región de Los Lagos, en el año 2021, cuenta con centrales eléctricas con 5 tipos de energía: eólica, petróleo diesel, hidráulica de embalse, minihidráulica de pasada e hidráulica de pasada. Las centrales eólicas poseen la mayor capacidad instalada con 228 MW.</t>
  </si>
  <si>
    <t>La Región de Aysén, en el año 2021, cuenta con centrales eléctricas con 3 tipos de energía: petróleo diesel, hidráulica de pasada y eólica. Las centrales a petróleo diesel poseen la mayor capacidad instalada con 34 MW.</t>
  </si>
  <si>
    <t>La Región de Magallanes, en el año 2021, cuenta con centrales eléctricas con 3 tipos de energía: gas natural, petróleo diesel y eólica. Las centrales a gas natural poseen la mayor capacidad instalada con 89 MW.</t>
  </si>
  <si>
    <t>La Región Metropolitana, en el año 2021, cuenta con centrales eléctricas con 6 tipos de energía: gas natural, solar, hidráulica de pasada, petróleo diesel, minihidráulica de pasada y biogas. Las centrales a gas natural poseen la mayor capacidad instalada con 426 MW.</t>
  </si>
  <si>
    <t>La Región de Los Ríos, en el año 2021, cuenta con centrales eléctricas con 4 tipos de energía: petróleo diesel, hidráulica de pasada, minihidráulica de pasada y biomasa-petróleo N°6. Las centrales a petróleo diesel poseen la mayor capacidad instalada con 127 MW.</t>
  </si>
  <si>
    <t>La Región de Arica y Parinacota, en el año 2021, cuenta con centrales eléctricas con 4 tipos de energía: petróleo diesel, hidráulica de pasada, solar y minihidráulica de pasada. Las centrales a petróleo diesel poseen la mayor capacidad instalada con 13 MW.</t>
  </si>
  <si>
    <t>La Región de Ñuble, en el año 2021, cuenta con centrales eléctricas con 5 tipos de energía: biomasa, solar, minihidráulica de pasada, petróleo diesel y biomasa-petróleo N°6. Las centrales a biomasa poseen la mayor capacidad instalada con 57 MW.</t>
  </si>
  <si>
    <t>En la Región de Tarapacá, durante el periodo 2014-2021, el máximo de "Superficie Autorizada Habitacional (Obras Nuevas)" se verifica en julio de 2015 con 110.292 m2. En promedio se autorizan del orden de 18.103 m2 mensualmente en el periodo señalado.</t>
  </si>
  <si>
    <t>En la Región de Antofagasta, durante el periodo 2014-2021, el máximo de "Superficie Autorizada Habitacional (Obras Nuevas)" se verifica en mayo de 2019 con 296.118 m2. En promedio se autorizan del orden de 27.080 m2 mensualmente en el periodo señalado.</t>
  </si>
  <si>
    <t>En la Región de Atacama, durante el periodo 2014-2021, el máximo de "Superficie Autorizada Habitacional (Obras Nuevas)" se verifica en noviembre de 2015 con 65.262 m2. En promedio se autorizan del orden de 9.270 m2 mensualmente en el periodo señalado.</t>
  </si>
  <si>
    <t>En la Región de Coquimbo, durante el periodo 2014-2021, el máximo de "Superficie Autorizada Habitacional (Obras Nuevas)" se verifica en octubre de 2019 con 155.751 m2. En promedio se autorizan del orden de 42.640 m2 mensualmente en el periodo señalado.</t>
  </si>
  <si>
    <t>En la Región de Valparaíso, durante el periodo 2014-2021, el máximo de "Superficie Autorizada Habitacional (Obras Nuevas)" se verifica en diciembre de 2015 con 357.821 m2. En promedio se autorizan del orden de 110.028 m2 mensualmente en el periodo señalado.</t>
  </si>
  <si>
    <t>En la Región de Maule, durante el periodo 2014-2021, el máximo de "Superficie Autorizada Habitacional (Obras Nuevas)" se verifica en enero de 2020 con 164.975 m2. En promedio se autorizan del orden de 54.645 m2 mensualmente en el periodo señalado.</t>
  </si>
  <si>
    <t>En la Región de Los Lagos, durante el periodo 2014-2021, el máximo de "Superficie Autorizada Habitacional (Obras Nuevas)" se verifica en abril de 2014 con 111.084 m2. En promedio se autorizan del orden de 35.003 m2 mensualmente en el periodo señalado.</t>
  </si>
  <si>
    <t>En la Región de Aysén, durante el periodo 2014-2021, el máximo de "Superficie Autorizada Habitacional (Obras Nuevas)" se verifica en julio de 2020 con 20.037 m2. En promedio se autorizan del orden de 4.534 m2 mensualmente en el periodo señalado.</t>
  </si>
  <si>
    <t>En la Región de Magallanes, durante el periodo 2014-2021, el máximo de "Superficie Autorizada Habitacional (Obras Nuevas)" se verifica en agosto de 2018 con 27.477 m2. En promedio se autorizan del orden de 5.875 m2 mensualmente en el periodo señalado.</t>
  </si>
  <si>
    <t>En la Región Metropolitana, durante el periodo 2014-2021, el máximo de "Superficie Autorizada Habitacional (Obras Nuevas)" se verifica en diciembre de 2015 con 1.490.038 m2. En promedio se autorizan del orden de 437.510 m2 mensualmente en el periodo señalado.</t>
  </si>
  <si>
    <t>En la Región de Los Ríos, durante el periodo 2014-2021, el máximo de "Superficie Autorizada Habitacional (Obras Nuevas)" se verifica en mayo de 2018 con 71.736 m2. En promedio se autorizan del orden de 18.799 m2 mensualmente en el periodo señalado.</t>
  </si>
  <si>
    <t>En la Región de Arica y Parinacota, durante el periodo 2014-2021, el máximo de "Superficie Autorizada Habitacional (Obras Nuevas)" se verifica en agosto de 2020 con 105.493 m2. En promedio se autorizan del orden de 10.691 m2 mensualmente en el periodo señalado.</t>
  </si>
  <si>
    <t>En la Región de Ñuble, durante el periodo 2014-2021, el máximo de "Superficie Autorizada Habitacional (Obras Nuevas)" se verifica en noviembre de 2019 con 72.267 m2. En promedio se autorizan del orden de 23.934 m2 mensualmente en el periodo señalado.</t>
  </si>
  <si>
    <t>En la Región de O'Higgins, durante el periodo 2014-2021, el máximo de "Superficie Autorizada Habitacional (Obras Nuevas)" se verifica en mayo de 2018 con 140.490 m2. En promedio se autorizan del orden de 42.554 m2 mensualmente en el periodo señalado.</t>
  </si>
  <si>
    <t>En la Región del Biobío, durante el periodo 2014-2021, el máximo de "Superficie Autorizada Habitacional (Obras Nuevas)" se verifica en diciembre de 2015 con 250.598 m2. En promedio se autorizan del orden de 101.130 m2 mensualmente en el periodo señalado.</t>
  </si>
  <si>
    <t>En la Región de Tarapacá, durante el periodo 2014-2021, el máximo de "Viviendas Autorizadas" se verifica en Diciembre de 2015 con 1.391 viviendas. En promedio se autorizan 228 viviendas mensualmente en el periodo señalado.</t>
  </si>
  <si>
    <t>En la Región de Antofagasta, durante el periodo 2014-2021, el máximo de "Viviendas Autorizadas" se verifica en mayo de 2019 con 3.199 viviendas. En promedio se autorizan 329 viviendas mensualmente en el periodo señalado.</t>
  </si>
  <si>
    <t>En la Región de Atacama, durante el periodo 2014-2021, el máximo de "Viviendas Autorizadas" se verifica en noviembre de 2015 con 1.091 viviendas. En promedio se autorizan 161 viviendas mensualmente en el periodo señalado.</t>
  </si>
  <si>
    <t>En la Región de Coquimbo, durante el periodo 2014-2021, el máximo de "Viviendas Autorizadas" se verifica en diciembre de 2015 con 2.463 viviendas. En promedio se autorizan 688 viviendas mensualmente en el periodo señalado.</t>
  </si>
  <si>
    <t>En la Región de Maule, durante el periodo 2014-2021, el máximo de "Viviendas Autorizadas" se verifica en enero de 2020 con 2.333 viviendas. En promedio se autorizan 1.006 viviendas mensualmente en el periodo señalado.</t>
  </si>
  <si>
    <t>En la Región de Araucanía, durante el periodo 2014-2021, el máximo de "Viviendas Autorizadas" se verifica en abril de 2019 con 2.128 viviendas. En promedio se autorizan 1.049 viviendas mensualmente en el periodo señalado.</t>
  </si>
  <si>
    <t>En la Región de La Araucanía, durante el periodo 2014-2021, el máximo de "Superficie Autorizada Habitacional (Obras Nuevas)" se verifica en mayo de 2018 con 126.568 m2. En promedio se autorizan del orden de 54.180 m2 mensualmente en el periodo señalado.</t>
  </si>
  <si>
    <t>En la Región de Los Lagos, durante el periodo 2014-2021, el máximo de "Viviendas Autorizadas" se verifica en abril de 2014 con 1.819 viviendas. En promedio se autorizan 580 viviendas mensualmente en el periodo señalado.</t>
  </si>
  <si>
    <t>En la Región de Aysén, durante el periodo 2014-2021, el máximo de "Viviendas Autorizadas" se verifica en julio de 2020 con 384 viviendas. En promedio se autorizan 70 viviendas mensualmente en el periodo señalado.</t>
  </si>
  <si>
    <t>En la Región de Magallanes, durante el periodo 2014-2021, el máximo de "Viviendas Autorizadas" se verifica en agosto de 2018 con 448 viviendas. En promedio se autorizan 108 viviendas mensualmente en el periodo señalado.</t>
  </si>
  <si>
    <t>En la Región Metropolitana, durante el periodo 2014-2021, el máximo de "Viviendas Autorizadas" se verifica en diciembre de 2015 con 16.363 viviendas. En promedio se autorizan 5.460 viviendas mensualmente en el periodo señalado.</t>
  </si>
  <si>
    <t>En la Región de Los Ríos, durante el periodo 2014-2021, el máximo de "Viviendas Autorizadas" se verifica en mayo de 2018 con 1.044 viviendas. En promedio se autorizan 313 viviendas mensualmente en el periodo señalado.</t>
  </si>
  <si>
    <t>En la Región de Arica y Parinacota, durante el periodo 2014-2021, el máximo de "Viviendas Autorizadas" se verifica en agosto de 2020 con 1.108 viviendas. En promedio se autorizan 155 viviendas mensualmente en el periodo señalado.</t>
  </si>
  <si>
    <t>En la Región de Ñuble, durante el periodo 2014-2021, el máximo de "Viviendas Autorizadas" se verifica en julio de 2019 con 916 viviendas. En promedio se autorizan 414 viviendas mensualmente en el periodo señalado.</t>
  </si>
  <si>
    <t>En la Región de O'Higgins, durante el periodo 2014-2021, el máximo de "Viviendas Autorizadas" se verifica en enero de 2014 con 1.996 viviendas. En promedio se autorizan 662 viviendas mensualmente en el periodo señalado.</t>
  </si>
  <si>
    <t>En la Región del Biobío, durante el periodo 2014-2021, el máximo de "Viviendas Autorizadas" se verifica en enero de 2018 con 4.251 viviendas. En promedio se autorizan 1.743 viviendas mensualmente en el periodo señalado.</t>
  </si>
  <si>
    <t>En la Región de Tarapacá, durante el periodo 2014-2021, el máximo de "Superficie Autorizada NO Habitacional (Ampliaciones)" se verifica en octubre de 2014 con 25.071 m2, siendo esta superficie en su totalidad para ampliaciones de "ICEF (Industria, Comercio y Establecimiento Financieros)", mientras que el máximo de autorizaciones para ampliaciones de "Servicios" se produce en mayo de 2016 con 11.755 m2.</t>
  </si>
  <si>
    <t>En la Región de Maule, durante el periodo 2014-2021, el máximo de "Superficie Autorizada NO Habitacional (Ampliaciones)" se verifica en marzo de 2017 con 83.541 m2. En ese mismo mes, se observan tanto el máximo de autorizaciones para ampliaciones de "ICEF (Industria, Comercio y Establecimiento Financieros)" con 48.897 m2, como el máximo de autorizaciones para ampliaciones de "Servicios" con 34.644 m2.</t>
  </si>
  <si>
    <t>En la Región de Aysén, durante el periodo 2014-2021, el máximo de "Superficie Autorizada NO Habitacional (Ampliaciones)" se verifica en febrero de 2015 con 3.374 m2, las cuales corresponden en su totalidad a ampliaciones de "Servicios". Por su parte, el máximo de autorizaciones para ampliaciones de "ICEF (Industria, Comercio y Establecimiento Financieros)" se observa en diciembre de 2017 m2 con 1.651 m2.</t>
  </si>
  <si>
    <t>En la Región de Antofagasta, durante el periodo 2014-2021, el máximo de "Superficie Autorizada NO Habitacional (Ampliaciones)" se verifica en febrero de 2015 con 30.420 m2, fecha en que también se produce el máximo de autorizaciones para ampliaciones de "ICEF (Industria, Comercio y Establecimiento Financieros)" con 29.825 m2. Por su parte, el máximo de autorizaciones para ampliaciones de "Servicios" se produce en octubre de 2014 con 19.705 m2.</t>
  </si>
  <si>
    <t>En la Región de Atacama, durante el periodo 2014-2021, el máximo de "Superficie Autorizada NO Habitacional (Ampliaciones)" se verifica en enero de 2017 con 12.820 m2. Por su parte, el máximo de autorizaciones para ampliaciones de "ICEF (Industria, Comercio y Establecimiento Financieros)" se observa en marzo de 2019 con 12.147 m2, mientras que el máximo de autorizaciones para ampliaciones de "Servicios" se produce en abril de 2018 con 3.535 m2.</t>
  </si>
  <si>
    <t>En la Región de Coquimbo, durante el periodo 2014-2021, el máximo de "Superficie Autorizada NO Habitacional (Ampliaciones)" se verifica en diciembre de 2014 con 39.350 m2. Por su parte, el máximo de autorizaciones para ampliaciones de "ICEF (Industria, Comercio y Establecimiento Financieros)" se observa en enero de 2019 con 16.874 m2, mientras que el máximo de autorizaciones para ampliaciones de "Servicios" se produce en diciembre de 2014 con 37.220 m2.</t>
  </si>
  <si>
    <t>En la Región de Valparaíso, durante el periodo 2014-2021, el máximo de "Superficie Autorizada NO Habitacional (Ampliaciones)" se verifica en abril de 2021 con 42.862 m2. fecha en que también se produce el máximo de autorizaciones para ampliaciones de "ICEF (Industria, Comercio y Establecimiento Financieros)" con 40.609 m2. Por su parte, el máximo de autorizaciones para ampliaciones de "Servicios" se produce en marzo de 2021 con 22.379 m2.</t>
  </si>
  <si>
    <t>En la Región de O'Higgins, durante el periodo 2014-2021, el máximo de "Superficie Autorizada NO Habitacional (Ampliaciones)" se verifica en septiembre de 2020 con 74.349 m2. fecha en que también se produce el máximo de autorizaciones para ampliaciones de "ICEF (Industria, Comercio y Establecimiento Financieros)" con 73.313 m2. Por su parte, el máximo de autorizaciones para ampliaciones de "Servicios" se produce en agosto de 2014 con 12.950 m2.</t>
  </si>
  <si>
    <t>En la Región del Biobío, durante el periodo 2014-2021, el máximo de "Superficie Autorizada NO Habitacional (Ampliaciones)" se verifica en octubre de 2014 con 80.035 m2, fecha en que también se produce el máximo de autorizaciones para ampliaciones de "ICEF (Industria, Comercio y Establecimiento Financieros)" con 74.359 m2. Por su parte, el máximo de autorizaciones para ampliaciones de "Servicios" se produce en octubre de 2016 con 63.153 m2.</t>
  </si>
  <si>
    <t>En la Región de La Araucanía, durante el periodo 2014-2021, el máximo de "Superficie Autorizada NO Habitacional (Ampliaciones)" se verifica en marzo de 2019 con 37.784 m2, fecha en que también se produce el máximo de autorizaciones para ampliaciones de "ICEF (Industria, Comercio y Establecimiento Financieros)" con 34.867 m2. Por su parte, el máximo de autorizaciones para ampliaciones de "Servicios" se produce en agosto de 2020 con 9.439 m2.</t>
  </si>
  <si>
    <t>En la Región de Los Lagos, durante el periodo 2014-2021, el máximo de "Superficie Autorizada NO Habitacional (Ampliaciones)" se verifica en enero de 2019 con 38.171 m2, fecha en que también se produce el máximo de autorizaciones para ampliaciones de "ICEF (Industria, Comercio y Establecimiento Financieros)" con 36.589 m2. Por su parte, el máximo de autorizaciones para ampliaciones de "Servicios" se produce en octubre de 2017 con 14.254 m2.</t>
  </si>
  <si>
    <t>En la Región de Magallanes, durante el periodo 2014-2021, el máximo de "Superficie Autorizada NO Habitacional (Ampliaciones)" se verifica en abril de 2014 con 9.907 m2, fecha en que también se produce el máximo de autorizaciones para ampliaciones de "ICEF (Industria, Comercio y Establecimiento Financieros)" con 9.490 m2. Por su parte, el máximo de autorizaciones para ampliaciones de "Servicios" se produce en febrero de 2019 con 4.436 m2.</t>
  </si>
  <si>
    <t>En la Región Metropolitana, durante el periodo 2014-2021, el máximo de "Superficie Autorizada NO Habitacional (Ampliaciones)" se verifica en diciembre de 2020 con 195.015 m2, fecha en que también se produce el máximo de autorizaciones para ampliaciones de "ICEF (Industria, Comercio y Establecimiento Financieros)" con 174.811 m2. Por su parte, el máximo de autorizaciones para ampliaciones de "Servicios" se produce en octubre de 2018 con 109.097 m2.</t>
  </si>
  <si>
    <t>En la Región de Los Ríos, durante el periodo 2014-2021, el máximo de "Superficie Autorizada NO Habitacional (Ampliaciones)" se verifica en marzo de 2018 con 15.281 m2, fecha en que también se produce el máximo de autorizaciones para ampliaciones de "ICEF (Industria, Comercio y Establecimiento Financieros)" con 15.106 m2. Por su parte, el máximo de autorizaciones para ampliaciones de "Servicios" se produce en noviembre de 2014 con 4.155 m2.</t>
  </si>
  <si>
    <t>En la Región de Arica y Parinacota, durante el periodo 2014-2021, el máximo de "Superficie Autorizada NO Habitacional (Ampliaciones)" se verifica en septiembre de 2019 con 8.256 m2, fecha en que también se produce el máximo de autorizaciones para ampliaciones de "ICEF (Industria, Comercio y Establecimiento Financieros)" con 7.135 m2. Por su parte, el máximo de autorizaciones para ampliaciones de "Servicios" se produce en septiembre de 2014 con 6.442 m2.</t>
  </si>
  <si>
    <t>En la Región de Ñuble, durante el periodo 2014-2021, el máximo de "Superficie Autorizada NO Habitacional (Ampliaciones)" se verifica en noviembre de 2020 con 5.535 m2, fecha en que también se produce el máximo de autorizaciones para ampliaciones de "ICEF (Industria, Comercio y Establecimiento Financieros)" con 4.918 m2. Por u parte, el máximo de autorizaciones para ampliaciones de "Servicios" se produce en diciembre de 2018 con 3.631 m2.</t>
  </si>
  <si>
    <t>Superficie Autorizada No Habitacional de Ampliaciones</t>
  </si>
  <si>
    <t>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t>
  </si>
  <si>
    <t>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t>
  </si>
  <si>
    <t>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t>
  </si>
  <si>
    <t>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t>
  </si>
  <si>
    <t>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t>
  </si>
  <si>
    <t>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t>
  </si>
  <si>
    <t>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t>
  </si>
  <si>
    <t>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t>
  </si>
  <si>
    <t>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t>
  </si>
  <si>
    <t>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t>
  </si>
  <si>
    <t>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t>
  </si>
  <si>
    <t>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t>
  </si>
  <si>
    <t>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t>
  </si>
  <si>
    <t>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t>
  </si>
  <si>
    <t>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t>
  </si>
  <si>
    <t>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t>
  </si>
  <si>
    <t>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t>
  </si>
  <si>
    <t>Entre julio de 2016 y febrero de 2020, el precio promedio por habitación ocupada fluctuó entre los 45.054 y los 56.719 pesos chilenos. En mayo de 2020, se registra el precio promedio mínimo de 36.138 pesos chilenos.</t>
  </si>
  <si>
    <t xml:space="preserve">En la región de Tarapacá, el precio promedio por habitación ocupada entre julio de 2016 y mayo de 2021 fluctuó entre los 33.309 y los 52.395,7 pesos chilenos. </t>
  </si>
  <si>
    <t>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t>
  </si>
  <si>
    <t>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t>
  </si>
  <si>
    <t>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t>
  </si>
  <si>
    <t>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t>
  </si>
  <si>
    <t>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t>
  </si>
  <si>
    <t>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t>
  </si>
  <si>
    <t>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t>
  </si>
  <si>
    <t>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t>
  </si>
  <si>
    <t>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t>
  </si>
  <si>
    <t>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t>
  </si>
  <si>
    <t>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t>
  </si>
  <si>
    <t>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t>
  </si>
  <si>
    <t>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t>
  </si>
  <si>
    <t>En la región de Arica y Parinacota, el precio promedio por habitación ocupada entre julio de 2016 y junio de 2020 fluctuó entre los 30.962,1 y los 40.467,2 pesos chilenos. A partir de julio, el precio promedio aumentó considerablemente, alcanzando un máximo de 50.037,8 pesos chilenos.</t>
  </si>
  <si>
    <t>En la región de Ñuble, el precio promedio por habitación ocupada entre septiembre de 2018 y junio de 2021 fluctuó entre los 34.483,7 pesos chilenos, observados en el mes de mayo de 2021, y los 84.018,5 pesos chilenos, observados en julio de 2019.</t>
  </si>
  <si>
    <t>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t>
  </si>
  <si>
    <t>En la región de Tarapacá, los Indicadores de Desarrollo Personal y Social obtuvieron los valores más altos el año 2017, entre los 64 y 73 puntos promedio, los cuales varían según el tipo de dependencia del establecimiento y por cada establecimiento en particular.</t>
  </si>
  <si>
    <t xml:space="preserve">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t>
  </si>
  <si>
    <t>En la región del Biobío, los Indicadores de Desarrollo Personal y Social, en los colegios de Corporación de Administración Delegada obtienen los mayores puntajes, entre los 62 y 78 puntos, en el periodo del 2014 - 2019, los que varían por cada establecimiento en particular.</t>
  </si>
  <si>
    <t>En la región de Aysén, los Indicadores de Desarrollo Personal y Social, el año 2017, tiene los mayores valores, entre los 65 y 73 puntos promedio, los que varían según el tipo de dependencia del establecimiento y por cada establecimiento en particular.</t>
  </si>
  <si>
    <t>En la región de Atacama, en la medición del indicador de Autoestima Académica y Motivación Escolar, 6 de las 9 comunas de la región obtuvieron sobre 55 puntos promedio, en el periodo 2014-2019. La comuna de Diego de Almagro presenta el mayor puntaje con 57,8 puntos.</t>
  </si>
  <si>
    <t>Isla de Pascua presenta 57,2 puntos promedio en el indicador de Autoestima Académica y Motivación para el periodo 2014-2019. Por otro lado Juan Fernández presenta 57,8 puntos. Ambas comunas insulares se sitúan sobre la media de la región.</t>
  </si>
  <si>
    <t>Mapa de la distribución geográfica en la Región de O'Higgins del Indicador de Autoestima Académica y Motivación Escolar, Periodo 2014-2019.</t>
  </si>
  <si>
    <t>Mapa de la distribución geográfica en la Región de La Araucanía del Indicador de Autoestima Académica y Motivación Escolar, Periodo 2014-2019. Datos de la Agencia de Calidad de la Educación.</t>
  </si>
  <si>
    <t>Mapa de la distribución geográfica en la Región de Los Ríos del Indicador de Autoestima Académica y Motivación Escolar, Periodo 2014-2019. Datos de la Agencia de Calidad de la Educación.</t>
  </si>
  <si>
    <t>Gráfico de la evolución del Indicador de Clima de Convivencia Escolar por Dependencia de Establecimientos en la Región de Atacama, para el periodo 2014-2019. Datos de la Agencia de Calidad de la Educación.</t>
  </si>
  <si>
    <t>Gráfico de la evolución del Indicador de Clima de Convivencia Escolar por Dependencia de Establecimientos en la Región de Maule, para el periodo 2014-2019. Datos de la Agencia de Calidad de la Educación.</t>
  </si>
  <si>
    <t>Gráfico de la evolución del Indicador de Clima de Convivencia Escolar por Dependencia de Establecimientos en la Región de La Araucanía, para el periodo 2014-2019. Datos de la Agencia de Calidad de la Educación.</t>
  </si>
  <si>
    <t>Gráfico de la evolución del Indicador de Clima de Convivencia Escolar por Dependencia de Establecimientos en la Región de Magallanes, para el periodo 2014-2019. Datos de la Agencia de Calidad de la Educación.</t>
  </si>
  <si>
    <t>Gráfico de la evolución del Indicador de Clima de Convivencia Escolar por Dependencia de Establecimientos en la Región de Arica y Parinacota, para el periodo 2014-2019. Datos de la Agencia de Calidad de la Educación.</t>
  </si>
  <si>
    <t>Los colegios particulares han obtenido un puntaje sobre los 229 puntos en la prueba SIMCE de lectura tomada a los alumnos de 2° Medio, superando por más de 60 puntos a los colegios municipales, subvencionados y de otras dependencias del país, en los años 2015, 2016, 2017 y 2018.</t>
  </si>
  <si>
    <t>El puntaje promedio obtenido por los colegios Particulares, en la prueba SIMCE de lectura tomada a los alumnos de 4° Básico, es sobre los 130 puntos, superando por más de 30 puntos a los colegios de otras dependencias del país, en los años 2015, 2016, 2017 y 2018.</t>
  </si>
  <si>
    <t xml:space="preserve">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t>
  </si>
  <si>
    <t>En la región de Antofagasta, en la prueba SIMCE de lectura rendida por los alumnos de 4° Básicos, desde los años 2015 al 2018, el puntaje promedio obtenido por los colegios Subvencionados, es mayor que los colegios de otras dependencias.</t>
  </si>
  <si>
    <t>En la región de Atacama, en la prueba SIMCE de lectura rendida por los alumnos de 4° Básicos, desde los años 2015 al 2018, el puntaje promedio obtenido por los colegios particulares, es mayor que los colegios de otras dependencias, con un promedio aproximado de 153 puntos.</t>
  </si>
  <si>
    <t xml:space="preserve">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t>
  </si>
  <si>
    <t xml:space="preserve">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t>
  </si>
  <si>
    <t xml:space="preserve">En la región de O'Higgins, el puntaje obtenido por los colegios Particulares, en la prueba SIMCE de lectura tomada a los alumnos de 4° Básico, desde el año 2015 al 2018, es superiores a los colegios de otras dependencias, con un promedio sobre los 140 puntos. </t>
  </si>
  <si>
    <t>En la región de Maule, el puntaje obtenido por los colegios Particulares, en la prueba SIMCE de lectura tomada a los alumnos de 4° Básico, desde el año 2015 al 2018, es superiores al puntaje de los colegios de otras dependencias, con un promedio sobre los 145 puntos.</t>
  </si>
  <si>
    <t xml:space="preserve">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t>
  </si>
  <si>
    <t>En la región de Los Lagos, el puntaje promedio obtenido por los colegios Particulares, en la prueba SIMCE de lectura tomada a los alumnos de 4° Básico, desde el año 2015 al 2018, es sobre los 140 puntos, seguidos por los colegios Subvencionados con puntaje aproximado de 93 puntos.</t>
  </si>
  <si>
    <t xml:space="preserve">En la región de Aysén, el puntaje promedio obtenido por los colegios Subvencionados, en la prueba SIMCE de lectura tomada a los alumnos de 4° Básico, desde el año 2015 al 2018, es sobre los 105 puntos, superando por 20 puntos a los colegios Municipales. </t>
  </si>
  <si>
    <t>En la región de Magallanes, el puntaje promedio obtenido por los colegios Particulares, en la prueba SIMCE de lectura tomada a los alumnos de 4° Básico, desde el año 2015 al 2018, es sobre los 130 puntos, seguidos por los colegios Subvencionados con puntaje aproximado de 120 puntos.</t>
  </si>
  <si>
    <t>En la región Metropolitana, el puntaje promedio obtenido por los colegios Particulares, en la prueba SIMCE de lectura tomada a los alumnos de 4° Básico, desde el año 2015 al 2018, es superior al puntaje obtenidos por colegios de otras dependencias.</t>
  </si>
  <si>
    <t>En la región de Los Ríos, el puntaje promedio obtenido por los colegios Particulares, en la prueba SIMCE de lectura tomada a los alumnos de 4° Básico, supera por más de 50 puntos a los colegios de otras dependencias del país, en los años 2015, 2016, 2017 y 2018.</t>
  </si>
  <si>
    <t xml:space="preserve">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t>
  </si>
  <si>
    <t>En la región de Ñuble, el puntaje promedio obtenido por los colegios Particulares, en la prueba SIMCE de lectura tomada a los alumnos de 4° Básico, desde el año 2015 al 2018, es de 150 puntos.</t>
  </si>
  <si>
    <t>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t>
  </si>
  <si>
    <t>La región de Tarapacá, en la prueba SIMCE de lectura rendida por los alumnos de 6° Básico, desde el año 2015 al 2018, el puntaje promedio obtenido por los colegios de área urbana es mayor al obtenido por los colegios de áreas rurales, por mas de 60 puntos.</t>
  </si>
  <si>
    <t xml:space="preserve">La región de Antofagasta, en la prueba SIMCE de lectura rendida por los alumnos de 6° Básico, desde el año 2015 al 2018, el puntaje promedio obtenido por los colegios de área urbana es mayor al obtenido por los colegios de áreas rurales, por mas de 80 puntos. </t>
  </si>
  <si>
    <t>La región de Atacama, en la prueba SIMCE de lectura rendida por los alumnos de 6° Básico, desde el año 2015 al 2018, el puntaje promedio obtenido por los colegios de área urbana es mayor al obtenido por los colegios de áreas rurales, superando los 100 puntos el 2008.</t>
  </si>
  <si>
    <t>La región de Coquimbo, en la prueba SIMCE de lectura rendida por los alumnos de 6° Básico, desde el año 2015 al 2018, el puntaje promedio obtenido por los colegios de área urbana es mayor al obtenido por los colegios de áreas rurales, por más de 60 puntos.</t>
  </si>
  <si>
    <t>La región de Valparaíso, en la prueba SIMCE de lectura rendida por los alumnos de 6° Básico, desde el año 2015 al 2018, el puntaje promedio obtenido por los colegios de área urbana es mayor al obtenido por los colegios de áreas rurales, con una diferencia de 40 puntos.</t>
  </si>
  <si>
    <t>La región de O'Higgins, en la prueba SIMCE de lectura rendida por los alumnos de 6° Básico, desde el año 2015 al 2018, el puntaje promedio obtenido por los colegios de área urbana es mayor al obtenido por los colegios de áreas rurales, por mas de 30 puntos.</t>
  </si>
  <si>
    <t>La región del Maule, en la prueba SIMCE de lectura rendida por los alumnos de 6° Básico, desde el año 2015 al 2018, el puntaje promedio obtenido por los colegios de área urbana es mayor al obtenido por los colegios de áreas rurales, por más de 40 puntos.</t>
  </si>
  <si>
    <t>La región de La Araucanía, en la prueba SIMCE de lectura rendida por los alumnos de 6° Básico, desde el año 2015 al 2018, el puntaje promedio obtenido por los colegios de área urbana es mayor al obtenido por los colegios de áreas rurales, por mas de 30 puntos.</t>
  </si>
  <si>
    <t>La región de Los Lagos, en la prueba SIMCE de lectura rendida por los alumnos de 6° Básico, desde el año 2015 al 2018, el puntaje promedio obtenido por los colegios de área urbana es mayor al obtenido por los colegios de áreas rurales, por mas de 50 puntos.</t>
  </si>
  <si>
    <t xml:space="preserve">La región de Aysén, en la prueba SIMCE de lectura rendida por los alumnos de 6° Básico, desde el año 2015 al 2018, el puntaje promedio obtenido por los colegios de área urbana es mayor al obtenido por los colegios de áreas rurales, por mas de 40 puntos. </t>
  </si>
  <si>
    <t xml:space="preserve">La región de Magallanes, según los puntajes SIMCE de lectura para los 6° Básicos en el periodo 2015 - 2018, se observa que los colegios de área urbana tienen puntaje significativamente mayor que los alcanzados en zonas rurales, con una diferencia de 100 puntos promedio. </t>
  </si>
  <si>
    <t>La región Metropolitana, en la prueba SIMCE de lectura rendida por los alumnos de 6° Básico, desde el año 2015 al 2018, el puntaje promedio obtenido por los colegios de área urbana es mayor al obtenido por los colegios de áreas rurales, con una diferencia de 30 puntos promedio.</t>
  </si>
  <si>
    <t xml:space="preserve">La región de Los Ríos, en la prueba SIMCE de lectura rendida por los alumnos de 6° Básico, desde el año 2015 al 2018, el puntaje promedio obtenido por los colegios de área urbana es mayor al obtenido por los colegios de áreas rurales, por más de 40 puntos. </t>
  </si>
  <si>
    <t xml:space="preserve">La región de Arica y Parinacota, en la prueba SIMCE de lectura rendida por los alumnos de 6° Básico, desde el año 2015 al 2018, el puntaje promedio obtenido por los colegios de área urbana es mayor al obtenido por los colegios de áreas rurales, por más de 90 puntos. </t>
  </si>
  <si>
    <t>La región Ñuble, en la prueba SIMCE de lectura rendida por los alumnos de 6° Básico, desde el año 2015 al 2018, el puntaje promedio obtenido por los colegios de área urbana es mayor al obtenido por los colegios de áreas rurales, por más de 30 puntos.</t>
  </si>
  <si>
    <t>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t>
  </si>
  <si>
    <t xml:space="preserve">Gráfico de evolución de la proporción de alumnos de cuarto medio con más de 450 puntos en la PSU, según dependencia de colegios en la comuna de Rancagua de la región de O'Higgins, en el periodo 2001- 2020. </t>
  </si>
  <si>
    <t xml:space="preserve">Gráfico de evolución de la proporción de alumnos de cuarto medio con más de 450 puntos en la PSU, según dependencia de colegios, para el periodo 2001- 2020, en la comuna de Valdivia, región de Los Ríos. </t>
  </si>
  <si>
    <t xml:space="preserve">Gráfico de evolución de la proporción de alumnos de cuarto medio con más de 450 puntos en la PSU, según dependencia de colegios en la comuna de Arica, para el periodo 2001- 2020. </t>
  </si>
  <si>
    <t>En la comuna de Iquique de la región de Tarapacá, a partir del año 2006, la proporción de alumnos de cuarto medio con más de 450 puntos en la PSU es mayor en los colegios Particulares en relación a los Municipales y Subvencionados.</t>
  </si>
  <si>
    <t>En la comuna de Antofagasta, la proporción de alumnos de cuarto medio con más de 450 puntos en la PSU es mayor en los colegios Particulares en relación a los Municipales y Subvencionados, durante todo el periodo 2001 - 2020.</t>
  </si>
  <si>
    <t>En la comuna de Copiapó de la región de Tarapacá, la proporción de alumnos de cuarto medio con más de 450 puntos en la PSU es mayor en los colegios Particulares, superando el promedio de 94,2% a partir del año 2008.</t>
  </si>
  <si>
    <t>En la comuna de Coquimbo, para el año 2008, el 96,2% de los alumnos de los colegios particulares obtuvo más de 450 puntos en la PSU. La comuna no registra información para los años del 2006 al 2017.</t>
  </si>
  <si>
    <t>En la comuna de Viña del Mar de la región de Valparaíso, la proporción de alumnos de cuarto medio con más de 450 puntos en la PSU es mayor en los colegios Particulares, en relación a los Subvencionados y Municipales, durante todo el periodo 2001 – 2020.</t>
  </si>
  <si>
    <t>En la comuna de Talca de la región del Maule, la proporción de alumnos de cuarto medio con más de 450 puntos en la PSU es mayor en los colegios Particulares, en relación a los Subvencionados y Municipales, durante todo el periodo 2001 – 2020.</t>
  </si>
  <si>
    <t>En la comuna de Concepción de la región del Biobío, la proporción de alumnos de cuarto medio con más de 450 puntos en la PSU es mayor en los colegios Particulares, en relación a los Subvencionados y Municipales, durante todo el periodo 2001 – 2020.</t>
  </si>
  <si>
    <t xml:space="preserve">Gráfico de evolución de la proporción de alumnos de cuarto medio con más de 450 puntos en la PSU, según dependencia de colegios en la comuna de Temuco de la región de La Araucanía, en el periodo 2001- 2020. </t>
  </si>
  <si>
    <t>En la comuna de Puerto Montt de la región de Los Lagos, la proporción de alumnos de cuarto medio con más de 450 puntos en la PSU es mayor en los colegios Particulares, superando el promedio de 92,9 % a partir del año 2007.</t>
  </si>
  <si>
    <t>Gráfico de evolución de la proporción de alumnos de cuarto medio con más de 450 puntos en la PSU, según dependencia de colegios en la comuna de Punta Arenas, en el periodo 2001- 2020, según datos del Sistema Nacional de Información Municipal.</t>
  </si>
  <si>
    <t xml:space="preserve">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t>
  </si>
  <si>
    <t xml:space="preserve">En la Comuna de Chillán de la región de Ñuble, la proporción de alumnos de cuarto medio con más de 450 puntos en la PSU es mayor en los colegios Particulares, en relación a los Subvencionados y Municipales, a partir del año 2004.    </t>
  </si>
  <si>
    <t>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</si>
  <si>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</si>
  <si>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</si>
  <si>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t>
  </si>
  <si>
    <t>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t>
  </si>
  <si>
    <t>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</si>
  <si>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</si>
  <si>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</si>
  <si>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</si>
  <si>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</si>
  <si>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</si>
  <si>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</si>
  <si>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</si>
  <si>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</si>
  <si>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</si>
  <si>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</si>
  <si>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t>
  </si>
  <si>
    <t>La región del Biobío, en la prueba SIMCE de lectura rendida por los alumnos de 6° Básico, desde el año 2015 al 2018, el puntaje promedio obtenido por los colegios de área urbana es mayor al obtenido por los colegios de áreas rurales, por mas de 55 puntos.</t>
  </si>
  <si>
    <t>La comuna de Colchane presenta el mayor puntaje promedio en la prueba SIMCE de lectura tomada a los alumnos de 8° Básico, el año 2020, obteniendo 125 puntos promedio. Sin embargo, la comuna de Iquique obtuvo el Puntaje máximo, con 289 puntos.</t>
  </si>
  <si>
    <t>La comuna de María Elena presenta el mayor puntaje promedio en la prueba SIMCE de lectura tomada a los alumnos de 8° Básico, el año 2020, obteniendo 136 puntos promedio. Sin embargo, la comuna de Calama obtuvo el Puntaje máximo con 315 puntos.</t>
  </si>
  <si>
    <t>La comuna de Copiapó presenta el mayor puntaje promedio en la prueba SIMCE de lectura tomada a los alumnos de 8° Básico, el año 2020, obteniendo 111 puntos promedio. Por otro lado, la comuna de Huasco obtuvo el Puntaje promedio más bajo con 80 puntos.</t>
  </si>
  <si>
    <t>La comuna de Andacollo presenta el mayor puntaje promedio en la prueba SIMCE de lectura tomada a los alumnos de 8° Básico, el año 2020, obteniendo 122 puntos promedio. Sin embargo la comuna de Combarbalá obtuvo el Puntaje máximo con 331 puntos.</t>
  </si>
  <si>
    <t>La comuna de Papudo presenta el mayor puntaje promedio en la prueba SIMCE de lectura tomada a los alumnos de 8° Básico, el año 2020, obteniendo 138 puntos promedio. Sin embargo, la comuna de Viña de Mar obtuvo el Puntaje máximo con 316 puntos.</t>
  </si>
  <si>
    <t>La comuna de La Estrella presenta el mayor puntaje promedio en la prueba SIMCE de lectura tomada a los alumnos de 8° Básico, el año 2020, obteniendo 139 puntos promedio. Sin embargo, la comuna de San Fernando obtuvo el Puntaje máximo con 310 puntos.</t>
  </si>
  <si>
    <t>La comuna de Empedrado presenta el mayor puntaje promedio en la prueba SIMCE de lectura tomada a los alumnos de 8° Básico, el año 2020, obteniendo 137 puntos promedio; seguido por las comunas de Curepto y Parral, ambas con 121 puntos promedio.</t>
  </si>
  <si>
    <t>La comuna de Antuco presenta el mayor puntaje promedio en la prueba SIMCE de lectura tomada a los alumnos de 8° Básico, el año 2020, obteniendo 138 puntos promedio; seguido por la comuna de Arauco con 121 puntos promedio.</t>
  </si>
  <si>
    <t>La comuna de Purén presenta el mayor puntaje promedio en la prueba SIMCE de lectura tomada a los alumnos de 8° Básico, el año 2020, obteniendo 142 puntos promedio. Sin embargo, la comuna de Temuco obtuvo el Puntaje máximo con 313 puntos.</t>
  </si>
  <si>
    <t>La comuna de Futaleufú presenta el mayor puntaje promedio en la prueba SIMCE de lectura tomada a los alumnos de 8° Básico, el año 2020, obteniendo 146 puntos promedio. Sin embargo, la comuna de Calbuco obtuvo el Puntaje máximo con 321 puntos.</t>
  </si>
  <si>
    <t>La comuna de Tortel es la que presenta el mayor puntaje promedio en la prueba SIMCE de lectura tomada a los alumnos de 8° Básico, el año 2020, obteniendo 160 puntos promedio. Por otro lado, la comuna de Lago Verde obtuvo el Puntaje máximo con 304 puntos.</t>
  </si>
  <si>
    <t>La comuna de Primavera presenta el mayor puntaje promedio en la prueba SIMCE de lectura tomada a los alumnos de 8° Básico, el año 2020, obteniendo 146 puntos promedio. Sin embargo, la comuna de Punta Arenas obtuvo el Puntaje máximo con 298 puntos.</t>
  </si>
  <si>
    <t>La comuna de Vitacura presenta el mayor puntaje promedio en la prueba SIMCE de lectura tomada a los alumnos de 8° Básico, el año 2020, obteniendo 154 puntos promedio. Sin embargo, la comuna de Isla De Maipo obtuvo el Puntaje máximo con 329 puntos.</t>
  </si>
  <si>
    <t>La comuna de Máfil presenta el mayor puntaje promedio en la prueba SIMCE de lectura tomada a los alumnos de 8° Básico, el año 2020, obteniendo 136 puntos promedio. Sin embargo, la comuna de La Unión obtuvo el Puntaje máximo con 303 puntos.</t>
  </si>
  <si>
    <t>La comuna de General Lagos presenta el mayor puntaje promedio en la prueba SIMCE de lectura tomada a los alumnos de 8° Básico, el año 2020, obteniendo 121 puntos promedio. Sin embargo, la comuna de Arica obtuvo el Puntaje máximo con 294 puntos.</t>
  </si>
  <si>
    <t>La comuna de San Fabián presenta el mayor puntaje promedio en la prueba SIMCE de lectura tomada a los alumnos de 8° Básico, el año 2020, obteniendo 127 puntos promedio. Sin embargo, la comuna de Ninhue obtuvo el Puntaje máximo con 305 puntos.</t>
  </si>
  <si>
    <t xml:space="preserve">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t>
  </si>
  <si>
    <t xml:space="preserve">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t>
  </si>
  <si>
    <t xml:space="preserve">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t>
  </si>
  <si>
    <t xml:space="preserve">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t>
  </si>
  <si>
    <t>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t>
  </si>
  <si>
    <t>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t>
  </si>
  <si>
    <t>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t>
  </si>
  <si>
    <t>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t>
  </si>
  <si>
    <t>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t>
  </si>
  <si>
    <t>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t>
  </si>
  <si>
    <t>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t>
  </si>
  <si>
    <t>En la región de Magallanes, el puntaje promedio obtenido por los colegios Particulares en la prueba SIMCE de lectura rendida por los 2° Medio, desde los años 2015 - 2018, se encuentra sobre los 185 puntos, superando por más de 50 puntos a los Municipales.</t>
  </si>
  <si>
    <t>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t>
  </si>
  <si>
    <t>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t>
  </si>
  <si>
    <t>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t>
  </si>
  <si>
    <t>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t>
  </si>
  <si>
    <t>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t>
  </si>
  <si>
    <t xml:space="preserve">En la región de Antofagasta, el puntaje promedio obtenido por los colegios Particulares en la prueba SIMCE de matemática rendida por los 2° Medio, desde los años 2015 - 2018, se encuentra sobre los 234 puntos. </t>
  </si>
  <si>
    <t>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t>
  </si>
  <si>
    <t>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t>
  </si>
  <si>
    <t>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t>
  </si>
  <si>
    <t>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t>
  </si>
  <si>
    <t>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t>
  </si>
  <si>
    <t>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t>
  </si>
  <si>
    <t>En la región de La Araucanía, el puntaje promedio obtenido por los colegios Particulares en la prueba SIMCE de matemática rendida por los 2° Medio, desde los años 2015 - 2018, se encuentra sobre los 310 puntos, superando por más de 114 puntos a los colegios Municipales.</t>
  </si>
  <si>
    <t>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t>
  </si>
  <si>
    <t>En la región de Aysén, el puntaje promedio obtenido por los colegios Subvencionados en la prueba SIMCE de matemática rendida por los 2° Medio, desde los años 2015 - 2018, se encuentra sobre los 158 puntos.</t>
  </si>
  <si>
    <t>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t>
  </si>
  <si>
    <t>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t>
  </si>
  <si>
    <t>En la región de Los Ríos, el puntaje promedio obtenido por los colegios Particulares en la prueba SIMCE de matemática rendida por los 2° Medio, desde los años 2015 - 2018, se encuentra sobre los 295 puntos, superando por más de 115 puntos a los colegios Municipales.</t>
  </si>
  <si>
    <t>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t>
  </si>
  <si>
    <t>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</si>
  <si>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t>
  </si>
  <si>
    <t>En la región de O'Higgins, en los Indicadores de Desarrollo Personal y Social, los colegios de Corporación de Administración Delegada obtienen los mayores puntajes, entre los 67 y 81 puntos, en el periodo del 2014 - 2019, los que varían por cada establecimiento en particular.</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</si>
  <si>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</si>
  <si>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</si>
  <si>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</si>
  <si>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</si>
  <si>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</si>
  <si>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t>
  </si>
  <si>
    <t>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t>
  </si>
  <si>
    <t>En la región de Antofagasta, los Indicadores de Desarrollo Personal y Social obtuvieron los valores más altos el año 2017, entre los 67 y 75 puntos promedio, los cuales varían según el tipo de dependencia del establecimiento y por cada establecimiento en particular.</t>
  </si>
  <si>
    <t>En la región de Atacama, los Indicadores de Desarrollo Personal y Social obtuvieron los valores más bajos el año 2019, entre los 25 y 29 puntos promedio, los cuales varían según el tipo de dependencia del establecimiento y por cada establecimiento en particular.</t>
  </si>
  <si>
    <t>En la región de Magallanes, los Indicadores de Desarrollo Personal y Social, el año 2019, tienen los valores más bajos, entre los 25 y 27 puntos promedio, los que varían según el tipo de dependencia del establecimiento y por cada establecimiento en particular.</t>
  </si>
  <si>
    <t>En la región de Arica y Parinacota, los Indicadores de Desarrollo Personal y Social, el año 2017, tiene los mayores valores, entre los 63 y 71 puntos promedio, los que varían según el tipo de dependencia del establecimiento y por cada establecimiento en particular.</t>
  </si>
  <si>
    <t>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t>
  </si>
  <si>
    <t>La comuna de Alto Hospicio presenta el mayor puntaje promedio en el indicador de Autoestima Académica y Motivación para el periodo 2014-2019, con 56,4 puntos, seguido por la comuna de Iquique con 55,2 puntos. Por otro lado, la comuna de Huara presenta el menor puntaje.</t>
  </si>
  <si>
    <t>Las comunas de la región de Antofagasta que están sobre los 55 puntos promedio en el indicador de Autoestima Académica y Motivación para el periodo 2014-2019 son: Antofagasta, Mejillones, Ollagüe y Calama con 55,7; 57,8; 58,4 y 55,5 puntos promedio, respectivamente.</t>
  </si>
  <si>
    <t>La comuna de La Serena presenta el mayor puntaje promedio en el indicador de Autoestima Académica y Motivación para el periodo 2014-2019, con 55 puntos, seguido por la comuna de Coquimbo con 54,8 puntos. Por otro lado, la comuna de Canela presenta el menor puntaje.</t>
  </si>
  <si>
    <t>La comuna de Teno presenta el mayor puntaje en el indicador de Autoestima Académica y Motivación para el periodo 2014-2019, con 58,1 puntos promedio. Por otro lado, la comuna de Curepto presenta el menor puntaje promedio, con 43,3 puntos.</t>
  </si>
  <si>
    <t>Las comunas de Penco y Negrete presentan el mayor puntaje en el indicador de Autoestima Académica y Motivación para el periodo 2014-2019, con 55,9 puntos promedio. Por otro lado, la comuna de San Rosendo presenta el menor puntaje promedio, con 42,2 puntos.</t>
  </si>
  <si>
    <t>La comuna de Osorno presenta el mayor puntaje promedio del indicador de Autoestima Académica y Motivación en el periodo 2014-2019, con 52,8 puntos promedio. Por otro lado, la comuna de Cochamó presenta el menor puntaje promedio, con 36,7 puntos.</t>
  </si>
  <si>
    <t>Las comunas de la región de Aysén que están sobre los 55 puntos promedio del indicador de Autoestima Académica y Motivación, en el periodo 2014-2019, son: Tortel y O'Higgins con 57,2 y 56,5 puntos promedio, respectivamente.</t>
  </si>
  <si>
    <t>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t>
  </si>
  <si>
    <t>La comuna de San Pedro presenta el mayor puntaje promedio del indicador de Autoestima Académica y Motivación, en el periodo 2014-2019, con 58,1 puntos promedio. Por otro lado, la comuna de Tiltil presenta el menor puntaje promedio, con 50,4 puntos.</t>
  </si>
  <si>
    <t>La comuna de Arica presenta el mayor puntaje promedio del indicador de Autoestima Académica y Motivación en el periodo 2014-2019, con 55,5 puntos promedio. Por otro lado, la comuna de General Lagos presenta el menor puntaje promedio, con 25,9 puntos.</t>
  </si>
  <si>
    <t>La comuna de Ñiquén presenta el mayor puntaje promedio del indicador de Autoestima Académica y Motivación en el periodo 2014-2019, con 57,2 puntos promedio, seguido por la comuna de Quillón con 56,6 puntos.</t>
  </si>
  <si>
    <t>En la región de Tarapacá, los colegios de Corporación de Administración Delegada obtienen el mayor puntaje en el Indicador de Clima de Convivencia Escolar, a nivel regional, el año 2019.</t>
  </si>
  <si>
    <t>En la región de Antofagasta, los colegios Municipales presentan el mayor puntaje en el Indicador de Clima de Convivencia Escolar, a nivel regional, el año 2019.</t>
  </si>
  <si>
    <t>En la región de Coquimbo, entre los años 2014 y 2018, los colegios de Corporación de Administración Delegada obtienen el mejor puntaje del indicador de Clima de Convivencia Escolar.</t>
  </si>
  <si>
    <t>En la región de Valparaíso, entre los años 2014 y 2018, los colegios de Corporación de Administración Delegada obtienen el mejor puntaje del indicador de Clima de Convivencia Escolar.</t>
  </si>
  <si>
    <t>En la región de O'Higgins, los colegios Municipales obtienen el mayor puntaje en el Indicador de Clima de Convivencia Escolar, a nivel regional, el año 2019.</t>
  </si>
  <si>
    <t>En la región del Biobío, los colegios Subvencionados obtienen el mayor puntaje en el Indicador de Clima de Convivencia Escolar, a nivel regional, el año 2019.</t>
  </si>
  <si>
    <t>En la región de Los Lagos, entre los años 2014 y 2018, los colegios de Corporación de Administración Delegada obtienen el mejor puntaje del indicador de Clima de Convivencia Escolar.</t>
  </si>
  <si>
    <t>En la región de Aysén, los colegios Municipales presentan el mayor puntaje en el Indicador de Clima de Convivencia Escolar, a nivel regional, el año 2019.</t>
  </si>
  <si>
    <t>En la región Metropolitana, entre los años 2016 al 2018, los colegios de Corporación de Administración Delegada obtienen el mejor puntaje del indicador de Clima de Convivencia Escolar.</t>
  </si>
  <si>
    <t>En la región de Los Ríos, los colegios Particulares obtienen el mayor puntaje en el Indicador de Clima de Convivencia Escolar, a nivel regional, el año 2019.</t>
  </si>
  <si>
    <t>En la región de Ñuble, los colegios Municipales obtienen el mayor puntaje en el Indicador de Clima de Convivencia Escolar, a nivel regional, el año 2019.</t>
  </si>
  <si>
    <t>La Región Metropolitana presentó la tasa más alta de consultas mentales el año 2015 y 2017, alcanzando las 3.384 y 2.907 consultas (cada 100 mil habitantes) respectivamente. La Región de Ñuble presentó la tasa mas alta el año 2013 y la región de Valparaíso el año 2011.</t>
  </si>
  <si>
    <t>A nivel nacional, la comuna de Vitacura de la Región Metropolitana presentó la mayor tasa de consultas mentales, con 9.196 atenciones cada 100 mil habitantes, el año 2013. Para el mismo año y región, la menor tasa la presentó la comuna de Independencia, con 83 consultas.</t>
  </si>
  <si>
    <t>En la región de Tarapacá, la comuna de Pozo Almonte presentó la mayor tasa de consultas mentales, con 2952 atenciones cada 100 mil habitantes, el año 2015. La menor tasa la presentó la comuna de Camiña con 265 atenciones, el año 2011.</t>
  </si>
  <si>
    <t>En la región de Antofagasta, la comuna de Mejillones presentó la mayor tasa de consultas mentales, con 2698 atenciones cada 100 mil habitantes, el año 2017. La menor tasa la presentó la comuna de María Elena con 189 atenciones, el año 2011.</t>
  </si>
  <si>
    <t>En la región de Atacama, la comuna de Caldera presentó la mayor tasa de consultas mentales, con 3.573 atenciones cada 100 mil habitantes, el año 2009. La menor tasa la presentó la comuna de Chañaral con 384 atenciones, el año 2009.</t>
  </si>
  <si>
    <t>En la región de Coquimbo, la comuna de La Higuera presentó la mayor tasa de consultas mentales, con 5.118 atenciones cada 100 mil habitantes, el año 2015. La menor tasa la presentó la comuna de Canela con 290 atenciones, el año 2015.</t>
  </si>
  <si>
    <t>En la región de Valparaíso, la comuna de Casablanca presentó la mayor tasa de consultas mentales, con 8.157 atenciones cada 100 mil habitantes, el año 2011. La menor tasa la presentó la comuna de La Ligua con 168 atenciones, el año 2017.</t>
  </si>
  <si>
    <t>En la región de O´Higgins, la comuna de Navidad presentó la mayor tasa de consultas mentales, con 7.478 atenciones cada 100 mil habitantes, el año 2015. La menor tasa la presentó la comuna de Marchihue con 139 atenciones, el año 2015.</t>
  </si>
  <si>
    <t>En la región de Maule, la comuna de Maule presentó la mayor tasa de consultas mentales, con 7.314 atenciones cada 100 mil habitantes, el año 2017. La menor tasa la presentó la comuna de Yerbas Buenas con 99 atenciones, el año 2013.</t>
  </si>
  <si>
    <t>En la región de Biobío, la comuna de Chiguayante presentó la mayor tasa de consultas mentales, con 5.151 atenciones cada 100 mil habitantes, el año 2017. La menor tasa la presentó la comuna de Los Álamos con 110 atenciones, el año 2013.</t>
  </si>
  <si>
    <t>En la región de La Araucanía, la comuna de Gorbea presentó la mayor tasa de consultas mentales con 7.604 atenciones cada 100 mil habitantes, el año 2013. La menor tasa la presentó la comuna de Galvarino con 164 atenciones, el año 2009.</t>
  </si>
  <si>
    <t>En la región de Los Lagos, la comuna de Curaco de Veléz presentó la mayor tasa de consultas mentales con 5.850 atenciones cada 100 mil habitantes, el año 2013. La menor tasa la presentó la comuna de Quinchao con 268 atenciones, el año 2017.</t>
  </si>
  <si>
    <t>En la región de Aysén, la comuna de Río Ibáñez presentó la mayor tasa de consultas mentales, con 3.745 atenciones cada 100 mil habitantes, el año 2013. La menor tasa la presentó la comuna de Chile Chico con 449 atenciones, el año 2009.</t>
  </si>
  <si>
    <t>En la región de Magallanes, la comuna de Punta Arenas presentó la mayor tasa de consultas mentales, con 3.703 atenciones cada 100 mil habitantes, el año 2009. La menor tasa la presentó la comuna de Porvenir con 280 atenciones, el año 2011.</t>
  </si>
  <si>
    <t>En la región Metropolitana, la comuna de Vitacura presentó la mayor tasa de consultas mentales, con 9.196 atenciones cada 100 mil habitantes, el año 2013. La menor tasa la presentó la comuna de Independencia con 83 atenciones, el año 2013.</t>
  </si>
  <si>
    <t>En la región de Los Ríos, la comuna de Paillaco presentó la mayor tasa de consultas mentales, con 4.026 atenciones cada 100 mil habitantes, el año 2017. La menor tasa la presentó la comuna de Mariquina con 115 atenciones, el año 2009.</t>
  </si>
  <si>
    <t>En la región de Arica y Parinacota, la comuna de Camarones presentó la mayor tasa de consultas mentales, con 6.816 atenciones cada 100 mil habitantes, el año 2013. La menor tasa la presentó la comuna de Putre con 304 atenciones, el año 2013.</t>
  </si>
  <si>
    <t>En la región de Ñuble, la comuna de Ñiquén presentó la mayor tasa de consultas mentales, con 5.830 atenciones cada 100 mil habitantes, el año 2009. La menor tasa la presentó la comuna de Ninhue con 294 atenciones, el año 2011.</t>
  </si>
  <si>
    <t>El promedio anual de la población que tuvo al menos una consulta mental es de 345.298 personas. Los años 2011, 2015 y 2017 superan esta cifra en más de 10.000 consultas, según los resultados de las encuestas CASEN.</t>
  </si>
  <si>
    <t>La Región Metropolitana es la región con mayor cantidad de establecimientos de la salud, alcanzando en total 578. De estos, los principales son: CESFAM, SAPU y Clínicas con 40,8%; 16,3% y 14,2% respectivamente. La menor cantidad son los Centro de Diálisis con un 0,2%.</t>
  </si>
  <si>
    <t>De los 190 establecimientos de salud de la región de Coquimbo, las tres comunas que tienen la mayor cantidad son: La Serena, Ovalle y Coquimbo con 35, 27 y 23 establecimientos, respectivamente. La comuna con menor cantidad es Andacollo con solo 1 establecimiento.</t>
  </si>
  <si>
    <t>La región de Arica y Parinacota cuenta con 36 establecimientos de salud, el año 2021, es la única región que cuenta con la misma cantidad de establecimientos privados y públicos, 18 de cada uno.</t>
  </si>
  <si>
    <t xml:space="preserve">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t>
  </si>
  <si>
    <t>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t>
  </si>
  <si>
    <t>En la región de Valparaíso existen 274 establecimientos de salud el año 2021, de estos, los tres principales son: CESFAM con un 36,5%, Postas con 21,2% y SAPU con 11,7%; en tanto que el menor porcentaje lo presentan los Hospitales de mediana complejidad y Consultorios, con un 0,7%.</t>
  </si>
  <si>
    <t>En la región de O'Higgins existen 197 establecimientos de salud el año 2021, de estos, los tres principales son: Postas con un 40,1%, CESFAM con un 22,8% y Laboratorios Clínicos o Dentales con un 11,7%; en tanto que el menor porcentaje lo presentan los Consultorios, con un 0,5%.</t>
  </si>
  <si>
    <t xml:space="preserve">En la región de La Araucanía existen 327 establecimientos de salud, el mayor porcentaje son Postas, llegando al 57,5% del total de la región. En segundo lugar se encuentran los CESFAM con un 18,0%. </t>
  </si>
  <si>
    <t xml:space="preserve">En la región de Maule existen 310 establecimientos de salud, el mayor porcentaje son Postas, llegando al 52,3% del total de la región. En segundo lugar se encuentran los CESFAM con un 22,6%. </t>
  </si>
  <si>
    <t xml:space="preserve">En la región de Coquimbo existen 190 establecimientos de salud, el mayor porcentaje son Postas, llegando al 50,5% del total de la región. En segundo lugar se encuentran los CESFAM con un 21,6%. </t>
  </si>
  <si>
    <t>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t>
  </si>
  <si>
    <t>La región de Antofagasta cuenta con 101 establecimientos de salud, de estos los tres principales son: Laboratorios Clínicos o Dentales, CESFAM y Postas, con un 30,7%, 18,8% y 11,9% respectivamente; en tanto los Hospitales de alta complejidad son los con menor porcentaje, llegando a un 2%.</t>
  </si>
  <si>
    <t>La región de Los Lagos cuenta con 332 establecimientos de salud, de estos la mayoría son Postas llegando a 187, seguido por CESFAM que son 66 en la región.  La menor cantidad corresponde a Consultorios con 1 establecimiento.</t>
  </si>
  <si>
    <t xml:space="preserve">En la región de Aysén existen 46 establecimientos de salud, el mayor porcentaje son Postas, llegando al 60,9% del total de la región. En segundo lugar se encuentran los CESFAM con un 10,9%. </t>
  </si>
  <si>
    <t xml:space="preserve">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t>
  </si>
  <si>
    <t>En la región de Los Ríos existen 141 establecimientos de salud, el mayor porcentaje son Postas, llegando al 41,1% del total de la región. En segundo lugar se encuentran los CESFAM con un 24,1%.</t>
  </si>
  <si>
    <t>En la región de Arica y Parinacota existen 36 establecimientos de salud el año 2021, de estos, los tres principales son: CESFAM con 25,0%, Postas con 19,4% y Laboratorios Clínicos o Dentales con 19,4%.</t>
  </si>
  <si>
    <t xml:space="preserve">La región de Ñuble cuenta con 121 establecimientos de salud, de estos la mayoría son Postas llegando a 54, seguido por CESFAM que son 37 en la región. </t>
  </si>
  <si>
    <t>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t>
  </si>
  <si>
    <t>En la región de Tarapacá, Iquique es la comuna con la mayor cantidad de establecimiento de la salud, alcanzando a un total de 32, seguido por la comuna de Alto Hospicio con 11 establecimientos.</t>
  </si>
  <si>
    <t xml:space="preserve">De los 101 establecimientos de la salud de la región, 55 están en Antofagasta y 31 en Calama. Las comunas de Mejillones y Ollagüe, presentan la menor cantidad con solo 1 establecimientos </t>
  </si>
  <si>
    <t>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t>
  </si>
  <si>
    <t>De los 72 establecimientos de la salud de la región, 27 se encuentran en la comuna de Copiapó, entre estos 8 son CESFAM, 3 son Clínicas y 3 son SAPU. La comuna de Freirina y Tierra Amarilla tienen la menor cantidad, con 2 establecimientos cada una.</t>
  </si>
  <si>
    <t>De los 274 establecimientos de la salud de la región, las 3 comunas con más establecimientos son: Valparaíso, Viña del Mar y San Antonio, con 43, 38 y 21 establecimientos, respectivamente.</t>
  </si>
  <si>
    <t>En la región de O´Higgins, Rancagua presenta 34 establecimientos, seguido por San Fernando con 22 establecimientos.</t>
  </si>
  <si>
    <t>La región de Maule presenta 310 establecimientos de salud. Las 3 comunas con mayor cantidad son Talca con 36, Curicó con 32 y Linares con 30. Las comunas con menor cantidad son San Rafael y Empedrado con 2 establecimientos cada uno.</t>
  </si>
  <si>
    <t>De los 322 establecimientos de la salud de la región, 50 estan en Concepción y 41 en Los Ángeles. Las comunas de Antuco y San Rosendo, presentan la menor cantidad con solo 2 establecimientos cada una.</t>
  </si>
  <si>
    <t xml:space="preserve">La región de La Araucanía cuenta con Postas en todas sus comunas. Sin embargo, sólo cuenta con Hospitales de alta complejidad, en 3 comunas: Temuco, Victoria y Angol. </t>
  </si>
  <si>
    <t xml:space="preserve">La región de Los Lagos cuenta con Postas en todas sus comunas. Sin embargo, solo cuenta con Hospitales de alta complejidad, en 3 comunas: Puerto Montt, Osorno y Castro. </t>
  </si>
  <si>
    <t>La región de Aysén cuenta con 46 establecimientos de la salud. Las comunas con más establecimientos son Coihaique con 16 y Aysén con 8 establecimientos. Las comunas de Cochrane, Tortel y O´Higgins presentan solo 1 establecimiento cada una.</t>
  </si>
  <si>
    <t>La comuna de Punta Arenas es la que presenta mayor cantidad de establecimientos de salud en la región, llegando a 22, de estos 1 es Hospital de alta complejidad, 8 son CESFAM y 3 son SAPU.</t>
  </si>
  <si>
    <t>La región Metropolitana es la que cuenta con la mayor cantidad de establecimientos de salud en el país. Las comunas con mayor cantidad son: Providencia con 50, Santiago con 37 y La Florida con 27. Por otro lado, 13 comunas cuentan con hospitales de alta complejidad.</t>
  </si>
  <si>
    <t>La comuna de Valdivia es la que presenta mayor cantidad de establecimientos de salud en la región, llegando a 43, de estos 1 es Hospital de alta complejidad, 11 son CESFAM y 4 son SAPU.</t>
  </si>
  <si>
    <t xml:space="preserve">La región de Arica y Parinacota cuenta con 36 establecimientos de salud. La comuna de Arica presenta la mayor cantidad con 31. De estos 8 son CESFAM, 1 es SAPU y 1 es Hospital de complejidad. </t>
  </si>
  <si>
    <t>La región del Ñuble cuenta con 121 establecimientos de la salud, 33 se ubican en la comuna de Chillán y 12 en la comuna de San Carlos. Las comunas de Quirihue y San Nicolás cuentan con solo 2 establecimientos cada una.</t>
  </si>
  <si>
    <t>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t>
  </si>
  <si>
    <t>La región de Tarapacá cuenta con 64 establecimientos de salud, de ellos, 38 son establecimientos públicos que corresponden al 59,4% del total regional.</t>
  </si>
  <si>
    <t>La región de Antofagasta cuenta con 101 establecimientos de salud, de ellos, 57 son establecimientos privados que corresponden al 56,4% del total regional.</t>
  </si>
  <si>
    <t>La región de Coquimbo cuenta con 190 establecimientos de salud, de ellos, el 83,7% corresponde a establecimientos públicos.</t>
  </si>
  <si>
    <t>La región de Valparaíso cuenta con 274 establecimientos de salud, 216 son públicos y 58 privados, que corresponden al 78,8% y 21,2% respectivamente.</t>
  </si>
  <si>
    <t>La región de Maule presenta 310 establecimientos de salud, de ellos, el  82,6% corresponde a establecimientos públicos.</t>
  </si>
  <si>
    <t xml:space="preserve">En la región del Biobío el 80,7% de los establecimientos de salud son públicos, lo que equivale a 260 establecimientos. </t>
  </si>
  <si>
    <t>La región de La Araucanía presenta 327 establecimientos de salud, de ellos, el 88,7% corresponde a establecimientos públicos.</t>
  </si>
  <si>
    <t xml:space="preserve">En la región de Los Lagos el 85,2% de los establecimientos de salud son públicos, lo que equivale a 283 establecimientos. </t>
  </si>
  <si>
    <t xml:space="preserve">En la región Metropolitana el 72% de los establecimientos de salud son públicos, lo que equivale a 416 establecimientos. </t>
  </si>
  <si>
    <t>La región de Los Ríos cuenta con 141 establecimientos de salud, de ellos, el 78,0% corresponde a establecimientos públicos.</t>
  </si>
  <si>
    <t xml:space="preserve">En la región de Ñuble el 86% de los establecimientos de salud son públicos, lo que equivale a 104 establecimientos. </t>
  </si>
  <si>
    <t xml:space="preserve">En la región de Magallanes el 70,3% de los establecimientos de salud son públicos, lo que equivale a 26 establecimientos. </t>
  </si>
  <si>
    <t>En la región de Atacama el 65,3% de los establecimientos de salud son públicos, que equivalen a 47 establecimientos.</t>
  </si>
  <si>
    <t xml:space="preserve">En la región de O'Higgins el 75,6% de los establecimientos de salud son públicos, lo que equivale a 149 establecimientos. </t>
  </si>
  <si>
    <t xml:space="preserve">En la región de Aysén el 89,1% de los establecimientos de salud son públicos, lo que equivale a 41 establecimientos. </t>
  </si>
  <si>
    <t>La región de Tarapacá cuenta con 15 Postas y 15 CESFAM, entre los establecimientos públicos. En establecimientos privados, la mayoria corresponde a Laboratorio Clínicos o Dentales, con 13 establecimientos.</t>
  </si>
  <si>
    <t>Al observar los establecimientos públicos de la región de Ñuble, la mayoría corresponde a Postas y CESFAM, con 54 y 37 establecimientos respectivamente. En la categoría de establecimientos privados, la mayoría son Laboratorios Clínicos o Dentales, con 10 establecimientos.</t>
  </si>
  <si>
    <t>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t>
  </si>
  <si>
    <t>La región de Coquimbo cuenta con 96 Postas y 41 CESFAM, entre los establecimientos públicos. En establecimientos privados, la mayoria corresponde a Laboratorio Clínicos o Dentales, con 23 establecimientos.</t>
  </si>
  <si>
    <t>La región de Atacama cuenta con 20 CESFAM entre los establecimientos públicos. En establecimientos privados, la mayoría corresponde a Laboratorios Clínicos o Dentales, con 12 establecimientos.</t>
  </si>
  <si>
    <t>La región de Valparaíso cuenta con 100 CESFAM entre los establecimientos públicos. En establecimientos privados, la mayoria corresponde a Laboratorio Clínicos o Dentales, con 31 establecimientos.</t>
  </si>
  <si>
    <t>La región de O'Higgins cuenta con 79 Postas y 45 CESFAM, entre los establecimientos públicos. En establecimientos privados, la mayoria corresponde a Laboratorio Clínicos o Dentales, con 23 establecimientos.</t>
  </si>
  <si>
    <t>La región de Maule cuenta con 162 Postas entre los establecimientos públicos. En establecimientos privados, la mayoria corresponde a Laboratorio Clínicos o Dentales, con 31 establecimientos.</t>
  </si>
  <si>
    <t>La región de Maule cuenta con 162 Postas y 98 CESFAM, entre los establecimientos públicos. En establecimientos privados, la mayoria corresponde a Laboratorio Clínicos o Dentales, con 30 establecimientos.</t>
  </si>
  <si>
    <t>La región de La Araucanía cuenta con 188 Postas entre los establecimientos públicos. En establecimientos privados, la mayoria corresponde a Laboratorio Clínicos o Dentales, con 21 establecimientos.</t>
  </si>
  <si>
    <t>La región de Los Lagos cuenta con 187 Postas y 66 CESFAM, entre los establecimientos públicos. En establecimientos privados, la mayoria corresponde a Laboratorio Clínicos o Dentales, con 26 establecimientos.</t>
  </si>
  <si>
    <t>La región de Aysén cuenta con 28 Postas y 5 CESFAM, entre los establecimientos públicos. En establecimientos privados, la mayoria corresponde a Laboratorio Clínicos o Dentales, con 2 establecimientos.</t>
  </si>
  <si>
    <t>La región de Magallanes cuenta con 8 Postas y 9 CESFAM, entre los establecimientos públicos. En establecimientos privados, la mayoria corresponde a Laboratorio Clínicos o Dentales, con 6 establecimientos.</t>
  </si>
  <si>
    <t>La región Metropolitana cuenta con 578 establecimientos de salud, los cuales en su mayoría son públicos. De estos, 236 corresponden a CESFAM y 94 a SAPU. De los establecimientos privados existentes, 82 se encuentran dentro de la categoría de Clínicas.</t>
  </si>
  <si>
    <t>La región de Los Ríos cuenta con 58 Postas y 34 CESFAM, entre los establecimientos públicos. En establecimientos privados, la mayoria corresponde a Laboratorio Clínicos o Dentales, con 15 establecimientos.</t>
  </si>
  <si>
    <t>La región de Los Ríos cuenta con 7 Postas y 9 CESFAM, entre los establecimientos públicos. En establecimientos privados, la mayoria corresponde a Laboratorio Clínicos o Dentales, con 7 establecimientos.</t>
  </si>
  <si>
    <t>Las Postas son los establecimientos de la salud que más prevalecen en Chile, alcanzando un total de 1.128. Le siguen los CESFAM con un total de 863 establecimientos. Entre los establecimientos privados, la mayoría corresponden a Laboratorios Clínicos o Dentales y Clínicas.</t>
  </si>
  <si>
    <t>Las 10 comunas que cuentan con la mayor cantidad de farmacias se encuentran en las regiones dd Biobío, Maule, Metropolitana y Valparaíso. La gran maytyoría se concentra en la Región Metropolitana, específicamente en la comuna de Santiago.</t>
  </si>
  <si>
    <t>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t>
  </si>
  <si>
    <t>Las farmacias de turno son aquellas que atienden en horario nocturno por orden del SEREMI. En el mapa se observa aquellas comunas que registran farmacias de turno a la fecha, con el detalle de nombre y ubicación.</t>
  </si>
  <si>
    <t>La cantidad de farmacias de turno por región varía de acuerdo a la cantidad de comunas que la conforman. A nivel nacional las regiones con mayor cantidad de farmacias de turno se concentran en la zona central.</t>
  </si>
  <si>
    <t>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t>
  </si>
  <si>
    <t>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t>
  </si>
  <si>
    <t xml:space="preserve">En la región de Tarapacá, las comunas de Alto Hospicio, Iquique y Camiña presentan una variación negativa en la cantidad de Alumnos por Docente en Aula (disminuye la cantidad de alumnos por docente), con -0,5%, -0,7% y -9,0%, respectivamente, entre los años 2019 y 2020. </t>
  </si>
  <si>
    <t>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t>
  </si>
  <si>
    <t>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t>
  </si>
  <si>
    <t>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t>
  </si>
  <si>
    <t>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t>
  </si>
  <si>
    <t>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t>
  </si>
  <si>
    <t>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t>
  </si>
  <si>
    <t>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t>
  </si>
  <si>
    <t>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t>
  </si>
  <si>
    <t>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t>
  </si>
  <si>
    <t>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t>
  </si>
  <si>
    <t>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t>
  </si>
  <si>
    <t>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t>
  </si>
  <si>
    <t xml:space="preserve">Durante todo el periodo 2008 - 2020, los vehículos de la categoría "Automóvil y Station wagon" fueron los que tuvieron mayor cantidad de permisos de circulación a nivel nacional, siendo 3.560.396 para el año 2018 y de 3.720.395 para el año 2019.   </t>
  </si>
  <si>
    <t>La superficie total afectada por incendios forestales entre los años 2010 y 2020 en la Región de Tarapacá fue de 8,8 hectáreas. Durante la temporada 2019-2020 se afectaron 6,8 hectáreas en la región, siendo la causa general más recurrente reportada la de "Faenas forestales" con 5,5 hectáreas afectadas. De esta superficie, 5,0 hectáreas fueron clasificadas dentro de la causa específica "Quema ilegal con otros fines forestales (quema sanitaria  manejo de vida silvestre  etc.)" lo que representa un 90,9% de la Causa General.</t>
  </si>
  <si>
    <t>La superficie total afectada por incendios forestales entre los años 2010 y 2020 en la Región de Antofagasta fue de 54,3 hectáreas. Durante la temporada 2019-2020 se afectaron 54,3 hectáreas en la región, siendo la causa general más recurrente reportada la de "Incendios de causa desconocida" con 50,5 hectáreas afectadas. De esta superficie, 50,1 hectáreas fueron clasificadas dentro de la causa específica "Desconocida (se investiga pero no es posible establecer la causa origen)" lo que representa un 99,2% de la Causa General.</t>
  </si>
  <si>
    <t>La superficie total afectada por incendios forestales entre los años 2010 y 2020 en la Región de Atacama fue de 341,7 hectáreas. Durante la temporada 2015-2016 se afectaron 103,6 hectáreas en la región, siendo la causa general más recurrente reportada la de "Incendios de causa desconocida" con 103,6 hectáreas afectadas. De esta superficie, 103,6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</si>
  <si>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 Coquimbo fue de 7.960,1 hectáreas. Durante la temporada 2016-2017 se afectaron 3.639,8 hectáreas en la región, siendo la causa general más recurrente reportada la de "Accidentes eléctricos" con 3.160,9 hectáreas afectadas. De esta superficie, 3.106,2 hectáreas fueron clasificadas dentro de la causa específica "Corte de cable por otro accidente o acción no clasificada" lo que representa un 98,3% de la Causa General.</t>
  </si>
  <si>
    <t>La superficie total afectada por incendios forestales entre los años 2010 y 2020 en la Región de O'Higgins fue de 157.791,6 hectáreas. Durante la temporada 2016-2017 se afectaron 105.542,9 hectáreas en la región, siendo la causa general más recurrente reportada la de "Accidentes eléctricos" con 77.117,7 hectáreas afectadas. De esta superficie, 65.082,4 hectáreas fueron clasificadas dentro de la causa específica "Corte de cable por caída de tendido eléctrico o postación" lo que representa un 84,4% de la Causa General.</t>
  </si>
  <si>
    <t>La superficie total afectada por incendios forestales entre los años 2010 y 2020 en la Región de Maule fue de 357.099,6 hectáreas. Durante la temporada 2016-2017 se afectaron 252.561,7 hectáreas en la región, siendo la causa general más recurrente reportada la de "Incendios de causa desconocida" con 163.054,5 hectáreas afectadas. De esta superficie, 162.992,6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</si>
  <si>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del Biobío fue de 197.507,1 hectáreas. Durante la temporada 2016-2017 se afectaron 85.257,4 hectáreas en la región, siendo la causa general más recurrente reportada la de "Incendios intencionales" con 61.637,2 hectáreas afectadas. De esta superficie, 57.527,5 hectáreas fueron clasificadas dentro de la causa específica "Otros intencionales no clasificados" lo que representa un 93,3% de la Causa General.</t>
  </si>
  <si>
    <t>La superficie total afectada por incendios forestales entre los años 2010 y 2020 en la Región de La Araucanía fue de 179.491,8 hectáreas. Durante la temporada 2014-2015 se afectaron 45.971,9 hectáreas en la región, siendo la causa general más recurrente reportada la de "Incendios intencionales" con 24.923,4 hectáreas afectadas. De esta superficie, 6.214,2 hectáreas fueron clasificadas dentro de la causa específica "Provocado por persona bajo la influencia del alcohol y/o drogas" lo que representa un 24,9% de la Causa General.</t>
  </si>
  <si>
    <t>La superficie total afectada por incendios forestales entre los años 2010 y 2020 en la Región de Los Lagos fue de 15.540,1 hectáreas. Durante la temporada 2014-2015 se afectaron 4.933,6 hectáreas en la región, siendo la causa general más recurrente reportada la de "Confección y/o extracción productos secundarios del bosque" con 1.963,5 hectáreas afectadas. De esta superficie, 1.768,1 hectáreas fueron clasificadas dentro de la causa específica "Uso de fuego en faena de extracción de hongos y frutos (rosa mosqueta  frutilla  piñones  cocos de palma  miel de abeja  hongos otros)" lo que representa un 90,0% de la Causa General.</t>
  </si>
  <si>
    <t>La superficie total afectada por incendios forestales entre los años 2010 y 2020 en la Región de Aysén fue de 25.305,1 hectáreas. Durante la temporada 2018-2019 se afectaron 15.713,0 hectáreas en la región, siendo la causa general más recurrente reportada la de "Quema de desechos" con 15.145,5 hectáreas afectadas. De esta superficie, 15.145,0 hectáreas fueron clasificadas dentro de la causa específica "Quema de basuras  desechos vegetales u otros no clasificados (distintos de vertederos o basurales autorizados)" lo que representa un 100,0% de la Causa General.</t>
  </si>
  <si>
    <t>La superficie total afectada por incendios forestales entre los años 2010 y 2020 en la Región de Magallanes fue de 18.328,3 hectáreas. Durante la temporada 2011-2012 se afectaron 17.608,2 hectáreas en la región, siendo la causa general más recurrente reportada la de "Tránsito de personas  vehículos o aeronaves " con 17.606,6 hectáreas afectadas. De esta superficie, 17.606,5 hectáreas fueron clasificadas dentro de la causa específica "Uso de fuego por transeúntes" lo que representa un 100,0% de la Causa General.</t>
  </si>
  <si>
    <t>La superficie total afectada por incendios forestales entre los años 2010 y 2020 en la Región de Metropolitana fue de 101.995,0 hectáreas. Durante la temporada 2016-2017 se afectaron 53.235,7 hectáreas en la región, siendo la causa general más recurrente reportada la de "Otras actividades" con 21.424,3 hectáreas afectadas. De esta superficie, 20.268,6 hectáreas fueron clasificadas dentro de la causa específica "Soldadura y montaje de estructuras varias (torres de alta tensión  oleoductos  etc.)" lo que representa un 94,6% de la Causa General.</t>
  </si>
  <si>
    <t>La superficie total afectada por incendios forestales entre los años 2010 y 2020 en la Región de Los Ríos fue de 4.274,6 hectáreas. Durante la temporada 2015-2016 se afectaron 1.093,3 hectáreas en la región, siendo la causa general más recurrente reportada la de "Faenas agríolas y pecuarias" con 515,4 hectáreas afectadas. De esta superficie, 247,7 hectáreas fueron clasificadas dentro de la causa específica "Uso de fuego en zonas de faenas agropecuarias (alimentación y calefacción)" lo que representa un 48,1% de la Causa General.</t>
  </si>
  <si>
    <t>La superficie total afectada por incendios forestales entre los años 2010 y 2020 en la Región de Arica y Parinacota fue de 49,9 hectáreas. Durante la temporada 2018-2019 se afectaron 23,3 hectáreas en la región, siendo la causa general más recurrente reportada la de "Faenas forestales" con 23,1 hectáreas afectadas. De esta superficie, 11,7 hectáreas fueron clasificadas dentro de la causa específica "Quema ilegal con otros fines forestales (quema sanitaria  manejo de vida silvestre  etc.)" lo que representa un 50,7% de la Causa General.</t>
  </si>
  <si>
    <t>La superficie total afectada por incendios forestales entre los años 2010 y 2020 en la Región de Ñuble fue de 65.380,9 hectáreas. Durante la temporada 2016-2017 se afectaron 34.145,9 hectáreas en la región, siendo la causa general más recurrente reportada la de "Actividades recreativas" con 12.344,4 hectáreas afectadas. De esta superficie, 12.275,0 hectáreas fueron clasificadas dentro de la causa específica "Niños jugando con fuego" lo que representa un 99,4% de la Causa General.</t>
  </si>
  <si>
    <t>En los últimos 10 años (2010 y 2020) se produjeron en Chile un total de 63.974  incendios forestales que afectaron una superficie de 1.212.326,0 hectáreas. La causa más relevante en el periodo en comento fue la de "Incendios intencionales" con un total de 23.718 incendios forestales y una superficie afectada de 384.315,4 hectáreas en la región. La cifras anteriores permiten deducir que la superficie promedio por incendio a escala nacional asciende a 19,0 hectáreas/incendio.</t>
  </si>
  <si>
    <t xml:space="preserve">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"Faenas forestales"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t>
  </si>
  <si>
    <t xml:space="preserve">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"Incendios de causa desconocida"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t>
  </si>
  <si>
    <t xml:space="preserve">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"Incendios de causa desconocida"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t>
  </si>
  <si>
    <t xml:space="preserve">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"Accidentes eléctricos"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t>
  </si>
  <si>
    <t xml:space="preserve">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"Tránsito de personas  vehículos o aeronaves "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t>
  </si>
  <si>
    <t xml:space="preserve">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"Accidentes eléctricos"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t>
  </si>
  <si>
    <t xml:space="preserve">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"Incendios de causa desconocida"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t>
  </si>
  <si>
    <t xml:space="preserve">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"Incendios intencionales"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t>
  </si>
  <si>
    <t xml:space="preserve">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"Faenas forestales"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t>
  </si>
  <si>
    <t xml:space="preserve">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"Quema de desechos"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t>
  </si>
  <si>
    <t xml:space="preserve">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"Tránsito de personas  vehículos o aeronaves "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t>
  </si>
  <si>
    <t xml:space="preserve">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"Tránsito de personas  vehículos o aeronaves "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t>
  </si>
  <si>
    <t xml:space="preserve">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"Faenas agríolas y pecuarias"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t>
  </si>
  <si>
    <t xml:space="preserve">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"Faenas forestales"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t>
  </si>
  <si>
    <t xml:space="preserve">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"Incendios de causa desconocida"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t>
  </si>
  <si>
    <t xml:space="preserve">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"Incendios intencionales"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t>
  </si>
  <si>
    <t>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t>
  </si>
  <si>
    <t>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"Uso de fuego por transeúntes" . En cuanto a superficie, en la temporada 2016-2017 más de 84.002 hectáreas sufrieron incendios, siendo la causa mayoritaria la definida como "Otros intencionales no clasificados" (57.259,6 ha) lo que representa un 68,2% de la superficie afectada en la temporada mencionada.</t>
  </si>
  <si>
    <t>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t>
  </si>
  <si>
    <t>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t>
  </si>
  <si>
    <t>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t>
  </si>
  <si>
    <t>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t>
  </si>
  <si>
    <t>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t>
  </si>
  <si>
    <t>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t>
  </si>
  <si>
    <t>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t>
  </si>
  <si>
    <t>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t>
  </si>
  <si>
    <t>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t>
  </si>
  <si>
    <t>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t>
  </si>
  <si>
    <t>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t>
  </si>
  <si>
    <t>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t>
  </si>
  <si>
    <t>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t>
  </si>
  <si>
    <t>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t>
  </si>
  <si>
    <t>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t>
  </si>
  <si>
    <t>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t>
  </si>
  <si>
    <t>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t>
  </si>
  <si>
    <t>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t>
  </si>
  <si>
    <t>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t>
  </si>
  <si>
    <t>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t>
  </si>
  <si>
    <t>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t>
  </si>
  <si>
    <t>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t>
  </si>
  <si>
    <t>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t>
  </si>
  <si>
    <t>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t>
  </si>
  <si>
    <t>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t>
  </si>
  <si>
    <t>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t>
  </si>
  <si>
    <t>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t>
  </si>
  <si>
    <t>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t>
  </si>
  <si>
    <t>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t>
  </si>
  <si>
    <t>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t>
  </si>
  <si>
    <t>El pago de contribuciones de los predios agrícolas permite a los diferentes municipios financiar bienes y servicios comunitarios. En el año 2019, la comuna que contó con la mayor cantidad de predios agrícolas fue Los Ángeles, con 20.378, seguido de Padre las Casas, con 12.219.</t>
  </si>
  <si>
    <t>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t>
  </si>
  <si>
    <t>La cantidad de propiedades municipales en la región de Aysén, durante el periodo 2010-2019, en general tiene una tendencia al alza a nivel comunal. La mayor cantidad de propiedades a nivel municipal se observa el año 2015 en la municipalidad de Coihaique, con 100 propiedades.</t>
  </si>
  <si>
    <t>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t>
  </si>
  <si>
    <t>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t>
  </si>
  <si>
    <t>La cantidad de propiedades municipales en la región de Atacama, durante el periodo 2010-2019, en general se mantiene estable a nivel comunal. La mayor cantidad de propiedades a nivel municipal se observa el año 2015 en la municipalidad de Huasco, con 529 propiedades.</t>
  </si>
  <si>
    <t>La cantidad de propiedades municipales en la región de Coquimbo, durante el periodo 2010-2019, en general se mantiene estable a nivel comunal. La mayor cantidad de propiedades a nivel municipal se observa el año 2012 en la municipalidad de Coquimbo, con 1.523 propiedades.</t>
  </si>
  <si>
    <t>La cantidad de propiedades municipales en la región de Tarapacá, durante el periodo 2010-2019, en general presenta variaciones a nivel comunal. La mayor cantidad de propiedades a nivel municipal se observa el año 2019 en la municipalidad de Iquique, con 347 propiedades.</t>
  </si>
  <si>
    <t>La cantidad de propiedades municipales en la región de Antofagasta, durante el periodo 2010-2019, en general presenta variaciones a nivel comunal. La mayor cantidad de propiedades a nivel municipal se observa el año 2019 en la municipalidad de Antofagasta, con 353 propiedades.</t>
  </si>
  <si>
    <t>La cantidad de propiedades municipales en la región de Valparaíso, durante el periodo 2010-2019, en general se mantiene estable a nivel comunal. La mayor cantidad de propiedades a nivel municipal se observa el año 2010 en la municipalidad de Viña del Mar, con 1.438 propiedades.</t>
  </si>
  <si>
    <t>La cantidad de propiedades municipales en la región de O'Higgins, durante el periodo 2010-2019, en general tiene una tendencia al alza a nivel comunal. La mayor cantidad de propiedades a nivel municipal se observa el año 2019 en la municipalidad de Rancagua, con 352 propiedades.</t>
  </si>
  <si>
    <t>La cantidad de propiedades municipales en la región de Maule, durante el periodo 2010-2019, en general tiene una tendencia al alza a nivel comunal. La mayor cantidad de propiedades a nivel municipal se observa el año 2019 en la municipalidad de Talca, con 620 propiedades.</t>
  </si>
  <si>
    <t>La cantidad de propiedades municipales en la región del Biobío, durante el periodo 2010-2019, en general presenta variaciones a nivel comunal. La mayor cantidad de propiedades a nivel municipal se observa el año 2010 en la municipalidad de Concepción, con 589 propiedades.</t>
  </si>
  <si>
    <t>La cantidad de propiedades municipales en la región de La Araucanía, durante el periodo 2010-2019, en general tiene una tendencia al alza a nivel comunal. La mayor cantidad de propiedades a nivel municipal se observa el año 2013 en la municipalidad de Temuco, con 1.013 propiedades.</t>
  </si>
  <si>
    <t>La cantidad de propiedades municipales en la región de Los Ríos, durante el periodo 2010-2019, en general tiene una tendencia al alza a nivel comunal. La mayor cantidad de propiedades a nivel municipal se observa el año 2019 en la municipalidad de Valdivia, con 395 propiedades.</t>
  </si>
  <si>
    <t>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t>
  </si>
  <si>
    <t>La cantidad de propiedades municipales en la región de Ñuble, durante el periodo 2010-2019, en general tiene una tendencia al alza a nivel comunal. La mayor cantidad de propiedades a nivel municipal se observa el año 2019 en la municipalidad de Chillán, con 391 propiedades.</t>
  </si>
  <si>
    <t>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t>
  </si>
  <si>
    <t>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t>
  </si>
  <si>
    <t>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t>
  </si>
  <si>
    <t>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t>
  </si>
  <si>
    <t>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t>
  </si>
  <si>
    <t>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t>
  </si>
  <si>
    <t>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t>
  </si>
  <si>
    <r>
      <t>En el período comprendido desde el primer semestre del año 2015 hasta el segundo semestre del año 2021, se puede apreciar que la acumulación en exportaciones de productos de minería es más de</t>
    </r>
    <r>
      <rPr>
        <sz val="8"/>
        <color rgb="FFFF0000"/>
        <rFont val="Calibri"/>
        <family val="2"/>
        <scheme val="minor"/>
      </rPr>
      <t xml:space="preserve"> </t>
    </r>
    <r>
      <rPr>
        <sz val="8"/>
        <rFont val="Calibri"/>
        <family val="2"/>
        <scheme val="minor"/>
      </rPr>
      <t>238 miles de millones de dólares.</t>
    </r>
  </si>
  <si>
    <t>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t>
  </si>
  <si>
    <t>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t>
  </si>
  <si>
    <t>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t>
  </si>
  <si>
    <t>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t>
  </si>
  <si>
    <t>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t>
  </si>
  <si>
    <t>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t>
  </si>
  <si>
    <t>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t>
  </si>
  <si>
    <t>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t>
  </si>
  <si>
    <t>Las exportaciones desde la Región de Maule, durante el periodo 2015-2021, presenta un único valor el 4to trimestre de 2020, ascendiendo a 44.177 USD, los cuales fueron exportados por el puerto de Constitución.</t>
  </si>
  <si>
    <t>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t>
  </si>
  <si>
    <t>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t>
  </si>
  <si>
    <t>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t>
  </si>
  <si>
    <t>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t>
  </si>
  <si>
    <t>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t>
  </si>
  <si>
    <t>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t>
  </si>
  <si>
    <t>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t>
  </si>
  <si>
    <t>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t>
  </si>
  <si>
    <t>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t>
  </si>
  <si>
    <t xml:space="preserve">Las importaciones desde la Región de Atacama, durante el periodo 2015-2021, ingresaron principalmente por vía marítima y terrestre. El mayor volumen de importaciones se produjo el 4to trimestre de 2019, cuando ingresaron 1.540.654.751 Kg mediante transporte terrestre. </t>
  </si>
  <si>
    <t xml:space="preserve">Las importaciones desde la Región de Coquimbo, durante el periodo 2015-2021, ingresaron únicamente por vía marítima. El mayor volumen de importaciones se produjo el 2do trimestre 2019, cuando ingresaron 86.226.058 Kg. </t>
  </si>
  <si>
    <t>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t>
  </si>
  <si>
    <t>Las importaciones desde la Región de O'Higgins, durante el periodo 2015-2021, ingresaron únicamente por vía marítima. El mayor volumen de importaciones se produjo el 1er trimestre 2017, cuando ingresaron 2.209.483.994 Kg.</t>
  </si>
  <si>
    <t>Las importaciones desde la Región de Maule, durante el periodo 2015-2021, ingresaron únicamente por vía terrestre. El mayor volumen de importaciones se produjo el 4to trimestre de 2019, cuando ingresaron 1.893.934 Kg.</t>
  </si>
  <si>
    <t>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t>
  </si>
  <si>
    <t xml:space="preserve">Las importaciones desde la Región de Araucanía, durante el periodo 2015-2021, ingresaron únicamente por vía terrestre. El mayor volumen de importaciones se produjo el 4to trimestre de 2018, cuando ingresaron 171.205.327 Kg. </t>
  </si>
  <si>
    <t>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t>
  </si>
  <si>
    <t>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t>
  </si>
  <si>
    <t>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t>
  </si>
  <si>
    <t xml:space="preserve">Las importaciones desde la Región de Metropolitana, durante el periodo 2015-2021, ingresaron únicamente por vía aérea. El mayor volumen de importaciones se produjo el 4to trimestre de 2017, cuando ingresaron 348.131.004 Kg. </t>
  </si>
  <si>
    <t>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t>
  </si>
  <si>
    <t xml:space="preserve">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t>
  </si>
  <si>
    <t>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t>
  </si>
  <si>
    <t>Gráfico con la evolución de precios diarios, durante el año 2021, para las principales hortalizas (betarraga, brócoli, cebolla, choclo, espinaca, lechuga, papa, tomate, zanahoria y zapallo) en el mercado mayorista Femacal de La Calera en la Región de Valparaíso.</t>
  </si>
  <si>
    <t>Gráfico con la evolución de precios diarios, durante el año 2021, para las principales hortalizas (betarraga, brócoli, cebolla, choclo, espinaca, lechuga, papa, tomate, zanahoria y zapallo) en el mercado mayorista Macroferia Regional de Talca en la Región de Maule.</t>
  </si>
  <si>
    <t>Gráfico con la evolución de precios diarios, durante el año 2021, para las principales hortalizas (betarraga, brócoli, cebolla, choclo, espinaca, lechuga, papa, tomate, zanahoria y zapallo) en el mercado mayorista Vega Monumental de Concepción en la Región del Biobío.</t>
  </si>
  <si>
    <t>Gráfico con la evolución de precios diarios, durante el año 2021, para las principales hortalizas (betarraga, brócoli, cebolla, choclo, espinaca, lechuga, papa, tomate, zanahoria y zapallo) en el mercado mayorista Vega Modelo de Temuco en la Región de La Araucanía.</t>
  </si>
  <si>
    <t>Gráfico con la evolución de precios diarios, durante el año 2021, para las principales hortalizas (betarraga, brócoli, cebolla, choclo, espinaca, lechuga, papa, tomate, zanahoria y zapallo) en el mercado mayorista Feria Lagunitas de Puerto Montt en la Región de Los Lagos.</t>
  </si>
  <si>
    <t>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t>
  </si>
  <si>
    <t>Gráfico con la evolución de precios diarios, durante el año 2021, para las principales hortalizas (betarraga, brócoli, cebolla, choclo, espinaca, lechuga, papa, tomate, zanahoria y zapallo) en el mercado mayorista Agrícola del Norte S.A. en la Región de Arica y Parinacota.</t>
  </si>
  <si>
    <t>Gráfico con la evolución de precios diarios, durante el año 2021, para las principales hortalizas (betarraga, brócoli, cebolla, choclo, espinaca, lechuga, papa, tomate, zanahoria y zapallo) en el mercado mayorista Terminal Hortofrutícola Agro Chillán en la Región de Ñuble.</t>
  </si>
  <si>
    <t>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t>
  </si>
  <si>
    <t>Gráfico con la evolución de precios diarios, durante el año 2021, para las principales frutas (frutilla, kiwi, limón, manzana, naranja, palta, pera, plátano, pomelo y uva) en el mercado mayorista Femacal de La Calera en la Región de Valparaíso.</t>
  </si>
  <si>
    <t>Gráfico con la evolución de precios diarios, durante el año 2021, para las principales frutas (frutilla, kiwi, limón, manzana, naranja, palta, pera, plátano, pomelo y uva) en el mercado mayorista Macroferia Regional de Talca en la Región de Maule.</t>
  </si>
  <si>
    <t>Gráfico con la evolución de precios diarios, durante el año 2021, para las principales frutas (frutilla, kiwi, limón, manzana, naranja, palta, pera, plátano, pomelo y uva) en el mercado mayorista Vega Monumental de Concepción en la Región del Biobío.</t>
  </si>
  <si>
    <t>Gráfico con la evolución de precios diarios, durante el año 2021, para las principales frutas (frutilla, kiwi, limón, manzana, naranja, palta, pera, plátano, pomelo y uva) en el mercado mayorista Vega Modelo de Temuco en la Región de La Araucanía.</t>
  </si>
  <si>
    <t>Gráfico con la evolución de precios diarios, durante el año 2021, para las principales frutas (frutilla, kiwi, limón, manzana, naranja, palta, pera, plátano, pomelo y uva) en el mercado mayorista Feria Lagunitas de Puerto Montt en la Región de Los Lagos.</t>
  </si>
  <si>
    <t>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t>
  </si>
  <si>
    <t>Gráfico con la evolución de precios diarios, durante el año 2021, para las principales frutas (frutilla, kiwi, limón, manzana, naranja, palta, pera, plátano, pomelo y uva) en el mercado mayorista Agrícola del Norte S.A. en la Región de Arica y Parinacota.</t>
  </si>
  <si>
    <t>Gráfico con la evolución de precios diarios, durante el año 2021, para las principales frutas (frutilla, kiwi, limón, manzana, naranja, palta, pera, plátano, pomelo y uva) en el mercado mayorista Terminal Hortofrutícola Agro Chillán en la Región de Ñuble.</t>
  </si>
  <si>
    <t>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t>
  </si>
  <si>
    <t>La manzana es la fruta que más exportó Chile, durante el periodo 2012 – 2020, con un volumen de 7.943.218 ton. En segundo lugar quedó la uva, con un volumen de 7.410.345 ton durante el mismo periodo.</t>
  </si>
  <si>
    <t>En la Región de Tarapacá, durante el periodo 2018-2020, se produjeron 1.186 ton de fruta, siendo la totalidad de ella destinada al mercado interno.</t>
  </si>
  <si>
    <t>En la Región de Arica y Parinacota, durante el periodo 2018-2020, se produjeron 6,823 ton de fruta, siendo la totalidad de ella destinada al mercado interno.</t>
  </si>
  <si>
    <t>A nivel nacional, durante el periodo 2018-2020, se produjeron 1.074.750 ton de fruta. La mayor cantidad se destinó a Europa, específicamente un 25,9, seguido de Centro y Norte América con un 25,6%. Por su parte, un 23,5% fue destinado al mercado interno.</t>
  </si>
  <si>
    <t>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t>
  </si>
  <si>
    <t>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t>
  </si>
  <si>
    <t>En la Región de Valparaíso, durante el periodo 2018-2020, se produjeron 130.475 ton de fruta. La mayor cantidad se destinó a Asia, específicamente un 30,2%, seguido de Europa con un 28,5%. Por su parte, un 23,5% fue destinado al mercado interno.</t>
  </si>
  <si>
    <t>En la Región de O'Higgins, durante el periodo 2018-2020, se produjeron 339.942 ton de fruta. La mayor cantidad se destinó a Centro y Norte América, específicamente un 39,1%, seguido de Sudamérica con un 37%. Por su parte, un 14,1% fue destindo al mercado interno.</t>
  </si>
  <si>
    <t>En la Región de Maule, durante el periodo 2018-2020, se produjeron 201.180 ton de fruta. La mayor cantidad se destinó a Europa, específicamente un 45,5%, seguido de Centro y Norte América con un 33,8%. Por su parte, un 14.9% fue destinado al mercado interno.</t>
  </si>
  <si>
    <t>En la Región de Biobío, durante el periodo 2018-2020, se produjeron 4.504 ton de fruta. La mayor cantidad se destinó a Europa, específicamente un 49,6%, seguido de Asia con un 32,4%. Por su parte, el 18% restante fue destinado al mercado interno.</t>
  </si>
  <si>
    <t>En la Región de La Araucanía, durante el periodo 2018-2020, se produjeron 9.913 ton de fruta. La mayor cantidad se destinó al mercado interno, específicamente un 87,1%. Por su parte, el 12.9% restante fue destinado a Europa.</t>
  </si>
  <si>
    <t xml:space="preserve">En la Región de Los Lagos, durante el periodo 2018-2020, se produjeron 4,998 ton de fruta. La mayor cantidad se destinó a Centro y Norte América, específicamente un 95%. Por su parte, el 5% restante fue destinado al mercado interno. </t>
  </si>
  <si>
    <t>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t>
  </si>
  <si>
    <t>En la Región de Los Ríos, durante el periodo 2018-2020, se produjeron 24.783 ton de fruta. La mayor cantidad se destinó a Europa, específicamente un 92%. Por su parte, el 8% restante fue destinado al mercado interno.</t>
  </si>
  <si>
    <t>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t>
  </si>
  <si>
    <t xml:space="preserve">En la región de Atacama, durante el periodo 2010-2019, la superficie plantada de lechuga alcanzó su máximo el año 2018, con 52 ha. Por su parte, el mínimo de superficie plantada ocurrió el año 2016, con solo 18 ha plantadas a nivel regional. </t>
  </si>
  <si>
    <t xml:space="preserve">En la región de Coquimbo, durante el periodo 2010-2019, la superficie plantada de lechuga alcanzó su máximo el año 2018, con 2.619 ha. Por su parte, el mínimo de superficie plantada ocurrió el año 2016, con solo 1.415 ha plantadas a nivel regional. </t>
  </si>
  <si>
    <t xml:space="preserve">En la región de Valparaíso, durante el periodo 2010-2019, la superficie plantada de lechuga alcanzó su máximo el año 2016, con 1.441 ha. Por su parte, el mínimo de superficie plantada ocurrió el año 2012, con solo 820 ha plantadas a nivel regional. </t>
  </si>
  <si>
    <t xml:space="preserve">En la región de O'Higgins, durante el periodo 2010-2019, la superficie plantada de lechuga alcanzó su máximo el año 2018, con 152 ha. Por su parte, el mínimo de superficie plantada ocurrió el año 2015, con solo 83 ha plantadas a nivel regional. </t>
  </si>
  <si>
    <t xml:space="preserve">En la región de Maule, durante el periodo 2010-2019, la superficie plantada de lechuga alcanzó su máximo el año 2019, con 600 ha. Por su parte, el mínimo de superficie plantada ocurrió el año 2011, con solo 402 ha plantadas a nivel regional. </t>
  </si>
  <si>
    <t xml:space="preserve">En la región del Biobío, durante el periodo 2010-2019, la superficie plantada de lechuga alcanzó su máximo el año 2016, con 202 ha. Por su parte, el mínimo de superficie plantada ocurrió el año 2010, con solo 90 ha plantadas a nivel regional. </t>
  </si>
  <si>
    <t>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t>
  </si>
  <si>
    <t xml:space="preserve">En la región Metropolitana, durante el periodo 2010-2019, la superficie plantada de lechuga alcanzó su máximo el año 2010, con 3.364 ha. Por su parte, el mínimo de superficie plantada ocurrió el año 2015, con solo 1.739 ha plantadas a nivel regional. </t>
  </si>
  <si>
    <t xml:space="preserve">En la región de Arica y Parinacota, durante el periodo 2010-2019, la superficie plantada de lechuga alcanzó su máximo el año 2018, con 101 ha. Por su parte, el mínimo de superficie plantada ocurrió el año 2011, con solo 40 ha plantadas a nivel regional. </t>
  </si>
  <si>
    <t>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t>
  </si>
  <si>
    <t>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t>
  </si>
  <si>
    <t>La fruta más exportada desde la Región de Atacama, durante el periodo 2012-2020, es la mandarina, alcanzando su máximo valor de exportación el año 2015, equivalentes a 228.230.066 USD.</t>
  </si>
  <si>
    <t>La fruta más exportada desde la Región de Coquimbo, durante el periodo 2012-2020, es la uva, alcanzando su máximo valor de exportación el año 2014, equivalentes a 412.786.476 USD.</t>
  </si>
  <si>
    <t>La fruta más exportada desde la Región de Valparaíso, durante el periodo 2012-2020, es la uva, alcanzando su máximo valor de exportación el año 2014, equivalentes a 553.402.145 USD.</t>
  </si>
  <si>
    <t>La fruta más exportada desde la Región de O'Higgins, durante el periodo 2012-2020, es la cereza, alcanzando su máximo valor de exportación el año 2019, equivalentes a 1.128.590.971 USD.</t>
  </si>
  <si>
    <t>La fruta más exportada desde la Región de Maule, durante el periodo 2012-2020, es la manzana, alcanzando su máximo valor de exportación el año 2014, equivalentes a 478.548.714 USD.</t>
  </si>
  <si>
    <t>La fruta más exportada desde la Región de Biobío, durante el periodo 2012-2020, es el arándano, alcanzando su máximo valor de exportación el año 2018, equivalentes a 141.092.639 USD.</t>
  </si>
  <si>
    <t>La fruta más exportada desde la Región de La Araucanía, durante el periodo 2012-2020, es la manzana, alcanzando su máximo valor de exportación el año 2014, equivalentes a 77.051.940 USD.</t>
  </si>
  <si>
    <t>La fruta más exportada desde la Región de Los Lagos, durante el periodo 2012-2020, es el arándano, alcanzando su máximo valor de exportación el año 2014, equivalentes a 39.414.028 USD.</t>
  </si>
  <si>
    <t>La fruta más exportada desde la Región de Aysén, durante el periodo 2012-2020, es la cereza, alcanzando su máximo valor de exportación el año 2019, equivalentes a 4.534.177 USD.</t>
  </si>
  <si>
    <t>La fruta más exportada desde la Región de Magallanes, durante el periodo 2012-2020, es la nuez, alcanzando su máximo valor de exportación el año 2016, equivalentes a 82.500 USD.</t>
  </si>
  <si>
    <t>La fruta más exportada desde la Región de Metropolitana, durante el periodo 2012-2020, es la uva, alcanzando su máximo valor de exportación el año 2013, equivalentes a 332.274.928 USD.</t>
  </si>
  <si>
    <t>La fruta más exportada desde la Región de Los Ríos, durante el periodo 2012-2020, es el arándano, alcanzando su máximo valor de exportación el año 2020, equivalentes a 56.962.267 USD.</t>
  </si>
  <si>
    <t>La fruta más exportada desde la Región de Ñuble, durante el periodo 2012-2020, es el arándano, alcanzando su máximo valor de exportación el año 2020, equivalentes a 67.323.677 USD.</t>
  </si>
  <si>
    <t xml:space="preserve">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t>
  </si>
  <si>
    <t>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t>
  </si>
  <si>
    <t>La producción agrícola en la región de Valparaíso ha tenido variaciones durante las 40 temporadas registradas. El máximo de producción se alcanzó en la temporada 1986/87 con 73.067 ton. Desde el año 2013 se verifica una caída significativa, descendiendo hasta las 3.877 ton.</t>
  </si>
  <si>
    <t>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t>
  </si>
  <si>
    <t>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t>
  </si>
  <si>
    <t>La producción agrícola en la región del Biobío tuvo una tendencia al alza durante 32 temporadas. El máximo de producción se alcanzó en la temporada 2012/13 con 2.494.698 ton. En el año 2016, se verifica una rápida caída, descendiendo hasta las 772.897 ton en el año 2020.</t>
  </si>
  <si>
    <t>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t>
  </si>
  <si>
    <t>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t>
  </si>
  <si>
    <t>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t>
  </si>
  <si>
    <t>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t>
  </si>
  <si>
    <t>La producción agrícola en la región de Ñuble alcanzó su máximo de producción en la temporada 2017/18 con 1.576.401 ton. En el año 2020, se verifica una producción de 1.241.979 ton. Cabe destacar que no existen datos previo a la existencia de la región.</t>
  </si>
  <si>
    <t>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t>
  </si>
  <si>
    <t>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t>
  </si>
  <si>
    <t>La fruta más exportada desde la Región de Arica y Parinacota, durante el periodo 2012-2020, es la nuez, alcanzando su máximo valor de exportación el año 2019, equivalentes a 1.128.109 USD.</t>
  </si>
  <si>
    <t>La fruta más exportada desde la Región de Tarapacá, durante el periodo 2012-2020, es la uva, alcanzando su máximo valor de exportación el año 2013, equivalente a 7.666.197 USD.</t>
  </si>
  <si>
    <t>La fruta más exportada desde la Región de Antofagasta, durante el periodo 2012-2020, es la uva, alcanzando su máximo valor de exportación el año 2018, equivalente a 1.338.745 USD.</t>
  </si>
  <si>
    <t>A nivel nacional, los casos confirmados de VIH/SIDA de acuerdo al Programa de VIH/SIDA, fueron en aumento durante el periodo 2012-2018, marcándose una diferencia en la cantidad de casos de acuerdo al sexo, siendo los hombres los que presentaron más de la mitad de casos.</t>
  </si>
  <si>
    <t>En la región de Tarapacá, para el año 2012 la población en control en el programa VIH/SIDA fue de 289 hombres y 84 mujeres, mientras que para el año 2018 fue de 548 hombres y 164 mujeres.</t>
  </si>
  <si>
    <t>En la región de Antofagasta, para el año 2012 la población en control en el programa VIH/SIDA fue de 459 hombres y 122 mujeres, mientras que para el año 2018 fue de 963 hombres y 245 mujeres.</t>
  </si>
  <si>
    <t>En la región de Atacama, para el año 2012 la población en control en el programa VIH/SIDA fue de 183 hombres y 68 mujeres, mientras que para el año 2018 fue de 363 hombres y 128 mujeres.</t>
  </si>
  <si>
    <t>En la región de Coquimbo, para el año 2012 la población en control en el programa VIH/SIDA fue de 528 hombres y 173 mujeres, mientras que para el año 2018 fue de 1.173 hombres y 334 mujeres.</t>
  </si>
  <si>
    <t>En la región de Valparaíso, para el año 2012 la población en control en el programa VIH/SIDA fue de 2.227 hombres y 632 mujeres, mientras que para el año 2018 fue de 2.745 hombres y 592 mujeres.</t>
  </si>
  <si>
    <t>En la región de O'Higgins, para el año 2012 la población en control en el programa VIH/SIDA fue de 334 hombres y 102 mujeres, mientras que para el año 2018 fue de 854 hombres y 222 mujeres.</t>
  </si>
  <si>
    <t>En la región del Maule, para el año 2012 la población en control en el programa VIH/SIDA fue de 358 hombres y 147 mujeres, mientras que para el año 2018 fue de 883 hombres y 319 mujeres.</t>
  </si>
  <si>
    <t>En la región del Biobío, para el año 2012 la población en control en el programa VIH/SIDA fue de 830 hombres y 146 mujeres, mientras que para el año 2018 fue de 1.950 hombres y 326 mujeres.</t>
  </si>
  <si>
    <t>En la región de La Araucanía, para el año 2012 la población en control en el programa VIH/SIDA fue de 289 hombres y 84 mujeres, mientras que para el año 2018 fue de 548 hombres y 164 mujeres.</t>
  </si>
  <si>
    <t>En la región de Los Lagos, para el año 2012 la población en control en el programa VIH/SIDA fue de 560 hombres y 116 mujeres, mientras que para el año 2018 fue de 1.223 hombres y 317 mujeres.</t>
  </si>
  <si>
    <t>En la región de Aysén, para el año 2012 la población en control en el programa VIH/SIDA fue de 7 hombres y 1 mujeres, mientras que para el año 2018 fue de 83 hombres y 32 mujeres.</t>
  </si>
  <si>
    <t>En la región de Magallanes, para el año 2012 la población en control en el programa VIH/SIDA fue de 120 hombres y 25 mujeres, mientras que para el año 2018 fue de 34 hombres y 2 mujeres.</t>
  </si>
  <si>
    <t>En la región Metropolitana, para el año 2012 la población en control en el programa VIH/SIDA fue de 8.057 hombres y 1.117 mujeres, mientras que para el año 2018 fue de 16.660 hombres y 2.601 mujeres.</t>
  </si>
  <si>
    <t>En la región de Los Ríos, para el año 2012 la población en control en el programa VIH/SIDA fue de 211 hombres y 64 mujeres, mientras que para el año 2018 fue de 412 hombres y 109 mujeres.</t>
  </si>
  <si>
    <t>En la región de Arica y Parinacota, para el año 2012 la población en control en el programa VIH/SIDA fue de 373 hombres y 135 mujeres, mientras que para el año 2018 fue de 701 hombres y 242 mujeres.</t>
  </si>
  <si>
    <t>En la región de Ñuble, para el año 2012 la población en control en el programa VIH/SIDA fue de 139 hombres y 27 mujeres, mientras que para el año 2018 fue de 304 hombres y 67 mujeres.</t>
  </si>
  <si>
    <t>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t>
  </si>
  <si>
    <t xml:space="preserve">En la región de Tarapacá, el año 2012 la comuna de Iquique registró 373 pacientes en el programa VIH/SIDA. El año 2018 esta cifra aumenta registrando 712 pacientes. </t>
  </si>
  <si>
    <t xml:space="preserve">En la región de Antofagasta, el año 2012, la comuna de Antofagasta registra 428  pacientes en el programa VIH/SIDA , y la comuna de Calama 153. El año 2018, estas cifras aumentan, registrando 932 pacientes en la comuna de Antofagasta y 276 en la comuna de Calama. </t>
  </si>
  <si>
    <t>En la región de Atacama, el año 2012 la comuna de Copiapó registra 251 pacientes en el programa VIH/SIDA. El año 2018 esta cifra aumenta registrando 491  pacientes.</t>
  </si>
  <si>
    <t>En la región de Coquimbo, el año 2012 la comuna de Coquimbo registra 353 pacientes en el programa VIH/SIDA, y la comuna de La Serena 309. El año 2018, estas cifras aumentan, registrando 845 pacientes en la comuna de Coquimbo y 662 en la comuna de Calama.</t>
  </si>
  <si>
    <t>En la región de Valparaíso, el año 2012 la comuna Valparaíso registra 1.698 pacientes  en el programa VIH/SIDA y la comuna Viña del Mar 896. El año 2018, estas cifras aumentan, registrando 1.824 en la comuna de Viña del Mar y 1.327 en la comuna de Valparaíso.</t>
  </si>
  <si>
    <t>En la región de O'Higgins, el año 2012 la comuna de Rancagua registra 436 pacientes en el programa VIH/SIDA. El año 2018 esta cifra aumenta registrando 980 pacientes.</t>
  </si>
  <si>
    <t>En la región del Maule, el año 2012, la comuna de Talca registra 308 pacientes en el programa en el programa VIH/SIDA y la  comuna de Curicó 114. El año 2018, estas cifras aumentan, registrando 708 pacientes en la comuna de Talca y 309 en la comuna de Curicó.</t>
  </si>
  <si>
    <t>En la región del Biobío, el año 2012, la comuna de Concepción registra 849 pacientes en el programa en el programa VIH/SIDA y la  comuna de Los Ángeles 109. El año 2018, estas cifras aumentan, registrando 1.285 pacientes en la comuna de Concepción y 618 en la comuna de Talcahuano.</t>
  </si>
  <si>
    <t>En la región de La Araucanía, el año 2012 la comuna de Temuco registra 558 pacientes en el programa VIH/SIDA. El año 2018 esta cifra aumenta registrando 989 pacientes.</t>
  </si>
  <si>
    <t>En la región de Los Lagos, el año 2012, la comuna de Puerto Montt registra 413 pacientes en el programa en el programa VIH/SIDA y la comuna de Osorno 220. El año 2018, estas cifras aumentan, registrando 871 pacientes en la comuna de Puerto Montt y 497 en la comuna de Osorno.</t>
  </si>
  <si>
    <t>En la región de Aysén, el año 2012 la comuna de Coyhaique registra 8 pacientes en el programa VIH/SIDA. El año 2018 esta cifra aumenta registrando 115 pacientes.</t>
  </si>
  <si>
    <t>En la región de Magallanes, el año 2012 la comuna de Punta Arenas registra 145 pacientes en el programa VIH/SIDA. El año 2018 esta cifra disminuye registrando 36 pacientes.</t>
  </si>
  <si>
    <t>En la región Metropolitana, el año 2012, la comuna de Santiago registra 2.736 pacientes en el programa en el programa VIH/SIDA y la  comuna de providencia 2.724. El año 2018, estas cifras aumentan, registrando 7007 pacientes en la comuna de Santiago y 3.546 en la comuna de providencia.</t>
  </si>
  <si>
    <t>En la región de Los Ríos, el año 2012 la comuna de Valdivia registra 275 pacientes en el programa VIH/SIDA. El año 2018 esta cifra aumenta registrando 521 pacientes.</t>
  </si>
  <si>
    <t>En la región de Arica y Parinacota, el año 2012 la comuna de Arica registra 508 pacientes en el programa VIH/SIDA. El año 2018 esta cifra aumenta registrando 943 pacientes.</t>
  </si>
  <si>
    <t>En la región de Ñuble, el año 2012 la comuna de Chillán registra 166 pacientes en el programa VIH/SIDA. El año 2018 esta cifra aumenta registrando 371 pacientes.</t>
  </si>
  <si>
    <t>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t>
  </si>
  <si>
    <t xml:space="preserve">La región de Tarapacá, registró 373 pacientes  en el programa de VIH/SIDA, el año 2012. El año 2018 esta cifra aumenta registrando 712 pacientes. </t>
  </si>
  <si>
    <t xml:space="preserve">La región de Antofagasta, registró 581 pacientes  en el programa de VIH/SIDA, el año 2012. El año 2018 esta cifra aumenta registrando 1.208 pacientes. </t>
  </si>
  <si>
    <t xml:space="preserve">La región de Atacama, registró 251 pacientes  en el programa de VIH/SIDA, el año 2012. El año 2018 esta cifra aumenta registrando 491 pacientes. </t>
  </si>
  <si>
    <t xml:space="preserve">La región de Coquimbo, registró 701 pacientes  en el programa de VIH/SIDA, el año 2012. El año 2018 esta cifra aumenta registrando 1.507 pacientes. </t>
  </si>
  <si>
    <t xml:space="preserve">La región de Valparaíso, registró 2.859 pacientes  en el programa de VIH/SIDA, el año 2012. El año 2018 esta cifra aumenta registrando 3.337 pacientes. </t>
  </si>
  <si>
    <t xml:space="preserve">La región de O'Higgins, registró 436 pacientes  en el programa de VIH/SIDA, el año 2012. El año 2018 esta cifra aumenta registrando 1.076 pacientes. </t>
  </si>
  <si>
    <t xml:space="preserve">La región de Maule, registró 505 pacientes  en el programa de VIH/SIDA, el año 2012. El año 2018 esta cifra aumenta registrando 1.202 pacientes. </t>
  </si>
  <si>
    <t xml:space="preserve">La región de La Araucanía, registró 578 pacientes  en el programa de VIH/SIDA, el año 2012. El año 2018 esta cifra aumenta registrando 1.112 pacientes. </t>
  </si>
  <si>
    <t xml:space="preserve">La región de Los Lagos, registró 679 pacientes  en el programa de VIH/SIDA, el año 2012. El año 2018 esta cifra aumenta registrando 1.540 pacientes. </t>
  </si>
  <si>
    <t xml:space="preserve">La región de Aysén, registró 8 pacientes  en el programa de VIH/SIDA, el año 2012. El año 2018 esta cifra aumenta registrando 115 pacientes. </t>
  </si>
  <si>
    <t xml:space="preserve">La región de Magallanes, registró 145 pacientes  en el programa de VIH/SIDA, el año 2012. El año 2018 esta cifra disminuye registrando 36 pacientes. </t>
  </si>
  <si>
    <t xml:space="preserve">La región Metropolitana, registró 9.174 pacientes  en el programa de VIH/SIDA, el año 2012. El año 2018 esta cifra aumenta registrando 19.261 pacientes. </t>
  </si>
  <si>
    <t xml:space="preserve">La región de Los Ríos, registró 275 pacientes  en el programa de VIH/SIDA, el año 2012. El año 2018 esta cifra aumenta registrando 521 pacientes. </t>
  </si>
  <si>
    <t xml:space="preserve">La región de Arica y Parinacota, registró 508 pacientes  en el programa de VIH/SIDA, el año 2012. El año 2018 esta cifra aumenta registrando 943 pacientes. </t>
  </si>
  <si>
    <t xml:space="preserve">La región de Ñuble, registró 166 pacientes  en el programa de VIH/SIDA, el año 2012. El año 2018 esta cifra aumenta registrando 371 pacientes. </t>
  </si>
  <si>
    <t xml:space="preserve">La Población en el Programa VIH/SIDA ha ido en aumento, registrando el año 2018 más de 35 mil casos. En todo el periodo 2012-2018, el rango etario de 25-64 año registra la mayor cantidad de casos acumulados, con aproximadamente 80%. Por otro lado, el rango etario "menos de un año - 1 año" registra la menor cantidad de casos, con un 0,1%, que corresponde a 87 pacientes. </t>
  </si>
  <si>
    <t>En la región de Tarapacá, durante el periodo 2012-2018, el rango etario de 25-64 años registra la mayor cantidad de pacientes en el Programa de VIH/SIDA, mientras que los rangos etarios de “menos de un año - 1 año” y de 10 - 14 años registran la menor cantidad de casos.</t>
  </si>
  <si>
    <t>En la región de Antofagasta, durante el periodo 2012-2018, el rango etario de 25-64 años registra la mayor cantidad de pacientes en el Programa de VIH/SIDA, mientras que los rangos etarios de “menos de un año - 1 año” y de 10 - 14 años registran la menor cantidad de casos.</t>
  </si>
  <si>
    <t>En la región de Atacama, durante el periodo 2012-2018, el rango etario de 25-64 años registra la mayor cantidad de pacientes en el Programa de VIH/SIDA, mientras que los rangos etarios de “menos de un año - 1 año” y de 10 - 14 años registran la menor cantidad de casos.</t>
  </si>
  <si>
    <t>En la región de Coquimbo, durante el periodo 2012-2018, el rango etario de 25-64 años registra la mayor cantidad de pacientes en el Programa de VIH/SIDA, mientras que los rangos etarios de “menos de un año - 1 año” y de 2 - 9 años registran la menor cantidad de casos.</t>
  </si>
  <si>
    <t>En la región de Valparaíso, durante el periodo 2012-2018, el rango etario de 25-64 años registra la mayor cantidad de pacientes en el Programa de VIH/SIDA, mientras que los rangos etarios de “menos de un año - 1 año” y de 2 - 9 años registran la menor cantidad de casos.</t>
  </si>
  <si>
    <t>En la región de O'Higgins, durante el periodo 2012-2018, el rango etario de 25-64 años registra la mayor cantidad de pacientes en el Programa de VIH/SIDA, mientras que los rangos etarios de “menos de un año - 1 año” y de 2 - 9 años registran la menor cantidad de casos.</t>
  </si>
  <si>
    <t>En la región de Maule, durante el periodo 2012-2018, el rango etario de 25-64 años registra la mayor cantidad de pacientes en el Programa de VIH/SIDA, mientras que los rangos etarios de “menos de un año - 1 año” y de 2 - 9 años registran la menor cantidad de casos.</t>
  </si>
  <si>
    <t>En la región de La Araucanía, durante el periodo 2012-2018, el rango etario de 25-64 años registra la mayor cantidad de pacientes en el Programa de VIH/SIDA, mientras que los rangos etarios de “menos de un año - 1 año” y de 10 - 14 años registran la menor cantidad de casos.</t>
  </si>
  <si>
    <t>En la región de Los Lagos, durante el periodo 2012-2018, el rango etario de 25-64 años registra la mayor cantidad de pacientes en el Programa de VIH/SIDA, mientras que los rangos etarios de “menos de un año - 1 año” y de 2 - 9 años registran la menor cantidad de casos.</t>
  </si>
  <si>
    <t>En la región de Aysén, durante el periodo 2012-2018, el rango etario de 25-64 años registra la mayor cantidad de pacientes en el Programa de VIH/SIDA, mientras que los rangos etarios de “menos de un año - 1 año” y de 10 - 14 años registran la menor cantidad de casos.</t>
  </si>
  <si>
    <t>En la región de Magallanes, durante el periodo 2012-2018, el rango etario de 25-64 años registra la mayor cantidad de pacientes en el Programa de VIH/SIDA, mientras que los rangos etarios de “menos de un año - 1 año” y de 2 - 9 años registran la menor cantidad de casos.</t>
  </si>
  <si>
    <t>En la región Metropolitana, durante el periodo 2012-2018, el rango etario de 25-64 años registra la mayor cantidad de pacientes en el Programa de VIH/SIDA, mientras que los rangos etarios de “menos de un año - 1 año” y de 2 - 9 años registran la menor cantidad de casos.</t>
  </si>
  <si>
    <t>En la región de Los Ríos, durante el periodo 2012-2018, el rango etario de 25-64 años registra la mayor cantidad de pacientes en el Programa de VIH/SIDA, mientras que los rangos etarios de “menos de un año - 1 año” y de 10 - 14 años registran la menor cantidad de casos.</t>
  </si>
  <si>
    <t>En la región de Arica y Parinacota, durante el periodo 2012-2018, el rango etario de 25-64 años registra la mayor cantidad de pacientes en el Programa de VIH/SIDA, mientras que los rangos etarios de “menos de un año - 1 año” y de 10 - 14 años registran la menor cantidad de casos.</t>
  </si>
  <si>
    <t>En la región de Ñuble, durante el periodo 2012-2018, el rango etario de 25-64 años registra la mayor cantidad de pacientes en el Programa de VIH/SIDA, mientras que los rangos etarios de “menos de un año - 1 año” y de 10 - 14 años registran la menor cantidad de casos.</t>
  </si>
  <si>
    <t xml:space="preserve">En la región de Tarapacá, el año 2013 registra la mayor cantidad de casos de Cáncer de Cuello Uterino, con 24 casos. Por otro lado, el menor número de casos se registra el año 2015 con tan sólo 1 caso. </t>
  </si>
  <si>
    <t xml:space="preserve">En la región de Antofagasta, el año 2014 registra la mayor cantidad de casos de Cáncer de Cuello Uterino, con 8 casos. Por otro lado, el menor número de casos se registra el año 2015 con tan sólo 1 caso. </t>
  </si>
  <si>
    <t xml:space="preserve">En la región de Atacama, los años 2012, 2014, 2016 y 2017 registran la mayor cantidad de casos de Cáncer de Cuello Uterino, con 2 casos cada año. Por otro lado, el menor número de casos se registran en los años 2013 y 2015 con 0 (cero) casos. </t>
  </si>
  <si>
    <t xml:space="preserve">En la región de Coquimbo, el año 2012 registra la mayor cantidad de casos de Cáncer de Cuello Uterino, con 72 casos. Por otro lado, el menor número de casos se registra el año 2015 con 11 casos. </t>
  </si>
  <si>
    <t xml:space="preserve">En la región de Valparaíso, el año 2016 registra la mayor cantidad de casos de Cáncer de Cuello Uterino, con 51 casos. Por otro lado, el menor número de casos se registra el año 2012 con 15 casos. </t>
  </si>
  <si>
    <t xml:space="preserve">En la región de O'Higgins, el año 2012 registra la mayor cantidad de casos de Cáncer de Cuello Uterino, con 34 casos. Por otro lado, el menor número de casos se registra el año 2018 con tan sólo 1 caso. </t>
  </si>
  <si>
    <t xml:space="preserve">En la región del Maule, el año 2012 registra la mayor cantidad de casos de Cáncer de Cuello Uterino, con 10 casos. Por otro lado, el menor número de casos se registran en los años 2016, 2017 y 2018 con tan sólo 1 caso cada año. </t>
  </si>
  <si>
    <t xml:space="preserve">En la región del Biobío, el año 2015 registra la mayor cantidad de casos de Cáncer de Cuello Uterino, con 65 casos. Por otro lado, el menor número de casos se registra el año 2012 con 15 casos. </t>
  </si>
  <si>
    <t xml:space="preserve">En la región de La Araucanía, el año 2016 registra la mayor cantidad de casos de Cáncer de Cuello Uterino, con 34 casos. Por otro lado, el menor número de casos se registra el año 2011 con 6 casos. </t>
  </si>
  <si>
    <t xml:space="preserve">En la región de Los Lagos, el año 2011 registra la mayor cantidad de casos de Cáncer de Cuello Uterino, con 15 casos. Por otro lado, el menor número de casos se registra el año 2015 con 6 casos. </t>
  </si>
  <si>
    <t xml:space="preserve">En la región de Aysén, los años 2011, 2014, 2017 y 2018 registran la mayor cantidad de casos de Cáncer de Cuello Uterino, con 2 casos para cada año. Por otro lado, el menor número de casos se registran en los años 2012, 2013 y 2016 con cero casos. </t>
  </si>
  <si>
    <t xml:space="preserve">En la región de Magallanes, el año 2011 registra la mayor cantidad de casos de Cáncer de Cuello Uterino, con 4 casos. Por otro lado, el menor número de casos registrados fueron 2 casos. </t>
  </si>
  <si>
    <t xml:space="preserve">En la región Metropolitana, los años 2011 y 212 registran la mayor cantidad de casos de Cáncer de Cuello Uterino, con 81 casos cada año. Por otro lado, el menor número de casos se registra el año 2017 con 52 casos. </t>
  </si>
  <si>
    <t xml:space="preserve">En la región de Los Ríos, el año 2016 registra la mayor cantidad de casos de Cáncer de Cuello Uterino, con 9 casos. Por otro lado, el menor número de casos se registra el año 2012 con 2 casos. </t>
  </si>
  <si>
    <t xml:space="preserve">En la región de Arica y Parinacota, el año 2015 registra la mayor cantidad de casos de Cáncer de Cuello Uterino, con 16 casos. Por otro lado, el menor número de casos se registra el año 2014 con 4 casos. </t>
  </si>
  <si>
    <t xml:space="preserve">En la región de Ñuble, el año 2018 registra la mayor cantidad de casos de Cáncer de Cuello Uterino, con 9 casos. Por otro lado, el menor número de casos se registran los años 2012 y  2015 con tan sólo 1 caso cada año. </t>
  </si>
  <si>
    <t>La Población en el Programa de Salud Cardiovascular disminuyó considerablemente el año 2015, reduciendo los pacientes en el programa en un 42%. Sin embargo, a partir del año 2016, los casos aumentan nuevamente, registrando el año 2018, más de 5,6 millones de personas en control.</t>
  </si>
  <si>
    <t>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t>
  </si>
  <si>
    <t>En la región de Tarapacá, la hipertensión es la causa principal de ingresos de pacientes al Programa de Salud Cardiovascular, durante el periodo 2012-2018. La Enfermedad Renal Crónica (ERC) en su etapa 5 (pérdida de la función renal grave) es la causa de menor cantidad de ingresos.</t>
  </si>
  <si>
    <t>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</si>
  <si>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Atacama, la hipertensión es la causa principal de ingresos de pacientes al Programa de Salud Cardiovascular, durante el periodo 2012-2018. La Enfermedad Renal Crónica (ERC) en su etapa 5 (pérdida de la función renal grave) es la causa de menor cantidad de ingresos.</t>
  </si>
  <si>
    <t>En la región de Coquimbo,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</si>
  <si>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</si>
  <si>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O'Higgins, la hipertensión es la causa principal de ingresos de pacientes al Programa de Salud Cardiovascular, durante el periodo 2012-2018. La Enfermedad Renal Crónica (ERC) en su etapa 5 (pérdida de la función renal grave) es la causa de menor cantidad de ingresos.</t>
  </si>
  <si>
    <t>En la región del Maule,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</si>
  <si>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del Biobío,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</si>
  <si>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</si>
  <si>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Lagos,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</si>
  <si>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Aysén, la hipertensión es la causa principal de ingresos de pacientes al Programa de Salud Cardiovascular, durante el periodo 2012-2018. La Enfermedad Renal Crónica (ERC) en su etapa 4 (pérdida de la función renal grave) es la causa de menor cantidad de ingresos.</t>
  </si>
  <si>
    <t>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t>
  </si>
  <si>
    <t>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</si>
  <si>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Ríos,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</si>
  <si>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</si>
  <si>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</si>
  <si>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el año 2014 registra la mayor cantidad de la Población en Control del Programa de Salud Cardiovascular (PSCV) con 325.833 personas.</t>
  </si>
  <si>
    <t>En la región de Arica y Parinacota, el año 2014 registra la mayor cantidad de Población en Control del Programa de Salud Cardiovascular (PSCV) con 67.760 personas.</t>
  </si>
  <si>
    <t>En la región de Tarapacá, el año 2014 registra la mayor cantidad de Población en Control del Programa de Salud Cardiovascular (PSCV) con  1110.205 personas.</t>
  </si>
  <si>
    <t>En la región de Antofagasta, el año 2014 registra la mayor cantidad de Población en Control del Programa de Salud Cardiovascular (PSCV) con  141.460 personas.</t>
  </si>
  <si>
    <t>En la región de Atacama, el año 2014 registra la mayor cantidad de Población en Control del Programa de Salud Cardiovascular (PSCV) con  89.399personas.</t>
  </si>
  <si>
    <t>En la región de Coquimbo, el año 2014 registra la mayor cantidad de Población en Control del Programa de Salud Cardiovascular (PSCV) con  284.450 personas.</t>
  </si>
  <si>
    <t>En la región de Valparaíso, el año 2014 registra la mayor cantidad de Población en Control del Programa de Salud Cardiovascular (PSCV) con  841.465 personas.</t>
  </si>
  <si>
    <t>En la región de O'Higgins, el año 2014 registra la mayor cantidad de Población en Control del Programa de Salud Cardiovascular (PSCV) con  397.050 personas.</t>
  </si>
  <si>
    <t>En la región de Maule, el año 2014 registra la mayor cantidad de Población en Control del Programa de Salud Cardiovascular (PSCV) con  559.861 personas.</t>
  </si>
  <si>
    <t>En la región del Biobío, el año 2014 registra la mayor cantidad de Población en Control del Programa de Salud Cardiovascular (PSCV) con  844.819 personas.</t>
  </si>
  <si>
    <t>En la región de La Araucanía, el año 2014 resgitra la mayor cantidad de Población en Control del Programa de Salud Cardiovascular (PSCV) con  505.505 personas.</t>
  </si>
  <si>
    <t>En la región de Los Lagos, el año 2014 registra la mayor cantidad de Población en Control del Programa de Salud Cardiovascular (PSCV) con  480.688 personas.</t>
  </si>
  <si>
    <t>En la región de Aysén, el año 2014 registra la mayor cantidad de Población en Control del Programa de Salud Cardiovascular (PSCV) con  34.595 personas.</t>
  </si>
  <si>
    <t>En la región de Magallanes, el año 2014 registra la mayor cantidad de la Población en Control del Programa de Salud Cardiovascular (PSCV) con  72.859 personas.</t>
  </si>
  <si>
    <t>En la región Metropolitana, el año 2014 registra la mayor cantidad de Población en Control del Programa de Salud Cardiovascular (PSCV) con  3.377.765 personas.</t>
  </si>
  <si>
    <t>En la región de Los Ríos, el año 2014 registra la mayor cantidad de Población en Control del Programa de Salud Cardiovascular (PSCV) con  207.542 personas.</t>
  </si>
  <si>
    <t>En la región del Biobío, durante el periodo 2012-2018, el rango etario de 25-64 años registra la mayor cantidad de pacientes en el Programa de VIH/SIDA, mientras que los rangos etarios de “menos de un año - 1 año” y de 10 - 14 años registran la menor cantidad de casos.</t>
  </si>
  <si>
    <t xml:space="preserve">La región del Biobío, registró 976 pacientes  en el programa de VIH/SIDA, el año 2012. El año 2018 esta cifra aumenta registrando 2.276 pacientes. </t>
  </si>
  <si>
    <t>Considerando el periodo 2012-2018, las comunas de Puente Alto y La Florida registraron la mayor Población en el Programa de Salud Cardiovascular, superando el millón de personas, seguidos por la comuna Valparaíso que alcanzó 800 mil personas .</t>
  </si>
  <si>
    <t>En la región de Tarapacá, el año 2018, la comuna de Iquique, registró la mayor cantidad de personas en el Programa de Salud Cardiovascular, con 59.583, seguida por la comuna de Alto Hospicio con 19.027 personas.</t>
  </si>
  <si>
    <t>En la región de Antofagasta, el año 2018, la comuna de Antofagasta, registró la mayor cantidad de personas en el Programa de Salud Cardiovascular, con 65.749, seguida por la comuna de Calama con 28.244 personas.</t>
  </si>
  <si>
    <t>En la región de Atacama, el año 2018, la comuna de Copiapó, registró la mayor cantidad de personas en el Programa de Salud Cardiovascular, con 34.827, seguida por la comuna de Vallenar con 17.136 personas.</t>
  </si>
  <si>
    <t>En la región de Coquimbo, el año 2018, la comuna de Coquimbo, registró la mayor cantidad de personas en el Programa de Salud Cardiovascular, con 49.567, seguida por la comuna de La Serena con 46.052 personas.</t>
  </si>
  <si>
    <t>En la región de Valparaíso, el año 2018, la comuna de Valparaíso, registró la mayor cantidad de personas en el Programa de Salud Cardiovascular, con 98.804, seguida por la comuna de Viña del Mar con 81.612 personas.</t>
  </si>
  <si>
    <t>En la región de O'Higgins, el año 2018, la comuna de Rancagua, registró la mayor cantidad de personas en el Programa de Salud Cardiovascular, con 56.860, seguida por la comuna de Rengo con 21.638 personas.</t>
  </si>
  <si>
    <t>En la región del Maule, el año 2018, la comuna de Talca, registró la mayor cantidad de personas en el Programa de Salud Cardiovascular, con 59.907, seguida por la comuna de Curicó con 84.043 personas.</t>
  </si>
  <si>
    <t>En la región del Biobío, el año 2018, la comuna de Los Ángeles, registró la mayor cantidad de personas en el Programa de Salud Cardiovascular, con 77.691, seguida por la comuna de Concepción con 75.792 personas.</t>
  </si>
  <si>
    <t>En la región de La Araucanía, el año 2018, la comuna de Temuco, registró la mayor cantidad de personas en el Programa de Salud Cardiovascular, con 88.843, seguida por la comuna de Padre de las Casas con 31.508 personas.</t>
  </si>
  <si>
    <t>En la región de Los Lagos, el año 2018, la comuna de Puerto Montt, registró la mayor cantidad de personas en el Programa de Salud Cardiovascular, con 64.119, seguida por la comuna de Osorno con 62.396 personas.</t>
  </si>
  <si>
    <t>En la región de Aysén, el año 2018, la comuna de Coyhaique, registró la mayor cantidad de personas en el Programa de Salud Cardiovascular, con 12.377, seguida por la comuna de Aysén con 7.707 personas.</t>
  </si>
  <si>
    <t>En la región de Magallanes, el año 2018, la comuna de Punta Arenas, registró la mayor cantidad de personas en el Programa de Salud Cardiovascular, con 45.828, seguida por la comuna de Natales con 7.044 personas.</t>
  </si>
  <si>
    <t>En la región Metropolitana, el año 2018, la comuna de Puente Alto, registró la mayor cantidad de personas en el Programa de Salud Cardiovascular, con 179.341, seguida por la comuna de La Florida con 143.507 personas.</t>
  </si>
  <si>
    <t>En la región de Los Ríos, el año 2018, la comuna de Valdivia, registró la mayor cantidad de personas en el Programa de Salud Cardiovascular, con 47.466, seguida por la comuna de Panguipulli con 14.933 personas.</t>
  </si>
  <si>
    <t>En la región de Arica y Parinacota, el año 2018, la comuna de Arica, registró la mayor cantidad de personas en el Programa de Salud Cardiovascular, con 45.825, seguida por la comuna de Putre con 253 personas.</t>
  </si>
  <si>
    <t>En la región de Ñuble, el año 2018, la comuna de Chillán, registró la mayor cantidad de personas en el Programa de Salud Cardiovascular, con 77.581, seguida por la comuna de San Carlos con 25.025 personas.</t>
  </si>
  <si>
    <t xml:space="preserve">En la región de Tarapacá, la población del Programa de Salud Cardiovascular (PSCV), durante el periodo comprendido entre los años 2012-2018 presentó fluctuaciones. El año 2014 fue el que concentró mayor cantidad de pacientes, alcanzando un peak de 65.967 mujeres. </t>
  </si>
  <si>
    <t xml:space="preserve">En la región de Antofagasta, la población del Programa de Salud Cardiovascular (PSCV), durante el periodo comprendido entre los años 2012-2018 presentó fluctuaciones. El año 2014 fue el que concentró mayor cantidad de pacientes, alcanzando un peak de 92.038 mujeres. </t>
  </si>
  <si>
    <t xml:space="preserve">En la región de Atacama, la población del Programa de Salud Cardiovascular (PSCV), durante el periodo comprendido entre los años 2012-2018 presentó fluctuaciones. el año 2014 fue el que concentró mayor cantidad de pacientes, alcanzando un peak de 57.899 mujeres. </t>
  </si>
  <si>
    <t xml:space="preserve">En la región de Coquimbo, la población del Programa de Salud Cardiovascular (PSCV), durante el periodo comprendido entre los años 2012-2018 presentó fluctuaciones. El año 2014 fue el que concentró mayor cantidad de pacientes, alcanzando un peak de 187.213 mujeres. </t>
  </si>
  <si>
    <t xml:space="preserve">En la región de Valparaíso, la población del Programa de Salud Cardiovascular (PSCV), durante el periodo comprendido entre los años 2012-2018 presentó fluctuaciones. El año 2014 fue el que concentró mayor cantidad de pacientes, alcanzando un peak de 535.578 mujeres. </t>
  </si>
  <si>
    <t xml:space="preserve">En la región de O'Higgins, la población del Programa de Salud Cardiovascular (PSCV), durante el periodo comprendido entre los años 2012-2018 presentó fluctuaciones. El año 2014 fue el que concentró mayor cantidad de pacientes, alcanzando un peak de 250.884 mujeres. </t>
  </si>
  <si>
    <t xml:space="preserve">En la región del Maule, la población del Programa de Salud Cardiovascular (PSCV), durante el periodo comprendido entre los años 2012-2018 presentó fluctuaciones. El año 2014 fue el que concentró mayor cantidad de pacientes, alcanzando un peak de 351.507 mujeres. </t>
  </si>
  <si>
    <t xml:space="preserve">En la región del Biobío, la población del Programa de Salud Cardiovascular (PSCV), durante el periodo comprendido entre los años 2012-2018 presentó fluctuaciones. El año 2014 fue el que concentró mayor cantidad de pacientes, alcanzando un peak de 542.046 mujeres. </t>
  </si>
  <si>
    <t xml:space="preserve">En la región de La Araucanía, la población del Programa de Salud Cardiovascular (PSCV), durante el periodo comprendido entre los años 2012-2018 presentó fluctuaciones. El año 2014 fue el que concentró mayor cantidad de pacientes, alcanzando un peak de 316.287 mujeres. </t>
  </si>
  <si>
    <t xml:space="preserve">En la región de Los Lagos, la población del Programa de Salud Cardiovascular (PSCV), durante el periodo comprendido entre los años 2012-2018 presentó fluctuaciones. El año 2014 fue el que concentró mayor cantidad de pacientes, alcanzando un peak de 305.563 mujeres. </t>
  </si>
  <si>
    <t xml:space="preserve">En la región de Aysén, la población del Programa de Salud Cardiovascular (PSCV), durante el periodo comprendido entre los años 2012-2018 presentó fluctuaciones. El año 2014 fue el que concentró mayor cantidad de pacientes, alcanzando un peak de 21.787 mujeres. </t>
  </si>
  <si>
    <t xml:space="preserve">En la región de Magallanes, la población del Programa de Salud Cardiovascular (PSCV), durante el periodo comprendido entre los años 2012-2018 presentó fluctuaciones. El año 2014 fue el que concentró mayor cantidad de pacientes, alcanzando un peak de 44.021 mujeres. </t>
  </si>
  <si>
    <t xml:space="preserve">En la región Metropolitana, la población del Programa de Salud Cardiovascular (PSCV), durante el periodo comprendido entre los años 2012-2018 presentó fluctuaciones. El año 2014 fue el que concentró mayor cantidad de pacientes, alcanzando un peak de 2.174.826 mujeres. </t>
  </si>
  <si>
    <t xml:space="preserve">En la región de Los Ríos, la población del Programa de Salud Cardiovascular (PSCV), durante el periodo comprendido entre los años 2012-2018 presentó fluctuaciones. El año 2014 fue el que concentró mayor cantidad de pacientes, alcanzando un peak de 131.316 mujeres. </t>
  </si>
  <si>
    <t xml:space="preserve">En la región de Arica y Parinacota, la población del Programa de Salud Cardiovascular (PSCV), durante el periodo comprendido entre los años 2012-2018 presentó fluctuaciones. El año 2014 fue el que concentró mayor cantidad de pacientes, alcanzando un peak de 41.918 mujeres. </t>
  </si>
  <si>
    <t xml:space="preserve">En la región de Ñuble, la población del Programa de Salud Cardiovascular (PSCV), durante el periodo comprendido entre los años 2012-2018 presentó fluctuaciones. El año 2014 fue el que concentró mayor cantidad de pacientes, alcanzando un peak de 204.288 mujeres. </t>
  </si>
  <si>
    <t>La región de Tarapacá, el año 2014 tuvo un peak en la población en Control del Programa de Salud Cardiovascular, siendo el rango etario mayoritario el "65 y más" con 45.499 pacientes.</t>
  </si>
  <si>
    <t>La región de Antofagasta, el año 2014 tuvo un peak en la población en Control del Programa de Salud Cardiovascular, siendo el rango etario mayoritario el "65 y más" con 67.343 pacientes.</t>
  </si>
  <si>
    <t>La región de Atacama, el año 2014 tuvo un peak en la población en Control del Programa de Salud Cardiovascular, siendo el rango etario mayoritario el "65 y más" con 40.870 pacientes.</t>
  </si>
  <si>
    <t>La región de Coquimbo, el año 2014 tuvo un peak en la población en Control del Programa de Salud Cardiovascular, siendo el rango etario mayoritario el "65 y más" con 138.280 pacientes.</t>
  </si>
  <si>
    <t>La región de Valparaíso, el año 2014 tuvo un peak en la población en Control del Programa de Salud Cardiovascular, siendo el rango etario mayoritario el "65 y más" con 416.612 pacientes.</t>
  </si>
  <si>
    <t>La región de O'Higgins, el año 2014 tuvo un peak en la población en Control del Programa de Salud Cardiovascular, siendo el rango etario mayoritario el "65 y más" con 179.284 pacientes.</t>
  </si>
  <si>
    <t>La región del Maule, el año 2014 tuvo un peak en la población en Control del Programa de Salud Cardiovascular, siendo el rango etario mayoritario el "65 y más" con 250.041 pacientes.</t>
  </si>
  <si>
    <t>La región del Biobío, el año 2014 tuvo un peak en la población en Control del Programa de Salud Cardiovascular, siendo el rango etario mayoritario el "65 y más" con 374.875 pacientes.</t>
  </si>
  <si>
    <t>La región de La Araucanía, el año 2014 tuvo un peak en la población en Control del Programa de Salud Cardiovascular, siendo el rango etario mayoritario el "65 y más" con 221.208 pacientes.</t>
  </si>
  <si>
    <t>La región de Los Lagos, el año 2014 tuvo un peak en la población en Control del Programa de Salud Cardiovascular, siendo el rango etario mayoritario el "65 y más" con 217.080 pacientes.</t>
  </si>
  <si>
    <t>La región de Aysén, el año 2014 tuvo un peak en la población en Control del Programa de Salud Cardiovascular, siendo el rango etario mayoritario el "65 y más" con 14.767 pacientes.</t>
  </si>
  <si>
    <t>La región de Magallanes, el año 2014 tuvo un peak en la población en Control del Programa de Salud Cardiovascular, siendo el rango etario mayoritario el "65 y más" con 32.602 pacientes.</t>
  </si>
  <si>
    <t>La región de Metropolitana, el año 2014 tuvo un peak en la población en Control del Programa de Salud Cardiovascular, siendo el rango etario mayoritario el "65 y más" con 1.598.239 pacientes.</t>
  </si>
  <si>
    <t>La región de Los Ríos, el año 2014 tuvo un peak en la población en Control del Programa de Salud Cardiovascular, siendo el rango etario mayoritario el "65 y más" con 91.857 pacientes.</t>
  </si>
  <si>
    <t>La región de Arica y Parinacota, el año 2014 tuvo un peak en la población en Control del Programa de Salud Cardiovascular, siendo el rango etario mayoritario el "65 y más" con 34.024 pacientes.</t>
  </si>
  <si>
    <t>La región de Ñuble, el año 2014 tuvo un peak en la población en Control del Programa de Salud Cardiovascular, siendo el rango etario mayoritario el "65 y más" con 141.454 pacientes.</t>
  </si>
  <si>
    <t>En Chile, durante el período 2011-2017, el tipo de licencia de conducir otorgada en mayor cantidad es la profesional clase A2 para "taxis, ambulancias o vehículos motorizados de transporte público y privado de personas con capacidad de 10 a 17 pasajeros, sin contar al conductor", siendo su peak el año 2011 con 168.401 licencias.</t>
  </si>
  <si>
    <t>En la región de Tarapacá, durante el período 2011-2017, las licencias de conducir profesionales clase A2 fueron las otorgadas en mayor cantidad. El máximo anual ocurrió el año 2014, con la entrega de 5.337 licencias.</t>
  </si>
  <si>
    <t>En la región de Antofagasta, durante el período 2011-2017, las licencias de conducir profesionales clase A2 fueron las otorgadas en mayor cantidad. El máximo anual ocurrió el año 2011, con la entrega de 9.280 licencias de conducir.</t>
  </si>
  <si>
    <t>En la región de Atacama, durante el período 2011-2017, las licencias de conducir profesionales clase A2 fueron las otorgadas en mayor cantidad. El máximo anual ocurrió el año 2011, con la entrega de 6.510 licencias.</t>
  </si>
  <si>
    <t>En la región de Coquimbo, durante el período 2011-2017,  las licencias de conducir profesionales clase A2 fueron las otorgadas en mayor cantidad. El máximo anual ocurrió el año 2011, con la entrega de 9.949 licencias.</t>
  </si>
  <si>
    <t>En la región de Valparaíso, durante el período 2011-2017,  las licencias de conducir profesionales clase A2 fueron las otorgadas en mayor cantidad. El máximo anual ocurrió el año 2011, con la entrega de 17.472 licencias.</t>
  </si>
  <si>
    <t>En la región de Maule, durante el período 2011-2017,  las licencias de conducir profesionales clase A2 fueron las otorgadas en mayor cantidad. El máximo anual ocurrió el año 2011, con la entrega de 11.196 licencias.</t>
  </si>
  <si>
    <t>En la región de Los Lagos, durante el período 2011-2017,  las licencias de conducir profesionales clase A2 fueron las otorgadas en mayor cantidad. El máximo anual ocurrió el año 2011, con la entrega de 9.231 licencias.</t>
  </si>
  <si>
    <t>En la región de Aysén, durante el período 2011-2017,  las licencias de conducir profesionales clase A2 fueron las otorgadas en mayor cantidad. El máximo anual ocurrió el año 2014, con la entrega de 1.500 licencias.</t>
  </si>
  <si>
    <t>En la región de Magallanes, durante el período 2011-2017,  las licencias de conducir profesionales clase A2 fueron las otorgadas en mayor cantidad. El máximo anual ocurrió el año 2011, con la entrega de 2.986 licencias.</t>
  </si>
  <si>
    <t>En la región Metropolitana, durante el período 2011-2017,  las licencias de conducir profesionales clase A2 fueron las otorgadas en mayor cantidad. El máximo anual ocurrió el año 2011, con la entrega de 45.732 licencias.</t>
  </si>
  <si>
    <t>En la región de Los Ríos, durante el período 2011-2017,  las licencias de conducir profesionales clase A2 fueron las otorgadas en mayor cantidad. El máximo anual ocurrió el año 2011, con la entrega de 4.345 licencias.</t>
  </si>
  <si>
    <t>En la región de Arica y Parinacota, durante el período 2011-2017,  las licencias de conducir profesionales clase A2 fueron las otorgadas en mayor cantidad. El máximo anual ocurrió el año 2011, con la entrega de 3.732 licencias.</t>
  </si>
  <si>
    <t>En la región de Ñuble, durante el período 2011-2017,  las licencias de conducir profesionales clase A2 fueron las otorgadas en mayor cantidad. El máximo anual ocurrió el año 2011, con la entrega de 6.222 licencias.</t>
  </si>
  <si>
    <t xml:space="preserve">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t>
  </si>
  <si>
    <t xml:space="preserve">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t>
  </si>
  <si>
    <t xml:space="preserve">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t>
  </si>
  <si>
    <t xml:space="preserve">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t>
  </si>
  <si>
    <t xml:space="preserve">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t>
  </si>
  <si>
    <t xml:space="preserve">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t>
  </si>
  <si>
    <t xml:space="preserve">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t>
  </si>
  <si>
    <t xml:space="preserve">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t>
  </si>
  <si>
    <t xml:space="preserve">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t>
  </si>
  <si>
    <t xml:space="preserve">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t>
  </si>
  <si>
    <t xml:space="preserve">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t>
  </si>
  <si>
    <t xml:space="preserve">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t>
  </si>
  <si>
    <t xml:space="preserve">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t>
  </si>
  <si>
    <t xml:space="preserve">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t>
  </si>
  <si>
    <t>En la región de O'Higgins, durante el período 2011-2017,  las licencias de conducir profesionales clase A2 fueron las otorgadas en mayor cantidad. El máximo anual ocurrió el año 2011, con la entrega de 12.289 licencias.</t>
  </si>
  <si>
    <t>En la región del Biobío, durante el período 2011-2017,  las licencias de conducir profesionales clase A2 fueron las otorgadas en mayor cantidad. El máximo anual ocurrió el año 2014, con la entrega de 15.890 licencias.</t>
  </si>
  <si>
    <t>En la región de La Araucanía, durante el período 2011-2017,  las licencias de conducir profesionales clase A2 fueron las otorgadas en mayor cantidad. El máximo anual ocurrió el año 2015, con la entrega de 9.535 licencias.</t>
  </si>
  <si>
    <t xml:space="preserve">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t>
  </si>
  <si>
    <t xml:space="preserve">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t>
  </si>
  <si>
    <t xml:space="preserve">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t>
  </si>
  <si>
    <t>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t>
  </si>
  <si>
    <t>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t>
  </si>
  <si>
    <t>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t>
  </si>
  <si>
    <t>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t>
  </si>
  <si>
    <t>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t>
  </si>
  <si>
    <t>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t>
  </si>
  <si>
    <t>La cantidad de licencias de conducir del tipo no profesional en la región de Maule, fue mayor en la comuna de Talca, el año 2017, con 11.402 licencias. Por otro lado, la menor cantidad de licencias otorgadas se observa el año 2016, en la comuna de Retiro, con 140 licencias.</t>
  </si>
  <si>
    <t>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t>
  </si>
  <si>
    <t>La cantidad de licencias de conducir del tipo no profesional en la región de Aysén, fue mayor en la comuna de Coihaique, el año 2014, con 5.042 licencias. Por otro lado, la menor cantidad de licencias otorgadas se observa el año 2013, en la comuna de Cochrane, con 152 licencias.</t>
  </si>
  <si>
    <t>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t>
  </si>
  <si>
    <t>La cantidad de licencias de conducir del tipo no profesional en la región Metropolitana, fue mayor en la comuna de Las Condes, el año 2013, con 33.415 licencias. Por otro lado, la menor cantidad de licencias otorgadas se observa el mismo año, en la comuna de Colina, con 604 licencias.</t>
  </si>
  <si>
    <t>La cantidad de licencias de conducir del tipo no profesional en la región de Los Ríos, fue mayor en la comuna de Valdivia, el año 2017, con 9.038 licencias. Por otro lado, la menor cantidad de licencias otorgadas se observa el año 2017, en la comuna de Paillaco, con 742 licencias.</t>
  </si>
  <si>
    <t>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t>
  </si>
  <si>
    <t>La cantidad de licencias de conducir del tipo no profesional en la región de Ñuble, fue mayor en la comuna de Chillán, el año 2011, con 14.264 licencias. Por otro lado, la menor cantidad de licencias otorgadas se observa el año 2017, en la comuna de Traguaco, con 103 licencias.</t>
  </si>
  <si>
    <t>La cantidad de licencias de conducir del tipo no profesional en la región de O'Higgins, fue mayor en la comuna de Rancagua, el año 2012, con 12.733 licencias. Por otro lado, la menor cantidad de licencias otorgadas se observa el año 2013, en la comuna de Peumo, con 582 licencias.</t>
  </si>
  <si>
    <t>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t>
  </si>
  <si>
    <t>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t>
  </si>
  <si>
    <t>Los permisos de circulación de transportes colectivos en la región de Tarapacá fueron mayores en Iquique, el año 2014, con 4.077 permisos. Le sigue Alto Hospicio, el año 2019, con 2.010 permisos de circulación otorgados a transporte colectivo.</t>
  </si>
  <si>
    <t>Los permisos de circulación de transportes colectivos en la región de Antofagasta fueron mayores en Antofagasta, el año 2015, con 5.168 permisos. Le sigue Calama, el año 2019, con 3.926 permisos de circulación otorgados a transporte colectivo.</t>
  </si>
  <si>
    <t>Los permisos de circulación de transportes colectivos en la región de Maule fueron mayores en Talca, el año 2018, con 2.386 permisos. Le sigue Curicó, el año 2019, con 1.739 permisos de circulación otorgados a transporte colectivo.</t>
  </si>
  <si>
    <t>Los permisos de circulación de transportes colectivos en la región de Araucanía fueron mayores en Temuco, el año 2010, con 2.770 permisos. Le sigue Padre Las Casas, el año 2018, con 1.137 permisos de circulación otorgados a transporte colectivo.</t>
  </si>
  <si>
    <t>Los permisos de circulación de transportes colectivos en la región de Los Lagos fueron mayores en Puerto Montt, el año 2019, con 4.174 permisos. Le sigue Osorno, el año 2012, con 1.845 permisos de circulación otorgados a transporte colectivo.</t>
  </si>
  <si>
    <t>Los permisos de circulación de transportes colectivos en la región Metropolitana fueron mayores en Estación Central, el año 2015, con 5.090 permisos. Le sigue Puente Alto, el año 2019, con 5.049 permisos de circulación otorgados a transporte colectivo.</t>
  </si>
  <si>
    <t>Los permisos de circulación de transportes colectivos en la región de Arica y Parinacota fueron mayores en Arica, el año 2019, con 4.418 permisos. Le sigue Putre, el año 2017, con 85 permisos de circulación otorgados a transporte colectivo.</t>
  </si>
  <si>
    <t>Los permisos de circulación de transportes colectivos en la región de Ñuble fueron mayores en Chillán, el año 2019, con 1.513 permisos. Le sigue Chillán Viejo, el año 2013, con 1.260 permisos de circulación otorgados a transporte colectivo.</t>
  </si>
  <si>
    <t>Los permisos de circulación de transportes colectivos en la región de Atacama fueron mayores en Copiapó, el año 2018, con 2.713 permisos. Le sigue Chañaral, ese mismo año, con 1.078 permisos de circulación otorgados a transporte colectivo.</t>
  </si>
  <si>
    <t>Los permisos de circulación de transportes colectivos en la región de Coquimbo fueron mayores en La Serena, el año 2019, con 3.310 permisos. Le sigue Coquimbo, ese mismo año, con 2.474 permisos de circulación otorgados a transporte colectivo.</t>
  </si>
  <si>
    <t>Los permisos de circulación de transportes colectivos en la región de Valparaíso fueron mayores en Valparaíso, el año 2018, con 3.903 permisos. Le sigue Viña de Mar, el año 2013, con 3.175 permisos de circulación otorgados a transporte colectivo.</t>
  </si>
  <si>
    <t>Los permisos de circulación de transportes colectivos en la región de O'Higgins fueron mayores en Rancagua, el año 2017, con 3.830 permisos. Le sigue Codegua, el año 2018, con 1.756 permisos de circulación otorgados a transporte colectivo.</t>
  </si>
  <si>
    <t>Los permisos de circulación de transportes colectivos en la región del Biobío fueron mayores en Hualpén, el año 2019, con 2.906 permisos. Le sigue Los Ángeles, ese mismo año, con 2.254 permisos de circulación otorgados a transporte colectivo.</t>
  </si>
  <si>
    <t>Los permisos de circulación de transportes colectivos en la región de Aysén fueron mayores en Coihaique, ese mismo año, con 1.028 permisos. Le sigue Aisén, el año 2019, con 491 permisos de circulación otorgados a transporte colectivo.</t>
  </si>
  <si>
    <t>Los permisos de circulación de transportes colectivos en la región de Magallanes fueron mayores en Punta Arenas, el año 2019, con 2.941 permisos. Le sigue Natales, ese mismo año, con 741 permisos de circulación otorgados a transporte colectivo.</t>
  </si>
  <si>
    <t>Los permisos de circulación de transportes colectivos en la región de Los Ríos fueron mayores en Valdivia, el año 2019, con 2.224 permisos. Le sigue La Unión, ese mismo año, con 546 permisos de circulación otorgados a transporte colectivo.</t>
  </si>
  <si>
    <t>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t>
  </si>
  <si>
    <t>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t>
  </si>
  <si>
    <t>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t>
  </si>
  <si>
    <t>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t>
  </si>
  <si>
    <t>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t>
  </si>
  <si>
    <t>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t>
  </si>
  <si>
    <t>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t>
  </si>
  <si>
    <t>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t>
  </si>
  <si>
    <t>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t>
  </si>
  <si>
    <t>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t>
  </si>
  <si>
    <t>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t>
  </si>
  <si>
    <t>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t>
  </si>
  <si>
    <t>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t>
  </si>
  <si>
    <t>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t>
  </si>
  <si>
    <t>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t>
  </si>
  <si>
    <t>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t>
  </si>
  <si>
    <t>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t>
  </si>
  <si>
    <t>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t>
  </si>
  <si>
    <t>Según los datos recopilados, sólo 4 de las 16 regiones de Chile poseen un PRDU vigente, las cuales son Arica y Parinacota, Coquimbo, Antofagasta y O'Higgins, siendo Arica y Parinacota la que posee el PRDU más nuevo que data del año 2014.</t>
  </si>
  <si>
    <t>En el año 2021, desde enero a mayo, han pasado un promedio de 27.643.458 vehículos por plazas de peaje y pórticos de autopistas interurbanas, con un peak de 30.849.162 vehículos en febrero y un mínimo de 21.906.513 vehículos en abril.</t>
  </si>
  <si>
    <t>A nivel nacional, en el periodo comprendido entre los años 2013 y 2019, el delito de Abuso Sexual que más sentencias acumula, es el calificado como Abuso sexual con contacto de menor de 14 de años seguido por los delitos calificados como Abuso sexual sin contacto.</t>
  </si>
  <si>
    <t>El delito de Abuso Sexual que más sentencias acumula, en el periodo comprendido entre los años 2013 – 2019, en la región de Tarapacá, es el calificado como Abuso sexual con contacto de menor de 14 de años, el que supera las 150 sentencia cada año.</t>
  </si>
  <si>
    <t>En la región de Antofagasta, los tres delitos de Abuso Sexual que más sentencias acumulan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</si>
  <si>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Atacama, es el calificado como Abuso sexual con contacto de menor de 14 de años. El año 2019 supero los 990 casos.</t>
  </si>
  <si>
    <t>El delito de Abuso Sexual que más sentencias acumula, en el periodo comprendido entre los años 2013 – 2019, en la región de Coquimbo, es el calificado como Abuso sexual con contacto de menor de 14 de años. El año 2019 tiene el mayor número del periodo superando los 1.210 casos.</t>
  </si>
  <si>
    <t>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</si>
  <si>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t>
  </si>
  <si>
    <t>En la región del Maule,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</si>
  <si>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t>
  </si>
  <si>
    <t>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</si>
  <si>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t>
  </si>
  <si>
    <t>El delito de Abuso Sexual que más sentencias acumula, en el periodo comprendido entre los años 2013 – 2019, en la región de Aysén, es el calificado como Abuso sexual con contacto de menor de 14 de años. El año 2018 registra el mayor número de sentencias superando los 250 casos.</t>
  </si>
  <si>
    <t>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</si>
  <si>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Metropolitana, es el calificado como Abuso sexual con contacto de menor de 14 de años, el que supera las 34.000 sentencia cada año.</t>
  </si>
  <si>
    <t>En la región de Los Ríos, el año 2019 presenta la menor cantidad de sentencias en delitos de Abuso Sexual, para el periodo comprendido entre los años 2013 - 2019.</t>
  </si>
  <si>
    <t>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t>
  </si>
  <si>
    <t>En la región de Ñuble, los tres delitos de Abuso Sexual que más sentencias acumulan, en el periodo comprendido entre los años 2013 - 2019 son: Abuso Sexual con contacto de menor de 14 años, Abuso Sexual sin contacto y Abuso Sexual de mayor de 14 (Con circunstancia de Violación).</t>
  </si>
  <si>
    <t>Las Atenciones en Salud por Violencia de Género se califican de acuerdo al concepto bajo el cual fue ingresada la urgencia. En la región de Tarapacá, el concepto "Otra Violencia" fue el más común durante el periodo 2010-2016,  registrando el año 2010, 585 atenciones.</t>
  </si>
  <si>
    <t>Las Atenciones en Salud por Violencia de Género se califican de acuerdo al concepto bajo el cual fue ingresada la urgencia. En la región de Antofagasta,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</si>
  <si>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Atacama, el concepto "Otra Violencia" fue el más común durante el periodo 2010-2016,  registrando el mayor número de casos, el año 2016, con 2.089 atenciones. </t>
  </si>
  <si>
    <t xml:space="preserve">Las Atenciones en Salud por Violencia de Género se califican de acuerdo al concepto bajo el cual fue ingresada la urgencia. En la región de Coquimbo, el concepto "Otra Violencia" fue el más común durante el periodo 2010-2016,  registrando el mayor número de casos, el año 2010, con 2.004 atenciones. </t>
  </si>
  <si>
    <t>Las Atenciones en Salud por Violencia de Género se califican de acuerdo al concepto bajo el cual fue ingresada la urgencia. En la región de Valparaíso, el concepto "Otra Violencia" fue el más común durante el periodo 2010-2016, seguido por "Violencia Intrafamiliar", en el año 2016.</t>
  </si>
  <si>
    <t>Las Atenciones en Salud por Violencia de Género se califican de acuerdo al concepto bajo el cual fue ingresada la urgencia. En la región de O'Higgins, el concepto "Otra Violencia" fue el más común durante el periodo 2010-2016, seguido por "Violencia Intrafamiliar", en el año 2016.</t>
  </si>
  <si>
    <t>Las Atenciones en Salud por Violencia de Género se califican de acuerdo al concepto bajo el cual fue ingresada la urgencia. En la región del Maule, el concepto "Otra Violencia" fue el más común durante el periodo 2010-2016,  registrando el mayor número de casos, el año 2016, con 4.932 atenciones.</t>
  </si>
  <si>
    <t xml:space="preserve">Las Atenciones en Salud por Violencia de Género se califican de acuerdo al concepto bajo el cual fue ingresada la urgencia. En la región de Biobío, el concepto "Otra Violencia" fue el más común durante el periodo 2010-2016,  registrando el mayor número de casos, el año 2012, con 1.720 atenciones.  </t>
  </si>
  <si>
    <t>Las Atenciones en Salud por Violencia de Género se califican de acuerdo al concepto bajo el cual fue ingresada la urgencia. En la región de La Araucanía,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</si>
  <si>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Los Lagos, el concepto "Otra Violencia" fue el más común durante el periodo 2010-2016,  registrando el mayor número de casos, el año 2016, con 4.366 atenciones. </t>
  </si>
  <si>
    <t xml:space="preserve">Las Atenciones en Salud por Violencia de Género se califican de acuerdo al concepto bajo el cual fue ingresada la urgencia. En la región de Aysén, el concepto "Otra Violencia" fue el más común durante el periodo 2010-2016,  registrando el mayor número de casos, el año 2011, con 52 atenciones.  </t>
  </si>
  <si>
    <t>Las Atenciones en Salud por Violencia de Género se califican de acuerdo al concepto bajo el cual fue ingresada la urgencia. En la región de Magallanes, el concepto "Otra Violencia" fue el más común durante el periodo 2010-2016, seguido por "Violencia Intrafamiliar" para el año 2016.</t>
  </si>
  <si>
    <t>Las Atenciones en Salud por Violencia de Género se califican de acuerdo al concepto bajo el cual fue ingresada la urgencia. En la región Metropolitana, el concepto "Otra Violencia" fue el más común durante el periodo 2010-2016, seguido por "Violencia Intrafamiliar" para el año 2016.</t>
  </si>
  <si>
    <t>Las Atenciones en Salud por Violencia de Género se califican de acuerdo al concepto bajo el cual fue ingresada la urgencia. En la región De Los Ríos, el concepto "Otra Violencia" fue el más común durante el periodo 2010-2016, seguido por "Violencia Intrafamiliar" en el año 2016.</t>
  </si>
  <si>
    <t>En la región de Arica y Parinacota, en el año 2016, las categorías con mayor atenciones en Salud por Violencia de Género son: las categorías "Otra violencia"  y "Violencia Intrafamiliar".</t>
  </si>
  <si>
    <t>En la región de Ñuble, en el año 2016, las categorías con mayor atenciones en Salud por Violencia de Género son: "Otra violencia"  y "Violencia Intrafamiliar".</t>
  </si>
  <si>
    <t>La cantidad de mujeres ingresadas a Centros de la Mujer disminuyen a partir del año 2014. El año 2018 se registra la menor disminución, con una variación de -11% en relación al año anterior, que equivale al ingreso de 17.059 mujeres.</t>
  </si>
  <si>
    <t>La cantidad de salidas desde Casas de Acogida disminuyen a partir del año 2015. El año 2018 se registra la menor disminución, con una variación de -18,1% en relación al año anterior.</t>
  </si>
  <si>
    <t>Gráfico de edad de victimas de Femicidio en la región de Los Ríos, para el periodo que comprenden los años 2010- 2020, según datos del MINMEG.</t>
  </si>
  <si>
    <t>Gráfico de edad de victimas de Femicidio en la región de Arica y Parinacota, para el periodo que comprenden los años 2010- 2020, según datos del MINMEG.</t>
  </si>
  <si>
    <t>En la región de Ñuble, en el periodo que comprenden los años 2010 - 2020, la mayor cantidad de victimas de femicidio se concentran en el rango etario comprendido entre los 19 y 43 años.</t>
  </si>
  <si>
    <t>En la región de Tarapacá, en el periodo que comprenden los años 2012 - 2021, la mayor cantidad de victimas de femicidio se concentran en el rango etario comprendido entre los 29 y 67 años.</t>
  </si>
  <si>
    <t>En la región de Antofagasta, en el periodo que comprenden los años 2010 - 2020, la mayor cantidad de victimas de femicidio se concentran en el rango etario comprendido entre los 20 y 57 años.</t>
  </si>
  <si>
    <t>Gráfico de edad de victimas de Femicidio en la región de Atacama, para el periodo que comprenden los años 2010- 2020, según datos del MINMEG.</t>
  </si>
  <si>
    <t>En la región de Coquimbo, en el periodo que comprenden los años 2010 - 2020, la mayor cantidad de victimas de femicidio se concentran en el rango etario comprendido entre los 19 y 64 años.</t>
  </si>
  <si>
    <t>Gráfico de edad de victimas de Femicidio en la región de Valparaíso, para el periodo que comprenden los años 2010- 2020, según datos del MINMEG.</t>
  </si>
  <si>
    <t>Gráfico de edad de victimas de Femicidio en la región de O'Higgins, para el periodo que comprenden los años 2010- 2020, según datos del MINMEG.</t>
  </si>
  <si>
    <t>En la región de Maule, en el periodo que comprenden los años 2010 - 2021, la mayor cantidad de victimas de femicidio se concentran en el rango etario comprendido entre los 16 y 73 años.</t>
  </si>
  <si>
    <t>En la región del Biobío, en el periodo que comprenden los años 2010 - 2021, la mayor cantidad de victimas de femicidio se concentran en el rango etario comprendido entre los 19 y 71 años.</t>
  </si>
  <si>
    <t>En la región de Los Lagos, en el periodo que comprenden los años 2010 - 2021, la mayor cantidad de victimas de femicidio se concentran en el rango etario comprendido entre los 23 y 48 años.</t>
  </si>
  <si>
    <t>Gráfico de edad de victimas de Femicidio en la región de Aysén, para el periodo que comprenden los años 2010- 2020, según datos del MINMEG.</t>
  </si>
  <si>
    <t>En la región de Magallanes, en el periodo que comprenden los años 2010 - 2021, la mayor cantidad de victimas de femicidio se concentran en el rango etario comprendido entre los 24 y 43 años.</t>
  </si>
  <si>
    <t>En la región de La Araucanía, en el periodo que comprenden los años 2010 - 2021, la mayor cantidad de victimas de femicidio se concentran en el rango etario comprendido entre los 20 y 68 años.</t>
  </si>
  <si>
    <t>En la región de Tarapacá, la mayor cantidad de femicidios se llevan a cabo por los convivientes, cónyuges o ex convivientes.</t>
  </si>
  <si>
    <t>En la región de Antofagasta, la mayor cantidad de femicidios se llevan a cabo por los convivientes, ex conviviente, cónyuges o ex cónyuges.</t>
  </si>
  <si>
    <t>En la región de Atacama, la mayor cantidad de femicidios se llevan a cabo por las parejas o convivientes.</t>
  </si>
  <si>
    <t>En la región de Coquimbo, la mayor cantidad de femicidios se llevan a cabo por los cónyuges, conviviente o ex parejas</t>
  </si>
  <si>
    <t>En la región de Valparaíso, la mayor cantidad de femicidios se llevan a cabo por los convivientes, cónyuges o ex convivientes.</t>
  </si>
  <si>
    <t>En la región de O´Higgins, la mayor cantidad de femicidios se llevan a cabo por los cónyuges, convivientes o ex convivientes.</t>
  </si>
  <si>
    <t>En la región de Maule, la mayor cantidad de femicidios se llevan a cabo por los convivientes, cónyuges o ex cónyuges.</t>
  </si>
  <si>
    <t>En la región de Biobío, la mayor cantidad de femicidios se llevan a cabo por los convivientes, cónyuges o ex convivientes.</t>
  </si>
  <si>
    <t>En la región de La Araucanía, la mayor cantidad de femicidios se llevan a cabo por los convivientes, cónyuges o ex convivientes.</t>
  </si>
  <si>
    <t>En la región de Los Lagos, la mayor cantidad de femicidios se llevan a cabo por los cónyuges o convivientes.</t>
  </si>
  <si>
    <t>En la región de Arica y Parinacota, la mayor cantidad de femicidios se lleva a cabo por los cónyuges.</t>
  </si>
  <si>
    <t>En la región de Ñuble, la mayor cantidad de femicidios se lleva a cabo por los ex cónyuges, cónyuges o convivientes.</t>
  </si>
  <si>
    <t>En la región de Aysén, todos los femicidios se han llevado a cabo por convivientes.</t>
  </si>
  <si>
    <t>En la región de Magallanes, la mayor cantidad de femicidios se llevan a cabo por los ex convivientes.</t>
  </si>
  <si>
    <t>En la región Metropolitana, la mayor cantidad de femicidios se llevan a cabo por los convivientes, cónyuges o ex convivientes.</t>
  </si>
  <si>
    <t>En la región Los Ríos, la mayor cantidad de femicidios se llevan a cabo por los convivientes, cónyuges o ex cónyuges.</t>
  </si>
  <si>
    <t>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t>
  </si>
  <si>
    <t>En la región Metropolitana, en el periodo que comprenden los años 2010 - 2021, la mayor cantidad de victimas de femicidio se concentran en el rango etario comprendido entre los 24 y 50 años.</t>
  </si>
  <si>
    <t>Gráfico de evolución</t>
  </si>
  <si>
    <t>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t>
  </si>
  <si>
    <t>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t>
  </si>
  <si>
    <t>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t>
  </si>
  <si>
    <t>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t>
  </si>
  <si>
    <t>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t>
  </si>
  <si>
    <t xml:space="preserve">El top 10 de comunas con mayor cantidad de conexiones a internet fijo tanto para el año 2018 como para el 2019, es Santiago, Maipú, Puente Alto, La Florida, Viña del Mar, Antofagasta, Providencia, Ñuñoa y Temuco. </t>
  </si>
  <si>
    <t xml:space="preserve">En el año 2019, a nivel nacional, la comuna que presentó mayor cantidad de conexiones a Internet fija fue la comuna de Santiago con 173.222 conexiones, en segundo lugar Maipú con 133.689 conexiones, ambas comunas pertenecientes a la región Metropolitana. </t>
  </si>
  <si>
    <t>En la región de Tarapacá, la comuna de Iquique, registraba la mayor cantidad de conexiones de internet fija, con 50.579 conexiones, en el año 2019.  En el mismo año, la comuna de Camiña registraba sólo 1 conexión.</t>
  </si>
  <si>
    <t>En la región de Antofagasta, la comuna de Iquique, registraba la mayor cantidad de conexiones de internet fija, con 94.039 conexiones, en el año 2019.  En el mismo año, la comuna de Ollagüe no registraba conexiones.</t>
  </si>
  <si>
    <t>En la región de Atacama, la comuna de Copiapó, registraba la mayor cantidad de conexiones de internet fija, con 45.612 conexiones, en el año 2019.  En el mismo año, la comuna de Alto del Carmen registraba sólo 2 conexiones.</t>
  </si>
  <si>
    <t>En la región de Coquimbo, la comuna de Combarbalá, registraba la mayor cantidad de conexiones de internet fija, con 70.319 conexiones, en el año 2019.  En el mismo año, la comuna de Río Hurtado registraba sólo 4 conexiones.</t>
  </si>
  <si>
    <t>En la región de Valparaíso, la comuna de Viña del Mar, registraba la mayor cantidad de conexiones de internet fija, con 98.146 conexiones, en el año 2019.  En el mismo año, la comuna de Juan Fernández registraba sólo 2 conexiones.</t>
  </si>
  <si>
    <t>En la región de O'Higgins, la comuna de Rancagua, registraba la mayor cantidad de conexiones de internet fija, con 62.159 conexiones, en el año 2019.  En el mismo año, la comuna de Paredones  no registraba conexiones.</t>
  </si>
  <si>
    <t>En la región del Maule, la comuna de Talca, registraba la mayor cantidad de conexiones de internet fija, con 59.263 conexiones, el año 2019.  En el mismo año, la comuna de Vichuquén registraba sólo 2 conexiones.</t>
  </si>
  <si>
    <t>En la región del Biobío, la comuna de Talcahuano, registraba la mayor cantidad de conexiones de internet fija, con 44.242 conexiones, el año 2019.  En el mismo año, la comuna de Tirúa registraba sólo 2 conexiones.</t>
  </si>
  <si>
    <t>En la región de La Araucanía, la comuna de Temuco, registraba la mayor cantidad de conexiones de internet fija, con 74.877 conexiones, el año 2019.  En el mismo año, la comuna de Los Sauces registraba sólo 4 conexiones.</t>
  </si>
  <si>
    <t>En la región de Los Lagos , la comuna de Puerto Montt, registraba la mayor cantidad de conexiones de internet fija, con 45.760 conexiones, el año 2019.  En el mismo año, la comuna de San Juan de la Costa registraba sólo 2 conexiones.</t>
  </si>
  <si>
    <t>En la región de Aysén, la comuna de Aisén, registraba la mayor cantidad de conexiones de internet fija, con 4.886 conexiones, el año 2019.  En el mismo año, la comuna de O'Higgins no registraba conexiones.</t>
  </si>
  <si>
    <t>En la región de Magallanes, la comuna de Punta Arenas, registraba la mayor cantidad de conexiones de internet fija, con 35.376 conexiones, el año 2019.  En el mismo año, las comunas de Cabo de Hornos y Río Verde no registraban conexiones.</t>
  </si>
  <si>
    <t>En la región Metropolitana, la comuna de Santiago, registraba la mayor cantidad de conexiones de internet fija, con 173.222 conexiones, el año 2019.  En el mismo año, las comunas de Alhué y San José registraban sólo 6 conexiones cada una.</t>
  </si>
  <si>
    <t>En la región de Los Ríos, la comuna de Valdivia, registraba la mayor cantidad de conexiones de internet fija, con 40.030 conexiones, el año 2019.  En el mismo año, la comuna de Lago Ranco registraba 138 conexiones.</t>
  </si>
  <si>
    <t>En la región de Arica y Parinacota , la comuna de Arica, registraba la mayor cantidad de conexiones de internet fija, con 4.268 conexiones, el año 2019.  En el mismo año, la comuna de General Lagos no registraba conexiones.</t>
  </si>
  <si>
    <t>En la región del Ñuble, la comuna de Chillán, registraba la mayor cantidad de conexiones de internet fija, con 42.293 conexiones, el año 2019.  En el mismo año, la comuna de Treguaco registraba sólo 4 conexiones.</t>
  </si>
  <si>
    <t>Producción de cobre en la región de Tarapacá en el periodo 2014-2021</t>
  </si>
  <si>
    <t>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t>
  </si>
  <si>
    <t>En Chile, la mayor cantidad de niños, niñas y adolescentes (NNA) ingresados en centros de SENAME en el año 2019 lo hizo por medio de la Línea de Atención Ambulatoria, seguida por la Línea de Atención Oficina Protección de Derechos, con 53.163 y 27.632 NNA respectivamente.</t>
  </si>
  <si>
    <t>Línea de Atención</t>
  </si>
  <si>
    <t>En Chile, la tasa de desocupación alcanzó su máximo en febrero de 1986 con un valor de 13,5. Luego, comienza a disminuir gradualmente hasta febrero de 1998, alcanzando su valor más bajo en todo el periodo observado con 5,1. En mayo de 2021, esta cifra llega a un valor de 10,3.</t>
  </si>
  <si>
    <t>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t>
  </si>
  <si>
    <t>La variación en la cantidad de desocupados a nivel nacional encontró su máximo en junio de 1999, con un valor de 85,8%. En noviembre de 2010 se observó el valor mínimo de esta variación con -29,5%. A mayo de 2021, se alcanzó una variación de -4,6%.</t>
  </si>
  <si>
    <t>Dinámica de Cambio de Glaciares en temporada seca (Ene-Abr)</t>
  </si>
  <si>
    <t>Complejo Glaciar COCHAMÓ-HUALAIHUÉ || Costeras entre Rio Puelo y Punta Trentelhue-/Rio Puelo Chico/Costeras Entre Punta Tentelhue y Rio Negro (Incluido)</t>
  </si>
  <si>
    <t>Años 2017-2018</t>
  </si>
  <si>
    <t>hectáreas (ha)</t>
  </si>
  <si>
    <t>DATA INTELLIGENCE con base en Procesamiento de Imágenes Satelitales SENTINEL</t>
  </si>
  <si>
    <t>Dinámica de Cambio en temporada seca (Ene-Abr) durante los Años 2017-2018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</si>
  <si>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t>
  </si>
  <si>
    <t>Mapa Interactivo</t>
  </si>
  <si>
    <t>https://servidormapa.azurewebsites.net/gr10/Dinamica?q=Q1&amp;p=17-18&amp;idGlaciar=2923</t>
  </si>
  <si>
    <t>#FFFFFF</t>
  </si>
  <si>
    <t>T-262</t>
  </si>
  <si>
    <t>C-264</t>
  </si>
  <si>
    <t>FI-262</t>
  </si>
  <si>
    <t>M-262</t>
  </si>
  <si>
    <t>Años 2018-2019</t>
  </si>
  <si>
    <t>Dinámica de Cambio en temporada seca (Ene-Abr) durante los Años 2018-2019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</si>
  <si>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t>
  </si>
  <si>
    <t>https://servidormapa.azurewebsites.net/gr10/Dinamica?q=Q1&amp;p=18-19&amp;idGlaciar=2923</t>
  </si>
  <si>
    <t xml:space="preserve"> Años 2019-2020</t>
  </si>
  <si>
    <t>Dinámica de Cambio en temporada seca (Ene-Abr) durante los  Años 2019-2020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</si>
  <si>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t>
  </si>
  <si>
    <t>https://servidormapa.azurewebsites.net/gr10/Dinamica?q=Q1&amp;p=19-20&amp;idGlaciar=2923</t>
  </si>
  <si>
    <t>Años 2020-2021</t>
  </si>
  <si>
    <t>Dinámica de Cambio en temporada seca (Ene-Abr) durante los Años 2020-2021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</si>
  <si>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t>
  </si>
  <si>
    <t>https://servidormapa.azurewebsites.net/gr10/Dinamica?q=Q1&amp;p=20-21&amp;idGlaciar=2923</t>
  </si>
  <si>
    <t>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t>
  </si>
  <si>
    <t>https://servidormapa.azurewebsites.net/gr10/Dinamica?q=Q2&amp;p=17-18&amp;idGlaciar=2923</t>
  </si>
  <si>
    <t>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t>
  </si>
  <si>
    <t>https://servidormapa.azurewebsites.net/gr10/Dinamica?q=Q2&amp;p=18-19&amp;idGlaciar=2923</t>
  </si>
  <si>
    <t>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t>
  </si>
  <si>
    <t>https://servidormapa.azurewebsites.net/gr10/Dinamica?q=Q2&amp;p=19-20&amp;idGlaciar=2923</t>
  </si>
  <si>
    <t>Dinámica de Cambio de Glaciares</t>
  </si>
  <si>
    <t>Varios</t>
  </si>
  <si>
    <t>Años 2017-2021</t>
  </si>
  <si>
    <t>Detalle de la Dinámica de Cambio en el Complejo Glaciar COCHAMÓ-HUALAIHUÉ || Costeras entre Rio Puelo y Punta Trentelhue-/Rio Puelo Chico/Costeras Entre Punta Tentelhue y Rio Negro (Incluido)</t>
  </si>
  <si>
    <t>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</si>
  <si>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https://analytics.zoho.com/open-view/2395394000008984479?ZOHO_CRITERIA=%22Glaciares%2010%20Final%22.%22idZonGlac%22%3D2923</t>
  </si>
  <si>
    <t>C-262</t>
  </si>
  <si>
    <t>FI-263</t>
  </si>
  <si>
    <t>Dinámica de Cambio de Glaciares en temporada fria (May-Dic)</t>
  </si>
  <si>
    <t>Mapa descargable (pdf) de la Dinámica de Cambio en temporada seca (Ene-Abr) durante los Años 2017-2018 en el Complejo Glaciar COCHAMÓ-HUALAIHUÉ || Costeras entre Rio Puelo y Punta Trentelhue-/Rio Puelo Chico/Costeras Entre Punta Tentelhue y Rio Negro (Incluido)</t>
  </si>
  <si>
    <t>Mapa Descargable (pdf)</t>
  </si>
  <si>
    <t>C-263</t>
  </si>
  <si>
    <t>Mapa descargable (pdf) de la Dinámica de Cambio en temporada seca (Ene-Abr) durante los Años 2018-2019 en el Complejo Glaciar COCHAMÓ-HUALAIHUÉ || Costeras entre Rio Puelo y Punta Trentelhue-/Rio Puelo Chico/Costeras Entre Punta Tentelhue y Rio Negro (Incluido)</t>
  </si>
  <si>
    <t>Mapa descargable (pdf) de la Dinámica de Cambio en temporada seca (Ene-Abr) durante los  Años 2019-2020 en el Complejo Glaciar COCHAMÓ-HUALAIHUÉ || Costeras entre Rio Puelo y Punta Trentelhue-/Rio Puelo Chico/Costeras Entre Punta Tentelhue y Rio Negro (Incluido)</t>
  </si>
  <si>
    <t>Mapa descargable (pdf) de la Dinámica de Cambio en temporada seca (Ene-Abr) durante los Años 2020-2021 en el Complejo Glaciar COCHAMÓ-HUALAIHUÉ || Costeras entre Rio Puelo y Punta Trentelhue-/Rio Puelo Chico/Costeras Entre Punta Tentelhue y Rio Negro (Incluido)</t>
  </si>
  <si>
    <t>Superficie de Glaciares</t>
  </si>
  <si>
    <t>Superficie Máxima y Mínima en el Complejo Glaciar COCHAMÓ-HUALAIHUÉ || Costeras entre Rio Puelo y Punta Trentelhue-/Rio Puelo Chico/Costeras Entre Punta Tentelhue y Rio Negro (Incluido)</t>
  </si>
  <si>
    <t>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t>
  </si>
  <si>
    <t>https://servidormapa.azurewebsites.net/gr10/maxmin?idGlaciar=2923</t>
  </si>
  <si>
    <t>T-263</t>
  </si>
  <si>
    <t>C-265</t>
  </si>
  <si>
    <t>Detalle de la Superficie Máxima y Mínima en el Complejo Glaciar COCHAMÓ-HUALAIHUÉ || Costeras entre Rio Puelo y Punta Trentelhue-/Rio Puelo Chico/Costeras Entre Punta Tentelhue y Rio Negro (Incluido)</t>
  </si>
  <si>
    <t>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t>
  </si>
  <si>
    <t>https://analytics.zoho.com/open-view/2395394000008979469?ZOHO_CRITERIA=%22Glaciares%2010%20Final%22.%22idZonGlac%22%3D2923</t>
  </si>
  <si>
    <t>Mapa descargable (pdf) con las Superficies Máximas y Mínimas en el Complejo Glaciar COCHAMÓ-HUALAIHUÉ || Costeras entre Rio Puelo y Punta Trentelhue-/Rio Puelo Chico/Costeras Entre Punta Tentelhue y Rio Negro (Incluido)</t>
  </si>
  <si>
    <t>https://sud-austral.github.io/Pdf2/Layout_Acumulaci%C3%B3n_Max_Min_Q1_Q2_R10/2923.pdf</t>
  </si>
  <si>
    <t>Complejo Glaciar Volcán Calbuco</t>
  </si>
  <si>
    <t>Dinámica de Cambio en temporada seca (Ene-Abr) durante los Años 2017-2018 en el Complejo Glaciar Volcán Calbuco</t>
  </si>
  <si>
    <t>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t>
  </si>
  <si>
    <t>https://servidormapa.azurewebsites.net/gr10/Dinamica?q=Q1&amp;p=17-18&amp;idGlaciar=3074</t>
  </si>
  <si>
    <t>M-263</t>
  </si>
  <si>
    <t>Dinámica de Cambio en temporada seca (Ene-Abr) durante los Años 2018-2019 en el Complejo Glaciar Volcán Calbuco</t>
  </si>
  <si>
    <t>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t>
  </si>
  <si>
    <t>https://servidormapa.azurewebsites.net/gr10/Dinamica?q=Q1&amp;p=18-19&amp;idGlaciar=3074</t>
  </si>
  <si>
    <t>Dinámica de Cambio en temporada seca (Ene-Abr) durante los  Años 2019-2020 en el Complejo Glaciar Volcán Calbuco</t>
  </si>
  <si>
    <t>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t>
  </si>
  <si>
    <t>https://servidormapa.azurewebsites.net/gr10/Dinamica?q=Q1&amp;p=19-20&amp;idGlaciar=3074</t>
  </si>
  <si>
    <t>Dinámica de Cambio en temporada seca (Ene-Abr) durante los Años 2020-2021 en el Complejo Glaciar Volcán Calbuco</t>
  </si>
  <si>
    <t>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t>
  </si>
  <si>
    <t>https://servidormapa.azurewebsites.net/gr10/Dinamica?q=Q1&amp;p=20-21&amp;idGlaciar=3074</t>
  </si>
  <si>
    <t>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t>
  </si>
  <si>
    <t>https://servidormapa.azurewebsites.net/gr10/Dinamica?q=Q2&amp;p=17-18&amp;idGlaciar=3074</t>
  </si>
  <si>
    <t>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t>
  </si>
  <si>
    <t>https://servidormapa.azurewebsites.net/gr10/Dinamica?q=Q2&amp;p=18-19&amp;idGlaciar=3074</t>
  </si>
  <si>
    <t>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t>
  </si>
  <si>
    <t>https://servidormapa.azurewebsites.net/gr10/Dinamica?q=Q2&amp;p=19-20&amp;idGlaciar=3074</t>
  </si>
  <si>
    <t>Detalle de la Dinámica de Cambio en el Complejo Glaciar Volcán Calbuco</t>
  </si>
  <si>
    <t>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</si>
  <si>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https://analytics.zoho.com/open-view/2395394000008984479?ZOHO_CRITERIA=%22Glaciares%2010%20Final%22.%22idZonGlac%22%3D3074</t>
  </si>
  <si>
    <t>Mapa descargable (pdf) de la Dinámica de Cambio en temporada seca (Ene-Abr) durante los Años 2017-2018 en el Complejo Glaciar Volcán Calbuco</t>
  </si>
  <si>
    <t>Mapa descargable (pdf) de la Dinámica de Cambio en temporada seca (Ene-Abr) durante los Años 2018-2019 en el Complejo Glaciar Volcán Calbuco</t>
  </si>
  <si>
    <t>Mapa descargable (pdf) de la Dinámica de Cambio en temporada seca (Ene-Abr) durante los  Años 2019-2020 en el Complejo Glaciar Volcán Calbuco</t>
  </si>
  <si>
    <t>Mapa descargable (pdf) de la Dinámica de Cambio en temporada seca (Ene-Abr) durante los Años 2020-2021 en el Complejo Glaciar Volcán Calbuco</t>
  </si>
  <si>
    <t>Superficie Máxima y Mínima en el Complejo Glaciar Volcán Calbuco</t>
  </si>
  <si>
    <t xml:space="preserve">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	</t>
  </si>
  <si>
    <t>https://servidormapa.azurewebsites.net/gr10/maxmin?idGlaciar=3074</t>
  </si>
  <si>
    <t>Detalle de la Superficie Máxima y Mínima en el Complejo Glaciar Volcán Calbuco</t>
  </si>
  <si>
    <t>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t>
  </si>
  <si>
    <t>https://analytics.zoho.com/open-view/2395394000008979469?ZOHO_CRITERIA=%22Glaciares%2010%20Final%22.%22idZonGlac%22%3D3074</t>
  </si>
  <si>
    <t>Mapa descargable (pdf) con las Superficies Máximas y Mínimas en el Complejo Glaciar Volcán Calbuco</t>
  </si>
  <si>
    <t>https://sud-austral.github.io/Pdf2/Layout_Acumulaci%C3%B3n_Max_Min_Q1_Q2_R10/3074.pdf</t>
  </si>
  <si>
    <t>Complejo Glaciar Volcán Osorno</t>
  </si>
  <si>
    <t>Dinámica de Cambio en temporada seca (Ene-Abr) durante los Años 2017-2018 en el Complejo Glaciar Volcán Osorno</t>
  </si>
  <si>
    <t>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t>
  </si>
  <si>
    <t>https://servidormapa.azurewebsites.net/gr10/Dinamica?q=Q1&amp;p=17-18&amp;idGlaciar=3104</t>
  </si>
  <si>
    <t>M-264</t>
  </si>
  <si>
    <t>Dinámica de Cambio en temporada seca (Ene-Abr) durante los Años 2018-2019 en el Complejo Glaciar Volcán Osorno</t>
  </si>
  <si>
    <t>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t>
  </si>
  <si>
    <t>https://servidormapa.azurewebsites.net/gr10/Dinamica?q=Q1&amp;p=18-19&amp;idGlaciar=3104</t>
  </si>
  <si>
    <t>Dinámica de Cambio en temporada seca (Ene-Abr) durante los  Años 2019-2020 en el Complejo Glaciar Volcán Osorno</t>
  </si>
  <si>
    <t>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t>
  </si>
  <si>
    <t>https://servidormapa.azurewebsites.net/gr10/Dinamica?q=Q1&amp;p=19-20&amp;idGlaciar=3104</t>
  </si>
  <si>
    <t>Dinámica de Cambio en temporada seca (Ene-Abr) durante los Años 2020-2021 en el Complejo Glaciar Volcán Osorno</t>
  </si>
  <si>
    <t>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t>
  </si>
  <si>
    <t>https://servidormapa.azurewebsites.net/gr10/Dinamica?q=Q1&amp;p=20-21&amp;idGlaciar=3104</t>
  </si>
  <si>
    <t>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t>
  </si>
  <si>
    <t>https://servidormapa.azurewebsites.net/gr10/Dinamica?q=Q2&amp;p=17-18&amp;idGlaciar=3104</t>
  </si>
  <si>
    <t>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t>
  </si>
  <si>
    <t>https://servidormapa.azurewebsites.net/gr10/Dinamica?q=Q2&amp;p=18-19&amp;idGlaciar=3104</t>
  </si>
  <si>
    <t>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t>
  </si>
  <si>
    <t>https://servidormapa.azurewebsites.net/gr10/Dinamica?q=Q2&amp;p=19-20&amp;idGlaciar=3104</t>
  </si>
  <si>
    <t>Detalle de la Dinámica de Cambio en el Complejo Glaciar Volcán Osorno</t>
  </si>
  <si>
    <t>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</si>
  <si>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https://analytics.zoho.com/open-view/2395394000008984479?ZOHO_CRITERIA=%22Glaciares%2010%20Final%22.%22idZonGlac%22%3D3104</t>
  </si>
  <si>
    <t>Mapa descargable (pdf) de la Dinámica de Cambio en temporada seca (Ene-Abr) durante los Años 2017-2018 en el Complejo Glaciar Volcán Osorno</t>
  </si>
  <si>
    <t>Mapa descargable (pdf) de la Dinámica de Cambio en temporada seca (Ene-Abr) durante los Años 2018-2019 en el Complejo Glaciar Volcán Osorno</t>
  </si>
  <si>
    <t>Mapa descargable (pdf) de la Dinámica de Cambio en temporada seca (Ene-Abr) durante los  Años 2019-2020 en el Complejo Glaciar Volcán Osorno</t>
  </si>
  <si>
    <t>Mapa descargable (pdf) de la Dinámica de Cambio en temporada seca (Ene-Abr) durante los Años 2020-2021 en el Complejo Glaciar Volcán Osorno</t>
  </si>
  <si>
    <t>Superficie Máxima y Mínima en el Complejo Glaciar Volcán Osorno</t>
  </si>
  <si>
    <t>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t>
  </si>
  <si>
    <t>https://servidormapa.azurewebsites.net/gr10/maxmin?idGlaciar=3104</t>
  </si>
  <si>
    <t>Detalle de la Superficie Máxima y Mínima en el Complejo Glaciar Volcán Osorno</t>
  </si>
  <si>
    <t>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t>
  </si>
  <si>
    <t>https://analytics.zoho.com/open-view/2395394000008979469?ZOHO_CRITERIA=%22Glaciares%2010%20Final%22.%22idZonGlac%22%3D3104</t>
  </si>
  <si>
    <t>Mapa descargable (pdf) con las Superficies Máximas y Mínimas en el Complejo Glaciar Volcán Osorno</t>
  </si>
  <si>
    <t>https://sud-austral.github.io/Pdf2/Layout_Acumulaci%C3%B3n_Max_Min_Q1_Q2_R10/3104.pdf</t>
  </si>
  <si>
    <t>0283</t>
  </si>
  <si>
    <t>0284</t>
  </si>
  <si>
    <t>0285</t>
  </si>
  <si>
    <t>0286</t>
  </si>
  <si>
    <t>0287</t>
  </si>
  <si>
    <t>0288</t>
  </si>
  <si>
    <t>0289</t>
  </si>
  <si>
    <t>0290</t>
  </si>
  <si>
    <t>0291</t>
  </si>
  <si>
    <t>0292</t>
  </si>
  <si>
    <t>0293</t>
  </si>
  <si>
    <t>0294</t>
  </si>
  <si>
    <t>0295</t>
  </si>
  <si>
    <t>0296</t>
  </si>
  <si>
    <t>0297</t>
  </si>
  <si>
    <t>0298</t>
  </si>
  <si>
    <t>0299</t>
  </si>
  <si>
    <t>Los parques urbanos en Chile, el año 2020, se encuentran principalmente en las comunas de Antofagasta y Aisén, con 40 y 25 parques, respectivamente.</t>
  </si>
  <si>
    <t>Los parques urbanos en la región de Tarapacá, el año 2020, se encuentran principalmente en las comunas de Iquique y Alto Hospicio, con 6 y 6 parques, respectivamente. En el otro extremo se encuentran Colchane, Camiña, Huara y Pozo Almonte (0 parques cada una).</t>
  </si>
  <si>
    <t>Los parques urbanos en la región de Antofagasta, el año 2020, se encuentran principalmente en las comunas de Antofasta y Calama, con 40 y 17 parques, respectivamente. En el otro extremo se encuentran Ollagüe y Mejillones (0 parques cada una).</t>
  </si>
  <si>
    <t>Los parques urbanos en la región de Atacama, el año 2020, se encuentran principalmente en las comunas de Diego de Alamagro y Copiapó, con 2 y 2 parques, respectivamente. En el otro extremo se encuentran Chañaral, Alto del Carmen y Freirina (0 parques cada una).</t>
  </si>
  <si>
    <t>Los parques urbanos en la región de Coquimbo, el año 2020, se encuentran principalmente en la comuna de La Serena, con 8 parques. En el otro extremo se encuentran Paiguano, Río Hurtado, Combarbalá, Punitaqui y Canela (0 parques cada una).</t>
  </si>
  <si>
    <t>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t>
  </si>
  <si>
    <t>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t>
  </si>
  <si>
    <t>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t>
  </si>
  <si>
    <t>Los parques urbanos en la región de Aysén, el año 2020, se encuentran principalmente en las comunas de Aisén y Lago Verde, con 25 y 4 parques, respectivamente. En el otro extremo se encuentran Cisnes, Coihaique, Río Ibáñez y Tortel (0 parques cada una).</t>
  </si>
  <si>
    <t>Los parques urbanos en la región de Magallanes, el año 2020, se encuentran principalmente en las comunas de Punta Arenas, con 5 y  parques, respectivamente. En el otro extremo se encuentran Torres del Paine, Río Verde, San Gregorio, Porvenir y Timaukel (0 parques cada una).</t>
  </si>
  <si>
    <t>Los parques urbanos en la región Metropolitana, el año 2020, se encuentran principalmente en las comunas de Ñuñoa y Colina, con 20 y 14 parques, respectivamente. En el otro extremo se encuentran San José de Maipo, Pirque, Calera de Tango, Isla Maipo y El Monte (0 parques cada una).</t>
  </si>
  <si>
    <t>Los parques urbanos en la región de Los Ríos, el año 2020, se encuentran principalmente en la comuna de Valdivia, con 5 parques. En el otro extremo se encuentran Futrono, Paillaco y Río Bueno (0 parques cada una).</t>
  </si>
  <si>
    <t>Los parques urbanos en la región de Arica y Parinacota, el año 2020, se encuentran principalmente en la comuna de Arica, con 19 parques. En el otro extremo se encuentran General Lagos, Putre y Camarones (0 parques cada una).</t>
  </si>
  <si>
    <t>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t>
  </si>
  <si>
    <t>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t>
  </si>
  <si>
    <t>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t>
  </si>
  <si>
    <t>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t>
  </si>
  <si>
    <t>Las plazas públicas en Chile, el año 2020, se encuentran principalmente en las comunas de de Puente Alto y Maipú, con 1.714 y 1.652 plazas, respectivamente. En el otro extremo se encuentran Río Verde, Porvenir y Camarones (0 plazas).</t>
  </si>
  <si>
    <t>Las plazas públicas en la región de Tarapacá, el año 2020, se encuentran principalmente en las comunas de Iquique y Alto Hospicio, con 133 y 67 plazas, respectivamente. En el otro extremo se encuentran Pica (9 plazas) y Huara (1 plaza).</t>
  </si>
  <si>
    <t>Las plazas públicas en la región de Antofagasta, el año 2020, se encuentran principalmente en las comunas de Antofagasta y Calama, con 151 y 98 plazas, respectivamente. En el otro extremo se encuentran Taltal (8 plazas) y Ollagüe (2 plazas).</t>
  </si>
  <si>
    <t>Las plazas públicas en la región de Atacama, el año 2020, se encuentran principalmente en las comunas de Copiapó y Vallenar, con 152 y 127 plazas, respectivamente. En el otro extremo se encuentran Diego de Almagro (5 plazas) y Tierra Amarilla (2 plazas).</t>
  </si>
  <si>
    <t>Las plazas públicas en la región de Coquimbo, el año 2020, se encuentran principalmente en las comunas de Coquimbo y La Serena, con 945 y 917 plazas, respectivamente. En el otro extremo se encuentran Salamanca, La Higuera, Río Hurtado  (12 plazas) e Illapel (7 plazas).</t>
  </si>
  <si>
    <t>Las plazas públicas en la región de Valparaíso, el año 2020, se encuentran principalmente en las comunas de Quilpué y Limache, con 351 y 311 plazas, respectivamente. En el otro extremo se encuentran Putaendo (2 plazas) y Santa María (1 plaza).</t>
  </si>
  <si>
    <t>Las plazas públicas en la región de Maule, el año 2020, se encuentran principalmente en las comunas de Talca y Curicó, con 998 y 685 plazas, respectivamente. En el otro extremo se encuentran Villa Alegre, San Rafael (1 plazas) y Colbún (2 plazas).</t>
  </si>
  <si>
    <t>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t>
  </si>
  <si>
    <t>Las plazas públicas en la región de Aysén, el año 2020, se encuentran principalmente en las comunas de Coihaique y Chile Chico, con 335 y 27 plazas, respectivamente. En el otro extremo se encuentran Aisén (5 plazas) y Lago Verde (3 plazas).</t>
  </si>
  <si>
    <t>Las plazas públicas en la región de Magallanes, el año 2020, se encuentran principalmente en las comunas de Punta Arenas y Natales, con 61 y 52 plazas, respectivamente. En el otro extremo se encuentran Timaukel (1 plaza) y Río Verde, Porvenir (0 plazas).</t>
  </si>
  <si>
    <t>Las plazas públicas en la región Metropolitana, el año 2020, se encuentran principalmente en las comunas de Puente Alto y Maipú, con 1.714 y 1.652 plazas, respectivamente. En el otro extremo se encuentran Calera de Tango, Pirque (4 plazas) y El Monte (2 plazas).</t>
  </si>
  <si>
    <t>Las plazas públicas en la región de Los Ríos, el año 2020, se encuentran principalmente en las comunas de La Unión y Panguipulli, con 137 y 47 plazas, respectivamente. En el otro extremo se encuentran Máfil, Los Lagos, Corral y Río Bueno (2 plazas).</t>
  </si>
  <si>
    <t>Las plazas públicas en la región de Arica y Parinacota, el año 2020, se encuentran principalmente en las comunas de Arica, con 177 plazas. En el otro extremo se encuentran Putre (1 plaza) y Camarones (0 plazas).</t>
  </si>
  <si>
    <t>Las plazas públicas en la región de Ñuble, el año 2020, se encuentran principalmente en las comunas de Chillán y San Carlos, con 492 y 56 plazas, respectivamente. En el otro extremo se encuentran Yungay (2 plazas) y Quirihue, San Nicolás, Portezuelo, Treguaco y Peumo (1 plaza).</t>
  </si>
  <si>
    <t>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t>
  </si>
  <si>
    <t>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t>
  </si>
  <si>
    <t>Las plazas públicas en la región de O'Higgins, el año 2020, se encuentran principalmente en las comunas de Rancagua y Machalí, con 1.023 y 376 plazas, respectivamente. En el otro extremo se encuentran Pumanque (7 plazas) y Litueche (4 plazas).</t>
  </si>
  <si>
    <t>En Chile, durante el periodo 2001-2020, las comunas de Illapel y Lago Verde destacan por tener mayor superficie de áreas verdes mantenidas por habitante. El máximo lo alcanzó Illapel el año 2010 con 210,72 m2/hab, seguido de Lago Verde el año 2015 con 180,72 m2/hab.</t>
  </si>
  <si>
    <t>En la región de Tarapacá, durante el periodo 2001-2020, las comunas de Huara y Pica destacan por tener mayor superficie de áreas verdes mantenidas por habitante. El máximo lo alcanzó Huara el año 2003 con 14,98 m2/hab, seguido de Pica el año 2020 con 12,77 m2/hab.</t>
  </si>
  <si>
    <t>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t>
  </si>
  <si>
    <t>En la región de Atacama, durante el periodo 2001-2020, las comunas de Chañaral y Caldera destacan por tener mayor superficie de áreas verdes mantenidas por habitante. El máximo lo alcanzó Chañaral el año 2019 con 30,65 m2/hab, seguido de Caldera el año 2017 con 10,66 m2/hab.</t>
  </si>
  <si>
    <t>En la región de Coquimbo, durante el periodo 2001-2020, las comunas de Illapel y Paiguano destacan por tener mayor superficie de áreas verdes mantenidas por habitante. El máximo lo alcanzó Illapel el año 2010 con 210,72 m2/hab, seguido de Paiguano el año 2008 con 17,57 m2/hab.</t>
  </si>
  <si>
    <t>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t>
  </si>
  <si>
    <t>En la región de Maule, durante el periodo 2001-2020, las comunas de Parral y Pelluhue destacan por tener mayor superficie de áreas verdes mantenidas por habitante. El máximo lo alcanzó Parral el año 2010 con 87,83 m2/hab, seguido de Pelluhue el año 2019 con 44,90 m2/hab.</t>
  </si>
  <si>
    <t>En la región de Los Lagos, durante el periodo 2001-2020, las comunas de Futaleufú y Palena destacan por tener mayor superficie de áreas verdes mantenidas por habitante. El máximo lo alcanzó Futaleufú el año 2020 con 85,00 m2/hab, seguido de Palena el año 2010 con 29,06 m2/hab.</t>
  </si>
  <si>
    <t>En la región de Aysén, durante el periodo 2001-2020, las comunas de Lago Verde y O'Higgins destacan por tener mayor superficie de áreas verdes mantenidas por habitante. El máximo lo alcanzó Lago Verde el año 2015 con 180,72 m2/hab, seguido de O'Higgins el año 2014 con 148,38 m2/hab.</t>
  </si>
  <si>
    <t>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t>
  </si>
  <si>
    <t>En la región Metropolitana, durante el periodo 2001-2020, las comunas de Tiltil y Pirque destacan por tener mayor superficie de áreas verdes mantenidas por habitante. El máximo lo alcanzó Tiltil el año 2010 con 118,96 m2/hab, seguido de Pirque el año 2001 con 20,69 m2/hab.</t>
  </si>
  <si>
    <t>En la región de Los Ríos, durante el periodo 2001-2020, las comunas de Lago Ranco y Futrono destacan por tener mayor superficie de áreas verdes mantenidas por habitante. El máximo lo alcanzó Lago Ranco el año 2008 con 32,97 m2/hab, seguido de Futrono el año 2013 con 31,61 m2/hab.</t>
  </si>
  <si>
    <t>En la región de Arica y Parinacota, durante el periodo 2001-2020, las comunas de Putre y Arica destacan por tener mayor superficie de áreas verdes mantenidas por habitante. El máximo lo alcanzó Putre el año 2013 con 34,56 m2/hab, seguido de Arica el año 2001 con 4,06 m2/hab.</t>
  </si>
  <si>
    <t>En la región de Ñuble, durante el periodo 2001-2020, las comunas de Coelemu y San Nicolás destacan por tener mayor superficie de áreas verdes mantenidas por habitante. El máximo lo alcanzó Coelemu el año 2009 con 78,45 m2/hab, seguido de San Nicolás el año 2007 con 29,93 m2/hab.</t>
  </si>
  <si>
    <t>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t>
  </si>
  <si>
    <t>En la región del Biobío, durante el periodo 2001-2020, las comunas de Negrete y Lota destacan por tener mayor superficie de áreas verdes mantenidas por habitante. El máximo lo alcanzó Negrete el año 2020 con 23,97 m2/hab, seguido de Lota el año 2007 con 18,61 m2/hab.</t>
  </si>
  <si>
    <t>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t>
  </si>
  <si>
    <t>En la región de Tarapacá, el año 2019, las comunas de Iquique y Pica destacan por tener mayor superficie de parques urbanos. El máximo se observa en Iquique con 9.48 ha, seguido de Pica con 2.07 ha.</t>
  </si>
  <si>
    <t>En la región de Antofagasta, el año 2019, las comunas de Antofagasta y Calama destacan por tener mayor superficie de parques urbanos. El máximo se observa en Antofagasta con 26,95 ha, seguido de Calama con 18,09 ha.</t>
  </si>
  <si>
    <t>En la región de Atacama, el año 2019, las comunas de Huasco y Vallenar destacan por tener mayor superficie de parques urbanos. El máximo se observa en Huasco con 5,86 ha, seguido de Vallenar con 5,80 ha.</t>
  </si>
  <si>
    <t>En la región de Coquimbo, el año 2019, las comunas de La Serena y Vicuña destacan por tener mayor superficie de parques urbanos. El máximo se observa en La Serena con 119,66 ha, seguido de Vicuña con 19,00 ha.</t>
  </si>
  <si>
    <t>En la región de Valparaíso, el año 2019, las comunas de Viña del Mar y Quillota destacan por tener mayor superficie de parques urbanos. El máximo se observa en Viña del Mar con 56,70 ha, seguido de Quillota con 19,77 ha.</t>
  </si>
  <si>
    <t>En la región de O'Higgins, el año 2019, las comunas de Rancagua y Santa Cruz destacan por tener mayor superficie de parques urbanos. El máximo se observa en Rancagua con 29,89 ha, seguido de Santa Cruz con 24,00 ha.</t>
  </si>
  <si>
    <t>En la región de Maule, el año 2019, las comunas de Chanco y Talca destacan por tener mayor superficie de parques urbanos. El máximo se observa en Chanco con 190,00 ha, seguido de Talca con 46,27 ha.</t>
  </si>
  <si>
    <t>En la región del Biobío, el año 2019, las comunas de Talcahuano y Los Ángeles destacan por tener mayor superficie de parques urbanos. El máximo se observa en Talcahuano con 38,07 ha, seguido de Los Ángeles con 32,78 ha.</t>
  </si>
  <si>
    <t>En la región de La Araucanía, el año 2019, las comunas de Lautaro y Temuco destacan por tener mayor superficie de parques urbanos. El máximo se observa en Lautaro con 38,00 ha, seguido de Temuco con 27,63 ha.</t>
  </si>
  <si>
    <t>En la región de Los Lagos, el año 2019, las comunas de Osorno y Maullín destacan por tener mayor superficie de parques urbanos. El máximo se observa en Osorno con 55,98 ha, seguido de Maullín con 18,52 ha.</t>
  </si>
  <si>
    <t>En la región de Aysén, el año 2019, las comunas de Cochrane y Lago Verde destacan por tener mayor superficie de parques urbanos. El máximo se observa en Cochrane con 4,57 ha, seguido de Lago Verde con 2,14 ha.</t>
  </si>
  <si>
    <t>En la región de Magallanes, el año 2019, las comunas de Cabo de Hornos y Punta Arenas destacan por tener mayor superficie de parques urbanos. El máximo se observa en Cabo de Hornos con 1.687,91 ha, seguido de Punta Arenas con 29,03 ha.</t>
  </si>
  <si>
    <t>En la región Metropolitana, el año 2019, las comunas de Huechuraba y Santiago destacan por tener mayor superficie de parques urbanos. El máximo se observa en Huechuraba con 188,14 ha, seguido de Santiago con 157,80 ha.</t>
  </si>
  <si>
    <t>En la región de Los Ríos, el año 2019, las comunas de Valdivia y Máfil destacan por tener mayor superficie de parques urbanos. El máximo se observa en Valdivia con 32,24 ha, seguido de Máfil con 10,00 ha.</t>
  </si>
  <si>
    <t>En la región de Arica y Parinacota, el año 2019, la comuna de Arica destaca por tener mayor superficie de parques urbanos. El máximo se observa en esta comuna con 15,32 ha.</t>
  </si>
  <si>
    <t>En la región de Ñuble, el año 2019, las comunas de San Carlos y Chillán destacan por tener mayor superficie de parques urbanos. El máximo se observa en San Carlos con 8,22 ha, seguido de Chillán con 7,10 ha.</t>
  </si>
  <si>
    <t>En la región de Tarapacá, el año 2019, las comunas de Alto Hospicio e Iquique destacan por tener mayor superficie de plazas públicas. El máximo se observa en Alto Hospicio con 13,03 ha, seguido de Iquique con 5,85 ha.</t>
  </si>
  <si>
    <t>En la región de Antofagasta, el año 2019, las comunas de Antofagasta y Calama destacan por tener mayor superficie de plazas públicas. El máximo se observa en Antofagasta con 40,98 ha, seguido de Calama con 28,32 ha.</t>
  </si>
  <si>
    <t>En la región de Atacama, el año 2019, las comunas de Caldera y Vallenar destacan por tener mayor superficie de plazas públicas. El máximo se observa en Caldera con 17,04 ha, seguido de Vallenar con 10,22 ha.</t>
  </si>
  <si>
    <t>En la región de Coquimbo, el año 2019, las comunas de Coquimbo y La Serena destacan por tener mayor superficie de plazas públicas. El máximo se observa en Coquimbo con 149,92 ha, seguido de La Serena con 94,15 ha.</t>
  </si>
  <si>
    <t>En la región de Valparaíso, el año 2019, las comunas de Viña del Mar y Valparaíso destacan por tener mayor superficie de plazas públicas. El máximo se observa en Viña del Mar con 80,99 ha, seguido de Valparaíso con 46,45 ha.</t>
  </si>
  <si>
    <t>En la región de Ohiggins, el año 2019, las comunas de Rancagua y Machalí destacan por tener mayor superficie de plazas públicas. El máximo se observa en Rancagua con 162,89 ha, seguido de Machalí con 38,60 ha.</t>
  </si>
  <si>
    <t>En la región de Maule, el año 2019, las comunas de Talca y Curicó destacan por tener mayor superficie de plazas públicas. El máximo se observa en Talca con 132,96 ha, seguido de Curicó con 71,18 ha.</t>
  </si>
  <si>
    <t>En la región de Biobío, el año 2019, las comunas de San Pedro de la Paz y Los Ángeles destacan por tener mayor superficie de plazas públicas. El máximo se observa en San Pedro de la Paz con 126,54 ha, seguido de Los Ángeles con 97,76 ha.</t>
  </si>
  <si>
    <t>En la región de Araucanía, el año 2019, las comunas de Villarrica y Angol destacan por tener mayor superficie de plazas públicas. El máximo se observa en Villarrica con 22,39 ha, seguido de Angol con 20,90 ha.</t>
  </si>
  <si>
    <t>En la región de Los Lagos, el año 2019, las comunas de Puerto Montt y Osorno destacan por tener mayor superficie de plazas públicas. El máximo se observa en Puerto Montt con 88,24 ha, seguido de Osorno con 63,33 ha.</t>
  </si>
  <si>
    <t>En la región de Aysén, el año 2019, las comunas de Coihaique y Chile Chico destacan por tener mayor superficie de plazas públicas. El máximo se observa en Coihaique con 41,87 ha, seguido de Chile Chico con 4,91 ha.</t>
  </si>
  <si>
    <t>En la región de Magallanes, el año 2019, las comunas de Natales y Punta Arenas destacan por tener mayor superficie de plazas públicas. El máximo se observa en Natales con 9,45 ha, seguido de Punta Arenas con 2,80 ha.</t>
  </si>
  <si>
    <t>En la región Metropolitana, el año 2019, las comunas de Maipú y Puente Alto destacan por tener mayor superficie de plazas públicas. El máximo se observa en Maipú con 266,11 ha, seguido de Puente Alto con 257,67 ha.</t>
  </si>
  <si>
    <t>En la región de Los Ríos, el año 2019, las comunas de La Unión y Valdivia destacan por tener mayor superficie de plazas públicas. El máximo se observa en La Unión con 22,57 ha, seguido de Valdivia con 11,21 ha.</t>
  </si>
  <si>
    <t>En la región de Arica y Parinacota, el año 2019, las comunas de Arica y Putre destacan por tener mayor superficie de plazas públicas. El máximo se observa en Arica con 35,83 ha, seguido de Putre con 1,24 ha.</t>
  </si>
  <si>
    <t>En la región de Ñuble, el año 2019, las comunas de Chillán y San Carlos destacan por tener mayor superficie de plazas públicas. El máximo se observa en Chillán con 64,50 ha, seguido de San Carlos con 16,88 ha.</t>
  </si>
  <si>
    <t>Superficie de Plazas Públicas en la Región de Ñuble en el año 2019</t>
  </si>
  <si>
    <t xml:space="preserve">A nivel nacional las comunas que presentan mayor frecuencia de denuncias por violación en el 2020 fueron Puento Alto y Santiago, ambas pertenecientes a la Región Metropolitana. </t>
  </si>
  <si>
    <t>Las comunas de la región de Tarapacá que presentan mayor frecuencia de denuncias por violación el año 2020, son Iquique y Alto Hospicio.</t>
  </si>
  <si>
    <t>Las comunas de la región de Antofagasta que presentan mayor frecuencia de denuncias por violación el año 2020, son Antofagasta y Calama.</t>
  </si>
  <si>
    <t>Las comunas de la región de Atacama que presentan mayor frecuencia de denuncias por violación el año 2020, son Copiapó y Vallenar.</t>
  </si>
  <si>
    <t>Las comunas de la región de Coquimbo que presentan mayor frecuencia de denuncias por violación el año 2020, son Coquimbo y La Serena.</t>
  </si>
  <si>
    <t>Las comunas de la región de Valparaíso que presentan mayor frecuencia de denuncias por violación el año 2020, son: Valparaíso y Viña del Mar.</t>
  </si>
  <si>
    <t>Las comunas de la región de O'Higgins que presentan mayor frecuencia de denuncias por violación el año 2020, son Rancagua y San Fernando.</t>
  </si>
  <si>
    <t>Las comunas de la región del Maule que presentan mayor frecuencia de denuncias por violación el año 2020, son Talca y Curicó.</t>
  </si>
  <si>
    <t>Las comunas de la región del Biobío que presentan mayor frecuencia de denuncias por violación el año 2020, son Concepción y Los Ángeles.</t>
  </si>
  <si>
    <t>Las comunas de la región de La Araucanía que presentan mayor frecuencia de denuncias por violación el año 2020, son Temuco y Villarrica.</t>
  </si>
  <si>
    <t>Las comunas de la región de Los Lagos que presentan mayor frecuencia de denuncias por violación el año 2020, son Puerto Montt y Osorno.</t>
  </si>
  <si>
    <t>Las comunas de la región de Aysén que presentan mayor frecuencia de denuncias por violación el año 2020, son Coyhaique y Aysén.</t>
  </si>
  <si>
    <t>Las comunas de la región de Magallanes que presentan mayor frecuencia de denuncias por violación el año 2020, son Punta Arenas y Natales.</t>
  </si>
  <si>
    <t>Las comunas de la región Metropolitana que presentan mayor frecuencia de denuncias por violación el año 2020, son: Puente Alto, La Florida, San Bernardo, Maipú y Santiago.</t>
  </si>
  <si>
    <t>Las comunas de la región de Los Ríos que presentan mayor frecuencia de denuncias por violación el año 2020, son Valdivia y Río Bueno.</t>
  </si>
  <si>
    <t>La comuna de la región de Arica y Parinacota que presentan mayor frecuencia de denuncias por violación el año 2020, es Arica.</t>
  </si>
  <si>
    <t>Las comunas de la región de Ñuble que presentan mayor frecuencia de denuncias por violación el año 2020, son Chillán y San Carlos.</t>
  </si>
  <si>
    <t>Chile, en el tercer trimestre del año 2019, registró la mayor cantidad de casos de Violencia Intrafamiliar (VIF) presentados ante la fiscalía nacional, con 72.904 casos: 55.509 víctimas eran mujeres y 17.070 víctimas eran  hombres.</t>
  </si>
  <si>
    <t>La región de Taracapá, en el tercer trimestre del año 2020, registró la mayor cantidad de casos de Violencia Intrafamiliar (VIF) presentados ante la fiscalía nacional, con 1.682 casos: 1.310 víctimas eran mujeres y 372 víctimas eran  hombres.</t>
  </si>
  <si>
    <t>La región de Antofagasta, en el cuarto trimestre del año 2020, registró la mayor cantidad de casos de Violencia Intrafamiliar (VIF) presentados ante la fiscalía nacional, con 2.637 casos: 1.956 víctimas eran mujeres y  681 víctimas eran  hombres.</t>
  </si>
  <si>
    <t>La región de Atacama, en el tercer trimestre del año 2020, registró la mayor cantidad de casos de Violencia Intrafamiliar (VIF) presentados ante la fiscalía nacional, con 1.456 casos:  1.123 víctimas eran mujeres y en 333 víctimas eran  hombres.</t>
  </si>
  <si>
    <t>La región de Coquimbo, en el cuarto trimestre del año 2020, registró la mayor cantidad de casos de Violencia Intrafamiliar (VIF) presentados ante la fiscalía nacional, con 2.868 casos: 2.182 víctimas eran mujeres y 686 víctimas eran  hombres.</t>
  </si>
  <si>
    <t>La región de Valparaíso, en el tercer trimestre del año 2019, registró la mayor cantidad de casos de Violencia Intrafamiliar (VIF) presentados ante la fiscalía nacional, con 7.268 casos: 5.562 víctimas eran mujeres y 1.706 víctimas eran  hombres.</t>
  </si>
  <si>
    <t>La región de O'Higgins, en el tercer trimestre del año 2019, registró la mayor cantidad de casos de Violencia Intrafamiliar (VIF) presentados ante la fiscalía nacional, con 4.850 casos: 3.628 víctimas eran mujeres y 1.222 víctimas eran  hombres.</t>
  </si>
  <si>
    <t>La región del Maule, en el tercer trimestre del año 2020, registró la mayor cantidad de casos de Violencia Intrafamiliar (VIF) presentados ante la fiscalía nacional, con 4.269 casos: 3.334 víctimas eran mujeres y 935 víctimas eran  hombres.</t>
  </si>
  <si>
    <t>La región del Biobío, en el cuarto trimestre del año 2019, registró la mayor cantidad de casos de Violencia Intrafamiliar (VIF) presentados ante la fiscalía nacional, con 4.963 casos: 3.857 víctimas eran mujeres y 1.106 víctimas eran  hombres.</t>
  </si>
  <si>
    <t>La región de La Araucanía en el tercer trimestre del año 2020, registró la mayor cantidad de casos de Violencia Intrafamiliar (VIF) presentados ante la fiscalía nacional, con 3.889 casos: 2.902 víctimas eran mujeres y 987 víctimas eran  hombres.</t>
  </si>
  <si>
    <t>La región de Los Lagos, en el tercer trimestre del año 2020, registró la mayor cantidad de casos de Violencia Intrafamiliar (VIF) presentados ante la fiscalía nacional, con 3.870 casos: 3.020 víctimas eran mujeres y 850 víctimas eran  hombres.</t>
  </si>
  <si>
    <t>La región de Aysén, en el cuarto trimestre del año 2019, registró la mayor cantidad de casos de Violencia Intrafamiliar (VIF) presentados ante la fiscalía nacional, con 508 casos: 395 víctimas eran mujeres y 113 víctimas eran  hombres.</t>
  </si>
  <si>
    <t>La región de Magallanes, en el tercer trimestre del año 2020, registró la mayor cantidad de casos de Violencia Intrafamiliar (VIF) presentados ante la fiscalía nacional, con 605 casos: 486 víctimas eran mujeres y 119 víctimas eran  hombres.</t>
  </si>
  <si>
    <t>La región Metropolitana, en el tercer trimestre del año 2019, registró la mayor cantidad de casos de Violencia Intrafamiliar (VIF) presentados ante la fiscalía nacional, con 30.487 casos: 22.883 víctimas eran mujeres y 7.604 víctimas eran  hombres.</t>
  </si>
  <si>
    <t>La región de Los Ríos, en el cuarto trimestre del año 2020, registró la mayor cantidad de casos de Violencia Intrafamiliar (VIF) presentados ante la fiscalía nacional, con 1.614 casos: 1.208 víctimas eran mujeres y 406 víctimas eran  hombres.</t>
  </si>
  <si>
    <t>La región de Arica y Parinacota, en el cuarto trimestre del año 2020, registró la mayor cantidad de casos de Violencia Intrafamiliar (VIF) presentados ante la fiscalía nacional, con 1.208 casos: 913 víctimas eran mujeres y 295 víctimas eran  hombres.</t>
  </si>
  <si>
    <t>La región del Ñuble, en el tercer trimestre del año 2020, registró la mayor cantidad de casos de Violencia Intrafamiliar (VIF) presentados ante la fiscalía nacional, con 1.691 casos: 1.305 víctimas eran mujeres y 386 víctimas eran  hombres.</t>
  </si>
  <si>
    <t xml:space="preserve">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t>
  </si>
  <si>
    <t xml:space="preserve">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t>
  </si>
  <si>
    <t xml:space="preserve">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t>
  </si>
  <si>
    <t xml:space="preserve">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t>
  </si>
  <si>
    <t xml:space="preserve">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t>
  </si>
  <si>
    <t xml:space="preserve">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t>
  </si>
  <si>
    <t xml:space="preserve">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t>
  </si>
  <si>
    <t xml:space="preserve">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t>
  </si>
  <si>
    <t xml:space="preserve">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t>
  </si>
  <si>
    <t xml:space="preserve">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t>
  </si>
  <si>
    <t xml:space="preserve">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t>
  </si>
  <si>
    <t xml:space="preserve">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t>
  </si>
  <si>
    <t xml:space="preserve">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t>
  </si>
  <si>
    <t xml:space="preserve">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t>
  </si>
  <si>
    <t xml:space="preserve">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t>
  </si>
  <si>
    <t xml:space="preserve">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t>
  </si>
  <si>
    <t>https://sud-austral.github.io/Pdf2/Layout_Q1_17_18_Dinamica_R10/2923.pdf</t>
  </si>
  <si>
    <t>https://sud-austral.github.io/Pdf2/Layout_Q1_18_19_Dinamica_R10/2923.pdf</t>
  </si>
  <si>
    <t>https://sud-austral.github.io/Pdf2/Layout_Q1_19_20_Dinamica_R10/2923.pdf</t>
  </si>
  <si>
    <t>https://sud-austral.github.io/Pdf2/Layout_Q1_20_21_Dinamica_R10/2923.pdf</t>
  </si>
  <si>
    <t>https://sud-austral.github.io/Pdf2/Layout_Q2_17_18_Dinamica_R10/2923.pdf</t>
  </si>
  <si>
    <t>https://sud-austral.github.io/Pdf2/Layout_Q2_18_19_Dinamica_R10/2923.pdf</t>
  </si>
  <si>
    <t>https://sud-austral.github.io/Pdf2/Layout_Q2_19_20_Dinamica_R10/2923.pdf</t>
  </si>
  <si>
    <t>https://sud-austral.github.io/Pdf2/Layout_Q1_17_18_Dinamica_R10/3074.pdf</t>
  </si>
  <si>
    <t>https://sud-austral.github.io/Pdf2/Layout_Q1_18_19_Dinamica_R10/3074.pdf</t>
  </si>
  <si>
    <t>https://sud-austral.github.io/Pdf2/Layout_Q1_19_20_Dinamica_R10/3074.pdf</t>
  </si>
  <si>
    <t>https://sud-austral.github.io/Pdf2/Layout_Q1_20_21_Dinamica_R10/3074.pdf</t>
  </si>
  <si>
    <t>https://sud-austral.github.io/Pdf2/Layout_Q2_17_18_Dinamica_R10/3074.pdf</t>
  </si>
  <si>
    <t>https://sud-austral.github.io/Pdf2/Layout_Q2_18_19_Dinamica_R10/3074.pdf</t>
  </si>
  <si>
    <t>https://sud-austral.github.io/Pdf2/Layout_Q2_19_20_Dinamica_R10/3074.pdf</t>
  </si>
  <si>
    <t>https://sud-austral.github.io/Pdf2/Layout_Q1_17_18_Dinamica_R10/3104.pdf</t>
  </si>
  <si>
    <t>https://sud-austral.github.io/Pdf2/Layout_Q1_18_19_Dinamica_R10/3104.pdf</t>
  </si>
  <si>
    <t>https://sud-austral.github.io/Pdf2/Layout_Q1_19_20_Dinamica_R10/3104.pdf</t>
  </si>
  <si>
    <t>https://sud-austral.github.io/Pdf2/Layout_Q1_20_21_Dinamica_R10/3104.pdf</t>
  </si>
  <si>
    <t>https://sud-austral.github.io/Pdf2/Layout_Q2_17_18_Dinamica_R10/3104.pdf</t>
  </si>
  <si>
    <t>https://sud-austral.github.io/Pdf2/Layout_Q2_18_19_Dinamica_R10/3104.pdf</t>
  </si>
  <si>
    <t>https://sud-austral.github.io/Pdf2/Layout_Q2_19_20_Dinamica_R10/3104.pdf</t>
  </si>
  <si>
    <t>glaciar,Chile,nieve,Los Lagos,SENTINEL,satelital,derretimiento,Puerto Varas,Puerto Montt,dinámica,mapa,volcán</t>
  </si>
  <si>
    <t>glaciar,Chile,nieve,Los Lagos,SENTINEL,satelital,derretimiento,Puerto Varas,Puerto Octay,dinámica,mapa,volcán</t>
  </si>
  <si>
    <t>Total Protección Adultos Mayores</t>
  </si>
  <si>
    <t>Evolución de Ingreso Promedio Mensual en Chile para el Periodo 2006-2017</t>
  </si>
  <si>
    <t>Evolución de Ingreso Promedio Mensual en la Región de Tarapacá para el Periodo 2006-2017</t>
  </si>
  <si>
    <t>https://analytics.zoho.com/open-view/2395394000008161200?ZOHO_CRITERIA=%22Localiza%20Chile%22.%22Codreg%22%3D1</t>
  </si>
  <si>
    <t>Evolución de Ingreso Promedio Mensual en la Región de Antofagasta para el Periodo 2006-2017</t>
  </si>
  <si>
    <t>https://analytics.zoho.com/open-view/2395394000008161200?ZOHO_CRITERIA=%22Localiza%20Chile%22.%22Codreg%22%3D2</t>
  </si>
  <si>
    <t>Evolución de Ingreso Promedio Mensual en la Región de Atacama para el Periodo 2006-2017</t>
  </si>
  <si>
    <t>https://analytics.zoho.com/open-view/2395394000008161200?ZOHO_CRITERIA=%22Localiza%20Chile%22.%22Codreg%22%3D3</t>
  </si>
  <si>
    <t>Evolución de Ingreso Promedio Mensual en la Región de Coquimbo para el Periodo 2006-2017</t>
  </si>
  <si>
    <t>https://analytics.zoho.com/open-view/2395394000008161200?ZOHO_CRITERIA=%22Localiza%20Chile%22.%22Codreg%22%3D4</t>
  </si>
  <si>
    <t>Evolución de Ingreso Promedio Mensual en la Región de Valparaíso para el Periodo 2006-2017</t>
  </si>
  <si>
    <t>https://analytics.zoho.com/open-view/2395394000008161200?ZOHO_CRITERIA=%22Localiza%20Chile%22.%22Codreg%22%3D5</t>
  </si>
  <si>
    <t>Evolución de Ingreso Promedio Mensual en la Región de O'Higgins para el Periodo 2006-2017</t>
  </si>
  <si>
    <t>https://analytics.zoho.com/open-view/2395394000008161200?ZOHO_CRITERIA=%22Localiza%20Chile%22.%22Codreg%22%3D6</t>
  </si>
  <si>
    <t>Evolución de Ingreso Promedio Mensual en la Región de Maule para el Periodo 2006-2017</t>
  </si>
  <si>
    <t>https://analytics.zoho.com/open-view/2395394000008161200?ZOHO_CRITERIA=%22Localiza%20Chile%22.%22Codreg%22%3D7</t>
  </si>
  <si>
    <t>Evolución de Ingreso Promedio Mensual en la Región del Biobío para el Periodo 2006-2017</t>
  </si>
  <si>
    <t>https://analytics.zoho.com/open-view/2395394000008161200?ZOHO_CRITERIA=%22Localiza%20Chile%22.%22Codreg%22%3D8</t>
  </si>
  <si>
    <t>Evolución de Ingreso Promedio Mensual en la Región de La Araucanía para el Periodo 2006-2017</t>
  </si>
  <si>
    <t>https://analytics.zoho.com/open-view/2395394000008161200?ZOHO_CRITERIA=%22Localiza%20Chile%22.%22Codreg%22%3D9</t>
  </si>
  <si>
    <t>Evolución de Ingreso Promedio Mensual en la Región de Los Lagos para el Periodo 2006-2017</t>
  </si>
  <si>
    <t>https://analytics.zoho.com/open-view/2395394000008161200?ZOHO_CRITERIA=%22Localiza%20Chile%22.%22Codreg%22%3D10</t>
  </si>
  <si>
    <t>Evolución de Ingreso Promedio Mensual en la Región de Aysén para el Periodo 2006-2017</t>
  </si>
  <si>
    <t>https://analytics.zoho.com/open-view/2395394000008161200?ZOHO_CRITERIA=%22Localiza%20Chile%22.%22Codreg%22%3D11</t>
  </si>
  <si>
    <t>Evolución de Ingreso Promedio Mensual en la Región de Magallanes para el Periodo 2006-2017</t>
  </si>
  <si>
    <t>https://analytics.zoho.com/open-view/2395394000008161200?ZOHO_CRITERIA=%22Localiza%20Chile%22.%22Codreg%22%3D12</t>
  </si>
  <si>
    <t>Evolución de Ingreso Promedio Mensual en la Región Metropolitana para el Periodo 2006-2017</t>
  </si>
  <si>
    <t>https://analytics.zoho.com/open-view/2395394000008161200?ZOHO_CRITERIA=%22Localiza%20Chile%22.%22Codreg%22%3D13</t>
  </si>
  <si>
    <t>Evolución de Ingreso Promedio Mensual en la Región de Los Ríos para el Periodo 2006-2017</t>
  </si>
  <si>
    <t>https://analytics.zoho.com/open-view/2395394000008161200?ZOHO_CRITERIA=%22Localiza%20Chile%22.%22Codreg%22%3D14</t>
  </si>
  <si>
    <t>Evolución de Ingreso Promedio Mensual en la Región de Arica y Parinacota para el Periodo 2006-2017</t>
  </si>
  <si>
    <t>https://analytics.zoho.com/open-view/2395394000008161200?ZOHO_CRITERIA=%22Localiza%20Chile%22.%22Codreg%22%3D15</t>
  </si>
  <si>
    <t>Evolución de Ingreso Promedio Mensual en la Región de Ñuble para el Periodo 2006-2017</t>
  </si>
  <si>
    <t>https://analytics.zoho.com/open-view/2395394000008161200?ZOHO_CRITERIA=%22Localiza%20Chile%22.%22Codreg%22%3D16</t>
  </si>
  <si>
    <t>Proporción de Alumnos de 4to Medio con más de 450 puntos en la PSU según dependencia de colegios en la Región de Tarapacá</t>
  </si>
  <si>
    <t>https://analytics.zoho.com/open-view/2395394000008416648?ZOHO_CRITERIA=%22Localiza%20CL%22.%22Codreg%22%3D1</t>
  </si>
  <si>
    <t>Proporción de Alumnos de 4to Medio con más de 450 puntos en la PSU según dependencia de colegios en la Región de Antofagasta</t>
  </si>
  <si>
    <t>https://analytics.zoho.com/open-view/2395394000008416648?ZOHO_CRITERIA=%22Localiza%20CL%22.%22Codreg%22%3D2</t>
  </si>
  <si>
    <t>Proporción de Alumnos de 4to Medio con más de 450 puntos en la PSU según dependencia de colegios en la Región de Atacama</t>
  </si>
  <si>
    <t>https://analytics.zoho.com/open-view/2395394000008416648?ZOHO_CRITERIA=%22Localiza%20CL%22.%22Codreg%22%3D3</t>
  </si>
  <si>
    <t>Proporción de Alumnos de 4to Medio con más de 450 puntos en la PSU según dependencia de colegios en la Región de Coquimbo</t>
  </si>
  <si>
    <t>https://analytics.zoho.com/open-view/2395394000008416648?ZOHO_CRITERIA=%22Localiza%20CL%22.%22Codreg%22%3D4</t>
  </si>
  <si>
    <t>Proporción de Alumnos de 4to Medio con más de 450 puntos en la PSU según dependencia de colegios en la Región de Valparaíso</t>
  </si>
  <si>
    <t>https://analytics.zoho.com/open-view/2395394000008416648?ZOHO_CRITERIA=%22Localiza%20CL%22.%22Codreg%22%3D5</t>
  </si>
  <si>
    <t>Proporción de Alumnos de 4to Medio con más de 450 puntos en la PSU según dependencia de colegios en la Región de O'Higgins</t>
  </si>
  <si>
    <t>https://analytics.zoho.com/open-view/2395394000008416648?ZOHO_CRITERIA=%22Localiza%20CL%22.%22Codreg%22%3D6</t>
  </si>
  <si>
    <t>Proporción de Alumnos de 4to Medio con más de 450 puntos en la PSU según dependencia de colegios en la Región de Maule</t>
  </si>
  <si>
    <t>https://analytics.zoho.com/open-view/2395394000008416648?ZOHO_CRITERIA=%22Localiza%20CL%22.%22Codreg%22%3D7</t>
  </si>
  <si>
    <t>Proporción de Alumnos de 4to Medio con más de 450 puntos en la PSU según dependencia de colegios en la Región del Biobío</t>
  </si>
  <si>
    <t>https://analytics.zoho.com/open-view/2395394000008416648?ZOHO_CRITERIA=%22Localiza%20CL%22.%22Codreg%22%3D8</t>
  </si>
  <si>
    <t>Proporción de Alumnos de 4to Medio con más de 450 puntos en la PSU según dependencia de colegios en la Región de La Araucanía</t>
  </si>
  <si>
    <t>https://analytics.zoho.com/open-view/2395394000008416648?ZOHO_CRITERIA=%22Localiza%20CL%22.%22Codreg%22%3D9</t>
  </si>
  <si>
    <t>Proporción de Alumnos de 4to Medio con más de 450 puntos en la PSU según dependencia de colegios en la Región de Los Lagos</t>
  </si>
  <si>
    <t>https://analytics.zoho.com/open-view/2395394000008416648?ZOHO_CRITERIA=%22Localiza%20CL%22.%22Codreg%22%3D10</t>
  </si>
  <si>
    <t>Proporción de Alumnos de 4to Medio con más de 450 puntos en la PSU según dependencia de colegios en la Región de Magallanes</t>
  </si>
  <si>
    <t>https://analytics.zoho.com/open-view/2395394000008416648?ZOHO_CRITERIA=%22Localiza%20CL%22.%22Codreg%22%3D12</t>
  </si>
  <si>
    <t>Proporción de Alumnos de 4to Medio con más de 450 puntos en la PSU según dependencia de colegios en la Región Metropolitana</t>
  </si>
  <si>
    <t>https://analytics.zoho.com/open-view/2395394000008416648?ZOHO_CRITERIA=%22Localiza%20CL%22.%22Codreg%22%3D13</t>
  </si>
  <si>
    <t>Proporción de Alumnos de 4to Medio con más de 450 puntos en la PSU según dependencia de colegios en la Región de Los Ríos</t>
  </si>
  <si>
    <t>https://analytics.zoho.com/open-view/2395394000008416648?ZOHO_CRITERIA=%22Localiza%20CL%22.%22Codreg%22%3D14</t>
  </si>
  <si>
    <t>Proporción de Alumnos de 4to Medio con más de 450 puntos en la PSU según dependencia de colegios en la Región de Arica y Parinacota</t>
  </si>
  <si>
    <t>https://analytics.zoho.com/open-view/2395394000008416648?ZOHO_CRITERIA=%22Localiza%20CL%22.%22Codreg%22%3D15</t>
  </si>
  <si>
    <t>Proporción de Alumnos de 4to Medio con más de 450 puntos en la PSU según dependencia de colegios en la Región de Ñuble</t>
  </si>
  <si>
    <t>https://analytics.zoho.com/open-view/2395394000008416648?ZOHO_CRITERIA=%22Localiza%20CL%22.%22Codreg%22%3D16</t>
  </si>
  <si>
    <t>Evolución de denuncias por violación en Chile en el Periodo 2008-2020</t>
  </si>
  <si>
    <t>Evolución de denuncias por violación en la Región de Tarapacá en el Periodo 2008-2020</t>
  </si>
  <si>
    <t>https://analytics.zoho.com/open-view/2395394000008231335?ZOHO_CRITERIA=%22Localiza%20CL%22.%22Codreg%22%3D1</t>
  </si>
  <si>
    <t>Distribución comunal de denuncias por violación en la Región de Antofagasta en el Periodo 2008-2020</t>
  </si>
  <si>
    <t>https://analytics.zoho.com/open-view/2395394000008231335?ZOHO_CRITERIA=%22Localiza%20CL%22.%22Codreg%22%3D2</t>
  </si>
  <si>
    <t>Distribución comunal de denuncias por violación en la Región de Atacama en el Periodo 2008-2020</t>
  </si>
  <si>
    <t>https://analytics.zoho.com/open-view/2395394000008231335?ZOHO_CRITERIA=%22Localiza%20CL%22.%22Codreg%22%3D3</t>
  </si>
  <si>
    <t>Distribución comunal de denuncias por violación en la Región de Coquimbo en el Periodo 2008-2020</t>
  </si>
  <si>
    <t>https://analytics.zoho.com/open-view/2395394000008231335?ZOHO_CRITERIA=%22Localiza%20CL%22.%22Codreg%22%3D4</t>
  </si>
  <si>
    <t>Distribución comunal de denuncias por violación en la Región de Valparaíso en el Periodo 2008-2020</t>
  </si>
  <si>
    <t>https://analytics.zoho.com/open-view/2395394000008231335?ZOHO_CRITERIA=%22Localiza%20CL%22.%22Codreg%22%3D5</t>
  </si>
  <si>
    <t>Distribución comunal de denuncias por violación en la Región de O'Higgins en el Periodo 2008-2020</t>
  </si>
  <si>
    <t>https://analytics.zoho.com/open-view/2395394000008231335?ZOHO_CRITERIA=%22Localiza%20CL%22.%22Codreg%22%3D6</t>
  </si>
  <si>
    <t>Distribución comunal de denuncias por violación en la Región de Maule en el Periodo 2008-2020</t>
  </si>
  <si>
    <t>https://analytics.zoho.com/open-view/2395394000008231335?ZOHO_CRITERIA=%22Localiza%20CL%22.%22Codreg%22%3D7</t>
  </si>
  <si>
    <t>Distribución comunal de denuncias por violación en la Región del Biobío en el Periodo 2008-2020</t>
  </si>
  <si>
    <t>https://analytics.zoho.com/open-view/2395394000008231335?ZOHO_CRITERIA=%22Localiza%20CL%22.%22Codreg%22%3D8</t>
  </si>
  <si>
    <t>Distribución comunal de denuncias por violación en la Región de La Araucanía en el Periodo 2008-2020</t>
  </si>
  <si>
    <t>https://analytics.zoho.com/open-view/2395394000008231335?ZOHO_CRITERIA=%22Localiza%20CL%22.%22Codreg%22%3D9</t>
  </si>
  <si>
    <t>Distribución comunal de denuncias por violación en la Región de Los Lagos en el Periodo 2008-2020</t>
  </si>
  <si>
    <t>https://analytics.zoho.com/open-view/2395394000008231335?ZOHO_CRITERIA=%22Localiza%20CL%22.%22Codreg%22%3D10</t>
  </si>
  <si>
    <t>Distribución comunal de denuncias por violación en la Región de Aysén en el Periodo 2008-2020</t>
  </si>
  <si>
    <t>https://analytics.zoho.com/open-view/2395394000008231335?ZOHO_CRITERIA=%22Localiza%20CL%22.%22Codreg%22%3D11</t>
  </si>
  <si>
    <t>Distribución comunal de denuncias por violación en la Región de Magallanes en el Periodo 2008-2020</t>
  </si>
  <si>
    <t>https://analytics.zoho.com/open-view/2395394000008231335?ZOHO_CRITERIA=%22Localiza%20CL%22.%22Codreg%22%3D12</t>
  </si>
  <si>
    <t>Distribución comunal de denuncias por violación en la Región Metropolitana en el Periodo 2008-2020</t>
  </si>
  <si>
    <t>https://analytics.zoho.com/open-view/2395394000008231335?ZOHO_CRITERIA=%22Localiza%20CL%22.%22Codreg%22%3D13</t>
  </si>
  <si>
    <t>Distribución comunal de denuncias por violación en la Región de Los Ríos en el Periodo 2008-2020</t>
  </si>
  <si>
    <t>https://analytics.zoho.com/open-view/2395394000008231335?ZOHO_CRITERIA=%22Localiza%20CL%22.%22Codreg%22%3D14</t>
  </si>
  <si>
    <t>Distribución comunal de denuncias por violación en la Región de Arica y Parinacota en el Periodo 2008-2020</t>
  </si>
  <si>
    <t>https://analytics.zoho.com/open-view/2395394000008231335?ZOHO_CRITERIA=%22Localiza%20CL%22.%22Codreg%22%3D15</t>
  </si>
  <si>
    <t>Distribución comunal de denuncias por violación en la Región de Ñuble en el Periodo 2008-2020</t>
  </si>
  <si>
    <t>https://analytics.zoho.com/open-view/2395394000008231335?ZOHO_CRITERIA=%22Localiza%20CL%22.%22Codreg%22%3D16</t>
  </si>
  <si>
    <t>Evolución de Ingreso Promedio Mensual por Etnia en Chile para el Periodo 2006-2017</t>
  </si>
  <si>
    <t>Evolución de Ingreso Promedio Mensual por Etnia en la Región de Tarapacá para el Periodo 2006-2017</t>
  </si>
  <si>
    <t>https://analytics.zoho.com/open-view/2395394000008231605?ZOHO_CRITERIA=%22Localiza%20Chile%22.%22Codreg%22%3D1</t>
  </si>
  <si>
    <t>Evolución de Ingreso Promedio Mensual por Etnia en la Región de Antofagasta para el Periodo 2006-2017</t>
  </si>
  <si>
    <t>https://analytics.zoho.com/open-view/2395394000008231605?ZOHO_CRITERIA=%22Localiza%20Chile%22.%22Codreg%22%3D2</t>
  </si>
  <si>
    <t>Evolución de Ingreso Promedio Mensual por Etnia en la Región de Atacama para el Periodo 2006-2017</t>
  </si>
  <si>
    <t>https://analytics.zoho.com/open-view/2395394000008231605?ZOHO_CRITERIA=%22Localiza%20Chile%22.%22Codreg%22%3D3</t>
  </si>
  <si>
    <t>Evolución de Ingreso Promedio Mensual por Etnia en la Región de Coquimbo para el Periodo 2006-2017</t>
  </si>
  <si>
    <t>https://analytics.zoho.com/open-view/2395394000008231605?ZOHO_CRITERIA=%22Localiza%20Chile%22.%22Codreg%22%3D4</t>
  </si>
  <si>
    <t>Evolución de Ingreso Promedio Mensual por Etnia en la Región de Valparaíso para el Periodo 2006-2017</t>
  </si>
  <si>
    <t>https://analytics.zoho.com/open-view/2395394000008231605?ZOHO_CRITERIA=%22Localiza%20Chile%22.%22Codreg%22%3D5</t>
  </si>
  <si>
    <t>Evolución de Ingreso Promedio Mensual por Etnia en la Región de O'Higgins para el Periodo 2006-2017</t>
  </si>
  <si>
    <t>https://analytics.zoho.com/open-view/2395394000008231605?ZOHO_CRITERIA=%22Localiza%20Chile%22.%22Codreg%22%3D6</t>
  </si>
  <si>
    <t>Evolución de Ingreso Promedio Mensual por Etnia en la Región de Maule para el Periodo 2006-2017</t>
  </si>
  <si>
    <t>https://analytics.zoho.com/open-view/2395394000008231605?ZOHO_CRITERIA=%22Localiza%20Chile%22.%22Codreg%22%3D7</t>
  </si>
  <si>
    <t>Evolución de Ingreso Promedio Mensual por Etnia en la Región del Biobío para el Periodo 2006-2017</t>
  </si>
  <si>
    <t>https://analytics.zoho.com/open-view/2395394000008231605?ZOHO_CRITERIA=%22Localiza%20Chile%22.%22Codreg%22%3D8</t>
  </si>
  <si>
    <t>Evolución de Ingreso Promedio Mensual por Etnia en la Región de La Araucanía para el Periodo 2006-2017</t>
  </si>
  <si>
    <t>https://analytics.zoho.com/open-view/2395394000008231605?ZOHO_CRITERIA=%22Localiza%20Chile%22.%22Codreg%22%3D9</t>
  </si>
  <si>
    <t>Evolución de Ingreso Promedio Mensual por Etnia en la Región de Los Lagos para el Periodo 2006-2017</t>
  </si>
  <si>
    <t>https://analytics.zoho.com/open-view/2395394000008231605?ZOHO_CRITERIA=%22Localiza%20Chile%22.%22Codreg%22%3D10</t>
  </si>
  <si>
    <t>Evolución de Ingreso Promedio Mensual por Etnia en la Región de Aysén para el Periodo 2006-2017</t>
  </si>
  <si>
    <t>https://analytics.zoho.com/open-view/2395394000008231605?ZOHO_CRITERIA=%22Localiza%20Chile%22.%22Codreg%22%3D11</t>
  </si>
  <si>
    <t>Evolución de Ingreso Promedio Mensual por Etnia en la Región de Magallanes para el Periodo 2006-2017</t>
  </si>
  <si>
    <t>https://analytics.zoho.com/open-view/2395394000008231605?ZOHO_CRITERIA=%22Localiza%20Chile%22.%22Codreg%22%3D12</t>
  </si>
  <si>
    <t>Evolución de Ingreso Promedio Mensual por Etnia en la Región Metropolitana para el Periodo 2006-2017</t>
  </si>
  <si>
    <t>https://analytics.zoho.com/open-view/2395394000008231605?ZOHO_CRITERIA=%22Localiza%20Chile%22.%22Codreg%22%3D13</t>
  </si>
  <si>
    <t>Evolución de Ingreso Promedio Mensual por Etnia en la Región de Los Ríos para el Periodo 2006-2017</t>
  </si>
  <si>
    <t>https://analytics.zoho.com/open-view/2395394000008231605?ZOHO_CRITERIA=%22Localiza%20Chile%22.%22Codreg%22%3D14</t>
  </si>
  <si>
    <t>Evolución de Ingreso Promedio Mensual por Etnia en la Región de Arica y Parinacota para el Periodo 2006-2017</t>
  </si>
  <si>
    <t>https://analytics.zoho.com/open-view/2395394000008231605?ZOHO_CRITERIA=%22Localiza%20Chile%22.%22Codreg%22%3D15</t>
  </si>
  <si>
    <t>Evolución de Ingreso Promedio Mensual por Etnia en la Región de Ñuble para el Periodo 2006-2017</t>
  </si>
  <si>
    <t>https://analytics.zoho.com/open-view/2395394000008231605?ZOHO_CRITERIA=%22Localiza%20Chile%22.%22Codreg%22%3D16</t>
  </si>
  <si>
    <t>Ranking Comunal 2020: Número de Alumnos por Docente en Aula, variación Periodo 2019-2020</t>
  </si>
  <si>
    <t>Ranking Comunal Región de Tarapacá 2020: Número de Alumnos por Docente en Aula, variación Periodo 2019-2020</t>
  </si>
  <si>
    <t>https://analytics.zoho.com/open-view/2395394000008643713?ZOHO_CRITERIA=%22Localiza%20CL%22.%22Codreg%22%3D1</t>
  </si>
  <si>
    <t>Ranking Comunal Región de Antofagasta 2020: Número de Alumnos por Docente en Aula, variación Periodo 2019-2020</t>
  </si>
  <si>
    <t>https://analytics.zoho.com/open-view/2395394000008643713?ZOHO_CRITERIA=%22Localiza%20CL%22.%22Codreg%22%3D2</t>
  </si>
  <si>
    <t>Ranking Comunal Región de Atacama 2020: Número de Alumnos por Docente en Aula, variación Periodo 2019-2020</t>
  </si>
  <si>
    <t>https://analytics.zoho.com/open-view/2395394000008643713?ZOHO_CRITERIA=%22Localiza%20CL%22.%22Codreg%22%3D3</t>
  </si>
  <si>
    <t>Ranking Comunal Región de Coquimbo 2020: Número de Alumnos por Docente en Aula, variación Periodo 2019-2020</t>
  </si>
  <si>
    <t>https://analytics.zoho.com/open-view/2395394000008643713?ZOHO_CRITERIA=%22Localiza%20CL%22.%22Codreg%22%3D4</t>
  </si>
  <si>
    <t>Ranking Comunal Región de Valparaíso 2020: Número de Alumnos por Docente en Aula, variación Periodo 2019-2020</t>
  </si>
  <si>
    <t>https://analytics.zoho.com/open-view/2395394000008643713?ZOHO_CRITERIA=%22Localiza%20CL%22.%22Codreg%22%3D5</t>
  </si>
  <si>
    <t>Ranking Comunal Región de O'Higgins 2020: Número de Alumnos por Docente en Aula, variación Periodo 2019-2020</t>
  </si>
  <si>
    <t>https://analytics.zoho.com/open-view/2395394000008643713?ZOHO_CRITERIA=%22Localiza%20CL%22.%22Codreg%22%3D6</t>
  </si>
  <si>
    <t>Ranking Comunal Región de Maule 2020: Número de Alumnos por Docente en Aula, variación Periodo 2019-2020</t>
  </si>
  <si>
    <t>https://analytics.zoho.com/open-view/2395394000008643713?ZOHO_CRITERIA=%22Localiza%20CL%22.%22Codreg%22%3D7</t>
  </si>
  <si>
    <t>Ranking Comunal Región del Biobío 2020: Número de Alumnos por Docente en Aula, variación Periodo 2019-2020</t>
  </si>
  <si>
    <t>https://analytics.zoho.com/open-view/2395394000008643713?ZOHO_CRITERIA=%22Localiza%20CL%22.%22Codreg%22%3D8</t>
  </si>
  <si>
    <t>Ranking Comunal Región de La Araucanía 2020: Número de Alumnos por Docente en Aula, variación Periodo 2019-2020</t>
  </si>
  <si>
    <t>https://analytics.zoho.com/open-view/2395394000008643713?ZOHO_CRITERIA=%22Localiza%20CL%22.%22Codreg%22%3D9</t>
  </si>
  <si>
    <t>Ranking Comunal Región de Los Lagos 2020: Número de Alumnos por Docente en Aula, variación Periodo 2019-2020</t>
  </si>
  <si>
    <t>https://analytics.zoho.com/open-view/2395394000008643713?ZOHO_CRITERIA=%22Localiza%20CL%22.%22Codreg%22%3D10</t>
  </si>
  <si>
    <t>Ranking Comunal Región de Aysén 2020: Número de Alumnos por Docente en Aula, variación Periodo 2019-2020</t>
  </si>
  <si>
    <t>https://analytics.zoho.com/open-view/2395394000008643713?ZOHO_CRITERIA=%22Localiza%20CL%22.%22Codreg%22%3D11</t>
  </si>
  <si>
    <t>Ranking Comunal Región de Magallanes 2020: Número de Alumnos por Docente en Aula, variación Periodo 2019-2020</t>
  </si>
  <si>
    <t>https://analytics.zoho.com/open-view/2395394000008643713?ZOHO_CRITERIA=%22Localiza%20CL%22.%22Codreg%22%3D12</t>
  </si>
  <si>
    <t>Ranking Comunal Región Metropolitana 2020: Número de Alumnos por Docente en Aula, variación Periodo 2019-2020</t>
  </si>
  <si>
    <t>https://analytics.zoho.com/open-view/2395394000008643713?ZOHO_CRITERIA=%22Localiza%20CL%22.%22Codreg%22%3D13</t>
  </si>
  <si>
    <t>Ranking Comunal Región de Los Ríos 2020: Número de Alumnos por Docente en Aula, variación Periodo 2019-2020</t>
  </si>
  <si>
    <t>https://analytics.zoho.com/open-view/2395394000008643713?ZOHO_CRITERIA=%22Localiza%20CL%22.%22Codreg%22%3D14</t>
  </si>
  <si>
    <t>Ranking Comunal Región de Ñuble 2020: Número de Alumnos por Docente en Aula, variación Periodo 2019-2020</t>
  </si>
  <si>
    <t>https://analytics.zoho.com/open-view/2395394000008643713?ZOHO_CRITERIA=%22Localiza%20CL%22.%22Codreg%22%3D16</t>
  </si>
  <si>
    <t>Evolución de Casos Activos de COVID-19 por 1 millón de habitantes en las comunas de Chile durante el Periodo 2020-2021</t>
  </si>
  <si>
    <t>Evolución de Casos Activos de COVID-19 por 1 millón de habitantes en las comunas de la Región de Tarapacá durante el Periodo 2020-2021</t>
  </si>
  <si>
    <t>https://analytics.zoho.com/open-view/2395394000008645197?ZOHO_CRITERIA=%22Localiza_CL_Poblacion%22.%22Codreg%22%3D1</t>
  </si>
  <si>
    <t>Evolución de Casos Activos de COVID-19 por 1 millón de habitantes en las comunas de la Región de Antofagasta durante el Periodo 2020-2021</t>
  </si>
  <si>
    <t>https://analytics.zoho.com/open-view/2395394000008645197?ZOHO_CRITERIA=%22Localiza_CL_Poblacion%22.%22Codreg%22%3D2</t>
  </si>
  <si>
    <t>Evolución de Casos Activos de COVID-19 por 1 millón de habitantes en las comunas de la Región de Atacama durante el Periodo 2020-2021</t>
  </si>
  <si>
    <t>https://analytics.zoho.com/open-view/2395394000008645197?ZOHO_CRITERIA=%22Localiza_CL_Poblacion%22.%22Codreg%22%3D3</t>
  </si>
  <si>
    <t>Evolución de Casos Activos de COVID-19 por 1 millón de habitantes en las comunas de la Región de Coquimbo durante el Periodo 2020-2021</t>
  </si>
  <si>
    <t>https://analytics.zoho.com/open-view/2395394000008645197?ZOHO_CRITERIA=%22Localiza_CL_Poblacion%22.%22Codreg%22%3D4</t>
  </si>
  <si>
    <t>Evolución de Casos Activos de COVID-19 por 1 millón de habitantes en las comunas de la Región de Valparaíso durante el Periodo 2020-2021</t>
  </si>
  <si>
    <t>https://analytics.zoho.com/open-view/2395394000008645197?ZOHO_CRITERIA=%22Localiza_CL_Poblacion%22.%22Codreg%22%3D5</t>
  </si>
  <si>
    <t>Evolución de Casos Activos de COVID-19 por 1 millón de habitantes en las comunas de la Región de O'Higgins durante el Periodo 2020-2021</t>
  </si>
  <si>
    <t>https://analytics.zoho.com/open-view/2395394000008645197?ZOHO_CRITERIA=%22Localiza_CL_Poblacion%22.%22Codreg%22%3D6</t>
  </si>
  <si>
    <t>Evolución de Casos Activos de COVID-19 por 1 millón de habitantes en las comunas de la Región de Maule durante el Periodo 2020-2021</t>
  </si>
  <si>
    <t>https://analytics.zoho.com/open-view/2395394000008645197?ZOHO_CRITERIA=%22Localiza_CL_Poblacion%22.%22Codreg%22%3D7</t>
  </si>
  <si>
    <t>Evolución de Casos Activos de COVID-19 por 1 millón de habitantes en las comunas de la Región del Biobío durante el Periodo 2020-2021</t>
  </si>
  <si>
    <t>https://analytics.zoho.com/open-view/2395394000008645197?ZOHO_CRITERIA=%22Localiza_CL_Poblacion%22.%22Codreg%22%3D8</t>
  </si>
  <si>
    <t>Evolución de Casos Activos de COVID-19 por 1 millón de habitantes en las comunas de la Región de La Araucanía durante el Periodo 2020-2021</t>
  </si>
  <si>
    <t>https://analytics.zoho.com/open-view/2395394000008645197?ZOHO_CRITERIA=%22Localiza_CL_Poblacion%22.%22Codreg%22%3D9</t>
  </si>
  <si>
    <t>Evolución de Casos Activos de COVID-19 por 1 millón de habitantes en las comunas de la Región de Los Lagos durante el Periodo 2020-2021</t>
  </si>
  <si>
    <t>https://analytics.zoho.com/open-view/2395394000008645197?ZOHO_CRITERIA=%22Localiza_CL_Poblacion%22.%22Codreg%22%3D10</t>
  </si>
  <si>
    <t>Evolución de Casos Activos de COVID-19 por 1 millón de habitantes en las comunas de la Región de Aysén durante el Periodo 2020-2021</t>
  </si>
  <si>
    <t>https://analytics.zoho.com/open-view/2395394000008645197?ZOHO_CRITERIA=%22Localiza_CL_Poblacion%22.%22Codreg%22%3D11</t>
  </si>
  <si>
    <t>Evolución de Casos Activos de COVID-19 por 1 millón de habitantes en las comunas de la Región de Magallanes durante el Periodo 2020-2021</t>
  </si>
  <si>
    <t>https://analytics.zoho.com/open-view/2395394000008645197?ZOHO_CRITERIA=%22Localiza_CL_Poblacion%22.%22Codreg%22%3D12</t>
  </si>
  <si>
    <t>Evolución de Casos Activos de COVID-19 por 1 millón de habitantes en las comunas de la Región Metropolitana durante el Periodo 2020-2021</t>
  </si>
  <si>
    <t>https://analytics.zoho.com/open-view/2395394000008645197?ZOHO_CRITERIA=%22Localiza_CL_Poblacion%22.%22Codreg%22%3D13</t>
  </si>
  <si>
    <t>Evolución de Casos Activos de COVID-19 por 1 millón de habitantes en las comunas de la Región de Los Ríos durante el Periodo 2020-2021</t>
  </si>
  <si>
    <t>https://analytics.zoho.com/open-view/2395394000008645197?ZOHO_CRITERIA=%22Localiza_CL_Poblacion%22.%22Codreg%22%3D14</t>
  </si>
  <si>
    <t>Evolución de Casos Activos de COVID-19 por 1 millón de habitantes en las comunas de la Región de Arica y Parinacota durante el Periodo 2020-2021</t>
  </si>
  <si>
    <t>https://analytics.zoho.com/open-view/2395394000008645197?ZOHO_CRITERIA=%22Localiza_CL_Poblacion%22.%22Codreg%22%3D15</t>
  </si>
  <si>
    <t>Evolución de Casos Activos de COVID-19 por 1 millón de habitantes en las comunas de la Región de Ñuble durante el Periodo 2020-2021</t>
  </si>
  <si>
    <t>https://analytics.zoho.com/open-view/2395394000008645197?ZOHO_CRITERIA=%22Localiza_CL_Poblacion%22.%22Codreg%22%3D16</t>
  </si>
  <si>
    <t>Volumen de Exportaciones Frutícolas en Chile, Periodo 2012-2020</t>
  </si>
  <si>
    <t>Volumen acumulado de Exportaciones Frutícolas por país de destino, Periodo 2012-2020</t>
  </si>
  <si>
    <t>Sentencias Dictadas por delitos de Abuso Sexual en Chile para el Periodo 2013-2019</t>
  </si>
  <si>
    <t>Sentencias Dictadas por delitos de Abuso Sexual en la Región de Tarapacá para el Periodo 2013-2019</t>
  </si>
  <si>
    <t>https://analytics.zoho.com/open-view/2395394000007166809?ZOHO_CRITERIA=%22Localiza%20CL%22.%22Codreg%22%3D1</t>
  </si>
  <si>
    <t>Sentencias Dictadas por delitos de Abuso Sexual en la Región de Antofagasta para el Periodo 2013-2019</t>
  </si>
  <si>
    <t>https://analytics.zoho.com/open-view/2395394000007166809?ZOHO_CRITERIA=%22Localiza%20CL%22.%22Codreg%22%3D2</t>
  </si>
  <si>
    <t>Sentencias Dictadas por delitos de Abuso Sexual en la Región de Atacama para el Periodo 2013-2019</t>
  </si>
  <si>
    <t>https://analytics.zoho.com/open-view/2395394000007166809?ZOHO_CRITERIA=%22Localiza%20CL%22.%22Codreg%22%3D3</t>
  </si>
  <si>
    <t>Sentencias Dictadas por delitos de Abuso Sexual en la Región de Coquimbo para el Periodo 2013-2019</t>
  </si>
  <si>
    <t>https://analytics.zoho.com/open-view/2395394000007166809?ZOHO_CRITERIA=%22Localiza%20CL%22.%22Codreg%22%3D4</t>
  </si>
  <si>
    <t>Sentencias Dictadas por delitos de Abuso Sexual en la Región de Valparaíso para el Periodo 2013-2019</t>
  </si>
  <si>
    <t>https://analytics.zoho.com/open-view/2395394000007166809?ZOHO_CRITERIA=%22Localiza%20CL%22.%22Codreg%22%3D5</t>
  </si>
  <si>
    <t>Sentencias Dictadas por delitos de Abuso Sexual en la Región de O'Higgins para el Periodo 2013-2019</t>
  </si>
  <si>
    <t>https://analytics.zoho.com/open-view/2395394000007166809?ZOHO_CRITERIA=%22Localiza%20CL%22.%22Codreg%22%3D6</t>
  </si>
  <si>
    <t>Sentencias Dictadas por delitos de Abuso Sexual en la Región de Maule para el Periodo 2013-2019</t>
  </si>
  <si>
    <t>https://analytics.zoho.com/open-view/2395394000007166809?ZOHO_CRITERIA=%22Localiza%20CL%22.%22Codreg%22%3D7</t>
  </si>
  <si>
    <t>Sentencias Dictadas por delitos de Abuso Sexual en la Región del Biobío para el Periodo 2013-2019</t>
  </si>
  <si>
    <t>https://analytics.zoho.com/open-view/2395394000007166809?ZOHO_CRITERIA=%22Localiza%20CL%22.%22Codreg%22%3D8</t>
  </si>
  <si>
    <t>Sentencias Dictadas por delitos de Abuso Sexual en la Región de La Araucanía para el Periodo 2013-2019</t>
  </si>
  <si>
    <t>https://analytics.zoho.com/open-view/2395394000007166809?ZOHO_CRITERIA=%22Localiza%20CL%22.%22Codreg%22%3D9</t>
  </si>
  <si>
    <t>Sentencias Dictadas por delitos de Abuso Sexual en la Región de Los Lagos para el Periodo 2013-2019</t>
  </si>
  <si>
    <t>https://analytics.zoho.com/open-view/2395394000007166809?ZOHO_CRITERIA=%22Localiza%20CL%22.%22Codreg%22%3D10</t>
  </si>
  <si>
    <t>Sentencias Dictadas por delitos de Abuso Sexual en la Región de Aysén para el Periodo 2013-2019</t>
  </si>
  <si>
    <t>https://analytics.zoho.com/open-view/2395394000007166809?ZOHO_CRITERIA=%22Localiza%20CL%22.%22Codreg%22%3D11</t>
  </si>
  <si>
    <t>Sentencias Dictadas por delitos de Abuso Sexual en la Región de Magallanes para el Periodo 2013-2019</t>
  </si>
  <si>
    <t>https://analytics.zoho.com/open-view/2395394000007166809?ZOHO_CRITERIA=%22Localiza%20CL%22.%22Codreg%22%3D12</t>
  </si>
  <si>
    <t>Sentencias Dictadas por delitos de Abuso Sexual en la Región Metropolitana para el Periodo 2013-2019</t>
  </si>
  <si>
    <t>https://analytics.zoho.com/open-view/2395394000007166809?ZOHO_CRITERIA=%22Localiza%20CL%22.%22Codreg%22%3D13</t>
  </si>
  <si>
    <t>Sentencias Dictadas por delitos de Abuso Sexual en la Región de Los Ríos para el Periodo 2013-2019</t>
  </si>
  <si>
    <t>https://analytics.zoho.com/open-view/2395394000007166809?ZOHO_CRITERIA=%22Localiza%20CL%22.%22Codreg%22%3D14</t>
  </si>
  <si>
    <t>Sentencias Dictadas por delitos de Abuso Sexual en la Región de Arica y Parinacota para el Periodo 2013-2019</t>
  </si>
  <si>
    <t>https://analytics.zoho.com/open-view/2395394000007166809?ZOHO_CRITERIA=%22Localiza%20CL%22.%22Codreg%22%3D15</t>
  </si>
  <si>
    <t>Sentencias Dictadas por delitos de Abuso Sexual en la Región de Ñuble para el Periodo 2013-2019</t>
  </si>
  <si>
    <t>https://analytics.zoho.com/open-view/2395394000007166809?ZOHO_CRITERIA=%22Localiza%20CL%22.%22Codreg%22%3D16</t>
  </si>
  <si>
    <t>Precios diarios de hortalizas en mercados mayoristas de Chile, Año 2021</t>
  </si>
  <si>
    <t>Precios diarios de hortalizas en mercados mayoristas de la Región de Coquimbo, Año 2021</t>
  </si>
  <si>
    <t>https://analytics.zoho.com/open-view/2395394000008646229?ZOHO_CRITERIA=%22Hortaliza%20Consolidado%22.%22Codreg%22%3D4</t>
  </si>
  <si>
    <t>Precios diarios de hortalizas en mercados mayoristas de la Región de Valparaíso, Año 2021</t>
  </si>
  <si>
    <t>https://analytics.zoho.com/open-view/2395394000008646229?ZOHO_CRITERIA=%22Hortaliza%20Consolidado%22.%22Codreg%22%3D5</t>
  </si>
  <si>
    <t>Precios diarios de hortalizas en mercados mayoristas de la Región de Maule, Año 2021</t>
  </si>
  <si>
    <t>https://analytics.zoho.com/open-view/2395394000008646229?ZOHO_CRITERIA=%22Hortaliza%20Consolidado%22.%22Codreg%22%3D7</t>
  </si>
  <si>
    <t>Precios diarios de hortalizas en mercados mayoristas de la Región del Biobío, Año 2021</t>
  </si>
  <si>
    <t>https://analytics.zoho.com/open-view/2395394000008646229?ZOHO_CRITERIA=%22Hortaliza%20Consolidado%22.%22Codreg%22%3D8</t>
  </si>
  <si>
    <t>Precios diarios de hortalizas en mercados mayoristas de la Región de La Araucanía, Año 2021</t>
  </si>
  <si>
    <t>https://analytics.zoho.com/open-view/2395394000008646229?ZOHO_CRITERIA=%22Hortaliza%20Consolidado%22.%22Codreg%22%3D9</t>
  </si>
  <si>
    <t>Precios diarios de hortalizas en mercados mayoristas de la Región de Los Lagos, Año 2021</t>
  </si>
  <si>
    <t>https://analytics.zoho.com/open-view/2395394000008646229?ZOHO_CRITERIA=%22Hortaliza%20Consolidado%22.%22Codreg%22%3D10</t>
  </si>
  <si>
    <t>Precios diarios de hortalizas en mercados mayoristas de la Región Metropolitana, Año 2021</t>
  </si>
  <si>
    <t>https://analytics.zoho.com/open-view/2395394000008646229?ZOHO_CRITERIA=%22Hortaliza%20Consolidado%22.%22Codreg%22%3D13</t>
  </si>
  <si>
    <t>Precios diarios de hortalizas en mercados mayoristas de la Región de Arica y Parinacota, Año 2021</t>
  </si>
  <si>
    <t>https://analytics.zoho.com/open-view/2395394000008646229?ZOHO_CRITERIA=%22Hortaliza%20Consolidado%22.%22Codreg%22%3D15</t>
  </si>
  <si>
    <t>Precios diarios de hortalizas en mercados mayoristas de la Región de Ñuble, Año 2021</t>
  </si>
  <si>
    <t>https://analytics.zoho.com/open-view/2395394000008646229?ZOHO_CRITERIA=%22Hortaliza%20Consolidado%22.%22Codreg%22%3D16</t>
  </si>
  <si>
    <t>Precios diarios de frutas en mercados mayoristas de Chile, Año 2021</t>
  </si>
  <si>
    <t>Precios diarios de frutas en mercados mayoristas de la Región de Coquimbo, Año 2021</t>
  </si>
  <si>
    <t>https://analytics.zoho.com/open-view/2395394000008646880?ZOHO_CRITERIA=%22Fruta%20Consolidado%22.%22Codreg%22%3D4</t>
  </si>
  <si>
    <t>Precios diarios de frutas en mercados mayoristas de la Región de Valparaíso, Año 2021</t>
  </si>
  <si>
    <t>https://analytics.zoho.com/open-view/2395394000008646880?ZOHO_CRITERIA=%22Fruta%20Consolidado%22.%22Codreg%22%3D5</t>
  </si>
  <si>
    <t>Precios diarios de frutas en mercados mayoristas de la Región de Maule, Año 2021</t>
  </si>
  <si>
    <t>https://analytics.zoho.com/open-view/2395394000008646880?ZOHO_CRITERIA=%22Fruta%20Consolidado%22.%22Codreg%22%3D7</t>
  </si>
  <si>
    <t>Precios diarios de frutas en mercados mayoristas de la Región del Biobío, Año 2021</t>
  </si>
  <si>
    <t>https://analytics.zoho.com/open-view/2395394000008646880?ZOHO_CRITERIA=%22Fruta%20Consolidado%22.%22Codreg%22%3D8</t>
  </si>
  <si>
    <t>Precios diarios de frutas en mercados mayoristas de la Región de La Araucanía, Año 2021</t>
  </si>
  <si>
    <t>https://analytics.zoho.com/open-view/2395394000008646880?ZOHO_CRITERIA=%22Fruta%20Consolidado%22.%22Codreg%22%3D9</t>
  </si>
  <si>
    <t>Precios diarios de frutas en mercados mayoristas de la Región de Los Lagos, Año 2021</t>
  </si>
  <si>
    <t>https://analytics.zoho.com/open-view/2395394000008646880?ZOHO_CRITERIA=%22Fruta%20Consolidado%22.%22Codreg%22%3D10</t>
  </si>
  <si>
    <t>Precios diarios de frutas en mercados mayoristas de la Región Metropolitana, Año 2021</t>
  </si>
  <si>
    <t>https://analytics.zoho.com/open-view/2395394000008646880?ZOHO_CRITERIA=%22Fruta%20Consolidado%22.%22Codreg%22%3D13</t>
  </si>
  <si>
    <t>Precios diarios de frutas en mercados mayoristas de la Región de Arica y Parinacota, Año 2021</t>
  </si>
  <si>
    <t>https://analytics.zoho.com/open-view/2395394000008646880?ZOHO_CRITERIA=%22Fruta%20Consolidado%22.%22Codreg%22%3D15</t>
  </si>
  <si>
    <t>Precios diarios de frutas en mercados mayoristas de la Región de Ñuble, Año 2021</t>
  </si>
  <si>
    <t>https://analytics.zoho.com/open-view/2395394000008646880?ZOHO_CRITERIA=%22Fruta%20Consolidado%22.%22Codreg%22%3D16</t>
  </si>
  <si>
    <t>Cantidad de Espacios Culturales en la Región de Tarapacá por Tipo de Titularidad y Comuna en el Año 2021</t>
  </si>
  <si>
    <t>https://analytics.zoho.com/open-view/2395394000008378510?ZOHO_CRITERIA=%22Espacios_Culturales_Completo%201%22.%22C%C3%B3digo_Regi%C3%B3n%22%20%3D%201</t>
  </si>
  <si>
    <t>Cantidad de Espacios Culturales en la Región de Antofagasta por Tipo de Titularidad y Comuna en el Año 2021</t>
  </si>
  <si>
    <t>https://analytics.zoho.com/open-view/2395394000008378510?ZOHO_CRITERIA=%22Espacios_Culturales_Completo%201%22.%22C%C3%B3digo_Regi%C3%B3n%22%20%3D%202</t>
  </si>
  <si>
    <t>Cantidad de Espacios Culturales en la Región de Atacama por Tipo de Titularidad y Comuna en el Año 2021</t>
  </si>
  <si>
    <t>https://analytics.zoho.com/open-view/2395394000008378510?ZOHO_CRITERIA=%22Espacios_Culturales_Completo%201%22.%22C%C3%B3digo_Regi%C3%B3n%22%20%3D%203</t>
  </si>
  <si>
    <t>Cantidad de Espacios Culturales en la Región de Coquimbo por Tipo de Titularidad y Comuna en el Año 2021</t>
  </si>
  <si>
    <t>https://analytics.zoho.com/open-view/2395394000008378510?ZOHO_CRITERIA=%22Espacios_Culturales_Completo%201%22.%22C%C3%B3digo_Regi%C3%B3n%22%20%3D%204</t>
  </si>
  <si>
    <t>Cantidad de Espacios Culturales en la Región de Valparaíso por Tipo de Titularidad y Comuna en el Año 2021</t>
  </si>
  <si>
    <t>https://analytics.zoho.com/open-view/2395394000008378510?ZOHO_CRITERIA=%22Espacios_Culturales_Completo%201%22.%22C%C3%B3digo_Regi%C3%B3n%22%20%3D%205</t>
  </si>
  <si>
    <t>Cantidad de Espacios Culturales en la Región de O'Higgins por Tipo de Titularidad y Comuna en el Año 2021</t>
  </si>
  <si>
    <t>https://analytics.zoho.com/open-view/2395394000008378510?ZOHO_CRITERIA=%22Espacios_Culturales_Completo%201%22.%22C%C3%B3digo_Regi%C3%B3n%22%20%3D%206</t>
  </si>
  <si>
    <t>Cantidad de Espacios Culturales en la Región de Maule por Tipo de Titularidad y Comuna en el Año 2021</t>
  </si>
  <si>
    <t>https://analytics.zoho.com/open-view/2395394000008378510?ZOHO_CRITERIA=%22Espacios_Culturales_Completo%201%22.%22C%C3%B3digo_Regi%C3%B3n%22%20%3D%207</t>
  </si>
  <si>
    <t>Cantidad de Espacios Culturales en la Región del Biobío por Tipo de Titularidad y Comuna en el Año 2021</t>
  </si>
  <si>
    <t>https://analytics.zoho.com/open-view/2395394000008378510?ZOHO_CRITERIA=%22Espacios_Culturales_Completo%201%22.%22C%C3%B3digo_Regi%C3%B3n%22%20%3D%208</t>
  </si>
  <si>
    <t>Cantidad de Espacios Culturales en la Región de La Araucanía por Tipo de Titularidad y Comuna en el Año 2021</t>
  </si>
  <si>
    <t>https://analytics.zoho.com/open-view/2395394000008378510?ZOHO_CRITERIA=%22Espacios_Culturales_Completo%201%22.%22C%C3%B3digo_Regi%C3%B3n%22%20%3D%209</t>
  </si>
  <si>
    <t>Cantidad de Espacios Culturales en la Región de Los Lagos por Tipo de Titularidad y Comuna en el Año 2021</t>
  </si>
  <si>
    <t>https://analytics.zoho.com/open-view/2395394000008378510?ZOHO_CRITERIA=%22Espacios_Culturales_Completo%201%22.%22C%C3%B3digo_Regi%C3%B3n%22%20%3D%2010</t>
  </si>
  <si>
    <t>Cantidad de Espacios Culturales en la Región de Aysén por Tipo de Titularidad y Comuna en el Año 2021</t>
  </si>
  <si>
    <t>https://analytics.zoho.com/open-view/2395394000008378510?ZOHO_CRITERIA=%22Espacios_Culturales_Completo%201%22.%22C%C3%B3digo_Regi%C3%B3n%22%20%3D%2011</t>
  </si>
  <si>
    <t>Cantidad de Espacios Culturales en la Región de Magallanes por Tipo de Titularidad y Comuna en el Año 2021</t>
  </si>
  <si>
    <t>https://analytics.zoho.com/open-view/2395394000008378510?ZOHO_CRITERIA=%22Espacios_Culturales_Completo%201%22.%22C%C3%B3digo_Regi%C3%B3n%22%20%3D%2012</t>
  </si>
  <si>
    <t>Cantidad de Espacios Culturales en la Región Metropolitana por Tipo de Titularidad y Comuna en el Año 2021</t>
  </si>
  <si>
    <t>https://analytics.zoho.com/open-view/2395394000008378510?ZOHO_CRITERIA=%22Espacios_Culturales_Completo%201%22.%22C%C3%B3digo_Regi%C3%B3n%22%20%3D%2013</t>
  </si>
  <si>
    <t>Cantidad de Espacios Culturales en la Región de Los Ríos por Tipo de Titularidad y Comuna en el Año 2021</t>
  </si>
  <si>
    <t>https://analytics.zoho.com/open-view/2395394000008378510?ZOHO_CRITERIA=%22Espacios_Culturales_Completo%201%22.%22C%C3%B3digo_Regi%C3%B3n%22%20%3D%2014</t>
  </si>
  <si>
    <t>Cantidad de Espacios Culturales en la Región de Arica y Parinacota por Tipo de Titularidad y Comuna en el Año 2021</t>
  </si>
  <si>
    <t>https://analytics.zoho.com/open-view/2395394000008378510?ZOHO_CRITERIA=%22Espacios_Culturales_Completo%201%22.%22C%C3%B3digo_Regi%C3%B3n%22%20%3D%2015</t>
  </si>
  <si>
    <t>Cantidad de Espacios Culturales en la Región de Ñuble por Tipo de Titularidad y Comuna en el Año 2021</t>
  </si>
  <si>
    <t>https://analytics.zoho.com/open-view/2395394000008378510?ZOHO_CRITERIA=%22Espacios_Culturales_Completo%201%22.%22C%C3%B3digo_Regi%C3%B3n%22%20%3D%2016</t>
  </si>
  <si>
    <t>Variación Anual de Frecuencia de Delitos de Mayor Connotación Social en Chile, Periodo 2008-2020</t>
  </si>
  <si>
    <t>Variación Anual de Frecuencia de Delitos de Mayor Connotación Social en la Región de Tarapacá, Periodo 2008-2020</t>
  </si>
  <si>
    <t>Variación Anual de Frecuencia de Delitos de Mayor Connotación Social en la Región de Antofagasta, Periodo 2008-2020</t>
  </si>
  <si>
    <t>Variación Anual de Frecuencia de Delitos de Mayor Connotación Social en la Región de Atacama, Periodo 2008-2020</t>
  </si>
  <si>
    <t>Variación Anual de Frecuencia de Delitos de Mayor Connotación Social en la Región de Coquimbo, Periodo 2008-2020</t>
  </si>
  <si>
    <t>Variación Anual de Frecuencia de Delitos de Mayor Connotación Social en la Región de Valparaíso, Periodo 2008-2020</t>
  </si>
  <si>
    <t>Variación Anual de Frecuencia de Delitos de Mayor Connotación Social en la Región de O'Higgins, Periodo 2008-2020</t>
  </si>
  <si>
    <t>Variación Anual de Frecuencia de Delitos de Mayor Connotación Social en la Región de Maule, Periodo 2008-2020</t>
  </si>
  <si>
    <t>Variación Anual de Frecuencia de Delitos de Mayor Connotación Social en la Región del Biobío, Periodo 2008-2020</t>
  </si>
  <si>
    <t>Variación Anual de Frecuencia de Delitos de Mayor Connotación Social en la Región de La Araucanía, Periodo 2008-2020</t>
  </si>
  <si>
    <t>Variación Anual de Frecuencia de Delitos de Mayor Connotación Social en la Región de Los Lagos, Periodo 2008-2020</t>
  </si>
  <si>
    <t>Variación Anual de Frecuencia de Delitos de Mayor Connotación Social en la Región de Aysén, Periodo 2008-2020</t>
  </si>
  <si>
    <t>Variación Anual de Frecuencia de Delitos de Mayor Connotación Social en la Región de Magallanes, Periodo 2008-2020</t>
  </si>
  <si>
    <t>Variación Anual de Frecuencia de Delitos de Mayor Connotación Social en la Región Metropolitana, Periodo 2008-2020</t>
  </si>
  <si>
    <t>Variación Anual de Frecuencia de Delitos de Mayor Connotación Social en la Región de Los Ríos, Periodo 2008-2020</t>
  </si>
  <si>
    <t>Variación Anual de Frecuencia de Delitos de Mayor Connotación Social en la Región de Arica y Parinacota, Periodo 2008-2020</t>
  </si>
  <si>
    <t>Variación Anual de Frecuencia de Delitos de Mayor Connotación Social en la Región de Ñuble, Periodo 2008-2020</t>
  </si>
  <si>
    <t>Evolución trimestral de Casos de Violencia Intrafamiliar presentados frente a la Fiscalía Nacional en Chile</t>
  </si>
  <si>
    <t>Evolución trimestral de Casos de Violencia Intrafamiliar presentados frente a la Fiscalía Nacional en la Región de Tarapacá</t>
  </si>
  <si>
    <t>https://analytics.zoho.com/open-view/2395394000007782059?ZOHO_CRITERIA=%22Trasposicion_27.4%22.%22Cod_Regi%C3%B3n%22%3D1</t>
  </si>
  <si>
    <t>Evolución trimestral de Casos de Violencia Intrafamiliar presentados frente a la Fiscalía Nacional en la Región de Antofagasta</t>
  </si>
  <si>
    <t>https://analytics.zoho.com/open-view/2395394000007782059?ZOHO_CRITERIA=%22Trasposicion_27.4%22.%22Cod_Regi%C3%B3n%22%3D2</t>
  </si>
  <si>
    <t>Evolución trimestral de Casos de Violencia Intrafamiliar presentados frente a la Fiscalía Nacional en la Región de Atacama</t>
  </si>
  <si>
    <t>https://analytics.zoho.com/open-view/2395394000007782059?ZOHO_CRITERIA=%22Trasposicion_27.4%22.%22Cod_Regi%C3%B3n%22%3D3</t>
  </si>
  <si>
    <t>Evolución trimestral de Casos de Violencia Intrafamiliar presentados frente a la Fiscalía Nacional en la Región de Coquimbo</t>
  </si>
  <si>
    <t>https://analytics.zoho.com/open-view/2395394000007782059?ZOHO_CRITERIA=%22Trasposicion_27.4%22.%22Cod_Regi%C3%B3n%22%3D4</t>
  </si>
  <si>
    <t>Evolución trimestral de Casos de Violencia Intrafamiliar presentados frente a la Fiscalía Nacional en la Región de Valparaíso</t>
  </si>
  <si>
    <t>https://analytics.zoho.com/open-view/2395394000007782059?ZOHO_CRITERIA=%22Trasposicion_27.4%22.%22Cod_Regi%C3%B3n%22%3D5</t>
  </si>
  <si>
    <t>Evolución trimestral de Casos de Violencia Intrafamiliar presentados frente a la Fiscalía Nacional en la Región de O'Higgins</t>
  </si>
  <si>
    <t>https://analytics.zoho.com/open-view/2395394000007782059?ZOHO_CRITERIA=%22Trasposicion_27.4%22.%22Cod_Regi%C3%B3n%22%3D6</t>
  </si>
  <si>
    <t>Evolución trimestral de Casos de Violencia Intrafamiliar presentados frente a la Fiscalía Nacional en la Región de Maule</t>
  </si>
  <si>
    <t>https://analytics.zoho.com/open-view/2395394000007782059?ZOHO_CRITERIA=%22Trasposicion_27.4%22.%22Cod_Regi%C3%B3n%22%3D7</t>
  </si>
  <si>
    <t>Evolución trimestral de Casos de Violencia Intrafamiliar presentados frente a la Fiscalía Nacional en la Región del Biobío</t>
  </si>
  <si>
    <t>https://analytics.zoho.com/open-view/2395394000007782059?ZOHO_CRITERIA=%22Trasposicion_27.4%22.%22Cod_Regi%C3%B3n%22%3D8</t>
  </si>
  <si>
    <t>Evolución trimestral de Casos de Violencia Intrafamiliar presentados frente a la Fiscalía Nacional en la Región de La Araucanía</t>
  </si>
  <si>
    <t>https://analytics.zoho.com/open-view/2395394000007782059?ZOHO_CRITERIA=%22Trasposicion_27.4%22.%22Cod_Regi%C3%B3n%22%3D9</t>
  </si>
  <si>
    <t>Evolución trimestral de Casos de Violencia Intrafamiliar presentados frente a la Fiscalía Nacional en la Región de Los Lagos</t>
  </si>
  <si>
    <t>https://analytics.zoho.com/open-view/2395394000007782059?ZOHO_CRITERIA=%22Trasposicion_27.4%22.%22Cod_Regi%C3%B3n%22%3D10</t>
  </si>
  <si>
    <t>Evolución trimestral de Casos de Violencia Intrafamiliar presentados frente a la Fiscalía Nacional en la Región de Aysén</t>
  </si>
  <si>
    <t>https://analytics.zoho.com/open-view/2395394000007782059?ZOHO_CRITERIA=%22Trasposicion_27.4%22.%22Cod_Regi%C3%B3n%22%3D11</t>
  </si>
  <si>
    <t>Evolución trimestral de Casos de Violencia Intrafamiliar presentados frente a la Fiscalía Nacional en la Región de Magallanes</t>
  </si>
  <si>
    <t>https://analytics.zoho.com/open-view/2395394000007782059?ZOHO_CRITERIA=%22Trasposicion_27.4%22.%22Cod_Regi%C3%B3n%22%3D12</t>
  </si>
  <si>
    <t>Evolución trimestral de Casos de Violencia Intrafamiliar presentados frente a la Fiscalía Nacional en la Región Metropolitana</t>
  </si>
  <si>
    <t>https://analytics.zoho.com/open-view/2395394000007782059?ZOHO_CRITERIA=%22Trasposicion_27.4%22.%22Cod_Regi%C3%B3n%22%3D13</t>
  </si>
  <si>
    <t>Evolución trimestral de Casos de Violencia Intrafamiliar presentados frente a la Fiscalía Nacional en la Región de Los Ríos</t>
  </si>
  <si>
    <t>https://analytics.zoho.com/open-view/2395394000007782059?ZOHO_CRITERIA=%22Trasposicion_27.4%22.%22Cod_Regi%C3%B3n%22%3D14</t>
  </si>
  <si>
    <t>Evolución trimestral de Casos de Violencia Intrafamiliar presentados frente a la Fiscalía Nacional en la Región de Arica y Parinacota</t>
  </si>
  <si>
    <t>https://analytics.zoho.com/open-view/2395394000007782059?ZOHO_CRITERIA=%22Trasposicion_27.4%22.%22Cod_Regi%C3%B3n%22%3D15</t>
  </si>
  <si>
    <t>Evolución trimestral de Casos de Violencia Intrafamiliar presentados frente a la Fiscalía Nacional en la Región de Ñuble</t>
  </si>
  <si>
    <t>https://analytics.zoho.com/open-view/2395394000007782059?ZOHO_CRITERIA=%22Trasposicion_27.4%22.%22Cod_Regi%C3%B3n%22%3D16</t>
  </si>
  <si>
    <t>Cantidad de Denuncias por Violencia Intrafamiliar hacia la mujer, acumuladas en el Periodo 2020-2021</t>
  </si>
  <si>
    <t>Cantidad de Denuncias por Violencia Intrafamiliar hacia la mujer, en la Región de Tarapacá, acumuladas en el Periodo 2020-2021</t>
  </si>
  <si>
    <t>https://analytics.zoho.com/open-view/2395394000007782100?ZOHO_CRITERIA=%22Localiza%20CL%22.%22Codreg%22%3D1</t>
  </si>
  <si>
    <t>Sentencias Dictadas por delitos de Abuso Sexual en la Región de Antofagasta para el Periodo 2020-2021</t>
  </si>
  <si>
    <t>https://analytics.zoho.com/open-view/2395394000007782100?ZOHO_CRITERIA=%22Localiza%20CL%22.%22Codreg%22%3D2</t>
  </si>
  <si>
    <t>Sentencias Dictadas por delitos de Abuso Sexual en la Región de Atacama para el Periodo 2020-2021</t>
  </si>
  <si>
    <t>https://analytics.zoho.com/open-view/2395394000007782100?ZOHO_CRITERIA=%22Localiza%20CL%22.%22Codreg%22%3D3</t>
  </si>
  <si>
    <t>Sentencias Dictadas por delitos de Abuso Sexual en la Región de Coquimbo para el Periodo 2020-2021</t>
  </si>
  <si>
    <t>https://analytics.zoho.com/open-view/2395394000007782100?ZOHO_CRITERIA=%22Localiza%20CL%22.%22Codreg%22%3D4</t>
  </si>
  <si>
    <t>Sentencias Dictadas por delitos de Abuso Sexual en la Región de Valparaíso para el Periodo 2020-2021</t>
  </si>
  <si>
    <t>https://analytics.zoho.com/open-view/2395394000007782100?ZOHO_CRITERIA=%22Localiza%20CL%22.%22Codreg%22%3D5</t>
  </si>
  <si>
    <t>Sentencias Dictadas por delitos de Abuso Sexual en la Región de O'Higgins para el Periodo 2020-2021</t>
  </si>
  <si>
    <t>https://analytics.zoho.com/open-view/2395394000007782100?ZOHO_CRITERIA=%22Localiza%20CL%22.%22Codreg%22%3D6</t>
  </si>
  <si>
    <t>Sentencias Dictadas por delitos de Abuso Sexual en la Región de Maule para el Periodo 2020-2021</t>
  </si>
  <si>
    <t>https://analytics.zoho.com/open-view/2395394000007782100?ZOHO_CRITERIA=%22Localiza%20CL%22.%22Codreg%22%3D7</t>
  </si>
  <si>
    <t>Sentencias Dictadas por delitos de Abuso Sexual en la Región del Biobío para el Periodo 2020-2021</t>
  </si>
  <si>
    <t>https://analytics.zoho.com/open-view/2395394000007782100?ZOHO_CRITERIA=%22Localiza%20CL%22.%22Codreg%22%3D8</t>
  </si>
  <si>
    <t>Sentencias Dictadas por delitos de Abuso Sexual en la Región de La Araucanía para el Periodo 2020-2021</t>
  </si>
  <si>
    <t>https://analytics.zoho.com/open-view/2395394000007782100?ZOHO_CRITERIA=%22Localiza%20CL%22.%22Codreg%22%3D9</t>
  </si>
  <si>
    <t>Sentencias Dictadas por delitos de Abuso Sexual en la Región de Los Lagos para el Periodo 2020-2021</t>
  </si>
  <si>
    <t>https://analytics.zoho.com/open-view/2395394000007782100?ZOHO_CRITERIA=%22Localiza%20CL%22.%22Codreg%22%3D10</t>
  </si>
  <si>
    <t>Sentencias Dictadas por delitos de Abuso Sexual en la Región de Aysén para el Periodo 2020-2021</t>
  </si>
  <si>
    <t>https://analytics.zoho.com/open-view/2395394000007782100?ZOHO_CRITERIA=%22Localiza%20CL%22.%22Codreg%22%3D11</t>
  </si>
  <si>
    <t>Sentencias Dictadas por delitos de Abuso Sexual en la Región de Magallanes para el Periodo 2020-2021</t>
  </si>
  <si>
    <t>https://analytics.zoho.com/open-view/2395394000007782100?ZOHO_CRITERIA=%22Localiza%20CL%22.%22Codreg%22%3D12</t>
  </si>
  <si>
    <t>Sentencias Dictadas por delitos de Abuso Sexual en la Región Metropolitana para el Periodo 2020-2021</t>
  </si>
  <si>
    <t>https://analytics.zoho.com/open-view/2395394000007782100?ZOHO_CRITERIA=%22Localiza%20CL%22.%22Codreg%22%3D13</t>
  </si>
  <si>
    <t>Sentencias Dictadas por delitos de Abuso Sexual en la Región de Los Ríos para el Periodo 2020-2021</t>
  </si>
  <si>
    <t>https://analytics.zoho.com/open-view/2395394000007782100?ZOHO_CRITERIA=%22Localiza%20CL%22.%22Codreg%22%3D14</t>
  </si>
  <si>
    <t>Sentencias Dictadas por delitos de Abuso Sexual en la Región de Arica y Parinacota para el Periodo 2020-2021</t>
  </si>
  <si>
    <t>https://analytics.zoho.com/open-view/2395394000007782100?ZOHO_CRITERIA=%22Localiza%20CL%22.%22Codreg%22%3D15</t>
  </si>
  <si>
    <t>Sentencias Dictadas por delitos de Abuso Sexual en la Región de Ñuble para el Periodo 2020-2021</t>
  </si>
  <si>
    <t>https://analytics.zoho.com/open-view/2395394000007782100?ZOHO_CRITERIA=%22Localiza%20CL%22.%22Codreg%22%3D16</t>
  </si>
  <si>
    <t>Toneladas de fruta producidas en Chile por tipo de envase utilizado</t>
  </si>
  <si>
    <t>Proporción del destino de la fruta producida por Chile, en el Periodo 2018-2020</t>
  </si>
  <si>
    <t>Proporción del destino de la fruta producida por la Región de Tarapacá, en el Periodo 2018-2020</t>
  </si>
  <si>
    <t>https://analytics.zoho.com/open-view/2395394000008207486?ZOHO_CRITERIA=%224.6%22.%22C%C3%B3digo_Regi%C3%B3n%22%3D1</t>
  </si>
  <si>
    <t>Proporción del destino de la fruta producida por la Región de Atacama, en el Periodo 2018-2020</t>
  </si>
  <si>
    <t>https://analytics.zoho.com/open-view/2395394000008207486?ZOHO_CRITERIA=%224.6%22.%22C%C3%B3digo_Regi%C3%B3n%22%3D3</t>
  </si>
  <si>
    <t>Proporción del destino de la fruta producida por la Región de Coquimbo, en el Periodo 2018-2020</t>
  </si>
  <si>
    <t>https://analytics.zoho.com/open-view/2395394000008207486?ZOHO_CRITERIA=%224.6%22.%22C%C3%B3digo_Regi%C3%B3n%22%3D4</t>
  </si>
  <si>
    <t>Proporción del destino de la fruta producida por la Región de Valparaíso, en el Periodo 2018-2020</t>
  </si>
  <si>
    <t>https://analytics.zoho.com/open-view/2395394000008207486?ZOHO_CRITERIA=%224.6%22.%22C%C3%B3digo_Regi%C3%B3n%22%3D5</t>
  </si>
  <si>
    <t>Proporción del destino de la fruta producida por la Región de O'Higgins, en el Periodo 2018-2020</t>
  </si>
  <si>
    <t>https://analytics.zoho.com/open-view/2395394000008207486?ZOHO_CRITERIA=%224.6%22.%22C%C3%B3digo_Regi%C3%B3n%22%3D6</t>
  </si>
  <si>
    <t>Proporción del destino de la fruta producida por la Región de Maule, en el Periodo 2018-2020</t>
  </si>
  <si>
    <t>https://analytics.zoho.com/open-view/2395394000008207486?ZOHO_CRITERIA=%224.6%22.%22C%C3%B3digo_Regi%C3%B3n%22%3D7</t>
  </si>
  <si>
    <t>Proporción del destino de la fruta producida por la Región del Biobío, en el Periodo 2018-2020</t>
  </si>
  <si>
    <t>https://analytics.zoho.com/open-view/2395394000008207486?ZOHO_CRITERIA=%224.6%22.%22C%C3%B3digo_Regi%C3%B3n%22%3D8</t>
  </si>
  <si>
    <t>Proporción del destino de la fruta producida por la Región de La Araucanía, en el Periodo 2018-2020</t>
  </si>
  <si>
    <t>https://analytics.zoho.com/open-view/2395394000008207486?ZOHO_CRITERIA=%224.6%22.%22C%C3%B3digo_Regi%C3%B3n%22%3D9</t>
  </si>
  <si>
    <t>Proporción del destino de la fruta producida por la Región de Los Lagos, en el Periodo 2018-2020</t>
  </si>
  <si>
    <t>https://analytics.zoho.com/open-view/2395394000008207486?ZOHO_CRITERIA=%224.6%22.%22C%C3%B3digo_Regi%C3%B3n%22%3D10</t>
  </si>
  <si>
    <t>Proporción del destino de la fruta producida por la Región Metropolitana, en el Periodo 2018-2020</t>
  </si>
  <si>
    <t>https://analytics.zoho.com/open-view/2395394000008207486?ZOHO_CRITERIA=%224.6%22.%22C%C3%B3digo_Regi%C3%B3n%22%3D13</t>
  </si>
  <si>
    <t>Proporción del destino de la fruta producida por la Región de Los Ríos, en el Periodo 2018-2020</t>
  </si>
  <si>
    <t>https://analytics.zoho.com/open-view/2395394000008207486?ZOHO_CRITERIA=%224.6%22.%22C%C3%B3digo_Regi%C3%B3n%22%3D14</t>
  </si>
  <si>
    <t>Proporción del destino de la fruta producida por la Región de Arica y Parinacota, en el Periodo 2018-2020</t>
  </si>
  <si>
    <t>https://analytics.zoho.com/open-view/2395394000008207486?ZOHO_CRITERIA=%224.6%22.%22C%C3%B3digo_Regi%C3%B3n%22%3D15</t>
  </si>
  <si>
    <t>Proporción del destino de la fruta producida por la Región de Ñuble, en el Periodo 2018-2020</t>
  </si>
  <si>
    <t>https://analytics.zoho.com/open-view/2395394000008207486?ZOHO_CRITERIA=%224.6%22.%22C%C3%B3digo_Regi%C3%B3n%22%3D16</t>
  </si>
  <si>
    <t>Evolución anual de superficie plantada (ha) de lechuga en la Región de Atacama</t>
  </si>
  <si>
    <t>https://analytics.zoho.com/open-view/2395394000008209595?ZOHO_CRITERIA=%22Trasposicion_4.7%22.%22C%C3%B3digo_Regi%C3%B3n%22%3D3</t>
  </si>
  <si>
    <t>Evolución anual de superficie plantada (ha) de lechuga en la Región de Coquimbo</t>
  </si>
  <si>
    <t>https://analytics.zoho.com/open-view/2395394000008209595?ZOHO_CRITERIA=%22Trasposicion_4.7%22.%22C%C3%B3digo_Regi%C3%B3n%22%3D4</t>
  </si>
  <si>
    <t>Evolución anual de superficie plantada (ha) de lechuga en la Región de Valparaíso</t>
  </si>
  <si>
    <t>https://analytics.zoho.com/open-view/2395394000008209595?ZOHO_CRITERIA=%22Trasposicion_4.7%22.%22C%C3%B3digo_Regi%C3%B3n%22%3D5</t>
  </si>
  <si>
    <t>Evolución anual de superficie plantada (ha) de lechuga en la Región de O'Higgins</t>
  </si>
  <si>
    <t>https://analytics.zoho.com/open-view/2395394000008209595?ZOHO_CRITERIA=%22Trasposicion_4.7%22.%22C%C3%B3digo_Regi%C3%B3n%22%3D6</t>
  </si>
  <si>
    <t>Evolución anual de superficie plantada (ha) de lechuga en la Región de Maule</t>
  </si>
  <si>
    <t>https://analytics.zoho.com/open-view/2395394000008209595?ZOHO_CRITERIA=%22Trasposicion_4.7%22.%22C%C3%B3digo_Regi%C3%B3n%22%3D7</t>
  </si>
  <si>
    <t>Evolución anual de superficie plantada (ha) de lechuga en la Región del Biobío</t>
  </si>
  <si>
    <t>https://analytics.zoho.com/open-view/2395394000008209595?ZOHO_CRITERIA=%22Trasposicion_4.7%22.%22C%C3%B3digo_Regi%C3%B3n%22%3D8</t>
  </si>
  <si>
    <t>Evolución anual de superficie plantada (ha) de lechuga en la Región de La Araucanía</t>
  </si>
  <si>
    <t>https://analytics.zoho.com/open-view/2395394000008209595?ZOHO_CRITERIA=%22Trasposicion_4.7%22.%22C%C3%B3digo_Regi%C3%B3n%22%3D9</t>
  </si>
  <si>
    <t>Evolución anual de superficie plantada (ha) de lechuga en la Región Metropolitana</t>
  </si>
  <si>
    <t>https://analytics.zoho.com/open-view/2395394000008209595?ZOHO_CRITERIA=%22Trasposicion_4.7%22.%22C%C3%B3digo_Regi%C3%B3n%22%3D13</t>
  </si>
  <si>
    <t>Evolución anual de superficie plantada (ha) de lechuga en la Región de Arica y Parinacota</t>
  </si>
  <si>
    <t>https://analytics.zoho.com/open-view/2395394000008209595?ZOHO_CRITERIA=%22Trasposicion_4.7%22.%22C%C3%B3digo_Regi%C3%B3n%22%3D15</t>
  </si>
  <si>
    <t>Evolución anual de superficie plantada (ha) de lechuga en la Región de Ñuble</t>
  </si>
  <si>
    <t>https://analytics.zoho.com/open-view/2395394000008209595?ZOHO_CRITERIA=%22Trasposicion_4.7%22.%22C%C3%B3digo_Regi%C3%B3n%22%3D16</t>
  </si>
  <si>
    <t>Cantidad de Espacios Culturales con Acceso para Discapacitados en el Año 2021</t>
  </si>
  <si>
    <t>Cantidad de Espacios Culturales con Acceso para Discapacitados en la Región de Tarapacá, en el Año 2021</t>
  </si>
  <si>
    <t>https://analytics.zoho.com/open-view/2395394000008213039?ZOHO_CRITERIA=%22Espacios_Culturales_Completo%201%22.%22C%C3%B3digo_Regi%C3%B3n%22%20%3D%201</t>
  </si>
  <si>
    <t>Cantidad de Espacios Culturales con Acceso para Discapacitados en la Región de Antofagasta, en el Año 2021</t>
  </si>
  <si>
    <t>https://analytics.zoho.com/open-view/2395394000008213039?ZOHO_CRITERIA=%22Espacios_Culturales_Completo%201%22.%22C%C3%B3digo_Regi%C3%B3n%22%20%3D%202</t>
  </si>
  <si>
    <t>Cantidad de Espacios Culturales con Acceso para Discapacitados en la Región de Atacama, en el Año 2021</t>
  </si>
  <si>
    <t>https://analytics.zoho.com/open-view/2395394000008213039?ZOHO_CRITERIA=%22Espacios_Culturales_Completo%201%22.%22C%C3%B3digo_Regi%C3%B3n%22%20%3D%203</t>
  </si>
  <si>
    <t>Cantidad de Espacios Culturales con Acceso para Discapacitados en la Región de Coquimbo, en el Año 2021</t>
  </si>
  <si>
    <t>https://analytics.zoho.com/open-view/2395394000008213039?ZOHO_CRITERIA=%22Espacios_Culturales_Completo%201%22.%22C%C3%B3digo_Regi%C3%B3n%22%20%3D%204</t>
  </si>
  <si>
    <t>Cantidad de Espacios Culturales con Acceso para Discapacitados en la Región de Valparaíso, en el Año 2021</t>
  </si>
  <si>
    <t>https://analytics.zoho.com/open-view/2395394000008213039?ZOHO_CRITERIA=%22Espacios_Culturales_Completo%201%22.%22C%C3%B3digo_Regi%C3%B3n%22%20%3D%205</t>
  </si>
  <si>
    <t>Cantidad de Espacios Culturales con Acceso para Discapacitados en la Región de O'Higgins, en el Año 2021</t>
  </si>
  <si>
    <t>https://analytics.zoho.com/open-view/2395394000008213039?ZOHO_CRITERIA=%22Espacios_Culturales_Completo%201%22.%22C%C3%B3digo_Regi%C3%B3n%22%20%3D%206</t>
  </si>
  <si>
    <t>Cantidad de Espacios Culturales con Acceso para Discapacitados en la Región de Maule, en el Año 2021</t>
  </si>
  <si>
    <t>https://analytics.zoho.com/open-view/2395394000008213039?ZOHO_CRITERIA=%22Espacios_Culturales_Completo%201%22.%22C%C3%B3digo_Regi%C3%B3n%22%20%3D%207</t>
  </si>
  <si>
    <t>Cantidad de Espacios Culturales con Acceso para Discapacitados en la Región del Biobío, en el Año 2021</t>
  </si>
  <si>
    <t>https://analytics.zoho.com/open-view/2395394000008213039?ZOHO_CRITERIA=%22Espacios_Culturales_Completo%201%22.%22C%C3%B3digo_Regi%C3%B3n%22%20%3D%208</t>
  </si>
  <si>
    <t>Cantidad de Espacios Culturales con Acceso para Discapacitados en la Región de La Araucanía, en el Año 2021</t>
  </si>
  <si>
    <t>https://analytics.zoho.com/open-view/2395394000008213039?ZOHO_CRITERIA=%22Espacios_Culturales_Completo%201%22.%22C%C3%B3digo_Regi%C3%B3n%22%20%3D%209</t>
  </si>
  <si>
    <t>Cantidad de Espacios Culturales con Acceso para Discapacitados en la Región de Los Lagos, en el Año 2021</t>
  </si>
  <si>
    <t>https://analytics.zoho.com/open-view/2395394000008213039?ZOHO_CRITERIA=%22Espacios_Culturales_Completo%201%22.%22C%C3%B3digo_Regi%C3%B3n%22%20%3D%2010</t>
  </si>
  <si>
    <t>Cantidad de Espacios Culturales con Acceso para Discapacitados en la Región de Aysén, en el Año 2021</t>
  </si>
  <si>
    <t>https://analytics.zoho.com/open-view/2395394000008213039?ZOHO_CRITERIA=%22Espacios_Culturales_Completo%201%22.%22C%C3%B3digo_Regi%C3%B3n%22%20%3D%2011</t>
  </si>
  <si>
    <t>Cantidad de Espacios Culturales con Acceso para Discapacitados en la Región de Magallanes, en el Año 2021</t>
  </si>
  <si>
    <t>https://analytics.zoho.com/open-view/2395394000008213039?ZOHO_CRITERIA=%22Espacios_Culturales_Completo%201%22.%22C%C3%B3digo_Regi%C3%B3n%22%20%3D%2012</t>
  </si>
  <si>
    <t>Cantidad de Espacios Culturales con Acceso para Discapacitados en la Región Metropolitana, en el Año 2021</t>
  </si>
  <si>
    <t>https://analytics.zoho.com/open-view/2395394000008213039?ZOHO_CRITERIA=%22Espacios_Culturales_Completo%201%22.%22C%C3%B3digo_Regi%C3%B3n%22%20%3D%2013</t>
  </si>
  <si>
    <t>Cantidad de Espacios Culturales con Acceso para Discapacitados en la Región de Los Ríos, en el Año 2021</t>
  </si>
  <si>
    <t>https://analytics.zoho.com/open-view/2395394000008213039?ZOHO_CRITERIA=%22Espacios_Culturales_Completo%201%22.%22C%C3%B3digo_Regi%C3%B3n%22%20%3D%2014</t>
  </si>
  <si>
    <t>Cantidad de Espacios Culturales con Acceso para Discapacitados en la Región de Arica y Parinacota, en el Año 2021</t>
  </si>
  <si>
    <t>https://analytics.zoho.com/open-view/2395394000008213039?ZOHO_CRITERIA=%22Espacios_Culturales_Completo%201%22.%22C%C3%B3digo_Regi%C3%B3n%22%20%3D%2015</t>
  </si>
  <si>
    <t>Cantidad de Espacios Culturales con Acceso para Discapacitados en la Región de Ñuble, en el Año 2021</t>
  </si>
  <si>
    <t>https://analytics.zoho.com/open-view/2395394000008213039?ZOHO_CRITERIA=%22Espacios_Culturales_Completo%201%22.%22C%C3%B3digo_Regi%C3%B3n%22%20%3D%2016</t>
  </si>
  <si>
    <t>Ventas anuales en UF por rubro en Chile, Año 2019</t>
  </si>
  <si>
    <t>Ventas anuales en UF por rubro en la Región de Tarapacá, Año 2019</t>
  </si>
  <si>
    <t>https://analytics.zoho.com/open-view/2395394000008025390?ZOHO_CRITERIA=%22Rubros_Todo%22.%22Id_Regi%C3%B3n%22%3D1</t>
  </si>
  <si>
    <t>Ventas anuales en UF por rubro en la Región de Antofagasta, Año 2019</t>
  </si>
  <si>
    <t>https://analytics.zoho.com/open-view/2395394000008025390?ZOHO_CRITERIA=%22Rubros_Todo%22.%22Id_Regi%C3%B3n%22%3D2</t>
  </si>
  <si>
    <t>Ventas anuales en UF por rubro en la Región de Atacama, Año 2019</t>
  </si>
  <si>
    <t>https://analytics.zoho.com/open-view/2395394000008025390?ZOHO_CRITERIA=%22Rubros_Todo%22.%22Id_Regi%C3%B3n%22%3D3</t>
  </si>
  <si>
    <t>Ventas anuales en UF por rubro en la Región de Coquimbo, Año 2019</t>
  </si>
  <si>
    <t>https://analytics.zoho.com/open-view/2395394000008025390?ZOHO_CRITERIA=%22Rubros_Todo%22.%22Id_Regi%C3%B3n%22%3D4</t>
  </si>
  <si>
    <t>Ventas anuales en UF por rubro en la Región de Valparaíso, Año 2019</t>
  </si>
  <si>
    <t>https://analytics.zoho.com/open-view/2395394000008025390?ZOHO_CRITERIA=%22Rubros_Todo%22.%22Id_Regi%C3%B3n%22%3D5</t>
  </si>
  <si>
    <t>Ventas anuales en UF por rubro en la Región de O'Higgins, Año 2019</t>
  </si>
  <si>
    <t>https://analytics.zoho.com/open-view/2395394000008025390?ZOHO_CRITERIA=%22Rubros_Todo%22.%22Id_Regi%C3%B3n%22%3D6</t>
  </si>
  <si>
    <t>Ventas anuales en UF por rubro en la Región de Maule, Año 2019</t>
  </si>
  <si>
    <t>https://analytics.zoho.com/open-view/2395394000008025390?ZOHO_CRITERIA=%22Rubros_Todo%22.%22Id_Regi%C3%B3n%22%3D7</t>
  </si>
  <si>
    <t>Ventas anuales en UF por rubro en la Región del Biobío, Año 2019</t>
  </si>
  <si>
    <t>https://analytics.zoho.com/open-view/2395394000008025390?ZOHO_CRITERIA=%22Rubros_Todo%22.%22Id_Regi%C3%B3n%22%3D8</t>
  </si>
  <si>
    <t>Ventas anuales en UF por rubro en la Región de La Araucanía, Año 2019</t>
  </si>
  <si>
    <t>https://analytics.zoho.com/open-view/2395394000008025390?ZOHO_CRITERIA=%22Rubros_Todo%22.%22Id_Regi%C3%B3n%22%3D9</t>
  </si>
  <si>
    <t>Ventas anuales en UF por rubro en la Región de Los Lagos, Año 2019</t>
  </si>
  <si>
    <t>https://analytics.zoho.com/open-view/2395394000008025390?ZOHO_CRITERIA=%22Rubros_Todo%22.%22Id_Regi%C3%B3n%22%3D10</t>
  </si>
  <si>
    <t>Ventas anuales en UF por rubro en la Región de Aysén, Año 2019</t>
  </si>
  <si>
    <t>https://analytics.zoho.com/open-view/2395394000008025390?ZOHO_CRITERIA=%22Rubros_Todo%22.%22Id_Regi%C3%B3n%22%3D11</t>
  </si>
  <si>
    <t>Ventas anuales en UF por rubro en la Región de Magallanes, Año 2019</t>
  </si>
  <si>
    <t>https://analytics.zoho.com/open-view/2395394000008025390?ZOHO_CRITERIA=%22Rubros_Todo%22.%22Id_Regi%C3%B3n%22%3D12</t>
  </si>
  <si>
    <t>Ventas anuales en UF por rubro en la Región Metropolitana, Año 2019</t>
  </si>
  <si>
    <t>https://analytics.zoho.com/open-view/2395394000008025390?ZOHO_CRITERIA=%22Rubros_Todo%22.%22Id_Regi%C3%B3n%22%3D13</t>
  </si>
  <si>
    <t>Ventas anuales en UF por rubro en la Región de Los Ríos, Año 2019</t>
  </si>
  <si>
    <t>https://analytics.zoho.com/open-view/2395394000008025390?ZOHO_CRITERIA=%22Rubros_Todo%22.%22Id_Regi%C3%B3n%22%3D14</t>
  </si>
  <si>
    <t>Ventas anuales en UF por rubro en la Región de Arica y Parinacota, Año 2019</t>
  </si>
  <si>
    <t>https://analytics.zoho.com/open-view/2395394000008025390?ZOHO_CRITERIA=%22Rubros_Todo%22.%22Id_Regi%C3%B3n%22%3D15</t>
  </si>
  <si>
    <t>Ventas anuales en UF por rubro en la Región de Ñuble, Año 2019</t>
  </si>
  <si>
    <t>https://analytics.zoho.com/open-view/2395394000008025390?ZOHO_CRITERIA=%22Rubros_Todo%22.%22Id_Regi%C3%B3n%22%3D16</t>
  </si>
  <si>
    <t>Cantidad de Centros de la Mujer por Región en el Año 2021</t>
  </si>
  <si>
    <t>Cantidad de Mujeres Ingresadas en Centros de la Mujer en Chile para el Periodo 2014-2019</t>
  </si>
  <si>
    <t>Cantidad de Salidas desde Casas de Acogida en Chile durante el Periodo 2014-2019</t>
  </si>
  <si>
    <t>Proporción por tipo de Salida desde Casas de Acogida en Chile para el Periodo 2014-2019</t>
  </si>
  <si>
    <t>Evolución de las Exportaciones (USD) de frutas desde Chile para el Periodo 2012-2020</t>
  </si>
  <si>
    <t>Evolución de las Exportaciones (USD) de frutas desde la Región de Tarapacá para el Periodo 2012-2020</t>
  </si>
  <si>
    <t>https://analytics.zoho.com/open-view/2395394000007782936?ZOHO_CRITERIA=%22Trasposicion_4.2%22.%22C%C3%B3digo_Regi%C3%B3n%22%20%3D%201</t>
  </si>
  <si>
    <t>Evolución de las Exportaciones (USD) de frutas desde la Región de Antofagasta para el Periodo 2012-2020</t>
  </si>
  <si>
    <t>https://analytics.zoho.com/open-view/2395394000007782936?ZOHO_CRITERIA=%22Trasposicion_4.2%22.%22C%C3%B3digo_Regi%C3%B3n%22%20%3D%202</t>
  </si>
  <si>
    <t>Evolución de las Exportaciones (USD) de frutas desde la Región de Atacama para el Periodo 2012-2020</t>
  </si>
  <si>
    <t>https://analytics.zoho.com/open-view/2395394000007782936?ZOHO_CRITERIA=%22Trasposicion_4.2%22.%22C%C3%B3digo_Regi%C3%B3n%22%20%3D%203</t>
  </si>
  <si>
    <t>Evolución de las Exportaciones (USD) de frutas desde la Región de Coquimbo para el Periodo 2012-2020</t>
  </si>
  <si>
    <t>https://analytics.zoho.com/open-view/2395394000007782936?ZOHO_CRITERIA=%22Trasposicion_4.2%22.%22C%C3%B3digo_Regi%C3%B3n%22%20%3D%204</t>
  </si>
  <si>
    <t>Evolución de las Exportaciones (USD) de frutas desde la Región de Valparaíso para el Periodo 2012-2020</t>
  </si>
  <si>
    <t>https://analytics.zoho.com/open-view/2395394000007782936?ZOHO_CRITERIA=%22Trasposicion_4.2%22.%22C%C3%B3digo_Regi%C3%B3n%22%20%3D%205</t>
  </si>
  <si>
    <t>Evolución de las Exportaciones (USD) de frutas desde la Región de O'Higgins para el Periodo 2012-2020</t>
  </si>
  <si>
    <t>https://analytics.zoho.com/open-view/2395394000007782936?ZOHO_CRITERIA=%22Trasposicion_4.2%22.%22C%C3%B3digo_Regi%C3%B3n%22%20%3D%206</t>
  </si>
  <si>
    <t>Evolución de las Exportaciones (USD) de frutas desde la Región de Maule para el Periodo 2012-2020</t>
  </si>
  <si>
    <t>https://analytics.zoho.com/open-view/2395394000007782936?ZOHO_CRITERIA=%22Trasposicion_4.2%22.%22C%C3%B3digo_Regi%C3%B3n%22%20%3D%207</t>
  </si>
  <si>
    <t>Evolución de las Exportaciones (USD) de frutas desde la Región del Biobío para el Periodo 2012-2020</t>
  </si>
  <si>
    <t>https://analytics.zoho.com/open-view/2395394000007782936?ZOHO_CRITERIA=%22Trasposicion_4.2%22.%22C%C3%B3digo_Regi%C3%B3n%22%20%3D%208</t>
  </si>
  <si>
    <t>Evolución de las Exportaciones (USD) de frutas desde la Región de La Araucanía para el Periodo 2012-2020</t>
  </si>
  <si>
    <t>https://analytics.zoho.com/open-view/2395394000007782936?ZOHO_CRITERIA=%22Trasposicion_4.2%22.%22C%C3%B3digo_Regi%C3%B3n%22%20%3D%209</t>
  </si>
  <si>
    <t>Evolución de las Exportaciones (USD) de frutas desde la Región de Los Lagos para el Periodo 2012-2020</t>
  </si>
  <si>
    <t>https://analytics.zoho.com/open-view/2395394000007782936?ZOHO_CRITERIA=%22Trasposicion_4.2%22.%22C%C3%B3digo_Regi%C3%B3n%22%20%3D%2010</t>
  </si>
  <si>
    <t>Evolución de las Exportaciones (USD) de frutas desde la Región de Aysén para el Periodo 2012-2020</t>
  </si>
  <si>
    <t>https://analytics.zoho.com/open-view/2395394000007782936?ZOHO_CRITERIA=%22Trasposicion_4.2%22.%22C%C3%B3digo_Regi%C3%B3n%22%20%3D%2011</t>
  </si>
  <si>
    <t>Evolución de las Exportaciones (USD) de frutas desde la Región de Magallanes para el Periodo 2012-2020</t>
  </si>
  <si>
    <t>https://analytics.zoho.com/open-view/2395394000007782936?ZOHO_CRITERIA=%22Trasposicion_4.2%22.%22C%C3%B3digo_Regi%C3%B3n%22%20%3D%2012</t>
  </si>
  <si>
    <t>Evolución de las Exportaciones (USD) de frutas desde la Región Metropolitana para el Periodo 2012-2020</t>
  </si>
  <si>
    <t>https://analytics.zoho.com/open-view/2395394000007782936?ZOHO_CRITERIA=%22Trasposicion_4.2%22.%22C%C3%B3digo_Regi%C3%B3n%22%20%3D%2013</t>
  </si>
  <si>
    <t>Evolución de las Exportaciones (USD) de frutas desde la Región de Los Ríos para el Periodo 2012-2020</t>
  </si>
  <si>
    <t>https://analytics.zoho.com/open-view/2395394000007782936?ZOHO_CRITERIA=%22Trasposicion_4.2%22.%22C%C3%B3digo_Regi%C3%B3n%22%20%3D%2014</t>
  </si>
  <si>
    <t>Evolución de las Exportaciones (USD) de frutas desde la Región de Arica y Parinacota para el Periodo 2012-2020</t>
  </si>
  <si>
    <t>https://analytics.zoho.com/open-view/2395394000007782936?ZOHO_CRITERIA=%22Trasposicion_4.2%22.%22C%C3%B3digo_Regi%C3%B3n%22%20%3D%2015</t>
  </si>
  <si>
    <t>Evolución de las Exportaciones (USD) de frutas desde la Región de Ñuble para el Periodo 2012-2020</t>
  </si>
  <si>
    <t>https://analytics.zoho.com/open-view/2395394000007782936?ZOHO_CRITERIA=%22Trasposicion_4.2%22.%22C%C3%B3digo_Regi%C3%B3n%22%20%3D%2016</t>
  </si>
  <si>
    <t>Valor acumulado (USD) de Exportaciones Frutícolas por país de destino, Periodo 2012-2020</t>
  </si>
  <si>
    <t>Capacidad Instalada (MW) de Centrales Eléctricas de Energía Renovable y No Renovable en Chile, para el Año 2021</t>
  </si>
  <si>
    <t>Capacidad Instalada (MW) de Centrales Eléctricas de Energía Renovable y No Renovable en la Región de Tarapacá, para el Año 2021</t>
  </si>
  <si>
    <t>https://analytics.zoho.com/open-view/2395394000008378752?ZOHO_CRITERIA=%2216%20Energ%C3%ADas%20Renovables%20y%20No%20Renovables%22.%22Cod_Regi%C3%B3n%22%20%3D%201</t>
  </si>
  <si>
    <t>Capacidad Instalada (MW) de Centrales Eléctricas de Energía Renovable y No Renovable en la Región de Antofagasta, para el Año 2021</t>
  </si>
  <si>
    <t>https://analytics.zoho.com/open-view/2395394000008378752?ZOHO_CRITERIA=%2216%20Energ%C3%ADas%20Renovables%20y%20No%20Renovables%22.%22Cod_Regi%C3%B3n%22%20%3D%202</t>
  </si>
  <si>
    <t>Capacidad Instalada (MW) de Centrales Eléctricas de Energía Renovable y No Renovable en la Región de Atacama, para el Año 2021</t>
  </si>
  <si>
    <t>https://analytics.zoho.com/open-view/2395394000008378752?ZOHO_CRITERIA=%2216%20Energ%C3%ADas%20Renovables%20y%20No%20Renovables%22.%22Cod_Regi%C3%B3n%22%20%3D%203</t>
  </si>
  <si>
    <t>Capacidad Instalada (MW) de Centrales Eléctricas de Energía Renovable y No Renovable en la Región de Coquimbo, para el Año 2021</t>
  </si>
  <si>
    <t>https://analytics.zoho.com/open-view/2395394000008378752?ZOHO_CRITERIA=%2216%20Energ%C3%ADas%20Renovables%20y%20No%20Renovables%22.%22Cod_Regi%C3%B3n%22%20%3D%204</t>
  </si>
  <si>
    <t>Capacidad Instalada (MW) de Centrales Eléctricas de Energía Renovable y No Renovable en la Región de Valparaíso, para el Año 2021</t>
  </si>
  <si>
    <t>https://analytics.zoho.com/open-view/2395394000008378752?ZOHO_CRITERIA=%2216%20Energ%C3%ADas%20Renovables%20y%20No%20Renovables%22.%22Cod_Regi%C3%B3n%22%20%3D%205</t>
  </si>
  <si>
    <t>Capacidad Instalada (MW) de Centrales Eléctricas de Energía Renovable y No Renovable en la Región de O'Higgins, para el Año 2021</t>
  </si>
  <si>
    <t>https://analytics.zoho.com/open-view/2395394000008378752?ZOHO_CRITERIA=%2216%20Energ%C3%ADas%20Renovables%20y%20No%20Renovables%22.%22Cod_Regi%C3%B3n%22%20%3D%206</t>
  </si>
  <si>
    <t>Capacidad Instalada (MW) de Centrales Eléctricas de Energía Renovable y No Renovable en la Región de Maule, para el Año 2021</t>
  </si>
  <si>
    <t>https://analytics.zoho.com/open-view/2395394000008378752?ZOHO_CRITERIA=%2216%20Energ%C3%ADas%20Renovables%20y%20No%20Renovables%22.%22Cod_Regi%C3%B3n%22%20%3D%207</t>
  </si>
  <si>
    <t>Capacidad Instalada (MW) de Centrales Eléctricas de Energía Renovable y No Renovable en la Región del Biobío, para el Año 2021</t>
  </si>
  <si>
    <t>https://analytics.zoho.com/open-view/2395394000008378752?ZOHO_CRITERIA=%2216%20Energ%C3%ADas%20Renovables%20y%20No%20Renovables%22.%22Cod_Regi%C3%B3n%22%20%3D%208</t>
  </si>
  <si>
    <t>Capacidad Instalada (MW) de Centrales Eléctricas de Energía Renovable y No Renovable en la Región de La Araucanía, para el Año 2021</t>
  </si>
  <si>
    <t>https://analytics.zoho.com/open-view/2395394000008378752?ZOHO_CRITERIA=%2216%20Energ%C3%ADas%20Renovables%20y%20No%20Renovables%22.%22Cod_Regi%C3%B3n%22%20%3D%209</t>
  </si>
  <si>
    <t>Capacidad Instalada (MW) de Centrales Eléctricas de Energía Renovable y No Renovable en la Región de Los Lagos, para el Año 2021</t>
  </si>
  <si>
    <t>https://analytics.zoho.com/open-view/2395394000008378752?ZOHO_CRITERIA=%2216%20Energ%C3%ADas%20Renovables%20y%20No%20Renovables%22.%22Cod_Regi%C3%B3n%22%20%3D%2010</t>
  </si>
  <si>
    <t>Capacidad Instalada (MW) de Centrales Eléctricas de Energía Renovable y No Renovable en la Región de Aysén, para el Año 2021</t>
  </si>
  <si>
    <t>https://analytics.zoho.com/open-view/2395394000008378752?ZOHO_CRITERIA=%2216%20Energ%C3%ADas%20Renovables%20y%20No%20Renovables%22.%22Cod_Regi%C3%B3n%22%20%3D%2011</t>
  </si>
  <si>
    <t>Capacidad Instalada (MW) de Centrales Eléctricas de Energía Renovable y No Renovable en la Región de Magallanes, para el Año 2021</t>
  </si>
  <si>
    <t>https://analytics.zoho.com/open-view/2395394000008378752?ZOHO_CRITERIA=%2216%20Energ%C3%ADas%20Renovables%20y%20No%20Renovables%22.%22Cod_Regi%C3%B3n%22%20%3D%2012</t>
  </si>
  <si>
    <t>Capacidad Instalada (MW) de Centrales Eléctricas de Energía Renovable y No Renovable en la Región Metropolitana, para el Año 2021</t>
  </si>
  <si>
    <t>https://analytics.zoho.com/open-view/2395394000008378752?ZOHO_CRITERIA=%2216%20Energ%C3%ADas%20Renovables%20y%20No%20Renovables%22.%22Cod_Regi%C3%B3n%22%20%3D%2013</t>
  </si>
  <si>
    <t>Capacidad Instalada (MW) de Centrales Eléctricas de Energía Renovable y No Renovable en la Región de Los Ríos, para el Año 2021</t>
  </si>
  <si>
    <t>https://analytics.zoho.com/open-view/2395394000008378752?ZOHO_CRITERIA=%2216%20Energ%C3%ADas%20Renovables%20y%20No%20Renovables%22.%22Cod_Regi%C3%B3n%22%20%3D%2014</t>
  </si>
  <si>
    <t>Capacidad Instalada (MW) de Centrales Eléctricas de Energía Renovable y No Renovable en la Región de Arica y Parinacota, para el Año 2021</t>
  </si>
  <si>
    <t>https://analytics.zoho.com/open-view/2395394000008378752?ZOHO_CRITERIA=%2216%20Energ%C3%ADas%20Renovables%20y%20No%20Renovables%22.%22Cod_Regi%C3%B3n%22%20%3D%2015</t>
  </si>
  <si>
    <t>Capacidad Instalada (MW) de Centrales Eléctricas de Energía Renovable y No Renovable en la Región de Ñuble, para el Año 2021</t>
  </si>
  <si>
    <t>https://analytics.zoho.com/open-view/2395394000008378752?ZOHO_CRITERIA=%2216%20Energ%C3%ADas%20Renovables%20y%20No%20Renovables%22.%22Cod_Regi%C3%B3n%22%20%3D%2016</t>
  </si>
  <si>
    <t>Producción Agrícola (t) en Chile en el Periodo 1979-2020</t>
  </si>
  <si>
    <t>Producción Agrícola (t) en la Región de Coquimbo en el Periodo 1979-2020</t>
  </si>
  <si>
    <t>https://analytics.zoho.com/open-view/2395394000008257083?ZOHO_CRITERIA=%22Trasposicion_4.10%22.%22Cod_regi%C3%B3n%22%20%3D%204</t>
  </si>
  <si>
    <t>Producción Agrícola (t) en la Región de Valparaíso en el Periodo 1979-2020</t>
  </si>
  <si>
    <t>https://analytics.zoho.com/open-view/2395394000008257083?ZOHO_CRITERIA=%22Trasposicion_4.10%22.%22Cod_regi%C3%B3n%22%20%3D%205</t>
  </si>
  <si>
    <t>Producción Agrícola (t) en la Región de O'Higgins en el Periodo 1979-2020</t>
  </si>
  <si>
    <t>https://analytics.zoho.com/open-view/2395394000008257083?ZOHO_CRITERIA=%22Trasposicion_4.10%22.%22Cod_regi%C3%B3n%22%20%3D%206</t>
  </si>
  <si>
    <t>Producción Agrícola (t) en la Región de Maule en el Periodo 1979-2020</t>
  </si>
  <si>
    <t>https://analytics.zoho.com/open-view/2395394000008257083?ZOHO_CRITERIA=%22Trasposicion_4.10%22.%22Cod_regi%C3%B3n%22%20%3D%207</t>
  </si>
  <si>
    <t>Producción Agrícola (t) en la Región del Biobío en el Periodo 1979-2020</t>
  </si>
  <si>
    <t>https://analytics.zoho.com/open-view/2395394000008257083?ZOHO_CRITERIA=%22Trasposicion_4.10%22.%22Cod_regi%C3%B3n%22%20%3D%208</t>
  </si>
  <si>
    <t>Producción Agrícola (t) en la Región de La Araucanía en el Periodo 1979-2020</t>
  </si>
  <si>
    <t>https://analytics.zoho.com/open-view/2395394000008257083?ZOHO_CRITERIA=%22Trasposicion_4.10%22.%22Cod_regi%C3%B3n%22%20%3D%209</t>
  </si>
  <si>
    <t>Producción Agrícola (t) en la Región de Los Lagos en el Periodo 1979-2020</t>
  </si>
  <si>
    <t>https://analytics.zoho.com/open-view/2395394000008257083?ZOHO_CRITERIA=%22Trasposicion_4.10%22.%22Cod_regi%C3%B3n%22%20%3D%2010</t>
  </si>
  <si>
    <t>Producción Agrícola (t) en la Región Metropolitana en el Periodo 1979-2020</t>
  </si>
  <si>
    <t>https://analytics.zoho.com/open-view/2395394000008257083?ZOHO_CRITERIA=%22Trasposicion_4.10%22.%22Cod_regi%C3%B3n%22%20%3D%2013</t>
  </si>
  <si>
    <t>Producción Agrícola (t) en la Región de Los Ríos en el Periodo 1979-2020</t>
  </si>
  <si>
    <t>https://analytics.zoho.com/open-view/2395394000008257083?ZOHO_CRITERIA=%22Trasposicion_4.10%22.%22Cod_regi%C3%B3n%22%20%3D%2014</t>
  </si>
  <si>
    <t>Producción Agrícola (t) en la Región de Ñuble en el Periodo 1979-2020</t>
  </si>
  <si>
    <t>https://analytics.zoho.com/open-view/2395394000008257083?ZOHO_CRITERIA=%22Trasposicion_4.10%22.%22Cod_regi%C3%B3n%22%20%3D%2016</t>
  </si>
  <si>
    <t>Volumen de Importaciones (t) de frutas tropicales y subtropicales, en el Periodo 2012-2020</t>
  </si>
  <si>
    <t>Volumen de Importaciones (t) por Procesamiento, en el Periodo 2012-2020</t>
  </si>
  <si>
    <t>Evolución de Casos de Cáncer de Cuello Uterino en Chile durante el Periodo 2011-2018</t>
  </si>
  <si>
    <t>Evolución de Población en Control en el Programa de VIH/SIDA según sexo en Chile durante el Periodo 2011-2018</t>
  </si>
  <si>
    <t>Evolución de Población en Control en el Programa de VIH/SIDA según sexo en Región de Tarapacá durante el Periodo 2011-2018</t>
  </si>
  <si>
    <t>https://analytics.zoho.com/open-view/2395394000007991542?ZOHO_CRITERIA=%22Localiza%20CL%22.%22Codreg%22%20%3D%201</t>
  </si>
  <si>
    <t>Evolución de Población en Control en el Programa de VIH/SIDA según sexo en Región de Antofagasta durante el Periodo 2011-2018</t>
  </si>
  <si>
    <t>https://analytics.zoho.com/open-view/2395394000007991542?ZOHO_CRITERIA=%22Localiza%20CL%22.%22Codreg%22%20%3D%202</t>
  </si>
  <si>
    <t>Evolución de Población en Control en el Programa de VIH/SIDA según sexo en Región de Atacama durante el Periodo 2011-2018</t>
  </si>
  <si>
    <t>https://analytics.zoho.com/open-view/2395394000007991542?ZOHO_CRITERIA=%22Localiza%20CL%22.%22Codreg%22%20%3D%203</t>
  </si>
  <si>
    <t>Evolución de Población en Control en el Programa de VIH/SIDA según sexo en Región de Coquimbo durante el Periodo 2011-2018</t>
  </si>
  <si>
    <t>https://analytics.zoho.com/open-view/2395394000007991542?ZOHO_CRITERIA=%22Localiza%20CL%22.%22Codreg%22%20%3D%204</t>
  </si>
  <si>
    <t>Evolución de Población en Control en el Programa de VIH/SIDA según sexo en Región de Valparaíso durante el Periodo 2011-2018</t>
  </si>
  <si>
    <t>https://analytics.zoho.com/open-view/2395394000007991542?ZOHO_CRITERIA=%22Localiza%20CL%22.%22Codreg%22%20%3D%205</t>
  </si>
  <si>
    <t>Evolución de Población en Control en el Programa de VIH/SIDA según sexo en Región de O'Higgins durante el Periodo 2011-2018</t>
  </si>
  <si>
    <t>https://analytics.zoho.com/open-view/2395394000007991542?ZOHO_CRITERIA=%22Localiza%20CL%22.%22Codreg%22%20%3D%206</t>
  </si>
  <si>
    <t>Evolución de Población en Control en el Programa de VIH/SIDA según sexo en Región de Maule durante el Periodo 2011-2018</t>
  </si>
  <si>
    <t>https://analytics.zoho.com/open-view/2395394000007991542?ZOHO_CRITERIA=%22Localiza%20CL%22.%22Codreg%22%20%3D%207</t>
  </si>
  <si>
    <t>Evolución de Población en Control en el Programa de VIH/SIDA según sexo en Región del Biobío durante el Periodo 2011-2018</t>
  </si>
  <si>
    <t>https://analytics.zoho.com/open-view/2395394000007991542?ZOHO_CRITERIA=%22Localiza%20CL%22.%22Codreg%22%20%3D%208</t>
  </si>
  <si>
    <t>Evolución de Población en Control en el Programa de VIH/SIDA según sexo en Región de La Araucanía durante el Periodo 2011-2018</t>
  </si>
  <si>
    <t>https://analytics.zoho.com/open-view/2395394000007991542?ZOHO_CRITERIA=%22Localiza%20CL%22.%22Codreg%22%20%3D%209</t>
  </si>
  <si>
    <t>Evolución de Población en Control en el Programa de VIH/SIDA según sexo en Región de Los Lagos durante el Periodo 2011-2018</t>
  </si>
  <si>
    <t>https://analytics.zoho.com/open-view/2395394000007991542?ZOHO_CRITERIA=%22Localiza%20CL%22.%22Codreg%22%20%3D%2010</t>
  </si>
  <si>
    <t>Evolución de Población en Control en el Programa de VIH/SIDA según sexo en Región de Aysén durante el Periodo 2011-2018</t>
  </si>
  <si>
    <t>https://analytics.zoho.com/open-view/2395394000007991542?ZOHO_CRITERIA=%22Localiza%20CL%22.%22Codreg%22%20%3D%2011</t>
  </si>
  <si>
    <t>Evolución de Población en Control en el Programa de VIH/SIDA según sexo en Región de Magallanes durante el Periodo 2011-2018</t>
  </si>
  <si>
    <t>https://analytics.zoho.com/open-view/2395394000007991542?ZOHO_CRITERIA=%22Localiza%20CL%22.%22Codreg%22%20%3D%2012</t>
  </si>
  <si>
    <t>Evolución de Población en Control en el Programa de VIH/SIDA según sexo en Región Metropolitana durante el Periodo 2011-2018</t>
  </si>
  <si>
    <t>https://analytics.zoho.com/open-view/2395394000007991542?ZOHO_CRITERIA=%22Localiza%20CL%22.%22Codreg%22%20%3D%2013</t>
  </si>
  <si>
    <t>Evolución de Población en Control en el Programa de VIH/SIDA según sexo en Región de Los Ríos durante el Periodo 2011-2018</t>
  </si>
  <si>
    <t>https://analytics.zoho.com/open-view/2395394000007991542?ZOHO_CRITERIA=%22Localiza%20CL%22.%22Codreg%22%20%3D%2014</t>
  </si>
  <si>
    <t>Evolución de Población en Control en el Programa de VIH/SIDA según sexo en Región de Arica y Parinacota durante el Periodo 2011-2018</t>
  </si>
  <si>
    <t>https://analytics.zoho.com/open-view/2395394000007991542?ZOHO_CRITERIA=%22Localiza%20CL%22.%22Codreg%22%20%3D%2015</t>
  </si>
  <si>
    <t>Evolución de Población en Control en el Programa de VIH/SIDA según sexo en Región de Ñuble durante el Periodo 2011-2018</t>
  </si>
  <si>
    <t>https://analytics.zoho.com/open-view/2395394000007991542?ZOHO_CRITERIA=%22Localiza%20CL%22.%22Codreg%22%20%3D%2016</t>
  </si>
  <si>
    <t>Cantidad de comunas por región según grado de vulnerabilidad al cambio climático, Año 2020</t>
  </si>
  <si>
    <t>Cantidad de comunas según grado de vulnerabilidad al cambio climático, Región de Tarapacá, Año 2020</t>
  </si>
  <si>
    <t>https://analytics.zoho.com/open-view/2395394000009443389?ZOHO_CRITERIA=%22Localiza%20CL%22.%22Codreg%22%3D1</t>
  </si>
  <si>
    <t>Cantidad de comunas según grado de vulnerabilidad al cambio climático, Región de Antofagasta, Año 2020</t>
  </si>
  <si>
    <t>https://analytics.zoho.com/open-view/2395394000009443389?ZOHO_CRITERIA=%22Localiza%20CL%22.%22Codreg%22%3D2</t>
  </si>
  <si>
    <t>Cantidad de comunas según grado de vulnerabilidad al cambio climático, Región de Atacama, Año 2020</t>
  </si>
  <si>
    <t>https://analytics.zoho.com/open-view/2395394000009443389?ZOHO_CRITERIA=%22Localiza%20CL%22.%22Codreg%22%3D3</t>
  </si>
  <si>
    <t>Cantidad de comunas según grado de vulnerabilidad al cambio climático, Región de Coquimbo, Año 2020</t>
  </si>
  <si>
    <t>https://analytics.zoho.com/open-view/2395394000009443389?ZOHO_CRITERIA=%22Localiza%20CL%22.%22Codreg%22%3D4</t>
  </si>
  <si>
    <t>Cantidad de comunas según grado de vulnerabilidad al cambio climático, Región de Valparaíso, Año 2020</t>
  </si>
  <si>
    <t>https://analytics.zoho.com/open-view/2395394000009443389?ZOHO_CRITERIA=%22Localiza%20CL%22.%22Codreg%22%3D5</t>
  </si>
  <si>
    <t>Cantidad de comunas según grado de vulnerabilidad al cambio climático, Región de O'Higgins, Año 2020</t>
  </si>
  <si>
    <t>https://analytics.zoho.com/open-view/2395394000009443389?ZOHO_CRITERIA=%22Localiza%20CL%22.%22Codreg%22%3D6</t>
  </si>
  <si>
    <t>Cantidad de comunas según grado de vulnerabilidad al cambio climático, Región de Maule, Año 2020</t>
  </si>
  <si>
    <t>https://analytics.zoho.com/open-view/2395394000009443389?ZOHO_CRITERIA=%22Localiza%20CL%22.%22Codreg%22%3D7</t>
  </si>
  <si>
    <t>Cantidad de comunas según grado de vulnerabilidad al cambio climático, Región del Biobío, Año 2020</t>
  </si>
  <si>
    <t>https://analytics.zoho.com/open-view/2395394000009443389?ZOHO_CRITERIA=%22Localiza%20CL%22.%22Codreg%22%3D8</t>
  </si>
  <si>
    <t>Cantidad de comunas según grado de vulnerabilidad al cambio climático, Región de La Araucanía, Año 2020</t>
  </si>
  <si>
    <t>https://analytics.zoho.com/open-view/2395394000009443389?ZOHO_CRITERIA=%22Localiza%20CL%22.%22Codreg%22%3D9</t>
  </si>
  <si>
    <t>Cantidad de comunas según grado de vulnerabilidad al cambio climático, Región de Los Lagos, Año 2020</t>
  </si>
  <si>
    <t>https://analytics.zoho.com/open-view/2395394000009443389?ZOHO_CRITERIA=%22Localiza%20CL%22.%22Codreg%22%3D10</t>
  </si>
  <si>
    <t>Cantidad de comunas según grado de vulnerabilidad al cambio climático, Región de Aysén, Año 2020</t>
  </si>
  <si>
    <t>https://analytics.zoho.com/open-view/2395394000009443389?ZOHO_CRITERIA=%22Localiza%20CL%22.%22Codreg%22%3D11</t>
  </si>
  <si>
    <t>Cantidad de comunas según grado de vulnerabilidad al cambio climático, Región de Magallanes, Año 2020</t>
  </si>
  <si>
    <t>https://analytics.zoho.com/open-view/2395394000009443389?ZOHO_CRITERIA=%22Localiza%20CL%22.%22Codreg%22%3D12</t>
  </si>
  <si>
    <t>Cantidad de comunas según grado de vulnerabilidad al cambio climático, Región Metropolitana, Año 2020</t>
  </si>
  <si>
    <t>https://analytics.zoho.com/open-view/2395394000009443389?ZOHO_CRITERIA=%22Localiza%20CL%22.%22Codreg%22%3D13</t>
  </si>
  <si>
    <t>Cantidad de comunas según grado de vulnerabilidad al cambio climático, Región de Los Ríos, Año 2020</t>
  </si>
  <si>
    <t>https://analytics.zoho.com/open-view/2395394000009443389?ZOHO_CRITERIA=%22Localiza%20CL%22.%22Codreg%22%3D14</t>
  </si>
  <si>
    <t>Cantidad de comunas según grado de vulnerabilidad al cambio climático, Región de Arica y Parinacota, Año 2020</t>
  </si>
  <si>
    <t>https://analytics.zoho.com/open-view/2395394000009443389?ZOHO_CRITERIA=%22Localiza%20CL%22.%22Codreg%22%3D15</t>
  </si>
  <si>
    <t>Cantidad de comunas según grado de vulnerabilidad al cambio climático, Región de Ñuble, Año 2020</t>
  </si>
  <si>
    <t>https://analytics.zoho.com/open-view/2395394000009443389?ZOHO_CRITERIA=%22Localiza%20CL%22.%22Codreg%22%3D16</t>
  </si>
  <si>
    <t>Mapa de Comunas con ALTA Vulnerabilidad al Cambio Climático en Chile, Año 2020</t>
  </si>
  <si>
    <t>Ranking de las regiones con mayor Vulnerabilidad al Cambio Climático en Chile, Año 2020</t>
  </si>
  <si>
    <t>Representación geográfica de regiones con la proporción de comunas que poseen IPT's locales, para el Año 2020</t>
  </si>
  <si>
    <t>Cantidad de defunciones anuales por región en Chile, Periodo 2010-2021</t>
  </si>
  <si>
    <t>Cantidad de defunciones anuales en la Región de Tarapacá, Periodo 2010-2021</t>
  </si>
  <si>
    <t>Cantidad de defunciones anuales en la Región de Antofagasta, Periodo 2010-2021</t>
  </si>
  <si>
    <t>Cantidad de defunciones anuales en la Región de Atacama, Periodo 2010-2021</t>
  </si>
  <si>
    <t>Cantidad de defunciones anuales en la Región de Coquimbo, Periodo 2010-2021</t>
  </si>
  <si>
    <t>Cantidad de defunciones anuales en la Región de Valparaíso, Periodo 2010-2021</t>
  </si>
  <si>
    <t>Cantidad de defunciones anuales en la Región de O'Higgins, Periodo 2010-2021</t>
  </si>
  <si>
    <t>Cantidad de defunciones anuales en la Región de Maule, Periodo 2010-2021</t>
  </si>
  <si>
    <t>Cantidad de defunciones anuales en la Región del Biobío, Periodo 2010-2021</t>
  </si>
  <si>
    <t>Cantidad de defunciones anuales en la Región de La Araucanía, Periodo 2010-2021</t>
  </si>
  <si>
    <t>Cantidad de defunciones anuales en la Región de Los Lagos, Periodo 2010-2021</t>
  </si>
  <si>
    <t>Cantidad de defunciones anuales en la Región de Aysén, Periodo 2010-2021</t>
  </si>
  <si>
    <t>Cantidad de defunciones anuales en la Región de Magallanes, Periodo 2010-2021</t>
  </si>
  <si>
    <t>Cantidad de defunciones anuales en la Región Metropolitana, Periodo 2010-2021</t>
  </si>
  <si>
    <t>Cantidad de defunciones anuales en la Región de Los Ríos, Periodo 2010-2021</t>
  </si>
  <si>
    <t>Cantidad de defunciones anuales en la Región de Arica y Parinacota, Periodo 2010-2021</t>
  </si>
  <si>
    <t>Cantidad de defunciones anuales en la Región de Ñuble, Periodo 2010-2021</t>
  </si>
  <si>
    <t>Cantidad de nacimientos anuales por región en Chile, Periodo 2010-2021</t>
  </si>
  <si>
    <t>Cantidad de nacimientos anuales en la Región de Tarapacá, Periodo 2010-2021</t>
  </si>
  <si>
    <t>Cantidad de nacimientos anuales en la Región de Antofagasta, Periodo 2010-2021</t>
  </si>
  <si>
    <t>Cantidad de nacimientos anuales en la Región de Atacama, Periodo 2010-2021</t>
  </si>
  <si>
    <t>Cantidad de nacimientos anuales en la Región de Coquimbo, Periodo 2010-2021</t>
  </si>
  <si>
    <t>Cantidad de nacimientos anuales en la Región de Valparaíso, Periodo 2010-2021</t>
  </si>
  <si>
    <t>Cantidad de nacimientos anuales en la Región de O'Higgins, Periodo 2010-2021</t>
  </si>
  <si>
    <t>Cantidad de nacimientos anuales en la Región de Maule, Periodo 2010-2021</t>
  </si>
  <si>
    <t>Cantidad de nacimientos anuales en la Región del Biobío, Periodo 2010-2021</t>
  </si>
  <si>
    <t>Cantidad de nacimientos anuales en la Región de La Araucanía, Periodo 2010-2021</t>
  </si>
  <si>
    <t>Cantidad de nacimientos anuales en la Región de Los Lagos, Periodo 2010-2021</t>
  </si>
  <si>
    <t>Cantidad de nacimientos anuales en la Región de Aysén, Periodo 2010-2021</t>
  </si>
  <si>
    <t>Cantidad de nacimientos anuales en la Región de Magallanes, Periodo 2010-2021</t>
  </si>
  <si>
    <t>Cantidad de nacimientos anuales en la Región Metropolitana, Periodo 2010-2021</t>
  </si>
  <si>
    <t>Cantidad de nacimientos anuales en la Región de Los Ríos, Periodo 2010-2021</t>
  </si>
  <si>
    <t>Cantidad de nacimientos anuales en la Región de Arica y Parinacota, Periodo 2010-2021</t>
  </si>
  <si>
    <t>Cantidad de nacimientos anuales en la Región de Ñuble, Periodo 2010-2021</t>
  </si>
  <si>
    <t>Cantidad de permisos de circulación según tipo de vehículo en Chile, Periodo 2008-2019</t>
  </si>
  <si>
    <t>Emisiones (t) de CO2 por Tipo de Combustible en Chile, Periodo 1990-2019</t>
  </si>
  <si>
    <t>Variación Porcentual (%) Anual de Emisiones de CO2 por Quema de Combustible en Chile, Periodo 1990-2019</t>
  </si>
  <si>
    <t>Emisiones per cápita (t) de CO2 por Quema de Combustible en Chile, para el Periodo 1990-2019 y previsión 2020-2025</t>
  </si>
  <si>
    <t>Proporción de CO2 Emitido por Quema de Combustible con respecto al Año Anterior en Chile, Periodo 1990-2019</t>
  </si>
  <si>
    <t>Diferencia porcentual con respecto al año anterior de trabajadores dependientes informados por género, Periodo 2005-2019</t>
  </si>
  <si>
    <t>Número de trabajadores informados por tipo de contrato para cada año en Chile, Periodo 2005-2019</t>
  </si>
  <si>
    <t>Número de trabajadores informados por tipo de contrato para cada año en la Región de Tarapacá, Periodo 2005-2019</t>
  </si>
  <si>
    <t>https://analytics.zoho.com/open-view/2395394000008038797?ZOHO_CRITERIA=%225.1%20Empresas_Tama%C3%B1o%22.%22Cod_Regi%C3%B3n%22%3D1</t>
  </si>
  <si>
    <t>Número de trabajadores informados por tipo de contrato para cada año en la Región de Antofagasta, Periodo 2005-2019</t>
  </si>
  <si>
    <t>https://analytics.zoho.com/open-view/2395394000008038797?ZOHO_CRITERIA=%225.1%20Empresas_Tama%C3%B1o%22.%22Cod_Regi%C3%B3n%22%3D2</t>
  </si>
  <si>
    <t>Número de trabajadores informados por tipo de contrato para cada año en la Región de Atacama, Periodo 2005-2019</t>
  </si>
  <si>
    <t>https://analytics.zoho.com/open-view/2395394000008038797?ZOHO_CRITERIA=%225.1%20Empresas_Tama%C3%B1o%22.%22Cod_Regi%C3%B3n%22%3D3</t>
  </si>
  <si>
    <t>Número de trabajadores informados por tipo de contrato para cada año en la Región de Coquimbo, Periodo 2005-2019</t>
  </si>
  <si>
    <t>https://analytics.zoho.com/open-view/2395394000008038797?ZOHO_CRITERIA=%225.1%20Empresas_Tama%C3%B1o%22.%22Cod_Regi%C3%B3n%22%3D4</t>
  </si>
  <si>
    <t>Número de trabajadores informados por tipo de contrato para cada año en la Región de Valparaíso, Periodo 2005-2019</t>
  </si>
  <si>
    <t>https://analytics.zoho.com/open-view/2395394000008038797?ZOHO_CRITERIA=%225.1%20Empresas_Tama%C3%B1o%22.%22Cod_Regi%C3%B3n%22%3D5</t>
  </si>
  <si>
    <t>Número de trabajadores informados por tipo de contrato para cada año en la Región de O'Higgins, Periodo 2005-2019</t>
  </si>
  <si>
    <t>https://analytics.zoho.com/open-view/2395394000008038797?ZOHO_CRITERIA=%225.1%20Empresas_Tama%C3%B1o%22.%22Cod_Regi%C3%B3n%22%3D6</t>
  </si>
  <si>
    <t>Número de trabajadores informados por tipo de contrato para cada año en la Región de Maule, Periodo 2005-2019</t>
  </si>
  <si>
    <t>https://analytics.zoho.com/open-view/2395394000008038797?ZOHO_CRITERIA=%225.1%20Empresas_Tama%C3%B1o%22.%22Cod_Regi%C3%B3n%22%3D7</t>
  </si>
  <si>
    <t>Número de trabajadores informados por tipo de contrato para cada año en la Región del Biobío, Periodo 2005-2019</t>
  </si>
  <si>
    <t>https://analytics.zoho.com/open-view/2395394000008038797?ZOHO_CRITERIA=%225.1%20Empresas_Tama%C3%B1o%22.%22Cod_Regi%C3%B3n%22%3D8</t>
  </si>
  <si>
    <t>Número de trabajadores informados por tipo de contrato para cada año en la Región de La Araucanía, Periodo 2005-2019</t>
  </si>
  <si>
    <t>https://analytics.zoho.com/open-view/2395394000008038797?ZOHO_CRITERIA=%225.1%20Empresas_Tama%C3%B1o%22.%22Cod_Regi%C3%B3n%22%3D9</t>
  </si>
  <si>
    <t>Número de trabajadores informados por tipo de contrato para cada año en la Región de Los Lagos, Periodo 2005-2019</t>
  </si>
  <si>
    <t>https://analytics.zoho.com/open-view/2395394000008038797?ZOHO_CRITERIA=%225.1%20Empresas_Tama%C3%B1o%22.%22Cod_Regi%C3%B3n%22%3D10</t>
  </si>
  <si>
    <t>Número de trabajadores informados por tipo de contrato para cada año en la Región de Aysén, Periodo 2005-2019</t>
  </si>
  <si>
    <t>https://analytics.zoho.com/open-view/2395394000008038797?ZOHO_CRITERIA=%225.1%20Empresas_Tama%C3%B1o%22.%22Cod_Regi%C3%B3n%22%3D11</t>
  </si>
  <si>
    <t>Número de trabajadores informados por tipo de contrato para cada año en la Región de Magallanes, Periodo 2005-2019</t>
  </si>
  <si>
    <t>https://analytics.zoho.com/open-view/2395394000008038797?ZOHO_CRITERIA=%225.1%20Empresas_Tama%C3%B1o%22.%22Cod_Regi%C3%B3n%22%3D12</t>
  </si>
  <si>
    <t>Número de trabajadores informados por tipo de contrato para cada año en la Región Metropolitana, Periodo 2005-2019</t>
  </si>
  <si>
    <t>https://analytics.zoho.com/open-view/2395394000008038797?ZOHO_CRITERIA=%225.1%20Empresas_Tama%C3%B1o%22.%22Cod_Regi%C3%B3n%22%3D13</t>
  </si>
  <si>
    <t>Número de trabajadores informados por tipo de contrato para cada año en la Región de Los Ríos, Periodo 2005-2019</t>
  </si>
  <si>
    <t>https://analytics.zoho.com/open-view/2395394000008038797?ZOHO_CRITERIA=%225.1%20Empresas_Tama%C3%B1o%22.%22Cod_Regi%C3%B3n%22%3D14</t>
  </si>
  <si>
    <t>Número de trabajadores informados por tipo de contrato para cada año en la Región de Arica y Parinacota, Periodo 2005-2019</t>
  </si>
  <si>
    <t>https://analytics.zoho.com/open-view/2395394000008038797?ZOHO_CRITERIA=%225.1%20Empresas_Tama%C3%B1o%22.%22Cod_Regi%C3%B3n%22%3D15</t>
  </si>
  <si>
    <t>Número de trabajadores informados por tipo de contrato para cada año en la Región de Ñuble, Periodo 2005-2019</t>
  </si>
  <si>
    <t>https://analytics.zoho.com/open-view/2395394000008038797?ZOHO_CRITERIA=%225.1%20Empresas_Tama%C3%B1o%22.%22Cod_Regi%C3%B3n%22%3D16</t>
  </si>
  <si>
    <t>Evolución de Puntaje SIMCE de Lectura por Dependencia de Establecimientos para 4° Básico en Chile para el Periodo 2015 - 2018</t>
  </si>
  <si>
    <t>Evolución de Puntaje SIMCE de Lectura por Dependencia de Establecimientos para 4° Básico en la Región de Tarapacá para el Periodo 2015 - 2018</t>
  </si>
  <si>
    <t>https://analytics.zoho.com/open-view/2395394000009042076?ZOHO_CRITERIA=%22Localiza%20CL%22.%22Codreg%22%3D1</t>
  </si>
  <si>
    <t>Evolución de Puntaje SIMCE de Lectura por Dependencia de Establecimientos para 4° Básico en la Región de Antofagasta para el Periodo 2015 - 2018</t>
  </si>
  <si>
    <t>https://analytics.zoho.com/open-view/2395394000009042076?ZOHO_CRITERIA=%22Localiza%20CL%22.%22Codreg%22%3D2</t>
  </si>
  <si>
    <t>Evolución de Puntaje SIMCE de Lectura por Dependencia de Establecimientos para 4° Básico en la Región de Atacama para el Periodo 2015 - 2018</t>
  </si>
  <si>
    <t>https://analytics.zoho.com/open-view/2395394000009042076?ZOHO_CRITERIA=%22Localiza%20CL%22.%22Codreg%22%3D3</t>
  </si>
  <si>
    <t>Evolución de Puntaje SIMCE de Lectura por Dependencia de Establecimientos para 4° Básico en la Región de Coquimbo para el Periodo 2015 - 2018</t>
  </si>
  <si>
    <t>https://analytics.zoho.com/open-view/2395394000009042076?ZOHO_CRITERIA=%22Localiza%20CL%22.%22Codreg%22%3D4</t>
  </si>
  <si>
    <t>Evolución de Puntaje SIMCE de Lectura por Dependencia de Establecimientos para 4° Básico en la Región de Valparaíso para el Periodo 2015 - 2018</t>
  </si>
  <si>
    <t>https://analytics.zoho.com/open-view/2395394000009042076?ZOHO_CRITERIA=%22Localiza%20CL%22.%22Codreg%22%3D5</t>
  </si>
  <si>
    <t>Evolución de Puntaje SIMCE de Lectura por Dependencia de Establecimientos para 4° Básico en la Región de O'Higgins para el Periodo 2015 - 2018</t>
  </si>
  <si>
    <t>https://analytics.zoho.com/open-view/2395394000009042076?ZOHO_CRITERIA=%22Localiza%20CL%22.%22Codreg%22%3D6</t>
  </si>
  <si>
    <t>Evolución de Puntaje SIMCE de Lectura por Dependencia de Establecimientos para 4° Básico en la Región de Maule para el Periodo 2015 - 2018</t>
  </si>
  <si>
    <t>https://analytics.zoho.com/open-view/2395394000009042076?ZOHO_CRITERIA=%22Localiza%20CL%22.%22Codreg%22%3D7</t>
  </si>
  <si>
    <t>Evolución de Puntaje SIMCE de Lectura por Dependencia de Establecimientos para 4° Básico en la Región del Biobío para el Periodo 2015 - 2018</t>
  </si>
  <si>
    <t>https://analytics.zoho.com/open-view/2395394000009042076?ZOHO_CRITERIA=%22Localiza%20CL%22.%22Codreg%22%3D8</t>
  </si>
  <si>
    <t>Evolución de Puntaje SIMCE de Lectura por Dependencia de Establecimientos para 4° Básico en la Región de La Araucanía para el Periodo 2015 - 2018</t>
  </si>
  <si>
    <t>https://analytics.zoho.com/open-view/2395394000009042076?ZOHO_CRITERIA=%22Localiza%20CL%22.%22Codreg%22%3D9</t>
  </si>
  <si>
    <t>Evolución de Puntaje SIMCE de Lectura por Dependencia de Establecimientos para 4° Básico en la Región de Los Lagos para el Periodo 2015 - 2018</t>
  </si>
  <si>
    <t>https://analytics.zoho.com/open-view/2395394000009042076?ZOHO_CRITERIA=%22Localiza%20CL%22.%22Codreg%22%3D10</t>
  </si>
  <si>
    <t>Evolución de Puntaje SIMCE de Lectura por Dependencia de Establecimientos para 4° Básico en la Región de Aysén para el Periodo 2015 - 2018</t>
  </si>
  <si>
    <t>https://analytics.zoho.com/open-view/2395394000009042076?ZOHO_CRITERIA=%22Localiza%20CL%22.%22Codreg%22%3D11</t>
  </si>
  <si>
    <t>Evolución de Puntaje SIMCE de Lectura por Dependencia de Establecimientos para 4° Básico en la Región de Magallanes para el Periodo 2015 - 2018</t>
  </si>
  <si>
    <t>https://analytics.zoho.com/open-view/2395394000009042076?ZOHO_CRITERIA=%22Localiza%20CL%22.%22Codreg%22%3D12</t>
  </si>
  <si>
    <t>Evolución de Puntaje SIMCE de Lectura por Dependencia de Establecimientos para 4° Básico en la Región Metropolitana para el Periodo 2015 - 2018</t>
  </si>
  <si>
    <t>https://analytics.zoho.com/open-view/2395394000009042076?ZOHO_CRITERIA=%22Localiza%20CL%22.%22Codreg%22%3D13</t>
  </si>
  <si>
    <t>Evolución de Puntaje SIMCE de Lectura por Dependencia de Establecimientos para 4° Básico en la Región de Los Ríos para el Periodo 2015 - 2018</t>
  </si>
  <si>
    <t>https://analytics.zoho.com/open-view/2395394000009042076?ZOHO_CRITERIA=%22Localiza%20CL%22.%22Codreg%22%3D14</t>
  </si>
  <si>
    <t>Evolución de Puntaje SIMCE de Lectura por Dependencia de Establecimientos para 4° Básico en la Región de Arica y Parinacota para el Periodo 2015 - 2018</t>
  </si>
  <si>
    <t>https://analytics.zoho.com/open-view/2395394000009042076?ZOHO_CRITERIA=%22Localiza%20CL%22.%22Codreg%22%3D15</t>
  </si>
  <si>
    <t>Evolución de Puntaje SIMCE de Lectura por Dependencia de Establecimientos para 4° Básico en la Región de Ñuble para el Periodo 2015 - 2018</t>
  </si>
  <si>
    <t>https://analytics.zoho.com/open-view/2395394000009042076?ZOHO_CRITERIA=%22Localiza%20CL%22.%22Codreg%22%3D16</t>
  </si>
  <si>
    <t>Evolución de Puntaje SIMCE de Lectura según área urbana o rural para 6° Básico en Chile para el Periodo 2015 - 2018</t>
  </si>
  <si>
    <t>Evolución de Puntaje SIMCE de Lectura según área urbana o rural para 6° Básico en la Región de Tarapacá para el Periodo 2015 - 2018</t>
  </si>
  <si>
    <t>https://analytics.zoho.com/open-view/2395394000009042179?ZOHO_CRITERIA=%22Localiza%20CL%22.%22Codreg%22%3D1</t>
  </si>
  <si>
    <t>Evolución de Puntaje SIMCE de Lectura según área urbana o rural para 6° Básico en la Región de Antofagasta para el Periodo 2015 - 2018</t>
  </si>
  <si>
    <t>https://analytics.zoho.com/open-view/2395394000009042179?ZOHO_CRITERIA=%22Localiza%20CL%22.%22Codreg%22%3D2</t>
  </si>
  <si>
    <t>Evolución de Puntaje SIMCE de Lectura según área urbana o rural para 6° Básico en la Región de Atacama para el Periodo 2015 - 2018</t>
  </si>
  <si>
    <t>https://analytics.zoho.com/open-view/2395394000009042179?ZOHO_CRITERIA=%22Localiza%20CL%22.%22Codreg%22%3D3</t>
  </si>
  <si>
    <t>Evolución de Puntaje SIMCE de Lectura según área urbana o rural para 6° Básico en la Región de Coquimbo para el Periodo 2015 - 2018</t>
  </si>
  <si>
    <t>https://analytics.zoho.com/open-view/2395394000009042179?ZOHO_CRITERIA=%22Localiza%20CL%22.%22Codreg%22%3D4</t>
  </si>
  <si>
    <t>Evolución de Puntaje SIMCE de Lectura según área urbana o rural para 6° Básico en la Región de Valparaíso para el Periodo 2015 - 2018</t>
  </si>
  <si>
    <t>https://analytics.zoho.com/open-view/2395394000009042179?ZOHO_CRITERIA=%22Localiza%20CL%22.%22Codreg%22%3D5</t>
  </si>
  <si>
    <t>Evolución de Puntaje SIMCE de Lectura según área urbana o rural para 6° Básico en la Región de O'Higgins para el Periodo 2015 - 2018</t>
  </si>
  <si>
    <t>Evolución de Puntaje SIMCE de Lectura según área urbana o rural para 6° Básico en la Región de Maule para el Periodo 2015 - 2018</t>
  </si>
  <si>
    <t>https://analytics.zoho.com/open-view/2395394000009042179?ZOHO_CRITERIA=%22Localiza%20CL%22.%22Codreg%22%3D7</t>
  </si>
  <si>
    <t>Evolución de Puntaje SIMCE de Lectura según área urbana o rural para 6° Básico en la Región del Biobío para el Periodo 2015 - 2018</t>
  </si>
  <si>
    <t>https://analytics.zoho.com/open-view/2395394000009042179?ZOHO_CRITERIA=%22Localiza%20CL%22.%22Codreg%22%3D8</t>
  </si>
  <si>
    <t>Evolución de Puntaje SIMCE de Lectura según área urbana o rural para 6° Básico en la Región de La Araucanía para el Periodo 2015 - 2018</t>
  </si>
  <si>
    <t>https://analytics.zoho.com/open-view/2395394000009042179?ZOHO_CRITERIA=%22Localiza%20CL%22.%22Codreg%22%3D9</t>
  </si>
  <si>
    <t>Evolución de Puntaje SIMCE de Lectura según área urbana o rural para 6° Básico en la Región de Los Lagos para el Periodo 2015 - 2018</t>
  </si>
  <si>
    <t>https://analytics.zoho.com/open-view/2395394000009042179?ZOHO_CRITERIA=%22Localiza%20CL%22.%22Codreg%22%3D10</t>
  </si>
  <si>
    <t>Evolución de Puntaje SIMCE de Lectura según área urbana o rural para 6° Básico en la Región de Aysén para el Periodo 2015 - 2018</t>
  </si>
  <si>
    <t>https://analytics.zoho.com/open-view/2395394000009042179?ZOHO_CRITERIA=%22Localiza%20CL%22.%22Codreg%22%3D11</t>
  </si>
  <si>
    <t>Evolución de Puntaje SIMCE de Lectura según área urbana o rural para 6° Básico en la Región de Magallanes para el Periodo 2015 - 2018</t>
  </si>
  <si>
    <t>https://analytics.zoho.com/open-view/2395394000009042179?ZOHO_CRITERIA=%22Localiza%20CL%22.%22Codreg%22%3D12</t>
  </si>
  <si>
    <t>Evolución de Puntaje SIMCE de Lectura según área urbana o rural para 6° Básico en la Región Metropolitana para el Periodo 2015 - 2018</t>
  </si>
  <si>
    <t>https://analytics.zoho.com/open-view/2395394000009042179?ZOHO_CRITERIA=%22Localiza%20CL%22.%22Codreg%22%3D13</t>
  </si>
  <si>
    <t>Evolución de Puntaje SIMCE de Lectura según área urbana o rural para 6° Básico en la Región de Los Ríos para el Periodo 2015 - 2018</t>
  </si>
  <si>
    <t>https://analytics.zoho.com/open-view/2395394000009042179?ZOHO_CRITERIA=%22Localiza%20CL%22.%22Codreg%22%3D14</t>
  </si>
  <si>
    <t>Evolución de Puntaje SIMCE de Lectura según área urbana o rural para 6° Básico en la Región de Arica y Parinacota para el Periodo 2015 - 2018</t>
  </si>
  <si>
    <t>https://analytics.zoho.com/open-view/2395394000009042179?ZOHO_CRITERIA=%22Localiza%20CL%22.%22Codreg%22%3D15</t>
  </si>
  <si>
    <t>Evolución de Puntaje SIMCE de Lectura según área urbana o rural para 6° Básico en la Región de Ñuble para el Periodo 2015 - 2018</t>
  </si>
  <si>
    <t>https://analytics.zoho.com/open-view/2395394000009042179?ZOHO_CRITERIA=%22Localiza%20CL%22.%22Codreg%22%3D16</t>
  </si>
  <si>
    <t>Mapa Puntaje Promedio y Máximo en prueba SIMCE de Lectura de 8vo Básico por Comuna en Chile para el Año 2020</t>
  </si>
  <si>
    <t>Mapa Puntaje Promedio y Máximo en prueba SIMCE de Lectura de 8vo Básico por Comuna en la Región de Tarapacá para el Año 2020</t>
  </si>
  <si>
    <t>https://analytics.zoho.com/open-view/2395394000009042285?ZOHO_CRITERIA=%22Localiza%20CL%22.%22Codreg%22%3D1</t>
  </si>
  <si>
    <t>Mapa Puntaje Promedio y Máximo en prueba SIMCE de Lectura de 8vo Básico por Comuna en la Región de Antofagasta para el Año 2020</t>
  </si>
  <si>
    <t>https://analytics.zoho.com/open-view/2395394000009042285?ZOHO_CRITERIA=%22Localiza%20CL%22.%22Codreg%22%3D2</t>
  </si>
  <si>
    <t>Mapa Puntaje Promedio y Máximo en prueba SIMCE de Lectura de 8vo Básico por Comuna en la Región de Atacama para el Año 2020</t>
  </si>
  <si>
    <t>https://analytics.zoho.com/open-view/2395394000009042285?ZOHO_CRITERIA=%22Localiza%20CL%22.%22Codreg%22%3D3</t>
  </si>
  <si>
    <t>Mapa Puntaje Promedio y Máximo en prueba SIMCE de Lectura de 8vo Básico por Comuna en la Región de Coquimbo para el Año 2020</t>
  </si>
  <si>
    <t>https://analytics.zoho.com/open-view/2395394000009042285?ZOHO_CRITERIA=%22Localiza%20CL%22.%22Codreg%22%3D4</t>
  </si>
  <si>
    <t>Mapa Puntaje Promedio y Máximo en prueba SIMCE de Lectura de 8vo Básico por Comuna en la Región de Valparaíso para el Año 2020</t>
  </si>
  <si>
    <t>https://analytics.zoho.com/open-view/2395394000009042285?ZOHO_CRITERIA=%22Localiza%20CL%22.%22Codreg%22%3D5</t>
  </si>
  <si>
    <t>Mapa Puntaje Promedio y Máximo en prueba SIMCE de Lectura de 8vo Básico por Comuna en la Región de O'Higgins para el Año 2020</t>
  </si>
  <si>
    <t>https://analytics.zoho.com/open-view/2395394000009042285?ZOHO_CRITERIA=%22Localiza%20CL%22.%22Codreg%22%3D6</t>
  </si>
  <si>
    <t>Mapa Puntaje Promedio y Máximo en prueba SIMCE de Lectura de 8vo Básico por Comuna en la Región de Maule para el Año 2020</t>
  </si>
  <si>
    <t>https://analytics.zoho.com/open-view/2395394000009042285?ZOHO_CRITERIA=%22Localiza%20CL%22.%22Codreg%22%3D7</t>
  </si>
  <si>
    <t>Mapa Puntaje Promedio y Máximo en prueba SIMCE de Lectura de 8vo Básico por Comuna en la Región del Biobío para el Año 2020</t>
  </si>
  <si>
    <t>https://analytics.zoho.com/open-view/2395394000009042285?ZOHO_CRITERIA=%22Localiza%20CL%22.%22Codreg%22%3D8</t>
  </si>
  <si>
    <t>Mapa Puntaje Promedio y Máximo en prueba SIMCE de Lectura de 8vo Básico por Comuna en la Región de La Araucanía para el Año 2020</t>
  </si>
  <si>
    <t>https://analytics.zoho.com/open-view/2395394000009042285?ZOHO_CRITERIA=%22Localiza%20CL%22.%22Codreg%22%3D9</t>
  </si>
  <si>
    <t>Mapa Puntaje Promedio y Máximo en prueba SIMCE de Lectura de 8vo Básico por Comuna en la Región de Los Lagos para el Año 2020</t>
  </si>
  <si>
    <t>https://analytics.zoho.com/open-view/2395394000009042285?ZOHO_CRITERIA=%22Localiza%20CL%22.%22Codreg%22%3D10</t>
  </si>
  <si>
    <t>Mapa Puntaje Promedio y Máximo en prueba SIMCE de Lectura de 8vo Básico por Comuna en la Región de Aysén para el Año 2020</t>
  </si>
  <si>
    <t>https://analytics.zoho.com/open-view/2395394000009042285?ZOHO_CRITERIA=%22Localiza%20CL%22.%22Codreg%22%3D11</t>
  </si>
  <si>
    <t>Mapa Puntaje Promedio y Máximo en prueba SIMCE de Lectura de 8vo Básico por Comuna en la Región de Magallanes para el Año 2020</t>
  </si>
  <si>
    <t>https://analytics.zoho.com/open-view/2395394000009042285?ZOHO_CRITERIA=%22Localiza%20CL%22.%22Codreg%22%3D12</t>
  </si>
  <si>
    <t>Mapa Puntaje Promedio y Máximo en prueba SIMCE de Lectura de 8vo Básico por Comuna en la Región Metropolitana para el Año 2020</t>
  </si>
  <si>
    <t>https://analytics.zoho.com/open-view/2395394000009042285?ZOHO_CRITERIA=%22Localiza%20CL%22.%22Codreg%22%3D13</t>
  </si>
  <si>
    <t>Mapa Puntaje Promedio y Máximo en prueba SIMCE de Lectura de 8vo Básico por Comuna en la Región de Los Ríos para el Año 2020</t>
  </si>
  <si>
    <t>https://analytics.zoho.com/open-view/2395394000009042285?ZOHO_CRITERIA=%22Localiza%20CL%22.%22Codreg%22%3D14</t>
  </si>
  <si>
    <t>Mapa Puntaje Promedio y Máximo en prueba SIMCE de Lectura de 8vo Básico por Comuna en la Región de Arica y Parinacota para el Año 2020</t>
  </si>
  <si>
    <t>https://analytics.zoho.com/open-view/2395394000009042285?ZOHO_CRITERIA=%22Localiza%20CL%22.%22Codreg%22%3D15</t>
  </si>
  <si>
    <t>Mapa Puntaje Promedio y Máximo en prueba SIMCE de Lectura de 8vo Básico por Comuna en la Región de Ñuble para el Año 2020</t>
  </si>
  <si>
    <t>https://analytics.zoho.com/open-view/2395394000009042285?ZOHO_CRITERIA=%22Localiza%20CL%22.%22Codreg%22%3D16</t>
  </si>
  <si>
    <t>Evolución del Indicador de Participación y formación ciudadana por Dependencia de Establecimientos en Chile para el Periodo 2014 - 2019</t>
  </si>
  <si>
    <t>Evolución del Indicador de Participación y formación ciudadana por Dependencia de Establecimientos en la Región de Tarapacá para el Periodo 2014 - 2019</t>
  </si>
  <si>
    <t>https://analytics.zoho.com/open-view/2395394000009042400?ZOHO_CRITERIA=%22Localiza%20CL%22.%22Codreg%22%3D1</t>
  </si>
  <si>
    <t>Evolución del Indicador de Participación y formación ciudadana por Dependencia de Establecimientos en la Región de Antofagasta para el Periodo 2014 - 2019</t>
  </si>
  <si>
    <t>https://analytics.zoho.com/open-view/2395394000009042400?ZOHO_CRITERIA=%22Localiza%20CL%22.%22Codreg%22%3D2</t>
  </si>
  <si>
    <t>Evolución del Indicador de Participación y formación ciudadana por Dependencia de Establecimientos en la Región de Atacama para el Periodo 2014 - 2019</t>
  </si>
  <si>
    <t>https://analytics.zoho.com/open-view/2395394000009042400?ZOHO_CRITERIA=%22Localiza%20CL%22.%22Codreg%22%3D3</t>
  </si>
  <si>
    <t>Evolución del Indicador de Participación y formación ciudadana por Dependencia de Establecimientos en la Región de Coquimbo para el Periodo 2014 - 2019</t>
  </si>
  <si>
    <t>https://analytics.zoho.com/open-view/2395394000009042400?ZOHO_CRITERIA=%22Localiza%20CL%22.%22Codreg%22%3D4</t>
  </si>
  <si>
    <t>Evolución del Indicador de Participación y formación ciudadana por Dependencia de Establecimientos en la Región de Valparaíso para el Periodo 2014 - 2019</t>
  </si>
  <si>
    <t>https://analytics.zoho.com/open-view/2395394000009042400?ZOHO_CRITERIA=%22Localiza%20CL%22.%22Codreg%22%3D5</t>
  </si>
  <si>
    <t>Evolución del Indicador de Participación y formación ciudadana por Dependencia de Establecimientos en la Región de O'Higgins para el Periodo 2014 - 2019</t>
  </si>
  <si>
    <t>https://analytics.zoho.com/open-view/2395394000009042400?ZOHO_CRITERIA=%22Localiza%20CL%22.%22Codreg%22%3D6</t>
  </si>
  <si>
    <t>Evolución del Indicador de Participación y formación ciudadana por Dependencia de Establecimientos en la Región de Maule para el Periodo 2014 - 2019</t>
  </si>
  <si>
    <t>https://analytics.zoho.com/open-view/2395394000009042400?ZOHO_CRITERIA=%22Localiza%20CL%22.%22Codreg%22%3D7</t>
  </si>
  <si>
    <t>Evolución del Indicador de Participación y formación ciudadana por Dependencia de Establecimientos en la Región del Biobío para el Periodo 2014 - 2019</t>
  </si>
  <si>
    <t>https://analytics.zoho.com/open-view/2395394000009042400?ZOHO_CRITERIA=%22Localiza%20CL%22.%22Codreg%22%3D8</t>
  </si>
  <si>
    <t>Evolución del Indicador de Participación y formación ciudadana por Dependencia de Establecimientos en la Región de La Araucanía para el Periodo 2014 - 2019</t>
  </si>
  <si>
    <t>https://analytics.zoho.com/open-view/2395394000009042400?ZOHO_CRITERIA=%22Localiza%20CL%22.%22Codreg%22%3D9</t>
  </si>
  <si>
    <t>Evolución del Indicador de Participación y formación ciudadana por Dependencia de Establecimientos en la Región de Los Lagos para el Periodo 2014 - 2019</t>
  </si>
  <si>
    <t>https://analytics.zoho.com/open-view/2395394000009042400?ZOHO_CRITERIA=%22Localiza%20CL%22.%22Codreg%22%3D10</t>
  </si>
  <si>
    <t>Evolución del Indicador de Participación y formación ciudadana por Dependencia de Establecimientos en la Región de Aysén para el Periodo 2014 - 2019</t>
  </si>
  <si>
    <t>https://analytics.zoho.com/open-view/2395394000009042400?ZOHO_CRITERIA=%22Localiza%20CL%22.%22Codreg%22%3D11</t>
  </si>
  <si>
    <t>Evolución del Indicador de Participación y formación ciudadana por Dependencia de Establecimientos en la Región de Magallanes para el Periodo 2014 - 2019</t>
  </si>
  <si>
    <t>https://analytics.zoho.com/open-view/2395394000009042400?ZOHO_CRITERIA=%22Localiza%20CL%22.%22Codreg%22%3D12</t>
  </si>
  <si>
    <t>Evolución del Indicador de Participación y formación ciudadana por Dependencia de Establecimientos en la Región Metropolitana para el Periodo 2014 - 2019</t>
  </si>
  <si>
    <t>https://analytics.zoho.com/open-view/2395394000009042400?ZOHO_CRITERIA=%22Localiza%20CL%22.%22Codreg%22%3D13</t>
  </si>
  <si>
    <t>Evolución del Indicador de Participación y formación ciudadana por Dependencia de Establecimientos en la Región de Los Ríos para el Periodo 2014 - 2019</t>
  </si>
  <si>
    <t>https://analytics.zoho.com/open-view/2395394000009042400?ZOHO_CRITERIA=%22Localiza%20CL%22.%22Codreg%22%3D14</t>
  </si>
  <si>
    <t>Evolución del Indicador de Participación y formación ciudadana por Dependencia de Establecimientos en la Región de Arica y Parinacota para el Periodo 2014 - 2019</t>
  </si>
  <si>
    <t>https://analytics.zoho.com/open-view/2395394000009042400?ZOHO_CRITERIA=%22Localiza%20CL%22.%22Codreg%22%3D15</t>
  </si>
  <si>
    <t>Evolución del Indicador de Participación y formación ciudadana por Dependencia de Establecimientos en la Región de Ñuble para el Periodo 2014 - 2019</t>
  </si>
  <si>
    <t>https://analytics.zoho.com/open-view/2395394000009042400?ZOHO_CRITERIA=%22Localiza%20CL%22.%22Codreg%22%3D16</t>
  </si>
  <si>
    <t>Edad de Víctimas de Femicidios en Chile para el Periodo 2010-2021</t>
  </si>
  <si>
    <t>Edad de Víctimas de Femicidios en la Región de Tarapacá para el Periodo 2010-2021</t>
  </si>
  <si>
    <t>https://analytics.zoho.com/open-view/2395394000009080171?ZOHO_CRITERIA=%22Localiza%20CL%22.%22Codreg%22%3D1</t>
  </si>
  <si>
    <t>Edad de Víctimas de Femicidios en la Región de Antofagasta para el Periodo 2010-2021</t>
  </si>
  <si>
    <t>https://analytics.zoho.com/open-view/2395394000009080171?ZOHO_CRITERIA=%22Localiza%20CL%22.%22Codreg%22%3D2</t>
  </si>
  <si>
    <t>Edad de Víctimas de Femicidios en la Región de Atacama para el Periodo 2010-2021</t>
  </si>
  <si>
    <t>https://analytics.zoho.com/open-view/2395394000009080171?ZOHO_CRITERIA=%22Localiza%20CL%22.%22Codreg%22%3D3</t>
  </si>
  <si>
    <t>Edad de Víctimas de Femicidios en la Región de Coquimbo para el Periodo 2010-2021</t>
  </si>
  <si>
    <t>https://analytics.zoho.com/open-view/2395394000009080171?ZOHO_CRITERIA=%22Localiza%20CL%22.%22Codreg%22%3D4</t>
  </si>
  <si>
    <t>Edad de Víctimas de Femicidios en la Región de Valparaíso para el Periodo 2010-2021</t>
  </si>
  <si>
    <t>https://analytics.zoho.com/open-view/2395394000009080171?ZOHO_CRITERIA=%22Localiza%20CL%22.%22Codreg%22%3D5</t>
  </si>
  <si>
    <t>Edad de Víctimas de Femicidios en la Región de O'Higgins para el Periodo 2010-2021</t>
  </si>
  <si>
    <t>https://analytics.zoho.com/open-view/2395394000009080171?ZOHO_CRITERIA=%22Localiza%20CL%22.%22Codreg%22%3D6</t>
  </si>
  <si>
    <t>Edad de Víctimas de Femicidios en la Región de Maule para el Periodo 2010-2021</t>
  </si>
  <si>
    <t>https://analytics.zoho.com/open-view/2395394000009080171?ZOHO_CRITERIA=%22Localiza%20CL%22.%22Codreg%22%3D7</t>
  </si>
  <si>
    <t>Edad de Víctimas de Femicidios en la Región del Biobío para el Periodo 2010-2021</t>
  </si>
  <si>
    <t>https://analytics.zoho.com/open-view/2395394000009080171?ZOHO_CRITERIA=%22Localiza%20CL%22.%22Codreg%22%3D8</t>
  </si>
  <si>
    <t>Edad de Víctimas de Femicidios en la Región de La Araucanía para el Periodo 2010-2021</t>
  </si>
  <si>
    <t>https://analytics.zoho.com/open-view/2395394000009080171?ZOHO_CRITERIA=%22Localiza%20CL%22.%22Codreg%22%3D9</t>
  </si>
  <si>
    <t>Edad de Víctimas de Femicidios en la Región de Los Lagos para el Periodo 2010-2021</t>
  </si>
  <si>
    <t>https://analytics.zoho.com/open-view/2395394000009080171?ZOHO_CRITERIA=%22Localiza%20CL%22.%22Codreg%22%3D10</t>
  </si>
  <si>
    <t>Edad de Víctimas de Femicidios en la Región de Aysén para el Periodo 2010-2021</t>
  </si>
  <si>
    <t>https://analytics.zoho.com/open-view/2395394000009080171?ZOHO_CRITERIA=%22Localiza%20CL%22.%22Codreg%22%3D11</t>
  </si>
  <si>
    <t>Edad de Víctimas de Femicidios en la Región de Magallanes para el Periodo 2010-2021</t>
  </si>
  <si>
    <t>https://analytics.zoho.com/open-view/2395394000009080171?ZOHO_CRITERIA=%22Localiza%20CL%22.%22Codreg%22%3D12</t>
  </si>
  <si>
    <t>Edad de Víctimas de Femicidios en la Región Metropolitana para el Periodo 2010-2021</t>
  </si>
  <si>
    <t>https://analytics.zoho.com/open-view/2395394000009080171?ZOHO_CRITERIA=%22Localiza%20CL%22.%22Codreg%22%3D13</t>
  </si>
  <si>
    <t>Edad de Víctimas de Femicidios en la Región de Los Ríos para el Periodo 2010-2021</t>
  </si>
  <si>
    <t>https://analytics.zoho.com/open-view/2395394000009080171?ZOHO_CRITERIA=%22Localiza%20CL%22.%22Codreg%22%3D14</t>
  </si>
  <si>
    <t>Edad de Víctimas de Femicidios en la Región de Arica y Parinacota para el Periodo 2010-2021</t>
  </si>
  <si>
    <t>https://analytics.zoho.com/open-view/2395394000009080171?ZOHO_CRITERIA=%22Localiza%20CL%22.%22Codreg%22%3D15</t>
  </si>
  <si>
    <t>Edad de Víctimas de Femicidios en la Región de Ñuble para el Periodo 2010-2021</t>
  </si>
  <si>
    <t>https://analytics.zoho.com/open-view/2395394000009080171?ZOHO_CRITERIA=%22Localiza%20CL%22.%22Codreg%22%3D16</t>
  </si>
  <si>
    <t>Relación Víctima-Femicida en Chile para el Periodo 2010-2021</t>
  </si>
  <si>
    <t>Relación Víctima-Femicida en la Región de Tarapacá para el Periodo 2010-2021</t>
  </si>
  <si>
    <t>https://analytics.zoho.com/open-view/2395394000009080286?ZOHO_CRITERIA=%22Localiza%20CL%22.%22Codreg%22%3D1</t>
  </si>
  <si>
    <t>Relación Víctima-Femicida en la Región de Antofagasta para el Periodo 2010-2021</t>
  </si>
  <si>
    <t>https://analytics.zoho.com/open-view/2395394000009080286?ZOHO_CRITERIA=%22Localiza%20CL%22.%22Codreg%22%3D2</t>
  </si>
  <si>
    <t>Relación Víctima-Femicida en la Región de Atacama para el Periodo 2010-2021</t>
  </si>
  <si>
    <t>https://analytics.zoho.com/open-view/2395394000009080286?ZOHO_CRITERIA=%22Localiza%20CL%22.%22Codreg%22%3D3</t>
  </si>
  <si>
    <t>Relación Víctima-Femicida en la Región de Coquimbo para el Periodo 2010-2021</t>
  </si>
  <si>
    <t>https://analytics.zoho.com/open-view/2395394000009080286?ZOHO_CRITERIA=%22Localiza%20CL%22.%22Codreg%22%3D4</t>
  </si>
  <si>
    <t>Relación Víctima-Femicida en la Región de Valparaíso para el Periodo 2010-2021</t>
  </si>
  <si>
    <t>https://analytics.zoho.com/open-view/2395394000009080286?ZOHO_CRITERIA=%22Localiza%20CL%22.%22Codreg%22%3D5</t>
  </si>
  <si>
    <t>Relación Víctima-Femicida en la Región de O'Higgins para el Periodo 2010-2021</t>
  </si>
  <si>
    <t>https://analytics.zoho.com/open-view/2395394000009080286?ZOHO_CRITERIA=%22Localiza%20CL%22.%22Codreg%22%3D6</t>
  </si>
  <si>
    <t>Relación Víctima-Femicida en la Región de Maule para el Periodo 2010-2021</t>
  </si>
  <si>
    <t>https://analytics.zoho.com/open-view/2395394000009080286?ZOHO_CRITERIA=%22Localiza%20CL%22.%22Codreg%22%3D7</t>
  </si>
  <si>
    <t>Relación Víctima-Femicida en la Región del Biobío para el Periodo 2010-2021</t>
  </si>
  <si>
    <t>https://analytics.zoho.com/open-view/2395394000009080286?ZOHO_CRITERIA=%22Localiza%20CL%22.%22Codreg%22%3D8</t>
  </si>
  <si>
    <t>Relación Víctima-Femicida en la Región de La Araucanía para el Periodo 2010-2021</t>
  </si>
  <si>
    <t>https://analytics.zoho.com/open-view/2395394000009080286?ZOHO_CRITERIA=%22Localiza%20CL%22.%22Codreg%22%3D9</t>
  </si>
  <si>
    <t>Relación Víctima-Femicida en la Región de Los Lagos para el Periodo 2010-2021</t>
  </si>
  <si>
    <t>https://analytics.zoho.com/open-view/2395394000009080286?ZOHO_CRITERIA=%22Localiza%20CL%22.%22Codreg%22%3D10</t>
  </si>
  <si>
    <t>Relación Víctima-Femicida en la Región de Aysén para el Periodo 2010-2021</t>
  </si>
  <si>
    <t>https://analytics.zoho.com/open-view/2395394000009080286?ZOHO_CRITERIA=%22Localiza%20CL%22.%22Codreg%22%3D11</t>
  </si>
  <si>
    <t>Relación Víctima-Femicida en la Región de Magallanes para el Periodo 2010-2021</t>
  </si>
  <si>
    <t>https://analytics.zoho.com/open-view/2395394000009080286?ZOHO_CRITERIA=%22Localiza%20CL%22.%22Codreg%22%3D12</t>
  </si>
  <si>
    <t>Relación Víctima-Femicida en la Región Metropolitana para el Periodo 2010-2021</t>
  </si>
  <si>
    <t>https://analytics.zoho.com/open-view/2395394000009080286?ZOHO_CRITERIA=%22Localiza%20CL%22.%22Codreg%22%3D13</t>
  </si>
  <si>
    <t>Relación Víctima-Femicida en la Región de Los Ríos para el Periodo 2010-2021</t>
  </si>
  <si>
    <t>https://analytics.zoho.com/open-view/2395394000009080286?ZOHO_CRITERIA=%22Localiza%20CL%22.%22Codreg%22%3D14</t>
  </si>
  <si>
    <t>Relación Víctima-Femicida en la Región de Arica y Parinacota para el Periodo 2010-2021</t>
  </si>
  <si>
    <t>https://analytics.zoho.com/open-view/2395394000009080286?ZOHO_CRITERIA=%22Localiza%20CL%22.%22Codreg%22%3D15</t>
  </si>
  <si>
    <t>Relación Víctima-Femicida en la Región de Ñuble para el Periodo 2010-2021</t>
  </si>
  <si>
    <t>https://analytics.zoho.com/open-view/2395394000009080286?ZOHO_CRITERIA=%22Localiza%20CL%22.%22Codreg%22%3D16</t>
  </si>
  <si>
    <t>Evolución Comparada Anual de Femicidios en Chile para el Periodo 2018-2021</t>
  </si>
  <si>
    <t>Evolución de Femicidios por mes en Chile para el Periodo 2010-2021</t>
  </si>
  <si>
    <t>Evolución de Parque Vehicular Escolar por Región en Chile para el Periodo 2014-2021</t>
  </si>
  <si>
    <t>Detalle de programas e instituciones evaluados por ministerio en Chile durante el Periodo 1997-2020</t>
  </si>
  <si>
    <t>Evolución de número de fallecidos por 1 millón de habitantes por comuna en Chile durante el Periodo 2020-2021</t>
  </si>
  <si>
    <t>Evolución de número de fallecidos por 1 millón de habitantes por comuna en la Región de Tarapacá durante el Periodo 2020-2021</t>
  </si>
  <si>
    <t>https://analytics.zoho.com/open-view/2395394000009055140?ZOHO_CRITERIA=%22Localiza_CL_Poblacion%22.%22Codreg%22%20%3D%201</t>
  </si>
  <si>
    <t>Evolución de número de fallecidos por 1 millón de habitantes por comuna en la Región de Antofagasta durante el Periodo 2020-2021</t>
  </si>
  <si>
    <t>https://analytics.zoho.com/open-view/2395394000009055140?ZOHO_CRITERIA=%22Localiza_CL_Poblacion%22.%22Codreg%22%20%3D%202</t>
  </si>
  <si>
    <t>Evolución de número de fallecidos por 1 millón de habitantes por comuna en la Región de Atacama durante el Periodo 2020-2021</t>
  </si>
  <si>
    <t>https://analytics.zoho.com/open-view/2395394000009055140?ZOHO_CRITERIA=%22Localiza_CL_Poblacion%22.%22Codreg%22%20%3D%203</t>
  </si>
  <si>
    <t>Evolución de número de fallecidos por 1 millón de habitantes por comuna en la Región de Coquimbo durante el Periodo 2020-2021</t>
  </si>
  <si>
    <t>https://analytics.zoho.com/open-view/2395394000009055140?ZOHO_CRITERIA=%22Localiza_CL_Poblacion%22.%22Codreg%22%20%3D%204</t>
  </si>
  <si>
    <t>Evolución de número de fallecidos por 1 millón de habitantes por comuna en la Región de Valparaíso durante el Periodo 2020-2021</t>
  </si>
  <si>
    <t>https://analytics.zoho.com/open-view/2395394000009055140?ZOHO_CRITERIA=%22Localiza_CL_Poblacion%22.%22Codreg%22%20%3D%205</t>
  </si>
  <si>
    <t>Evolución de número de fallecidos por 1 millón de habitantes por comuna en la Región de O'Higgins durante el Periodo 2020-2021</t>
  </si>
  <si>
    <t>https://analytics.zoho.com/open-view/2395394000009055140?ZOHO_CRITERIA=%22Localiza_CL_Poblacion%22.%22Codreg%22%20%3D%206</t>
  </si>
  <si>
    <t>Evolución de número de fallecidos por 1 millón de habitantes por comuna en la Región de Maule durante el Periodo 2020-2021</t>
  </si>
  <si>
    <t>https://analytics.zoho.com/open-view/2395394000009055140?ZOHO_CRITERIA=%22Localiza_CL_Poblacion%22.%22Codreg%22%20%3D%207</t>
  </si>
  <si>
    <t>Evolución de número de fallecidos por 1 millón de habitantes por comuna en la Región del Biobío durante el Periodo 2020-2021</t>
  </si>
  <si>
    <t>https://analytics.zoho.com/open-view/2395394000009055140?ZOHO_CRITERIA=%22Localiza_CL_Poblacion%22.%22Codreg%22%20%3D%208</t>
  </si>
  <si>
    <t>Evolución de número de fallecidos por 1 millón de habitantes por comuna en la Región de La Araucanía durante el Periodo 2020-2021</t>
  </si>
  <si>
    <t>https://analytics.zoho.com/open-view/2395394000009055140?ZOHO_CRITERIA=%22Localiza_CL_Poblacion%22.%22Codreg%22%20%3D%209</t>
  </si>
  <si>
    <t>Evolución de número de fallecidos por 1 millón de habitantes por comuna en la Región de Los Lagos durante el Periodo 2020-2021</t>
  </si>
  <si>
    <t>https://analytics.zoho.com/open-view/2395394000009055140?ZOHO_CRITERIA=%22Localiza_CL_Poblacion%22.%22Codreg%22%20%3D%2010</t>
  </si>
  <si>
    <t>Evolución de número de fallecidos por 1 millón de habitantes por comuna en la Región de Aysén durante el Periodo 2020-2021</t>
  </si>
  <si>
    <t>https://analytics.zoho.com/open-view/2395394000009055140?ZOHO_CRITERIA=%22Localiza_CL_Poblacion%22.%22Codreg%22%20%3D%2011</t>
  </si>
  <si>
    <t>Evolución de número de fallecidos por 1 millón de habitantes por comuna en la Región de Magallanes durante el Periodo 2020-2021</t>
  </si>
  <si>
    <t>https://analytics.zoho.com/open-view/2395394000009055140?ZOHO_CRITERIA=%22Localiza_CL_Poblacion%22.%22Codreg%22%20%3D%2012</t>
  </si>
  <si>
    <t>Evolución de número de fallecidos por 1 millón de habitantes por comuna en la Región Metropolitana durante el Periodo 2020-2021</t>
  </si>
  <si>
    <t>https://analytics.zoho.com/open-view/2395394000009055140?ZOHO_CRITERIA=%22Localiza_CL_Poblacion%22.%22Codreg%22%20%3D%2013</t>
  </si>
  <si>
    <t>Evolución de número de fallecidos por 1 millón de habitantes por comuna en la Región de Los Ríos durante el Periodo 2020-2021</t>
  </si>
  <si>
    <t>https://analytics.zoho.com/open-view/2395394000009055140?ZOHO_CRITERIA=%22Localiza_CL_Poblacion%22.%22Codreg%22%20%3D%2014</t>
  </si>
  <si>
    <t>Evolución de número de fallecidos por 1 millón de habitantes por comuna en la Región de Arica y Parinacota durante el Periodo 2020-2021</t>
  </si>
  <si>
    <t>https://analytics.zoho.com/open-view/2395394000009055140?ZOHO_CRITERIA=%22Localiza_CL_Poblacion%22.%22Codreg%22%20%3D%2015</t>
  </si>
  <si>
    <t>Evolución de número de fallecidos por 1 millón de habitantes por comuna en la Región de Ñuble durante el Periodo 2020-2021</t>
  </si>
  <si>
    <t>https://analytics.zoho.com/open-view/2395394000009055140?ZOHO_CRITERIA=%22Localiza_CL_Poblacion%22.%22Codreg%22%20%3D%2016</t>
  </si>
  <si>
    <t>Evolución de Puntaje SIMCE de Lectura por Dependencia de Establecimientos para 2° Medio en Chile, Periodo 2015-2018</t>
  </si>
  <si>
    <t>Evolución de Puntaje SIMCE de Lectura por Dependencia de Establecimientos para 2° Medio en la Región de Tarapacá, Periodo 2015-2018</t>
  </si>
  <si>
    <t>https://analytics.zoho.com/open-view/2395394000009042568?ZOHO_CRITERIA=%22Localiza%20CL%22.%22Codreg%22%3D1</t>
  </si>
  <si>
    <t>Evolución de Puntaje SIMCE de Lectura por Dependencia de Establecimientos para 2° Medio en la Región de Antofagasta, Periodo 2015-2018</t>
  </si>
  <si>
    <t>https://analytics.zoho.com/open-view/2395394000009042568?ZOHO_CRITERIA=%22Localiza%20CL%22.%22Codreg%22%3D2</t>
  </si>
  <si>
    <t>Evolución de Puntaje SIMCE de Lectura por Dependencia de Establecimientos para 2° Medio en la Región de Atacama, Periodo 2015-2018</t>
  </si>
  <si>
    <t>https://analytics.zoho.com/open-view/2395394000009042568?ZOHO_CRITERIA=%22Localiza%20CL%22.%22Codreg%22%3D3</t>
  </si>
  <si>
    <t>Evolución de Puntaje SIMCE de Lectura por Dependencia de Establecimientos para 2° Medio en la Región de Coquimbo, Periodo 2015-2018</t>
  </si>
  <si>
    <t>https://analytics.zoho.com/open-view/2395394000009042568?ZOHO_CRITERIA=%22Localiza%20CL%22.%22Codreg%22%3D4</t>
  </si>
  <si>
    <t>Evolución de Puntaje SIMCE de Lectura por Dependencia de Establecimientos para 2° Medio en la Región de Valparaíso, Periodo 2015-2018</t>
  </si>
  <si>
    <t>https://analytics.zoho.com/open-view/2395394000009042568?ZOHO_CRITERIA=%22Localiza%20CL%22.%22Codreg%22%3D5</t>
  </si>
  <si>
    <t>Evolución de Puntaje SIMCE de Lectura por Dependencia de Establecimientos para 2° Medio en la Región de O'Higgins, Periodo 2015-2018</t>
  </si>
  <si>
    <t>https://analytics.zoho.com/open-view/2395394000009042568?ZOHO_CRITERIA=%22Localiza%20CL%22.%22Codreg%22%3D6</t>
  </si>
  <si>
    <t>Evolución de Puntaje SIMCE de Lectura por Dependencia de Establecimientos para 2° Medio en la Región de Maule, Periodo 2015-2018</t>
  </si>
  <si>
    <t>https://analytics.zoho.com/open-view/2395394000009042568?ZOHO_CRITERIA=%22Localiza%20CL%22.%22Codreg%22%3D7</t>
  </si>
  <si>
    <t>Evolución de Puntaje SIMCE de Lectura por Dependencia de Establecimientos para 2° Medio en la Región del Biobío, Periodo 2015-2018</t>
  </si>
  <si>
    <t>https://analytics.zoho.com/open-view/2395394000009042568?ZOHO_CRITERIA=%22Localiza%20CL%22.%22Codreg%22%3D8</t>
  </si>
  <si>
    <t>Evolución de Puntaje SIMCE de Lectura por Dependencia de Establecimientos para 2° Medio en la Región de La Araucanía, Periodo 2015-2018</t>
  </si>
  <si>
    <t>https://analytics.zoho.com/open-view/2395394000009042568?ZOHO_CRITERIA=%22Localiza%20CL%22.%22Codreg%22%3D9</t>
  </si>
  <si>
    <t>Evolución de Puntaje SIMCE de Lectura por Dependencia de Establecimientos para 2° Medio en la Región de Los Lagos, Periodo 2015-2018</t>
  </si>
  <si>
    <t>https://analytics.zoho.com/open-view/2395394000009042568?ZOHO_CRITERIA=%22Localiza%20CL%22.%22Codreg%22%3D10</t>
  </si>
  <si>
    <t>Evolución de Puntaje SIMCE de Lectura por Dependencia de Establecimientos para 2° Medio en la Región de Aysén, Periodo 2015-2018</t>
  </si>
  <si>
    <t>https://analytics.zoho.com/open-view/2395394000009042568?ZOHO_CRITERIA=%22Localiza%20CL%22.%22Codreg%22%3D11</t>
  </si>
  <si>
    <t>Evolución de Puntaje SIMCE de Lectura por Dependencia de Establecimientos para 2° Medio en la Región de Magallanes, Periodo 2015-2018</t>
  </si>
  <si>
    <t>https://analytics.zoho.com/open-view/2395394000009042568?ZOHO_CRITERIA=%22Localiza%20CL%22.%22Codreg%22%3D12</t>
  </si>
  <si>
    <t>Evolución de Puntaje SIMCE de Lectura por Dependencia de Establecimientos para 2° Medio en la Región Metropolitana, Periodo 2015-2018</t>
  </si>
  <si>
    <t>https://analytics.zoho.com/open-view/2395394000009042568?ZOHO_CRITERIA=%22Localiza%20CL%22.%22Codreg%22%3D13</t>
  </si>
  <si>
    <t>Evolución de Puntaje SIMCE de Lectura por Dependencia de Establecimientos para 2° Medio en la Región de Los Ríos, Periodo 2015-2018</t>
  </si>
  <si>
    <t>https://analytics.zoho.com/open-view/2395394000009042568?ZOHO_CRITERIA=%22Localiza%20CL%22.%22Codreg%22%3D14</t>
  </si>
  <si>
    <t>Evolución de Puntaje SIMCE de Lectura por Dependencia de Establecimientos para 2° Medio en la Región de Arica y Parinacota, Periodo 2015-2018</t>
  </si>
  <si>
    <t>https://analytics.zoho.com/open-view/2395394000009042568?ZOHO_CRITERIA=%22Localiza%20CL%22.%22Codreg%22%3D15</t>
  </si>
  <si>
    <t>Evolución de Puntaje SIMCE de Lectura por Dependencia de Establecimientos para 2° Medio en la Región de Ñuble, Periodo 2015-2018</t>
  </si>
  <si>
    <t>https://analytics.zoho.com/open-view/2395394000009042568?ZOHO_CRITERIA=%22Localiza%20CL%22.%22Codreg%22%3D16</t>
  </si>
  <si>
    <t>Evolución de Puntaje SIMCE de Matemáticas por Dependencia de Establecimientos para 2° Medio en Chile, Periodo 2015-2018</t>
  </si>
  <si>
    <t>Evolución de Puntaje SIMCE de Matemáticas por Dependencia de Establecimientos para 2° Medio en la Región de Tarapacá, Periodo 2015-2018</t>
  </si>
  <si>
    <t>https://analytics.zoho.com/open-view/2395394000009042688?ZOHO_CRITERIA=%22Localiza%20CL%22.%22Codreg%22%3D1</t>
  </si>
  <si>
    <t>Evolución de Puntaje SIMCE de Matemáticas por Dependencia de Establecimientos para 2° Medio en la Región de Antofagasta, Periodo 2015-2018</t>
  </si>
  <si>
    <t>https://analytics.zoho.com/open-view/2395394000009042688?ZOHO_CRITERIA=%22Localiza%20CL%22.%22Codreg%22%3D2</t>
  </si>
  <si>
    <t>Evolución de Puntaje SIMCE de Matemáticas por Dependencia de Establecimientos para 2° Medio en la Región de Atacama, Periodo 2015-2018</t>
  </si>
  <si>
    <t>https://analytics.zoho.com/open-view/2395394000009042688?ZOHO_CRITERIA=%22Localiza%20CL%22.%22Codreg%22%3D3</t>
  </si>
  <si>
    <t>Evolución de Puntaje SIMCE de Matemáticas por Dependencia de Establecimientos para 2° Medio en la Región de Coquimbo, Periodo 2015-2018</t>
  </si>
  <si>
    <t>https://analytics.zoho.com/open-view/2395394000009042688?ZOHO_CRITERIA=%22Localiza%20CL%22.%22Codreg%22%3D4</t>
  </si>
  <si>
    <t>Evolución de Puntaje SIMCE de Matemáticas por Dependencia de Establecimientos para 2° Medio en la Región de Valparaíso, Periodo 2015-2018</t>
  </si>
  <si>
    <t>https://analytics.zoho.com/open-view/2395394000009042688?ZOHO_CRITERIA=%22Localiza%20CL%22.%22Codreg%22%3D5</t>
  </si>
  <si>
    <t>Evolución de Puntaje SIMCE de Matemáticas por Dependencia de Establecimientos para 2° Medio en la Región de O'Higgins, Periodo 2015-2018</t>
  </si>
  <si>
    <t>https://analytics.zoho.com/open-view/2395394000009042688?ZOHO_CRITERIA=%22Localiza%20CL%22.%22Codreg%22%3D6</t>
  </si>
  <si>
    <t>Evolución de Puntaje SIMCE de Matemáticas por Dependencia de Establecimientos para 2° Medio en la Región de Maule, Periodo 2015-2018</t>
  </si>
  <si>
    <t>https://analytics.zoho.com/open-view/2395394000009042688?ZOHO_CRITERIA=%22Localiza%20CL%22.%22Codreg%22%3D7</t>
  </si>
  <si>
    <t>Evolución de Puntaje SIMCE de Matemáticas por Dependencia de Establecimientos para 2° Medio en la Región del Biobío, Periodo 2015-2018</t>
  </si>
  <si>
    <t>https://analytics.zoho.com/open-view/2395394000009042688?ZOHO_CRITERIA=%22Localiza%20CL%22.%22Codreg%22%3D8</t>
  </si>
  <si>
    <t>Evolución de Puntaje SIMCE de Matemáticas por Dependencia de Establecimientos para 2° Medio en la Región de La Araucanía, Periodo 2015-2018</t>
  </si>
  <si>
    <t>https://analytics.zoho.com/open-view/2395394000009042688?ZOHO_CRITERIA=%22Localiza%20CL%22.%22Codreg%22%3D9</t>
  </si>
  <si>
    <t>Evolución de Puntaje SIMCE de Matemáticas por Dependencia de Establecimientos para 2° Medio en la Región de Los Lagos, Periodo 2015-2018</t>
  </si>
  <si>
    <t>https://analytics.zoho.com/open-view/2395394000009042688?ZOHO_CRITERIA=%22Localiza%20CL%22.%22Codreg%22%3D10</t>
  </si>
  <si>
    <t>Evolución de Puntaje SIMCE de Matemáticas por Dependencia de Establecimientos para 2° Medio en la Región de Aysén, Periodo 2015-2018</t>
  </si>
  <si>
    <t>https://analytics.zoho.com/open-view/2395394000009042688?ZOHO_CRITERIA=%22Localiza%20CL%22.%22Codreg%22%3D11</t>
  </si>
  <si>
    <t>Evolución de Puntaje SIMCE de Matemáticas por Dependencia de Establecimientos para 2° Medio en la Región de Magallanes, Periodo 2015-2018</t>
  </si>
  <si>
    <t>https://analytics.zoho.com/open-view/2395394000009042688?ZOHO_CRITERIA=%22Localiza%20CL%22.%22Codreg%22%3D12</t>
  </si>
  <si>
    <t>Evolución de Puntaje SIMCE de Matemáticas por Dependencia de Establecimientos para 2° Medio en la Región Metropolitana, Periodo 2015-2018</t>
  </si>
  <si>
    <t>https://analytics.zoho.com/open-view/2395394000009042688?ZOHO_CRITERIA=%22Localiza%20CL%22.%22Codreg%22%3D13</t>
  </si>
  <si>
    <t>Evolución de Puntaje SIMCE de Matemáticas por Dependencia de Establecimientos para 2° Medio en la Región de Los Ríos, Periodo 2015-2018</t>
  </si>
  <si>
    <t>https://analytics.zoho.com/open-view/2395394000009042688?ZOHO_CRITERIA=%22Localiza%20CL%22.%22Codreg%22%3D14</t>
  </si>
  <si>
    <t>Evolución de Puntaje SIMCE de Matemáticas por Dependencia de Establecimientos para 2° Medio en la Región de Arica y Parinacota, Periodo 2015-2018</t>
  </si>
  <si>
    <t>https://analytics.zoho.com/open-view/2395394000009042688?ZOHO_CRITERIA=%22Localiza%20CL%22.%22Codreg%22%3D15</t>
  </si>
  <si>
    <t>Evolución de Puntaje SIMCE de Matemáticas por Dependencia de Establecimientos para 2° Medio en la Región de Ñuble, Periodo 2015-2018</t>
  </si>
  <si>
    <t>https://analytics.zoho.com/open-view/2395394000009042688?ZOHO_CRITERIA=%22Localiza%20CL%22.%22Codreg%22%3D16</t>
  </si>
  <si>
    <t>Resumen de Indicadores de Desarrollo Personal y Social por Dependencia de Establecimiento por comuna en Chile, Periodo 2014-2019</t>
  </si>
  <si>
    <t>Resumen de Indicadores de Desarrollo Personal y Social por Dependencia de Establecimiento por comuna en la Región de Tarapacá, Periodo 2014-2019</t>
  </si>
  <si>
    <t>https://analytics.zoho.com/open-view/2395394000007990413?ZOHO_CRITERIA=%22Localiza%20CL%22.%22Codreg%22%3D1</t>
  </si>
  <si>
    <t>Resumen de Indicadores de Desarrollo Personal y Social por Dependencia de Establecimiento por comuna en la Región de Antofagasta, Periodo 2014-2019</t>
  </si>
  <si>
    <t>https://analytics.zoho.com/open-view/2395394000007990413?ZOHO_CRITERIA=%22Localiza%20CL%22.%22Codreg%22%3D2</t>
  </si>
  <si>
    <t>Resumen de Indicadores de Desarrollo Personal y Social por Dependencia de Establecimiento por comuna en la Región de Atacama, Periodo 2014-2019</t>
  </si>
  <si>
    <t>https://analytics.zoho.com/open-view/2395394000007990413?ZOHO_CRITERIA=%22Localiza%20CL%22.%22Codreg%22%3D3</t>
  </si>
  <si>
    <t>Resumen de Indicadores de Desarrollo Personal y Social por Dependencia de Establecimiento por comuna en la Región de Coquimbo, Periodo 2014-2019</t>
  </si>
  <si>
    <t>https://analytics.zoho.com/open-view/2395394000007990413?ZOHO_CRITERIA=%22Localiza%20CL%22.%22Codreg%22%3D4</t>
  </si>
  <si>
    <t>Resumen de Indicadores de Desarrollo Personal y Social por Dependencia de Establecimiento por comuna en la Región de Valparaíso, Periodo 2014-2019</t>
  </si>
  <si>
    <t>https://analytics.zoho.com/open-view/2395394000007990413?ZOHO_CRITERIA=%22Localiza%20CL%22.%22Codreg%22%3D5</t>
  </si>
  <si>
    <t>Resumen de Indicadores de Desarrollo Personal y Social por Dependencia de Establecimiento por comuna en la Región de O'Higgins, Periodo 2014-2019</t>
  </si>
  <si>
    <t>https://analytics.zoho.com/open-view/2395394000007990413?ZOHO_CRITERIA=%22Localiza%20CL%22.%22Codreg%22%3D6</t>
  </si>
  <si>
    <t>Resumen de Indicadores de Desarrollo Personal y Social por Dependencia de Establecimiento por comuna en la Región de Maule, Periodo 2014-2019</t>
  </si>
  <si>
    <t>https://analytics.zoho.com/open-view/2395394000007990413?ZOHO_CRITERIA=%22Localiza%20CL%22.%22Codreg%22%3D7</t>
  </si>
  <si>
    <t>Resumen de Indicadores de Desarrollo Personal y Social por Dependencia de Establecimiento por comuna en la Región del Biobío, Periodo 2014-2019</t>
  </si>
  <si>
    <t>https://analytics.zoho.com/open-view/2395394000007990413?ZOHO_CRITERIA=%22Localiza%20CL%22.%22Codreg%22%3D8</t>
  </si>
  <si>
    <t>Resumen de Indicadores de Desarrollo Personal y Social por Dependencia de Establecimiento por comuna en la Región de La Araucanía, Periodo 2014-2019</t>
  </si>
  <si>
    <t>https://analytics.zoho.com/open-view/2395394000007990413?ZOHO_CRITERIA=%22Localiza%20CL%22.%22Codreg%22%3D9</t>
  </si>
  <si>
    <t>Resumen de Indicadores de Desarrollo Personal y Social por Dependencia de Establecimiento por comuna en la Región de Los Lagos, Periodo 2014-2019</t>
  </si>
  <si>
    <t>https://analytics.zoho.com/open-view/2395394000007990413?ZOHO_CRITERIA=%22Localiza%20CL%22.%22Codreg%22%3D10</t>
  </si>
  <si>
    <t>Resumen de Indicadores de Desarrollo Personal y Social por Dependencia de Establecimiento por comuna en la Región de Aysén, Periodo 2014-2019</t>
  </si>
  <si>
    <t>https://analytics.zoho.com/open-view/2395394000007990413?ZOHO_CRITERIA=%22Localiza%20CL%22.%22Codreg%22%3D11</t>
  </si>
  <si>
    <t>Resumen de Indicadores de Desarrollo Personal y Social por Dependencia de Establecimiento por comuna en la Región de Magallanes, Periodo 2014-2019</t>
  </si>
  <si>
    <t>https://analytics.zoho.com/open-view/2395394000007990413?ZOHO_CRITERIA=%22Localiza%20CL%22.%22Codreg%22%3D12</t>
  </si>
  <si>
    <t>Resumen de Indicadores de Desarrollo Personal y Social por Dependencia de Establecimiento por comuna en la Región Metropolitana, Periodo 2014-2019</t>
  </si>
  <si>
    <t>https://analytics.zoho.com/open-view/2395394000007990413?ZOHO_CRITERIA=%22Localiza%20CL%22.%22Codreg%22%3D13</t>
  </si>
  <si>
    <t>Resumen de Indicadores de Desarrollo Personal y Social por Dependencia de Establecimiento por comuna en la Región de Los Ríos, Periodo 2014-2019</t>
  </si>
  <si>
    <t>https://analytics.zoho.com/open-view/2395394000007990413?ZOHO_CRITERIA=%22Localiza%20CL%22.%22Codreg%22%3D14</t>
  </si>
  <si>
    <t>Resumen de Indicadores de Desarrollo Personal y Social por Dependencia de Establecimiento por comuna en la Región de Arica y Parinacota, Periodo 2014-2019</t>
  </si>
  <si>
    <t>https://analytics.zoho.com/open-view/2395394000007990413?ZOHO_CRITERIA=%22Localiza%20CL%22.%22Codreg%22%3D15</t>
  </si>
  <si>
    <t>Resumen de Indicadores de Desarrollo Personal y Social por Dependencia de Establecimiento por comuna en la Región de Ñuble, Periodo 2014-2019</t>
  </si>
  <si>
    <t>https://analytics.zoho.com/open-view/2395394000007990413?ZOHO_CRITERIA=%22Localiza%20CL%22.%22Codreg%22%3D16</t>
  </si>
  <si>
    <t>Mapa de distribución geográfica en Chile del Indicador de Autoestima Académica y Motivación Escolar, Periodo 2014-2019</t>
  </si>
  <si>
    <t>Mapa de distribución geográfica en la Región de Tarapacá del Indicador de Autoestima Académica y Motivación Escolar, Periodo 2014-2019</t>
  </si>
  <si>
    <t>https://analytics.zoho.com/open-view/2395394000009056027?ZOHO_CRITERIA=%22Localiza%20CL%22.%22Codreg%22%3D1</t>
  </si>
  <si>
    <t>Mapa de distribución geográfica en la Región de Antofagasta del Indicador de Autoestima Académica y Motivación Escolar, Periodo 2014-2019</t>
  </si>
  <si>
    <t>https://analytics.zoho.com/open-view/2395394000009056027?ZOHO_CRITERIA=%22Localiza%20CL%22.%22Codreg%22%3D2</t>
  </si>
  <si>
    <t>Mapa de distribución geográfica en la Región de Atacama del Indicador de Autoestima Académica y Motivación Escolar, Periodo 2014-2019</t>
  </si>
  <si>
    <t>https://analytics.zoho.com/open-view/2395394000009056027?ZOHO_CRITERIA=%22Localiza%20CL%22.%22Codreg%22%3D3</t>
  </si>
  <si>
    <t>Mapa de distribución geográfica en la Región de Coquimbo del Indicador de Autoestima Académica y Motivación Escolar, Periodo 2014-2019</t>
  </si>
  <si>
    <t>https://analytics.zoho.com/open-view/2395394000009056027?ZOHO_CRITERIA=%22Localiza%20CL%22.%22Codreg%22%3D4</t>
  </si>
  <si>
    <t>Mapa de distribución geográfica en la Región de Valparaíso del Indicador de Autoestima Académica y Motivación Escolar, Periodo 2014-2019</t>
  </si>
  <si>
    <t>https://analytics.zoho.com/open-view/2395394000009056027?ZOHO_CRITERIA=%22Localiza%20CL%22.%22Codreg%22%3D5</t>
  </si>
  <si>
    <t>Mapa de distribución geográfica en la Región de O'Higgins del Indicador de Autoestima Académica y Motivación Escolar, Periodo 2014-2019</t>
  </si>
  <si>
    <t>https://analytics.zoho.com/open-view/2395394000009056027?ZOHO_CRITERIA=%22Localiza%20CL%22.%22Codreg%22%3D6</t>
  </si>
  <si>
    <t>Mapa de distribución geográfica en la Región de Maule del Indicador de Autoestima Académica y Motivación Escolar, Periodo 2014-2019</t>
  </si>
  <si>
    <t>https://analytics.zoho.com/open-view/2395394000009056027?ZOHO_CRITERIA=%22Localiza%20CL%22.%22Codreg%22%3D7</t>
  </si>
  <si>
    <t>Mapa de distribución geográfica en la Región del Biobío del Indicador de Autoestima Académica y Motivación Escolar, Periodo 2014-2019</t>
  </si>
  <si>
    <t>https://analytics.zoho.com/open-view/2395394000009056027?ZOHO_CRITERIA=%22Localiza%20CL%22.%22Codreg%22%3D8</t>
  </si>
  <si>
    <t>Mapa de distribución geográfica en la Región de La Araucanía del Indicador de Autoestima Académica y Motivación Escolar, Periodo 2014-2019</t>
  </si>
  <si>
    <t>https://analytics.zoho.com/open-view/2395394000009056027?ZOHO_CRITERIA=%22Localiza%20CL%22.%22Codreg%22%3D9</t>
  </si>
  <si>
    <t>Mapa de distribución geográfica en la Región de Los Lagos del Indicador de Autoestima Académica y Motivación Escolar, Periodo 2014-2019</t>
  </si>
  <si>
    <t>https://analytics.zoho.com/open-view/2395394000009056027?ZOHO_CRITERIA=%22Localiza%20CL%22.%22Codreg%22%3D10</t>
  </si>
  <si>
    <t>Mapa de distribución geográfica en la Región de Aysén del Indicador de Autoestima Académica y Motivación Escolar, Periodo 2014-2019</t>
  </si>
  <si>
    <t>https://analytics.zoho.com/open-view/2395394000009056027?ZOHO_CRITERIA=%22Localiza%20CL%22.%22Codreg%22%3D11</t>
  </si>
  <si>
    <t>Mapa de distribución geográfica en la Región de Magallanes del Indicador de Autoestima Académica y Motivación Escolar, Periodo 2014-2019</t>
  </si>
  <si>
    <t>https://analytics.zoho.com/open-view/2395394000009056027?ZOHO_CRITERIA=%22Localiza%20CL%22.%22Codreg%22%3D12</t>
  </si>
  <si>
    <t>Mapa de distribución geográfica en la Región Metropolitana del Indicador de Autoestima Académica y Motivación Escolar, Periodo 2014-2019</t>
  </si>
  <si>
    <t>https://analytics.zoho.com/open-view/2395394000009056027?ZOHO_CRITERIA=%22Localiza%20CL%22.%22Codreg%22%3D13</t>
  </si>
  <si>
    <t>Mapa de distribución geográfica en la Región de Los Ríos del Indicador de Autoestima Académica y Motivación Escolar, Periodo 2014-2019</t>
  </si>
  <si>
    <t>https://analytics.zoho.com/open-view/2395394000009056027?ZOHO_CRITERIA=%22Localiza%20CL%22.%22Codreg%22%3D14</t>
  </si>
  <si>
    <t>Mapa de distribución geográfica en la Región de Arica y Parinacota del Indicador de Autoestima Académica y Motivación Escolar, Periodo 2014-2019</t>
  </si>
  <si>
    <t>https://analytics.zoho.com/open-view/2395394000009056027?ZOHO_CRITERIA=%22Localiza%20CL%22.%22Codreg%22%3D15</t>
  </si>
  <si>
    <t>Mapa de distribución geográfica en la Región de Ñuble del Indicador de Autoestima Académica y Motivación Escolar, Periodo 2014-2019</t>
  </si>
  <si>
    <t>https://analytics.zoho.com/open-view/2395394000009056027?ZOHO_CRITERIA=%22Localiza%20CL%22.%22Codreg%22%3D16</t>
  </si>
  <si>
    <t>Evolución del Indicador de Clima de Convivencia Escolar por Dependencia de Establecimientos en Chile, Periodo 2014-2019</t>
  </si>
  <si>
    <t>Evolución del Indicador de Clima de Convivencia Escolar por Dependencia de Establecimientos en la Región de Tarapacá, Periodo 2014-2019</t>
  </si>
  <si>
    <t>https://analytics.zoho.com/open-view/2395394000009056168?ZOHO_CRITERIA=%22Localiza%20CL%22.%22Codreg%22%3D1</t>
  </si>
  <si>
    <t>Evolución del Indicador de Clima de Convivencia Escolar por Dependencia de Establecimientos en la Región de Antofagasta, Periodo 2014-2019</t>
  </si>
  <si>
    <t>https://analytics.zoho.com/open-view/2395394000009056168?ZOHO_CRITERIA=%22Localiza%20CL%22.%22Codreg%22%3D2</t>
  </si>
  <si>
    <t>Evolución del Indicador de Clima de Convivencia Escolar por Dependencia de Establecimientos en la Región de Atacama, Periodo 2014-2019</t>
  </si>
  <si>
    <t>https://analytics.zoho.com/open-view/2395394000009056168?ZOHO_CRITERIA=%22Localiza%20CL%22.%22Codreg%22%3D3</t>
  </si>
  <si>
    <t>Evolución del Indicador de Clima de Convivencia Escolar por Dependencia de Establecimientos en la Región de Coquimbo, Periodo 2014-2019</t>
  </si>
  <si>
    <t>https://analytics.zoho.com/open-view/2395394000009056168?ZOHO_CRITERIA=%22Localiza%20CL%22.%22Codreg%22%3D4</t>
  </si>
  <si>
    <t>Evolución del Indicador de Clima de Convivencia Escolar por Dependencia de Establecimientos en la Región de Valparaíso, Periodo 2014-2019</t>
  </si>
  <si>
    <t>https://analytics.zoho.com/open-view/2395394000009056168?ZOHO_CRITERIA=%22Localiza%20CL%22.%22Codreg%22%3D5</t>
  </si>
  <si>
    <t>Evolución del Indicador de Clima de Convivencia Escolar por Dependencia de Establecimientos en la Región de O'Higgins, Periodo 2014-2019</t>
  </si>
  <si>
    <t>https://analytics.zoho.com/open-view/2395394000009056168?ZOHO_CRITERIA=%22Localiza%20CL%22.%22Codreg%22%3D6</t>
  </si>
  <si>
    <t>Evolución del Indicador de Clima de Convivencia Escolar por Dependencia de Establecimientos en la Región de Maule, Periodo 2014-2019</t>
  </si>
  <si>
    <t>https://analytics.zoho.com/open-view/2395394000009056168?ZOHO_CRITERIA=%22Localiza%20CL%22.%22Codreg%22%3D7</t>
  </si>
  <si>
    <t>Evolución del Indicador de Clima de Convivencia Escolar por Dependencia de Establecimientos en la Región del Biobío, Periodo 2014-2019</t>
  </si>
  <si>
    <t>https://analytics.zoho.com/open-view/2395394000009056168?ZOHO_CRITERIA=%22Localiza%20CL%22.%22Codreg%22%3D8</t>
  </si>
  <si>
    <t>Evolución del Indicador de Clima de Convivencia Escolar por Dependencia de Establecimientos en la Región de La Araucanía, Periodo 2014-2019</t>
  </si>
  <si>
    <t>https://analytics.zoho.com/open-view/2395394000009056168?ZOHO_CRITERIA=%22Localiza%20CL%22.%22Codreg%22%3D9</t>
  </si>
  <si>
    <t>Evolución del Indicador de Clima de Convivencia Escolar por Dependencia de Establecimientos en la Región de Los Lagos, Periodo 2014-2019</t>
  </si>
  <si>
    <t>https://analytics.zoho.com/open-view/2395394000009056168?ZOHO_CRITERIA=%22Localiza%20CL%22.%22Codreg%22%3D10</t>
  </si>
  <si>
    <t>Evolución del Indicador de Clima de Convivencia Escolar por Dependencia de Establecimientos en la Región de Aysén, Periodo 2014-2019</t>
  </si>
  <si>
    <t>https://analytics.zoho.com/open-view/2395394000009056168?ZOHO_CRITERIA=%22Localiza%20CL%22.%22Codreg%22%3D11</t>
  </si>
  <si>
    <t>Evolución del Indicador de Clima de Convivencia Escolar por Dependencia de Establecimientos en la Región de Magallanes, Periodo 2014-2019</t>
  </si>
  <si>
    <t>https://analytics.zoho.com/open-view/2395394000009056168?ZOHO_CRITERIA=%22Localiza%20CL%22.%22Codreg%22%3D12</t>
  </si>
  <si>
    <t>Evolución del Indicador de Clima de Convivencia Escolar por Dependencia de Establecimientos en la Región Metropolitana, Periodo 2014-2019</t>
  </si>
  <si>
    <t>https://analytics.zoho.com/open-view/2395394000009056168?ZOHO_CRITERIA=%22Localiza%20CL%22.%22Codreg%22%3D13</t>
  </si>
  <si>
    <t>Evolución del Indicador de Clima de Convivencia Escolar por Dependencia de Establecimientos en la Región de Los Ríos, Periodo 2014-2019</t>
  </si>
  <si>
    <t>https://analytics.zoho.com/open-view/2395394000009056168?ZOHO_CRITERIA=%22Localiza%20CL%22.%22Codreg%22%3D14</t>
  </si>
  <si>
    <t>Evolución del Indicador de Clima de Convivencia Escolar por Dependencia de Establecimientos en la Región de Arica y Parinacota, Periodo 2014-2019</t>
  </si>
  <si>
    <t>https://analytics.zoho.com/open-view/2395394000009056168?ZOHO_CRITERIA=%22Localiza%20CL%22.%22Codreg%22%3D15</t>
  </si>
  <si>
    <t>Evolución del Indicador de Clima de Convivencia Escolar por Dependencia de Establecimientos en la Región de Ñuble, Periodo 2014-2019</t>
  </si>
  <si>
    <t>https://analytics.zoho.com/open-view/2395394000009056168?ZOHO_CRITERIA=%22Localiza%20CL%22.%22Codreg%22%3D16</t>
  </si>
  <si>
    <t>Superficie de Solicitudes de Edificación Autorizadas por Categoría en Chile, Periodo 2020-2021</t>
  </si>
  <si>
    <t>Número trabajadores dependientes informados por género según tamaño de empresa en Chile, Año 2019</t>
  </si>
  <si>
    <t>Número trabajadores dependientes informados por sexo según tamaño de empresa en la Región de Tarapacá, Año 2019</t>
  </si>
  <si>
    <t>https://analytics.zoho.com/open-view/2395394000008435819?ZOHO_CRITERIA=%225.1%20Empresas_Tama%C3%B1o%22.%22Cod_Regi%C3%B3n%22%3D1</t>
  </si>
  <si>
    <t>Número trabajadores dependientes informados por sexo según tamaño de empresa en la Región de Antofagasta, Año 2019</t>
  </si>
  <si>
    <t>https://analytics.zoho.com/open-view/2395394000008435819?ZOHO_CRITERIA=%225.1%20Empresas_Tama%C3%B1o%22.%22Cod_Regi%C3%B3n%22%3D2</t>
  </si>
  <si>
    <t>Número trabajadores dependientes informados por sexo según tamaño de empresa en la Región de Atacama, Año 2019</t>
  </si>
  <si>
    <t>https://analytics.zoho.com/open-view/2395394000008435819?ZOHO_CRITERIA=%225.1%20Empresas_Tama%C3%B1o%22.%22Cod_Regi%C3%B3n%22%3D3</t>
  </si>
  <si>
    <t>Número trabajadores dependientes informados por sexo según tamaño de empresa en la Región de Coquimbo, Año 2019</t>
  </si>
  <si>
    <t>https://analytics.zoho.com/open-view/2395394000008435819?ZOHO_CRITERIA=%225.1%20Empresas_Tama%C3%B1o%22.%22Cod_Regi%C3%B3n%22%3D4</t>
  </si>
  <si>
    <t>Número trabajadores dependientes informados por sexo según tamaño de empresa en la Región de Valparaíso, Año 2019</t>
  </si>
  <si>
    <t>https://analytics.zoho.com/open-view/2395394000008435819?ZOHO_CRITERIA=%225.1%20Empresas_Tama%C3%B1o%22.%22Cod_Regi%C3%B3n%22%3D5</t>
  </si>
  <si>
    <t>Número trabajadores dependientes informados por sexo según tamaño de empresa en la Región de O'Higgins, Año 2019</t>
  </si>
  <si>
    <t>https://analytics.zoho.com/open-view/2395394000008435819?ZOHO_CRITERIA=%225.1%20Empresas_Tama%C3%B1o%22.%22Cod_Regi%C3%B3n%22%3D6</t>
  </si>
  <si>
    <t>Número trabajadores dependientes informados por sexo según tamaño de empresa en la Región de Maule, Año 2019</t>
  </si>
  <si>
    <t>https://analytics.zoho.com/open-view/2395394000008435819?ZOHO_CRITERIA=%225.1%20Empresas_Tama%C3%B1o%22.%22Cod_Regi%C3%B3n%22%3D7</t>
  </si>
  <si>
    <t>Número trabajadores dependientes informados por sexo según tamaño de empresa en la Región del Biobío, Año 2019</t>
  </si>
  <si>
    <t>https://analytics.zoho.com/open-view/2395394000008435819?ZOHO_CRITERIA=%225.1%20Empresas_Tama%C3%B1o%22.%22Cod_Regi%C3%B3n%22%3D8</t>
  </si>
  <si>
    <t>Número trabajadores dependientes informados por sexo según tamaño de empresa en la Región de La Araucanía, Año 2019</t>
  </si>
  <si>
    <t>https://analytics.zoho.com/open-view/2395394000008435819?ZOHO_CRITERIA=%225.1%20Empresas_Tama%C3%B1o%22.%22Cod_Regi%C3%B3n%22%3D9</t>
  </si>
  <si>
    <t>Número trabajadores dependientes informados por sexo según tamaño de empresa en la Región de Los Lagos, Año 2019</t>
  </si>
  <si>
    <t>https://analytics.zoho.com/open-view/2395394000008435819?ZOHO_CRITERIA=%225.1%20Empresas_Tama%C3%B1o%22.%22Cod_Regi%C3%B3n%22%3D10</t>
  </si>
  <si>
    <t>Número trabajadores dependientes informados por sexo según tamaño de empresa en la Región de Aysén, Año 2019</t>
  </si>
  <si>
    <t>https://analytics.zoho.com/open-view/2395394000008435819?ZOHO_CRITERIA=%225.1%20Empresas_Tama%C3%B1o%22.%22Cod_Regi%C3%B3n%22%3D11</t>
  </si>
  <si>
    <t>Número trabajadores dependientes informados por sexo según tamaño de empresa en la Región de Magallanes, Año 2019</t>
  </si>
  <si>
    <t>https://analytics.zoho.com/open-view/2395394000008435819?ZOHO_CRITERIA=%225.1%20Empresas_Tama%C3%B1o%22.%22Cod_Regi%C3%B3n%22%3D12</t>
  </si>
  <si>
    <t>Número trabajadores dependientes informados por sexo según tamaño de empresa en la Región Metropolitana, Año 2019</t>
  </si>
  <si>
    <t>https://analytics.zoho.com/open-view/2395394000008435819?ZOHO_CRITERIA=%225.1%20Empresas_Tama%C3%B1o%22.%22Cod_Regi%C3%B3n%22%3D13</t>
  </si>
  <si>
    <t>Número trabajadores dependientes informados por sexo según tamaño de empresa en la Región de Los Ríos, Año 2019</t>
  </si>
  <si>
    <t>https://analytics.zoho.com/open-view/2395394000008435819?ZOHO_CRITERIA=%225.1%20Empresas_Tama%C3%B1o%22.%22Cod_Regi%C3%B3n%22%3D14</t>
  </si>
  <si>
    <t>Número trabajadores dependientes informados por sexo según tamaño de empresa en la Región de Arica y Parinacota, Año 2019</t>
  </si>
  <si>
    <t>https://analytics.zoho.com/open-view/2395394000008435819?ZOHO_CRITERIA=%225.1%20Empresas_Tama%C3%B1o%22.%22Cod_Regi%C3%B3n%22%3D15</t>
  </si>
  <si>
    <t>Número trabajadores dependientes informados por sexo según tamaño de empresa en la Región de Ñuble, Año 2019</t>
  </si>
  <si>
    <t>https://analytics.zoho.com/open-view/2395394000008435819?ZOHO_CRITERIA=%225.1%20Empresas_Tama%C3%B1o%22.%22Cod_Regi%C3%B3n%22%3D16</t>
  </si>
  <si>
    <t>Renta neta informada de trabajadoras en Chile, Periodo 2005-2019</t>
  </si>
  <si>
    <t>Renta neta informada de trabajadoras en la Región de Tarapacá, Periodo 2005-2019</t>
  </si>
  <si>
    <t>https://analytics.zoho.com/open-view/2395394000008038636?ZOHO_CRITERIA=%225.1%20Empresas_Tama%C3%B1o%22.%22Cod_Regi%C3%B3n%22%3D1</t>
  </si>
  <si>
    <t>Renta neta informada de trabajadoras en la Región de Antofagasta, Periodo 2005-2019</t>
  </si>
  <si>
    <t>https://analytics.zoho.com/open-view/2395394000008038636?ZOHO_CRITERIA=%225.1%20Empresas_Tama%C3%B1o%22.%22Cod_Regi%C3%B3n%22%3D2</t>
  </si>
  <si>
    <t>Renta neta informada de trabajadoras en la Región de Atacama, Periodo 2005-2019</t>
  </si>
  <si>
    <t>https://analytics.zoho.com/open-view/2395394000008038636?ZOHO_CRITERIA=%225.1%20Empresas_Tama%C3%B1o%22.%22Cod_Regi%C3%B3n%22%3D3</t>
  </si>
  <si>
    <t>Renta neta informada de trabajadoras en la Región de Coquimbo, Periodo 2005-2019</t>
  </si>
  <si>
    <t>https://analytics.zoho.com/open-view/2395394000008038636?ZOHO_CRITERIA=%225.1%20Empresas_Tama%C3%B1o%22.%22Cod_Regi%C3%B3n%22%3D4</t>
  </si>
  <si>
    <t>Renta neta informada de trabajadoras en la Región de Valparaíso, Periodo 2005-2019</t>
  </si>
  <si>
    <t>https://analytics.zoho.com/open-view/2395394000008038636?ZOHO_CRITERIA=%225.1%20Empresas_Tama%C3%B1o%22.%22Cod_Regi%C3%B3n%22%3D5</t>
  </si>
  <si>
    <t>Renta neta informada de trabajadoras en la Región de O'Higgins, Periodo 2005-2019</t>
  </si>
  <si>
    <t>https://analytics.zoho.com/open-view/2395394000008038636?ZOHO_CRITERIA=%225.1%20Empresas_Tama%C3%B1o%22.%22Cod_Regi%C3%B3n%22%3D6</t>
  </si>
  <si>
    <t>Renta neta informada de trabajadoras en la Región de Maule, Periodo 2005-2019</t>
  </si>
  <si>
    <t>https://analytics.zoho.com/open-view/2395394000008038636?ZOHO_CRITERIA=%225.1%20Empresas_Tama%C3%B1o%22.%22Cod_Regi%C3%B3n%22%3D7</t>
  </si>
  <si>
    <t>Renta neta informada de trabajadoras en la Región del Biobío, Periodo 2005-2019</t>
  </si>
  <si>
    <t>https://analytics.zoho.com/open-view/2395394000008038636?ZOHO_CRITERIA=%225.1%20Empresas_Tama%C3%B1o%22.%22Cod_Regi%C3%B3n%22%3D8</t>
  </si>
  <si>
    <t>Renta neta informada de trabajadoras en la Región de La Araucanía, Periodo 2005-2019</t>
  </si>
  <si>
    <t>https://analytics.zoho.com/open-view/2395394000008038636?ZOHO_CRITERIA=%225.1%20Empresas_Tama%C3%B1o%22.%22Cod_Regi%C3%B3n%22%3D9</t>
  </si>
  <si>
    <t>Renta neta informada de trabajadoras en la Región de Los Lagos, Periodo 2005-2019</t>
  </si>
  <si>
    <t>https://analytics.zoho.com/open-view/2395394000008038636?ZOHO_CRITERIA=%225.1%20Empresas_Tama%C3%B1o%22.%22Cod_Regi%C3%B3n%22%3D10</t>
  </si>
  <si>
    <t>Renta neta informada de trabajadoras en la Región de Aysén, Periodo 2005-2019</t>
  </si>
  <si>
    <t>https://analytics.zoho.com/open-view/2395394000008038636?ZOHO_CRITERIA=%225.1%20Empresas_Tama%C3%B1o%22.%22Cod_Regi%C3%B3n%22%3D11</t>
  </si>
  <si>
    <t>Renta neta informada de trabajadoras en la Región de Magallanes, Periodo 2005-2019</t>
  </si>
  <si>
    <t>https://analytics.zoho.com/open-view/2395394000008038636?ZOHO_CRITERIA=%225.1%20Empresas_Tama%C3%B1o%22.%22Cod_Regi%C3%B3n%22%3D12</t>
  </si>
  <si>
    <t>Renta neta informada de trabajadoras en la Región Metropolitana, Periodo 2005-2019</t>
  </si>
  <si>
    <t>https://analytics.zoho.com/open-view/2395394000008038636?ZOHO_CRITERIA=%225.1%20Empresas_Tama%C3%B1o%22.%22Cod_Regi%C3%B3n%22%3D13</t>
  </si>
  <si>
    <t>Renta neta informada de trabajadoras en la Región de Los Ríos, Periodo 2005-2019</t>
  </si>
  <si>
    <t>https://analytics.zoho.com/open-view/2395394000008038636?ZOHO_CRITERIA=%225.1%20Empresas_Tama%C3%B1o%22.%22Cod_Regi%C3%B3n%22%3D14</t>
  </si>
  <si>
    <t>Renta neta informada de trabajadoras en la Región de Arica y Parinacota, Periodo 2005-2019</t>
  </si>
  <si>
    <t>https://analytics.zoho.com/open-view/2395394000008038636?ZOHO_CRITERIA=%225.1%20Empresas_Tama%C3%B1o%22.%22Cod_Regi%C3%B3n%22%3D15</t>
  </si>
  <si>
    <t>Renta neta informada de trabajadoras en la Región de Ñuble, Periodo 2005-2019</t>
  </si>
  <si>
    <t>https://analytics.zoho.com/open-view/2395394000008038636?ZOHO_CRITERIA=%225.1%20Empresas_Tama%C3%B1o%22.%22Cod_Regi%C3%B3n%22%3D16</t>
  </si>
  <si>
    <t>Número de Empresas por Tamaño según ventas en Chile, Periodo 2005-2019</t>
  </si>
  <si>
    <t>Número de Empresas por Tamaño según ventas en la Región de Tarapacá, Periodo 2005-2019</t>
  </si>
  <si>
    <t>https://analytics.zoho.com/open-view/2395394000008039000?ZOHO_CRITERIA=%225.1%20Empresas_Tama%C3%B1o%22.%22Cod_Regi%C3%B3n%22%3D1</t>
  </si>
  <si>
    <t>Número de Empresas por Tamaño según ventas en la Región de Antofagasta, Periodo 2005-2019</t>
  </si>
  <si>
    <t>https://analytics.zoho.com/open-view/2395394000008039000?ZOHO_CRITERIA=%225.1%20Empresas_Tama%C3%B1o%22.%22Cod_Regi%C3%B3n%22%3D2</t>
  </si>
  <si>
    <t>Número de Empresas por Tamaño según ventas en la Región de Atacama, Periodo 2005-2019</t>
  </si>
  <si>
    <t>https://analytics.zoho.com/open-view/2395394000008039000?ZOHO_CRITERIA=%225.1%20Empresas_Tama%C3%B1o%22.%22Cod_Regi%C3%B3n%22%3D3</t>
  </si>
  <si>
    <t>Número de Empresas por Tamaño según ventas en la Región de Coquimbo, Periodo 2005-2019</t>
  </si>
  <si>
    <t>https://analytics.zoho.com/open-view/2395394000008039000?ZOHO_CRITERIA=%225.1%20Empresas_Tama%C3%B1o%22.%22Cod_Regi%C3%B3n%22%3D4</t>
  </si>
  <si>
    <t>Número de Empresas por Tamaño según ventas en la Región de Valparaíso, Periodo 2005-2019</t>
  </si>
  <si>
    <t>https://analytics.zoho.com/open-view/2395394000008039000?ZOHO_CRITERIA=%225.1%20Empresas_Tama%C3%B1o%22.%22Cod_Regi%C3%B3n%22%3D5</t>
  </si>
  <si>
    <t>Número de Empresas por Tamaño según ventas en la Región de O'Higgins, Periodo 2005-2019</t>
  </si>
  <si>
    <t>https://analytics.zoho.com/open-view/2395394000008039000?ZOHO_CRITERIA=%225.1%20Empresas_Tama%C3%B1o%22.%22Cod_Regi%C3%B3n%22%3D6</t>
  </si>
  <si>
    <t>Número de Empresas por Tamaño según ventas en la Región de Maule, Periodo 2005-2019</t>
  </si>
  <si>
    <t>https://analytics.zoho.com/open-view/2395394000008039000?ZOHO_CRITERIA=%225.1%20Empresas_Tama%C3%B1o%22.%22Cod_Regi%C3%B3n%22%3D7</t>
  </si>
  <si>
    <t>Número de Empresas por Tamaño según ventas en la Región del Biobío, Periodo 2005-2019</t>
  </si>
  <si>
    <t>https://analytics.zoho.com/open-view/2395394000008039000?ZOHO_CRITERIA=%225.1%20Empresas_Tama%C3%B1o%22.%22Cod_Regi%C3%B3n%22%3D8</t>
  </si>
  <si>
    <t>Número de Empresas por Tamaño según ventas en la Región de La Araucanía, Periodo 2005-2019</t>
  </si>
  <si>
    <t>https://analytics.zoho.com/open-view/2395394000008039000?ZOHO_CRITERIA=%225.1%20Empresas_Tama%C3%B1o%22.%22Cod_Regi%C3%B3n%22%3D9</t>
  </si>
  <si>
    <t>Número de Empresas por Tamaño según ventas en la Región de Los Lagos, Periodo 2005-2019</t>
  </si>
  <si>
    <t>https://analytics.zoho.com/open-view/2395394000008039000?ZOHO_CRITERIA=%225.1%20Empresas_Tama%C3%B1o%22.%22Cod_Regi%C3%B3n%22%3D10</t>
  </si>
  <si>
    <t>Número de Empresas por Tamaño según ventas en la Región de Aysén, Periodo 2005-2019</t>
  </si>
  <si>
    <t>https://analytics.zoho.com/open-view/2395394000008039000?ZOHO_CRITERIA=%225.1%20Empresas_Tama%C3%B1o%22.%22Cod_Regi%C3%B3n%22%3D11</t>
  </si>
  <si>
    <t>Número de Empresas por Tamaño según ventas en la Región de Magallanes, Periodo 2005-2019</t>
  </si>
  <si>
    <t>https://analytics.zoho.com/open-view/2395394000008039000?ZOHO_CRITERIA=%225.1%20Empresas_Tama%C3%B1o%22.%22Cod_Regi%C3%B3n%22%3D12</t>
  </si>
  <si>
    <t>Número de Empresas por Tamaño según ventas en la Región Metropolitana, Periodo 2005-2019</t>
  </si>
  <si>
    <t>https://analytics.zoho.com/open-view/2395394000008039000?ZOHO_CRITERIA=%225.1%20Empresas_Tama%C3%B1o%22.%22Cod_Regi%C3%B3n%22%3D13</t>
  </si>
  <si>
    <t>Número de Empresas por Tamaño según ventas en la Región de Los Ríos, Periodo 2005-2019</t>
  </si>
  <si>
    <t>https://analytics.zoho.com/open-view/2395394000008039000?ZOHO_CRITERIA=%225.1%20Empresas_Tama%C3%B1o%22.%22Cod_Regi%C3%B3n%22%3D14</t>
  </si>
  <si>
    <t>Número de Empresas por Tamaño según ventas en la Región de Arica y Parinacota, Periodo 2005-2019</t>
  </si>
  <si>
    <t>https://analytics.zoho.com/open-view/2395394000008039000?ZOHO_CRITERIA=%225.1%20Empresas_Tama%C3%B1o%22.%22Cod_Regi%C3%B3n%22%3D15</t>
  </si>
  <si>
    <t>Número de Empresas por Tamaño según ventas en la Región de Ñuble, Periodo 2005-2019</t>
  </si>
  <si>
    <t>https://analytics.zoho.com/open-view/2395394000008039000?ZOHO_CRITERIA=%225.1%20Empresas_Tama%C3%B1o%22.%22Cod_Regi%C3%B3n%22%3D16</t>
  </si>
  <si>
    <t>Población en Control del Programa de Salud Cardiovascular en Chile, Año 2018</t>
  </si>
  <si>
    <t>Mapa de Absorciones (kt) de CO2 por Región, Chile, Periodo 1990-2018</t>
  </si>
  <si>
    <t>Promedio de Emisiones Netas (kt) de CO2 equivalente, Chile, Periodo 1990-2018</t>
  </si>
  <si>
    <t>Emisiones (kt) de CO2 equivalente por Gas en Chile, durante el Periodo 1990-2018</t>
  </si>
  <si>
    <t>Emisiones y Absorciones (kt) de CO2 equivalente por Subsector en Chile, para el Año 2018</t>
  </si>
  <si>
    <t>Número de trabajadores dependientes por sexo, en el rubro B-Explotación minera y canteras, según año comercial y a nivel regional en Chile, Periodo 2005-2019</t>
  </si>
  <si>
    <t>Número de trabajadores dependientes por sexo, en el rubro B-Explotación minera y canteras, según año comercial en la Región de Tarapacá, Periodo 2005-2019</t>
  </si>
  <si>
    <t>https://analytics.zoho.com/open-view/2395394000008438205?ZOHO_CRITERIA=%22Rubros_Todo%22.%22Id_Regi%C3%B3n%22%3D1</t>
  </si>
  <si>
    <t>Número de trabajadores dependientes por sexo, en el rubro B-Explotación minera y canteras, según año comercial en la Región de Antofagasta, Periodo 2005-2019</t>
  </si>
  <si>
    <t>https://analytics.zoho.com/open-view/2395394000008438205?ZOHO_CRITERIA=%22Rubros_Todo%22.%22Id_Regi%C3%B3n%22%3D2</t>
  </si>
  <si>
    <t>Número de trabajadores dependientes por sexo, en el rubro B-Explotación minera y canteras, según año comercial en la Región de Atacama, Periodo 2005-2019</t>
  </si>
  <si>
    <t>https://analytics.zoho.com/open-view/2395394000008438205?ZOHO_CRITERIA=%22Rubros_Todo%22.%22Id_Regi%C3%B3n%22%3D3</t>
  </si>
  <si>
    <t>Número de trabajadores dependientes por sexo, en el rubro B-Explotación minera y canteras, según año comercial en la Región de Coquimbo, Periodo 2005-2019</t>
  </si>
  <si>
    <t>https://analytics.zoho.com/open-view/2395394000008438205?ZOHO_CRITERIA=%22Rubros_Todo%22.%22Id_Regi%C3%B3n%22%3D4</t>
  </si>
  <si>
    <t>Número de trabajadores dependientes por sexo, en el rubro B-Explotación minera y canteras, según año comercial en la Región de Valparaíso, Periodo 2005-2019</t>
  </si>
  <si>
    <t>https://analytics.zoho.com/open-view/2395394000008438205?ZOHO_CRITERIA=%22Rubros_Todo%22.%22Id_Regi%C3%B3n%22%3D5</t>
  </si>
  <si>
    <t>Número de trabajadores dependientes por sexo, en el rubro B-Explotación minera y canteras, según año comercial en la Región de O'Higgins, Periodo 2005-2019</t>
  </si>
  <si>
    <t>https://analytics.zoho.com/open-view/2395394000008438205?ZOHO_CRITERIA=%22Rubros_Todo%22.%22Id_Regi%C3%B3n%22%3D6</t>
  </si>
  <si>
    <t>Número de trabajadores dependientes por sexo, en el rubro B-Explotación minera y canteras, según año comercial en la Región de Maule, Periodo 2005-2019</t>
  </si>
  <si>
    <t>https://analytics.zoho.com/open-view/2395394000008438205?ZOHO_CRITERIA=%22Rubros_Todo%22.%22Id_Regi%C3%B3n%22%3D7</t>
  </si>
  <si>
    <t>Número de trabajadores dependientes por sexo, en el rubro B-Explotación minera y canteras, según año comercial en la Región del Biobío, Periodo 2005-2019</t>
  </si>
  <si>
    <t>https://analytics.zoho.com/open-view/2395394000008438205?ZOHO_CRITERIA=%22Rubros_Todo%22.%22Id_Regi%C3%B3n%22%3D8</t>
  </si>
  <si>
    <t>Número de trabajadores dependientes por sexo, en el rubro B-Explotación minera y canteras, según año comercial en la Región de La Araucanía, Periodo 2005-2019</t>
  </si>
  <si>
    <t>https://analytics.zoho.com/open-view/2395394000008438205?ZOHO_CRITERIA=%22Rubros_Todo%22.%22Id_Regi%C3%B3n%22%3D9</t>
  </si>
  <si>
    <t>Número de trabajadores dependientes por sexo, en el rubro B-Explotación minera y canteras, según año comercial en la Región de Los Lagos, Periodo 2005-2019</t>
  </si>
  <si>
    <t>https://analytics.zoho.com/open-view/2395394000008438205?ZOHO_CRITERIA=%22Rubros_Todo%22.%22Id_Regi%C3%B3n%22%3D10</t>
  </si>
  <si>
    <t>Número de trabajadores dependientes por sexo, en el rubro B-Explotación minera y canteras, según año comercial en la Región de Aysén, Periodo 2005-2019</t>
  </si>
  <si>
    <t>https://analytics.zoho.com/open-view/2395394000008438205?ZOHO_CRITERIA=%22Rubros_Todo%22.%22Id_Regi%C3%B3n%22%3D11</t>
  </si>
  <si>
    <t>Número de trabajadores dependientes por sexo, en el rubro B-Explotación minera y canteras, según año comercial en la Región de Magallanes, Periodo 2005-2019</t>
  </si>
  <si>
    <t>https://analytics.zoho.com/open-view/2395394000008438205?ZOHO_CRITERIA=%22Rubros_Todo%22.%22Id_Regi%C3%B3n%22%3D12</t>
  </si>
  <si>
    <t>Número de trabajadores dependientes por sexo, en el rubro B-Explotación minera y canteras, según año comercial en la Región Metropolitana, Periodo 2005-2019</t>
  </si>
  <si>
    <t>https://analytics.zoho.com/open-view/2395394000008438205?ZOHO_CRITERIA=%22Rubros_Todo%22.%22Id_Regi%C3%B3n%22%3D13</t>
  </si>
  <si>
    <t>Número de trabajadores dependientes por sexo, en el rubro B-Explotación minera y canteras, según año comercial en la Región de Los Ríos, Periodo 2005-2019</t>
  </si>
  <si>
    <t>https://analytics.zoho.com/open-view/2395394000008438205?ZOHO_CRITERIA=%22Rubros_Todo%22.%22Id_Regi%C3%B3n%22%3D14</t>
  </si>
  <si>
    <t>Número de trabajadores dependientes por sexo, en el rubro B-Explotación minera y canteras, según año comercial en la Región de Arica y Parinacota, Periodo 2005-2019</t>
  </si>
  <si>
    <t>https://analytics.zoho.com/open-view/2395394000008438205?ZOHO_CRITERIA=%22Rubros_Todo%22.%22Id_Regi%C3%B3n%22%3D15</t>
  </si>
  <si>
    <t>Número de trabajadores dependientes por sexo, en el rubro B-Explotación minera y canteras, según año comercial en la Región de Ñuble, Periodo 2005-2019</t>
  </si>
  <si>
    <t>https://analytics.zoho.com/open-view/2395394000008438205?ZOHO_CRITERIA=%22Rubros_Todo%22.%22Id_Regi%C3%B3n%22%3D16</t>
  </si>
  <si>
    <t>Evolución de las Ventas Anuales en UF para el rubro L-Actividades Inmobiliarias en Chile, Periodo 2005-2019</t>
  </si>
  <si>
    <t>Evolución Casos de Cáncer de Cuello Uterino por Comuna en Chile, Periodo 2011-2018</t>
  </si>
  <si>
    <t>Evolución Casos de Cáncer de Cuello Uterino por Comuna en la Región de Tarapacá, Periodo 2011-2018</t>
  </si>
  <si>
    <t>https://analytics.zoho.com/open-view/2395394000008389657?ZOHO_CRITERIA=%22Localiza%20CL%22.%22Codreg%22%20%3D%201</t>
  </si>
  <si>
    <t>Evolución Casos de Cáncer de Cuello Uterino por Comuna en la Región de Antofagasta, Periodo 2011-2018</t>
  </si>
  <si>
    <t>https://analytics.zoho.com/open-view/2395394000008389657?ZOHO_CRITERIA=%22Localiza%20CL%22.%22Codreg%22%20%3D%202</t>
  </si>
  <si>
    <t>Evolución Casos de Cáncer de Cuello Uterino por Comuna en la Región de Atacama, Periodo 2011-2018</t>
  </si>
  <si>
    <t>https://analytics.zoho.com/open-view/2395394000008389657?ZOHO_CRITERIA=%22Localiza%20CL%22.%22Codreg%22%20%3D%203</t>
  </si>
  <si>
    <t>Evolución Casos de Cáncer de Cuello Uterino por Comuna en la Región de Coquimbo, Periodo 2011-2018</t>
  </si>
  <si>
    <t>https://analytics.zoho.com/open-view/2395394000008389657?ZOHO_CRITERIA=%22Localiza%20CL%22.%22Codreg%22%20%3D%204</t>
  </si>
  <si>
    <t>Evolución Casos de Cáncer de Cuello Uterino por Comuna en la Región de Valparaíso, Periodo 2011-2018</t>
  </si>
  <si>
    <t>https://analytics.zoho.com/open-view/2395394000008389657?ZOHO_CRITERIA=%22Localiza%20CL%22.%22Codreg%22%20%3D%205</t>
  </si>
  <si>
    <t>Evolución Casos de Cáncer de Cuello Uterino por Comuna en la Región de O'Higgins, Periodo 2011-2018</t>
  </si>
  <si>
    <t>https://analytics.zoho.com/open-view/2395394000008389657?ZOHO_CRITERIA=%22Localiza%20CL%22.%22Codreg%22%20%3D%206</t>
  </si>
  <si>
    <t>Evolución Casos de Cáncer de Cuello Uterino por Comuna en la Región de Maule, Periodo 2011-2018</t>
  </si>
  <si>
    <t>https://analytics.zoho.com/open-view/2395394000008389657?ZOHO_CRITERIA=%22Localiza%20CL%22.%22Codreg%22%20%3D%207</t>
  </si>
  <si>
    <t>Evolución Casos de Cáncer de Cuello Uterino por Comuna en la Región del Biobío, Periodo 2011-2018</t>
  </si>
  <si>
    <t>https://analytics.zoho.com/open-view/2395394000008389657?ZOHO_CRITERIA=%22Localiza%20CL%22.%22Codreg%22%20%3D%208</t>
  </si>
  <si>
    <t>Evolución Casos de Cáncer de Cuello Uterino por Comuna en la Región de La Araucanía, Periodo 2011-2018</t>
  </si>
  <si>
    <t>https://analytics.zoho.com/open-view/2395394000008389657?ZOHO_CRITERIA=%22Localiza%20CL%22.%22Codreg%22%20%3D%209</t>
  </si>
  <si>
    <t>Evolución Casos de Cáncer de Cuello Uterino por Comuna en la Región de Los Lagos, Periodo 2011-2018</t>
  </si>
  <si>
    <t>https://analytics.zoho.com/open-view/2395394000008389657?ZOHO_CRITERIA=%22Localiza%20CL%22.%22Codreg%22%20%3D%2010</t>
  </si>
  <si>
    <t>Evolución Casos de Cáncer de Cuello Uterino por Comuna en la Región de Aysén, Periodo 2011-2018</t>
  </si>
  <si>
    <t>https://analytics.zoho.com/open-view/2395394000008389657?ZOHO_CRITERIA=%22Localiza%20CL%22.%22Codreg%22%20%3D%2011</t>
  </si>
  <si>
    <t>Evolución Casos de Cáncer de Cuello Uterino por Comuna en la Región de Magallanes, Periodo 2011-2018</t>
  </si>
  <si>
    <t>https://analytics.zoho.com/open-view/2395394000008389657?ZOHO_CRITERIA=%22Localiza%20CL%22.%22Codreg%22%20%3D%2012</t>
  </si>
  <si>
    <t>Evolución Casos de Cáncer de Cuello Uterino por Comuna en la Región Metropolitana, Periodo 2011-2018</t>
  </si>
  <si>
    <t>https://analytics.zoho.com/open-view/2395394000008389657?ZOHO_CRITERIA=%22Localiza%20CL%22.%22Codreg%22%20%3D%2013</t>
  </si>
  <si>
    <t>Evolución Casos de Cáncer de Cuello Uterino por Comuna en la Región de Los Ríos, Periodo 2011-2018</t>
  </si>
  <si>
    <t>https://analytics.zoho.com/open-view/2395394000008389657?ZOHO_CRITERIA=%22Localiza%20CL%22.%22Codreg%22%20%3D%2014</t>
  </si>
  <si>
    <t>Evolución Casos de Cáncer de Cuello Uterino por Comuna en la Región de Arica y Parinacota, Periodo 2011-2018</t>
  </si>
  <si>
    <t>https://analytics.zoho.com/open-view/2395394000008389657?ZOHO_CRITERIA=%22Localiza%20CL%22.%22Codreg%22%20%3D%2015</t>
  </si>
  <si>
    <t>Evolución Casos de Cáncer de Cuello Uterino por Comuna en la Región de Ñuble, Periodo 2011-2018</t>
  </si>
  <si>
    <t>https://analytics.zoho.com/open-view/2395394000008389657?ZOHO_CRITERIA=%22Localiza%20CL%22.%22Codreg%22%20%3D%2016</t>
  </si>
  <si>
    <t>Emisiones Netas (kt) de CO2 equivalente por Región en Chile, Año 2018</t>
  </si>
  <si>
    <t>Superficie de Incendios Forestales por Comuna en Chile, Periodo 2010-2020</t>
  </si>
  <si>
    <t>Superficie de Incendios Forestales por Comuna en la Región de Tarapacá, Periodo 2010-2020</t>
  </si>
  <si>
    <t>Superficie de Incendios Forestales por Comuna en la Región de Antofagasta, Periodo 2010-2020</t>
  </si>
  <si>
    <t>Superficie de Incendios Forestales por Comuna en la Región de Atacama, Periodo 2010-2020</t>
  </si>
  <si>
    <t>Superficie de Incendios Forestales por Comuna en la Región de Coquimbo, Periodo 2010-2020</t>
  </si>
  <si>
    <t>Superficie de Incendios Forestales por Comuna en la Región de Valparaíso, Periodo 2010-2020</t>
  </si>
  <si>
    <t>Superficie de Incendios Forestales por Comuna en la Región de O'Higgins, Periodo 2010-2020</t>
  </si>
  <si>
    <t>Superficie de Incendios Forestales por Comuna en la Región de Maule, Periodo 2010-2020</t>
  </si>
  <si>
    <t>Superficie de Incendios Forestales por Comuna en la Región del Biobío, Periodo 2010-2020</t>
  </si>
  <si>
    <t>Superficie de Incendios Forestales por Comuna en la Región de La Araucanía, Periodo 2010-2020</t>
  </si>
  <si>
    <t>Superficie de Incendios Forestales por Comuna en la Región de Los Lagos, Periodo 2010-2020</t>
  </si>
  <si>
    <t>Superficie de Incendios Forestales por Comuna en la Región de Aysén, Periodo 2010-2020</t>
  </si>
  <si>
    <t>Superficie de Incendios Forestales por Comuna en la Región de Magallanes, Periodo 2010-2020</t>
  </si>
  <si>
    <t>Superficie de Incendios Forestales por Comuna en la Región Metropolitana, Periodo 2010-2020</t>
  </si>
  <si>
    <t>Superficie de Incendios Forestales por Comuna en la Región de Los Ríos, Periodo 2010-2020</t>
  </si>
  <si>
    <t>Superficie de Incendios Forestales por Comuna en la Región de Arica y Parinacota, Periodo 2010-2020</t>
  </si>
  <si>
    <t>Superficie de Incendios Forestales por Comuna en la Región de Ñuble, Periodo 2010-2020</t>
  </si>
  <si>
    <t>Incendios y superficie afectada de plantaciones Forestales según causas específicas en Chile, Periodo 2010-2020</t>
  </si>
  <si>
    <t>Incendios y superficie afectada de plantaciones Forestales según causas específicas en la Región de Atacama, Periodo 2010-2020</t>
  </si>
  <si>
    <t>Incendios y superficie afectada de plantaciones Forestales según causas específicas en la Región de Coquimbo, Periodo 2010-2020</t>
  </si>
  <si>
    <t>Incendios y superficie afectada de plantaciones Forestales según causas específicas en la Región de Valparaíso, Periodo 2010-2020</t>
  </si>
  <si>
    <t>Incendios y superficie afectada de plantaciones Forestales según causas específicas en la Región de O'Higgins, Periodo 2010-2020</t>
  </si>
  <si>
    <t>Incendios y superficie afectada de plantaciones Forestales según causas específicas en la Región de Maule, Periodo 2010-2020</t>
  </si>
  <si>
    <t>Incendios y superficie afectada de plantaciones Forestales según causas específicas en la Región del Biobío, Periodo 2010-2020</t>
  </si>
  <si>
    <t>Incendios y superficie afectada de plantaciones Forestales según causas específicas en la Región de La Araucanía, Periodo 2010-2020</t>
  </si>
  <si>
    <t>Incendios y superficie afectada de plantaciones Forestales según causas específicas en la Región de Los Lagos, Periodo 2010-2020</t>
  </si>
  <si>
    <t>Incendios y superficie afectada de plantaciones Forestales según causas específicas en la Región de Aysén, Periodo 2010-2020</t>
  </si>
  <si>
    <t>Incendios y superficie afectada de plantaciones Forestales según causas específicas en la Región de Magallanes, Periodo 2010-2020</t>
  </si>
  <si>
    <t>Incendios y superficie afectada de plantaciones Forestales según causas específicas en la Región Metropolitana, Periodo 2010-2020</t>
  </si>
  <si>
    <t>Incendios y superficie afectada de plantaciones Forestales según causas específicas en la Región de Los Ríos, Periodo 2010-2020</t>
  </si>
  <si>
    <t>Incendios y superficie afectada de plantaciones Forestales según causas específicas en la Región de Ñuble, Periodo 2010-2020</t>
  </si>
  <si>
    <t>Incendios y superficie afectada según causas generales y específicas en Chile, Periodo 2010-2020</t>
  </si>
  <si>
    <t>Incendios y superficie afectada según causas generales y específicas en la Región de Tarapacá, Periodo 2010-2020</t>
  </si>
  <si>
    <t>Incendios y superficie afectada según causas generales y específicas en la Región de Antofagasta, Periodo 2010-2020</t>
  </si>
  <si>
    <t>Incendios y superficie afectada según causas generales y específicas en la Región de Atacama, Periodo 2010-2020</t>
  </si>
  <si>
    <t>Incendios y superficie afectada según causas generales y específicas en la Región de Coquimbo, Periodo 2010-2020</t>
  </si>
  <si>
    <t>Incendios y superficie afectada según causas generales y específicas en la Región de Valparaíso, Periodo 2010-2020</t>
  </si>
  <si>
    <t>Incendios y superficie afectada según causas generales y específicas en la Región de O'Higgins, Periodo 2010-2020</t>
  </si>
  <si>
    <t>Incendios y superficie afectada según causas generales y específicas en la Región de Maule, Periodo 2010-2020</t>
  </si>
  <si>
    <t>Incendios y superficie afectada según causas generales y específicas en la Región del Biobío, Periodo 2010-2020</t>
  </si>
  <si>
    <t>Incendios y superficie afectada según causas generales y específicas en la Región de La Araucanía, Periodo 2010-2020</t>
  </si>
  <si>
    <t>Incendios y superficie afectada según causas generales y específicas en la Región de Los Lagos, Periodo 2010-2020</t>
  </si>
  <si>
    <t>Incendios y superficie afectada según causas generales y específicas en la Región de Aysén, Periodo 2010-2020</t>
  </si>
  <si>
    <t>Incendios y superficie afectada según causas generales y específicas en la Región de Magallanes, Periodo 2010-2020</t>
  </si>
  <si>
    <t>Incendios y superficie afectada según causas generales y específicas en la Región Metropolitana, Periodo 2010-2020</t>
  </si>
  <si>
    <t>Incendios y superficie afectada según causas generales y específicas en la Región de Los Ríos, Periodo 2010-2020</t>
  </si>
  <si>
    <t>Incendios y superficie afectada según causas generales y específicas en la Región de Arica y Parinacota, Periodo 2010-2020</t>
  </si>
  <si>
    <t>Incendios y superficie afectada según causas generales y específicas en la Región de Ñuble, Periodo 2010-2020</t>
  </si>
  <si>
    <t>Candidatos electos, Lista-Partido y Votación Obtenida a los cargos de Elección Popular, para 6 comunas por Región en Chile, Periodo 1990-2020</t>
  </si>
  <si>
    <t>Candidatos electos, Lista-Partido y Votación Obtenida a los cargos de Elección Popular, para 6 comunas en la Región de Tarapacá, Periodo 1990-2020</t>
  </si>
  <si>
    <t>Candidatos electos, Lista-Partido y Votación Obtenida a los cargos de Elección Popular, para 6 comunas en la Región de Antofagasta, Periodo 1990-2020</t>
  </si>
  <si>
    <t>Candidatos electos, Lista-Partido y Votación Obtenida a los cargos de Elección Popular, para 6 comunas en la Región de Atacama, Periodo 1990-2020</t>
  </si>
  <si>
    <t>Candidatos electos, Lista-Partido y Votación Obtenida a los cargos de Elección Popular, para 6 comunas en la Región de Coquimbo, Periodo 1990-2020</t>
  </si>
  <si>
    <t>Candidatos electos, Lista-Partido y Votación Obtenida a los cargos de Elección Popular, para 6 comunas en la Región de Valparaíso, Periodo 1990-2020</t>
  </si>
  <si>
    <t>Candidatos electos, Lista-Partido y Votación Obtenida a los cargos de Elección Popular, para 6 comunas en la Región de O'Higgins, Periodo 1990-2020</t>
  </si>
  <si>
    <t>Candidatos electos, Lista-Partido y Votación Obtenida a los cargos de Elección Popular, para 6 comunas en la Región de Maule, Periodo 1990-2020</t>
  </si>
  <si>
    <t>Candidatos electos, Lista-Partido y Votación Obtenida a los cargos de Elección Popular, para 6 comunas en la Región del Biobío, Periodo 1990-2020</t>
  </si>
  <si>
    <t>Candidatos electos, Lista-Partido y Votación Obtenida a los cargos de Elección Popular, para 6 comunas en la Región de La Araucanía, Periodo 1990-2020</t>
  </si>
  <si>
    <t>Candidatos electos, Lista-Partido y Votación Obtenida a los cargos de Elección Popular, para 6 comunas en la Región de Los Lagos, Periodo 1990-2020</t>
  </si>
  <si>
    <t>Candidatos electos, Lista-Partido y Votación Obtenida a los cargos de Elección Popular, para 6 comunas en la Región de Aysén, Periodo 1990-2020</t>
  </si>
  <si>
    <t>Candidatos electos, Lista-Partido y Votación Obtenida a los cargos de Elección Popular, para 6 comunas en la Región de Magallanes, Periodo 1990-2020</t>
  </si>
  <si>
    <t>Candidatos electos, Lista-Partido y Votación Obtenida a los cargos de Elección Popular, para 6 comunas en la Región Metropolitana, Periodo 1990-2020</t>
  </si>
  <si>
    <t>Candidatos electos, Lista-Partido y Votación Obtenida a los cargos de Elección Popular, para 6 comunas en la Región de Los Ríos, Periodo 1990-2020</t>
  </si>
  <si>
    <t>Candidatos electos, Lista-Partido y Votación Obtenida a los cargos de Elección Popular, para 4 comunas en la Región de Arica y Parinacota, Periodo 1990-2020</t>
  </si>
  <si>
    <t>Candidatos electos, Lista-Partido y Votación Obtenida a los cargos de Elección Popular, para 6 comunas en la Región de Ñuble, Periodo 1990-2020</t>
  </si>
  <si>
    <t>Cupos para cargos de Elección Popular, a nivel regional y comunal en Chile</t>
  </si>
  <si>
    <t>Cupos para cargos de Elección Popular, a nivel regional y comunal en la Región de Tarapacá</t>
  </si>
  <si>
    <t>Cupos para cargos de Elección Popular, a nivel regional y comunal en la Región de Antofagasta</t>
  </si>
  <si>
    <t>Cupos para cargos de Elección Popular, a nivel regional y comunal en la Región de Atacama</t>
  </si>
  <si>
    <t>Cupos para cargos de Elección Popular, a nivel regional y comunal en la Región de Coquimbo</t>
  </si>
  <si>
    <t>Cupos para cargos de Elección Popular, a nivel regional y comunal en la Región de Valparaíso</t>
  </si>
  <si>
    <t>Cupos para cargos de Elección Popular, a nivel regional y comunal en la Región de O'Higgins</t>
  </si>
  <si>
    <t>Cupos para cargos de Elección Popular, a nivel regional y comunal en la Región de Maule</t>
  </si>
  <si>
    <t>Cupos para cargos de Elección Popular, a nivel regional y comunal en la Región del Biobío</t>
  </si>
  <si>
    <t>Cupos para cargos de Elección Popular, a nivel regional y comunal en la Región de La Araucanía</t>
  </si>
  <si>
    <t>Cupos para cargos de Elección Popular, a nivel regional y comunal en la Región de Los Lagos</t>
  </si>
  <si>
    <t>Cupos para cargos de Elección Popular, a nivel regional y comunal en la Región de Aysén</t>
  </si>
  <si>
    <t>Cupos para cargos de Elección Popular, a nivel regional y comunal en la Región de Magallanes</t>
  </si>
  <si>
    <t>Cupos para cargos de Elección Popular, a nivel regional y comunal en la Región Metropolitana</t>
  </si>
  <si>
    <t>Cupos para cargos de Elección Popular, a nivel regional y comunal en la Región de Los Ríos</t>
  </si>
  <si>
    <t>Cupos para cargos de Elección Popular, a nivel regional y comunal en la Región de Arica y Parinacota</t>
  </si>
  <si>
    <t>Cupos para cargos de Elección Popular, a nivel regional y comunal en la Región de Ñuble</t>
  </si>
  <si>
    <t>Número de empresas vigentes según año de inicio de actividades y tipo de contribuyente en Chile, Periodo 1993-2019</t>
  </si>
  <si>
    <t>Número de empresas vigentes según año de inicio de actividades y tipo de contribuyente en la Región de Tarapacá, Periodo 1993-2019</t>
  </si>
  <si>
    <t>https://analytics.zoho.com/open-view/2395394000008062255?ZOHO_CRITERIA=%22Directorio_Todo%22.%22Cod_Regi%C3%B3n%22%3D1</t>
  </si>
  <si>
    <t>Número de empresas vigentes según año de inicio de actividades y tipo de contribuyente en la Región de Antofagasta, Periodo 1993-2019</t>
  </si>
  <si>
    <t>https://analytics.zoho.com/open-view/2395394000008062255?ZOHO_CRITERIA=%22Directorio_Todo%22.%22Cod_Regi%C3%B3n%22%3D2</t>
  </si>
  <si>
    <t>Número de empresas vigentes según año de inicio de actividades y tipo de contribuyente en la Región de Atacama, Periodo 1993-2019</t>
  </si>
  <si>
    <t>https://analytics.zoho.com/open-view/2395394000008062255?ZOHO_CRITERIA=%22Directorio_Todo%22.%22Cod_Regi%C3%B3n%22%3D3</t>
  </si>
  <si>
    <t>Número de empresas vigentes según año de inicio de actividades y tipo de contribuyente en la Región de Coquimbo, Periodo 1993-2019</t>
  </si>
  <si>
    <t>https://analytics.zoho.com/open-view/2395394000008062255?ZOHO_CRITERIA=%22Directorio_Todo%22.%22Cod_Regi%C3%B3n%22%3D4</t>
  </si>
  <si>
    <t>Número de empresas vigentes según año de inicio de actividades y tipo de contribuyente en la Región de Valparaíso, Periodo 1993-2019</t>
  </si>
  <si>
    <t>https://analytics.zoho.com/open-view/2395394000008062255?ZOHO_CRITERIA=%22Directorio_Todo%22.%22Cod_Regi%C3%B3n%22%3D5</t>
  </si>
  <si>
    <t>Número de empresas vigentes según año de inicio de actividades y tipo de contribuyente en la Región de O'Higgins, Periodo 1993-2019</t>
  </si>
  <si>
    <t>https://analytics.zoho.com/open-view/2395394000008062255?ZOHO_CRITERIA=%22Directorio_Todo%22.%22Cod_Regi%C3%B3n%22%3D6</t>
  </si>
  <si>
    <t>Número de empresas vigentes según año de inicio de actividades y tipo de contribuyente en la Región de Maule, Periodo 1993-2019</t>
  </si>
  <si>
    <t>https://analytics.zoho.com/open-view/2395394000008062255?ZOHO_CRITERIA=%22Directorio_Todo%22.%22Cod_Regi%C3%B3n%22%3D7</t>
  </si>
  <si>
    <t>Número de empresas vigentes según año de inicio de actividades y tipo de contribuyente en la Región del Biobío, Periodo 1993-2019</t>
  </si>
  <si>
    <t>https://analytics.zoho.com/open-view/2395394000008062255?ZOHO_CRITERIA=%22Directorio_Todo%22.%22Cod_Regi%C3%B3n%22%3D8</t>
  </si>
  <si>
    <t>Número de empresas vigentes según año de inicio de actividades y tipo de contribuyente en la Región de La Araucanía, Periodo 1993-2019</t>
  </si>
  <si>
    <t>https://analytics.zoho.com/open-view/2395394000008062255?ZOHO_CRITERIA=%22Directorio_Todo%22.%22Cod_Regi%C3%B3n%22%3D9</t>
  </si>
  <si>
    <t>Número de empresas vigentes según año de inicio de actividades y tipo de contribuyente en la Región de Los Lagos, Periodo 1993-2019</t>
  </si>
  <si>
    <t>https://analytics.zoho.com/open-view/2395394000008062255?ZOHO_CRITERIA=%22Directorio_Todo%22.%22Cod_Regi%C3%B3n%22%3D10</t>
  </si>
  <si>
    <t>Número de empresas vigentes según año de inicio de actividades y tipo de contribuyente en la Región de Aysén, Periodo 1993-2019</t>
  </si>
  <si>
    <t>https://analytics.zoho.com/open-view/2395394000008062255?ZOHO_CRITERIA=%22Directorio_Todo%22.%22Cod_Regi%C3%B3n%22%3D11</t>
  </si>
  <si>
    <t>Número de empresas vigentes según año de inicio de actividades y tipo de contribuyente en la Región de Magallanes, Periodo 1993-2019</t>
  </si>
  <si>
    <t>https://analytics.zoho.com/open-view/2395394000008062255?ZOHO_CRITERIA=%22Directorio_Todo%22.%22Cod_Regi%C3%B3n%22%3D12</t>
  </si>
  <si>
    <t>Número de empresas vigentes según año de inicio de actividades y tipo de contribuyente en la Región Metropolitana, Periodo 1993-2019</t>
  </si>
  <si>
    <t>https://analytics.zoho.com/open-view/2395394000008062255?ZOHO_CRITERIA=%22Directorio_Todo%22.%22Cod_Regi%C3%B3n%22%3D13</t>
  </si>
  <si>
    <t>Número de empresas vigentes según año de inicio de actividades y tipo de contribuyente en la Región de Los Ríos, Periodo 1993-2019</t>
  </si>
  <si>
    <t>https://analytics.zoho.com/open-view/2395394000008062255?ZOHO_CRITERIA=%22Directorio_Todo%22.%22Cod_Regi%C3%B3n%22%3D14</t>
  </si>
  <si>
    <t>Número de empresas vigentes según año de inicio de actividades y tipo de contribuyente en la Región de Arica y Parinacota, Periodo 1993-2019</t>
  </si>
  <si>
    <t>https://analytics.zoho.com/open-view/2395394000008062255?ZOHO_CRITERIA=%22Directorio_Todo%22.%22Cod_Regi%C3%B3n%22%3D15</t>
  </si>
  <si>
    <t>Número de empresas vigentes según año de inicio de actividades y tipo de contribuyente en la Región de Ñuble, Periodo 1993-2019</t>
  </si>
  <si>
    <t>https://analytics.zoho.com/open-view/2395394000008062255?ZOHO_CRITERIA=%22Directorio_Todo%22.%22Cod_Regi%C3%B3n%22%3D16</t>
  </si>
  <si>
    <t>Número de trabajadores de empresas vigentes, por año de inicio de actividades y tipo de contribuyentes en Chile, Periodo 1993-2019</t>
  </si>
  <si>
    <t>Número de trabajadores de empresas vigentes, por año de inicio de actividades y tipo de contribuyentes en la Región de Tarapacá, Periodo 1993-2019</t>
  </si>
  <si>
    <t>https://analytics.zoho.com/open-view/2395394000008062434?ZOHO_CRITERIA=%22Directorio_Todo%22.%22Cod_Regi%C3%B3n%22%3D1</t>
  </si>
  <si>
    <t>Número de trabajadores de empresas vigentes, por año de inicio de actividades y tipo de contribuyentes en la Región de Antofagasta, Periodo 1993-2019</t>
  </si>
  <si>
    <t>https://analytics.zoho.com/open-view/2395394000008062434?ZOHO_CRITERIA=%22Directorio_Todo%22.%22Cod_Regi%C3%B3n%22%3D2</t>
  </si>
  <si>
    <t>Número de trabajadores de empresas vigentes, por año de inicio de actividades y tipo de contribuyentes en la Región de Atacama, Periodo 1993-2019</t>
  </si>
  <si>
    <t>https://analytics.zoho.com/open-view/2395394000008062434?ZOHO_CRITERIA=%22Directorio_Todo%22.%22Cod_Regi%C3%B3n%22%3D3</t>
  </si>
  <si>
    <t>Número de trabajadores de empresas vigentes, por año de inicio de actividades y tipo de contribuyentes en la Región de Coquimbo, Periodo 1993-2019</t>
  </si>
  <si>
    <t>https://analytics.zoho.com/open-view/2395394000008062434?ZOHO_CRITERIA=%22Directorio_Todo%22.%22Cod_Regi%C3%B3n%22%3D4</t>
  </si>
  <si>
    <t>Número de trabajadores de empresas vigentes, por año de inicio de actividades y tipo de contribuyentes en la Región de Valparaíso, Periodo 1993-2019</t>
  </si>
  <si>
    <t>https://analytics.zoho.com/open-view/2395394000008062434?ZOHO_CRITERIA=%22Directorio_Todo%22.%22Cod_Regi%C3%B3n%22%3D5</t>
  </si>
  <si>
    <t>Número de trabajadores de empresas vigentes, por año de inicio de actividades y tipo de contribuyentes en la Región de O'Higgins, Periodo 1993-2019</t>
  </si>
  <si>
    <t>https://analytics.zoho.com/open-view/2395394000008062434?ZOHO_CRITERIA=%22Directorio_Todo%22.%22Cod_Regi%C3%B3n%22%3D6</t>
  </si>
  <si>
    <t>Número de trabajadores de empresas vigentes, por año de inicio de actividades y tipo de contribuyentes en la Región de Maule, Periodo 1993-2019</t>
  </si>
  <si>
    <t>https://analytics.zoho.com/open-view/2395394000008062434?ZOHO_CRITERIA=%22Directorio_Todo%22.%22Cod_Regi%C3%B3n%22%3D7</t>
  </si>
  <si>
    <t>Número de trabajadores de empresas vigentes, por año de inicio de actividades y tipo de contribuyentes en la Región del Biobío, Periodo 1993-2019</t>
  </si>
  <si>
    <t>https://analytics.zoho.com/open-view/2395394000008062434?ZOHO_CRITERIA=%22Directorio_Todo%22.%22Cod_Regi%C3%B3n%22%3D8</t>
  </si>
  <si>
    <t>Número de trabajadores de empresas vigentes, por año de inicio de actividades y tipo de contribuyentes en la Región de La Araucanía, Periodo 1993-2019</t>
  </si>
  <si>
    <t>https://analytics.zoho.com/open-view/2395394000008062434?ZOHO_CRITERIA=%22Directorio_Todo%22.%22Cod_Regi%C3%B3n%22%3D9</t>
  </si>
  <si>
    <t>Número de trabajadores de empresas vigentes, por año de inicio de actividades y tipo de contribuyentes en la Región de Los Lagos, Periodo 1993-2019</t>
  </si>
  <si>
    <t>https://analytics.zoho.com/open-view/2395394000008062434?ZOHO_CRITERIA=%22Directorio_Todo%22.%22Cod_Regi%C3%B3n%22%3D10</t>
  </si>
  <si>
    <t>Número de trabajadores de empresas vigentes, por año de inicio de actividades y tipo de contribuyentes en la Región de Aysén, Periodo 1993-2019</t>
  </si>
  <si>
    <t>https://analytics.zoho.com/open-view/2395394000008062434?ZOHO_CRITERIA=%22Directorio_Todo%22.%22Cod_Regi%C3%B3n%22%3D11</t>
  </si>
  <si>
    <t>Número de trabajadores de empresas vigentes, por año de inicio de actividades y tipo de contribuyentes en la Región de Magallanes, Periodo 1993-2019</t>
  </si>
  <si>
    <t>https://analytics.zoho.com/open-view/2395394000008062434?ZOHO_CRITERIA=%22Directorio_Todo%22.%22Cod_Regi%C3%B3n%22%3D12</t>
  </si>
  <si>
    <t>Número de trabajadores de empresas vigentes, por año de inicio de actividades y tipo de contribuyentes en la Región Metropolitana, Periodo 1993-2019</t>
  </si>
  <si>
    <t>https://analytics.zoho.com/open-view/2395394000008062434?ZOHO_CRITERIA=%22Directorio_Todo%22.%22Cod_Regi%C3%B3n%22%3D13</t>
  </si>
  <si>
    <t>Número de trabajadores de empresas vigentes, por año de inicio de actividades y tipo de contribuyentes en la Región de Los Ríos, Periodo 1993-2019</t>
  </si>
  <si>
    <t>https://analytics.zoho.com/open-view/2395394000008062434?ZOHO_CRITERIA=%22Directorio_Todo%22.%22Cod_Regi%C3%B3n%22%3D14</t>
  </si>
  <si>
    <t>Número de trabajadores de empresas vigentes, por año de inicio de actividades y tipo de contribuyentes en la Región de Arica y Parinacota, Periodo 1993-2019</t>
  </si>
  <si>
    <t>https://analytics.zoho.com/open-view/2395394000008062434?ZOHO_CRITERIA=%22Directorio_Todo%22.%22Cod_Regi%C3%B3n%22%3D15</t>
  </si>
  <si>
    <t>Número de trabajadores de empresas vigentes, por año de inicio de actividades y tipo de contribuyentes en la Región de Ñuble, Periodo 1993-2019</t>
  </si>
  <si>
    <t>https://analytics.zoho.com/open-view/2395394000008062434?ZOHO_CRITERIA=%22Directorio_Todo%22.%22Cod_Regi%C3%B3n%22%3D16</t>
  </si>
  <si>
    <t>Evolución de Población en el Programa de VIH/SIDA según Comuna en Chile, Periodo 2012-2018</t>
  </si>
  <si>
    <t>Evolución de Población en el Programa de VIH/SIDA según Comuna en la Región de Tarapacá, Periodo 2012-2018</t>
  </si>
  <si>
    <t>https://analytics.zoho.com/open-view/2395394000008389806?ZOHO_CRITERIA=%22Localiza%20CL%22.%22Codreg%22%20%3D%201</t>
  </si>
  <si>
    <t>Evolución de Población en el Programa de VIH/SIDA según Comuna en la Región de Antofagasta, Periodo 2012-2018</t>
  </si>
  <si>
    <t>https://analytics.zoho.com/open-view/2395394000008389806?ZOHO_CRITERIA=%22Localiza%20CL%22.%22Codreg%22%20%3D%202</t>
  </si>
  <si>
    <t>Evolución de Población en el Programa de VIH/SIDA según Comuna en la Región de Atacama, Periodo 2012-2018</t>
  </si>
  <si>
    <t>https://analytics.zoho.com/open-view/2395394000008389806?ZOHO_CRITERIA=%22Localiza%20CL%22.%22Codreg%22%20%3D%203</t>
  </si>
  <si>
    <t>Evolución de Población en el Programa de VIH/SIDA según Comuna en la Región de Coquimbo, Periodo 2012-2018</t>
  </si>
  <si>
    <t>https://analytics.zoho.com/open-view/2395394000008389806?ZOHO_CRITERIA=%22Localiza%20CL%22.%22Codreg%22%20%3D%204</t>
  </si>
  <si>
    <t>Evolución de Población en el Programa de VIH/SIDA según Comuna en la Región de Valparaíso, Periodo 2012-2018</t>
  </si>
  <si>
    <t>https://analytics.zoho.com/open-view/2395394000008389806?ZOHO_CRITERIA=%22Localiza%20CL%22.%22Codreg%22%20%3D%205</t>
  </si>
  <si>
    <t>Evolución de Población en el Programa de VIH/SIDA según Comuna en la Región de O'Higgins, Periodo 2012-2018</t>
  </si>
  <si>
    <t>https://analytics.zoho.com/open-view/2395394000008389806?ZOHO_CRITERIA=%22Localiza%20CL%22.%22Codreg%22%20%3D%206</t>
  </si>
  <si>
    <t>Evolución de Población en el Programa de VIH/SIDA según Comuna en la Región de Maule, Periodo 2012-2018</t>
  </si>
  <si>
    <t>https://analytics.zoho.com/open-view/2395394000008389806?ZOHO_CRITERIA=%22Localiza%20CL%22.%22Codreg%22%20%3D%207</t>
  </si>
  <si>
    <t>Evolución de Población en el Programa de VIH/SIDA según Comuna en la Región del Biobío, Periodo 2012-2018</t>
  </si>
  <si>
    <t>https://analytics.zoho.com/open-view/2395394000008389806?ZOHO_CRITERIA=%22Localiza%20CL%22.%22Codreg%22%20%3D%208</t>
  </si>
  <si>
    <t>Evolución de Población en el Programa de VIH/SIDA según Comuna en la Región de La Araucanía, Periodo 2012-2018</t>
  </si>
  <si>
    <t>https://analytics.zoho.com/open-view/2395394000008389806?ZOHO_CRITERIA=%22Localiza%20CL%22.%22Codreg%22%20%3D%209</t>
  </si>
  <si>
    <t>Evolución de Población en el Programa de VIH/SIDA según Comuna en la Región de Los Lagos, Periodo 2012-2018</t>
  </si>
  <si>
    <t>https://analytics.zoho.com/open-view/2395394000008389806?ZOHO_CRITERIA=%22Localiza%20CL%22.%22Codreg%22%20%3D%2010</t>
  </si>
  <si>
    <t>Evolución de Población en el Programa de VIH/SIDA según Comuna en la Región de Aysén, Periodo 2012-2018</t>
  </si>
  <si>
    <t>https://analytics.zoho.com/open-view/2395394000008389806?ZOHO_CRITERIA=%22Localiza%20CL%22.%22Codreg%22%20%3D%2011</t>
  </si>
  <si>
    <t>Evolución de Población en el Programa de VIH/SIDA según Comuna en la Región de Magallanes, Periodo 2012-2018</t>
  </si>
  <si>
    <t>https://analytics.zoho.com/open-view/2395394000008389806?ZOHO_CRITERIA=%22Localiza%20CL%22.%22Codreg%22%20%3D%2012</t>
  </si>
  <si>
    <t>Evolución de Población en el Programa de VIH/SIDA según Comuna en la Región Metropolitana, Periodo 2012-2018</t>
  </si>
  <si>
    <t>https://analytics.zoho.com/open-view/2395394000008389806?ZOHO_CRITERIA=%22Localiza%20CL%22.%22Codreg%22%20%3D%2013</t>
  </si>
  <si>
    <t>Evolución de Población en el Programa de VIH/SIDA según Comuna en la Región de Los Ríos, Periodo 2012-2018</t>
  </si>
  <si>
    <t>https://analytics.zoho.com/open-view/2395394000008389806?ZOHO_CRITERIA=%22Localiza%20CL%22.%22Codreg%22%20%3D%2014</t>
  </si>
  <si>
    <t>Evolución de Población en el Programa de VIH/SIDA según Comuna en la Región de Arica y Parinacota, Periodo 2012-2018</t>
  </si>
  <si>
    <t>https://analytics.zoho.com/open-view/2395394000008389806?ZOHO_CRITERIA=%22Localiza%20CL%22.%22Codreg%22%20%3D%2015</t>
  </si>
  <si>
    <t>Evolución de Población en el Programa de VIH/SIDA según Comuna en la Región de Ñuble, Periodo 2012-2018</t>
  </si>
  <si>
    <t>https://analytics.zoho.com/open-view/2395394000008389806?ZOHO_CRITERIA=%22Localiza%20CL%22.%22Codreg%22%20%3D%2016</t>
  </si>
  <si>
    <t>Evolución de Población en Control en el Programa de VIH/SIDA según Región en Chile, Periodo 2012-2018</t>
  </si>
  <si>
    <t>Evolución de Población en Control en el Programa de VIH/SIDA en la Región de Tarapacá, Periodo 2012-2018</t>
  </si>
  <si>
    <t>https://analytics.zoho.com/open-view/2395394000008049248?ZOHO_CRITERIA=%22Localiza%20CL%22.%22Codreg%22%20%3D%201</t>
  </si>
  <si>
    <t>Evolución de Población en Control en el Programa de VIH/SIDA en la Región de Antofagasta, Periodo 2012-2018</t>
  </si>
  <si>
    <t>https://analytics.zoho.com/open-view/2395394000008049248?ZOHO_CRITERIA=%22Localiza%20CL%22.%22Codreg%22%20%3D%202</t>
  </si>
  <si>
    <t>Evolución de Población en Control en el Programa de VIH/SIDA en la Región de Atacama, Periodo 2012-2018</t>
  </si>
  <si>
    <t>https://analytics.zoho.com/open-view/2395394000008049248?ZOHO_CRITERIA=%22Localiza%20CL%22.%22Codreg%22%20%3D%203</t>
  </si>
  <si>
    <t>Evolución de Población en Control en el Programa de VIH/SIDA en la Región de Coquimbo, Periodo 2012-2018</t>
  </si>
  <si>
    <t>https://analytics.zoho.com/open-view/2395394000008049248?ZOHO_CRITERIA=%22Localiza%20CL%22.%22Codreg%22%20%3D%204</t>
  </si>
  <si>
    <t>Evolución de Población en Control en el Programa de VIH/SIDA en la Región de Valparaíso, Periodo 2012-2018</t>
  </si>
  <si>
    <t>https://analytics.zoho.com/open-view/2395394000008049248?ZOHO_CRITERIA=%22Localiza%20CL%22.%22Codreg%22%20%3D%205</t>
  </si>
  <si>
    <t>Evolución de Población en Control en el Programa de VIH/SIDA en la Región de O'Higgins, Periodo 2012-2018</t>
  </si>
  <si>
    <t>https://analytics.zoho.com/open-view/2395394000008049248?ZOHO_CRITERIA=%22Localiza%20CL%22.%22Codreg%22%20%3D%206</t>
  </si>
  <si>
    <t>Evolución de Población en Control en el Programa de VIH/SIDA en la Región de Maule, Periodo 2012-2018</t>
  </si>
  <si>
    <t>https://analytics.zoho.com/open-view/2395394000008049248?ZOHO_CRITERIA=%22Localiza%20CL%22.%22Codreg%22%20%3D%207</t>
  </si>
  <si>
    <t>Evolución de Población en Control en el Programa de VIH/SIDA en la Región del Biobío, Periodo 2012-2018</t>
  </si>
  <si>
    <t>https://analytics.zoho.com/open-view/2395394000008049248?ZOHO_CRITERIA=%22Localiza%20CL%22.%22Codreg%22%20%3D%208</t>
  </si>
  <si>
    <t>Evolución de Población en Control en el Programa de VIH/SIDA en la Región de La Araucanía, Periodo 2012-2018</t>
  </si>
  <si>
    <t>https://analytics.zoho.com/open-view/2395394000008049248?ZOHO_CRITERIA=%22Localiza%20CL%22.%22Codreg%22%20%3D%209</t>
  </si>
  <si>
    <t>Evolución de Población en Control en el Programa de VIH/SIDA en la Región de Los Lagos, Periodo 2012-2018</t>
  </si>
  <si>
    <t>https://analytics.zoho.com/open-view/2395394000008049248?ZOHO_CRITERIA=%22Localiza%20CL%22.%22Codreg%22%20%3D%2010</t>
  </si>
  <si>
    <t>Evolución de Población en Control en el Programa de VIH/SIDA en la Región de Aysén, Periodo 2012-2018</t>
  </si>
  <si>
    <t>https://analytics.zoho.com/open-view/2395394000008049248?ZOHO_CRITERIA=%22Localiza%20CL%22.%22Codreg%22%20%3D%2011</t>
  </si>
  <si>
    <t>Evolución de Población en Control en el Programa de VIH/SIDA en la Región de Magallanes, Periodo 2012-2018</t>
  </si>
  <si>
    <t>https://analytics.zoho.com/open-view/2395394000008049248?ZOHO_CRITERIA=%22Localiza%20CL%22.%22Codreg%22%20%3D%2012</t>
  </si>
  <si>
    <t>Evolución de Población en Control en el Programa de VIH/SIDA en la Región Metropolitana, Periodo 2012-2018</t>
  </si>
  <si>
    <t>https://analytics.zoho.com/open-view/2395394000008049248?ZOHO_CRITERIA=%22Localiza%20CL%22.%22Codreg%22%20%3D%2013</t>
  </si>
  <si>
    <t>Evolución de Población en Control en el Programa de VIH/SIDA en la Región de Los Ríos, Periodo 2012-2018</t>
  </si>
  <si>
    <t>https://analytics.zoho.com/open-view/2395394000008049248?ZOHO_CRITERIA=%22Localiza%20CL%22.%22Codreg%22%20%3D%2014</t>
  </si>
  <si>
    <t>Evolución de Población en Control en el Programa de VIH/SIDA en la Región de Arica y Parinacota, Periodo 2012-2018</t>
  </si>
  <si>
    <t>https://analytics.zoho.com/open-view/2395394000008049248?ZOHO_CRITERIA=%22Localiza%20CL%22.%22Codreg%22%20%3D%2015</t>
  </si>
  <si>
    <t>Evolución de Población en Control en el Programa de VIH/SIDA en la Región de Ñuble, Periodo 2012-2018</t>
  </si>
  <si>
    <t>https://analytics.zoho.com/open-view/2395394000008049248?ZOHO_CRITERIA=%22Localiza%20CL%22.%22Codreg%22%20%3D%2016</t>
  </si>
  <si>
    <t>Evolución de Población en Control en el Programa de VIH/SIDA según Rango Etario en Chile, Periodo 2012-2018</t>
  </si>
  <si>
    <t>Evolución de Población en Control en el Programa de VIH/SIDA según Rango Etario en la Región de Tarapacá, Periodo 2012-2018</t>
  </si>
  <si>
    <t>https://analytics.zoho.com/open-view/2395394000008463151?ZOHO_CRITERIA=%22Localiza%20CL%22.%22Codreg%22%20%3D%201</t>
  </si>
  <si>
    <t>Evolución de Población en Control en el Programa de VIH/SIDA según Rango Etario en la Región de Antofagasta, Periodo 2012-2018</t>
  </si>
  <si>
    <t>https://analytics.zoho.com/open-view/2395394000008463151?ZOHO_CRITERIA=%22Localiza%20CL%22.%22Codreg%22%20%3D%202</t>
  </si>
  <si>
    <t>Evolución de Población en Control en el Programa de VIH/SIDA según Rango Etario en la Región de Atacama, Periodo 2012-2018</t>
  </si>
  <si>
    <t>https://analytics.zoho.com/open-view/2395394000008463151?ZOHO_CRITERIA=%22Localiza%20CL%22.%22Codreg%22%20%3D%203</t>
  </si>
  <si>
    <t>Evolución de Población en Control en el Programa de VIH/SIDA según Rango Etario en la Región de Coquimbo, Periodo 2012-2018</t>
  </si>
  <si>
    <t>https://analytics.zoho.com/open-view/2395394000008463151?ZOHO_CRITERIA=%22Localiza%20CL%22.%22Codreg%22%20%3D%204</t>
  </si>
  <si>
    <t>Evolución de Población en Control en el Programa de VIH/SIDA según Rango Etario en la Región de Valparaíso, Periodo 2012-2018</t>
  </si>
  <si>
    <t>https://analytics.zoho.com/open-view/2395394000008463151?ZOHO_CRITERIA=%22Localiza%20CL%22.%22Codreg%22%20%3D%205</t>
  </si>
  <si>
    <t>Evolución de Población en Control en el Programa de VIH/SIDA según Rango Etario en la Región de O'Higgins, Periodo 2012-2018</t>
  </si>
  <si>
    <t>https://analytics.zoho.com/open-view/2395394000008463151?ZOHO_CRITERIA=%22Localiza%20CL%22.%22Codreg%22%20%3D%206</t>
  </si>
  <si>
    <t>Evolución de Población en Control en el Programa de VIH/SIDA según Rango Etario en la Región de Maule, Periodo 2012-2018</t>
  </si>
  <si>
    <t>https://analytics.zoho.com/open-view/2395394000008463151?ZOHO_CRITERIA=%22Localiza%20CL%22.%22Codreg%22%20%3D%207</t>
  </si>
  <si>
    <t>Evolución de Población en Control en el Programa de VIH/SIDA según Rango Etario en la Región del Biobío, Periodo 2012-2018</t>
  </si>
  <si>
    <t>https://analytics.zoho.com/open-view/2395394000008463151?ZOHO_CRITERIA=%22Localiza%20CL%22.%22Codreg%22%20%3D%208</t>
  </si>
  <si>
    <t>Evolución de Población en Control en el Programa de VIH/SIDA según Rango Etario en la Región de La Araucanía, Periodo 2012-2018</t>
  </si>
  <si>
    <t>https://analytics.zoho.com/open-view/2395394000008463151?ZOHO_CRITERIA=%22Localiza%20CL%22.%22Codreg%22%20%3D%209</t>
  </si>
  <si>
    <t>Evolución de Población en Control en el Programa de VIH/SIDA según Rango Etario en la Región de Los Lagos, Periodo 2012-2018</t>
  </si>
  <si>
    <t>https://analytics.zoho.com/open-view/2395394000008463151?ZOHO_CRITERIA=%22Localiza%20CL%22.%22Codreg%22%20%3D%2010</t>
  </si>
  <si>
    <t>Evolución de Población en Control en el Programa de VIH/SIDA según Rango Etario en la Región de Aysén, Periodo 2012-2018</t>
  </si>
  <si>
    <t>https://analytics.zoho.com/open-view/2395394000008463151?ZOHO_CRITERIA=%22Localiza%20CL%22.%22Codreg%22%20%3D%2011</t>
  </si>
  <si>
    <t>Evolución de Población en Control en el Programa de VIH/SIDA según Rango Etario en la Región de Magallanes, Periodo 2012-2018</t>
  </si>
  <si>
    <t>https://analytics.zoho.com/open-view/2395394000008463151?ZOHO_CRITERIA=%22Localiza%20CL%22.%22Codreg%22%20%3D%2012</t>
  </si>
  <si>
    <t>Evolución de Población en Control en el Programa de VIH/SIDA según Rango Etario en la Región Metropolitana, Periodo 2012-2018</t>
  </si>
  <si>
    <t>https://analytics.zoho.com/open-view/2395394000008463151?ZOHO_CRITERIA=%22Localiza%20CL%22.%22Codreg%22%20%3D%2013</t>
  </si>
  <si>
    <t>Evolución de Población en Control en el Programa de VIH/SIDA según Rango Etario en la Región de Los Ríos, Periodo 2012-2018</t>
  </si>
  <si>
    <t>https://analytics.zoho.com/open-view/2395394000008463151?ZOHO_CRITERIA=%22Localiza%20CL%22.%22Codreg%22%20%3D%2014</t>
  </si>
  <si>
    <t>Evolución de Población en Control en el Programa de VIH/SIDA según Rango Etario en la Región de Arica y Parinacota, Periodo 2012-2018</t>
  </si>
  <si>
    <t>https://analytics.zoho.com/open-view/2395394000008463151?ZOHO_CRITERIA=%22Localiza%20CL%22.%22Codreg%22%20%3D%2015</t>
  </si>
  <si>
    <t>Evolución de Población en Control en el Programa de VIH/SIDA según Rango Etario en la Región de Ñuble, Periodo 2012-2018</t>
  </si>
  <si>
    <t>https://analytics.zoho.com/open-view/2395394000008463151?ZOHO_CRITERIA=%22Localiza%20CL%22.%22Codreg%22%20%3D%2016</t>
  </si>
  <si>
    <t>Mapa de la Cantidad de Espacios Culturales por Comuna en Chile, Año 2021</t>
  </si>
  <si>
    <t>Mapa de la Cantidad de Espacios Culturales por Comuna en la Región de Tarapacá, Año 2021</t>
  </si>
  <si>
    <t>https://analytics.zoho.com/open-view/2395394000008464012?ZOHO_CRITERIA=%22Espacios_Culturales_Completo%201%22.%22C%C3%B3digo_Regi%C3%B3n%22%20%3D%201</t>
  </si>
  <si>
    <t>Mapa de la Cantidad de Espacios Culturales por Comuna en la Región de Antofagasta, Año 2021</t>
  </si>
  <si>
    <t>https://analytics.zoho.com/open-view/2395394000008464012?ZOHO_CRITERIA=%22Espacios_Culturales_Completo%201%22.%22C%C3%B3digo_Regi%C3%B3n%22%20%3D%202</t>
  </si>
  <si>
    <t>Mapa de la Cantidad de Espacios Culturales por Comuna en la Región de Atacama, Año 2021</t>
  </si>
  <si>
    <t>https://analytics.zoho.com/open-view/2395394000008464012?ZOHO_CRITERIA=%22Espacios_Culturales_Completo%201%22.%22C%C3%B3digo_Regi%C3%B3n%22%20%3D%203</t>
  </si>
  <si>
    <t>Mapa de la Cantidad de Espacios Culturales por Comuna en la Región de Coquimbo, Año 2021</t>
  </si>
  <si>
    <t>https://analytics.zoho.com/open-view/2395394000008464012?ZOHO_CRITERIA=%22Espacios_Culturales_Completo%201%22.%22C%C3%B3digo_Regi%C3%B3n%22%20%3D%204</t>
  </si>
  <si>
    <t>Mapa de la Cantidad de Espacios Culturales por Comuna en la Región de Valparaíso, Año 2021</t>
  </si>
  <si>
    <t>https://analytics.zoho.com/open-view/2395394000008464012?ZOHO_CRITERIA=%22Espacios_Culturales_Completo%201%22.%22C%C3%B3digo_Regi%C3%B3n%22%20%3D%205</t>
  </si>
  <si>
    <t>Mapa de la Cantidad de Espacios Culturales por Comuna en la Región de O'Higgins, Año 2021</t>
  </si>
  <si>
    <t>https://analytics.zoho.com/open-view/2395394000008464012?ZOHO_CRITERIA=%22Espacios_Culturales_Completo%201%22.%22C%C3%B3digo_Regi%C3%B3n%22%20%3D%206</t>
  </si>
  <si>
    <t>Mapa de la Cantidad de Espacios Culturales por Comuna en la Región de Maule, Año 2021</t>
  </si>
  <si>
    <t>https://analytics.zoho.com/open-view/2395394000008464012?ZOHO_CRITERIA=%22Espacios_Culturales_Completo%201%22.%22C%C3%B3digo_Regi%C3%B3n%22%20%3D%207</t>
  </si>
  <si>
    <t>Mapa de la Cantidad de Espacios Culturales por Comuna en la Región del Biobío, Año 2021</t>
  </si>
  <si>
    <t>https://analytics.zoho.com/open-view/2395394000008464012?ZOHO_CRITERIA=%22Espacios_Culturales_Completo%201%22.%22C%C3%B3digo_Regi%C3%B3n%22%20%3D%208</t>
  </si>
  <si>
    <t>Mapa de la Cantidad de Espacios Culturales por Comuna en la Región de La Araucanía, Año 2021</t>
  </si>
  <si>
    <t>https://analytics.zoho.com/open-view/2395394000008464012?ZOHO_CRITERIA=%22Espacios_Culturales_Completo%201%22.%22C%C3%B3digo_Regi%C3%B3n%22%20%3D%209</t>
  </si>
  <si>
    <t>Mapa de la Cantidad de Espacios Culturales por Comuna en la Región de Los Lagos, Año 2021</t>
  </si>
  <si>
    <t>https://analytics.zoho.com/open-view/2395394000008464012?ZOHO_CRITERIA=%22Espacios_Culturales_Completo%201%22.%22C%C3%B3digo_Regi%C3%B3n%22%20%3D%2010</t>
  </si>
  <si>
    <t>Mapa de la Cantidad de Espacios Culturales por Comuna en la Región de Aysén, Año 2021</t>
  </si>
  <si>
    <t>https://analytics.zoho.com/open-view/2395394000008464012?ZOHO_CRITERIA=%22Espacios_Culturales_Completo%201%22.%22C%C3%B3digo_Regi%C3%B3n%22%20%3D%2011</t>
  </si>
  <si>
    <t>Mapa de la Cantidad de Espacios Culturales por Comuna en la Región de Magallanes, Año 2021</t>
  </si>
  <si>
    <t>https://analytics.zoho.com/open-view/2395394000008464012?ZOHO_CRITERIA=%22Espacios_Culturales_Completo%201%22.%22C%C3%B3digo_Regi%C3%B3n%22%20%3D%2012</t>
  </si>
  <si>
    <t>Mapa de la Cantidad de Espacios Culturales por Comuna en la Región Metropolitana, Año 2021</t>
  </si>
  <si>
    <t>https://analytics.zoho.com/open-view/2395394000008464012?ZOHO_CRITERIA=%22Espacios_Culturales_Completo%201%22.%22C%C3%B3digo_Regi%C3%B3n%22%20%3D%2013</t>
  </si>
  <si>
    <t>Mapa de la Cantidad de Espacios Culturales por Comuna en la Región de Los Ríos, Año 2021</t>
  </si>
  <si>
    <t>https://analytics.zoho.com/open-view/2395394000008464012?ZOHO_CRITERIA=%22Espacios_Culturales_Completo%201%22.%22C%C3%B3digo_Regi%C3%B3n%22%20%3D%2014</t>
  </si>
  <si>
    <t>Mapa de la Cantidad de Espacios Culturales por Comuna en la Región de Arica y Parinacota, Año 2021</t>
  </si>
  <si>
    <t>https://analytics.zoho.com/open-view/2395394000008464012?ZOHO_CRITERIA=%22Espacios_Culturales_Completo%201%22.%22C%C3%B3digo_Regi%C3%B3n%22%20%3D%2015</t>
  </si>
  <si>
    <t>Mapa de la Cantidad de Espacios Culturales por Comuna en la Región de Ñuble, Año 2021</t>
  </si>
  <si>
    <t>https://analytics.zoho.com/open-view/2395394000008464012?ZOHO_CRITERIA=%22Espacios_Culturales_Completo%201%22.%22C%C3%B3digo_Regi%C3%B3n%22%20%3D%2016</t>
  </si>
  <si>
    <t>Cantidad de Espacios Culturales por Fuente de Financiamiento y Región en Chile, Año 2021</t>
  </si>
  <si>
    <t>Cantidad de Espacios Culturales por Fuente de Financiamiento en la Región de Tarapacá, Año 2021</t>
  </si>
  <si>
    <t>https://analytics.zoho.com/open-view/2395394000008464140?ZOHO_CRITERIA=%22Espacios_Culturales_Completo%201%22.%22C%C3%B3digo_Regi%C3%B3n%22%20%3D%201</t>
  </si>
  <si>
    <t>Cantidad de Espacios Culturales por Fuente de Financiamiento en la Región de Antofagasta, Año 2021</t>
  </si>
  <si>
    <t>https://analytics.zoho.com/open-view/2395394000008464140?ZOHO_CRITERIA=%22Espacios_Culturales_Completo%201%22.%22C%C3%B3digo_Regi%C3%B3n%22%20%3D%202</t>
  </si>
  <si>
    <t>Cantidad de Espacios Culturales por Fuente de Financiamiento en la Región de Atacama, Año 2021</t>
  </si>
  <si>
    <t>https://analytics.zoho.com/open-view/2395394000008464140?ZOHO_CRITERIA=%22Espacios_Culturales_Completo%201%22.%22C%C3%B3digo_Regi%C3%B3n%22%20%3D%203</t>
  </si>
  <si>
    <t>Cantidad de Espacios Culturales por Fuente de Financiamiento en la Región de Coquimbo, Año 2021</t>
  </si>
  <si>
    <t>https://analytics.zoho.com/open-view/2395394000008464140?ZOHO_CRITERIA=%22Espacios_Culturales_Completo%201%22.%22C%C3%B3digo_Regi%C3%B3n%22%20%3D%204</t>
  </si>
  <si>
    <t>Cantidad de Espacios Culturales por Fuente de Financiamiento en la Región de Valparaíso, Año 2021</t>
  </si>
  <si>
    <t>https://analytics.zoho.com/open-view/2395394000008464140?ZOHO_CRITERIA=%22Espacios_Culturales_Completo%201%22.%22C%C3%B3digo_Regi%C3%B3n%22%20%3D%205</t>
  </si>
  <si>
    <t>Cantidad de Espacios Culturales por Fuente de Financiamiento en la Región de O'Higgins, Año 2021</t>
  </si>
  <si>
    <t>https://analytics.zoho.com/open-view/2395394000008464140?ZOHO_CRITERIA=%22Espacios_Culturales_Completo%201%22.%22C%C3%B3digo_Regi%C3%B3n%22%20%3D%206</t>
  </si>
  <si>
    <t>Cantidad de Espacios Culturales por Fuente de Financiamiento en la Región de Maule, Año 2021</t>
  </si>
  <si>
    <t>https://analytics.zoho.com/open-view/2395394000008464140?ZOHO_CRITERIA=%22Espacios_Culturales_Completo%201%22.%22C%C3%B3digo_Regi%C3%B3n%22%20%3D%207</t>
  </si>
  <si>
    <t>Cantidad de Espacios Culturales por Fuente de Financiamiento en la Región del Biobío, Año 2021</t>
  </si>
  <si>
    <t>https://analytics.zoho.com/open-view/2395394000008464140?ZOHO_CRITERIA=%22Espacios_Culturales_Completo%201%22.%22C%C3%B3digo_Regi%C3%B3n%22%20%3D%208</t>
  </si>
  <si>
    <t>Cantidad de Espacios Culturales por Fuente de Financiamiento en la Región de La Araucanía, Año 2021</t>
  </si>
  <si>
    <t>https://analytics.zoho.com/open-view/2395394000008464140?ZOHO_CRITERIA=%22Espacios_Culturales_Completo%201%22.%22C%C3%B3digo_Regi%C3%B3n%22%20%3D%209</t>
  </si>
  <si>
    <t>Cantidad de Espacios Culturales por Fuente de Financiamiento en la Región de Los Lagos, Año 2021</t>
  </si>
  <si>
    <t>https://analytics.zoho.com/open-view/2395394000008464140?ZOHO_CRITERIA=%22Espacios_Culturales_Completo%201%22.%22C%C3%B3digo_Regi%C3%B3n%22%20%3D%2010</t>
  </si>
  <si>
    <t>Cantidad de Espacios Culturales por Fuente de Financiamiento en la Región de Aysén, Año 2021</t>
  </si>
  <si>
    <t>https://analytics.zoho.com/open-view/2395394000008464140?ZOHO_CRITERIA=%22Espacios_Culturales_Completo%201%22.%22C%C3%B3digo_Regi%C3%B3n%22%20%3D%2011</t>
  </si>
  <si>
    <t>Cantidad de Espacios Culturales por Fuente de Financiamiento en la Región de Magallanes, Año 2021</t>
  </si>
  <si>
    <t>https://analytics.zoho.com/open-view/2395394000008464140?ZOHO_CRITERIA=%22Espacios_Culturales_Completo%201%22.%22C%C3%B3digo_Regi%C3%B3n%22%20%3D%2012</t>
  </si>
  <si>
    <t>Cantidad de Espacios Culturales por Fuente de Financiamiento en la Región Metropolitana, Año 2021</t>
  </si>
  <si>
    <t>https://analytics.zoho.com/open-view/2395394000008464140?ZOHO_CRITERIA=%22Espacios_Culturales_Completo%201%22.%22C%C3%B3digo_Regi%C3%B3n%22%20%3D%2013</t>
  </si>
  <si>
    <t>Cantidad de Espacios Culturales por Fuente de Financiamiento en la Región de Los Ríos, Año 2021</t>
  </si>
  <si>
    <t>https://analytics.zoho.com/open-view/2395394000008464140?ZOHO_CRITERIA=%22Espacios_Culturales_Completo%201%22.%22C%C3%B3digo_Regi%C3%B3n%22%20%3D%2014</t>
  </si>
  <si>
    <t>Cantidad de Espacios Culturales por Fuente de Financiamiento en la Región de Arica y Parinacota, Año 2021</t>
  </si>
  <si>
    <t>https://analytics.zoho.com/open-view/2395394000008464140?ZOHO_CRITERIA=%22Espacios_Culturales_Completo%201%22.%22C%C3%B3digo_Regi%C3%B3n%22%20%3D%2015</t>
  </si>
  <si>
    <t>Cantidad de Espacios Culturales por Fuente de Financiamiento en la Región de Ñuble, Año 2021</t>
  </si>
  <si>
    <t>https://analytics.zoho.com/open-view/2395394000008464140?ZOHO_CRITERIA=%22Espacios_Culturales_Completo%201%22.%22C%C3%B3digo_Regi%C3%B3n%22%20%3D%2016</t>
  </si>
  <si>
    <t>Cantidad de Espacios Culturales por Categoría y Región en Chile, Año 2021</t>
  </si>
  <si>
    <t>Cantidad de Espacios Culturales por Categoría en la Región de Tarapacá, Año 2021</t>
  </si>
  <si>
    <t>https://analytics.zoho.com/open-view/2395394000008464179?ZOHO_CRITERIA=%22Espacios_Culturales_Completo%201%22.%22C%C3%B3digo_Regi%C3%B3n%22%20%3D%201</t>
  </si>
  <si>
    <t>Cantidad de Espacios Culturales por Categoría en la Región de Antofagasta, Año 2021</t>
  </si>
  <si>
    <t>https://analytics.zoho.com/open-view/2395394000008464179?ZOHO_CRITERIA=%22Espacios_Culturales_Completo%201%22.%22C%C3%B3digo_Regi%C3%B3n%22%20%3D%202</t>
  </si>
  <si>
    <t>Cantidad de Espacios Culturales por Categoría en la Región de Atacama, Año 2021</t>
  </si>
  <si>
    <t>https://analytics.zoho.com/open-view/2395394000008464179?ZOHO_CRITERIA=%22Espacios_Culturales_Completo%201%22.%22C%C3%B3digo_Regi%C3%B3n%22%20%3D%203</t>
  </si>
  <si>
    <t>Cantidad de Espacios Culturales por Categoría en la Región de Coquimbo, Año 2021</t>
  </si>
  <si>
    <t>https://analytics.zoho.com/open-view/2395394000008464179?ZOHO_CRITERIA=%22Espacios_Culturales_Completo%201%22.%22C%C3%B3digo_Regi%C3%B3n%22%20%3D%204</t>
  </si>
  <si>
    <t>Cantidad de Espacios Culturales por Categoría en la Región de Valparaíso, Año 2021</t>
  </si>
  <si>
    <t>https://analytics.zoho.com/open-view/2395394000008464179?ZOHO_CRITERIA=%22Espacios_Culturales_Completo%201%22.%22C%C3%B3digo_Regi%C3%B3n%22%20%3D%205</t>
  </si>
  <si>
    <t>Cantidad de Espacios Culturales por Categoría en la Región de O'Higgins, Año 2021</t>
  </si>
  <si>
    <t>https://analytics.zoho.com/open-view/2395394000008464179?ZOHO_CRITERIA=%22Espacios_Culturales_Completo%201%22.%22C%C3%B3digo_Regi%C3%B3n%22%20%3D%206</t>
  </si>
  <si>
    <t>Cantidad de Espacios Culturales por Categoría en la Región de Maule, Año 2021</t>
  </si>
  <si>
    <t>https://analytics.zoho.com/open-view/2395394000008464179?ZOHO_CRITERIA=%22Espacios_Culturales_Completo%201%22.%22C%C3%B3digo_Regi%C3%B3n%22%20%3D%207</t>
  </si>
  <si>
    <t>Cantidad de Espacios Culturales por Categoría en la Región del Biobío, Año 2021</t>
  </si>
  <si>
    <t>https://analytics.zoho.com/open-view/2395394000008464179?ZOHO_CRITERIA=%22Espacios_Culturales_Completo%201%22.%22C%C3%B3digo_Regi%C3%B3n%22%20%3D%208</t>
  </si>
  <si>
    <t>Cantidad de Espacios Culturales por Categoría en la Región de La Araucanía, Año 2021</t>
  </si>
  <si>
    <t>https://analytics.zoho.com/open-view/2395394000008464179?ZOHO_CRITERIA=%22Espacios_Culturales_Completo%201%22.%22C%C3%B3digo_Regi%C3%B3n%22%20%3D%209</t>
  </si>
  <si>
    <t>Cantidad de Espacios Culturales por Categoría en la Región de Los Lagos, Año 2021</t>
  </si>
  <si>
    <t>https://analytics.zoho.com/open-view/2395394000008464179?ZOHO_CRITERIA=%22Espacios_Culturales_Completo%201%22.%22C%C3%B3digo_Regi%C3%B3n%22%20%3D%2010</t>
  </si>
  <si>
    <t>Cantidad de Espacios Culturales por Categoría en la Región de Aysén, Año 2021</t>
  </si>
  <si>
    <t>https://analytics.zoho.com/open-view/2395394000008464179?ZOHO_CRITERIA=%22Espacios_Culturales_Completo%201%22.%22C%C3%B3digo_Regi%C3%B3n%22%20%3D%2011</t>
  </si>
  <si>
    <t>Cantidad de Espacios Culturales por Categoría en la Región de Magallanes, Año 2021</t>
  </si>
  <si>
    <t>https://analytics.zoho.com/open-view/2395394000008464179?ZOHO_CRITERIA=%22Espacios_Culturales_Completo%201%22.%22C%C3%B3digo_Regi%C3%B3n%22%20%3D%2012</t>
  </si>
  <si>
    <t>Cantidad de Espacios Culturales por Categoría en la Región Metropolitana, Año 2021</t>
  </si>
  <si>
    <t>https://analytics.zoho.com/open-view/2395394000008464179?ZOHO_CRITERIA=%22Espacios_Culturales_Completo%201%22.%22C%C3%B3digo_Regi%C3%B3n%22%20%3D%2013</t>
  </si>
  <si>
    <t>Cantidad de Espacios Culturales por Categoría en la Región de Los Ríos, Año 2021</t>
  </si>
  <si>
    <t>https://analytics.zoho.com/open-view/2395394000008464179?ZOHO_CRITERIA=%22Espacios_Culturales_Completo%201%22.%22C%C3%B3digo_Regi%C3%B3n%22%20%3D%2014</t>
  </si>
  <si>
    <t>Cantidad de Espacios Culturales por Categoría en la Región de Arica y Parinacota, Año 2021</t>
  </si>
  <si>
    <t>https://analytics.zoho.com/open-view/2395394000008464179?ZOHO_CRITERIA=%22Espacios_Culturales_Completo%201%22.%22C%C3%B3digo_Regi%C3%B3n%22%20%3D%2015</t>
  </si>
  <si>
    <t>Cantidad de Espacios Culturales por Categoría en la Región de Ñuble, Año 2021</t>
  </si>
  <si>
    <t>https://analytics.zoho.com/open-view/2395394000008464179?ZOHO_CRITERIA=%22Espacios_Culturales_Completo%201%22.%22C%C3%B3digo_Regi%C3%B3n%22%20%3D%2016</t>
  </si>
  <si>
    <t>Cantidad de Espacios Culturales por Estado de Mantención y Región en Chile, Año 2021</t>
  </si>
  <si>
    <t>Cantidad de Espacios Culturales por Estado de Mantención en la Región de Tarapacá, Año 2021</t>
  </si>
  <si>
    <t>https://analytics.zoho.com/open-view/2395394000008464286?ZOHO_CRITERIA=%22Espacios_Culturales_Completo%201%22.%22C%C3%B3digo_Regi%C3%B3n%22%20%3D%201</t>
  </si>
  <si>
    <t>Cantidad de Espacios Culturales por Estado de Mantención en la Región de Antofagasta, Año 2021</t>
  </si>
  <si>
    <t>https://analytics.zoho.com/open-view/2395394000008464286?ZOHO_CRITERIA=%22Espacios_Culturales_Completo%201%22.%22C%C3%B3digo_Regi%C3%B3n%22%20%3D%202</t>
  </si>
  <si>
    <t>Cantidad de Espacios Culturales por Estado de Mantención en la Región de Atacama, Año 2021</t>
  </si>
  <si>
    <t>https://analytics.zoho.com/open-view/2395394000008464286?ZOHO_CRITERIA=%22Espacios_Culturales_Completo%201%22.%22C%C3%B3digo_Regi%C3%B3n%22%20%3D%203</t>
  </si>
  <si>
    <t>Cantidad de Espacios Culturales por Estado de Mantención en la Región de Coquimbo, Año 2021</t>
  </si>
  <si>
    <t>https://analytics.zoho.com/open-view/2395394000008464286?ZOHO_CRITERIA=%22Espacios_Culturales_Completo%201%22.%22C%C3%B3digo_Regi%C3%B3n%22%20%3D%204</t>
  </si>
  <si>
    <t>Cantidad de Espacios Culturales por Estado de Mantención en la Región de Valparaíso, Año 2021</t>
  </si>
  <si>
    <t>https://analytics.zoho.com/open-view/2395394000008464286?ZOHO_CRITERIA=%22Espacios_Culturales_Completo%201%22.%22C%C3%B3digo_Regi%C3%B3n%22%20%3D%205</t>
  </si>
  <si>
    <t>Cantidad de Espacios Culturales por Estado de Mantención en la Región de O'Higgins, Año 2021</t>
  </si>
  <si>
    <t>https://analytics.zoho.com/open-view/2395394000008464286?ZOHO_CRITERIA=%22Espacios_Culturales_Completo%201%22.%22C%C3%B3digo_Regi%C3%B3n%22%20%3D%206</t>
  </si>
  <si>
    <t>Cantidad de Espacios Culturales por Estado de Mantención en la Región de Maule, Año 2021</t>
  </si>
  <si>
    <t>https://analytics.zoho.com/open-view/2395394000008464286?ZOHO_CRITERIA=%22Espacios_Culturales_Completo%201%22.%22C%C3%B3digo_Regi%C3%B3n%22%20%3D%207</t>
  </si>
  <si>
    <t>Cantidad de Espacios Culturales por Estado de Mantención en la Región del Biobío, Año 2021</t>
  </si>
  <si>
    <t>https://analytics.zoho.com/open-view/2395394000008464286?ZOHO_CRITERIA=%22Espacios_Culturales_Completo%201%22.%22C%C3%B3digo_Regi%C3%B3n%22%20%3D%208</t>
  </si>
  <si>
    <t>Cantidad de Espacios Culturales por Estado de Mantención en la Región de La Araucanía, Año 2021</t>
  </si>
  <si>
    <t>https://analytics.zoho.com/open-view/2395394000008464286?ZOHO_CRITERIA=%22Espacios_Culturales_Completo%201%22.%22C%C3%B3digo_Regi%C3%B3n%22%20%3D%209</t>
  </si>
  <si>
    <t>Cantidad de Espacios Culturales por Estado de Mantención en la Región de Los Lagos, Año 2021</t>
  </si>
  <si>
    <t>https://analytics.zoho.com/open-view/2395394000008464286?ZOHO_CRITERIA=%22Espacios_Culturales_Completo%201%22.%22C%C3%B3digo_Regi%C3%B3n%22%20%3D%2010</t>
  </si>
  <si>
    <t>Cantidad de Espacios Culturales por Estado de Mantención en la Región de Aysén, Año 2021</t>
  </si>
  <si>
    <t>https://analytics.zoho.com/open-view/2395394000008464286?ZOHO_CRITERIA=%22Espacios_Culturales_Completo%201%22.%22C%C3%B3digo_Regi%C3%B3n%22%20%3D%2011</t>
  </si>
  <si>
    <t>Cantidad de Espacios Culturales por Estado de Mantención en la Región de Magallanes, Año 2021</t>
  </si>
  <si>
    <t>https://analytics.zoho.com/open-view/2395394000008464286?ZOHO_CRITERIA=%22Espacios_Culturales_Completo%201%22.%22C%C3%B3digo_Regi%C3%B3n%22%20%3D%2012</t>
  </si>
  <si>
    <t>Cantidad de Espacios Culturales por Estado de Mantención en la Región Metropolitana, Año 2021</t>
  </si>
  <si>
    <t>https://analytics.zoho.com/open-view/2395394000008464286?ZOHO_CRITERIA=%22Espacios_Culturales_Completo%201%22.%22C%C3%B3digo_Regi%C3%B3n%22%20%3D%2013</t>
  </si>
  <si>
    <t>Cantidad de Espacios Culturales por Estado de Mantención en la Región de Los Ríos, Año 2021</t>
  </si>
  <si>
    <t>https://analytics.zoho.com/open-view/2395394000008464286?ZOHO_CRITERIA=%22Espacios_Culturales_Completo%201%22.%22C%C3%B3digo_Regi%C3%B3n%22%20%3D%2014</t>
  </si>
  <si>
    <t>Cantidad de Espacios Culturales por Estado de Mantención en la Región de Arica y Parinacota, Año 2021</t>
  </si>
  <si>
    <t>https://analytics.zoho.com/open-view/2395394000008464286?ZOHO_CRITERIA=%22Espacios_Culturales_Completo%201%22.%22C%C3%B3digo_Regi%C3%B3n%22%20%3D%2015</t>
  </si>
  <si>
    <t>Cantidad de Espacios Culturales por Estado de Mantención en la Región de Ñuble, Año 2021</t>
  </si>
  <si>
    <t>https://analytics.zoho.com/open-view/2395394000008464286?ZOHO_CRITERIA=%22Espacios_Culturales_Completo%201%22.%22C%C3%B3digo_Regi%C3%B3n%22%20%3D%2016</t>
  </si>
  <si>
    <t>Mapa de Espacios Culturales en Chile, Año 2021</t>
  </si>
  <si>
    <t>Mapa de Espacios Culturales en la Región de Tarapacá, Año 2021</t>
  </si>
  <si>
    <t>https://analytics.zoho.com/open-view/2395394000008464353?ZOHO_CRITERIA=%22Espacios_Culturales_Completo%201%22.%22C%C3%B3digo_Regi%C3%B3n%22%20%3D%201</t>
  </si>
  <si>
    <t>Mapa de Espacios Culturales en la Región de Antofagasta, Año 2021</t>
  </si>
  <si>
    <t>https://analytics.zoho.com/open-view/2395394000008464353?ZOHO_CRITERIA=%22Espacios_Culturales_Completo%201%22.%22C%C3%B3digo_Regi%C3%B3n%22%20%3D%202</t>
  </si>
  <si>
    <t>Mapa de Espacios Culturales en la Región de Atacama, Año 2021</t>
  </si>
  <si>
    <t>https://analytics.zoho.com/open-view/2395394000008464353?ZOHO_CRITERIA=%22Espacios_Culturales_Completo%201%22.%22C%C3%B3digo_Regi%C3%B3n%22%20%3D%203</t>
  </si>
  <si>
    <t>Mapa de Espacios Culturales en la Región de Coquimbo, Año 2021</t>
  </si>
  <si>
    <t>https://analytics.zoho.com/open-view/2395394000008464353?ZOHO_CRITERIA=%22Espacios_Culturales_Completo%201%22.%22C%C3%B3digo_Regi%C3%B3n%22%20%3D%204</t>
  </si>
  <si>
    <t>Mapa de Espacios Culturales en la Región de Valparaíso, Año 2021</t>
  </si>
  <si>
    <t>https://analytics.zoho.com/open-view/2395394000008464353?ZOHO_CRITERIA=%22Espacios_Culturales_Completo%201%22.%22C%C3%B3digo_Regi%C3%B3n%22%20%3D%205</t>
  </si>
  <si>
    <t>Mapa de Espacios Culturales en la Región de O'Higgins, Año 2021</t>
  </si>
  <si>
    <t>https://analytics.zoho.com/open-view/2395394000008464353?ZOHO_CRITERIA=%22Espacios_Culturales_Completo%201%22.%22C%C3%B3digo_Regi%C3%B3n%22%20%3D%206</t>
  </si>
  <si>
    <t>Mapa de Espacios Culturales en la Región de Maule, Año 2021</t>
  </si>
  <si>
    <t>https://analytics.zoho.com/open-view/2395394000008464353?ZOHO_CRITERIA=%22Espacios_Culturales_Completo%201%22.%22C%C3%B3digo_Regi%C3%B3n%22%20%3D%207</t>
  </si>
  <si>
    <t>Mapa de Espacios Culturales en la Región del Biobío, Año 2021</t>
  </si>
  <si>
    <t>https://analytics.zoho.com/open-view/2395394000008464353?ZOHO_CRITERIA=%22Espacios_Culturales_Completo%201%22.%22C%C3%B3digo_Regi%C3%B3n%22%20%3D%208</t>
  </si>
  <si>
    <t>Mapa de Espacios Culturales en la Región de La Araucanía, Año 2021</t>
  </si>
  <si>
    <t>https://analytics.zoho.com/open-view/2395394000008464353?ZOHO_CRITERIA=%22Espacios_Culturales_Completo%201%22.%22C%C3%B3digo_Regi%C3%B3n%22%20%3D%209</t>
  </si>
  <si>
    <t>Mapa de Espacios Culturales en la Región de Los Lagos, Año 2021</t>
  </si>
  <si>
    <t>https://analytics.zoho.com/open-view/2395394000008464353?ZOHO_CRITERIA=%22Espacios_Culturales_Completo%201%22.%22C%C3%B3digo_Regi%C3%B3n%22%20%3D%2010</t>
  </si>
  <si>
    <t>Mapa de Espacios Culturales en la Región de Aysén, Año 2021</t>
  </si>
  <si>
    <t>https://analytics.zoho.com/open-view/2395394000008464353?ZOHO_CRITERIA=%22Espacios_Culturales_Completo%201%22.%22C%C3%B3digo_Regi%C3%B3n%22%20%3D%2011</t>
  </si>
  <si>
    <t>Mapa de Espacios Culturales en la Región de Magallanes, Año 2021</t>
  </si>
  <si>
    <t>https://analytics.zoho.com/open-view/2395394000008464353?ZOHO_CRITERIA=%22Espacios_Culturales_Completo%201%22.%22C%C3%B3digo_Regi%C3%B3n%22%20%3D%2012</t>
  </si>
  <si>
    <t>Mapa de Espacios Culturales en la Región Metropolitana, Año 2021</t>
  </si>
  <si>
    <t>https://analytics.zoho.com/open-view/2395394000008464353?ZOHO_CRITERIA=%22Espacios_Culturales_Completo%201%22.%22C%C3%B3digo_Regi%C3%B3n%22%20%3D%2013</t>
  </si>
  <si>
    <t>Mapa de Espacios Culturales en la Región de Los Ríos, Año 2021</t>
  </si>
  <si>
    <t>https://analytics.zoho.com/open-view/2395394000008464353?ZOHO_CRITERIA=%22Espacios_Culturales_Completo%201%22.%22C%C3%B3digo_Regi%C3%B3n%22%20%3D%2014</t>
  </si>
  <si>
    <t>Mapa de Espacios Culturales en la Región de Arica y Parinacota, Año 2021</t>
  </si>
  <si>
    <t>https://analytics.zoho.com/open-view/2395394000008464353?ZOHO_CRITERIA=%22Espacios_Culturales_Completo%201%22.%22C%C3%B3digo_Regi%C3%B3n%22%20%3D%2015</t>
  </si>
  <si>
    <t>Mapa de Espacios Culturales en la Región de Ñuble, Año 2021</t>
  </si>
  <si>
    <t>https://analytics.zoho.com/open-view/2395394000008464353?ZOHO_CRITERIA=%22Espacios_Culturales_Completo%201%22.%22C%C3%B3digo_Regi%C3%B3n%22%20%3D%2016</t>
  </si>
  <si>
    <t>Población en Control del Programa de Cáncer de Cuello Uterino por Rango Etario en Chile, Periodo 2011-2018</t>
  </si>
  <si>
    <t>Población en Control del Programa de Cáncer de Cuello Uterino por Rango Etario en la Región de Tarapacá, Periodo 2011-2018</t>
  </si>
  <si>
    <t>https://analytics.zoho.com/open-view/2395394000008463005?ZOHO_CRITERIA=%22Localiza%20CL%22.%22Codreg%22%20%3D%201</t>
  </si>
  <si>
    <t>Población en Control del Programa de Cáncer de Cuello Uterino por Rango Etario en la Región de Antofagasta, Periodo 2011-2018</t>
  </si>
  <si>
    <t>https://analytics.zoho.com/open-view/2395394000008463005?ZOHO_CRITERIA=%22Localiza%20CL%22.%22Codreg%22%20%3D%202</t>
  </si>
  <si>
    <t>Población en Control del Programa de Cáncer de Cuello Uterino por Rango Etario en la Región de Atacama, Periodo 2011-2018</t>
  </si>
  <si>
    <t>https://analytics.zoho.com/open-view/2395394000008463005?ZOHO_CRITERIA=%22Localiza%20CL%22.%22Codreg%22%20%3D%203</t>
  </si>
  <si>
    <t>Población en Control del Programa de Cáncer de Cuello Uterino por Rango Etario en la Región de Coquimbo, Periodo 2011-2018</t>
  </si>
  <si>
    <t>https://analytics.zoho.com/open-view/2395394000008463005?ZOHO_CRITERIA=%22Localiza%20CL%22.%22Codreg%22%20%3D%204</t>
  </si>
  <si>
    <t>Población en Control del Programa de Cáncer de Cuello Uterino por Rango Etario en la Región de Valparaíso, Periodo 2011-2018</t>
  </si>
  <si>
    <t>https://analytics.zoho.com/open-view/2395394000008463005?ZOHO_CRITERIA=%22Localiza%20CL%22.%22Codreg%22%20%3D%205</t>
  </si>
  <si>
    <t>Población en Control del Programa de Cáncer de Cuello Uterino por Rango Etario en la Región de O'Higgins, Periodo 2011-2018</t>
  </si>
  <si>
    <t>https://analytics.zoho.com/open-view/2395394000008463005?ZOHO_CRITERIA=%22Localiza%20CL%22.%22Codreg%22%20%3D%206</t>
  </si>
  <si>
    <t>Población en Control del Programa de Cáncer de Cuello Uterino por Rango Etario en la Región de Maule, Periodo 2011-2018</t>
  </si>
  <si>
    <t>https://analytics.zoho.com/open-view/2395394000008463005?ZOHO_CRITERIA=%22Localiza%20CL%22.%22Codreg%22%20%3D%207</t>
  </si>
  <si>
    <t>Población en Control del Programa de Cáncer de Cuello Uterino por Rango Etario en la Región del Biobío, Periodo 2011-2018</t>
  </si>
  <si>
    <t>https://analytics.zoho.com/open-view/2395394000008463005?ZOHO_CRITERIA=%22Localiza%20CL%22.%22Codreg%22%20%3D%208</t>
  </si>
  <si>
    <t>Población en Control del Programa de Cáncer de Cuello Uterino por Rango Etario en la Región de La Araucanía, Periodo 2011-2018</t>
  </si>
  <si>
    <t>https://analytics.zoho.com/open-view/2395394000008463005?ZOHO_CRITERIA=%22Localiza%20CL%22.%22Codreg%22%20%3D%209</t>
  </si>
  <si>
    <t>Población en Control del Programa de Cáncer de Cuello Uterino por Rango Etario en la Región de Los Lagos, Periodo 2011-2018</t>
  </si>
  <si>
    <t>https://analytics.zoho.com/open-view/2395394000008463005?ZOHO_CRITERIA=%22Localiza%20CL%22.%22Codreg%22%20%3D%2010</t>
  </si>
  <si>
    <t>Población en Control del Programa de Cáncer de Cuello Uterino por Rango Etario en la Región de Aysén, Periodo 2011-2018</t>
  </si>
  <si>
    <t>https://analytics.zoho.com/open-view/2395394000008463005?ZOHO_CRITERIA=%22Localiza%20CL%22.%22Codreg%22%20%3D%2011</t>
  </si>
  <si>
    <t>Población en Control del Programa de Cáncer de Cuello Uterino por Rango Etario en la Región de Magallanes, Periodo 2011-2018</t>
  </si>
  <si>
    <t>https://analytics.zoho.com/open-view/2395394000008463005?ZOHO_CRITERIA=%22Localiza%20CL%22.%22Codreg%22%20%3D%2012</t>
  </si>
  <si>
    <t>Población en Control del Programa de Cáncer de Cuello Uterino por Rango Etario en la Región Metropolitana, Periodo 2011-2018</t>
  </si>
  <si>
    <t>https://analytics.zoho.com/open-view/2395394000008463005?ZOHO_CRITERIA=%22Localiza%20CL%22.%22Codreg%22%20%3D%2013</t>
  </si>
  <si>
    <t>Población en Control del Programa de Cáncer de Cuello Uterino por Rango Etario en la Región de Los Ríos, Periodo 2011-2018</t>
  </si>
  <si>
    <t>https://analytics.zoho.com/open-view/2395394000008463005?ZOHO_CRITERIA=%22Localiza%20CL%22.%22Codreg%22%20%3D%2014</t>
  </si>
  <si>
    <t>Población en Control del Programa de Cáncer de Cuello Uterino por Rango Etario en la Región de Arica y Parinacota, Periodo 2011-2018</t>
  </si>
  <si>
    <t>https://analytics.zoho.com/open-view/2395394000008463005?ZOHO_CRITERIA=%22Localiza%20CL%22.%22Codreg%22%20%3D%2015</t>
  </si>
  <si>
    <t>Población en Control del Programa de Cáncer de Cuello Uterino por Rango Etario en la Región de Ñuble, Periodo 2011-2018</t>
  </si>
  <si>
    <t>https://analytics.zoho.com/open-view/2395394000008463005?ZOHO_CRITERIA=%22Localiza%20CL%22.%22Codreg%22%20%3D%2016</t>
  </si>
  <si>
    <t>Población en Control del Programa de Cáncer de Cuello Uterino por Región en Chile, Periodo 2011-2018</t>
  </si>
  <si>
    <t>Población en Control del Programa de Cáncer de Cuello Uterino en la Región de Tarapacá, Periodo 2011-2018</t>
  </si>
  <si>
    <t>https://analytics.zoho.com/open-view/2395394000008099329?ZOHO_CRITERIA=%22Localiza%20CL%22.%22Codreg%22%20%3D%201</t>
  </si>
  <si>
    <t>Población en Control del Programa de Cáncer de Cuello Uterino en la Región de Antofagasta, Periodo 2011-2018</t>
  </si>
  <si>
    <t>https://analytics.zoho.com/open-view/2395394000008099329?ZOHO_CRITERIA=%22Localiza%20CL%22.%22Codreg%22%20%3D%202</t>
  </si>
  <si>
    <t>Población en Control del Programa de Cáncer de Cuello Uterino en la Región de Atacama, Periodo 2011-2018</t>
  </si>
  <si>
    <t>https://analytics.zoho.com/open-view/2395394000008099329?ZOHO_CRITERIA=%22Localiza%20CL%22.%22Codreg%22%20%3D%203</t>
  </si>
  <si>
    <t>Población en Control del Programa de Cáncer de Cuello Uterino en la Región de Coquimbo, Periodo 2011-2018</t>
  </si>
  <si>
    <t>https://analytics.zoho.com/open-view/2395394000008099329?ZOHO_CRITERIA=%22Localiza%20CL%22.%22Codreg%22%20%3D%204</t>
  </si>
  <si>
    <t>Población en Control del Programa de Cáncer de Cuello Uterino en la Región de Valparaíso, Periodo 2011-2018</t>
  </si>
  <si>
    <t>https://analytics.zoho.com/open-view/2395394000008099329?ZOHO_CRITERIA=%22Localiza%20CL%22.%22Codreg%22%20%3D%205</t>
  </si>
  <si>
    <t>Población en Control del Programa de Cáncer de Cuello Uterino en la Región de O'Higgins, Periodo 2011-2018</t>
  </si>
  <si>
    <t>https://analytics.zoho.com/open-view/2395394000008099329?ZOHO_CRITERIA=%22Localiza%20CL%22.%22Codreg%22%20%3D%206</t>
  </si>
  <si>
    <t>Población en Control del Programa de Cáncer de Cuello Uterino en la Región de Maule, Periodo 2011-2018</t>
  </si>
  <si>
    <t>https://analytics.zoho.com/open-view/2395394000008099329?ZOHO_CRITERIA=%22Localiza%20CL%22.%22Codreg%22%20%3D%207</t>
  </si>
  <si>
    <t>Población en Control del Programa de Cáncer de Cuello Uterino en la Región del Biobío, Periodo 2011-2018</t>
  </si>
  <si>
    <t>https://analytics.zoho.com/open-view/2395394000008099329?ZOHO_CRITERIA=%22Localiza%20CL%22.%22Codreg%22%20%3D%208</t>
  </si>
  <si>
    <t>Población en Control del Programa de Cáncer de Cuello Uterino en la Región de La Araucanía, Periodo 2011-2018</t>
  </si>
  <si>
    <t>https://analytics.zoho.com/open-view/2395394000008099329?ZOHO_CRITERIA=%22Localiza%20CL%22.%22Codreg%22%20%3D%209</t>
  </si>
  <si>
    <t>Población en Control del Programa de Cáncer de Cuello Uterino en la Región de Los Lagos, Periodo 2011-2018</t>
  </si>
  <si>
    <t>https://analytics.zoho.com/open-view/2395394000008099329?ZOHO_CRITERIA=%22Localiza%20CL%22.%22Codreg%22%20%3D%2010</t>
  </si>
  <si>
    <t>Población en Control del Programa de Cáncer de Cuello Uterino en la Región de Aysén, Periodo 2011-2018</t>
  </si>
  <si>
    <t>https://analytics.zoho.com/open-view/2395394000008099329?ZOHO_CRITERIA=%22Localiza%20CL%22.%22Codreg%22%20%3D%2011</t>
  </si>
  <si>
    <t>Población en Control del Programa de Cáncer de Cuello Uterino en la Región de Magallanes, Periodo 2011-2018</t>
  </si>
  <si>
    <t>https://analytics.zoho.com/open-view/2395394000008099329?ZOHO_CRITERIA=%22Localiza%20CL%22.%22Codreg%22%20%3D%2012</t>
  </si>
  <si>
    <t>Población en Control del Programa de Cáncer de Cuello Uterino en la Región Metropolitana, Periodo 2011-2018</t>
  </si>
  <si>
    <t>https://analytics.zoho.com/open-view/2395394000008099329?ZOHO_CRITERIA=%22Localiza%20CL%22.%22Codreg%22%20%3D%2013</t>
  </si>
  <si>
    <t>Población en Control del Programa de Cáncer de Cuello Uterino en la Región de Los Ríos, Periodo 2011-2018</t>
  </si>
  <si>
    <t>https://analytics.zoho.com/open-view/2395394000008099329?ZOHO_CRITERIA=%22Localiza%20CL%22.%22Codreg%22%20%3D%2014</t>
  </si>
  <si>
    <t>Población en Control del Programa de Cáncer de Cuello Uterino en la Región de Arica y Parinacota, Periodo 2011-2018</t>
  </si>
  <si>
    <t>https://analytics.zoho.com/open-view/2395394000008099329?ZOHO_CRITERIA=%22Localiza%20CL%22.%22Codreg%22%20%3D%2015</t>
  </si>
  <si>
    <t>Población en Control del Programa de Cáncer de Cuello Uterino en la Región de Ñuble, Periodo 2011-2018</t>
  </si>
  <si>
    <t>https://analytics.zoho.com/open-view/2395394000008099329?ZOHO_CRITERIA=%22Localiza%20CL%22.%22Codreg%22%20%3D%2016</t>
  </si>
  <si>
    <t>Evolución de Población en Control en el Programa de VIH/SIDA y Variación Anual en Chile, Periodo 2012-2018</t>
  </si>
  <si>
    <t>Población en Control del Programa de Cáncer de Cuello Uterino en la Región de Tarapacá, Periodo 2012-2018</t>
  </si>
  <si>
    <t>Población en Control del Programa de Cáncer de Cuello Uterino en la Región de Antofagasta, Periodo 2012-2018</t>
  </si>
  <si>
    <t>Población en Control del Programa de Cáncer de Cuello Uterino en la Región de Atacama, Periodo 2012-2018</t>
  </si>
  <si>
    <t>Población en Control del Programa de Cáncer de Cuello Uterino en la Región de Coquimbo, Periodo 2012-2018</t>
  </si>
  <si>
    <t>Población en Control del Programa de Cáncer de Cuello Uterino en la Región de Valparaíso, Periodo 2012-2018</t>
  </si>
  <si>
    <t>Población en Control del Programa de Cáncer de Cuello Uterino en la Región de O'Higgins, Periodo 2012-2018</t>
  </si>
  <si>
    <t>Población en Control del Programa de Cáncer de Cuello Uterino en la Región de Maule, Periodo 2012-2018</t>
  </si>
  <si>
    <t>Población en Control del Programa de Cáncer de Cuello Uterino en la Región del Biobío, Periodo 2012-2018</t>
  </si>
  <si>
    <t>Población en Control del Programa de Cáncer de Cuello Uterino en la Región de La Araucanía, Periodo 2012-2018</t>
  </si>
  <si>
    <t>Población en Control del Programa de Cáncer de Cuello Uterino en la Región de Los Lagos, Periodo 2012-2018</t>
  </si>
  <si>
    <t>Población en Control del Programa de Cáncer de Cuello Uterino en la Región de Aysén, Periodo 2012-2018</t>
  </si>
  <si>
    <t>Población en Control del Programa de Cáncer de Cuello Uterino en la Región de Magallanes, Periodo 2012-2018</t>
  </si>
  <si>
    <t>Población en Control del Programa de Cáncer de Cuello Uterino en la Región Metropolitana, Periodo 2012-2018</t>
  </si>
  <si>
    <t>Población en Control del Programa de Cáncer de Cuello Uterino en la Región de Los Ríos, Periodo 2012-2018</t>
  </si>
  <si>
    <t>Población en Control del Programa de Cáncer de Cuello Uterino en la Región de Arica y Parinacota, Periodo 2012-2018</t>
  </si>
  <si>
    <t>Población en Control del Programa de Cáncer de Cuello Uterino en la Región de Ñuble, Periodo 2012-2018</t>
  </si>
  <si>
    <t>Cantidad de Predios Agrícolas por Comuna en Chile, Periodo 2006-2019</t>
  </si>
  <si>
    <t>Cantidad de Predios Agrícolas por Comuna en la Región de Tarapacá, Periodo 2006-2019</t>
  </si>
  <si>
    <t>https://analytics.zoho.com/open-view/2395394000008464535?ZOHO_CRITERIA=%22Localiza%20CL%22.%22Codreg%22%20%3D%201</t>
  </si>
  <si>
    <t>Cantidad de Predios Agrícolas por Comuna en la Región de Antofagasta, Periodo 2006-2019</t>
  </si>
  <si>
    <t>https://analytics.zoho.com/open-view/2395394000008464535?ZOHO_CRITERIA=%22Localiza%20CL%22.%22Codreg%22%20%3D%202</t>
  </si>
  <si>
    <t>Cantidad de Predios Agrícolas por Comuna en la Región de Atacama, Periodo 2006-2019</t>
  </si>
  <si>
    <t>https://analytics.zoho.com/open-view/2395394000008464535?ZOHO_CRITERIA=%22Localiza%20CL%22.%22Codreg%22%20%3D%203</t>
  </si>
  <si>
    <t>Cantidad de Predios Agrícolas por Comuna en la Región de Coquimbo, Periodo 2006-2019</t>
  </si>
  <si>
    <t>https://analytics.zoho.com/open-view/2395394000008464535?ZOHO_CRITERIA=%22Localiza%20CL%22.%22Codreg%22%20%3D%204</t>
  </si>
  <si>
    <t>Cantidad de Predios Agrícolas por Comuna en la Región de Valparaíso, Periodo 2006-2019</t>
  </si>
  <si>
    <t>https://analytics.zoho.com/open-view/2395394000008464535?ZOHO_CRITERIA=%22Localiza%20CL%22.%22Codreg%22%20%3D%205</t>
  </si>
  <si>
    <t>Cantidad de Predios Agrícolas por Comuna en la Región de O'Higgins, Periodo 2006-2019</t>
  </si>
  <si>
    <t>https://analytics.zoho.com/open-view/2395394000008464535?ZOHO_CRITERIA=%22Localiza%20CL%22.%22Codreg%22%20%3D%206</t>
  </si>
  <si>
    <t>Cantidad de Predios Agrícolas por Comuna en la Región de Maule, Periodo 2006-2019</t>
  </si>
  <si>
    <t>https://analytics.zoho.com/open-view/2395394000008464535?ZOHO_CRITERIA=%22Localiza%20CL%22.%22Codreg%22%20%3D%207</t>
  </si>
  <si>
    <t>Cantidad de Predios Agrícolas por Comuna en la Región del Biobío, Periodo 2006-2019</t>
  </si>
  <si>
    <t>https://analytics.zoho.com/open-view/2395394000008464535?ZOHO_CRITERIA=%22Localiza%20CL%22.%22Codreg%22%20%3D%208</t>
  </si>
  <si>
    <t>Cantidad de Predios Agrícolas por Comuna en la Región de La Araucanía, Periodo 2006-2019</t>
  </si>
  <si>
    <t>https://analytics.zoho.com/open-view/2395394000008464535?ZOHO_CRITERIA=%22Localiza%20CL%22.%22Codreg%22%20%3D%209</t>
  </si>
  <si>
    <t>Cantidad de Predios Agrícolas por Comuna en la Región de Los Lagos, Periodo 2006-2019</t>
  </si>
  <si>
    <t>https://analytics.zoho.com/open-view/2395394000008464535?ZOHO_CRITERIA=%22Localiza%20CL%22.%22Codreg%22%20%3D%2010</t>
  </si>
  <si>
    <t>Cantidad de Predios Agrícolas por Comuna en la Región de Aysén, Periodo 2006-2019</t>
  </si>
  <si>
    <t>https://analytics.zoho.com/open-view/2395394000008464535?ZOHO_CRITERIA=%22Localiza%20CL%22.%22Codreg%22%20%3D%2011</t>
  </si>
  <si>
    <t>Cantidad de Predios Agrícolas por Comuna en la Región de Magallanes, Periodo 2006-2019</t>
  </si>
  <si>
    <t>https://analytics.zoho.com/open-view/2395394000008464535?ZOHO_CRITERIA=%22Localiza%20CL%22.%22Codreg%22%20%3D%2012</t>
  </si>
  <si>
    <t>Cantidad de Predios Agrícolas por Comuna en la Región Metropolitana, Periodo 2006-2019</t>
  </si>
  <si>
    <t>https://analytics.zoho.com/open-view/2395394000008464535?ZOHO_CRITERIA=%22Localiza%20CL%22.%22Codreg%22%20%3D%2013</t>
  </si>
  <si>
    <t>Cantidad de Predios Agrícolas por Comuna en la Región de Los Ríos, Periodo 2006-2019</t>
  </si>
  <si>
    <t>https://analytics.zoho.com/open-view/2395394000008464535?ZOHO_CRITERIA=%22Localiza%20CL%22.%22Codreg%22%20%3D%2014</t>
  </si>
  <si>
    <t>Cantidad de Predios Agrícolas por Comuna en la Región de Arica y Parinacota, Periodo 2006-2019</t>
  </si>
  <si>
    <t>https://analytics.zoho.com/open-view/2395394000008464535?ZOHO_CRITERIA=%22Localiza%20CL%22.%22Codreg%22%20%3D%2015</t>
  </si>
  <si>
    <t>Cantidad de Predios Agrícolas por Comuna en la Región de Ñuble, Periodo 2006-2019</t>
  </si>
  <si>
    <t>https://analytics.zoho.com/open-view/2395394000008464535?ZOHO_CRITERIA=%22Localiza%20CL%22.%22Codreg%22%20%3D%2016</t>
  </si>
  <si>
    <t>Top 10 de comunas en Chile con mayor cantidad de suscripciones a internet fija, Periodo 2007-2019</t>
  </si>
  <si>
    <t>Mapa de cantidad de conexiones a internet fija en Chile, Año 2019</t>
  </si>
  <si>
    <t>Mapa de cantidad de conexiones a internet fija en la Región de Tarapacá, Año 2019</t>
  </si>
  <si>
    <t>Mapa de cantidad de conexiones a internet fija en la Región de Antofagasta, Año 2019</t>
  </si>
  <si>
    <t>Mapa de cantidad de conexiones a internet fija en la Región de Atacama, Año 2019</t>
  </si>
  <si>
    <t>Mapa de cantidad de conexiones a internet fija en la Región de Coquimbo, Año 2019</t>
  </si>
  <si>
    <t>Mapa de cantidad de conexiones a internet fija en la Región de Valparaíso, Año 2019</t>
  </si>
  <si>
    <t>Mapa de cantidad de conexiones a internet fija en la Región de O'Higgins, Año 2019</t>
  </si>
  <si>
    <t>Mapa de cantidad de conexiones a internet fija en la Región de Maule, Año 2019</t>
  </si>
  <si>
    <t>Mapa de cantidad de conexiones a internet fija en la Región del Biobío, Año 2019</t>
  </si>
  <si>
    <t>Mapa de cantidad de conexiones a internet fija en la Región de La Araucanía, Año 2019</t>
  </si>
  <si>
    <t>Mapa de cantidad de conexiones a internet fija en la Región de Los Lagos, Año 2019</t>
  </si>
  <si>
    <t>Mapa de cantidad de conexiones a internet fija en la Región de Aysén, Año 2019</t>
  </si>
  <si>
    <t>Mapa de cantidad de conexiones a internet fija en la Región de Magallanes, Año 2019</t>
  </si>
  <si>
    <t>Mapa de cantidad de conexiones a internet fija en la Región Metropolitana, Año 2019</t>
  </si>
  <si>
    <t>Mapa de cantidad de conexiones a internet fija en la Región de Los Ríos, Año 2019</t>
  </si>
  <si>
    <t>Mapa de cantidad de conexiones a internet fija en la Región de Arica y Parinacota, Año 2019</t>
  </si>
  <si>
    <t>Mapa de cantidad de conexiones a internet fija en la Región de Ñuble, Año 2019</t>
  </si>
  <si>
    <t>Evolución de los suscriptores de televisión de pago en Chile, Periodo 2007-2019</t>
  </si>
  <si>
    <t>Evolución de los suscriptores de televisión de pago en la Región de Tarapacá, Periodo 2007-2019</t>
  </si>
  <si>
    <t>Evolución de los suscriptores de televisión de pago en la Región de Antofagasta, Periodo 2007-2019</t>
  </si>
  <si>
    <t>Evolución de los suscriptores de televisión de pago en la Región de Atacama, Periodo 2007-2019</t>
  </si>
  <si>
    <t>Evolución de los suscriptores de televisión de pago en la Región de Coquimbo, Periodo 2007-2019</t>
  </si>
  <si>
    <t>Evolución de los suscriptores de televisión de pago en la Región de Valparaíso, Periodo 2007-2019</t>
  </si>
  <si>
    <t>Evolución de los suscriptores de televisión de pago en la Región de O'Higgins, Periodo 2007-2019</t>
  </si>
  <si>
    <t>Evolución de los suscriptores de televisión de pago en la Región de Maule, Periodo 2007-2019</t>
  </si>
  <si>
    <t>Evolución de los suscriptores de televisión de pago en la Región del Biobío, Periodo 2007-2019</t>
  </si>
  <si>
    <t>Evolución de los suscriptores de televisión de pago en la Región de La Araucanía, Periodo 2007-2019</t>
  </si>
  <si>
    <t>Evolución de los suscriptores de televisión de pago en la Región de Los Lagos, Periodo 2007-2019</t>
  </si>
  <si>
    <t>Evolución de los suscriptores de televisión de pago en la Región de Aysén, Periodo 2007-2019</t>
  </si>
  <si>
    <t>Evolución de los suscriptores de televisión de pago en la Región de Magallanes, Periodo 2007-2019</t>
  </si>
  <si>
    <t>Evolución de los suscriptores de televisión de pago en la Región Metropolitana, Periodo 2007-2019</t>
  </si>
  <si>
    <t>Evolución de los suscriptores de televisión de pago en la Región de Los Ríos, Periodo 2007-2019</t>
  </si>
  <si>
    <t>Evolución de los suscriptores de televisión de pago en la Región de Arica y Parinacota, Periodo 2007-2019</t>
  </si>
  <si>
    <t>Evolución de los suscriptores de televisión de pago en la Región de Ñuble, Periodo 2007-2019</t>
  </si>
  <si>
    <t>https://analytics.zoho.com/open-view/2395394000009355924?ZOHO_CRITERIA=%22Consolidado_Estadisticas_Regionales_New%22.%22C%C3%B3digo%20regi%C3%B3n%22%3D1</t>
  </si>
  <si>
    <t>https://analytics.zoho.com/open-view/2395394000009355924?ZOHO_CRITERIA=%22Consolidado_Estadisticas_Regionales_New%22.%22C%C3%B3digo%20regi%C3%B3n%22%3D2</t>
  </si>
  <si>
    <t>https://analytics.zoho.com/open-view/2395394000009355924?ZOHO_CRITERIA=%22Consolidado_Estadisticas_Regionales_New%22.%22C%C3%B3digo%20regi%C3%B3n%22%3D3</t>
  </si>
  <si>
    <t>https://analytics.zoho.com/open-view/2395394000009355924?ZOHO_CRITERIA=%22Consolidado_Estadisticas_Regionales_New%22.%22C%C3%B3digo%20regi%C3%B3n%22%3D4</t>
  </si>
  <si>
    <t>https://analytics.zoho.com/open-view/2395394000009355924?ZOHO_CRITERIA=%22Consolidado_Estadisticas_Regionales_New%22.%22C%C3%B3digo%20regi%C3%B3n%22%3D5</t>
  </si>
  <si>
    <t>https://analytics.zoho.com/open-view/2395394000009355924?ZOHO_CRITERIA=%22Consolidado_Estadisticas_Regionales_New%22.%22C%C3%B3digo%20regi%C3%B3n%22%3D6</t>
  </si>
  <si>
    <t>https://analytics.zoho.com/open-view/2395394000009355924?ZOHO_CRITERIA=%22Consolidado_Estadisticas_Regionales_New%22.%22C%C3%B3digo%20regi%C3%B3n%22%3D7</t>
  </si>
  <si>
    <t>https://analytics.zoho.com/open-view/2395394000009355924?ZOHO_CRITERIA=%22Consolidado_Estadisticas_Regionales_New%22.%22C%C3%B3digo%20regi%C3%B3n%22%3D8</t>
  </si>
  <si>
    <t>https://analytics.zoho.com/open-view/2395394000009355924?ZOHO_CRITERIA=%22Consolidado_Estadisticas_Regionales_New%22.%22C%C3%B3digo%20regi%C3%B3n%22%3D9</t>
  </si>
  <si>
    <t>https://analytics.zoho.com/open-view/2395394000009355924?ZOHO_CRITERIA=%22Consolidado_Estadisticas_Regionales_New%22.%22C%C3%B3digo%20regi%C3%B3n%22%3D10</t>
  </si>
  <si>
    <t>https://analytics.zoho.com/open-view/2395394000009355924?ZOHO_CRITERIA=%22Consolidado_Estadisticas_Regionales_New%22.%22C%C3%B3digo%20regi%C3%B3n%22%3D11</t>
  </si>
  <si>
    <t>https://analytics.zoho.com/open-view/2395394000009355924?ZOHO_CRITERIA=%22Consolidado_Estadisticas_Regionales_New%22.%22C%C3%B3digo%20regi%C3%B3n%22%3D12</t>
  </si>
  <si>
    <t>https://analytics.zoho.com/open-view/2395394000009355924?ZOHO_CRITERIA=%22Consolidado_Estadisticas_Regionales_New%22.%22C%C3%B3digo%20regi%C3%B3n%22%3D13</t>
  </si>
  <si>
    <t>https://analytics.zoho.com/open-view/2395394000009355924?ZOHO_CRITERIA=%22Consolidado_Estadisticas_Regionales_New%22.%22C%C3%B3digo%20regi%C3%B3n%22%3D14</t>
  </si>
  <si>
    <t>https://analytics.zoho.com/open-view/2395394000009355924?ZOHO_CRITERIA=%22Consolidado_Estadisticas_Regionales_New%22.%22C%C3%B3digo%20regi%C3%B3n%22%3D15</t>
  </si>
  <si>
    <t>https://analytics.zoho.com/open-view/2395394000009355924?ZOHO_CRITERIA=%22Consolidado_Estadisticas_Regionales_New%22.%22C%C3%B3digo%20regi%C3%B3n%22%3D16</t>
  </si>
  <si>
    <t>https://analytics.zoho.com/open-view/2395394000009369252?ZOHO_CRITERIA=%22Consolidado_Estadisticas_Regionales_New%22.%22C%C3%B3digo%20regi%C3%B3n%22%3D1</t>
  </si>
  <si>
    <t>https://analytics.zoho.com/open-view/2395394000009369252?ZOHO_CRITERIA=%22Consolidado_Estadisticas_Regionales_New%22.%22C%C3%B3digo%20regi%C3%B3n%22%3D2</t>
  </si>
  <si>
    <t>https://analytics.zoho.com/open-view/2395394000009369252?ZOHO_CRITERIA=%22Consolidado_Estadisticas_Regionales_New%22.%22C%C3%B3digo%20regi%C3%B3n%22%3D3</t>
  </si>
  <si>
    <t>https://analytics.zoho.com/open-view/2395394000009369252?ZOHO_CRITERIA=%22Consolidado_Estadisticas_Regionales_New%22.%22C%C3%B3digo%20regi%C3%B3n%22%3D4</t>
  </si>
  <si>
    <t>https://analytics.zoho.com/open-view/2395394000009369252?ZOHO_CRITERIA=%22Consolidado_Estadisticas_Regionales_New%22.%22C%C3%B3digo%20regi%C3%B3n%22%3D5</t>
  </si>
  <si>
    <t>https://analytics.zoho.com/open-view/2395394000009369252?ZOHO_CRITERIA=%22Consolidado_Estadisticas_Regionales_New%22.%22C%C3%B3digo%20regi%C3%B3n%22%3D6</t>
  </si>
  <si>
    <t>https://analytics.zoho.com/open-view/2395394000009369252?ZOHO_CRITERIA=%22Consolidado_Estadisticas_Regionales_New%22.%22C%C3%B3digo%20regi%C3%B3n%22%3D7</t>
  </si>
  <si>
    <t>https://analytics.zoho.com/open-view/2395394000009369252?ZOHO_CRITERIA=%22Consolidado_Estadisticas_Regionales_New%22.%22C%C3%B3digo%20regi%C3%B3n%22%3D8</t>
  </si>
  <si>
    <t>https://analytics.zoho.com/open-view/2395394000009369252?ZOHO_CRITERIA=%22Consolidado_Estadisticas_Regionales_New%22.%22C%C3%B3digo%20regi%C3%B3n%22%3D9</t>
  </si>
  <si>
    <t>https://analytics.zoho.com/open-view/2395394000009369252?ZOHO_CRITERIA=%22Consolidado_Estadisticas_Regionales_New%22.%22C%C3%B3digo%20regi%C3%B3n%22%3D10</t>
  </si>
  <si>
    <t>https://analytics.zoho.com/open-view/2395394000009369252?ZOHO_CRITERIA=%22Consolidado_Estadisticas_Regionales_New%22.%22C%C3%B3digo%20regi%C3%B3n%22%3D11</t>
  </si>
  <si>
    <t>https://analytics.zoho.com/open-view/2395394000009369252?ZOHO_CRITERIA=%22Consolidado_Estadisticas_Regionales_New%22.%22C%C3%B3digo%20regi%C3%B3n%22%3D12</t>
  </si>
  <si>
    <t>https://analytics.zoho.com/open-view/2395394000009369252?ZOHO_CRITERIA=%22Consolidado_Estadisticas_Regionales_New%22.%22C%C3%B3digo%20regi%C3%B3n%22%3D13</t>
  </si>
  <si>
    <t>https://analytics.zoho.com/open-view/2395394000009369252?ZOHO_CRITERIA=%22Consolidado_Estadisticas_Regionales_New%22.%22C%C3%B3digo%20regi%C3%B3n%22%3D14</t>
  </si>
  <si>
    <t>https://analytics.zoho.com/open-view/2395394000009369252?ZOHO_CRITERIA=%22Consolidado_Estadisticas_Regionales_New%22.%22C%C3%B3digo%20regi%C3%B3n%22%3D15</t>
  </si>
  <si>
    <t>https://analytics.zoho.com/open-view/2395394000009369252?ZOHO_CRITERIA=%22Consolidado_Estadisticas_Regionales_New%22.%22C%C3%B3digo%20regi%C3%B3n%22%3D16</t>
  </si>
  <si>
    <t>Evolución de la Superficie de las solicitudes de edificación Habitacional autorizada para construcción de Obras Nuevas a Escala Nacional, Periodo 2014-2021</t>
  </si>
  <si>
    <t>Evolución de la Superficie de las solicitudes de edificación habitacional autorizada para construcción de Obras Nuevas en la Región de Tarapacá, Periodo 2014-2021</t>
  </si>
  <si>
    <t>Evolución de la Superficie de las solicitudes de edificación habitacional autorizada para construcción de Obras Nuevas en la Región de Antofagasta, Periodo 2014-2021</t>
  </si>
  <si>
    <t>Evolución de la Superficie de las solicitudes de edificación habitacional autorizada para construcción de Obras Nuevas en la Región de Atacama, Periodo 2014-2021</t>
  </si>
  <si>
    <t>Evolución de la Superficie de las solicitudes de edificación habitacional autorizada para construcción de Obras Nuevas en la Región de Coquimbo, Periodo 2014-2021</t>
  </si>
  <si>
    <t>Evolución de la Superficie de las solicitudes de edificación habitacional autorizada para construcción de Obras Nuevas en la Región de Valparaíso, Periodo 2014-2021</t>
  </si>
  <si>
    <t>Evolución de la Superficie de las solicitudes de edificación habitacional autorizada para construcción de Obras Nuevas en la Región de O'Higgins, Periodo 2014-2021</t>
  </si>
  <si>
    <t>Evolución de la Superficie de las solicitudes de edificación habitacional autorizada para construcción de Obras Nuevas en la Región de Maule, Periodo 2014-2021</t>
  </si>
  <si>
    <t>Evolución de la Superficie de las solicitudes de edificación habitacional autorizada para construcción de Obras Nuevas en la Región del Biobío, Periodo 2014-2021</t>
  </si>
  <si>
    <t>Evolución de la Superficie de las solicitudes de edificación habitacional autorizada para construcción de Obras Nuevas en la Región de La Araucanía, Periodo 2014-2021</t>
  </si>
  <si>
    <t>Evolución de la Superficie de las solicitudes de edificación habitacional autorizada para construcción de Obras Nuevas en la Región de Los Lagos, Periodo 2014-2021</t>
  </si>
  <si>
    <t>Evolución de la Superficie de las solicitudes de edificación habitacional autorizada para construcción de Obras Nuevas en la Región de Aysén, Periodo 2014-2021</t>
  </si>
  <si>
    <t>Evolución de la Superficie de las solicitudes de edificación habitacional autorizada para construcción de Obras Nuevas en la Región de Magallanes, Periodo 2014-2021</t>
  </si>
  <si>
    <t>Evolución de la Superficie de las solicitudes de edificación habitacional autorizada para construcción de Obras Nuevas en la Región Metropolitana, Periodo 2014-2021</t>
  </si>
  <si>
    <t>Evolución de la Superficie de las solicitudes de edificación habitacional autorizada para construcción de Obras Nuevas en la Región de Los Ríos, Periodo 2014-2021</t>
  </si>
  <si>
    <t>Evolución de la Superficie de las solicitudes de edificación habitacional autorizada para construcción de Obras Nuevas en la Región de Arica y Parinacota, Periodo 2014-2021</t>
  </si>
  <si>
    <t>Evolución de la Superficie de las solicitudes de edificación habitacional autorizada para construcción de Obras Nuevas en la Región de Ñuble, Periodo 2014-2021</t>
  </si>
  <si>
    <t>Evolución Mensual del Número de Viviendas Autorizadas para Construcción en la Región de Tarapacá, Periodo 2014-2021</t>
  </si>
  <si>
    <t>Evolución Mensual del Número de Viviendas Autorizadas para Construcción en la Región de Antofagasta, Periodo 2014-2021</t>
  </si>
  <si>
    <t>Evolución Mensual del Número de Viviendas Autorizadas para Construcción en la Región de Atacama, Periodo 2014-2021</t>
  </si>
  <si>
    <t>Evolución Mensual del Número de Viviendas Autorizadas para Construcción en la Región de Coquimbo, Periodo 2014-2021</t>
  </si>
  <si>
    <t>Evolución Mensual del Número de Viviendas Autorizadas para Construcción en la Región de O'Higgins, Periodo 2014-2021</t>
  </si>
  <si>
    <t>Evolución Mensual del Número de Viviendas Autorizadas para Construcción en la Región de Maule, Periodo 2014-2021</t>
  </si>
  <si>
    <t>Evolución Mensual del Número de Viviendas Autorizadas para Construcción en la Región del Biobío, Periodo 2014-2021</t>
  </si>
  <si>
    <t>Evolución Mensual del Número de Viviendas Autorizadas para Construcción en la Región de La Araucanía, Periodo 2014-2021</t>
  </si>
  <si>
    <t>Evolución Mensual del Número de Viviendas Autorizadas para Construcción en la Región de Los Lagos, Periodo 2014-2021</t>
  </si>
  <si>
    <t>Evolución Mensual del Número de Viviendas Autorizadas para Construcción en la Región de Aysén, Periodo 2014-2021</t>
  </si>
  <si>
    <t>Evolución Mensual del Número de Viviendas Autorizadas para Construcción en la Región de Magallanes, Periodo 2014-2021</t>
  </si>
  <si>
    <t>Evolución Mensual del Número de Viviendas Autorizadas para Construcción en la Región Metropolitana, Periodo 2014-2021</t>
  </si>
  <si>
    <t>Evolución Mensual del Número de Viviendas Autorizadas para Construcción en la Región de Los Ríos, Periodo 2014-2021</t>
  </si>
  <si>
    <t>Evolución Mensual del Número de Viviendas Autorizadas para Construcción en la Región de Arica y Parinacota, Periodo 2014-2021</t>
  </si>
  <si>
    <t>Evolución Mensual del Número de Viviendas Autorizadas para Construcción en la Región de Ñuble, Periodo 2014-2021</t>
  </si>
  <si>
    <t>Evolución de la Superficie de las solicitudes de edificación No Habitacional autorizada para construcción de Ampliaciones de la Industria, Comercio y Establecimientos Financieros (ICEF) en la Región de Tarapacá, Periodo 2014-2021</t>
  </si>
  <si>
    <t>Evolución de la Superficie de las solicitudes de edificación No Habitacional autorizada para construcción de Ampliaciones de la Industria, Comercio y Establecimientos Financieros (ICEF) en la Región de Antofagasta, Periodo 2014-2021</t>
  </si>
  <si>
    <t>Evolución de la Superficie de las solicitudes de edificación No Habitacional autorizada para construcción de Ampliaciones de la Industria, Comercio y Establecimientos Financieros (ICEF) en la Región de Atacama, Periodo 2014-2021</t>
  </si>
  <si>
    <t>Evolución de la Superficie de las solicitudes de edificación No Habitacional autorizada para construcción de Ampliaciones de la Industria, Comercio y Establecimientos Financieros (ICEF) en la Región de Coquimbo, Periodo 2014-2021</t>
  </si>
  <si>
    <t>Evolución de la Superficie de las solicitudes de edificación No Habitacional autorizada para construcción de Ampliaciones de la Industria, Comercio y Establecimientos Financieros (ICEF) en la Región de Valparaíso, Periodo 2014-2021</t>
  </si>
  <si>
    <t>Evolución de la Superficie de las solicitudes de edificación No Habitacional autorizada para construcción de Ampliaciones de la Industria, Comercio y Establecimientos Financieros (ICEF) en la Región de O'Higgins, Periodo 2014-2021</t>
  </si>
  <si>
    <t>Evolución de la Superficie de las solicitudes de edificación No Habitacional autorizada para construcción de Ampliaciones de la Industria, Comercio y Establecimientos Financieros (ICEF) en la Región de Maule, Periodo 2014-2021</t>
  </si>
  <si>
    <t>Evolución de la Superficie de las solicitudes de edificación No Habitacional autorizada para construcción de Ampliaciones de la Industria, Comercio y Establecimientos Financieros (ICEF) en la Región del Biobío, Periodo 2014-2021</t>
  </si>
  <si>
    <t>Evolución de la Superficie de las solicitudes de edificación No Habitacional autorizada para construcción de Ampliaciones de la Industria, Comercio y Establecimientos Financieros (ICEF) en la Región de La Araucanía, Periodo 2014-2021</t>
  </si>
  <si>
    <t>Evolución de la Superficie de las solicitudes de edificación No Habitacional autorizada para construcción de Ampliaciones de la Industria, Comercio y Establecimientos Financieros (ICEF) en la Región de Los Lagos, Periodo 2014-2021</t>
  </si>
  <si>
    <t>Evolución de la Superficie de las solicitudes de edificación No Habitacional autorizada para construcción de Ampliaciones de la Industria, Comercio y Establecimientos Financieros (ICEF) en la Región de Aysén, Periodo 2014-2021</t>
  </si>
  <si>
    <t>Evolución de la Superficie de las solicitudes de edificación No Habitacional autorizada para construcción de Ampliaciones de la Industria, Comercio y Establecimientos Financieros (ICEF) en la Región de Magallanes, Periodo 2014-2021</t>
  </si>
  <si>
    <t>Evolución de la Superficie de las solicitudes de edificación No Habitacional autorizada para construcción de Ampliaciones de la Industria, Comercio y Establecimientos Financieros (ICEF) en la Región Metropolitana, Periodo 2014-2021</t>
  </si>
  <si>
    <t>Evolución de la Superficie de las solicitudes de edificación No Habitacional autorizada para construcción de Ampliaciones de la Industria, Comercio y Establecimientos Financieros (ICEF) en la Región de Los Ríos, Periodo 2014-2021</t>
  </si>
  <si>
    <t>Evolución de la Superficie de las solicitudes de edificación No Habitacional autorizada para construcción de Ampliaciones de la Industria, Comercio y Establecimientos Financieros (ICEF) en la Región de Arica y Parinacota, Periodo 2014-2021</t>
  </si>
  <si>
    <t>Evolución de la Superficie de las solicitudes de edificación No Habitacional autorizada para construcción de Ampliaciones de la Industria, Comercio y Establecimientos Financieros (ICEF) en la Región de Ñuble, Periodo 2014-2021</t>
  </si>
  <si>
    <t>https://analytics.zoho.com/open-view/2395394000009232951?ZOHO_CRITERIA=%22Localiza%20Chile%22.%22Codreg%22%3D1</t>
  </si>
  <si>
    <t>https://analytics.zoho.com/open-view/2395394000009232951?ZOHO_CRITERIA=%22Localiza%20Chile%22.%22Codreg%22%3D2</t>
  </si>
  <si>
    <t>https://analytics.zoho.com/open-view/2395394000009232951?ZOHO_CRITERIA=%22Localiza%20Chile%22.%22Codreg%22%3D3</t>
  </si>
  <si>
    <t>https://analytics.zoho.com/open-view/2395394000009232951?ZOHO_CRITERIA=%22Localiza%20Chile%22.%22Codreg%22%3D4</t>
  </si>
  <si>
    <t>https://analytics.zoho.com/open-view/2395394000009232951?ZOHO_CRITERIA=%22Localiza%20Chile%22.%22Codreg%22%3D5</t>
  </si>
  <si>
    <t>https://analytics.zoho.com/open-view/2395394000009232951?ZOHO_CRITERIA=%22Localiza%20Chile%22.%22Codreg%22%3D6</t>
  </si>
  <si>
    <t>https://analytics.zoho.com/open-view/2395394000009232951?ZOHO_CRITERIA=%22Localiza%20Chile%22.%22Codreg%22%3D7</t>
  </si>
  <si>
    <t>https://analytics.zoho.com/open-view/2395394000009232951?ZOHO_CRITERIA=%22Localiza%20Chile%22.%22Codreg%22%3D8</t>
  </si>
  <si>
    <t>https://analytics.zoho.com/open-view/2395394000009232951?ZOHO_CRITERIA=%22Localiza%20Chile%22.%22Codreg%22%3D9</t>
  </si>
  <si>
    <t>https://analytics.zoho.com/open-view/2395394000009232951?ZOHO_CRITERIA=%22Localiza%20Chile%22.%22Codreg%22%3D10</t>
  </si>
  <si>
    <t>https://analytics.zoho.com/open-view/2395394000009232951?ZOHO_CRITERIA=%22Localiza%20Chile%22.%22Codreg%22%3D11</t>
  </si>
  <si>
    <t>https://analytics.zoho.com/open-view/2395394000009232951?ZOHO_CRITERIA=%22Localiza%20Chile%22.%22Codreg%22%3D12</t>
  </si>
  <si>
    <t>https://analytics.zoho.com/open-view/2395394000009232951?ZOHO_CRITERIA=%22Localiza%20Chile%22.%22Codreg%22%3D13</t>
  </si>
  <si>
    <t>https://analytics.zoho.com/open-view/2395394000009232951?ZOHO_CRITERIA=%22Localiza%20Chile%22.%22Codreg%22%3D14</t>
  </si>
  <si>
    <t>https://analytics.zoho.com/open-view/2395394000009232951?ZOHO_CRITERIA=%22Localiza%20Chile%22.%22Codreg%22%3D15</t>
  </si>
  <si>
    <t>https://analytics.zoho.com/open-view/2395394000009232951?ZOHO_CRITERIA=%22Localiza%20Chile%22.%22Codreg%22%3D16</t>
  </si>
  <si>
    <t>https://analytics.zoho.com/open-view/2395394000009208859?ZOHO_CRITERIA=%22Localiza%20Chile%22.%22Codreg%22%3D1</t>
  </si>
  <si>
    <t>https://analytics.zoho.com/open-view/2395394000009208859?ZOHO_CRITERIA=%22Localiza%20Chile%22.%22Codreg%22%3D2</t>
  </si>
  <si>
    <t>https://analytics.zoho.com/open-view/2395394000009208859?ZOHO_CRITERIA=%22Localiza%20Chile%22.%22Codreg%22%3D3</t>
  </si>
  <si>
    <t>https://analytics.zoho.com/open-view/2395394000009208859?ZOHO_CRITERIA=%22Localiza%20Chile%22.%22Codreg%22%3D4</t>
  </si>
  <si>
    <t>https://analytics.zoho.com/open-view/2395394000009208859?ZOHO_CRITERIA=%22Localiza%20Chile%22.%22Codreg%22%3D5</t>
  </si>
  <si>
    <t>https://analytics.zoho.com/open-view/2395394000009208859?ZOHO_CRITERIA=%22Localiza%20Chile%22.%22Codreg%22%3D6</t>
  </si>
  <si>
    <t>https://analytics.zoho.com/open-view/2395394000009208859?ZOHO_CRITERIA=%22Localiza%20Chile%22.%22Codreg%22%3D7</t>
  </si>
  <si>
    <t>https://analytics.zoho.com/open-view/2395394000009208859?ZOHO_CRITERIA=%22Localiza%20Chile%22.%22Codreg%22%3D8</t>
  </si>
  <si>
    <t>https://analytics.zoho.com/open-view/2395394000009208859?ZOHO_CRITERIA=%22Localiza%20Chile%22.%22Codreg%22%3D9</t>
  </si>
  <si>
    <t>https://analytics.zoho.com/open-view/2395394000009208859?ZOHO_CRITERIA=%22Localiza%20Chile%22.%22Codreg%22%3D10</t>
  </si>
  <si>
    <t>https://analytics.zoho.com/open-view/2395394000009208859?ZOHO_CRITERIA=%22Localiza%20Chile%22.%22Codreg%22%3D11</t>
  </si>
  <si>
    <t>https://analytics.zoho.com/open-view/2395394000009208859?ZOHO_CRITERIA=%22Localiza%20Chile%22.%22Codreg%22%3D12</t>
  </si>
  <si>
    <t>https://analytics.zoho.com/open-view/2395394000009208859?ZOHO_CRITERIA=%22Localiza%20Chile%22.%22Codreg%22%3D13</t>
  </si>
  <si>
    <t>https://analytics.zoho.com/open-view/2395394000009208859?ZOHO_CRITERIA=%22Localiza%20Chile%22.%22Codreg%22%3D14</t>
  </si>
  <si>
    <t>https://analytics.zoho.com/open-view/2395394000009208859?ZOHO_CRITERIA=%22Localiza%20Chile%22.%22Codreg%22%3D15</t>
  </si>
  <si>
    <t>https://analytics.zoho.com/open-view/2395394000009208859?ZOHO_CRITERIA=%22Localiza%20Chile%22.%22Codreg%22%3D16</t>
  </si>
  <si>
    <t>Volumen fruta exportada</t>
  </si>
  <si>
    <t>Precios diarios de hortalizas</t>
  </si>
  <si>
    <t>Precios diarios de frutas</t>
  </si>
  <si>
    <t>Destino de fruta producida</t>
  </si>
  <si>
    <t>Superficie plantada</t>
  </si>
  <si>
    <t>Valor (USD) de Importaciones</t>
  </si>
  <si>
    <t>Peso (kg) de Importaciones</t>
  </si>
  <si>
    <t>Valor (USD) de Exportaciones</t>
  </si>
  <si>
    <t>Peso (kg) de Exportaciones</t>
  </si>
  <si>
    <t>Peso (kg) de Exportaciones e Importaciones</t>
  </si>
  <si>
    <t xml:space="preserve">Valor (USD) de Exportaciones </t>
  </si>
  <si>
    <t>Valor (USD) de Importaciones y Exportaciones</t>
  </si>
  <si>
    <t>Casos Activos por 1 millón de habitantes</t>
  </si>
  <si>
    <t>Índice de Fabricación de Sustancias y Productos Químicos</t>
  </si>
  <si>
    <t>Cupos de elección popular</t>
  </si>
  <si>
    <t>Trabajadores dependientes informados</t>
  </si>
  <si>
    <t>Capacidad instalada de generación</t>
  </si>
  <si>
    <t>Farmacias de Turno</t>
  </si>
  <si>
    <t>Fruta producida</t>
  </si>
  <si>
    <t>Valor de exportaciones</t>
  </si>
  <si>
    <t>Producción agrícola</t>
  </si>
  <si>
    <t>Volumen de importaciones</t>
  </si>
  <si>
    <t>Fallecidos por 1 millón de habitantes</t>
  </si>
  <si>
    <t>Delitos</t>
  </si>
  <si>
    <t>Casos Policiales</t>
  </si>
  <si>
    <t>Detenciones y Denuncias</t>
  </si>
  <si>
    <t>Supermercados con tres o más cajas instaladas</t>
  </si>
  <si>
    <t>Trabajadores informados</t>
  </si>
  <si>
    <t>Trabajadores</t>
  </si>
  <si>
    <t>Propietarios</t>
  </si>
  <si>
    <t xml:space="preserve">Centrales de Energía Renovable No Convencional </t>
  </si>
  <si>
    <t>Población</t>
  </si>
  <si>
    <t>Consultas</t>
  </si>
  <si>
    <t>Desempeño</t>
  </si>
  <si>
    <t>Causas de incendios</t>
  </si>
  <si>
    <t>Plantaciones Forestales</t>
  </si>
  <si>
    <t>Incendios</t>
  </si>
  <si>
    <t>Alumnos por docente</t>
  </si>
  <si>
    <t>Áreas Verdes Mantenidas</t>
  </si>
  <si>
    <t>Superficie de Plazas Públicas en Chile en el año 2019</t>
  </si>
  <si>
    <t>Hectáreas (ha)</t>
  </si>
  <si>
    <t>Ingresos Promedio Mensual</t>
  </si>
  <si>
    <t>Ingreso Promedio Mensual</t>
  </si>
  <si>
    <t>Emisiones de CO2</t>
  </si>
  <si>
    <t>Emisiones de CO2 equivalente</t>
  </si>
  <si>
    <t>Emisiones y Absorciones de CO2 equivalente</t>
  </si>
  <si>
    <t>Puntaje promedio</t>
  </si>
  <si>
    <t>Puntaje promedio y máximo</t>
  </si>
  <si>
    <t>Alumnos sobre 450 pts</t>
  </si>
  <si>
    <t>Producción de hierro</t>
  </si>
  <si>
    <t>Producción de cloruro de sodio</t>
  </si>
  <si>
    <t>Producción de cobre</t>
  </si>
  <si>
    <t>Casos de cáncer</t>
  </si>
  <si>
    <t>Desembarque industrial</t>
  </si>
  <si>
    <t>Desembarque artesanal</t>
  </si>
  <si>
    <t>Cosecha acuícola</t>
  </si>
  <si>
    <t>Población en control</t>
  </si>
  <si>
    <t>Población por rango etario</t>
  </si>
  <si>
    <t>Población de Pueblos Indígenas</t>
  </si>
  <si>
    <t>Suscriptores a televisión de pago</t>
  </si>
  <si>
    <t>Estado de PRDU</t>
  </si>
  <si>
    <t>Comunas con IPT</t>
  </si>
  <si>
    <t>Desocupación</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</si>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</sst>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_-* #,##0.00_-;\-* #,##0.00_-;_-* &quot;-&quot;??_-;_-@_-"/>
  </numFmts>
  <fonts count="21" x14ac:knownFonts="1">
    <font>
      <sz val="11"/>
      <color theme="1"/>
      <name val="Calibri"/>
      <family val="2"/>
      <scheme val="minor"/>
    </font>
    <font>
      <b/>
      <sz val="7"/>
      <color theme="0"/>
      <name val="Arial"/>
      <family val="2"/>
    </font>
    <font>
      <u/>
      <sz val="11"/>
      <color theme="1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8"/>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9"/>
      <name val="Calibri"/>
      <family val="2"/>
      <scheme val="minor"/>
    </font>
    <font>
      <u/>
      <sz val="8"/>
      <color rgb="FFFF0000"/>
      <name val="Calibri"/>
      <family val="2"/>
      <scheme val="minor"/>
    </font>
    <font>
      <b/>
      <sz val="9"/>
      <color theme="0"/>
      <name val="Calibri"/>
      <family val="2"/>
      <scheme val="minor"/>
    </font>
    <font>
      <sz val="11"/>
      <color theme="1"/>
      <name val="Calibri"/>
      <family val="2"/>
      <scheme val="minor"/>
    </font>
    <font>
      <u/>
      <sz val="8"/>
      <color theme="10"/>
      <name val="Calibri"/>
      <family val="2"/>
      <scheme val="minor"/>
    </font>
    <font>
      <sz val="11"/>
      <name val="Calibri"/>
      <family val="2"/>
      <scheme val="minor"/>
    </font>
    <font>
      <b/>
      <sz val="8"/>
      <color theme="0"/>
      <name val="Calibri"/>
      <family val="2"/>
      <scheme val="minor"/>
    </font>
    <font>
      <b/>
      <sz val="9"/>
      <color theme="0"/>
      <name val="Arial"/>
      <family val="2"/>
    </font>
    <font>
      <sz val="8"/>
      <color rgb="FFFF0000"/>
      <name val="Calibri"/>
      <family val="2"/>
      <scheme val="minor"/>
    </font>
    <font>
      <sz val="8"/>
      <color rgb="FF000000"/>
      <name val="Calibri"/>
      <family val="2"/>
      <scheme val="minor"/>
    </font>
  </fonts>
  <fills count="26">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rgb="FFFFFF00"/>
        <bgColor indexed="64"/>
      </patternFill>
    </fill>
    <fill>
      <patternFill patternType="solid">
        <fgColor theme="9" tint="-0.249977111117893"/>
        <bgColor theme="1"/>
      </patternFill>
    </fill>
    <fill>
      <patternFill patternType="solid">
        <fgColor theme="9" tint="-0.249977111117893"/>
        <bgColor indexed="64"/>
      </patternFill>
    </fill>
    <fill>
      <patternFill patternType="solid">
        <fgColor rgb="FFFF0000"/>
        <bgColor indexed="64"/>
      </patternFill>
    </fill>
    <fill>
      <patternFill patternType="solid">
        <fgColor rgb="FFFF0000"/>
        <bgColor theme="1"/>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5" tint="-0.249977111117893"/>
        <bgColor theme="1"/>
      </patternFill>
    </fill>
    <fill>
      <patternFill patternType="solid">
        <fgColor rgb="FF7030A0"/>
        <bgColor theme="1"/>
      </patternFill>
    </fill>
    <fill>
      <patternFill patternType="solid">
        <fgColor rgb="FF0070C0"/>
        <bgColor theme="1"/>
      </patternFill>
    </fill>
    <fill>
      <patternFill patternType="solid">
        <fgColor rgb="FF00B0F0"/>
        <bgColor indexed="64"/>
      </patternFill>
    </fill>
    <fill>
      <patternFill patternType="solid">
        <fgColor theme="9"/>
        <bgColor indexed="64"/>
      </patternFill>
    </fill>
    <fill>
      <patternFill patternType="solid">
        <fgColor rgb="FF92D05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249977111117893"/>
        <bgColor indexed="64"/>
      </patternFill>
    </fill>
    <fill>
      <patternFill patternType="solid">
        <fgColor theme="3" tint="0.59999389629810485"/>
        <bgColor indexed="64"/>
      </patternFill>
    </fill>
    <fill>
      <patternFill patternType="solid">
        <fgColor theme="7"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s>
  <cellStyleXfs count="5">
    <xf numFmtId="0" fontId="0" fillId="0" borderId="0"/>
    <xf numFmtId="0" fontId="2" fillId="0" borderId="0" applyNumberForma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41" fontId="14" fillId="0" borderId="0" applyFont="0" applyFill="0" applyBorder="0" applyAlignment="0" applyProtection="0"/>
  </cellStyleXfs>
  <cellXfs count="167">
    <xf numFmtId="0" fontId="0" fillId="0" borderId="0" xfId="0"/>
    <xf numFmtId="0" fontId="4" fillId="0" borderId="0" xfId="0" applyFont="1" applyAlignment="1">
      <alignment wrapText="1"/>
    </xf>
    <xf numFmtId="0" fontId="0" fillId="0" borderId="0" xfId="0" applyAlignment="1">
      <alignment horizontal="center"/>
    </xf>
    <xf numFmtId="0" fontId="1" fillId="5" borderId="2" xfId="0" applyFont="1" applyFill="1" applyBorder="1" applyAlignment="1">
      <alignment horizontal="left" vertical="center" wrapText="1"/>
    </xf>
    <xf numFmtId="0" fontId="10" fillId="7" borderId="0" xfId="0" applyFont="1" applyFill="1"/>
    <xf numFmtId="0" fontId="9" fillId="7" borderId="3" xfId="0" applyFont="1" applyFill="1" applyBorder="1"/>
    <xf numFmtId="0" fontId="1" fillId="2" borderId="4" xfId="0"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6" borderId="4" xfId="0" applyFont="1" applyFill="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0" fillId="4" borderId="0" xfId="0" applyFill="1"/>
    <xf numFmtId="0" fontId="1" fillId="8" borderId="2" xfId="0" applyFont="1" applyFill="1" applyBorder="1" applyAlignment="1">
      <alignment horizontal="left" vertical="center" wrapText="1"/>
    </xf>
    <xf numFmtId="0" fontId="6" fillId="9" borderId="1" xfId="0" applyFont="1" applyFill="1" applyBorder="1" applyAlignment="1">
      <alignment horizontal="center" vertical="center"/>
    </xf>
    <xf numFmtId="0" fontId="8" fillId="0" borderId="0" xfId="0" applyFont="1" applyAlignment="1">
      <alignment horizontal="center"/>
    </xf>
    <xf numFmtId="0" fontId="9" fillId="3" borderId="0" xfId="0" applyFont="1" applyFill="1"/>
    <xf numFmtId="0" fontId="8" fillId="4" borderId="0" xfId="0" applyFont="1" applyFill="1" applyAlignment="1">
      <alignment horizontal="center"/>
    </xf>
    <xf numFmtId="0" fontId="3" fillId="0" borderId="1" xfId="0" applyFont="1" applyFill="1" applyBorder="1" applyAlignment="1">
      <alignment horizontal="left" vertical="top" wrapText="1"/>
    </xf>
    <xf numFmtId="0" fontId="6" fillId="10" borderId="1" xfId="0" applyFont="1" applyFill="1" applyBorder="1" applyAlignment="1">
      <alignment horizontal="center" vertical="center"/>
    </xf>
    <xf numFmtId="0" fontId="4" fillId="0" borderId="1" xfId="0" applyFont="1" applyBorder="1" applyAlignment="1">
      <alignment horizontal="left" vertical="top" wrapText="1"/>
    </xf>
    <xf numFmtId="0" fontId="11" fillId="0" borderId="1" xfId="0" quotePrefix="1" applyFont="1" applyFill="1" applyBorder="1" applyAlignment="1">
      <alignment horizontal="center" vertical="top" wrapText="1"/>
    </xf>
    <xf numFmtId="0" fontId="12" fillId="0" borderId="1" xfId="1" applyFont="1" applyBorder="1" applyAlignment="1">
      <alignmen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0" fillId="0" borderId="0" xfId="0" applyFill="1"/>
    <xf numFmtId="0" fontId="0" fillId="11" borderId="0" xfId="0" applyFill="1"/>
    <xf numFmtId="0" fontId="10" fillId="11" borderId="0" xfId="0" applyFont="1" applyFill="1"/>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3" fillId="0" borderId="1" xfId="0" applyFont="1" applyFill="1" applyBorder="1" applyAlignment="1">
      <alignment horizontal="center" vertical="top" wrapText="1"/>
    </xf>
    <xf numFmtId="0" fontId="2" fillId="0" borderId="1" xfId="1" applyBorder="1" applyAlignment="1">
      <alignment vertical="top" wrapText="1"/>
    </xf>
    <xf numFmtId="0" fontId="3" fillId="4" borderId="1" xfId="0" applyFont="1" applyFill="1" applyBorder="1" applyAlignment="1">
      <alignment horizontal="center" vertical="top" wrapText="1"/>
    </xf>
    <xf numFmtId="0" fontId="2" fillId="0" borderId="1" xfId="1" applyFill="1" applyBorder="1" applyAlignment="1">
      <alignment vertical="top" wrapText="1"/>
    </xf>
    <xf numFmtId="0" fontId="2" fillId="0" borderId="1" xfId="1" applyBorder="1" applyAlignment="1">
      <alignment horizontal="left" vertical="top" wrapText="1"/>
    </xf>
    <xf numFmtId="0" fontId="4" fillId="0" borderId="1" xfId="0" applyFont="1" applyFill="1" applyBorder="1" applyAlignment="1">
      <alignment horizontal="left" vertical="top" wrapText="1"/>
    </xf>
    <xf numFmtId="0" fontId="6" fillId="10" borderId="4" xfId="0" applyFont="1" applyFill="1" applyBorder="1" applyAlignment="1">
      <alignment horizontal="center" vertical="center"/>
    </xf>
    <xf numFmtId="0" fontId="2" fillId="0" borderId="1" xfId="1" applyFill="1" applyBorder="1" applyAlignment="1">
      <alignment wrapText="1"/>
    </xf>
    <xf numFmtId="164" fontId="3" fillId="0" borderId="1" xfId="2" applyFont="1" applyFill="1" applyBorder="1" applyAlignment="1">
      <alignment horizontal="center" vertical="top" wrapText="1"/>
    </xf>
    <xf numFmtId="0" fontId="11" fillId="0" borderId="1" xfId="0" applyFont="1" applyFill="1" applyBorder="1" applyAlignment="1">
      <alignment horizontal="center" vertical="top" wrapText="1"/>
    </xf>
    <xf numFmtId="0" fontId="4" fillId="0" borderId="1" xfId="0" applyFont="1" applyFill="1" applyBorder="1" applyAlignment="1">
      <alignment vertical="top" wrapText="1"/>
    </xf>
    <xf numFmtId="0" fontId="1" fillId="13" borderId="4" xfId="0" applyFont="1" applyFill="1" applyBorder="1" applyAlignment="1">
      <alignment horizontal="left" vertical="center" wrapText="1"/>
    </xf>
    <xf numFmtId="0" fontId="1" fillId="14" borderId="4" xfId="0" applyFont="1" applyFill="1" applyBorder="1" applyAlignment="1">
      <alignment horizontal="left" vertical="center" wrapText="1"/>
    </xf>
    <xf numFmtId="0" fontId="1" fillId="17" borderId="4" xfId="0" applyFont="1" applyFill="1" applyBorder="1" applyAlignment="1">
      <alignment horizontal="center" vertical="center" wrapText="1"/>
    </xf>
    <xf numFmtId="0" fontId="15" fillId="0" borderId="1" xfId="1" applyFont="1" applyBorder="1" applyAlignment="1">
      <alignment vertical="top" wrapText="1"/>
    </xf>
    <xf numFmtId="0" fontId="3" fillId="10" borderId="4" xfId="0" applyFont="1" applyFill="1" applyBorder="1" applyAlignment="1">
      <alignment horizontal="center" vertical="top" wrapText="1"/>
    </xf>
    <xf numFmtId="0" fontId="3" fillId="0" borderId="4" xfId="0" applyFont="1" applyFill="1" applyBorder="1" applyAlignment="1">
      <alignment horizontal="center" vertical="top" wrapText="1"/>
    </xf>
    <xf numFmtId="0" fontId="2" fillId="0" borderId="1" xfId="0" applyFont="1" applyBorder="1" applyAlignment="1">
      <alignment vertical="top" wrapText="1"/>
    </xf>
    <xf numFmtId="0" fontId="2" fillId="0" borderId="1" xfId="1" applyBorder="1" applyAlignment="1">
      <alignment wrapText="1"/>
    </xf>
    <xf numFmtId="0" fontId="11" fillId="0" borderId="1" xfId="0" applyFont="1" applyBorder="1" applyAlignment="1">
      <alignment horizontal="center" vertical="top" wrapText="1"/>
    </xf>
    <xf numFmtId="0" fontId="7" fillId="0" borderId="1" xfId="0" applyFont="1" applyBorder="1" applyAlignment="1">
      <alignment vertical="top" wrapText="1"/>
    </xf>
    <xf numFmtId="0" fontId="0" fillId="4" borderId="1" xfId="0" applyFont="1" applyFill="1" applyBorder="1" applyAlignment="1">
      <alignment horizontal="center" vertical="center" wrapText="1"/>
    </xf>
    <xf numFmtId="0" fontId="0" fillId="4" borderId="4" xfId="0" applyFill="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top"/>
    </xf>
    <xf numFmtId="0" fontId="0" fillId="0" borderId="0" xfId="0" applyAlignment="1">
      <alignment horizontal="center" vertical="top"/>
    </xf>
    <xf numFmtId="0" fontId="1" fillId="16" borderId="4" xfId="0" applyFont="1" applyFill="1" applyBorder="1" applyAlignment="1">
      <alignment horizontal="center" vertical="top" wrapText="1"/>
    </xf>
    <xf numFmtId="0" fontId="16" fillId="0" borderId="1" xfId="0" applyFont="1" applyBorder="1" applyAlignment="1">
      <alignment horizontal="center" vertical="top"/>
    </xf>
    <xf numFmtId="0" fontId="0" fillId="0" borderId="0" xfId="0"/>
    <xf numFmtId="0" fontId="0" fillId="0" borderId="0" xfId="0" pivotButton="1"/>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3" fillId="0" borderId="1" xfId="0" applyFont="1" applyFill="1" applyBorder="1" applyAlignment="1">
      <alignment horizontal="left" vertical="top" wrapText="1"/>
    </xf>
    <xf numFmtId="0" fontId="4" fillId="0" borderId="1" xfId="0" applyFont="1" applyBorder="1" applyAlignment="1">
      <alignment horizontal="lef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4" fillId="4" borderId="1" xfId="0" applyFont="1" applyFill="1" applyBorder="1" applyAlignment="1">
      <alignment horizontal="left" vertical="top" wrapText="1"/>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0" fillId="0" borderId="0" xfId="0" applyNumberFormat="1"/>
    <xf numFmtId="0" fontId="2" fillId="0" borderId="1" xfId="1" applyBorder="1" applyAlignment="1">
      <alignment vertical="top" wrapText="1"/>
    </xf>
    <xf numFmtId="0" fontId="15" fillId="0" borderId="1" xfId="1" applyFont="1" applyBorder="1" applyAlignment="1">
      <alignment vertical="top" wrapText="1"/>
    </xf>
    <xf numFmtId="0" fontId="15" fillId="0" borderId="4" xfId="1" applyFont="1" applyBorder="1" applyAlignment="1">
      <alignment vertical="top" wrapText="1"/>
    </xf>
    <xf numFmtId="0" fontId="3" fillId="0" borderId="4" xfId="0" applyFont="1" applyFill="1" applyBorder="1" applyAlignment="1">
      <alignment horizontal="center" vertical="top" wrapText="1"/>
    </xf>
    <xf numFmtId="0" fontId="2" fillId="0" borderId="0" xfId="1"/>
    <xf numFmtId="0" fontId="4" fillId="0" borderId="4" xfId="0" applyFont="1" applyFill="1" applyBorder="1" applyAlignment="1">
      <alignment horizontal="left" vertical="top" wrapText="1"/>
    </xf>
    <xf numFmtId="1" fontId="6" fillId="10" borderId="1" xfId="0" applyNumberFormat="1" applyFont="1" applyFill="1" applyBorder="1" applyAlignment="1">
      <alignment horizontal="center" vertical="center"/>
    </xf>
    <xf numFmtId="1" fontId="6" fillId="9" borderId="1" xfId="0" applyNumberFormat="1" applyFont="1" applyFill="1" applyBorder="1" applyAlignment="1">
      <alignment horizontal="center" vertical="center"/>
    </xf>
    <xf numFmtId="1" fontId="6" fillId="10" borderId="4" xfId="0" applyNumberFormat="1" applyFont="1" applyFill="1" applyBorder="1" applyAlignment="1">
      <alignment horizontal="center" vertical="center"/>
    </xf>
    <xf numFmtId="0" fontId="6" fillId="0" borderId="1" xfId="0" applyFont="1" applyFill="1" applyBorder="1" applyAlignment="1">
      <alignment horizontal="center" vertical="top" wrapText="1"/>
    </xf>
    <xf numFmtId="0" fontId="5" fillId="0" borderId="1" xfId="0" applyFont="1" applyFill="1" applyBorder="1" applyAlignment="1">
      <alignment horizontal="center" vertical="top"/>
    </xf>
    <xf numFmtId="0" fontId="4" fillId="0" borderId="5" xfId="0" applyFont="1" applyFill="1" applyBorder="1" applyAlignment="1">
      <alignment vertical="top" wrapText="1"/>
    </xf>
    <xf numFmtId="0" fontId="4" fillId="0" borderId="4" xfId="0" applyFont="1" applyFill="1" applyBorder="1" applyAlignment="1">
      <alignment vertical="top" wrapText="1"/>
    </xf>
    <xf numFmtId="0" fontId="0" fillId="0" borderId="6" xfId="0" applyNumberFormat="1" applyFill="1" applyBorder="1" applyAlignment="1">
      <alignment horizontal="center" vertical="top"/>
    </xf>
    <xf numFmtId="0" fontId="3" fillId="0" borderId="1" xfId="0" applyFont="1" applyBorder="1" applyAlignment="1">
      <alignment vertical="top"/>
    </xf>
    <xf numFmtId="0" fontId="3" fillId="0" borderId="0" xfId="0" applyFont="1" applyAlignment="1">
      <alignment vertical="top"/>
    </xf>
    <xf numFmtId="0" fontId="18" fillId="15" borderId="4" xfId="0" applyFont="1" applyFill="1" applyBorder="1" applyAlignment="1">
      <alignment horizontal="left" vertical="top" wrapText="1"/>
    </xf>
    <xf numFmtId="0" fontId="5" fillId="0" borderId="4" xfId="0" applyNumberFormat="1" applyFont="1" applyFill="1" applyBorder="1" applyAlignment="1">
      <alignment horizontal="center" vertical="top"/>
    </xf>
    <xf numFmtId="0" fontId="2" fillId="0" borderId="0" xfId="1" applyAlignment="1">
      <alignment vertical="top" wrapText="1"/>
    </xf>
    <xf numFmtId="0" fontId="2" fillId="0" borderId="0" xfId="1" applyFill="1" applyAlignment="1">
      <alignment vertical="top" wrapText="1"/>
    </xf>
    <xf numFmtId="0" fontId="3" fillId="4" borderId="1" xfId="0" applyFont="1" applyFill="1" applyBorder="1" applyAlignment="1">
      <alignment horizontal="left" vertical="top" wrapText="1"/>
    </xf>
    <xf numFmtId="0" fontId="3" fillId="18" borderId="1" xfId="0" applyFont="1" applyFill="1" applyBorder="1" applyAlignment="1">
      <alignment horizontal="center" vertical="center" wrapText="1"/>
    </xf>
    <xf numFmtId="0" fontId="16" fillId="18" borderId="1" xfId="0" applyFont="1" applyFill="1" applyBorder="1" applyAlignment="1">
      <alignment horizontal="center" vertical="center"/>
    </xf>
    <xf numFmtId="0" fontId="4" fillId="18" borderId="1" xfId="0" applyFont="1" applyFill="1" applyBorder="1" applyAlignment="1">
      <alignment vertical="top" wrapText="1"/>
    </xf>
    <xf numFmtId="0" fontId="0" fillId="18" borderId="1" xfId="0" applyFill="1" applyBorder="1" applyAlignment="1">
      <alignment horizontal="center" vertical="center"/>
    </xf>
    <xf numFmtId="0" fontId="0" fillId="18" borderId="1" xfId="0" applyFont="1" applyFill="1" applyBorder="1" applyAlignment="1">
      <alignment horizontal="center" vertical="center" wrapText="1"/>
    </xf>
    <xf numFmtId="0" fontId="0" fillId="18" borderId="4" xfId="0" applyFont="1" applyFill="1" applyBorder="1" applyAlignment="1">
      <alignment horizontal="center" vertical="top" wrapText="1"/>
    </xf>
    <xf numFmtId="0" fontId="0" fillId="18" borderId="1" xfId="0" applyFont="1" applyFill="1" applyBorder="1" applyAlignment="1">
      <alignment horizontal="center" vertical="top" wrapText="1"/>
    </xf>
    <xf numFmtId="0" fontId="0" fillId="18" borderId="4" xfId="0" applyFont="1" applyFill="1" applyBorder="1" applyAlignment="1">
      <alignment horizontal="center" vertical="center" wrapText="1"/>
    </xf>
    <xf numFmtId="0" fontId="4" fillId="18" borderId="1" xfId="0" applyFont="1" applyFill="1" applyBorder="1" applyAlignment="1">
      <alignment horizontal="left" vertical="top" wrapText="1"/>
    </xf>
    <xf numFmtId="0" fontId="4" fillId="18" borderId="4" xfId="0" applyFont="1" applyFill="1" applyBorder="1" applyAlignment="1">
      <alignment horizontal="left" vertical="top" wrapText="1"/>
    </xf>
    <xf numFmtId="0" fontId="0" fillId="18" borderId="1" xfId="0" applyFill="1" applyBorder="1" applyAlignment="1">
      <alignment horizontal="center" vertical="center" wrapText="1"/>
    </xf>
    <xf numFmtId="0" fontId="3" fillId="18" borderId="1" xfId="0" applyFont="1" applyFill="1" applyBorder="1" applyAlignment="1">
      <alignment horizontal="center" vertical="top" wrapText="1"/>
    </xf>
    <xf numFmtId="0" fontId="3" fillId="18" borderId="1" xfId="0" applyFont="1" applyFill="1" applyBorder="1" applyAlignment="1">
      <alignment vertical="top" wrapText="1"/>
    </xf>
    <xf numFmtId="0" fontId="0" fillId="18" borderId="4" xfId="0" applyFill="1" applyBorder="1" applyAlignment="1">
      <alignment horizontal="center" vertical="center" wrapText="1"/>
    </xf>
    <xf numFmtId="0" fontId="20" fillId="18" borderId="1" xfId="0" applyFont="1" applyFill="1" applyBorder="1" applyAlignment="1">
      <alignment vertical="center" wrapText="1"/>
    </xf>
    <xf numFmtId="0" fontId="20" fillId="18" borderId="1" xfId="0" applyFont="1" applyFill="1" applyBorder="1" applyAlignment="1">
      <alignment vertical="top" wrapText="1"/>
    </xf>
    <xf numFmtId="0" fontId="7" fillId="18" borderId="1" xfId="0" applyFont="1" applyFill="1" applyBorder="1" applyAlignment="1">
      <alignment horizontal="left" vertical="top" wrapText="1"/>
    </xf>
    <xf numFmtId="0" fontId="3" fillId="18" borderId="1" xfId="0" applyFont="1" applyFill="1" applyBorder="1" applyAlignment="1">
      <alignment horizontal="left" vertical="top" wrapText="1"/>
    </xf>
    <xf numFmtId="0" fontId="2" fillId="0" borderId="1" xfId="1" applyBorder="1" applyAlignment="1">
      <alignment vertical="top" wrapText="1"/>
    </xf>
    <xf numFmtId="0" fontId="2" fillId="0" borderId="1" xfId="1" applyFill="1" applyBorder="1" applyAlignment="1">
      <alignment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2" fillId="0" borderId="1" xfId="1" applyBorder="1" applyAlignment="1">
      <alignment vertical="top" wrapText="1"/>
    </xf>
    <xf numFmtId="0" fontId="3" fillId="0" borderId="1" xfId="0" applyFont="1" applyBorder="1" applyAlignment="1">
      <alignment horizontal="center" vertical="top" wrapText="1"/>
    </xf>
    <xf numFmtId="0" fontId="6" fillId="9" borderId="1" xfId="0" applyFont="1" applyFill="1" applyBorder="1" applyAlignment="1">
      <alignment horizontal="center" vertical="center"/>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4" fillId="0" borderId="1" xfId="0" applyFont="1" applyBorder="1" applyAlignment="1">
      <alignment vertical="top" wrapText="1"/>
    </xf>
    <xf numFmtId="0" fontId="2" fillId="0" borderId="1" xfId="1" applyBorder="1" applyAlignment="1">
      <alignment vertical="top" wrapText="1"/>
    </xf>
    <xf numFmtId="0" fontId="6" fillId="10" borderId="1" xfId="0" applyFont="1" applyFill="1" applyBorder="1" applyAlignment="1">
      <alignment horizontal="center" vertical="center"/>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2" fillId="0" borderId="4" xfId="1" applyBorder="1" applyAlignment="1">
      <alignment vertical="top" wrapText="1"/>
    </xf>
    <xf numFmtId="0" fontId="16" fillId="0" borderId="1" xfId="0" applyFont="1" applyFill="1" applyBorder="1" applyAlignment="1">
      <alignment horizontal="center" vertical="top"/>
    </xf>
    <xf numFmtId="0" fontId="7" fillId="0" borderId="1" xfId="0" applyFont="1" applyFill="1" applyBorder="1" applyAlignment="1">
      <alignment vertical="top" wrapText="1"/>
    </xf>
    <xf numFmtId="0" fontId="5" fillId="0" borderId="1" xfId="0" applyNumberFormat="1" applyFont="1" applyFill="1" applyBorder="1" applyAlignment="1">
      <alignment horizontal="center" vertical="top"/>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15" fillId="0" borderId="1" xfId="1" applyFont="1" applyBorder="1" applyAlignment="1">
      <alignment vertical="top" wrapText="1"/>
    </xf>
    <xf numFmtId="0" fontId="0" fillId="0" borderId="1" xfId="0" applyFont="1" applyBorder="1" applyAlignment="1">
      <alignment horizontal="center" vertical="top" wrapText="1"/>
    </xf>
    <xf numFmtId="0" fontId="5" fillId="0" borderId="1" xfId="0" applyFont="1" applyBorder="1" applyAlignment="1">
      <alignment horizontal="center" vertical="top"/>
    </xf>
    <xf numFmtId="0" fontId="4" fillId="0" borderId="1" xfId="0" applyFont="1" applyBorder="1" applyAlignment="1">
      <alignment horizontal="left" vertical="top" wrapText="1"/>
    </xf>
    <xf numFmtId="0" fontId="4" fillId="0" borderId="1" xfId="0" applyFont="1" applyBorder="1" applyAlignment="1">
      <alignment horizontal="center" vertical="top" wrapText="1"/>
    </xf>
    <xf numFmtId="0" fontId="3" fillId="0" borderId="1" xfId="0" applyFont="1" applyFill="1" applyBorder="1" applyAlignment="1">
      <alignment horizontal="left" vertical="top" wrapText="1"/>
    </xf>
    <xf numFmtId="0" fontId="4" fillId="0" borderId="5" xfId="0" applyFont="1" applyBorder="1" applyAlignment="1">
      <alignment vertical="top" wrapText="1"/>
    </xf>
    <xf numFmtId="0" fontId="5" fillId="0" borderId="1" xfId="0" applyNumberFormat="1" applyFont="1" applyBorder="1" applyAlignment="1">
      <alignment horizontal="center" vertical="top"/>
    </xf>
    <xf numFmtId="0" fontId="4" fillId="19"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20" borderId="1" xfId="0" applyFont="1" applyFill="1" applyBorder="1" applyAlignment="1">
      <alignment horizontal="left" vertical="top" wrapText="1"/>
    </xf>
    <xf numFmtId="0" fontId="3" fillId="21"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4" fillId="22" borderId="1" xfId="0" applyFont="1" applyFill="1" applyBorder="1" applyAlignment="1">
      <alignment horizontal="left" vertical="top" wrapText="1"/>
    </xf>
    <xf numFmtId="0" fontId="17" fillId="23" borderId="1" xfId="0" applyFont="1" applyFill="1" applyBorder="1" applyAlignment="1">
      <alignment horizontal="center" vertical="center"/>
    </xf>
    <xf numFmtId="0" fontId="4" fillId="24" borderId="1" xfId="0" applyFont="1" applyFill="1" applyBorder="1" applyAlignment="1">
      <alignment horizontal="left" vertical="top" wrapText="1"/>
    </xf>
    <xf numFmtId="0" fontId="4" fillId="21" borderId="1" xfId="0" applyFont="1" applyFill="1" applyBorder="1" applyAlignment="1">
      <alignment horizontal="left" vertical="top" wrapText="1"/>
    </xf>
    <xf numFmtId="0" fontId="4" fillId="25" borderId="1" xfId="0" applyFont="1" applyFill="1" applyBorder="1" applyAlignment="1">
      <alignment horizontal="left" vertical="top" wrapText="1"/>
    </xf>
    <xf numFmtId="0" fontId="11" fillId="4" borderId="1" xfId="0" quotePrefix="1" applyFont="1" applyFill="1" applyBorder="1" applyAlignment="1">
      <alignment horizontal="center" vertical="top" wrapText="1"/>
    </xf>
    <xf numFmtId="0" fontId="6" fillId="4" borderId="1" xfId="0" applyFont="1" applyFill="1" applyBorder="1" applyAlignment="1">
      <alignment horizontal="center" vertical="center"/>
    </xf>
    <xf numFmtId="0" fontId="0" fillId="4" borderId="0" xfId="0" applyFill="1" applyAlignment="1">
      <alignment wrapText="1"/>
    </xf>
  </cellXfs>
  <cellStyles count="5">
    <cellStyle name="Hipervínculo" xfId="1" builtinId="8"/>
    <cellStyle name="Millares" xfId="2" builtinId="3"/>
    <cellStyle name="Millares [0] 2" xfId="4" xr:uid="{851D6C60-B6A6-487B-8972-7904B5B0FCFE}"/>
    <cellStyle name="Millares 2" xfId="3" xr:uid="{7E25EE5A-4808-4B00-AC9E-A9E311A29A69}"/>
    <cellStyle name="Normal" xfId="0" builtinId="0"/>
  </cellStyles>
  <dxfs count="35">
    <dxf>
      <font>
        <color theme="0"/>
      </font>
      <fill>
        <patternFill patternType="solid">
          <fgColor indexed="64"/>
          <bgColor rgb="FFFF0000"/>
        </patternFill>
      </fill>
    </dxf>
    <dxf>
      <font>
        <color theme="0"/>
      </font>
    </dxf>
    <dxf>
      <fill>
        <patternFill patternType="solid">
          <bgColor rgb="FFFF0000"/>
        </patternFill>
      </fill>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top" textRotation="0" wrapText="0" indent="0" justifyLastLine="0" shrinkToFit="0" readingOrder="0"/>
      <border outline="0">
        <right style="thin">
          <color indexed="64"/>
        </right>
      </border>
    </dxf>
    <dxf>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8"/>
        <color theme="10"/>
        <name val="Calibri"/>
        <family val="2"/>
        <scheme val="minor"/>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9"/>
        <color theme="1"/>
        <name val="Calibri"/>
        <family val="2"/>
        <scheme val="minor"/>
      </font>
      <fill>
        <patternFill patternType="solid">
          <fgColor indexed="64"/>
          <bgColor theme="8" tint="0.79998168889431442"/>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7"/>
        <color theme="0"/>
        <name val="Arial"/>
        <family val="2"/>
        <scheme val="none"/>
      </font>
      <fill>
        <patternFill patternType="solid">
          <fgColor theme="1"/>
          <bgColor theme="1"/>
        </patternFill>
      </fill>
      <alignment horizontal="left" vertical="center" textRotation="0" wrapText="1" indent="0" justifyLastLine="0" shrinkToFit="0" readingOrder="0"/>
      <border diagonalUp="0" diagonalDown="0" outline="0">
        <left style="thin">
          <color indexed="64"/>
        </left>
        <right style="thin">
          <color indexed="64"/>
        </right>
        <top/>
        <bottom/>
      </border>
    </dxf>
    <dxf>
      <alignment wrapText="1"/>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styles" Target="styles.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533400</xdr:colOff>
      <xdr:row>8</xdr:row>
      <xdr:rowOff>27214</xdr:rowOff>
    </xdr:to>
    <mc:AlternateContent xmlns:mc="http://schemas.openxmlformats.org/markup-compatibility/2006" xmlns:a14="http://schemas.microsoft.com/office/drawing/2010/main">
      <mc:Choice Requires="a14">
        <xdr:graphicFrame macro="">
          <xdr:nvGraphicFramePr>
            <xdr:cNvPr id="2" name="sector 1">
              <a:extLst>
                <a:ext uri="{FF2B5EF4-FFF2-40B4-BE49-F238E27FC236}">
                  <a16:creationId xmlns:a16="http://schemas.microsoft.com/office/drawing/2014/main" id="{77FE1F53-1866-4F0C-ABD0-CDABBD0E8989}"/>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0"/>
              <a:ext cx="2748642"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1422400</xdr:colOff>
      <xdr:row>0</xdr:row>
      <xdr:rowOff>90714</xdr:rowOff>
    </xdr:from>
    <xdr:to>
      <xdr:col>7</xdr:col>
      <xdr:colOff>1514928</xdr:colOff>
      <xdr:row>8</xdr:row>
      <xdr:rowOff>111351</xdr:rowOff>
    </xdr:to>
    <mc:AlternateContent xmlns:mc="http://schemas.openxmlformats.org/markup-compatibility/2006" xmlns:a14="http://schemas.microsoft.com/office/drawing/2010/main">
      <mc:Choice Requires="a14">
        <xdr:graphicFrame macro="">
          <xdr:nvGraphicFramePr>
            <xdr:cNvPr id="3" name="tema 1">
              <a:extLst>
                <a:ext uri="{FF2B5EF4-FFF2-40B4-BE49-F238E27FC236}">
                  <a16:creationId xmlns:a16="http://schemas.microsoft.com/office/drawing/2014/main" id="{B4518174-256E-4130-B8FB-9B3AC4B51528}"/>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7781471" y="90714"/>
              <a:ext cx="5009243" cy="1472066"/>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573087</xdr:colOff>
      <xdr:row>0</xdr:row>
      <xdr:rowOff>30842</xdr:rowOff>
    </xdr:from>
    <xdr:to>
      <xdr:col>5</xdr:col>
      <xdr:colOff>1393372</xdr:colOff>
      <xdr:row>8</xdr:row>
      <xdr:rowOff>58056</xdr:rowOff>
    </xdr:to>
    <mc:AlternateContent xmlns:mc="http://schemas.openxmlformats.org/markup-compatibility/2006" xmlns:a14="http://schemas.microsoft.com/office/drawing/2010/main">
      <mc:Choice Requires="a14">
        <xdr:graphicFrame macro="">
          <xdr:nvGraphicFramePr>
            <xdr:cNvPr id="4" name="contenido 1">
              <a:extLst>
                <a:ext uri="{FF2B5EF4-FFF2-40B4-BE49-F238E27FC236}">
                  <a16:creationId xmlns:a16="http://schemas.microsoft.com/office/drawing/2014/main" id="{2B32899D-8F6C-4ED5-A15D-72DEFFE90CF2}"/>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3684587" y="30842"/>
              <a:ext cx="4067856"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3623808</xdr:colOff>
      <xdr:row>1</xdr:row>
      <xdr:rowOff>4535</xdr:rowOff>
    </xdr:from>
    <xdr:to>
      <xdr:col>7</xdr:col>
      <xdr:colOff>5453062</xdr:colOff>
      <xdr:row>8</xdr:row>
      <xdr:rowOff>98423</xdr:rowOff>
    </xdr:to>
    <mc:AlternateContent xmlns:mc="http://schemas.openxmlformats.org/markup-compatibility/2006" xmlns:a14="http://schemas.microsoft.com/office/drawing/2010/main">
      <mc:Choice Requires="a14">
        <xdr:graphicFrame macro="">
          <xdr:nvGraphicFramePr>
            <xdr:cNvPr id="5" name="escala 1">
              <a:extLst>
                <a:ext uri="{FF2B5EF4-FFF2-40B4-BE49-F238E27FC236}">
                  <a16:creationId xmlns:a16="http://schemas.microsoft.com/office/drawing/2014/main" id="{944A9A87-0248-415C-A422-A156902B9B99}"/>
                </a:ext>
              </a:extLst>
            </xdr:cNvPr>
            <xdr:cNvGraphicFramePr/>
          </xdr:nvGraphicFramePr>
          <xdr:xfrm>
            <a:off x="0" y="0"/>
            <a:ext cx="0" cy="0"/>
          </xdr:xfrm>
          <a:graphic>
            <a:graphicData uri="http://schemas.microsoft.com/office/drawing/2010/slicer">
              <sle:slicer xmlns:sle="http://schemas.microsoft.com/office/drawing/2010/slicer" name="escala 1"/>
            </a:graphicData>
          </a:graphic>
        </xdr:graphicFrame>
      </mc:Choice>
      <mc:Fallback xmlns="">
        <xdr:sp macro="" textlink="">
          <xdr:nvSpPr>
            <xdr:cNvPr id="0" name=""/>
            <xdr:cNvSpPr>
              <a:spLocks noTextEdit="1"/>
            </xdr:cNvSpPr>
          </xdr:nvSpPr>
          <xdr:spPr>
            <a:xfrm>
              <a:off x="14899594" y="185964"/>
              <a:ext cx="1829254" cy="1363888"/>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1711098</xdr:colOff>
      <xdr:row>0</xdr:row>
      <xdr:rowOff>72572</xdr:rowOff>
    </xdr:from>
    <xdr:to>
      <xdr:col>7</xdr:col>
      <xdr:colOff>3546248</xdr:colOff>
      <xdr:row>8</xdr:row>
      <xdr:rowOff>81417</xdr:rowOff>
    </xdr:to>
    <mc:AlternateContent xmlns:mc="http://schemas.openxmlformats.org/markup-compatibility/2006" xmlns:a14="http://schemas.microsoft.com/office/drawing/2010/main">
      <mc:Choice Requires="a14">
        <xdr:graphicFrame macro="">
          <xdr:nvGraphicFramePr>
            <xdr:cNvPr id="6" name="territorio 1">
              <a:extLst>
                <a:ext uri="{FF2B5EF4-FFF2-40B4-BE49-F238E27FC236}">
                  <a16:creationId xmlns:a16="http://schemas.microsoft.com/office/drawing/2014/main" id="{B3D3C1FA-CC56-40BD-AE4E-6238EA1A28DF}"/>
                </a:ext>
              </a:extLst>
            </xdr:cNvPr>
            <xdr:cNvGraphicFramePr/>
          </xdr:nvGraphicFramePr>
          <xdr:xfrm>
            <a:off x="0" y="0"/>
            <a:ext cx="0" cy="0"/>
          </xdr:xfrm>
          <a:graphic>
            <a:graphicData uri="http://schemas.microsoft.com/office/drawing/2010/slicer">
              <sle:slicer xmlns:sle="http://schemas.microsoft.com/office/drawing/2010/slicer" name="territorio 1"/>
            </a:graphicData>
          </a:graphic>
        </xdr:graphicFrame>
      </mc:Choice>
      <mc:Fallback xmlns="">
        <xdr:sp macro="" textlink="">
          <xdr:nvSpPr>
            <xdr:cNvPr id="0" name=""/>
            <xdr:cNvSpPr>
              <a:spLocks noTextEdit="1"/>
            </xdr:cNvSpPr>
          </xdr:nvSpPr>
          <xdr:spPr>
            <a:xfrm>
              <a:off x="12986884" y="72572"/>
              <a:ext cx="1835150" cy="1460274"/>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190976</xdr:colOff>
      <xdr:row>0</xdr:row>
      <xdr:rowOff>47626</xdr:rowOff>
    </xdr:from>
    <xdr:to>
      <xdr:col>8</xdr:col>
      <xdr:colOff>1045595</xdr:colOff>
      <xdr:row>8</xdr:row>
      <xdr:rowOff>38101</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F88B9FB8-9239-4CBD-B5A4-F6EA82DA1E6E}"/>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4965382" y="47625"/>
              <a:ext cx="3061812" cy="174767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538209</xdr:colOff>
      <xdr:row>0</xdr:row>
      <xdr:rowOff>26987</xdr:rowOff>
    </xdr:from>
    <xdr:to>
      <xdr:col>6</xdr:col>
      <xdr:colOff>65406</xdr:colOff>
      <xdr:row>9</xdr:row>
      <xdr:rowOff>160972</xdr:rowOff>
    </xdr:to>
    <mc:AlternateContent xmlns:mc="http://schemas.openxmlformats.org/markup-compatibility/2006" xmlns:sle15="http://schemas.microsoft.com/office/drawing/2012/slicer">
      <mc:Choice Requires="sle15">
        <xdr:graphicFrame macro="">
          <xdr:nvGraphicFramePr>
            <xdr:cNvPr id="4" name="contenido">
              <a:extLst>
                <a:ext uri="{FF2B5EF4-FFF2-40B4-BE49-F238E27FC236}">
                  <a16:creationId xmlns:a16="http://schemas.microsoft.com/office/drawing/2014/main" id="{12061715-F0FD-4D5B-952F-7BF4EE67C8D9}"/>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1628141" y="30162"/>
              <a:ext cx="3214846"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308247</xdr:colOff>
      <xdr:row>0</xdr:row>
      <xdr:rowOff>40005</xdr:rowOff>
    </xdr:from>
    <xdr:to>
      <xdr:col>14</xdr:col>
      <xdr:colOff>1759766</xdr:colOff>
      <xdr:row>9</xdr:row>
      <xdr:rowOff>140334</xdr:rowOff>
    </xdr:to>
    <mc:AlternateContent xmlns:mc="http://schemas.openxmlformats.org/markup-compatibility/2006" xmlns:sle15="http://schemas.microsoft.com/office/drawing/2012/slicer">
      <mc:Choice Requires="sle15">
        <xdr:graphicFrame macro="">
          <xdr:nvGraphicFramePr>
            <xdr:cNvPr id="5" name="escala">
              <a:extLst>
                <a:ext uri="{FF2B5EF4-FFF2-40B4-BE49-F238E27FC236}">
                  <a16:creationId xmlns:a16="http://schemas.microsoft.com/office/drawing/2014/main" id="{2E3EBC81-FEB1-4DFB-A44F-3B169226ACB2}"/>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15825470" y="40005"/>
              <a:ext cx="1430655" cy="17525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15</xdr:col>
      <xdr:colOff>2378891</xdr:colOff>
      <xdr:row>0</xdr:row>
      <xdr:rowOff>7620</xdr:rowOff>
    </xdr:from>
    <xdr:to>
      <xdr:col>17</xdr:col>
      <xdr:colOff>1787930</xdr:colOff>
      <xdr:row>9</xdr:row>
      <xdr:rowOff>152399</xdr:rowOff>
    </xdr:to>
    <mc:AlternateContent xmlns:mc="http://schemas.openxmlformats.org/markup-compatibility/2006" xmlns:sle15="http://schemas.microsoft.com/office/drawing/2012/slicer">
      <mc:Choice Requires="sle15">
        <xdr:graphicFrame macro="">
          <xdr:nvGraphicFramePr>
            <xdr:cNvPr id="6" name="territorio">
              <a:extLst>
                <a:ext uri="{FF2B5EF4-FFF2-40B4-BE49-F238E27FC236}">
                  <a16:creationId xmlns:a16="http://schemas.microsoft.com/office/drawing/2014/main" id="{C083D959-C1DC-4987-84C8-588E63D31B21}"/>
                </a:ext>
              </a:extLst>
            </xdr:cNvPr>
            <xdr:cNvGraphicFramePr/>
          </xdr:nvGraphicFramePr>
          <xdr:xfrm>
            <a:off x="0" y="0"/>
            <a:ext cx="0" cy="0"/>
          </xdr:xfrm>
          <a:graphic>
            <a:graphicData uri="http://schemas.microsoft.com/office/drawing/2010/slicer">
              <sle:slicer xmlns:sle="http://schemas.microsoft.com/office/drawing/2010/slicer" name="territorio"/>
            </a:graphicData>
          </a:graphic>
        </xdr:graphicFrame>
      </mc:Choice>
      <mc:Fallback xmlns="">
        <xdr:sp macro="" textlink="">
          <xdr:nvSpPr>
            <xdr:cNvPr id="0" name=""/>
            <xdr:cNvSpPr>
              <a:spLocks noTextEdit="1"/>
            </xdr:cNvSpPr>
          </xdr:nvSpPr>
          <xdr:spPr>
            <a:xfrm>
              <a:off x="20311110" y="7620"/>
              <a:ext cx="4028029" cy="17906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1112429</xdr:colOff>
      <xdr:row>0</xdr:row>
      <xdr:rowOff>29845</xdr:rowOff>
    </xdr:from>
    <xdr:to>
      <xdr:col>10</xdr:col>
      <xdr:colOff>1520371</xdr:colOff>
      <xdr:row>9</xdr:row>
      <xdr:rowOff>163830</xdr:rowOff>
    </xdr:to>
    <mc:AlternateContent xmlns:mc="http://schemas.openxmlformats.org/markup-compatibility/2006" xmlns:sle15="http://schemas.microsoft.com/office/drawing/2012/slicer">
      <mc:Choice Requires="sle15">
        <xdr:graphicFrame macro="">
          <xdr:nvGraphicFramePr>
            <xdr:cNvPr id="7" name="Filtro Integrado">
              <a:extLst>
                <a:ext uri="{FF2B5EF4-FFF2-40B4-BE49-F238E27FC236}">
                  <a16:creationId xmlns:a16="http://schemas.microsoft.com/office/drawing/2014/main" id="{5472C0A4-91A6-42C1-A393-A18D9D3C0660}"/>
                </a:ext>
              </a:extLst>
            </xdr:cNvPr>
            <xdr:cNvGraphicFramePr/>
          </xdr:nvGraphicFramePr>
          <xdr:xfrm>
            <a:off x="0" y="0"/>
            <a:ext cx="0" cy="0"/>
          </xdr:xfrm>
          <a:graphic>
            <a:graphicData uri="http://schemas.microsoft.com/office/drawing/2010/slicer">
              <sle:slicer xmlns:sle="http://schemas.microsoft.com/office/drawing/2010/slicer" name="Filtro Integrado"/>
            </a:graphicData>
          </a:graphic>
        </xdr:graphicFrame>
      </mc:Choice>
      <mc:Fallback xmlns="">
        <xdr:sp macro="" textlink="">
          <xdr:nvSpPr>
            <xdr:cNvPr id="0" name=""/>
            <xdr:cNvSpPr>
              <a:spLocks noTextEdit="1"/>
            </xdr:cNvSpPr>
          </xdr:nvSpPr>
          <xdr:spPr>
            <a:xfrm>
              <a:off x="8090853" y="26670"/>
              <a:ext cx="2627153"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10</xdr:col>
      <xdr:colOff>1568631</xdr:colOff>
      <xdr:row>0</xdr:row>
      <xdr:rowOff>27940</xdr:rowOff>
    </xdr:from>
    <xdr:to>
      <xdr:col>13</xdr:col>
      <xdr:colOff>271598</xdr:colOff>
      <xdr:row>10</xdr:row>
      <xdr:rowOff>7461</xdr:rowOff>
    </xdr:to>
    <mc:AlternateContent xmlns:mc="http://schemas.openxmlformats.org/markup-compatibility/2006" xmlns:sle15="http://schemas.microsoft.com/office/drawing/2012/slicer">
      <mc:Choice Requires="sle15">
        <xdr:graphicFrame macro="">
          <xdr:nvGraphicFramePr>
            <xdr:cNvPr id="8" name="Muestra">
              <a:extLst>
                <a:ext uri="{FF2B5EF4-FFF2-40B4-BE49-F238E27FC236}">
                  <a16:creationId xmlns:a16="http://schemas.microsoft.com/office/drawing/2014/main" id="{EAF619AD-8F97-47DC-8AAF-45BDB552F862}"/>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mlns="">
        <xdr:sp macro="" textlink="">
          <xdr:nvSpPr>
            <xdr:cNvPr id="0" name=""/>
            <xdr:cNvSpPr>
              <a:spLocks noTextEdit="1"/>
            </xdr:cNvSpPr>
          </xdr:nvSpPr>
          <xdr:spPr>
            <a:xfrm>
              <a:off x="10601960" y="34290"/>
              <a:ext cx="3883660" cy="179133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13</xdr:col>
      <xdr:colOff>293188</xdr:colOff>
      <xdr:row>0</xdr:row>
      <xdr:rowOff>0</xdr:rowOff>
    </xdr:from>
    <xdr:to>
      <xdr:col>14</xdr:col>
      <xdr:colOff>530497</xdr:colOff>
      <xdr:row>9</xdr:row>
      <xdr:rowOff>76199</xdr:rowOff>
    </xdr:to>
    <mc:AlternateContent xmlns:mc="http://schemas.openxmlformats.org/markup-compatibility/2006" xmlns:sle15="http://schemas.microsoft.com/office/drawing/2012/slicer">
      <mc:Choice Requires="sle15">
        <xdr:graphicFrame macro="">
          <xdr:nvGraphicFramePr>
            <xdr:cNvPr id="9" name="temporalidad">
              <a:extLst>
                <a:ext uri="{FF2B5EF4-FFF2-40B4-BE49-F238E27FC236}">
                  <a16:creationId xmlns:a16="http://schemas.microsoft.com/office/drawing/2014/main" id="{A3378071-08D8-4EAC-8987-B7ED83C1BDB5}"/>
                </a:ext>
              </a:extLst>
            </xdr:cNvPr>
            <xdr:cNvGraphicFramePr/>
          </xdr:nvGraphicFramePr>
          <xdr:xfrm>
            <a:off x="0" y="0"/>
            <a:ext cx="0" cy="0"/>
          </xdr:xfrm>
          <a:graphic>
            <a:graphicData uri="http://schemas.microsoft.com/office/drawing/2010/slicer">
              <sle:slicer xmlns:sle="http://schemas.microsoft.com/office/drawing/2010/slicer" name="temporalidad"/>
            </a:graphicData>
          </a:graphic>
        </xdr:graphicFrame>
      </mc:Choice>
      <mc:Fallback xmlns="">
        <xdr:sp macro="" textlink="">
          <xdr:nvSpPr>
            <xdr:cNvPr id="0" name=""/>
            <xdr:cNvSpPr>
              <a:spLocks noTextEdit="1"/>
            </xdr:cNvSpPr>
          </xdr:nvSpPr>
          <xdr:spPr>
            <a:xfrm>
              <a:off x="14773910" y="0"/>
              <a:ext cx="1564005" cy="171926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35719</xdr:colOff>
      <xdr:row>0</xdr:row>
      <xdr:rowOff>0</xdr:rowOff>
    </xdr:from>
    <xdr:to>
      <xdr:col>2</xdr:col>
      <xdr:colOff>494733</xdr:colOff>
      <xdr:row>9</xdr:row>
      <xdr:rowOff>133350</xdr:rowOff>
    </xdr:to>
    <mc:AlternateContent xmlns:mc="http://schemas.openxmlformats.org/markup-compatibility/2006" xmlns:sle15="http://schemas.microsoft.com/office/drawing/2012/slicer">
      <mc:Choice Requires="sle15">
        <xdr:graphicFrame macro="">
          <xdr:nvGraphicFramePr>
            <xdr:cNvPr id="10" name="sector">
              <a:extLst>
                <a:ext uri="{FF2B5EF4-FFF2-40B4-BE49-F238E27FC236}">
                  <a16:creationId xmlns:a16="http://schemas.microsoft.com/office/drawing/2014/main" id="{86EF3C1F-1BC2-43D9-A1A4-3473FE7C8323}"/>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35719" y="0"/>
              <a:ext cx="1550988" cy="1776413"/>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1870479</xdr:colOff>
      <xdr:row>0</xdr:row>
      <xdr:rowOff>11207</xdr:rowOff>
    </xdr:from>
    <xdr:to>
      <xdr:col>15</xdr:col>
      <xdr:colOff>2195861</xdr:colOff>
      <xdr:row>9</xdr:row>
      <xdr:rowOff>123266</xdr:rowOff>
    </xdr:to>
    <mc:AlternateContent xmlns:mc="http://schemas.openxmlformats.org/markup-compatibility/2006" xmlns:sle15="http://schemas.microsoft.com/office/drawing/2012/slicer">
      <mc:Choice Requires="sle15">
        <xdr:graphicFrame macro="">
          <xdr:nvGraphicFramePr>
            <xdr:cNvPr id="2" name="visualizacion">
              <a:extLst>
                <a:ext uri="{FF2B5EF4-FFF2-40B4-BE49-F238E27FC236}">
                  <a16:creationId xmlns:a16="http://schemas.microsoft.com/office/drawing/2014/main" id="{BDA9AD62-2E6F-432D-A612-960CCD254E53}"/>
                </a:ext>
              </a:extLst>
            </xdr:cNvPr>
            <xdr:cNvGraphicFramePr/>
          </xdr:nvGraphicFramePr>
          <xdr:xfrm>
            <a:off x="0" y="0"/>
            <a:ext cx="0" cy="0"/>
          </xdr:xfrm>
          <a:graphic>
            <a:graphicData uri="http://schemas.microsoft.com/office/drawing/2010/slicer">
              <sle:slicer xmlns:sle="http://schemas.microsoft.com/office/drawing/2010/slicer" name="visualizacion"/>
            </a:graphicData>
          </a:graphic>
        </xdr:graphicFrame>
      </mc:Choice>
      <mc:Fallback xmlns="">
        <xdr:sp macro="" textlink="">
          <xdr:nvSpPr>
            <xdr:cNvPr id="0" name=""/>
            <xdr:cNvSpPr>
              <a:spLocks noTextEdit="1"/>
            </xdr:cNvSpPr>
          </xdr:nvSpPr>
          <xdr:spPr>
            <a:xfrm>
              <a:off x="17647770" y="8032"/>
              <a:ext cx="2851524" cy="1799291"/>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trid Holmgren" refreshedDate="44456.470450000001" createdVersion="7" refreshedVersion="7" minRefreshableVersion="3" recordCount="1991" xr:uid="{16D461C4-7B81-410E-8D13-D0FA7FAF608D}">
  <cacheSource type="worksheet">
    <worksheetSource name="Agencia"/>
  </cacheSource>
  <cacheFields count="27">
    <cacheField name="id" numFmtId="0">
      <sharedItems containsBlank="1" count="8000">
        <s v="0001"/>
        <s v="0002"/>
        <s v="0003"/>
        <s v="0004"/>
        <s v="0005"/>
        <s v="0006"/>
        <s v="0007"/>
        <s v="0008"/>
        <s v="0009"/>
        <s v="0010"/>
        <s v="0011"/>
        <s v="0012"/>
        <s v="0013"/>
        <s v="0014"/>
        <s v="0015"/>
        <s v="0016"/>
        <s v="0017"/>
        <s v="0018"/>
        <s v="0019"/>
        <s v="0020"/>
        <s v="0021"/>
        <s v="0022"/>
        <s v="0023"/>
        <s v="0024"/>
        <s v="0025"/>
        <s v="0026"/>
        <s v="0027"/>
        <s v="0028"/>
        <s v="0029"/>
        <s v="0030"/>
        <s v="0031"/>
        <s v="0032"/>
        <s v="0033"/>
        <s v="0034"/>
        <s v="0035"/>
        <s v="0036"/>
        <s v="0037"/>
        <s v="0038"/>
        <s v="0039"/>
        <s v="0040"/>
        <s v="0041"/>
        <s v="0042"/>
        <s v="0043"/>
        <s v="0044"/>
        <s v="0045"/>
        <s v="0046"/>
        <s v="0047"/>
        <s v="0048"/>
        <s v="0049"/>
        <s v="0050"/>
        <s v="0051"/>
        <s v="0052"/>
        <s v="0053"/>
        <s v="0054"/>
        <s v="0055"/>
        <s v="0056"/>
        <s v="0057"/>
        <s v="0058"/>
        <s v="0059"/>
        <s v="0060"/>
        <s v="0061"/>
        <s v="0062"/>
        <s v="0063"/>
        <s v="0064"/>
        <s v="0065"/>
        <s v="0066"/>
        <s v="0067"/>
        <s v="0068"/>
        <s v="0069"/>
        <s v="0070"/>
        <s v="0071"/>
        <s v="0072"/>
        <s v="0073"/>
        <s v="0074"/>
        <s v="0075"/>
        <s v="0076"/>
        <s v="0077"/>
        <s v="0078"/>
        <s v="0079"/>
        <s v="0080"/>
        <s v="0081"/>
        <s v="0082"/>
        <s v="0083"/>
        <s v="0084"/>
        <s v="0085"/>
        <s v="0086"/>
        <s v="0087"/>
        <s v="0088"/>
        <s v="0089"/>
        <s v="0090"/>
        <s v="0091"/>
        <s v="0092"/>
        <s v="0093"/>
        <s v="0094"/>
        <s v="0095"/>
        <s v="0096"/>
        <s v="0097"/>
        <s v="0098"/>
        <s v="0099"/>
        <s v="0100"/>
        <s v="0101"/>
        <s v="0102"/>
        <s v="0103"/>
        <s v="0104"/>
        <s v="0105"/>
        <s v="0106"/>
        <s v="0107"/>
        <s v="0108"/>
        <s v="0109"/>
        <s v="0110"/>
        <s v="0111"/>
        <s v="0112"/>
        <s v="0113"/>
        <s v="0114"/>
        <s v="0115"/>
        <s v="0116"/>
        <s v="0117"/>
        <s v="0118"/>
        <s v="0119"/>
        <s v="0120"/>
        <s v="0121"/>
        <s v="0122"/>
        <s v="0123"/>
        <s v="0124"/>
        <s v="0125"/>
        <s v="0126"/>
        <s v="0127"/>
        <s v="0128"/>
        <s v="0129"/>
        <s v="0130"/>
        <s v="0131"/>
        <s v="0132"/>
        <s v="0133"/>
        <s v="0134"/>
        <s v="0135"/>
        <s v="0136"/>
        <s v="0137"/>
        <s v="0138"/>
        <s v="0139"/>
        <s v="0140"/>
        <s v="0141"/>
        <s v="0142"/>
        <s v="0143"/>
        <s v="0144"/>
        <s v="0145"/>
        <s v="0146"/>
        <s v="0147"/>
        <s v="0148"/>
        <s v="0149"/>
        <s v="0150"/>
        <s v="0151"/>
        <s v="0152"/>
        <s v="0153"/>
        <s v="0154"/>
        <s v="0155"/>
        <s v="0156"/>
        <s v="0157"/>
        <s v="0158"/>
        <s v="0159"/>
        <s v="0160"/>
        <s v="0161"/>
        <s v="0162"/>
        <s v="0163"/>
        <s v="0164"/>
        <s v="0165"/>
        <s v="0166"/>
        <s v="0167"/>
        <s v="0168"/>
        <s v="0169"/>
        <s v="0170"/>
        <s v="0171"/>
        <s v="0172"/>
        <s v="0173"/>
        <s v="0174"/>
        <s v="0175"/>
        <s v="0176"/>
        <s v="0177"/>
        <s v="0178"/>
        <s v="0179"/>
        <s v="0180"/>
        <s v="0181"/>
        <s v="0182"/>
        <s v="0183"/>
        <s v="0184"/>
        <s v="0185"/>
        <s v="0186"/>
        <s v="0187"/>
        <s v="0188"/>
        <s v="0189"/>
        <s v="0190"/>
        <s v="0191"/>
        <s v="0192"/>
        <s v="0193"/>
        <s v="0194"/>
        <s v="0195"/>
        <s v="0196"/>
        <s v="0197"/>
        <s v="0198"/>
        <s v="0199"/>
        <s v="0200"/>
        <s v="0201"/>
        <s v="0202"/>
        <s v="0203"/>
        <s v="0204"/>
        <s v="0205"/>
        <s v="0206"/>
        <s v="0207"/>
        <s v="0208"/>
        <s v="0209"/>
        <s v="0210"/>
        <s v="0211"/>
        <s v="0212"/>
        <s v="0213"/>
        <s v="0214"/>
        <s v="0215"/>
        <s v="0216"/>
        <s v="0217"/>
        <s v="0218"/>
        <s v="0219"/>
        <s v="0220"/>
        <s v="0221"/>
        <s v="0222"/>
        <s v="0223"/>
        <s v="0224"/>
        <s v="0225"/>
        <s v="0226"/>
        <s v="0227"/>
        <s v="0228"/>
        <s v="0229"/>
        <s v="0230"/>
        <s v="0231"/>
        <s v="0232"/>
        <s v="0233"/>
        <s v="0234"/>
        <s v="0235"/>
        <s v="0236"/>
        <s v="0237"/>
        <s v="0238"/>
        <s v="0239"/>
        <s v="0240"/>
        <s v="0241"/>
        <s v="0242"/>
        <s v="0243"/>
        <s v="0244"/>
        <s v="0245"/>
        <s v="0246"/>
        <s v="0247"/>
        <s v="0248"/>
        <s v="0249"/>
        <s v="0250"/>
        <s v="0251"/>
        <s v="0252"/>
        <s v="0253"/>
        <s v="0254"/>
        <s v="0255"/>
        <s v="0256"/>
        <s v="0257"/>
        <s v="0258"/>
        <s v="0259"/>
        <s v="0260"/>
        <s v="0261"/>
        <s v="0262"/>
        <s v="0263"/>
        <s v="0264"/>
        <s v="0265"/>
        <s v="0266"/>
        <s v="0267"/>
        <s v="0268"/>
        <s v="0269"/>
        <s v="0270"/>
        <s v="0271"/>
        <s v="0272"/>
        <s v="0273"/>
        <s v="0274"/>
        <s v="0275"/>
        <s v="0276"/>
        <s v="0277"/>
        <s v="0278"/>
        <s v="0279"/>
        <s v="0280"/>
        <s v="0281"/>
        <s v="0282"/>
        <s v="0283"/>
        <s v="0284"/>
        <s v="0285"/>
        <s v="0286"/>
        <s v="0287"/>
        <s v="0288"/>
        <s v="0289"/>
        <s v="0290"/>
        <s v="0291"/>
        <s v="0292"/>
        <s v="0293"/>
        <s v="0294"/>
        <s v="0295"/>
        <s v="0296"/>
        <s v="0297"/>
        <s v="0298"/>
        <s v="0299"/>
        <s v="0300"/>
        <s v="0301"/>
        <s v="0302"/>
        <s v="0303"/>
        <s v="0304"/>
        <s v="0305"/>
        <s v="0306"/>
        <s v="0307"/>
        <s v="0308"/>
        <s v="0309"/>
        <s v="0310"/>
        <s v="0311"/>
        <s v="0312"/>
        <s v="0313"/>
        <s v="0314"/>
        <s v="0315"/>
        <s v="0316"/>
        <s v="0317"/>
        <s v="0318"/>
        <s v="0319"/>
        <s v="0320"/>
        <s v="0321"/>
        <s v="0322"/>
        <s v="0323"/>
        <s v="0324"/>
        <s v="0325"/>
        <s v="0326"/>
        <s v="0327"/>
        <s v="0328"/>
        <s v="0329"/>
        <s v="0330"/>
        <s v="0331"/>
        <s v="0332"/>
        <s v="0333"/>
        <s v="0334"/>
        <s v="0335"/>
        <s v="0336"/>
        <s v="0337"/>
        <s v="0338"/>
        <s v="0339"/>
        <s v="0340"/>
        <s v="0341"/>
        <s v="0342"/>
        <s v="0343"/>
        <s v="0344"/>
        <s v="0345"/>
        <s v="0346"/>
        <s v="0347"/>
        <s v="0348"/>
        <s v="0349"/>
        <s v="0350"/>
        <s v="0351"/>
        <s v="0352"/>
        <s v="0353"/>
        <s v="0354"/>
        <s v="0355"/>
        <s v="0356"/>
        <s v="0357"/>
        <s v="0358"/>
        <s v="0359"/>
        <s v="0360"/>
        <s v="0361"/>
        <s v="0362"/>
        <s v="0363"/>
        <s v="0364"/>
        <s v="0365"/>
        <s v="0366"/>
        <s v="0367"/>
        <s v="0368"/>
        <s v="0369"/>
        <s v="0370"/>
        <s v="0371"/>
        <s v="0372"/>
        <s v="0373"/>
        <s v="0374"/>
        <s v="0375"/>
        <s v="0376"/>
        <s v="0377"/>
        <s v="0378"/>
        <s v="0379"/>
        <s v="0380"/>
        <s v="0381"/>
        <s v="0382"/>
        <s v="0383"/>
        <s v="0384"/>
        <s v="0385"/>
        <s v="0386"/>
        <s v="0387"/>
        <s v="0388"/>
        <s v="0389"/>
        <s v="0390"/>
        <s v="0391"/>
        <s v="0392"/>
        <s v="0393"/>
        <s v="0394"/>
        <s v="0395"/>
        <s v="0396"/>
        <s v="0397"/>
        <s v="0398"/>
        <s v="0399"/>
        <s v="0400"/>
        <s v="0401"/>
        <s v="0402"/>
        <s v="0403"/>
        <s v="0404"/>
        <s v="0405"/>
        <s v="0406"/>
        <s v="0407"/>
        <s v="0408"/>
        <s v="0409"/>
        <s v="0410"/>
        <s v="0411"/>
        <s v="0412"/>
        <s v="0413"/>
        <s v="0414"/>
        <s v="0415"/>
        <s v="0416"/>
        <s v="0417"/>
        <s v="0418"/>
        <s v="0419"/>
        <s v="0420"/>
        <s v="0421"/>
        <s v="0422"/>
        <s v="0423"/>
        <s v="0424"/>
        <s v="0425"/>
        <s v="0426"/>
        <s v="0427"/>
        <s v="0428"/>
        <s v="0429"/>
        <s v="0430"/>
        <s v="0431"/>
        <s v="0432"/>
        <s v="0433"/>
        <s v="0434"/>
        <s v="0435"/>
        <s v="0436"/>
        <s v="0437"/>
        <s v="0438"/>
        <s v="0439"/>
        <s v="0440"/>
        <s v="0441"/>
        <s v="0442"/>
        <s v="0443"/>
        <s v="0444"/>
        <s v="0445"/>
        <s v="0446"/>
        <s v="0447"/>
        <s v="0448"/>
        <s v="0449"/>
        <s v="0450"/>
        <s v="0451"/>
        <s v="0452"/>
        <s v="0453"/>
        <s v="0454"/>
        <s v="0455"/>
        <s v="0456"/>
        <s v="0457"/>
        <s v="0458"/>
        <s v="0459"/>
        <s v="0460"/>
        <s v="0461"/>
        <s v="0462"/>
        <s v="0463"/>
        <s v="0464"/>
        <s v="0465"/>
        <s v="0466"/>
        <s v="0467"/>
        <s v="0468"/>
        <s v="0469"/>
        <s v="0470"/>
        <s v="0471"/>
        <s v="0472"/>
        <s v="0473"/>
        <s v="0474"/>
        <s v="0475"/>
        <s v="0476"/>
        <s v="0477"/>
        <s v="0478"/>
        <s v="0479"/>
        <s v="0480"/>
        <s v="0481"/>
        <s v="0482"/>
        <s v="0483"/>
        <s v="0484"/>
        <s v="0485"/>
        <s v="0486"/>
        <s v="0487"/>
        <s v="0488"/>
        <s v="0489"/>
        <s v="0490"/>
        <s v="0491"/>
        <s v="0492"/>
        <s v="0493"/>
        <s v="0494"/>
        <s v="0495"/>
        <s v="0496"/>
        <s v="0497"/>
        <s v="0498"/>
        <s v="0499"/>
        <s v="0500"/>
        <s v="0501"/>
        <s v="0502"/>
        <s v="0503"/>
        <s v="0504"/>
        <s v="0505"/>
        <s v="0506"/>
        <s v="0507"/>
        <s v="0508"/>
        <s v="0509"/>
        <s v="0510"/>
        <s v="0511"/>
        <s v="0512"/>
        <s v="0513"/>
        <s v="0514"/>
        <s v="0515"/>
        <s v="0516"/>
        <s v="0517"/>
        <s v="0518"/>
        <s v="0519"/>
        <s v="0520"/>
        <s v="0521"/>
        <s v="0522"/>
        <s v="0523"/>
        <s v="0524"/>
        <s v="0525"/>
        <s v="0526"/>
        <s v="0527"/>
        <s v="0528"/>
        <s v="0529"/>
        <s v="0530"/>
        <s v="0531"/>
        <s v="0532"/>
        <s v="0533"/>
        <s v="0534"/>
        <s v="0535"/>
        <s v="0536"/>
        <s v="0537"/>
        <s v="0538"/>
        <s v="0539"/>
        <s v="0540"/>
        <s v="0541"/>
        <s v="0542"/>
        <s v="0543"/>
        <s v="0544"/>
        <s v="0545"/>
        <s v="0546"/>
        <s v="0547"/>
        <s v="0548"/>
        <s v="0549"/>
        <s v="0550"/>
        <s v="0551"/>
        <s v="0552"/>
        <s v="0553"/>
        <s v="0554"/>
        <s v="0555"/>
        <s v="0556"/>
        <s v="0557"/>
        <s v="0558"/>
        <s v="0559"/>
        <s v="0560"/>
        <s v="0561"/>
        <s v="0562"/>
        <s v="0563"/>
        <s v="0564"/>
        <s v="0565"/>
        <s v="0566"/>
        <s v="0567"/>
        <s v="0568"/>
        <s v="0569"/>
        <s v="0570"/>
        <s v="0571"/>
        <s v="0572"/>
        <s v="0573"/>
        <s v="0574"/>
        <s v="0575"/>
        <s v="0576"/>
        <s v="0577"/>
        <s v="0578"/>
        <s v="0579"/>
        <s v="0580"/>
        <s v="0581"/>
        <s v="0582"/>
        <s v="0583"/>
        <s v="0584"/>
        <s v="0585"/>
        <s v="0586"/>
        <s v="0587"/>
        <s v="0588"/>
        <s v="0589"/>
        <s v="0590"/>
        <s v="0591"/>
        <s v="0592"/>
        <s v="0593"/>
        <s v="0594"/>
        <s v="0595"/>
        <s v="0596"/>
        <s v="0597"/>
        <s v="0598"/>
        <s v="0599"/>
        <s v="0600"/>
        <s v="0601"/>
        <s v="0602"/>
        <s v="0603"/>
        <s v="0604"/>
        <s v="0605"/>
        <s v="0606"/>
        <s v="0607"/>
        <s v="0608"/>
        <s v="0609"/>
        <s v="0610"/>
        <s v="0611"/>
        <s v="0612"/>
        <s v="0613"/>
        <s v="0614"/>
        <s v="0615"/>
        <s v="0616"/>
        <s v="0617"/>
        <s v="0618"/>
        <s v="0619"/>
        <s v="0620"/>
        <s v="0621"/>
        <s v="0622"/>
        <s v="0623"/>
        <s v="0624"/>
        <s v="0625"/>
        <s v="0626"/>
        <s v="0627"/>
        <s v="0628"/>
        <s v="0629"/>
        <s v="0630"/>
        <s v="0631"/>
        <s v="0632"/>
        <s v="0633"/>
        <s v="0634"/>
        <s v="0635"/>
        <s v="0636"/>
        <s v="0637"/>
        <s v="0638"/>
        <s v="0639"/>
        <s v="0640"/>
        <s v="0641"/>
        <s v="0642"/>
        <s v="0643"/>
        <s v="0644"/>
        <s v="0645"/>
        <s v="0646"/>
        <s v="0647"/>
        <s v="0648"/>
        <s v="0649"/>
        <s v="0650"/>
        <s v="0651"/>
        <s v="0652"/>
        <s v="0653"/>
        <s v="0654"/>
        <s v="0655"/>
        <s v="0656"/>
        <s v="0657"/>
        <s v="0658"/>
        <s v="0659"/>
        <s v="0660"/>
        <s v="0661"/>
        <s v="0662"/>
        <s v="0663"/>
        <s v="0664"/>
        <s v="0665"/>
        <s v="0666"/>
        <s v="0667"/>
        <s v="0668"/>
        <s v="0669"/>
        <s v="0670"/>
        <s v="0671"/>
        <s v="0672"/>
        <s v="0673"/>
        <s v="0674"/>
        <s v="0675"/>
        <s v="0676"/>
        <s v="0677"/>
        <s v="0678"/>
        <s v="0679"/>
        <s v="0680"/>
        <s v="0681"/>
        <s v="0682"/>
        <s v="0683"/>
        <s v="0684"/>
        <s v="0685"/>
        <s v="0686"/>
        <s v="0687"/>
        <s v="0688"/>
        <s v="0689"/>
        <s v="0690"/>
        <s v="0691"/>
        <s v="0692"/>
        <s v="0693"/>
        <s v="0694"/>
        <s v="0695"/>
        <s v="0696"/>
        <s v="0697"/>
        <s v="0698"/>
        <s v="0699"/>
        <s v="0700"/>
        <s v="0701"/>
        <s v="0702"/>
        <s v="0703"/>
        <s v="0704"/>
        <s v="0705"/>
        <s v="0706"/>
        <s v="0707"/>
        <s v="0708"/>
        <s v="0709"/>
        <s v="0710"/>
        <s v="0711"/>
        <s v="0712"/>
        <s v="0713"/>
        <s v="0714"/>
        <s v="0715"/>
        <s v="0716"/>
        <s v="0717"/>
        <s v="0718"/>
        <s v="0719"/>
        <s v="0720"/>
        <s v="0721"/>
        <s v="0722"/>
        <s v="0723"/>
        <s v="0724"/>
        <s v="0725"/>
        <s v="0726"/>
        <s v="0727"/>
        <s v="0728"/>
        <s v="0729"/>
        <s v="0730"/>
        <s v="0731"/>
        <s v="0732"/>
        <s v="0733"/>
        <s v="0734"/>
        <s v="0735"/>
        <s v="0736"/>
        <s v="0737"/>
        <s v="0738"/>
        <s v="0739"/>
        <s v="0740"/>
        <s v="0741"/>
        <s v="0742"/>
        <s v="0743"/>
        <s v="0744"/>
        <s v="0745"/>
        <s v="0746"/>
        <s v="0747"/>
        <s v="0748"/>
        <s v="0749"/>
        <s v="0750"/>
        <s v="0751"/>
        <s v="0752"/>
        <s v="0753"/>
        <s v="0754"/>
        <s v="0755"/>
        <s v="0756"/>
        <s v="0757"/>
        <s v="0758"/>
        <s v="0759"/>
        <s v="0760"/>
        <s v="0761"/>
        <s v="0762"/>
        <s v="0763"/>
        <s v="0764"/>
        <s v="0765"/>
        <s v="0766"/>
        <s v="0767"/>
        <s v="0768"/>
        <s v="0769"/>
        <s v="0770"/>
        <s v="0771"/>
        <s v="0772"/>
        <s v="0773"/>
        <s v="0774"/>
        <s v="0775"/>
        <s v="0776"/>
        <s v="0777"/>
        <s v="0778"/>
        <s v="0779"/>
        <s v="0780"/>
        <s v="0781"/>
        <s v="0782"/>
        <s v="0783"/>
        <s v="0784"/>
        <s v="0785"/>
        <s v="0786"/>
        <s v="0787"/>
        <s v="0788"/>
        <s v="0789"/>
        <s v="0790"/>
        <s v="0791"/>
        <s v="0792"/>
        <s v="0793"/>
        <s v="0794"/>
        <s v="0795"/>
        <s v="0796"/>
        <s v="0797"/>
        <s v="0798"/>
        <s v="0799"/>
        <s v="0800"/>
        <s v="0801"/>
        <s v="0802"/>
        <s v="0803"/>
        <s v="0804"/>
        <s v="0805"/>
        <s v="0806"/>
        <s v="0807"/>
        <s v="0808"/>
        <s v="0809"/>
        <s v="0810"/>
        <s v="0811"/>
        <s v="0812"/>
        <s v="0813"/>
        <s v="0814"/>
        <s v="0815"/>
        <s v="0816"/>
        <s v="0817"/>
        <s v="0818"/>
        <s v="0819"/>
        <s v="0820"/>
        <s v="0821"/>
        <s v="0822"/>
        <s v="0823"/>
        <s v="0824"/>
        <s v="0825"/>
        <s v="0826"/>
        <s v="0827"/>
        <s v="0828"/>
        <s v="0829"/>
        <s v="0830"/>
        <s v="0831"/>
        <s v="0832"/>
        <s v="0833"/>
        <s v="0834"/>
        <s v="0835"/>
        <s v="0836"/>
        <s v="0837"/>
        <s v="0838"/>
        <s v="0839"/>
        <s v="0840"/>
        <s v="0841"/>
        <s v="0842"/>
        <s v="0843"/>
        <s v="0844"/>
        <s v="0845"/>
        <s v="0846"/>
        <s v="0847"/>
        <s v="0848"/>
        <s v="0849"/>
        <s v="0850"/>
        <s v="0851"/>
        <s v="0852"/>
        <s v="0853"/>
        <s v="0854"/>
        <s v="0855"/>
        <s v="0856"/>
        <s v="0857"/>
        <s v="0858"/>
        <s v="0859"/>
        <s v="0860"/>
        <s v="0861"/>
        <s v="0862"/>
        <s v="0863"/>
        <s v="0864"/>
        <s v="0865"/>
        <s v="0866"/>
        <s v="0867"/>
        <s v="0868"/>
        <s v="0869"/>
        <s v="0870"/>
        <s v="0871"/>
        <s v="0872"/>
        <s v="0873"/>
        <s v="0874"/>
        <s v="0875"/>
        <s v="0876"/>
        <s v="0877"/>
        <s v="0878"/>
        <s v="0879"/>
        <s v="0880"/>
        <s v="0881"/>
        <s v="0882"/>
        <s v="0883"/>
        <s v="0884"/>
        <s v="0885"/>
        <s v="0886"/>
        <s v="0887"/>
        <s v="0888"/>
        <s v="0889"/>
        <s v="0890"/>
        <s v="0891"/>
        <s v="0892"/>
        <s v="0893"/>
        <s v="0894"/>
        <s v="0895"/>
        <s v="0896"/>
        <s v="0897"/>
        <s v="0898"/>
        <s v="0899"/>
        <s v="0900"/>
        <s v="0901"/>
        <s v="0902"/>
        <s v="0903"/>
        <s v="0904"/>
        <s v="0905"/>
        <s v="0906"/>
        <s v="0907"/>
        <s v="0908"/>
        <s v="0909"/>
        <s v="0910"/>
        <s v="0911"/>
        <s v="0912"/>
        <s v="0913"/>
        <s v="0914"/>
        <s v="0915"/>
        <s v="0916"/>
        <s v="0917"/>
        <s v="0918"/>
        <s v="0919"/>
        <s v="0920"/>
        <s v="0921"/>
        <s v="0922"/>
        <s v="0923"/>
        <s v="0924"/>
        <s v="0925"/>
        <s v="0926"/>
        <s v="0927"/>
        <s v="0928"/>
        <s v="0929"/>
        <s v="0930"/>
        <s v="0931"/>
        <s v="0932"/>
        <s v="0933"/>
        <s v="0934"/>
        <s v="0935"/>
        <s v="0936"/>
        <s v="0937"/>
        <s v="0938"/>
        <s v="0939"/>
        <s v="0940"/>
        <s v="0941"/>
        <s v="0942"/>
        <s v="0943"/>
        <s v="0944"/>
        <s v="0945"/>
        <s v="0946"/>
        <s v="0947"/>
        <s v="0948"/>
        <s v="0949"/>
        <s v="0950"/>
        <s v="0951"/>
        <s v="0952"/>
        <s v="0953"/>
        <s v="0954"/>
        <s v="0955"/>
        <s v="0956"/>
        <s v="0957"/>
        <s v="0958"/>
        <s v="0959"/>
        <s v="0960"/>
        <s v="0961"/>
        <s v="0962"/>
        <s v="0963"/>
        <s v="0964"/>
        <s v="0965"/>
        <s v="0966"/>
        <s v="0967"/>
        <s v="0968"/>
        <s v="0969"/>
        <s v="0970"/>
        <s v="0971"/>
        <s v="0972"/>
        <s v="0973"/>
        <s v="0974"/>
        <s v="0975"/>
        <s v="0976"/>
        <s v="0977"/>
        <s v="0978"/>
        <s v="0979"/>
        <s v="0980"/>
        <s v="0981"/>
        <s v="0982"/>
        <s v="0983"/>
        <s v="0984"/>
        <s v="0985"/>
        <s v="0986"/>
        <s v="0987"/>
        <s v="0988"/>
        <s v="0989"/>
        <s v="0990"/>
        <s v="0991"/>
        <s v="0992"/>
        <s v="0993"/>
        <s v="0994"/>
        <s v="0995"/>
        <s v="0996"/>
        <s v="0997"/>
        <s v="0998"/>
        <s v="0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2428" u="1"/>
        <s v="4027" u="1"/>
        <s v="4838" u="1"/>
        <s v="6437" u="1"/>
        <s v="8036" u="1"/>
        <m u="1"/>
        <s v="3638" u="1"/>
        <s v="5237" u="1"/>
        <s v="7647" u="1"/>
        <s v="2438" u="1"/>
        <s v="4037" u="1"/>
        <s v="4848" u="1"/>
        <s v="6447" u="1"/>
        <s v="8046" u="1"/>
        <s v="3648" u="1"/>
        <s v="5247" u="1"/>
        <s v="7657" u="1"/>
        <s v="2448" u="1"/>
        <s v="4047" u="1"/>
        <s v="4858" u="1"/>
        <s v="6457" u="1"/>
        <s v="8056" u="1"/>
        <s v="3658" u="1"/>
        <s v="5257" u="1"/>
        <s v="7667" u="1"/>
        <s v="2458" u="1"/>
        <s v="4057" u="1"/>
        <s v="4868" u="1"/>
        <s v="6467" u="1"/>
        <s v="8066" u="1"/>
        <s v="3668" u="1"/>
        <s v="5267" u="1"/>
        <s v="7677" u="1"/>
        <s v="2468" u="1"/>
        <s v="4067" u="1"/>
        <s v="4878" u="1"/>
        <s v="6477" u="1"/>
        <s v="8076" u="1"/>
        <s v="3678" u="1"/>
        <s v="5277" u="1"/>
        <s v="6900" u="1"/>
        <s v="7687" u="1"/>
        <s v="2478" u="1"/>
        <s v="4077" u="1"/>
        <s v="4888" u="1"/>
        <s v="5700" u="1"/>
        <s v="6487" u="1"/>
        <s v="8086" u="1"/>
        <s v="2901" u="1"/>
        <s v="3688" u="1"/>
        <s v="4500" u="1"/>
        <s v="5287" u="1"/>
        <s v="6910" u="1"/>
        <s v="7697" u="1"/>
        <s v="2488" u="1"/>
        <s v="3300" u="1"/>
        <s v="4087" u="1"/>
        <s v="4898" u="1"/>
        <s v="5710" u="1"/>
        <s v="6497" u="1"/>
        <s v="8096" u="1"/>
        <s v="2100" u="1"/>
        <s v="2911" u="1"/>
        <s v="3698" u="1"/>
        <s v="4510" u="1"/>
        <s v="5297" u="1"/>
        <s v="6920" u="1"/>
        <s v="2498" u="1"/>
        <s v="3310" u="1"/>
        <s v="4097" u="1"/>
        <s v="5720" u="1"/>
        <s v="2110" u="1"/>
        <s v="2921" u="1"/>
        <s v="4520" u="1"/>
        <s v="6930" u="1"/>
        <s v="3320" u="1"/>
        <s v="5730" u="1"/>
        <s v="2120" u="1"/>
        <s v="2931" u="1"/>
        <s v="4530" u="1"/>
        <s v="6940" u="1"/>
        <s v="3330" u="1"/>
        <s v="5740" u="1"/>
        <s v="2130" u="1"/>
        <s v="2941" u="1"/>
        <s v="4540" u="1"/>
        <s v="6950" u="1"/>
        <s v="3340" u="1"/>
        <s v="5750" u="1"/>
        <s v="2140" u="1"/>
        <s v="2951" u="1"/>
        <s v="4550" u="1"/>
        <s v="6960" u="1"/>
        <s v="3350" u="1"/>
        <s v="5760" u="1"/>
        <s v="2150" u="1"/>
        <s v="2961" u="1"/>
        <s v="4560" u="1"/>
        <s v="6970" u="1"/>
        <s v="3360" u="1"/>
        <s v="5770" u="1"/>
        <s v="2160" u="1"/>
        <s v="2971" u="1"/>
        <s v="4570" u="1"/>
        <s v="6808" u="1"/>
        <s v="6980" u="1"/>
        <s v="8407" u="1"/>
        <s v="3370" u="1"/>
        <s v="5608" u="1"/>
        <s v="5780" u="1"/>
        <s v="7207" u="1"/>
        <s v="2170" u="1"/>
        <s v="2809" u="1"/>
        <s v="2981" u="1"/>
        <s v="4408" u="1"/>
        <s v="4580" u="1"/>
        <s v="6007" u="1"/>
        <s v="6818" u="1"/>
        <s v="6990" u="1"/>
        <s v="8417" u="1"/>
        <s v="3208" u="1"/>
        <s v="3380" u="1"/>
        <s v="5618" u="1"/>
        <s v="5790" u="1"/>
        <s v="7217" u="1"/>
        <s v="2008" u="1"/>
        <s v="2180" u="1"/>
        <s v="2819" u="1"/>
        <s v="2991" u="1"/>
        <s v="4418" u="1"/>
        <s v="4590" u="1"/>
        <s v="6017" u="1"/>
        <s v="6828" u="1"/>
        <s v="8427" u="1"/>
        <s v="3218" u="1"/>
        <s v="3390" u="1"/>
        <s v="5628" u="1"/>
        <s v="7227" u="1"/>
        <s v="2018" u="1"/>
        <s v="2190" u="1"/>
        <s v="2829" u="1"/>
        <s v="4428" u="1"/>
        <s v="6027" u="1"/>
        <s v="6838" u="1"/>
        <s v="8437" u="1"/>
        <s v="3228" u="1"/>
        <s v="5638" u="1"/>
        <s v="7237" u="1"/>
        <s v="2028" u="1"/>
        <s v="2839" u="1"/>
        <s v="4438" u="1"/>
        <s v="6037" u="1"/>
        <s v="6848" u="1"/>
        <s v="8447" u="1"/>
        <s v="3238" u="1"/>
        <s v="5648" u="1"/>
        <s v="7247" u="1"/>
        <s v="2038" u="1"/>
        <s v="2849" u="1"/>
        <s v="4448" u="1"/>
        <s v="6047" u="1"/>
        <s v="6858" u="1"/>
        <s v="3248" u="1"/>
        <s v="5658" u="1"/>
        <s v="7257" u="1"/>
        <s v="2048" u="1"/>
        <s v="2859" u="1"/>
        <s v="4458" u="1"/>
        <s v="6057" u="1"/>
        <s v="6868" u="1"/>
        <s v="3258" u="1"/>
        <s v="5668" u="1"/>
        <s v="7267" u="1"/>
        <s v="2058" u="1"/>
        <s v="2869" u="1"/>
        <s v="4468" u="1"/>
        <s v="6067" u="1"/>
        <s v="6878" u="1"/>
        <s v="3268" u="1"/>
        <s v="5678" u="1"/>
        <s v="7277" u="1"/>
        <s v="2068" u="1"/>
        <s v="2879" u="1"/>
        <s v="4478" u="1"/>
        <s v="6077" u="1"/>
        <s v="6888" u="1"/>
        <s v="7700" u="1"/>
        <s v="3278" u="1"/>
        <s v="4901" u="1"/>
        <s v="5688" u="1"/>
        <s v="6500" u="1"/>
        <s v="7287" u="1"/>
        <s v="2078" u="1"/>
        <s v="2889" u="1"/>
        <s v="3701" u="1"/>
        <s v="4488" u="1"/>
        <s v="5300" u="1"/>
        <s v="6087" u="1"/>
        <s v="6898" u="1"/>
        <s v="7710" u="1"/>
        <s v="2501" u="1"/>
        <s v="3288" u="1"/>
        <s v="4100" u="1"/>
        <s v="4911" u="1"/>
        <s v="5698" u="1"/>
        <s v="6510" u="1"/>
        <s v="7297" u="1"/>
        <s v="2088" u="1"/>
        <s v="2899" u="1"/>
        <s v="3711" u="1"/>
        <s v="4498" u="1"/>
        <s v="5310" u="1"/>
        <s v="6097" u="1"/>
        <s v="7720" u="1"/>
        <s v="2511" u="1"/>
        <s v="3298" u="1"/>
        <s v="4110" u="1"/>
        <s v="4921" u="1"/>
        <s v="6520" u="1"/>
        <s v="2098" u="1"/>
        <s v="3721" u="1"/>
        <s v="5320" u="1"/>
        <s v="7730" u="1"/>
        <s v="2521" u="1"/>
        <s v="4120" u="1"/>
        <s v="4931" u="1"/>
        <s v="6530" u="1"/>
        <s v="3731" u="1"/>
        <s v="5330" u="1"/>
        <s v="7740" u="1"/>
        <s v="2531" u="1"/>
        <s v="4130" u="1"/>
        <s v="4941" u="1"/>
        <s v="6540" u="1"/>
        <s v="3741" u="1"/>
        <s v="5340" u="1"/>
        <s v="7750" u="1"/>
        <s v="2541" u="1"/>
        <s v="4140" u="1"/>
        <s v="4951" u="1"/>
        <s v="6550" u="1"/>
        <s v="3751" u="1"/>
        <s v="5350" u="1"/>
        <s v="7760" u="1"/>
        <s v="2551" u="1"/>
        <s v="4150" u="1"/>
        <s v="4961" u="1"/>
        <s v="6560" u="1"/>
        <s v="3761" u="1"/>
        <s v="5360" u="1"/>
        <s v="7770" u="1"/>
        <s v="2561" u="1"/>
        <s v="4160" u="1"/>
        <s v="4971" u="1"/>
        <s v="6570" u="1"/>
        <s v="3771" u="1"/>
        <s v="5370" u="1"/>
        <s v="7608" u="1"/>
        <s v="7780" u="1"/>
        <s v="2571" u="1"/>
        <s v="4170" u="1"/>
        <s v="4809" u="1"/>
        <s v="4981" u="1"/>
        <s v="6408" u="1"/>
        <s v="6580" u="1"/>
        <s v="8007" u="1"/>
        <s v="3609" u="1"/>
        <s v="3781" u="1"/>
        <s v="5208" u="1"/>
        <s v="5380" u="1"/>
        <s v="7618" u="1"/>
        <s v="7790" u="1"/>
        <s v="2409" u="1"/>
        <s v="2581" u="1"/>
        <s v="4008" u="1"/>
        <s v="4180" u="1"/>
        <s v="4819" u="1"/>
        <s v="4991" u="1"/>
        <s v="6418" u="1"/>
        <s v="6590" u="1"/>
        <s v="8017" u="1"/>
        <s v="3619" u="1"/>
        <s v="3791" u="1"/>
        <s v="5218" u="1"/>
        <s v="5390" u="1"/>
        <s v="7628" u="1"/>
        <s v="2419" u="1"/>
        <s v="2591" u="1"/>
        <s v="4018" u="1"/>
        <s v="4190" u="1"/>
        <s v="4829" u="1"/>
        <s v="6428" u="1"/>
        <s v="8027" u="1"/>
        <s v="3629" u="1"/>
        <s v="5228" u="1"/>
        <s v="7638" u="1"/>
        <s v="2429" u="1"/>
        <s v="4028" u="1"/>
        <s v="4839" u="1"/>
        <s v="6438" u="1"/>
        <s v="8037" u="1"/>
        <s v="3639" u="1"/>
        <s v="5238" u="1"/>
        <s v="7648" u="1"/>
        <s v="2439" u="1"/>
        <s v="4038" u="1"/>
        <s v="4849" u="1"/>
        <s v="6448" u="1"/>
        <s v="8047" u="1"/>
        <s v="3649" u="1"/>
        <s v="5248" u="1"/>
        <s v="7658" u="1"/>
        <s v="2449" u="1"/>
        <s v="4048" u="1"/>
        <s v="4859" u="1"/>
        <s v="6458" u="1"/>
        <s v="8057" u="1"/>
        <s v="3659" u="1"/>
        <s v="5258" u="1"/>
        <s v="7668" u="1"/>
        <s v="2459" u="1"/>
        <s v="4058" u="1"/>
        <s v="4869" u="1"/>
        <s v="6468" u="1"/>
        <s v="8067" u="1"/>
        <s v="3669" u="1"/>
        <s v="5268" u="1"/>
        <s v="7678" u="1"/>
        <s v="2469" u="1"/>
        <s v="4068" u="1"/>
        <s v="4879" u="1"/>
        <s v="6478" u="1"/>
        <s v="8077" u="1"/>
        <s v="3679" u="1"/>
        <s v="5278" u="1"/>
        <s v="6901" u="1"/>
        <s v="7688" u="1"/>
        <s v="2479" u="1"/>
        <s v="4078" u="1"/>
        <s v="4889" u="1"/>
        <s v="5701" u="1"/>
        <s v="6488" u="1"/>
        <s v="7300" u="1"/>
        <s v="8087" u="1"/>
        <s v="2902" u="1"/>
        <s v="3689" u="1"/>
        <s v="4501" u="1"/>
        <s v="5288" u="1"/>
        <s v="6100" u="1"/>
        <s v="6911" u="1"/>
        <s v="7698" u="1"/>
        <s v="2489" u="1"/>
        <s v="3301" u="1"/>
        <s v="4088" u="1"/>
        <s v="4899" u="1"/>
        <s v="5711" u="1"/>
        <s v="6498" u="1"/>
        <s v="7310" u="1"/>
        <s v="8097" u="1"/>
        <s v="2101" u="1"/>
        <s v="2912" u="1"/>
        <s v="3699" u="1"/>
        <s v="4511" u="1"/>
        <s v="5298" u="1"/>
        <s v="6110" u="1"/>
        <s v="6921" u="1"/>
        <s v="2499" u="1"/>
        <s v="3311" u="1"/>
        <s v="4098" u="1"/>
        <s v="5721" u="1"/>
        <s v="7320" u="1"/>
        <s v="2111" u="1"/>
        <s v="2922" u="1"/>
        <s v="4521" u="1"/>
        <s v="6120" u="1"/>
        <s v="6931" u="1"/>
        <s v="3321" u="1"/>
        <s v="5731" u="1"/>
        <s v="7330" u="1"/>
        <s v="2121" u="1"/>
        <s v="2932" u="1"/>
        <s v="4531" u="1"/>
        <s v="6130" u="1"/>
        <s v="6941" u="1"/>
        <s v="3331" u="1"/>
        <s v="5741" u="1"/>
        <s v="7340" u="1"/>
        <s v="2131" u="1"/>
        <s v="2942" u="1"/>
        <s v="4541" u="1"/>
        <s v="6140" u="1"/>
        <s v="6951" u="1"/>
        <s v="3341" u="1"/>
        <s v="5751" u="1"/>
        <s v="7350" u="1"/>
        <s v="2141" u="1"/>
        <s v="2952" u="1"/>
        <s v="4551" u="1"/>
        <s v="6150" u="1"/>
        <s v="6961" u="1"/>
        <s v="3351" u="1"/>
        <s v="5761" u="1"/>
        <s v="7360" u="1"/>
        <s v="2151" u="1"/>
        <s v="2962" u="1"/>
        <s v="4561" u="1"/>
        <s v="6160" u="1"/>
        <s v="6971" u="1"/>
        <s v="3361" u="1"/>
        <s v="5771" u="1"/>
        <s v="7370" u="1"/>
        <s v="2161" u="1"/>
        <s v="2972" u="1"/>
        <s v="4571" u="1"/>
        <s v="6170" u="1"/>
        <s v="6809" u="1"/>
        <s v="6981" u="1"/>
        <s v="8408" u="1"/>
        <s v="3371" u="1"/>
        <s v="5609" u="1"/>
        <s v="5781" u="1"/>
        <s v="7208" u="1"/>
        <s v="7380" u="1"/>
        <s v="2171" u="1"/>
        <s v="2982" u="1"/>
        <s v="4409" u="1"/>
        <s v="4581" u="1"/>
        <s v="6008" u="1"/>
        <s v="6180" u="1"/>
        <s v="6819" u="1"/>
        <s v="6991" u="1"/>
        <s v="8418" u="1"/>
        <s v="3209" u="1"/>
        <s v="3381" u="1"/>
        <s v="5619" u="1"/>
        <s v="5791" u="1"/>
        <s v="7218" u="1"/>
        <s v="7390" u="1"/>
        <s v="2009" u="1"/>
        <s v="2181" u="1"/>
        <s v="2992" u="1"/>
        <s v="4419" u="1"/>
        <s v="4591" u="1"/>
        <s v="6018" u="1"/>
        <s v="6190" u="1"/>
        <s v="6829" u="1"/>
        <s v="8428" u="1"/>
        <s v="3219" u="1"/>
        <s v="3391" u="1"/>
        <s v="5629" u="1"/>
        <s v="7228" u="1"/>
        <s v="2019" u="1"/>
        <s v="2191" u="1"/>
        <s v="4429" u="1"/>
        <s v="6028" u="1"/>
        <s v="6839" u="1"/>
        <s v="8438" u="1"/>
        <s v="3229" u="1"/>
        <s v="5639" u="1"/>
        <s v="7238" u="1"/>
        <s v="2029" u="1"/>
        <s v="4439" u="1"/>
        <s v="6038" u="1"/>
        <s v="6849" u="1"/>
        <s v="8448" u="1"/>
        <s v="3239" u="1"/>
        <s v="5649" u="1"/>
        <s v="7248" u="1"/>
        <s v="2039" u="1"/>
        <s v="4449" u="1"/>
        <s v="6048" u="1"/>
        <s v="6859" u="1"/>
        <s v="3249" u="1"/>
        <s v="5659" u="1"/>
        <s v="7258" u="1"/>
        <s v="2049" u="1"/>
        <s v="4459" u="1"/>
        <s v="6058" u="1"/>
        <s v="6869" u="1"/>
        <s v="3259" u="1"/>
        <s v="5669" u="1"/>
        <s v="7268" u="1"/>
        <s v="2059" u="1"/>
        <s v="4469" u="1"/>
        <s v="6068" u="1"/>
        <s v="6879" u="1"/>
        <s v="3269" u="1"/>
        <s v="5679" u="1"/>
        <s v="7278" u="1"/>
        <s v="2069" u="1"/>
        <s v="4479" u="1"/>
        <s v="6078" u="1"/>
        <s v="6889" u="1"/>
        <s v="7701" u="1"/>
        <s v="3279" u="1"/>
        <s v="4902" u="1"/>
        <s v="5689" u="1"/>
        <s v="6501" u="1"/>
        <s v="7288" u="1"/>
        <s v="8100" u="1"/>
        <s v="2079" u="1"/>
        <s v="3702" u="1"/>
        <s v="4489" u="1"/>
        <s v="5301" u="1"/>
        <s v="6088" u="1"/>
        <s v="6899" u="1"/>
        <s v="7711" u="1"/>
        <s v="2502" u="1"/>
        <s v="3289" u="1"/>
        <s v="4101" u="1"/>
        <s v="4912" u="1"/>
        <s v="5699" u="1"/>
        <s v="6511" u="1"/>
        <s v="7298" u="1"/>
        <s v="8110" u="1"/>
        <s v="2089" u="1"/>
        <s v="3712" u="1"/>
        <s v="4499" u="1"/>
        <s v="5311" u="1"/>
        <s v="6098" u="1"/>
        <s v="7721" u="1"/>
        <s v="2512" u="1"/>
        <s v="3299" u="1"/>
        <s v="4111" u="1"/>
        <s v="4922" u="1"/>
        <s v="6521" u="1"/>
        <s v="8120" u="1"/>
        <s v="2099" u="1"/>
        <s v="3722" u="1"/>
        <s v="5321" u="1"/>
        <s v="7731" u="1"/>
        <s v="2522" u="1"/>
        <s v="4121" u="1"/>
        <s v="4932" u="1"/>
        <s v="6531" u="1"/>
        <s v="8130" u="1"/>
        <s v="3732" u="1"/>
        <s v="5331" u="1"/>
        <s v="7741" u="1"/>
        <s v="2532" u="1"/>
        <s v="4131" u="1"/>
        <s v="4942" u="1"/>
        <s v="6541" u="1"/>
        <s v="8140" u="1"/>
        <s v="3742" u="1"/>
        <s v="5341" u="1"/>
        <s v="7751" u="1"/>
        <s v="2542" u="1"/>
        <s v="4141" u="1"/>
        <s v="4952" u="1"/>
        <s v="6551" u="1"/>
        <s v="8150" u="1"/>
        <s v="3752" u="1"/>
        <s v="5351" u="1"/>
        <s v="7761" u="1"/>
        <s v="2552" u="1"/>
        <s v="4151" u="1"/>
        <s v="4962" u="1"/>
        <s v="6561" u="1"/>
        <s v="8160" u="1"/>
        <s v="3762" u="1"/>
        <s v="5361" u="1"/>
        <s v="7771" u="1"/>
        <s v="2562" u="1"/>
        <s v="4161" u="1"/>
        <s v="4972" u="1"/>
        <s v="6571" u="1"/>
        <s v="8170" u="1"/>
        <s v="3772" u="1"/>
        <s v="5371" u="1"/>
        <s v="7609" u="1"/>
        <s v="7781" u="1"/>
        <s v="2572" u="1"/>
        <s v="4171" u="1"/>
        <s v="4982" u="1"/>
        <s v="6409" u="1"/>
        <s v="6581" u="1"/>
        <s v="8008" u="1"/>
        <s v="8180" u="1"/>
        <s v="3782" u="1"/>
        <s v="5209" u="1"/>
        <s v="5381" u="1"/>
        <s v="7619" u="1"/>
        <s v="7791" u="1"/>
        <s v="2582" u="1"/>
        <s v="4009" u="1"/>
        <s v="4181" u="1"/>
        <s v="4992" u="1"/>
        <s v="6419" u="1"/>
        <s v="6591" u="1"/>
        <s v="8018" u="1"/>
        <s v="8190" u="1"/>
        <s v="3792" u="1"/>
        <s v="5219" u="1"/>
        <s v="5391" u="1"/>
        <s v="7629" u="1"/>
        <s v="2592" u="1"/>
        <s v="4019" u="1"/>
        <s v="4191" u="1"/>
        <s v="6429" u="1"/>
        <s v="8028" u="1"/>
        <s v="5229" u="1"/>
        <s v="7639" u="1"/>
        <s v="4029" u="1"/>
        <s v="6439" u="1"/>
        <s v="8038" u="1"/>
        <s v="5239" u="1"/>
        <s v="7649" u="1"/>
        <s v="4039" u="1"/>
        <s v="6449" u="1"/>
        <s v="8048" u="1"/>
        <s v="5249" u="1"/>
        <s v="7659" u="1"/>
        <s v="4049" u="1"/>
        <s v="6459" u="1"/>
        <s v="8058" u="1"/>
        <s v="5259" u="1"/>
        <s v="7669" u="1"/>
        <s v="4059" u="1"/>
        <s v="6469" u="1"/>
        <s v="8068" u="1"/>
        <s v="5269" u="1"/>
        <s v="7679" u="1"/>
        <s v="4069" u="1"/>
        <s v="6479" u="1"/>
        <s v="8078" u="1"/>
        <s v="5279" u="1"/>
        <s v="6902" u="1"/>
        <s v="7689" u="1"/>
        <s v="4079" u="1"/>
        <s v="5702" u="1"/>
        <s v="6489" u="1"/>
        <s v="7301" u="1"/>
        <s v="8088" u="1"/>
        <s v="2903" u="1"/>
        <s v="4502" u="1"/>
        <s v="5289" u="1"/>
        <s v="6101" u="1"/>
        <s v="6912" u="1"/>
        <s v="7699" u="1"/>
        <s v="3302" u="1"/>
        <s v="4089" u="1"/>
        <s v="5712" u="1"/>
        <s v="6499" u="1"/>
        <s v="7311" u="1"/>
        <s v="8098" u="1"/>
        <s v="2102" u="1"/>
        <s v="2913" u="1"/>
        <s v="4512" u="1"/>
        <s v="5299" u="1"/>
        <s v="6111" u="1"/>
        <s v="6922" u="1"/>
        <s v="3312" u="1"/>
        <s v="4099" u="1"/>
        <s v="5722" u="1"/>
        <s v="7321" u="1"/>
        <s v="2112" u="1"/>
        <s v="2923" u="1"/>
        <s v="4522" u="1"/>
        <s v="6121" u="1"/>
        <s v="6932" u="1"/>
        <s v="3322" u="1"/>
        <s v="5732" u="1"/>
        <s v="7331" u="1"/>
        <s v="2122" u="1"/>
        <s v="2933" u="1"/>
        <s v="4532" u="1"/>
        <s v="6131" u="1"/>
        <s v="6942" u="1"/>
        <s v="3332" u="1"/>
        <s v="5742" u="1"/>
        <s v="7341" u="1"/>
        <s v="2132" u="1"/>
        <s v="2943" u="1"/>
        <s v="4542" u="1"/>
        <s v="6141" u="1"/>
        <s v="6952" u="1"/>
        <s v="3342" u="1"/>
        <s v="5752" u="1"/>
        <s v="7351" u="1"/>
        <s v="2142" u="1"/>
        <s v="2953" u="1"/>
        <s v="4552" u="1"/>
        <s v="6151" u="1"/>
        <s v="6962" u="1"/>
        <s v="3352" u="1"/>
        <s v="5762" u="1"/>
        <s v="7361" u="1"/>
        <s v="2152" u="1"/>
        <s v="2963" u="1"/>
        <s v="4562" u="1"/>
        <s v="6161" u="1"/>
        <s v="6972" u="1"/>
        <s v="3362" u="1"/>
        <s v="5772" u="1"/>
        <s v="7371" u="1"/>
        <s v="2162" u="1"/>
        <s v="2973" u="1"/>
        <s v="4572" u="1"/>
        <s v="6171" u="1"/>
        <s v="6982" u="1"/>
        <s v="8409" u="1"/>
        <s v="3372" u="1"/>
        <s v="5782" u="1"/>
        <s v="7209" u="1"/>
        <s v="7381" u="1"/>
        <s v="2172" u="1"/>
        <s v="2983" u="1"/>
        <s v="4582" u="1"/>
        <s v="6009" u="1"/>
        <s v="6181" u="1"/>
        <s v="6992" u="1"/>
        <s v="8419" u="1"/>
        <s v="3382" u="1"/>
        <s v="5792" u="1"/>
        <s v="7219" u="1"/>
        <s v="7391" u="1"/>
        <s v="2182" u="1"/>
        <s v="2993" u="1"/>
        <s v="4592" u="1"/>
        <s v="6019" u="1"/>
        <s v="6191" u="1"/>
        <s v="8429" u="1"/>
        <s v="3392" u="1"/>
        <s v="7229" u="1"/>
        <s v="2192" u="1"/>
        <s v="6029" u="1"/>
        <s v="8439" u="1"/>
        <s v="7239" u="1"/>
        <s v="6039" u="1"/>
        <s v="7249" u="1"/>
        <s v="6049" u="1"/>
        <s v="7259" u="1"/>
        <s v="6059" u="1"/>
        <s v="7269" u="1"/>
        <s v="6069" u="1"/>
        <s v="7279" u="1"/>
        <s v="6079" u="1"/>
        <s v="7702" u="1"/>
        <s v="4903" u="1"/>
        <s v="6502" u="1"/>
        <s v="7289" u="1"/>
        <s v="8101" u="1"/>
        <s v="3703" u="1"/>
        <s v="5302" u="1"/>
        <s v="6089" u="1"/>
        <s v="7712" u="1"/>
        <s v="2503" u="1"/>
        <s v="4102" u="1"/>
        <s v="4913" u="1"/>
        <s v="6512" u="1"/>
        <s v="7299" u="1"/>
        <s v="8111" u="1"/>
        <s v="3713" u="1"/>
        <s v="5312" u="1"/>
        <s v="6099" u="1"/>
        <s v="7722" u="1"/>
        <s v="2513" u="1"/>
        <s v="4112" u="1"/>
        <s v="4923" u="1"/>
        <s v="6522" u="1"/>
        <s v="8121" u="1"/>
        <s v="3723" u="1"/>
        <s v="5322" u="1"/>
        <s v="7732" u="1"/>
        <s v="2523" u="1"/>
        <s v="4122" u="1"/>
        <s v="4933" u="1"/>
        <s v="6532" u="1"/>
        <s v="8131" u="1"/>
        <s v="3733" u="1"/>
        <s v="5332" u="1"/>
        <s v="7742" u="1"/>
        <s v="2533" u="1"/>
        <s v="4132" u="1"/>
        <s v="4943" u="1"/>
        <s v="6542" u="1"/>
        <s v="8141" u="1"/>
        <s v="3743" u="1"/>
        <s v="5342" u="1"/>
        <s v="7752" u="1"/>
        <s v="2543" u="1"/>
        <s v="4142" u="1"/>
        <s v="4953" u="1"/>
        <s v="6552" u="1"/>
        <s v="8151" u="1"/>
        <s v="3753" u="1"/>
        <s v="5352" u="1"/>
        <s v="7762" u="1"/>
        <s v="2553" u="1"/>
        <s v="4152" u="1"/>
        <s v="4963" u="1"/>
        <s v="6562" u="1"/>
        <s v="8161" u="1"/>
        <s v="3763" u="1"/>
        <s v="5362" u="1"/>
        <s v="7772" u="1"/>
        <s v="2563" u="1"/>
        <s v="4162" u="1"/>
        <s v="4973" u="1"/>
        <s v="6572" u="1"/>
        <s v="8171" u="1"/>
        <s v="3773" u="1"/>
        <s v="5372" u="1"/>
        <s v="7782" u="1"/>
        <s v="2573" u="1"/>
        <s v="4172" u="1"/>
        <s v="4983" u="1"/>
        <s v="6582" u="1"/>
        <s v="8009" u="1"/>
        <s v="8181" u="1"/>
        <s v="3783" u="1"/>
        <s v="5382" u="1"/>
        <s v="7792" u="1"/>
        <s v="2583" u="1"/>
        <s v="4182" u="1"/>
        <s v="4993" u="1"/>
        <s v="6592" u="1"/>
        <s v="8019" u="1"/>
        <s v="8191" u="1"/>
        <s v="3793" u="1"/>
        <s v="5392" u="1"/>
        <s v="2593" u="1"/>
        <s v="4192" u="1"/>
        <s v="8029" u="1"/>
        <s v="8039" u="1"/>
        <s v="8049" u="1"/>
        <s v="8059" u="1"/>
        <s v="8069" u="1"/>
        <s v="8079" u="1"/>
        <s v="6903" u="1"/>
        <s v="5703" u="1"/>
        <s v="7302" u="1"/>
        <s v="8089" u="1"/>
        <s v="2904" u="1"/>
        <s v="4503" u="1"/>
        <s v="6102" u="1"/>
        <s v="6913" u="1"/>
        <s v="3303" u="1"/>
        <s v="5713" u="1"/>
        <s v="7312" u="1"/>
        <s v="8099" u="1"/>
        <s v="2103" u="1"/>
        <s v="2914" u="1"/>
        <s v="4513" u="1"/>
        <s v="6112" u="1"/>
        <s v="6923" u="1"/>
        <s v="3313" u="1"/>
        <s v="5723" u="1"/>
        <s v="7322" u="1"/>
        <s v="2113" u="1"/>
        <s v="2924" u="1"/>
        <s v="4523" u="1"/>
        <s v="6122" u="1"/>
        <s v="6933" u="1"/>
        <s v="3323" u="1"/>
        <s v="5733" u="1"/>
        <s v="7332" u="1"/>
        <s v="2123" u="1"/>
        <s v="2934" u="1"/>
        <s v="4533" u="1"/>
        <s v="6132" u="1"/>
        <s v="6943" u="1"/>
        <s v="3333" u="1"/>
        <s v="5743" u="1"/>
        <s v="7342" u="1"/>
        <s v="2133" u="1"/>
        <s v="2944" u="1"/>
        <s v="4543" u="1"/>
        <s v="6142" u="1"/>
        <s v="6953" u="1"/>
        <s v="3343" u="1"/>
        <s v="5753" u="1"/>
        <s v="7352" u="1"/>
        <s v="2143" u="1"/>
        <s v="2954" u="1"/>
        <s v="4553" u="1"/>
        <s v="6152" u="1"/>
        <s v="6963" u="1"/>
        <s v="3353" u="1"/>
        <s v="5763" u="1"/>
        <s v="7362" u="1"/>
        <s v="2153" u="1"/>
        <s v="2964" u="1"/>
        <s v="4563" u="1"/>
        <s v="6162" u="1"/>
        <s v="6973" u="1"/>
        <s v="3363" u="1"/>
        <s v="5773" u="1"/>
        <s v="7372" u="1"/>
        <s v="2163" u="1"/>
        <s v="2974" u="1"/>
        <s v="4573" u="1"/>
        <s v="6172" u="1"/>
        <s v="6983" u="1"/>
        <s v="3373" u="1"/>
        <s v="5783" u="1"/>
        <s v="7382" u="1"/>
        <s v="2173" u="1"/>
        <s v="2984" u="1"/>
        <s v="4583" u="1"/>
        <s v="6182" u="1"/>
        <s v="6993" u="1"/>
        <s v="3383" u="1"/>
        <s v="5793" u="1"/>
        <s v="7392" u="1"/>
        <s v="2183" u="1"/>
        <s v="2994" u="1"/>
        <s v="4593" u="1"/>
        <s v="6192" u="1"/>
        <s v="3393" u="1"/>
        <s v="2193" u="1"/>
        <s v="7703" u="1"/>
        <s v="4904" u="1"/>
        <s v="6503" u="1"/>
        <s v="8102" u="1"/>
        <s v="3704" u="1"/>
        <s v="5303" u="1"/>
        <s v="7713" u="1"/>
        <s v="2504" u="1"/>
        <s v="4103" u="1"/>
        <s v="4914" u="1"/>
        <s v="6513" u="1"/>
        <s v="8112" u="1"/>
        <s v="3714" u="1"/>
        <s v="5313" u="1"/>
        <s v="7723" u="1"/>
        <s v="2514" u="1"/>
        <s v="4113" u="1"/>
        <s v="4924" u="1"/>
        <s v="6523" u="1"/>
        <s v="8122" u="1"/>
        <s v="3724" u="1"/>
        <s v="5323" u="1"/>
        <s v="7733" u="1"/>
        <s v="2524" u="1"/>
        <s v="4123" u="1"/>
        <s v="4934" u="1"/>
        <s v="6533" u="1"/>
        <s v="8132" u="1"/>
        <s v="3734" u="1"/>
        <s v="5333" u="1"/>
        <s v="7743" u="1"/>
        <s v="2534" u="1"/>
        <s v="4133" u="1"/>
        <s v="4944" u="1"/>
        <s v="6543" u="1"/>
        <s v="8142" u="1"/>
        <s v="3744" u="1"/>
        <s v="5343" u="1"/>
        <s v="7753" u="1"/>
        <s v="2544" u="1"/>
        <s v="4143" u="1"/>
        <s v="4954" u="1"/>
        <s v="6553" u="1"/>
        <s v="8152" u="1"/>
        <s v="3754" u="1"/>
        <s v="5353" u="1"/>
        <s v="7763" u="1"/>
        <s v="2554" u="1"/>
        <s v="4153" u="1"/>
        <s v="4964" u="1"/>
        <s v="6563" u="1"/>
        <s v="8162" u="1"/>
        <s v="3764" u="1"/>
        <s v="5363" u="1"/>
        <s v="7773" u="1"/>
        <s v="2564" u="1"/>
        <s v="4163" u="1"/>
        <s v="4974" u="1"/>
        <s v="6573" u="1"/>
        <s v="8172" u="1"/>
        <s v="3774" u="1"/>
        <s v="5373" u="1"/>
        <s v="7783" u="1"/>
        <s v="2574" u="1"/>
        <s v="4173" u="1"/>
        <s v="4984" u="1"/>
        <s v="6583" u="1"/>
        <s v="8182" u="1"/>
        <s v="3784" u="1"/>
        <s v="5383" u="1"/>
        <s v="7793" u="1"/>
        <s v="2584" u="1"/>
        <s v="4183" u="1"/>
        <s v="4994" u="1"/>
        <s v="6593" u="1"/>
        <s v="8192" u="1"/>
        <s v="3794" u="1"/>
        <s v="5393" u="1"/>
        <s v="2594" u="1"/>
        <s v="4193" u="1"/>
        <s v="6904" u="1"/>
        <s v="5704" u="1"/>
        <s v="7303" u="1"/>
        <s v="2905" u="1"/>
        <s v="4504" u="1"/>
        <s v="6103" u="1"/>
        <s v="6914" u="1"/>
        <s v="3304" u="1"/>
        <s v="5714" u="1"/>
        <s v="7313" u="1"/>
        <s v="2104" u="1"/>
        <s v="2915" u="1"/>
        <s v="4514" u="1"/>
        <s v="6113" u="1"/>
        <s v="6924" u="1"/>
        <s v="3314" u="1"/>
        <s v="5724" u="1"/>
        <s v="7323" u="1"/>
        <s v="2114" u="1"/>
        <s v="2925" u="1"/>
        <s v="4524" u="1"/>
        <s v="6123" u="1"/>
        <s v="6934" u="1"/>
        <s v="3324" u="1"/>
        <s v="5734" u="1"/>
        <s v="7333" u="1"/>
        <s v="2124" u="1"/>
        <s v="2935" u="1"/>
        <s v="4534" u="1"/>
        <s v="6133" u="1"/>
        <s v="6944" u="1"/>
        <s v="3334" u="1"/>
        <s v="5744" u="1"/>
        <s v="7343" u="1"/>
        <s v="2134" u="1"/>
        <s v="2945" u="1"/>
        <s v="4544" u="1"/>
        <s v="6143" u="1"/>
        <s v="6954" u="1"/>
        <s v="3344" u="1"/>
        <s v="5754" u="1"/>
        <s v="7353" u="1"/>
        <s v="2144" u="1"/>
        <s v="2955" u="1"/>
        <s v="4554" u="1"/>
        <s v="6153" u="1"/>
        <s v="6964" u="1"/>
        <s v="3354" u="1"/>
        <s v="5764" u="1"/>
        <s v="7363" u="1"/>
        <s v="2154" u="1"/>
        <s v="2965" u="1"/>
        <s v="4564" u="1"/>
        <s v="6163" u="1"/>
        <s v="6974" u="1"/>
        <s v="3364" u="1"/>
        <s v="5774" u="1"/>
        <s v="7373" u="1"/>
        <s v="2164" u="1"/>
        <s v="2975" u="1"/>
        <s v="4574" u="1"/>
        <s v="6173" u="1"/>
        <s v="6984" u="1"/>
        <s v="3374" u="1"/>
        <s v="5784" u="1"/>
        <s v="7383" u="1"/>
        <s v="2174" u="1"/>
        <s v="2985" u="1"/>
        <s v="4584" u="1"/>
        <s v="6183" u="1"/>
        <s v="6994" u="1"/>
        <s v="3384" u="1"/>
        <s v="5794" u="1"/>
        <s v="7393" u="1"/>
        <s v="2184" u="1"/>
        <s v="2995" u="1"/>
        <s v="4594" u="1"/>
        <s v="6193" u="1"/>
        <s v="3394" u="1"/>
        <s v="2194" u="1"/>
        <s v="7704" u="1"/>
        <s v="4905" u="1"/>
        <s v="6504" u="1"/>
        <s v="8103" u="1"/>
        <s v="3705" u="1"/>
        <s v="5304" u="1"/>
        <s v="7714" u="1"/>
        <s v="2505" u="1"/>
        <s v="4104" u="1"/>
        <s v="4915" u="1"/>
        <s v="6514" u="1"/>
        <s v="8113" u="1"/>
        <s v="3715" u="1"/>
        <s v="5314" u="1"/>
        <s v="7724" u="1"/>
        <s v="2515" u="1"/>
        <s v="4114" u="1"/>
        <s v="4925" u="1"/>
        <s v="6524" u="1"/>
        <s v="8123" u="1"/>
        <s v="3725" u="1"/>
        <s v="5324" u="1"/>
        <s v="7734" u="1"/>
        <s v="2525" u="1"/>
        <s v="4124" u="1"/>
        <s v="4935" u="1"/>
        <s v="6534" u="1"/>
        <s v="8133" u="1"/>
        <s v="3735" u="1"/>
        <s v="5334" u="1"/>
        <s v="7744" u="1"/>
        <s v="2535" u="1"/>
        <s v="4134" u="1"/>
        <s v="4945" u="1"/>
        <s v="6544" u="1"/>
        <s v="8143" u="1"/>
        <s v="3745" u="1"/>
        <s v="5344" u="1"/>
        <s v="7754" u="1"/>
        <s v="2545" u="1"/>
        <s v="4144" u="1"/>
        <s v="4955" u="1"/>
        <s v="6554" u="1"/>
        <s v="8153" u="1"/>
        <s v="3755" u="1"/>
        <s v="5354" u="1"/>
        <s v="7764" u="1"/>
        <s v="2555" u="1"/>
        <s v="4154" u="1"/>
        <s v="4965" u="1"/>
        <s v="6564" u="1"/>
        <s v="8163" u="1"/>
        <s v="3765" u="1"/>
        <s v="5364" u="1"/>
        <s v="7774" u="1"/>
        <s v="2565" u="1"/>
        <s v="4164" u="1"/>
        <s v="4975" u="1"/>
        <s v="6574" u="1"/>
        <s v="8173" u="1"/>
        <s v="3775" u="1"/>
        <s v="5374" u="1"/>
        <s v="7784" u="1"/>
        <s v="2575" u="1"/>
        <s v="4174" u="1"/>
        <s v="4985" u="1"/>
        <s v="6584" u="1"/>
        <s v="8183" u="1"/>
        <s v="3785" u="1"/>
        <s v="5384" u="1"/>
        <s v="7794" u="1"/>
        <s v="2585" u="1"/>
        <s v="4184" u="1"/>
        <s v="4995" u="1"/>
        <s v="6594" u="1"/>
        <s v="8193" u="1"/>
        <s v="3795" u="1"/>
        <s v="5394" u="1"/>
        <s v="2595" u="1"/>
        <s v="4194" u="1"/>
        <s v="6905" u="1"/>
        <s v="5705" u="1"/>
        <s v="7304" u="1"/>
        <s v="2906" u="1"/>
        <s v="4505" u="1"/>
        <s v="6104" u="1"/>
        <s v="6915" u="1"/>
        <s v="3305" u="1"/>
        <s v="5715" u="1"/>
        <s v="7314" u="1"/>
        <s v="2105" u="1"/>
        <s v="2916" u="1"/>
        <s v="4515" u="1"/>
        <s v="6114" u="1"/>
        <s v="6925" u="1"/>
        <s v="3315" u="1"/>
        <s v="5725" u="1"/>
        <s v="7324" u="1"/>
        <s v="2115" u="1"/>
        <s v="2926" u="1"/>
        <s v="4525" u="1"/>
        <s v="6124" u="1"/>
        <s v="6935" u="1"/>
        <s v="3325" u="1"/>
        <s v="5735" u="1"/>
        <s v="7334" u="1"/>
        <s v="2125" u="1"/>
        <s v="2936" u="1"/>
        <s v="4535" u="1"/>
        <s v="6134" u="1"/>
        <s v="6945" u="1"/>
        <s v="3335" u="1"/>
        <s v="5745" u="1"/>
        <s v="7344" u="1"/>
        <s v="2135" u="1"/>
        <s v="2946" u="1"/>
        <s v="4545" u="1"/>
        <s v="6144" u="1"/>
        <s v="6955" u="1"/>
        <s v="3345" u="1"/>
        <s v="5755" u="1"/>
        <s v="7354" u="1"/>
        <s v="2145" u="1"/>
        <s v="2956" u="1"/>
        <s v="4555" u="1"/>
        <s v="6154" u="1"/>
        <s v="6965" u="1"/>
        <s v="3355" u="1"/>
        <s v="5765" u="1"/>
        <s v="7364" u="1"/>
        <s v="2155" u="1"/>
        <s v="2966" u="1"/>
        <s v="4565" u="1"/>
        <s v="6164" u="1"/>
        <s v="6975" u="1"/>
        <s v="3365" u="1"/>
        <s v="5775" u="1"/>
        <s v="7374" u="1"/>
        <s v="2165" u="1"/>
        <s v="2976" u="1"/>
        <s v="4575" u="1"/>
        <s v="6174" u="1"/>
        <s v="6985" u="1"/>
        <s v="3375" u="1"/>
        <s v="5785" u="1"/>
        <s v="7384" u="1"/>
        <s v="2175" u="1"/>
        <s v="2986" u="1"/>
        <s v="4585" u="1"/>
        <s v="6184" u="1"/>
        <s v="6995" u="1"/>
        <s v="3385" u="1"/>
        <s v="5795" u="1"/>
        <s v="7394" u="1"/>
        <s v="2185" u="1"/>
        <s v="2996" u="1"/>
        <s v="4595" u="1"/>
        <s v="6194" u="1"/>
        <s v="3395" u="1"/>
        <s v="2195" u="1"/>
        <s v="7705" u="1"/>
        <s v="4906" u="1"/>
        <s v="6505" u="1"/>
        <s v="8104" u="1"/>
        <s v="3706" u="1"/>
        <s v="5305" u="1"/>
        <s v="7715" u="1"/>
        <s v="2506" u="1"/>
        <s v="4105" u="1"/>
        <s v="4916" u="1"/>
        <s v="6515" u="1"/>
        <s v="8114" u="1"/>
        <s v="3716" u="1"/>
        <s v="5315" u="1"/>
        <s v="7725" u="1"/>
        <s v="2516" u="1"/>
        <s v="4115" u="1"/>
        <s v="4926" u="1"/>
        <s v="6525" u="1"/>
        <s v="8124" u="1"/>
        <s v="3726" u="1"/>
        <s v="5325" u="1"/>
        <s v="7735" u="1"/>
        <s v="2526" u="1"/>
        <s v="4125" u="1"/>
        <s v="4936" u="1"/>
        <s v="6535" u="1"/>
        <s v="8134" u="1"/>
        <s v="3736" u="1"/>
        <s v="5335" u="1"/>
        <s v="7745" u="1"/>
        <s v="2536" u="1"/>
        <s v="4135" u="1"/>
        <s v="4946" u="1"/>
        <s v="6545" u="1"/>
        <s v="8144" u="1"/>
        <s v="3746" u="1"/>
        <s v="5345" u="1"/>
        <s v="7755" u="1"/>
        <s v="2546" u="1"/>
        <s v="4145" u="1"/>
        <s v="4956" u="1"/>
        <s v="6555" u="1"/>
        <s v="8154" u="1"/>
        <s v="3756" u="1"/>
        <s v="5355" u="1"/>
        <s v="7765" u="1"/>
        <s v="2556" u="1"/>
        <s v="4155" u="1"/>
        <s v="4966" u="1"/>
        <s v="6565" u="1"/>
        <s v="8164" u="1"/>
        <s v="3766" u="1"/>
        <s v="5365" u="1"/>
        <s v="7775" u="1"/>
        <s v="2566" u="1"/>
        <s v="4165" u="1"/>
        <s v="4976" u="1"/>
        <s v="6575" u="1"/>
        <s v="8174" u="1"/>
        <s v="3776" u="1"/>
        <s v="5375" u="1"/>
        <s v="7785" u="1"/>
        <s v="2576" u="1"/>
        <s v="4175" u="1"/>
        <s v="4986" u="1"/>
        <s v="6585" u="1"/>
        <s v="8184" u="1"/>
        <s v="3786" u="1"/>
        <s v="5385" u="1"/>
        <s v="7795" u="1"/>
        <s v="2586" u="1"/>
        <s v="4185" u="1"/>
        <s v="4996" u="1"/>
        <s v="6595" u="1"/>
        <s v="8194" u="1"/>
        <s v="3796" u="1"/>
        <s v="5395" u="1"/>
        <s v="2596" u="1"/>
        <s v="4195" u="1"/>
        <s v="6906" u="1"/>
        <s v="5706" u="1"/>
        <s v="7305" u="1"/>
        <s v="2907" u="1"/>
        <s v="4506" u="1"/>
        <s v="6105" u="1"/>
        <s v="6916" u="1"/>
        <s v="3306" u="1"/>
        <s v="5716" u="1"/>
        <s v="7315" u="1"/>
        <s v="2106" u="1"/>
        <s v="2917" u="1"/>
        <s v="4516" u="1"/>
        <s v="6115" u="1"/>
        <s v="6926" u="1"/>
        <s v="3316" u="1"/>
        <s v="5726" u="1"/>
        <s v="7325" u="1"/>
        <s v="2116" u="1"/>
        <s v="2927" u="1"/>
        <s v="4526" u="1"/>
        <s v="6125" u="1"/>
        <s v="6936" u="1"/>
        <s v="3326" u="1"/>
        <s v="5736" u="1"/>
        <s v="7335" u="1"/>
        <s v="2126" u="1"/>
        <s v="2937" u="1"/>
        <s v="4536" u="1"/>
        <s v="6135" u="1"/>
        <s v="6946" u="1"/>
        <s v="3336" u="1"/>
        <s v="5746" u="1"/>
        <s v="7345" u="1"/>
        <s v="2136" u="1"/>
        <s v="2947" u="1"/>
        <s v="4546" u="1"/>
        <s v="6145" u="1"/>
        <s v="6956" u="1"/>
        <s v="3346" u="1"/>
        <s v="5756" u="1"/>
        <s v="7355" u="1"/>
        <s v="2146" u="1"/>
        <s v="2957" u="1"/>
        <s v="4556" u="1"/>
        <s v="6155" u="1"/>
        <s v="6966" u="1"/>
        <s v="3356" u="1"/>
        <s v="5766" u="1"/>
        <s v="7365" u="1"/>
        <s v="2156" u="1"/>
        <s v="2967" u="1"/>
        <s v="4566" u="1"/>
        <s v="6165" u="1"/>
        <s v="6976" u="1"/>
        <s v="3366" u="1"/>
        <s v="5776" u="1"/>
        <s v="7375" u="1"/>
        <s v="2166" u="1"/>
        <s v="2977" u="1"/>
        <s v="4576" u="1"/>
        <s v="6175" u="1"/>
        <s v="6986" u="1"/>
        <s v="3376" u="1"/>
        <s v="5786" u="1"/>
        <s v="7385" u="1"/>
        <s v="2176" u="1"/>
        <s v="2987" u="1"/>
        <s v="4586" u="1"/>
        <s v="6185" u="1"/>
        <s v="6996" u="1"/>
        <s v="3386" u="1"/>
        <s v="5796" u="1"/>
        <s v="7395" u="1"/>
        <s v="2186" u="1"/>
        <s v="2997" u="1"/>
        <s v="4596" u="1"/>
        <s v="6195" u="1"/>
        <s v="3396" u="1"/>
        <s v="2196" u="1"/>
        <s v="7706" u="1"/>
        <s v="4907" u="1"/>
        <s v="6506" u="1"/>
        <s v="8105" u="1"/>
        <s v="3707" u="1"/>
        <s v="5306" u="1"/>
        <s v="7716" u="1"/>
        <s v="2507" u="1"/>
        <s v="4106" u="1"/>
        <s v="4917" u="1"/>
        <s v="6516" u="1"/>
        <s v="8115" u="1"/>
        <s v="3717" u="1"/>
        <s v="5316" u="1"/>
        <s v="7726" u="1"/>
        <s v="2517" u="1"/>
        <s v="4116" u="1"/>
        <s v="4927" u="1"/>
        <s v="6526" u="1"/>
        <s v="8125" u="1"/>
        <s v="3727" u="1"/>
        <s v="5326" u="1"/>
        <s v="7736" u="1"/>
        <s v="2527" u="1"/>
        <s v="4126" u="1"/>
        <s v="4937" u="1"/>
        <s v="6536" u="1"/>
        <s v="8135" u="1"/>
        <s v="3737" u="1"/>
        <s v="5336" u="1"/>
        <s v="7746" u="1"/>
        <s v="2537" u="1"/>
        <s v="4136" u="1"/>
        <s v="4947" u="1"/>
        <s v="6546" u="1"/>
        <s v="8145" u="1"/>
        <s v="3747" u="1"/>
        <s v="5346" u="1"/>
        <s v="7756" u="1"/>
        <s v="2547" u="1"/>
        <s v="4146" u="1"/>
        <s v="4957" u="1"/>
        <s v="6556" u="1"/>
        <s v="8155" u="1"/>
        <s v="3757" u="1"/>
        <s v="5356" u="1"/>
        <s v="7766" u="1"/>
        <s v="2557" u="1"/>
        <s v="4156" u="1"/>
        <s v="4967" u="1"/>
        <s v="6566" u="1"/>
        <s v="8165" u="1"/>
        <s v="3767" u="1"/>
        <s v="5366" u="1"/>
        <s v="7776" u="1"/>
        <s v="2567" u="1"/>
        <s v="4166" u="1"/>
        <s v="4977" u="1"/>
        <s v="6576" u="1"/>
        <s v="8175" u="1"/>
        <s v="3777" u="1"/>
        <s v="5376" u="1"/>
        <s v="7786" u="1"/>
        <s v="2577" u="1"/>
        <s v="4176" u="1"/>
        <s v="4987" u="1"/>
        <s v="6586" u="1"/>
        <s v="8185" u="1"/>
        <s v="3787" u="1"/>
        <s v="5386" u="1"/>
        <s v="7796" u="1"/>
        <s v="2587" u="1"/>
        <s v="4186" u="1"/>
        <s v="4997" u="1"/>
        <s v="6596" u="1"/>
        <s v="8195" u="1"/>
        <s v="3797" u="1"/>
        <s v="5396" u="1"/>
        <s v="2597" u="1"/>
        <s v="4196" u="1"/>
        <s v="6907" u="1"/>
        <s v="5707" u="1"/>
        <s v="7306" u="1"/>
        <s v="2908" u="1"/>
        <s v="4507" u="1"/>
        <s v="6106" u="1"/>
        <s v="6917" u="1"/>
        <s v="3307" u="1"/>
        <s v="5717" u="1"/>
        <s v="7316" u="1"/>
        <s v="2107" u="1"/>
        <s v="2918" u="1"/>
        <s v="4517" u="1"/>
        <s v="6116" u="1"/>
        <s v="6927" u="1"/>
        <s v="3317" u="1"/>
        <s v="5727" u="1"/>
        <s v="7326" u="1"/>
        <s v="2117" u="1"/>
        <s v="2928" u="1"/>
        <s v="4527" u="1"/>
        <s v="6126" u="1"/>
        <s v="6937" u="1"/>
        <s v="3327" u="1"/>
        <s v="5737" u="1"/>
        <s v="7336" u="1"/>
        <s v="2127" u="1"/>
        <s v="2938" u="1"/>
        <s v="4537" u="1"/>
        <s v="6136" u="1"/>
        <s v="6947" u="1"/>
        <s v="3337" u="1"/>
        <s v="5747" u="1"/>
        <s v="7346" u="1"/>
        <s v="2137" u="1"/>
        <s v="2948" u="1"/>
        <s v="4547" u="1"/>
        <s v="6146" u="1"/>
        <s v="6957" u="1"/>
        <s v="3347" u="1"/>
        <s v="5757" u="1"/>
        <s v="7356" u="1"/>
        <s v="2147" u="1"/>
        <s v="2958" u="1"/>
        <s v="4557" u="1"/>
        <s v="6156" u="1"/>
        <s v="6967" u="1"/>
        <s v="3357" u="1"/>
        <s v="5767" u="1"/>
        <s v="7366" u="1"/>
        <s v="2157" u="1"/>
        <s v="2968" u="1"/>
        <s v="4567" u="1"/>
        <s v="6166" u="1"/>
        <s v="6977" u="1"/>
        <s v="3367" u="1"/>
        <s v="5777" u="1"/>
        <s v="7376" u="1"/>
        <s v="2167" u="1"/>
        <s v="2978" u="1"/>
        <s v="4577" u="1"/>
        <s v="6176" u="1"/>
        <s v="6987" u="1"/>
        <s v="3377" u="1"/>
        <s v="5787" u="1"/>
        <s v="7386" u="1"/>
        <s v="2177" u="1"/>
        <s v="2988" u="1"/>
        <s v="3800" u="1"/>
        <s v="4587" u="1"/>
        <s v="6186" u="1"/>
        <s v="6997" u="1"/>
        <s v="2600" u="1"/>
        <s v="3387" u="1"/>
        <s v="5797" u="1"/>
        <s v="7396" u="1"/>
        <s v="2187" u="1"/>
        <s v="2998" u="1"/>
        <s v="3810" u="1"/>
        <s v="4597" u="1"/>
        <s v="6196" u="1"/>
        <s v="2610" u="1"/>
        <s v="3397" u="1"/>
        <s v="2197" u="1"/>
        <s v="3820" u="1"/>
        <s v="2620" u="1"/>
        <s v="3830" u="1"/>
        <s v="2630" u="1"/>
        <s v="3840" u="1"/>
        <s v="2640" u="1"/>
        <s v="3850" u="1"/>
        <s v="2650" u="1"/>
        <s v="3860" u="1"/>
        <s v="2660" u="1"/>
        <s v="3870" u="1"/>
        <s v="7707" u="1"/>
        <s v="2670" u="1"/>
        <s v="4908" u="1"/>
        <s v="6507" u="1"/>
        <s v="8106" u="1"/>
        <s v="3708" u="1"/>
        <s v="3880" u="1"/>
        <s v="5307" u="1"/>
        <s v="7717" u="1"/>
        <s v="2508" u="1"/>
        <s v="2680" u="1"/>
        <s v="4107" u="1"/>
        <s v="4918" u="1"/>
        <s v="6517" u="1"/>
        <s v="8116" u="1"/>
        <s v="3718" u="1"/>
        <s v="3890" u="1"/>
        <s v="5317" u="1"/>
        <s v="7727" u="1"/>
        <s v="2518" u="1"/>
        <s v="2690" u="1"/>
        <s v="4117" u="1"/>
        <s v="4928" u="1"/>
        <s v="6527" u="1"/>
        <s v="8126" u="1"/>
        <s v="3728" u="1"/>
        <s v="5327" u="1"/>
        <s v="7737" u="1"/>
        <s v="2528" u="1"/>
        <s v="4127" u="1"/>
        <s v="4938" u="1"/>
        <s v="6537" u="1"/>
        <s v="8136" u="1"/>
        <s v="3738" u="1"/>
        <s v="5337" u="1"/>
        <s v="7747" u="1"/>
        <s v="2538" u="1"/>
        <s v="4137" u="1"/>
        <s v="4948" u="1"/>
        <s v="6547" u="1"/>
        <s v="8146" u="1"/>
        <s v="3748" u="1"/>
        <s v="5347" u="1"/>
        <s v="7757" u="1"/>
        <s v="2548" u="1"/>
        <s v="4147" u="1"/>
        <s v="4958" u="1"/>
        <s v="6557" u="1"/>
        <s v="8156" u="1"/>
        <s v="3758" u="1"/>
        <s v="5357" u="1"/>
        <s v="7767" u="1"/>
        <s v="2558" u="1"/>
        <s v="4157" u="1"/>
        <s v="4968" u="1"/>
        <s v="6567" u="1"/>
        <s v="8166" u="1"/>
        <s v="3768" u="1"/>
        <s v="5367" u="1"/>
        <s v="7777" u="1"/>
        <s v="2568" u="1"/>
        <s v="4167" u="1"/>
        <s v="4978" u="1"/>
        <s v="6577" u="1"/>
        <s v="8176" u="1"/>
        <s v="3778" u="1"/>
        <s v="5377" u="1"/>
        <s v="7787" u="1"/>
        <s v="2578" u="1"/>
        <s v="4177" u="1"/>
        <s v="4988" u="1"/>
        <s v="5800" u="1"/>
        <s v="6587" u="1"/>
        <s v="8186" u="1"/>
        <s v="3788" u="1"/>
        <s v="4600" u="1"/>
        <s v="5387" u="1"/>
        <s v="7797" u="1"/>
        <s v="2588" u="1"/>
        <s v="3400" u="1"/>
        <s v="4187" u="1"/>
        <s v="4998" u="1"/>
        <s v="5810" u="1"/>
        <s v="6597" u="1"/>
        <s v="8196" u="1"/>
        <s v="2200" u="1"/>
        <s v="3798" u="1"/>
        <s v="4610" u="1"/>
        <s v="5397" u="1"/>
        <s v="2598" u="1"/>
        <s v="3410" u="1"/>
        <s v="4197" u="1"/>
        <s v="5820" u="1"/>
        <s v="2210" u="1"/>
        <s v="4620" u="1"/>
        <s v="3420" u="1"/>
        <s v="5830" u="1"/>
        <s v="2220" u="1"/>
        <s v="4630" u="1"/>
        <s v="3430" u="1"/>
        <s v="5840" u="1"/>
        <s v="2230" u="1"/>
        <s v="4640" u="1"/>
        <s v="3440" u="1"/>
        <s v="5850" u="1"/>
        <s v="2240" u="1"/>
        <s v="4650" u="1"/>
        <s v="3450" u="1"/>
        <s v="5860" u="1"/>
        <s v="2250" u="1"/>
        <s v="4660" u="1"/>
        <s v="3460" u="1"/>
        <s v="5870" u="1"/>
        <s v="2260" u="1"/>
        <s v="4670" u="1"/>
        <s v="6908" u="1"/>
        <s v="3470" u="1"/>
        <s v="5708" u="1"/>
        <s v="5880" u="1"/>
        <s v="7307" u="1"/>
        <s v="2270" u="1"/>
        <s v="2909" u="1"/>
        <s v="4508" u="1"/>
        <s v="4680" u="1"/>
        <s v="6107" u="1"/>
        <s v="6918" u="1"/>
        <s v="3308" u="1"/>
        <s v="3480" u="1"/>
        <s v="5718" u="1"/>
        <s v="5890" u="1"/>
        <s v="7317" u="1"/>
        <s v="2108" u="1"/>
        <s v="2280" u="1"/>
        <s v="2919" u="1"/>
        <s v="4518" u="1"/>
        <s v="4690" u="1"/>
        <s v="6117" u="1"/>
        <s v="6928" u="1"/>
        <s v="3318" u="1"/>
        <s v="3490" u="1"/>
        <s v="5728" u="1"/>
        <s v="7327" u="1"/>
        <s v="2118" u="1"/>
        <s v="2290" u="1"/>
        <s v="2929" u="1"/>
        <s v="4528" u="1"/>
        <s v="6127" u="1"/>
        <s v="6938" u="1"/>
        <s v="3328" u="1"/>
        <s v="5738" u="1"/>
        <s v="7337" u="1"/>
        <s v="2128" u="1"/>
        <s v="2939" u="1"/>
        <s v="4538" u="1"/>
        <s v="6137" u="1"/>
        <s v="6948" u="1"/>
        <s v="3338" u="1"/>
        <s v="5748" u="1"/>
        <s v="7347" u="1"/>
        <s v="2138" u="1"/>
        <s v="2949" u="1"/>
        <s v="4548" u="1"/>
        <s v="6147" u="1"/>
        <s v="6958" u="1"/>
        <s v="3348" u="1"/>
        <s v="5758" u="1"/>
        <s v="7357" u="1"/>
        <s v="2148" u="1"/>
        <s v="2959" u="1"/>
        <s v="4558" u="1"/>
        <s v="6157" u="1"/>
        <s v="6968" u="1"/>
        <s v="3358" u="1"/>
        <s v="5768" u="1"/>
        <s v="7367" u="1"/>
        <s v="2158" u="1"/>
        <s v="2969" u="1"/>
        <s v="4568" u="1"/>
        <s v="6167" u="1"/>
        <s v="6978" u="1"/>
        <s v="3368" u="1"/>
        <s v="5778" u="1"/>
        <s v="7377" u="1"/>
        <s v="2168" u="1"/>
        <s v="2979" u="1"/>
        <s v="4578" u="1"/>
        <s v="6177" u="1"/>
        <s v="6988" u="1"/>
        <s v="7800" u="1"/>
        <s v="3378" u="1"/>
        <s v="5788" u="1"/>
        <s v="6600" u="1"/>
        <s v="7387" u="1"/>
        <s v="2178" u="1"/>
        <s v="2989" u="1"/>
        <s v="3801" u="1"/>
        <s v="4588" u="1"/>
        <s v="5400" u="1"/>
        <s v="6187" u="1"/>
        <s v="6998" u="1"/>
        <s v="7810" u="1"/>
        <s v="2601" u="1"/>
        <s v="3388" u="1"/>
        <s v="4200" u="1"/>
        <s v="5798" u="1"/>
        <s v="6610" u="1"/>
        <s v="7397" u="1"/>
        <s v="2188" u="1"/>
        <s v="2999" u="1"/>
        <s v="3000" u="1"/>
        <s v="3811" u="1"/>
        <s v="4598" u="1"/>
        <s v="5410" u="1"/>
        <s v="6197" u="1"/>
        <s v="7820" u="1"/>
        <s v="2611" u="1"/>
        <s v="3398" u="1"/>
        <s v="4210" u="1"/>
        <s v="6620" u="1"/>
        <s v="2198" u="1"/>
        <s v="3010" u="1"/>
        <s v="3821" u="1"/>
        <s v="5420" u="1"/>
        <s v="7830" u="1"/>
        <s v="2621" u="1"/>
        <s v="4220" u="1"/>
        <s v="6630" u="1"/>
        <s v="3020" u="1"/>
        <s v="3831" u="1"/>
        <s v="5430" u="1"/>
        <s v="7840" u="1"/>
        <s v="2631" u="1"/>
        <s v="4230" u="1"/>
        <s v="6640" u="1"/>
        <s v="3030" u="1"/>
        <s v="3841" u="1"/>
        <s v="5440" u="1"/>
        <s v="7850" u="1"/>
        <s v="2641" u="1"/>
        <s v="4240" u="1"/>
        <s v="6650" u="1"/>
        <s v="3040" u="1"/>
        <s v="3851" u="1"/>
        <s v="5450" u="1"/>
        <s v="7860" u="1"/>
        <s v="2651" u="1"/>
        <s v="4250" u="1"/>
        <s v="6660" u="1"/>
        <s v="3050" u="1"/>
        <s v="3861" u="1"/>
        <s v="5460" u="1"/>
        <s v="7870" u="1"/>
        <s v="2661" u="1"/>
        <s v="4260" u="1"/>
        <s v="6670" u="1"/>
        <s v="3060" u="1"/>
        <s v="3871" u="1"/>
        <s v="5470" u="1"/>
        <s v="7708" u="1"/>
        <s v="7880" u="1"/>
        <s v="2671" u="1"/>
        <s v="4270" u="1"/>
        <s v="4909" u="1"/>
        <s v="6508" u="1"/>
        <s v="6680" u="1"/>
        <s v="8107" u="1"/>
        <s v="3070" u="1"/>
        <s v="3709" u="1"/>
        <s v="3881" u="1"/>
        <s v="5308" u="1"/>
        <s v="5480" u="1"/>
        <s v="7718" u="1"/>
        <s v="7890" u="1"/>
        <s v="2509" u="1"/>
        <s v="2681" u="1"/>
        <s v="4108" u="1"/>
        <s v="4280" u="1"/>
        <s v="4919" u="1"/>
        <s v="6518" u="1"/>
        <s v="6690" u="1"/>
        <s v="8117" u="1"/>
        <s v="3080" u="1"/>
        <s v="3719" u="1"/>
        <s v="3891" u="1"/>
        <s v="5318" u="1"/>
        <s v="5490" u="1"/>
        <s v="7728" u="1"/>
        <s v="2519" u="1"/>
        <s v="2691" u="1"/>
        <s v="4118" u="1"/>
        <s v="4290" u="1"/>
        <s v="4929" u="1"/>
        <s v="6528" u="1"/>
        <s v="8127" u="1"/>
        <s v="3090" u="1"/>
        <s v="3729" u="1"/>
        <s v="5328" u="1"/>
        <s v="7738" u="1"/>
        <s v="2529" u="1"/>
        <s v="4128" u="1"/>
        <s v="4939" u="1"/>
        <s v="6538" u="1"/>
        <s v="8137" u="1"/>
        <s v="3739" u="1"/>
        <s v="5338" u="1"/>
        <s v="7748" u="1"/>
        <s v="2539" u="1"/>
        <s v="4138" u="1"/>
        <s v="4949" u="1"/>
        <s v="6548" u="1"/>
        <s v="8147" u="1"/>
        <s v="3749" u="1"/>
        <s v="5348" u="1"/>
        <s v="7758" u="1"/>
        <s v="2549" u="1"/>
        <s v="4148" u="1"/>
        <s v="4959" u="1"/>
        <s v="6558" u="1"/>
        <s v="8157" u="1"/>
        <s v="3759" u="1"/>
        <s v="5358" u="1"/>
        <s v="7768" u="1"/>
        <s v="2559" u="1"/>
        <s v="4158" u="1"/>
        <s v="4969" u="1"/>
        <s v="6568" u="1"/>
        <s v="8167" u="1"/>
        <s v="3769" u="1"/>
        <s v="5368" u="1"/>
        <s v="7778" u="1"/>
        <s v="2569" u="1"/>
        <s v="4168" u="1"/>
        <s v="4979" u="1"/>
        <s v="6578" u="1"/>
        <s v="8177" u="1"/>
        <s v="3779" u="1"/>
        <s v="5378" u="1"/>
        <s v="7788" u="1"/>
        <s v="2579" u="1"/>
        <s v="4178" u="1"/>
        <s v="4989" u="1"/>
        <s v="5801" u="1"/>
        <s v="6588" u="1"/>
        <s v="7400" u="1"/>
        <s v="8187" u="1"/>
        <s v="3789" u="1"/>
        <s v="4601" u="1"/>
        <s v="5388" u="1"/>
        <s v="6200" u="1"/>
        <s v="7798" u="1"/>
        <s v="2589" u="1"/>
        <s v="3401" u="1"/>
        <s v="4188" u="1"/>
        <s v="4999" u="1"/>
        <s v="5000" u="1"/>
        <s v="5811" u="1"/>
        <s v="6598" u="1"/>
        <s v="7410" u="1"/>
        <s v="8197" u="1"/>
        <s v="2201" u="1"/>
        <s v="3799" u="1"/>
        <s v="4611" u="1"/>
        <s v="5398" u="1"/>
        <s v="6210" u="1"/>
        <s v="2599" u="1"/>
        <s v="3411" u="1"/>
        <s v="4198" u="1"/>
        <s v="5010" u="1"/>
        <s v="5821" u="1"/>
        <s v="7420" u="1"/>
        <s v="2211" u="1"/>
        <s v="4621" u="1"/>
        <s v="6220" u="1"/>
        <s v="3421" u="1"/>
        <s v="5020" u="1"/>
        <s v="5831" u="1"/>
        <s v="7430" u="1"/>
        <s v="2221" u="1"/>
        <s v="4631" u="1"/>
        <s v="6230" u="1"/>
        <s v="3431" u="1"/>
        <s v="5030" u="1"/>
        <s v="5841" u="1"/>
        <s v="7440" u="1"/>
        <s v="2231" u="1"/>
        <s v="4641" u="1"/>
        <s v="6240" u="1"/>
        <s v="3441" u="1"/>
        <s v="5040" u="1"/>
        <s v="5851" u="1"/>
        <s v="7450" u="1"/>
        <s v="2241" u="1"/>
        <s v="4651" u="1"/>
        <s v="6250" u="1"/>
        <s v="3451" u="1"/>
        <s v="5050" u="1"/>
        <s v="5861" u="1"/>
        <s v="7460" u="1"/>
        <s v="2251" u="1"/>
        <s v="4661" u="1"/>
        <s v="6260" u="1"/>
        <s v="3461" u="1"/>
        <s v="5060" u="1"/>
        <s v="5871" u="1"/>
        <s v="7470" u="1"/>
        <s v="2261" u="1"/>
        <s v="4671" u="1"/>
        <s v="6270" u="1"/>
        <s v="6909" u="1"/>
        <s v="3471" u="1"/>
        <s v="5070" u="1"/>
        <s v="5709" u="1"/>
        <s v="5881" u="1"/>
        <s v="7308" u="1"/>
        <s v="7480" u="1"/>
        <s v="2271" u="1"/>
        <s v="4509" u="1"/>
        <s v="4681" u="1"/>
        <s v="6108" u="1"/>
        <s v="6280" u="1"/>
        <s v="6919" u="1"/>
        <s v="3309" u="1"/>
        <s v="3481" u="1"/>
        <s v="5080" u="1"/>
        <s v="5719" u="1"/>
        <s v="5891" u="1"/>
        <s v="7318" u="1"/>
        <s v="7490" u="1"/>
        <s v="2109" u="1"/>
        <s v="2281" u="1"/>
        <s v="4519" u="1"/>
        <s v="4691" u="1"/>
        <s v="6118" u="1"/>
        <s v="6290" u="1"/>
        <s v="6929" u="1"/>
        <s v="3319" u="1"/>
        <s v="3491" u="1"/>
        <s v="5090" u="1"/>
        <s v="5729" u="1"/>
        <s v="7328" u="1"/>
        <s v="2119" u="1"/>
        <s v="2291" u="1"/>
        <s v="4529" u="1"/>
        <s v="6128" u="1"/>
        <s v="6939" u="1"/>
        <s v="3329" u="1"/>
        <s v="5739" u="1"/>
        <s v="7338" u="1"/>
        <s v="2129" u="1"/>
        <s v="4539" u="1"/>
        <s v="6138" u="1"/>
        <s v="6949" u="1"/>
        <s v="3339" u="1"/>
        <s v="5749" u="1"/>
        <s v="7348" u="1"/>
        <s v="2139" u="1"/>
        <s v="4549" u="1"/>
        <s v="6148" u="1"/>
        <s v="6959" u="1"/>
        <s v="3349" u="1"/>
        <s v="5759" u="1"/>
        <s v="7358" u="1"/>
        <s v="2149" u="1"/>
        <s v="4559" u="1"/>
        <s v="6158" u="1"/>
        <s v="6969" u="1"/>
        <s v="3359" u="1"/>
        <s v="5769" u="1"/>
        <s v="7368" u="1"/>
        <s v="2159" u="1"/>
        <s v="4569" u="1"/>
        <s v="6168" u="1"/>
        <s v="6979" u="1"/>
        <s v="3369" u="1"/>
        <s v="5779" u="1"/>
        <s v="7378" u="1"/>
        <s v="2169" u="1"/>
        <s v="4579" u="1"/>
        <s v="6178" u="1"/>
        <s v="6989" u="1"/>
        <s v="7801" u="1"/>
        <s v="3379" u="1"/>
        <s v="5789" u="1"/>
        <s v="6601" u="1"/>
        <s v="7388" u="1"/>
        <s v="8200" u="1"/>
        <s v="2179" u="1"/>
        <s v="3802" u="1"/>
        <s v="4589" u="1"/>
        <s v="5401" u="1"/>
        <s v="6188" u="1"/>
        <s v="6999" u="1"/>
        <s v="7000" u="1"/>
        <s v="7811" u="1"/>
        <s v="2602" u="1"/>
        <s v="3389" u="1"/>
        <s v="4201" u="1"/>
        <s v="5799" u="1"/>
        <s v="6611" u="1"/>
        <s v="7398" u="1"/>
        <s v="8210" u="1"/>
        <s v="2189" u="1"/>
        <s v="3001" u="1"/>
        <s v="3812" u="1"/>
        <s v="4599" u="1"/>
        <s v="5411" u="1"/>
        <s v="6198" u="1"/>
        <s v="7010" u="1"/>
        <s v="7821" u="1"/>
        <s v="2612" u="1"/>
        <s v="3399" u="1"/>
        <s v="4211" u="1"/>
        <s v="6621" u="1"/>
        <s v="8220" u="1"/>
        <s v="2199" u="1"/>
        <s v="3011" u="1"/>
        <s v="3822" u="1"/>
        <s v="5421" u="1"/>
        <s v="7020" u="1"/>
        <s v="7831" u="1"/>
        <s v="2622" u="1"/>
        <s v="4221" u="1"/>
        <s v="6631" u="1"/>
        <s v="8230" u="1"/>
        <s v="3021" u="1"/>
        <s v="3832" u="1"/>
        <s v="5431" u="1"/>
        <s v="7030" u="1"/>
        <s v="7841" u="1"/>
        <s v="2632" u="1"/>
        <s v="4231" u="1"/>
        <s v="6641" u="1"/>
        <s v="8240" u="1"/>
        <s v="3031" u="1"/>
        <s v="3842" u="1"/>
        <s v="5441" u="1"/>
        <s v="7040" u="1"/>
        <s v="7851" u="1"/>
        <s v="2642" u="1"/>
        <s v="4241" u="1"/>
        <s v="6651" u="1"/>
        <s v="8250" u="1"/>
        <s v="3041" u="1"/>
        <s v="3852" u="1"/>
        <s v="5451" u="1"/>
        <s v="7050" u="1"/>
        <s v="7861" u="1"/>
        <s v="2652" u="1"/>
        <s v="4251" u="1"/>
        <s v="6661" u="1"/>
        <s v="8260" u="1"/>
        <s v="3051" u="1"/>
        <s v="3862" u="1"/>
        <s v="5461" u="1"/>
        <s v="7060" u="1"/>
        <s v="7871" u="1"/>
        <s v="2662" u="1"/>
        <s v="4261" u="1"/>
        <s v="6671" u="1"/>
        <s v="8270" u="1"/>
        <s v="3061" u="1"/>
        <s v="3872" u="1"/>
        <s v="5471" u="1"/>
        <s v="7070" u="1"/>
        <s v="7709" u="1"/>
        <s v="7881" u="1"/>
        <s v="2672" u="1"/>
        <s v="4271" u="1"/>
        <s v="6509" u="1"/>
        <s v="6681" u="1"/>
        <s v="8108" u="1"/>
        <s v="8280" u="1"/>
        <s v="3071" u="1"/>
        <s v="3882" u="1"/>
        <s v="5309" u="1"/>
        <s v="5481" u="1"/>
        <s v="7080" u="1"/>
        <s v="7719" u="1"/>
        <s v="7891" u="1"/>
        <s v="2682" u="1"/>
        <s v="4109" u="1"/>
        <s v="4281" u="1"/>
        <s v="6519" u="1"/>
        <s v="6691" u="1"/>
        <s v="8118" u="1"/>
        <s v="8290" u="1"/>
        <s v="3081" u="1"/>
        <s v="3892" u="1"/>
        <s v="5319" u="1"/>
        <s v="5491" u="1"/>
        <s v="7090" u="1"/>
        <s v="7729" u="1"/>
        <s v="2692" u="1"/>
        <s v="4119" u="1"/>
        <s v="4291" u="1"/>
        <s v="6529" u="1"/>
        <s v="8128" u="1"/>
        <s v="3091" u="1"/>
        <s v="5329" u="1"/>
        <s v="7739" u="1"/>
        <s v="4129" u="1"/>
        <s v="6539" u="1"/>
        <s v="8138" u="1"/>
        <s v="5339" u="1"/>
        <s v="7749" u="1"/>
        <s v="4139" u="1"/>
        <s v="6549" u="1"/>
        <s v="8148" u="1"/>
        <s v="5349" u="1"/>
        <s v="7759" u="1"/>
        <s v="4149" u="1"/>
        <s v="6559" u="1"/>
        <s v="8158" u="1"/>
        <s v="5359" u="1"/>
        <s v="7769" u="1"/>
        <s v="4159" u="1"/>
        <s v="6569" u="1"/>
        <s v="8168" u="1"/>
        <s v="5369" u="1"/>
        <s v="7779" u="1"/>
        <s v="4169" u="1"/>
        <s v="6579" u="1"/>
        <s v="8178" u="1"/>
        <s v="5379" u="1"/>
        <s v="7789" u="1"/>
        <s v="4179" u="1"/>
        <s v="5802" u="1"/>
        <s v="6589" u="1"/>
        <s v="7401" u="1"/>
        <s v="8188" u="1"/>
        <s v="4602" u="1"/>
        <s v="5389" u="1"/>
        <s v="6201" u="1"/>
        <s v="7799" u="1"/>
        <s v="3402" u="1"/>
        <s v="4189" u="1"/>
        <s v="5001" u="1"/>
        <s v="5812" u="1"/>
        <s v="6599" u="1"/>
        <s v="7411" u="1"/>
        <s v="8198" u="1"/>
        <s v="2202" u="1"/>
        <s v="4612" u="1"/>
        <s v="5399" u="1"/>
        <s v="6211" u="1"/>
        <s v="3412" u="1"/>
        <s v="4199" u="1"/>
        <s v="5011" u="1"/>
        <s v="5822" u="1"/>
        <s v="7421" u="1"/>
        <s v="2212" u="1"/>
        <s v="4622" u="1"/>
        <s v="6221" u="1"/>
        <s v="3422" u="1"/>
        <s v="5021" u="1"/>
        <s v="5832" u="1"/>
        <s v="7431" u="1"/>
        <s v="2222" u="1"/>
        <s v="4632" u="1"/>
        <s v="6231" u="1"/>
        <s v="3432" u="1"/>
        <s v="5031" u="1"/>
        <s v="5842" u="1"/>
        <s v="7441" u="1"/>
        <s v="2232" u="1"/>
        <s v="4642" u="1"/>
        <s v="6241" u="1"/>
        <s v="3442" u="1"/>
        <s v="5041" u="1"/>
        <s v="5852" u="1"/>
        <s v="7451" u="1"/>
        <s v="2242" u="1"/>
        <s v="4652" u="1"/>
        <s v="6251" u="1"/>
        <s v="3452" u="1"/>
        <s v="5051" u="1"/>
        <s v="5862" u="1"/>
        <s v="7461" u="1"/>
        <s v="2252" u="1"/>
        <s v="4662" u="1"/>
        <s v="6261" u="1"/>
        <s v="3462" u="1"/>
        <s v="5061" u="1"/>
        <s v="5872" u="1"/>
        <s v="7471" u="1"/>
        <s v="2262" u="1"/>
        <s v="4672" u="1"/>
        <s v="6271" u="1"/>
        <s v="3472" u="1"/>
        <s v="5071" u="1"/>
        <s v="5882" u="1"/>
        <s v="7309" u="1"/>
        <s v="7481" u="1"/>
        <s v="2272" u="1"/>
        <s v="4682" u="1"/>
        <s v="6109" u="1"/>
        <s v="6281" u="1"/>
        <s v="3482" u="1"/>
        <s v="5081" u="1"/>
        <s v="5892" u="1"/>
        <s v="7319" u="1"/>
        <s v="7491" u="1"/>
        <s v="2282" u="1"/>
        <s v="4692" u="1"/>
        <s v="6119" u="1"/>
        <s v="6291" u="1"/>
        <s v="3492" u="1"/>
        <s v="5091" u="1"/>
        <s v="7329" u="1"/>
        <s v="2292" u="1"/>
        <s v="6129" u="1"/>
        <s v="7339" u="1"/>
        <s v="6139" u="1"/>
        <s v="7349" u="1"/>
        <s v="6149" u="1"/>
        <s v="7359" u="1"/>
        <s v="6159" u="1"/>
        <s v="7369" u="1"/>
        <s v="6169" u="1"/>
        <s v="7379" u="1"/>
        <s v="6179" u="1"/>
        <s v="7802" u="1"/>
        <s v="6602" u="1"/>
        <s v="7389" u="1"/>
        <s v="8201" u="1"/>
        <s v="3803" u="1"/>
        <s v="5402" u="1"/>
        <s v="6189" u="1"/>
        <s v="7001" u="1"/>
        <s v="7812" u="1"/>
        <s v="2603" u="1"/>
        <s v="4202" u="1"/>
        <s v="6612" u="1"/>
        <s v="7399" u="1"/>
        <s v="8211" u="1"/>
        <s v="3002" u="1"/>
        <s v="3813" u="1"/>
        <s v="5412" u="1"/>
        <s v="6199" u="1"/>
        <s v="7011" u="1"/>
        <s v="7822" u="1"/>
        <s v="2613" u="1"/>
        <s v="4212" u="1"/>
        <s v="6622" u="1"/>
        <s v="8221" u="1"/>
        <s v="3012" u="1"/>
        <s v="3823" u="1"/>
        <s v="5422" u="1"/>
        <s v="7021" u="1"/>
        <s v="7832" u="1"/>
        <s v="2623" u="1"/>
        <s v="4222" u="1"/>
        <s v="6632" u="1"/>
        <s v="8231" u="1"/>
        <s v="3022" u="1"/>
        <s v="3833" u="1"/>
        <s v="5432" u="1"/>
        <s v="7031" u="1"/>
        <s v="7842" u="1"/>
        <s v="2633" u="1"/>
        <s v="4232" u="1"/>
        <s v="6642" u="1"/>
        <s v="8241" u="1"/>
        <s v="3032" u="1"/>
        <s v="3843" u="1"/>
        <s v="5442" u="1"/>
        <s v="7041" u="1"/>
        <s v="7852" u="1"/>
        <s v="2643" u="1"/>
        <s v="4242" u="1"/>
        <s v="6652" u="1"/>
        <s v="8251" u="1"/>
        <s v="3042" u="1"/>
        <s v="3853" u="1"/>
        <s v="5452" u="1"/>
        <s v="7051" u="1"/>
        <s v="7862" u="1"/>
        <s v="2653" u="1"/>
        <s v="4252" u="1"/>
        <s v="6662" u="1"/>
        <s v="8261" u="1"/>
        <s v="3052" u="1"/>
        <s v="3863" u="1"/>
        <s v="5462" u="1"/>
        <s v="7061" u="1"/>
        <s v="7872" u="1"/>
        <s v="2663" u="1"/>
        <s v="4262" u="1"/>
        <s v="6672" u="1"/>
        <s v="8271" u="1"/>
        <s v="3062" u="1"/>
        <s v="3873" u="1"/>
        <s v="5472" u="1"/>
        <s v="7071" u="1"/>
        <s v="7882" u="1"/>
        <s v="2673" u="1"/>
        <s v="4272" u="1"/>
        <s v="6682" u="1"/>
        <s v="8109" u="1"/>
        <s v="8281" u="1"/>
        <s v="3072" u="1"/>
        <s v="3883" u="1"/>
        <s v="5482" u="1"/>
        <s v="7081" u="1"/>
        <s v="7892" u="1"/>
        <s v="2683" u="1"/>
        <s v="4282" u="1"/>
        <s v="6692" u="1"/>
        <s v="8119" u="1"/>
        <s v="8291" u="1"/>
        <s v="3082" u="1"/>
        <s v="3893" u="1"/>
        <s v="5492" u="1"/>
        <s v="7091" u="1"/>
        <s v="2693" u="1"/>
        <s v="4292" u="1"/>
        <s v="8129" u="1"/>
        <s v="3092" u="1"/>
        <s v="8139" u="1"/>
        <s v="8149" u="1"/>
        <s v="8159" u="1"/>
        <s v="8169" u="1"/>
        <s v="8179" u="1"/>
        <s v="5803" u="1"/>
        <s v="7402" u="1"/>
        <s v="8189" u="1"/>
        <s v="4603" u="1"/>
        <s v="6202" u="1"/>
        <s v="3403" u="1"/>
        <s v="5002" u="1"/>
        <s v="5813" u="1"/>
        <s v="7412" u="1"/>
        <s v="8199" u="1"/>
        <s v="2203" u="1"/>
        <s v="4613" u="1"/>
        <s v="6212" u="1"/>
        <s v="3413" u="1"/>
        <s v="5012" u="1"/>
        <s v="5823" u="1"/>
        <s v="7422" u="1"/>
        <s v="2213" u="1"/>
        <s v="4623" u="1"/>
        <s v="6222" u="1"/>
        <s v="3423" u="1"/>
        <s v="5022" u="1"/>
        <s v="5833" u="1"/>
        <s v="7432" u="1"/>
        <s v="2223" u="1"/>
        <s v="4633" u="1"/>
        <s v="6232" u="1"/>
        <s v="3433" u="1"/>
        <s v="5032" u="1"/>
        <s v="5843" u="1"/>
        <s v="7442" u="1"/>
        <s v="2233" u="1"/>
        <s v="4643" u="1"/>
        <s v="6242" u="1"/>
        <s v="3443" u="1"/>
        <s v="5042" u="1"/>
        <s v="5853" u="1"/>
        <s v="7452" u="1"/>
        <s v="2243" u="1"/>
        <s v="4653" u="1"/>
        <s v="6252" u="1"/>
        <s v="3453" u="1"/>
        <s v="5052" u="1"/>
        <s v="5863" u="1"/>
        <s v="7462" u="1"/>
        <s v="2253" u="1"/>
        <s v="4663" u="1"/>
        <s v="6262" u="1"/>
        <s v="3463" u="1"/>
        <s v="5062" u="1"/>
        <s v="5873" u="1"/>
        <s v="7472" u="1"/>
        <s v="2263" u="1"/>
        <s v="4673" u="1"/>
        <s v="6272" u="1"/>
        <s v="3473" u="1"/>
        <s v="5072" u="1"/>
        <s v="5883" u="1"/>
        <s v="7482" u="1"/>
        <s v="2273" u="1"/>
        <s v="4683" u="1"/>
        <s v="6282" u="1"/>
        <s v="3483" u="1"/>
        <s v="5082" u="1"/>
        <s v="5893" u="1"/>
        <s v="7492" u="1"/>
        <s v="2283" u="1"/>
        <s v="4693" u="1"/>
        <s v="6292" u="1"/>
        <s v="3493" u="1"/>
        <s v="5092" u="1"/>
        <s v="2293" u="1"/>
        <s v="7803" u="1"/>
        <s v="6603" u="1"/>
        <s v="8202" u="1"/>
        <s v="3804" u="1"/>
        <s v="5403" u="1"/>
        <s v="7002" u="1"/>
        <s v="7813" u="1"/>
        <s v="2604" u="1"/>
        <s v="4203" u="1"/>
        <s v="6613" u="1"/>
        <s v="8212" u="1"/>
        <s v="3003" u="1"/>
        <s v="3814" u="1"/>
        <s v="5413" u="1"/>
        <s v="7012" u="1"/>
        <s v="7823" u="1"/>
        <s v="2614" u="1"/>
        <s v="4213" u="1"/>
        <s v="6623" u="1"/>
        <s v="8222" u="1"/>
        <s v="3013" u="1"/>
        <s v="3824" u="1"/>
        <s v="5423" u="1"/>
        <s v="7022" u="1"/>
        <s v="7833" u="1"/>
        <s v="2624" u="1"/>
        <s v="4223" u="1"/>
        <s v="6633" u="1"/>
        <s v="8232" u="1"/>
        <s v="3023" u="1"/>
        <s v="3834" u="1"/>
        <s v="5433" u="1"/>
        <s v="7032" u="1"/>
        <s v="7843" u="1"/>
        <s v="2634" u="1"/>
        <s v="4233" u="1"/>
        <s v="6643" u="1"/>
        <s v="8242" u="1"/>
        <s v="3033" u="1"/>
        <s v="3844" u="1"/>
        <s v="5443" u="1"/>
        <s v="7042" u="1"/>
        <s v="7853" u="1"/>
        <s v="2644" u="1"/>
        <s v="4243" u="1"/>
        <s v="6653" u="1"/>
        <s v="8252" u="1"/>
        <s v="3043" u="1"/>
        <s v="3854" u="1"/>
        <s v="5453" u="1"/>
        <s v="7052" u="1"/>
        <s v="7863" u="1"/>
        <s v="2654" u="1"/>
        <s v="4253" u="1"/>
        <s v="6663" u="1"/>
        <s v="8262" u="1"/>
        <s v="3053" u="1"/>
        <s v="3864" u="1"/>
        <s v="5463" u="1"/>
        <s v="7062" u="1"/>
        <s v="7873" u="1"/>
        <s v="2664" u="1"/>
        <s v="4263" u="1"/>
        <s v="6673" u="1"/>
        <s v="8272" u="1"/>
        <s v="3063" u="1"/>
        <s v="3874" u="1"/>
        <s v="5473" u="1"/>
        <s v="7072" u="1"/>
        <s v="7883" u="1"/>
        <s v="2674" u="1"/>
        <s v="4273" u="1"/>
        <s v="6683" u="1"/>
        <s v="8282" u="1"/>
        <s v="3073" u="1"/>
        <s v="3884" u="1"/>
        <s v="5483" u="1"/>
        <s v="7082" u="1"/>
        <s v="7893" u="1"/>
        <s v="2684" u="1"/>
        <s v="4283" u="1"/>
        <s v="6693" u="1"/>
        <s v="8292" u="1"/>
        <s v="3083" u="1"/>
        <s v="3894" u="1"/>
        <s v="5493" u="1"/>
        <s v="7092" u="1"/>
        <s v="2694" u="1"/>
        <s v="4293" u="1"/>
        <s v="3093" u="1"/>
        <s v="5804" u="1"/>
        <s v="7403" u="1"/>
        <s v="4604" u="1"/>
        <s v="6203" u="1"/>
        <s v="3404" u="1"/>
        <s v="5003" u="1"/>
        <s v="5814" u="1"/>
        <s v="7413" u="1"/>
        <s v="2204" u="1"/>
        <s v="4614" u="1"/>
        <s v="6213" u="1"/>
        <s v="3414" u="1"/>
        <s v="5013" u="1"/>
        <s v="5824" u="1"/>
        <s v="7423" u="1"/>
        <s v="2214" u="1"/>
        <s v="4624" u="1"/>
        <s v="6223" u="1"/>
        <s v="3424" u="1"/>
        <s v="5023" u="1"/>
        <s v="5834" u="1"/>
        <s v="7433" u="1"/>
        <s v="2224" u="1"/>
        <s v="4634" u="1"/>
        <s v="6233" u="1"/>
        <s v="3434" u="1"/>
        <s v="5033" u="1"/>
        <s v="5844" u="1"/>
        <s v="7443" u="1"/>
        <s v="2234" u="1"/>
        <s v="4644" u="1"/>
        <s v="6243" u="1"/>
        <s v="3444" u="1"/>
        <s v="5043" u="1"/>
        <s v="5854" u="1"/>
        <s v="7453" u="1"/>
        <s v="2244" u="1"/>
        <s v="4654" u="1"/>
        <s v="6253" u="1"/>
        <s v="3454" u="1"/>
        <s v="5053" u="1"/>
        <s v="5864" u="1"/>
        <s v="7463" u="1"/>
        <s v="2254" u="1"/>
        <s v="4664" u="1"/>
        <s v="6263" u="1"/>
        <s v="3464" u="1"/>
        <s v="5063" u="1"/>
        <s v="5874" u="1"/>
        <s v="7473" u="1"/>
        <s v="2264" u="1"/>
        <s v="4674" u="1"/>
        <s v="6273" u="1"/>
        <s v="3474" u="1"/>
        <s v="5073" u="1"/>
        <s v="5884" u="1"/>
        <s v="7483" u="1"/>
        <s v="2274" u="1"/>
        <s v="4684" u="1"/>
        <s v="6283" u="1"/>
        <s v="3484" u="1"/>
        <s v="5083" u="1"/>
        <s v="5894" u="1"/>
        <s v="7493" u="1"/>
        <s v="2284" u="1"/>
        <s v="4694" u="1"/>
        <s v="6293" u="1"/>
        <s v="3494" u="1"/>
        <s v="5093" u="1"/>
        <s v="2294" u="1"/>
        <s v="7804" u="1"/>
        <s v="6604" u="1"/>
        <s v="8203" u="1"/>
        <s v="3805" u="1"/>
        <s v="5404" u="1"/>
        <s v="7003" u="1"/>
        <s v="7814" u="1"/>
        <s v="2605" u="1"/>
        <s v="4204" u="1"/>
        <s v="6614" u="1"/>
        <s v="8213" u="1"/>
        <s v="3004" u="1"/>
        <s v="3815" u="1"/>
        <s v="5414" u="1"/>
        <s v="7013" u="1"/>
        <s v="7824" u="1"/>
        <s v="2615" u="1"/>
        <s v="4214" u="1"/>
        <s v="6624" u="1"/>
        <s v="8223" u="1"/>
        <s v="3014" u="1"/>
        <s v="3825" u="1"/>
        <s v="5424" u="1"/>
        <s v="7023" u="1"/>
        <s v="7834" u="1"/>
        <s v="2625" u="1"/>
        <s v="4224" u="1"/>
        <s v="6634" u="1"/>
        <s v="8233" u="1"/>
        <s v="3024" u="1"/>
        <s v="3835" u="1"/>
        <s v="5434" u="1"/>
        <s v="7033" u="1"/>
        <s v="7844" u="1"/>
        <s v="2635" u="1"/>
        <s v="4234" u="1"/>
        <s v="6644" u="1"/>
        <s v="8243" u="1"/>
        <s v="3034" u="1"/>
        <s v="3845" u="1"/>
        <s v="5444" u="1"/>
        <s v="7043" u="1"/>
        <s v="7854" u="1"/>
        <s v="2645" u="1"/>
        <s v="4244" u="1"/>
        <s v="6654" u="1"/>
        <s v="8253" u="1"/>
        <s v="3044" u="1"/>
        <s v="3855" u="1"/>
        <s v="5454" u="1"/>
        <s v="7053" u="1"/>
        <s v="7864" u="1"/>
        <s v="2655" u="1"/>
        <s v="4254" u="1"/>
        <s v="6664" u="1"/>
        <s v="8263" u="1"/>
        <s v="3054" u="1"/>
        <s v="3865" u="1"/>
        <s v="5464" u="1"/>
        <s v="7063" u="1"/>
        <s v="7874" u="1"/>
        <s v="2665" u="1"/>
        <s v="4264" u="1"/>
        <s v="6674" u="1"/>
        <s v="8273" u="1"/>
        <s v="3064" u="1"/>
        <s v="3875" u="1"/>
        <s v="5474" u="1"/>
        <s v="7073" u="1"/>
        <s v="7884" u="1"/>
        <s v="2675" u="1"/>
        <s v="4274" u="1"/>
        <s v="6684" u="1"/>
        <s v="8283" u="1"/>
        <s v="3074" u="1"/>
        <s v="3885" u="1"/>
        <s v="5484" u="1"/>
        <s v="7083" u="1"/>
        <s v="7894" u="1"/>
        <s v="2685" u="1"/>
        <s v="4284" u="1"/>
        <s v="6694" u="1"/>
        <s v="8293" u="1"/>
        <s v="3084" u="1"/>
        <s v="3895" u="1"/>
        <s v="5494" u="1"/>
        <s v="7093" u="1"/>
        <s v="2695" u="1"/>
        <s v="4294" u="1"/>
        <s v="3094" u="1"/>
        <s v="5805" u="1"/>
        <s v="7404" u="1"/>
        <s v="4605" u="1"/>
        <s v="6204" u="1"/>
        <s v="3405" u="1"/>
        <s v="5004" u="1"/>
        <s v="5815" u="1"/>
        <s v="7414" u="1"/>
        <s v="2205" u="1"/>
        <s v="4615" u="1"/>
        <s v="6214" u="1"/>
        <s v="3415" u="1"/>
        <s v="5014" u="1"/>
        <s v="5825" u="1"/>
        <s v="7424" u="1"/>
        <s v="2215" u="1"/>
        <s v="4625" u="1"/>
        <s v="6224" u="1"/>
        <s v="3425" u="1"/>
        <s v="5024" u="1"/>
        <s v="5835" u="1"/>
        <s v="7434" u="1"/>
        <s v="2225" u="1"/>
        <s v="4635" u="1"/>
        <s v="6234" u="1"/>
        <s v="3435" u="1"/>
        <s v="5034" u="1"/>
        <s v="5845" u="1"/>
        <s v="7444" u="1"/>
        <s v="2235" u="1"/>
        <s v="4645" u="1"/>
        <s v="6244" u="1"/>
        <s v="3445" u="1"/>
        <s v="5044" u="1"/>
        <s v="5855" u="1"/>
        <s v="7454" u="1"/>
        <s v="2245" u="1"/>
        <s v="4655" u="1"/>
        <s v="6254" u="1"/>
        <s v="3455" u="1"/>
        <s v="5054" u="1"/>
        <s v="5865" u="1"/>
        <s v="7464" u="1"/>
        <s v="2255" u="1"/>
        <s v="4665" u="1"/>
        <s v="6264" u="1"/>
        <s v="3465" u="1"/>
        <s v="5064" u="1"/>
        <s v="5875" u="1"/>
        <s v="7474" u="1"/>
        <s v="2265" u="1"/>
        <s v="4675" u="1"/>
        <s v="6274" u="1"/>
        <s v="3475" u="1"/>
        <s v="5074" u="1"/>
        <s v="5885" u="1"/>
        <s v="7484" u="1"/>
        <s v="2275" u="1"/>
        <s v="4685" u="1"/>
        <s v="6284" u="1"/>
        <s v="3485" u="1"/>
        <s v="5084" u="1"/>
        <s v="5895" u="1"/>
        <s v="7494" u="1"/>
        <s v="2285" u="1"/>
        <s v="4695" u="1"/>
        <s v="6294" u="1"/>
        <s v="3495" u="1"/>
        <s v="5094" u="1"/>
        <s v="2295" u="1"/>
        <s v="7805" u="1"/>
        <s v="6605" u="1"/>
        <s v="8204" u="1"/>
        <s v="3806" u="1"/>
        <s v="5405" u="1"/>
        <s v="7004" u="1"/>
        <s v="7815" u="1"/>
        <s v="2606" u="1"/>
        <s v="4205" u="1"/>
        <s v="6615" u="1"/>
        <s v="8214" u="1"/>
        <s v="3005" u="1"/>
        <s v="3816" u="1"/>
        <s v="5415" u="1"/>
        <s v="7014" u="1"/>
        <s v="7825" u="1"/>
        <s v="2616" u="1"/>
        <s v="4215" u="1"/>
        <s v="6625" u="1"/>
        <s v="8224" u="1"/>
        <s v="3015" u="1"/>
        <s v="3826" u="1"/>
        <s v="5425" u="1"/>
        <s v="7024" u="1"/>
        <s v="7835" u="1"/>
        <s v="2626" u="1"/>
        <s v="4225" u="1"/>
        <s v="6635" u="1"/>
        <s v="8234" u="1"/>
        <s v="3025" u="1"/>
        <s v="3836" u="1"/>
        <s v="5435" u="1"/>
        <s v="7034" u="1"/>
        <s v="7845" u="1"/>
        <s v="2636" u="1"/>
        <s v="4235" u="1"/>
        <s v="6645" u="1"/>
        <s v="8244" u="1"/>
        <s v="3035" u="1"/>
        <s v="3846" u="1"/>
        <s v="5445" u="1"/>
        <s v="7044" u="1"/>
        <s v="7855" u="1"/>
        <s v="2646" u="1"/>
        <s v="4245" u="1"/>
        <s v="6655" u="1"/>
        <s v="8254" u="1"/>
        <s v="3045" u="1"/>
        <s v="3856" u="1"/>
        <s v="5455" u="1"/>
        <s v="7054" u="1"/>
        <s v="7865" u="1"/>
        <s v="2656" u="1"/>
        <s v="4255" u="1"/>
        <s v="6665" u="1"/>
        <s v="8264" u="1"/>
        <s v="3055" u="1"/>
        <s v="3866" u="1"/>
        <s v="5465" u="1"/>
        <s v="7064" u="1"/>
        <s v="7875" u="1"/>
        <s v="2666" u="1"/>
        <s v="4265" u="1"/>
        <s v="6675" u="1"/>
        <s v="8274" u="1"/>
        <s v="3065" u="1"/>
        <s v="3876" u="1"/>
        <s v="5475" u="1"/>
        <s v="7074" u="1"/>
        <s v="7885" u="1"/>
        <s v="2676" u="1"/>
        <s v="4275" u="1"/>
        <s v="6685" u="1"/>
        <s v="8284" u="1"/>
        <s v="3075" u="1"/>
        <s v="3886" u="1"/>
        <s v="5485" u="1"/>
        <s v="7084" u="1"/>
        <s v="7895" u="1"/>
        <s v="2686" u="1"/>
        <s v="4285" u="1"/>
        <s v="6695" u="1"/>
        <s v="8294" u="1"/>
        <s v="3085" u="1"/>
        <s v="3896" u="1"/>
        <s v="5495" u="1"/>
        <s v="7094" u="1"/>
        <s v="2696" u="1"/>
        <s v="4295" u="1"/>
        <s v="3095" u="1"/>
        <s v="5806" u="1"/>
        <s v="7405" u="1"/>
        <s v="4606" u="1"/>
        <s v="6205" u="1"/>
        <s v="3406" u="1"/>
        <s v="5005" u="1"/>
        <s v="5816" u="1"/>
        <s v="7415" u="1"/>
        <s v="2206" u="1"/>
        <s v="4616" u="1"/>
        <s v="6215" u="1"/>
        <s v="3416" u="1"/>
        <s v="5015" u="1"/>
        <s v="5826" u="1"/>
        <s v="7425" u="1"/>
        <s v="2216" u="1"/>
        <s v="4626" u="1"/>
        <s v="6225" u="1"/>
        <s v="3426" u="1"/>
        <s v="5025" u="1"/>
        <s v="5836" u="1"/>
        <s v="7435" u="1"/>
        <s v="2226" u="1"/>
        <s v="4636" u="1"/>
        <s v="6235" u="1"/>
        <s v="3436" u="1"/>
        <s v="5035" u="1"/>
        <s v="5846" u="1"/>
        <s v="7445" u="1"/>
        <s v="2236" u="1"/>
        <s v="4646" u="1"/>
        <s v="6245" u="1"/>
        <s v="3446" u="1"/>
        <s v="5045" u="1"/>
        <s v="5856" u="1"/>
        <s v="7455" u="1"/>
        <s v="2246" u="1"/>
        <s v="4656" u="1"/>
        <s v="6255" u="1"/>
        <s v="3456" u="1"/>
        <s v="5055" u="1"/>
        <s v="5866" u="1"/>
        <s v="7465" u="1"/>
        <s v="2256" u="1"/>
        <s v="4666" u="1"/>
        <s v="6265" u="1"/>
        <s v="3466" u="1"/>
        <s v="5065" u="1"/>
        <s v="5876" u="1"/>
        <s v="7475" u="1"/>
        <s v="2266" u="1"/>
        <s v="4676" u="1"/>
        <s v="6275" u="1"/>
        <s v="3476" u="1"/>
        <s v="5075" u="1"/>
        <s v="5886" u="1"/>
        <s v="7485" u="1"/>
        <s v="2276" u="1"/>
        <s v="4686" u="1"/>
        <s v="6285" u="1"/>
        <s v="3486" u="1"/>
        <s v="5085" u="1"/>
        <s v="5896" u="1"/>
        <s v="7495" u="1"/>
        <s v="2286" u="1"/>
        <s v="4696" u="1"/>
        <s v="6295" u="1"/>
        <s v="3496" u="1"/>
        <s v="5095" u="1"/>
        <s v="2296" u="1"/>
        <s v="7806" u="1"/>
        <s v="6606" u="1"/>
        <s v="8205" u="1"/>
        <s v="3807" u="1"/>
        <s v="5406" u="1"/>
        <s v="7005" u="1"/>
        <s v="7816" u="1"/>
        <s v="2607" u="1"/>
        <s v="4206" u="1"/>
        <s v="6616" u="1"/>
        <s v="8215" u="1"/>
        <s v="3006" u="1"/>
        <s v="3817" u="1"/>
        <s v="5416" u="1"/>
        <s v="7015" u="1"/>
        <s v="7826" u="1"/>
        <s v="2617" u="1"/>
        <s v="4216" u="1"/>
        <s v="6626" u="1"/>
        <s v="8225" u="1"/>
        <s v="3016" u="1"/>
        <s v="3827" u="1"/>
        <s v="5426" u="1"/>
        <s v="7025" u="1"/>
        <s v="7836" u="1"/>
        <s v="2627" u="1"/>
        <s v="4226" u="1"/>
        <s v="6636" u="1"/>
        <s v="8235" u="1"/>
        <s v="3026" u="1"/>
        <s v="3837" u="1"/>
        <s v="5436" u="1"/>
        <s v="7035" u="1"/>
        <s v="7846" u="1"/>
        <s v="2637" u="1"/>
        <s v="4236" u="1"/>
        <s v="6646" u="1"/>
        <s v="8245" u="1"/>
        <s v="3036" u="1"/>
        <s v="3847" u="1"/>
        <s v="5446" u="1"/>
        <s v="7045" u="1"/>
        <s v="7856" u="1"/>
        <s v="2647" u="1"/>
        <s v="4246" u="1"/>
        <s v="6656" u="1"/>
        <s v="8255" u="1"/>
        <s v="3046" u="1"/>
        <s v="3857" u="1"/>
        <s v="5456" u="1"/>
        <s v="7055" u="1"/>
        <s v="7866" u="1"/>
        <s v="2657" u="1"/>
        <s v="4256" u="1"/>
        <s v="6666" u="1"/>
        <s v="8265" u="1"/>
        <s v="3056" u="1"/>
        <s v="3867" u="1"/>
        <s v="5466" u="1"/>
        <s v="7065" u="1"/>
        <s v="7876" u="1"/>
        <s v="2667" u="1"/>
        <s v="4266" u="1"/>
        <s v="6676" u="1"/>
        <s v="8275" u="1"/>
        <s v="3066" u="1"/>
        <s v="3877" u="1"/>
        <s v="5476" u="1"/>
        <s v="7075" u="1"/>
        <s v="7886" u="1"/>
        <s v="2677" u="1"/>
        <s v="4276" u="1"/>
        <s v="6686" u="1"/>
        <s v="8285" u="1"/>
        <s v="3076" u="1"/>
        <s v="3887" u="1"/>
        <s v="5486" u="1"/>
        <s v="7085" u="1"/>
        <s v="7896" u="1"/>
        <s v="2687" u="1"/>
        <s v="4286" u="1"/>
        <s v="6696" u="1"/>
        <s v="8295" u="1"/>
        <s v="3086" u="1"/>
        <s v="3897" u="1"/>
        <s v="5496" u="1"/>
        <s v="7095" u="1"/>
        <s v="2697" u="1"/>
        <s v="4296" u="1"/>
        <s v="3096" u="1"/>
        <s v="5807" u="1"/>
        <s v="7406" u="1"/>
        <s v="4607" u="1"/>
        <s v="6206" u="1"/>
        <s v="3407" u="1"/>
        <s v="5006" u="1"/>
        <s v="5817" u="1"/>
        <s v="7416" u="1"/>
        <s v="2207" u="1"/>
        <s v="4617" u="1"/>
        <s v="6216" u="1"/>
        <s v="3417" u="1"/>
        <s v="5016" u="1"/>
        <s v="5827" u="1"/>
        <s v="7426" u="1"/>
        <s v="2217" u="1"/>
        <s v="4627" u="1"/>
        <s v="6226" u="1"/>
        <s v="3427" u="1"/>
        <s v="5026" u="1"/>
        <s v="5837" u="1"/>
        <s v="7436" u="1"/>
        <s v="2227" u="1"/>
        <s v="4637" u="1"/>
        <s v="6236" u="1"/>
        <s v="3437" u="1"/>
        <s v="5036" u="1"/>
        <s v="5847" u="1"/>
        <s v="7446" u="1"/>
        <s v="2237" u="1"/>
        <s v="4647" u="1"/>
        <s v="6246" u="1"/>
        <s v="3447" u="1"/>
        <s v="5046" u="1"/>
        <s v="5857" u="1"/>
        <s v="7456" u="1"/>
        <s v="2247" u="1"/>
        <s v="4657" u="1"/>
        <s v="6256" u="1"/>
        <s v="3457" u="1"/>
        <s v="5056" u="1"/>
        <s v="5867" u="1"/>
        <s v="7466" u="1"/>
        <s v="2257" u="1"/>
        <s v="4667" u="1"/>
        <s v="6266" u="1"/>
        <s v="3467" u="1"/>
        <s v="5066" u="1"/>
        <s v="5877" u="1"/>
        <s v="7476" u="1"/>
        <s v="2267" u="1"/>
        <s v="4677" u="1"/>
        <s v="6276" u="1"/>
        <s v="3477" u="1"/>
        <s v="5076" u="1"/>
        <s v="5887" u="1"/>
        <s v="7486" u="1"/>
        <s v="2277" u="1"/>
        <s v="3900" u="1"/>
        <s v="4687" u="1"/>
        <s v="6286" u="1"/>
        <s v="2700" u="1"/>
        <s v="3487" u="1"/>
        <s v="5086" u="1"/>
        <s v="5897" u="1"/>
        <s v="7496" u="1"/>
        <s v="2287" u="1"/>
        <s v="3910" u="1"/>
        <s v="4697" u="1"/>
        <s v="6296" u="1"/>
        <s v="2710" u="1"/>
        <s v="3497" u="1"/>
        <s v="5096" u="1"/>
        <s v="2297" u="1"/>
        <s v="3920" u="1"/>
        <s v="2720" u="1"/>
        <s v="3930" u="1"/>
        <s v="2730" u="1"/>
        <s v="3940" u="1"/>
        <s v="2740" u="1"/>
        <s v="3950" u="1"/>
        <s v="2750" u="1"/>
        <s v="3960" u="1"/>
        <s v="2760" u="1"/>
        <s v="3970" u="1"/>
        <s v="7807" u="1"/>
        <s v="2770" u="1"/>
        <s v="6607" u="1"/>
        <s v="8206" u="1"/>
        <s v="3808" u="1"/>
        <s v="3980" u="1"/>
        <s v="5407" u="1"/>
        <s v="7006" u="1"/>
        <s v="7817" u="1"/>
        <s v="2608" u="1"/>
        <s v="2780" u="1"/>
        <s v="4207" u="1"/>
        <s v="6617" u="1"/>
        <s v="8216" u="1"/>
        <s v="3007" u="1"/>
        <s v="3818" u="1"/>
        <s v="3990" u="1"/>
        <s v="5417" u="1"/>
        <s v="7016" u="1"/>
        <s v="7827" u="1"/>
        <s v="2618" u="1"/>
        <s v="2790" u="1"/>
        <s v="4217" u="1"/>
        <s v="6627" u="1"/>
        <s v="8226" u="1"/>
        <s v="3017" u="1"/>
        <s v="3828" u="1"/>
        <s v="5427" u="1"/>
        <s v="7026" u="1"/>
        <s v="7837" u="1"/>
        <s v="2628" u="1"/>
        <s v="4227" u="1"/>
        <s v="6637" u="1"/>
        <s v="8236" u="1"/>
        <s v="3027" u="1"/>
        <s v="3838" u="1"/>
        <s v="5437" u="1"/>
        <s v="7036" u="1"/>
        <s v="7847" u="1"/>
        <s v="2638" u="1"/>
        <s v="4237" u="1"/>
        <s v="6647" u="1"/>
        <s v="8246" u="1"/>
        <s v="3037" u="1"/>
        <s v="3848" u="1"/>
        <s v="5447" u="1"/>
        <s v="7046" u="1"/>
        <s v="7857" u="1"/>
        <s v="2648" u="1"/>
        <s v="4247" u="1"/>
        <s v="6657" u="1"/>
        <s v="8256" u="1"/>
        <s v="3047" u="1"/>
        <s v="3858" u="1"/>
        <s v="5457" u="1"/>
        <s v="7056" u="1"/>
        <s v="7867" u="1"/>
        <s v="2658" u="1"/>
        <s v="4257" u="1"/>
        <s v="6667" u="1"/>
        <s v="8266" u="1"/>
        <s v="3057" u="1"/>
        <s v="3868" u="1"/>
        <s v="5467" u="1"/>
        <s v="7066" u="1"/>
        <s v="7877" u="1"/>
        <s v="2668" u="1"/>
        <s v="4267" u="1"/>
        <s v="6677" u="1"/>
        <s v="8276" u="1"/>
        <s v="3067" u="1"/>
        <s v="3878" u="1"/>
        <s v="5477" u="1"/>
        <s v="7076" u="1"/>
        <s v="7887" u="1"/>
        <s v="2678" u="1"/>
        <s v="4277" u="1"/>
        <s v="5900" u="1"/>
        <s v="6687" u="1"/>
        <s v="8286" u="1"/>
        <s v="3077" u="1"/>
        <s v="3888" u="1"/>
        <s v="4700" u="1"/>
        <s v="5487" u="1"/>
        <s v="7086" u="1"/>
        <s v="7897" u="1"/>
        <s v="2688" u="1"/>
        <s v="3500" u="1"/>
        <s v="4287" u="1"/>
        <s v="5910" u="1"/>
        <s v="6697" u="1"/>
        <s v="8296" u="1"/>
        <s v="2300" u="1"/>
        <s v="3087" u="1"/>
        <s v="3898" u="1"/>
        <s v="4710" u="1"/>
        <s v="5497" u="1"/>
        <s v="7096" u="1"/>
        <s v="2698" u="1"/>
        <s v="3510" u="1"/>
        <s v="4297" u="1"/>
        <s v="5920" u="1"/>
        <s v="2310" u="1"/>
        <s v="3097" u="1"/>
        <s v="4720" u="1"/>
        <s v="3520" u="1"/>
        <s v="5930" u="1"/>
        <s v="2320" u="1"/>
        <s v="4730" u="1"/>
        <s v="3530" u="1"/>
        <s v="5940" u="1"/>
        <s v="2330" u="1"/>
        <s v="4740" u="1"/>
        <s v="3540" u="1"/>
        <s v="5950" u="1"/>
        <s v="2340" u="1"/>
        <s v="4750" u="1"/>
        <s v="3550" u="1"/>
        <s v="5960" u="1"/>
        <s v="2350" u="1"/>
        <s v="4760" u="1"/>
        <s v="3560" u="1"/>
        <s v="5970" u="1"/>
        <s v="2360" u="1"/>
        <s v="4770" u="1"/>
        <s v="3570" u="1"/>
        <s v="5808" u="1"/>
        <s v="5980" u="1"/>
        <s v="7407" u="1"/>
        <s v="2370" u="1"/>
        <s v="4608" u="1"/>
        <s v="4780" u="1"/>
        <s v="6207" u="1"/>
        <s v="3408" u="1"/>
        <s v="3580" u="1"/>
        <s v="5007" u="1"/>
        <s v="5818" u="1"/>
        <s v="5990" u="1"/>
        <s v="7417" u="1"/>
        <s v="2208" u="1"/>
        <s v="2380" u="1"/>
        <s v="4618" u="1"/>
        <s v="4790" u="1"/>
        <s v="6217" u="1"/>
        <s v="3418" u="1"/>
        <s v="3590" u="1"/>
        <s v="5017" u="1"/>
        <s v="5828" u="1"/>
        <s v="7427" u="1"/>
        <s v="2218" u="1"/>
        <s v="2390" u="1"/>
        <s v="4628" u="1"/>
        <s v="6227" u="1"/>
        <s v="3428" u="1"/>
        <s v="5027" u="1"/>
        <s v="5838" u="1"/>
        <s v="7437" u="1"/>
        <s v="2228" u="1"/>
        <s v="4638" u="1"/>
        <s v="6237" u="1"/>
        <s v="3438" u="1"/>
        <s v="5037" u="1"/>
        <s v="5848" u="1"/>
        <s v="7447" u="1"/>
        <s v="2238" u="1"/>
        <s v="4648" u="1"/>
        <s v="6247" u="1"/>
        <s v="3448" u="1"/>
        <s v="5047" u="1"/>
        <s v="5858" u="1"/>
        <s v="7457" u="1"/>
        <s v="2248" u="1"/>
        <s v="4658" u="1"/>
        <s v="6257" u="1"/>
        <s v="3458" u="1"/>
        <s v="5057" u="1"/>
        <s v="5868" u="1"/>
        <s v="7467" u="1"/>
        <s v="2258" u="1"/>
        <s v="4668" u="1"/>
        <s v="6267" u="1"/>
        <s v="3468" u="1"/>
        <s v="5067" u="1"/>
        <s v="5878" u="1"/>
        <s v="7477" u="1"/>
        <s v="2268" u="1"/>
        <s v="4678" u="1"/>
        <s v="6277" u="1"/>
        <s v="7900" u="1"/>
        <s v="3478" u="1"/>
        <s v="5077" u="1"/>
        <s v="5888" u="1"/>
        <s v="6700" u="1"/>
        <s v="7487" u="1"/>
        <s v="2278" u="1"/>
        <s v="3901" u="1"/>
        <s v="4688" u="1"/>
        <s v="5500" u="1"/>
        <s v="6287" u="1"/>
        <s v="7910" u="1"/>
        <s v="2701" u="1"/>
        <s v="3488" u="1"/>
        <s v="4300" u="1"/>
        <s v="5087" u="1"/>
        <s v="5898" u="1"/>
        <s v="6710" u="1"/>
        <s v="7497" u="1"/>
        <s v="2288" u="1"/>
        <s v="3100" u="1"/>
        <s v="3911" u="1"/>
        <s v="4698" u="1"/>
        <s v="5510" u="1"/>
        <s v="6297" u="1"/>
        <s v="7920" u="1"/>
        <s v="2711" u="1"/>
        <s v="3498" u="1"/>
        <s v="4310" u="1"/>
        <s v="5097" u="1"/>
        <s v="6720" u="1"/>
        <s v="2298" u="1"/>
        <s v="3110" u="1"/>
        <s v="3921" u="1"/>
        <s v="5520" u="1"/>
        <s v="7930" u="1"/>
        <s v="2721" u="1"/>
        <s v="4320" u="1"/>
        <s v="6730" u="1"/>
        <s v="3120" u="1"/>
        <s v="3931" u="1"/>
        <s v="5530" u="1"/>
        <s v="7940" u="1"/>
        <s v="2731" u="1"/>
        <s v="4330" u="1"/>
        <s v="6740" u="1"/>
        <s v="3130" u="1"/>
        <s v="3941" u="1"/>
        <s v="5540" u="1"/>
        <s v="7950" u="1"/>
        <s v="2741" u="1"/>
        <s v="4340" u="1"/>
        <s v="6750" u="1"/>
        <s v="3140" u="1"/>
        <s v="3951" u="1"/>
        <s v="5550" u="1"/>
        <s v="7960" u="1"/>
        <s v="2751" u="1"/>
        <s v="4350" u="1"/>
        <s v="6760" u="1"/>
        <s v="3150" u="1"/>
        <s v="3961" u="1"/>
        <s v="5560" u="1"/>
        <s v="7970" u="1"/>
        <s v="2761" u="1"/>
        <s v="4360" u="1"/>
        <s v="6770" u="1"/>
        <s v="3160" u="1"/>
        <s v="3971" u="1"/>
        <s v="5570" u="1"/>
        <s v="7808" u="1"/>
        <s v="7980" u="1"/>
        <s v="2771" u="1"/>
        <s v="4370" u="1"/>
        <s v="6608" u="1"/>
        <s v="6780" u="1"/>
        <s v="8207" u="1"/>
        <s v="3170" u="1"/>
        <s v="3809" u="1"/>
        <s v="3981" u="1"/>
        <s v="5408" u="1"/>
        <s v="5580" u="1"/>
        <s v="7007" u="1"/>
        <s v="7818" u="1"/>
        <s v="7990" u="1"/>
        <s v="2609" u="1"/>
        <s v="2781" u="1"/>
        <s v="4208" u="1"/>
        <s v="4380" u="1"/>
        <s v="6618" u="1"/>
        <s v="6790" u="1"/>
        <s v="8217" u="1"/>
        <s v="3008" u="1"/>
        <s v="3180" u="1"/>
        <s v="3819" u="1"/>
        <s v="3991" u="1"/>
        <s v="5418" u="1"/>
        <s v="5590" u="1"/>
        <s v="7017" u="1"/>
        <s v="7828" u="1"/>
        <s v="2619" u="1"/>
        <s v="2791" u="1"/>
        <s v="4218" u="1"/>
        <s v="4390" u="1"/>
        <s v="6628" u="1"/>
        <s v="8227" u="1"/>
        <s v="3018" u="1"/>
        <s v="3190" u="1"/>
        <s v="3829" u="1"/>
        <s v="5428" u="1"/>
        <s v="7027" u="1"/>
        <s v="7838" u="1"/>
        <s v="2629" u="1"/>
        <s v="4228" u="1"/>
        <s v="6638" u="1"/>
        <s v="8237" u="1"/>
        <s v="3028" u="1"/>
        <s v="3839" u="1"/>
        <s v="5438" u="1"/>
        <s v="7037" u="1"/>
        <s v="7848" u="1"/>
        <s v="2639" u="1"/>
        <s v="4238" u="1"/>
        <s v="6648" u="1"/>
        <s v="8247" u="1"/>
        <s v="3038" u="1"/>
        <s v="3849" u="1"/>
        <s v="5448" u="1"/>
        <s v="7047" u="1"/>
        <s v="7858" u="1"/>
        <s v="2649" u="1"/>
        <s v="4248" u="1"/>
        <s v="6658" u="1"/>
        <s v="8257" u="1"/>
        <s v="3048" u="1"/>
        <s v="3859" u="1"/>
        <s v="5458" u="1"/>
        <s v="7057" u="1"/>
        <s v="7868" u="1"/>
        <s v="2659" u="1"/>
        <s v="4258" u="1"/>
        <s v="6668" u="1"/>
        <s v="8267" u="1"/>
        <s v="3058" u="1"/>
        <s v="3869" u="1"/>
        <s v="5468" u="1"/>
        <s v="7067" u="1"/>
        <s v="7878" u="1"/>
        <s v="2669" u="1"/>
        <s v="4268" u="1"/>
        <s v="6678" u="1"/>
        <s v="8277" u="1"/>
        <s v="3068" u="1"/>
        <s v="3879" u="1"/>
        <s v="5478" u="1"/>
        <s v="7077" u="1"/>
        <s v="7888" u="1"/>
        <s v="2679" u="1"/>
        <s v="4278" u="1"/>
        <s v="5901" u="1"/>
        <s v="6688" u="1"/>
        <s v="7500" u="1"/>
        <s v="8287" u="1"/>
        <s v="3078" u="1"/>
        <s v="3889" u="1"/>
        <s v="4701" u="1"/>
        <s v="5488" u="1"/>
        <s v="6300" u="1"/>
        <s v="7087" u="1"/>
        <s v="7898" u="1"/>
        <s v="2689" u="1"/>
        <s v="3501" u="1"/>
        <s v="4288" u="1"/>
        <s v="5100" u="1"/>
        <s v="5911" u="1"/>
        <s v="6698" u="1"/>
        <s v="7510" u="1"/>
        <s v="8297" u="1"/>
        <s v="2301" u="1"/>
        <s v="3088" u="1"/>
        <s v="3899" u="1"/>
        <s v="4711" u="1"/>
        <s v="5498" u="1"/>
        <s v="6310" u="1"/>
        <s v="7097" u="1"/>
        <s v="2699" u="1"/>
        <s v="3511" u="1"/>
        <s v="4298" u="1"/>
        <s v="5110" u="1"/>
        <s v="5921" u="1"/>
        <s v="7520" u="1"/>
        <s v="2311" u="1"/>
        <s v="3098" u="1"/>
        <s v="4721" u="1"/>
        <s v="6320" u="1"/>
        <s v="3521" u="1"/>
        <s v="5120" u="1"/>
        <s v="5931" u="1"/>
        <s v="7530" u="1"/>
        <s v="2321" u="1"/>
        <s v="4731" u="1"/>
        <s v="6330" u="1"/>
        <s v="3531" u="1"/>
        <s v="5130" u="1"/>
        <s v="5941" u="1"/>
        <s v="7540" u="1"/>
        <s v="2331" u="1"/>
        <s v="4741" u="1"/>
        <s v="6340" u="1"/>
        <s v="3541" u="1"/>
        <s v="5140" u="1"/>
        <s v="5951" u="1"/>
        <s v="7550" u="1"/>
        <s v="2341" u="1"/>
        <s v="4751" u="1"/>
        <s v="6350" u="1"/>
        <s v="3551" u="1"/>
        <s v="5150" u="1"/>
        <s v="5961" u="1"/>
        <s v="7560" u="1"/>
        <s v="2351" u="1"/>
        <s v="4761" u="1"/>
        <s v="6360" u="1"/>
        <s v="3561" u="1"/>
        <s v="5160" u="1"/>
        <s v="5971" u="1"/>
        <s v="7570" u="1"/>
        <s v="2361" u="1"/>
        <s v="4771" u="1"/>
        <s v="6370" u="1"/>
        <s v="3571" u="1"/>
        <s v="5170" u="1"/>
        <s v="5809" u="1"/>
        <s v="5981" u="1"/>
        <s v="7408" u="1"/>
        <s v="7580" u="1"/>
        <s v="2371" u="1"/>
        <s v="4609" u="1"/>
        <s v="4781" u="1"/>
        <s v="6208" u="1"/>
        <s v="6380" u="1"/>
        <s v="3409" u="1"/>
        <s v="3581" u="1"/>
        <s v="5008" u="1"/>
        <s v="5180" u="1"/>
        <s v="5819" u="1"/>
        <s v="5991" u="1"/>
        <s v="7418" u="1"/>
        <s v="7590" u="1"/>
        <s v="2209" u="1"/>
        <s v="2381" u="1"/>
        <s v="4619" u="1"/>
        <s v="4791" u="1"/>
        <s v="6218" u="1"/>
        <s v="6390" u="1"/>
        <s v="1992" u="1"/>
        <s v="3419" u="1"/>
        <s v="3591" u="1"/>
        <s v="5018" u="1"/>
        <s v="5190" u="1"/>
        <s v="5829" u="1"/>
        <s v="7428" u="1"/>
        <s v="2219" u="1"/>
        <s v="2391" u="1"/>
        <s v="4629" u="1"/>
        <s v="6228" u="1"/>
        <s v="3429" u="1"/>
        <s v="5028" u="1"/>
        <s v="5839" u="1"/>
        <s v="7438" u="1"/>
        <s v="2229" u="1"/>
        <s v="4639" u="1"/>
        <s v="6238" u="1"/>
        <s v="3439" u="1"/>
        <s v="5038" u="1"/>
        <s v="5849" u="1"/>
        <s v="7448" u="1"/>
        <s v="2239" u="1"/>
        <s v="4649" u="1"/>
        <s v="6248" u="1"/>
        <s v="3449" u="1"/>
        <s v="5048" u="1"/>
        <s v="5859" u="1"/>
        <s v="7458" u="1"/>
        <s v="2249" u="1"/>
        <s v="4659" u="1"/>
        <s v="6258" u="1"/>
        <s v="3459" u="1"/>
        <s v="5058" u="1"/>
        <s v="5869" u="1"/>
        <s v="7468" u="1"/>
        <s v="2259" u="1"/>
        <s v="4669" u="1"/>
        <s v="6268" u="1"/>
        <s v="3469" u="1"/>
        <s v="5068" u="1"/>
        <s v="5879" u="1"/>
        <s v="7478" u="1"/>
        <s v="2269" u="1"/>
        <s v="4679" u="1"/>
        <s v="6278" u="1"/>
        <s v="7901" u="1"/>
        <s v="3479" u="1"/>
        <s v="5078" u="1"/>
        <s v="5889" u="1"/>
        <s v="6701" u="1"/>
        <s v="7488" u="1"/>
        <s v="8300" u="1"/>
        <s v="2279" u="1"/>
        <s v="3902" u="1"/>
        <s v="4689" u="1"/>
        <s v="5501" u="1"/>
        <s v="6288" u="1"/>
        <s v="7100" u="1"/>
        <s v="7911" u="1"/>
        <s v="2702" u="1"/>
        <s v="3489" u="1"/>
        <s v="4301" u="1"/>
        <s v="5088" u="1"/>
        <s v="5899" u="1"/>
        <s v="6711" u="1"/>
        <s v="7498" u="1"/>
        <s v="8310" u="1"/>
        <s v="2289" u="1"/>
        <s v="3101" u="1"/>
        <s v="3912" u="1"/>
        <s v="4699" u="1"/>
        <s v="5511" u="1"/>
        <s v="6298" u="1"/>
        <s v="7110" u="1"/>
        <s v="7921" u="1"/>
        <s v="2712" u="1"/>
        <s v="3499" u="1"/>
        <s v="4311" u="1"/>
        <s v="5098" u="1"/>
        <s v="6721" u="1"/>
        <s v="8320" u="1"/>
        <s v="2299" u="1"/>
        <s v="3111" u="1"/>
        <s v="3922" u="1"/>
        <s v="5521" u="1"/>
        <s v="7120" u="1"/>
        <s v="7931" u="1"/>
        <s v="2722" u="1"/>
        <s v="4321" u="1"/>
        <s v="6731" u="1"/>
        <s v="8330" u="1"/>
        <s v="3121" u="1"/>
        <s v="3932" u="1"/>
        <s v="5531" u="1"/>
        <s v="7130" u="1"/>
        <s v="7941" u="1"/>
        <s v="2732" u="1"/>
        <s v="4331" u="1"/>
        <s v="6741" u="1"/>
        <s v="8340" u="1"/>
        <s v="3131" u="1"/>
        <s v="3942" u="1"/>
        <s v="5541" u="1"/>
        <s v="7140" u="1"/>
        <s v="7951" u="1"/>
        <s v="2742" u="1"/>
        <s v="4341" u="1"/>
        <s v="6751" u="1"/>
        <s v="8350" u="1"/>
        <s v="3141" u="1"/>
        <s v="3952" u="1"/>
        <s v="5551" u="1"/>
        <s v="7150" u="1"/>
        <s v="7961" u="1"/>
        <s v="2752" u="1"/>
        <s v="4351" u="1"/>
        <s v="6761" u="1"/>
        <s v="8360" u="1"/>
        <s v="3151" u="1"/>
        <s v="3962" u="1"/>
        <s v="5561" u="1"/>
        <s v="7160" u="1"/>
        <s v="7971" u="1"/>
        <s v="2762" u="1"/>
        <s v="4361" u="1"/>
        <s v="6771" u="1"/>
        <s v="8370" u="1"/>
        <s v="3161" u="1"/>
        <s v="3972" u="1"/>
        <s v="5571" u="1"/>
        <s v="7170" u="1"/>
        <s v="7809" u="1"/>
        <s v="7981" u="1"/>
        <s v="2772" u="1"/>
        <s v="4371" u="1"/>
        <s v="6609" u="1"/>
        <s v="6781" u="1"/>
        <s v="8208" u="1"/>
        <s v="8380" u="1"/>
        <s v="3171" u="1"/>
        <s v="3982" u="1"/>
        <s v="5409" u="1"/>
        <s v="5581" u="1"/>
        <s v="7008" u="1"/>
        <s v="7180" u="1"/>
        <s v="7819" u="1"/>
        <s v="7991" u="1"/>
        <s v="2782" u="1"/>
        <s v="4209" u="1"/>
        <s v="4381" u="1"/>
        <s v="6619" u="1"/>
        <s v="6791" u="1"/>
        <s v="8218" u="1"/>
        <s v="8390" u="1"/>
        <s v="3009" u="1"/>
        <s v="3181" u="1"/>
        <s v="3992" u="1"/>
        <s v="5419" u="1"/>
        <s v="5591" u="1"/>
        <s v="7018" u="1"/>
        <s v="7190" u="1"/>
        <s v="7829" u="1"/>
        <s v="2792" u="1"/>
        <s v="4219" u="1"/>
        <s v="4391" u="1"/>
        <s v="6629" u="1"/>
        <s v="8228" u="1"/>
        <s v="3019" u="1"/>
        <s v="3191" u="1"/>
        <s v="5429" u="1"/>
        <s v="7028" u="1"/>
        <s v="7839" u="1"/>
        <s v="4229" u="1"/>
        <s v="6639" u="1"/>
        <s v="8238" u="1"/>
        <s v="3029" u="1"/>
        <s v="5439" u="1"/>
        <s v="7038" u="1"/>
        <s v="7849" u="1"/>
        <s v="4239" u="1"/>
        <s v="6649" u="1"/>
        <s v="8248" u="1"/>
        <s v="3039" u="1"/>
        <s v="5449" u="1"/>
        <s v="7048" u="1"/>
        <s v="7859" u="1"/>
        <s v="4249" u="1"/>
        <s v="6659" u="1"/>
        <s v="8258" u="1"/>
        <s v="3049" u="1"/>
        <s v="5459" u="1"/>
        <s v="7058" u="1"/>
        <s v="7869" u="1"/>
        <s v="4259" u="1"/>
        <s v="6669" u="1"/>
        <s v="8268" u="1"/>
        <s v="3059" u="1"/>
        <s v="5469" u="1"/>
        <s v="7068" u="1"/>
        <s v="7879" u="1"/>
        <s v="4269" u="1"/>
        <s v="6679" u="1"/>
        <s v="8278" u="1"/>
        <s v="3069" u="1"/>
        <s v="5479" u="1"/>
        <s v="7078" u="1"/>
        <s v="7889" u="1"/>
        <s v="4279" u="1"/>
        <s v="5902" u="1"/>
        <s v="6689" u="1"/>
        <s v="7501" u="1"/>
        <s v="8288" u="1"/>
        <s v="3079" u="1"/>
        <s v="4702" u="1"/>
        <s v="5489" u="1"/>
        <s v="6301" u="1"/>
        <s v="7088" u="1"/>
        <s v="7899" u="1"/>
        <s v="3502" u="1"/>
        <s v="4289" u="1"/>
        <s v="5101" u="1"/>
        <s v="5912" u="1"/>
        <s v="6699" u="1"/>
        <s v="7511" u="1"/>
        <s v="8298" u="1"/>
        <s v="2302" u="1"/>
        <s v="3089" u="1"/>
        <s v="4712" u="1"/>
        <s v="5499" u="1"/>
        <s v="6311" u="1"/>
        <s v="7098" u="1"/>
        <s v="3512" u="1"/>
        <s v="4299" u="1"/>
        <s v="5111" u="1"/>
        <s v="5922" u="1"/>
        <s v="7521" u="1"/>
        <s v="2312" u="1"/>
        <s v="3099" u="1"/>
        <s v="4722" u="1"/>
        <s v="6321" u="1"/>
        <s v="3522" u="1"/>
        <s v="5121" u="1"/>
        <s v="5932" u="1"/>
        <s v="7531" u="1"/>
        <s v="2322" u="1"/>
        <s v="4732" u="1"/>
        <s v="6331" u="1"/>
        <s v="3532" u="1"/>
        <s v="5131" u="1"/>
        <s v="5942" u="1"/>
        <s v="7541" u="1"/>
        <s v="2332" u="1"/>
        <s v="4742" u="1"/>
        <s v="6341" u="1"/>
        <s v="3542" u="1"/>
        <s v="5141" u="1"/>
        <s v="5952" u="1"/>
        <s v="7551" u="1"/>
        <s v="2342" u="1"/>
        <s v="4752" u="1"/>
        <s v="6351" u="1"/>
        <s v="3552" u="1"/>
        <s v="5151" u="1"/>
        <s v="5962" u="1"/>
        <s v="7561" u="1"/>
        <s v="2352" u="1"/>
        <s v="4762" u="1"/>
        <s v="6361" u="1"/>
        <s v="3562" u="1"/>
        <s v="5161" u="1"/>
        <s v="5972" u="1"/>
        <s v="7571" u="1"/>
        <s v="2362" u="1"/>
        <s v="4772" u="1"/>
        <s v="6371" u="1"/>
        <s v="3572" u="1"/>
        <s v="5171" u="1"/>
        <s v="5982" u="1"/>
        <s v="7409" u="1"/>
        <s v="7581" u="1"/>
        <s v="2372" u="1"/>
        <s v="4782" u="1"/>
        <s v="6209" u="1"/>
        <s v="6381" u="1"/>
        <s v="3582" u="1"/>
        <s v="5009" u="1"/>
        <s v="5181" u="1"/>
        <s v="5992" u="1"/>
        <s v="7419" u="1"/>
        <s v="7591" u="1"/>
        <s v="2382" u="1"/>
        <s v="4792" u="1"/>
        <s v="6219" u="1"/>
        <s v="6391" u="1"/>
        <s v="1993" u="1"/>
        <s v="3592" u="1"/>
        <s v="5019" u="1"/>
        <s v="5191" u="1"/>
        <s v="7429" u="1"/>
        <s v="2392" u="1"/>
        <s v="6229" u="1"/>
        <s v="5029" u="1"/>
        <s v="7439" u="1"/>
        <s v="6239" u="1"/>
        <s v="5039" u="1"/>
        <s v="7449" u="1"/>
        <s v="6249" u="1"/>
        <s v="5049" u="1"/>
        <s v="7459" u="1"/>
        <s v="6259" u="1"/>
        <s v="5059" u="1"/>
        <s v="7469" u="1"/>
        <s v="6269" u="1"/>
        <s v="5069" u="1"/>
        <s v="7479" u="1"/>
        <s v="6279" u="1"/>
        <s v="7902" u="1"/>
        <s v="5079" u="1"/>
        <s v="6702" u="1"/>
        <s v="7489" u="1"/>
        <s v="8301" u="1"/>
        <s v="3903" u="1"/>
        <s v="5502" u="1"/>
        <s v="6289" u="1"/>
        <s v="7101" u="1"/>
        <s v="7912" u="1"/>
        <s v="2703" u="1"/>
        <s v="4302" u="1"/>
        <s v="5089" u="1"/>
        <s v="6712" u="1"/>
        <s v="7499" u="1"/>
        <s v="8311" u="1"/>
        <s v="3102" u="1"/>
        <s v="3913" u="1"/>
        <s v="5512" u="1"/>
        <s v="6299" u="1"/>
        <s v="7111" u="1"/>
        <s v="7922" u="1"/>
        <s v="2713" u="1"/>
        <s v="4312" u="1"/>
        <s v="5099" u="1"/>
        <s v="6722" u="1"/>
        <s v="8321" u="1"/>
        <s v="3112" u="1"/>
        <s v="3923" u="1"/>
        <s v="5522" u="1"/>
        <s v="7121" u="1"/>
        <s v="7932" u="1"/>
        <s v="2723" u="1"/>
        <s v="4322" u="1"/>
        <s v="6732" u="1"/>
        <s v="8331" u="1"/>
        <s v="3122" u="1"/>
        <s v="3933" u="1"/>
        <s v="5532" u="1"/>
        <s v="7131" u="1"/>
        <s v="7942" u="1"/>
        <s v="2733" u="1"/>
        <s v="4332" u="1"/>
        <s v="6742" u="1"/>
        <s v="8341" u="1"/>
        <s v="3132" u="1"/>
        <s v="3943" u="1"/>
        <s v="5542" u="1"/>
        <s v="7141" u="1"/>
        <s v="7952" u="1"/>
        <s v="2743" u="1"/>
        <s v="4342" u="1"/>
        <s v="6752" u="1"/>
        <s v="8351" u="1"/>
        <s v="3142" u="1"/>
        <s v="3953" u="1"/>
        <s v="5552" u="1"/>
        <s v="7151" u="1"/>
        <s v="7962" u="1"/>
        <s v="2753" u="1"/>
        <s v="4352" u="1"/>
        <s v="6762" u="1"/>
        <s v="8361" u="1"/>
        <s v="3152" u="1"/>
        <s v="3963" u="1"/>
        <s v="5562" u="1"/>
        <s v="7161" u="1"/>
        <s v="7972" u="1"/>
        <s v="2763" u="1"/>
        <s v="4362" u="1"/>
        <s v="6772" u="1"/>
        <s v="8371" u="1"/>
        <s v="3162" u="1"/>
        <s v="3973" u="1"/>
        <s v="5572" u="1"/>
        <s v="7171" u="1"/>
        <s v="7982" u="1"/>
        <s v="2773" u="1"/>
        <s v="4372" u="1"/>
        <s v="6782" u="1"/>
        <s v="8209" u="1"/>
        <s v="8381" u="1"/>
        <s v="3172" u="1"/>
        <s v="3983" u="1"/>
        <s v="5582" u="1"/>
        <s v="7009" u="1"/>
        <s v="7181" u="1"/>
        <s v="7992" u="1"/>
        <s v="2783" u="1"/>
        <s v="4382" u="1"/>
        <s v="6792" u="1"/>
        <s v="8219" u="1"/>
        <s v="8391" u="1"/>
        <s v="3182" u="1"/>
        <s v="3993" u="1"/>
        <s v="5592" u="1"/>
        <s v="7019" u="1"/>
        <s v="7191" u="1"/>
        <s v="2793" u="1"/>
        <s v="4392" u="1"/>
        <s v="8229" u="1"/>
        <s v="3192" u="1"/>
        <s v="7029" u="1"/>
        <s v="8239" u="1"/>
        <s v="7039" u="1"/>
        <s v="8249" u="1"/>
        <s v="7049" u="1"/>
        <s v="8259" u="1"/>
        <s v="7059" u="1"/>
        <s v="8269" u="1"/>
        <s v="7069" u="1"/>
        <s v="8279" u="1"/>
        <s v="7079" u="1"/>
        <s v="5903" u="1"/>
        <s v="7502" u="1"/>
        <s v="8289" u="1"/>
        <s v="4703" u="1"/>
        <s v="6302" u="1"/>
        <s v="7089" u="1"/>
        <s v="3503" u="1"/>
        <s v="5102" u="1"/>
        <s v="5913" u="1"/>
        <s v="7512" u="1"/>
        <s v="8299" u="1"/>
        <s v="2303" u="1"/>
        <s v="4713" u="1"/>
        <s v="6312" u="1"/>
        <s v="7099" u="1"/>
        <s v="3513" u="1"/>
        <s v="5112" u="1"/>
        <s v="5923" u="1"/>
        <s v="7522" u="1"/>
        <s v="2313" u="1"/>
        <s v="4723" u="1"/>
        <s v="6322" u="1"/>
        <s v="3523" u="1"/>
        <s v="5122" u="1"/>
        <s v="5933" u="1"/>
        <s v="7532" u="1"/>
        <s v="2323" u="1"/>
        <s v="4733" u="1"/>
        <s v="6332" u="1"/>
        <s v="3533" u="1"/>
        <s v="5132" u="1"/>
        <s v="5943" u="1"/>
        <s v="7542" u="1"/>
        <s v="2333" u="1"/>
        <s v="4743" u="1"/>
        <s v="6342" u="1"/>
        <s v="3543" u="1"/>
        <s v="5142" u="1"/>
        <s v="5953" u="1"/>
        <s v="7552" u="1"/>
        <s v="2343" u="1"/>
        <s v="4753" u="1"/>
        <s v="6352" u="1"/>
        <s v="3553" u="1"/>
        <s v="5152" u="1"/>
        <s v="5963" u="1"/>
        <s v="7562" u="1"/>
        <s v="2353" u="1"/>
        <s v="4763" u="1"/>
        <s v="6362" u="1"/>
        <s v="3563" u="1"/>
        <s v="5162" u="1"/>
        <s v="5973" u="1"/>
        <s v="7572" u="1"/>
        <s v="2363" u="1"/>
        <s v="4773" u="1"/>
        <s v="6372" u="1"/>
        <s v="3573" u="1"/>
        <s v="5172" u="1"/>
        <s v="5983" u="1"/>
        <s v="7582" u="1"/>
        <s v="2373" u="1"/>
        <s v="4783" u="1"/>
        <s v="6382" u="1"/>
        <s v="3583" u="1"/>
        <s v="5182" u="1"/>
        <s v="5993" u="1"/>
        <s v="7592" u="1"/>
        <s v="2383" u="1"/>
        <s v="4793" u="1"/>
        <s v="6392" u="1"/>
        <s v="1994" u="1"/>
        <s v="3593" u="1"/>
        <s v="5192" u="1"/>
        <s v="2393" u="1"/>
        <s v="7903" u="1"/>
        <s v="6703" u="1"/>
        <s v="8302" u="1"/>
        <s v="3904" u="1"/>
        <s v="5503" u="1"/>
        <s v="7102" u="1"/>
        <s v="7913" u="1"/>
        <s v="2704" u="1"/>
        <s v="4303" u="1"/>
        <s v="6713" u="1"/>
        <s v="8312" u="1"/>
        <s v="3103" u="1"/>
        <s v="3914" u="1"/>
        <s v="5513" u="1"/>
        <s v="7112" u="1"/>
        <s v="7923" u="1"/>
        <s v="2714" u="1"/>
        <s v="4313" u="1"/>
        <s v="6723" u="1"/>
        <s v="8322" u="1"/>
        <s v="3113" u="1"/>
        <s v="3924" u="1"/>
        <s v="5523" u="1"/>
        <s v="7122" u="1"/>
        <s v="7933" u="1"/>
        <s v="2724" u="1"/>
        <s v="4323" u="1"/>
        <s v="6733" u="1"/>
        <s v="8332" u="1"/>
        <s v="3123" u="1"/>
        <s v="3934" u="1"/>
        <s v="5533" u="1"/>
        <s v="7132" u="1"/>
        <s v="7943" u="1"/>
        <s v="2734" u="1"/>
        <s v="4333" u="1"/>
        <s v="6743" u="1"/>
        <s v="8342" u="1"/>
        <s v="3133" u="1"/>
        <s v="3944" u="1"/>
        <s v="5543" u="1"/>
        <s v="7142" u="1"/>
        <s v="7953" u="1"/>
        <s v="2744" u="1"/>
        <s v="4343" u="1"/>
        <s v="6753" u="1"/>
        <s v="8352" u="1"/>
        <s v="3143" u="1"/>
        <s v="3954" u="1"/>
        <s v="5553" u="1"/>
        <s v="7152" u="1"/>
        <s v="7963" u="1"/>
        <s v="2754" u="1"/>
        <s v="4353" u="1"/>
        <s v="6763" u="1"/>
        <s v="8362" u="1"/>
        <s v="3153" u="1"/>
        <s v="3964" u="1"/>
        <s v="5563" u="1"/>
        <s v="7162" u="1"/>
        <s v="7973" u="1"/>
        <s v="2764" u="1"/>
        <s v="4363" u="1"/>
        <s v="6773" u="1"/>
        <s v="8372" u="1"/>
        <s v="3163" u="1"/>
        <s v="3974" u="1"/>
        <s v="5573" u="1"/>
        <s v="7172" u="1"/>
        <s v="7983" u="1"/>
        <s v="2774" u="1"/>
        <s v="4373" u="1"/>
        <s v="6783" u="1"/>
        <s v="8382" u="1"/>
        <s v="3173" u="1"/>
        <s v="3984" u="1"/>
        <s v="5583" u="1"/>
        <s v="7182" u="1"/>
        <s v="7993" u="1"/>
        <s v="2784" u="1"/>
        <s v="4383" u="1"/>
        <s v="6793" u="1"/>
        <s v="8392" u="1"/>
        <s v="3183" u="1"/>
        <s v="3994" u="1"/>
        <s v="5593" u="1"/>
        <s v="7192" u="1"/>
        <s v="2794" u="1"/>
        <s v="4393" u="1"/>
        <s v="3193" u="1"/>
        <s v="5904" u="1"/>
        <s v="7503" u="1"/>
        <s v="4704" u="1"/>
        <s v="6303" u="1"/>
        <s v="3504" u="1"/>
        <s v="5103" u="1"/>
        <s v="5914" u="1"/>
        <s v="7513" u="1"/>
        <s v="2304" u="1"/>
        <s v="4714" u="1"/>
        <s v="6313" u="1"/>
        <s v="3514" u="1"/>
        <s v="5113" u="1"/>
        <s v="5924" u="1"/>
        <s v="7523" u="1"/>
        <s v="2314" u="1"/>
        <s v="4724" u="1"/>
        <s v="6323" u="1"/>
        <s v="3524" u="1"/>
        <s v="5123" u="1"/>
        <s v="5934" u="1"/>
        <s v="7533" u="1"/>
        <s v="2324" u="1"/>
        <s v="4734" u="1"/>
        <s v="6333" u="1"/>
        <s v="3534" u="1"/>
        <s v="5133" u="1"/>
        <s v="5944" u="1"/>
        <s v="7543" u="1"/>
        <s v="2334" u="1"/>
        <s v="4744" u="1"/>
        <s v="6343" u="1"/>
        <s v="3544" u="1"/>
        <s v="5143" u="1"/>
        <s v="5954" u="1"/>
        <s v="7553" u="1"/>
        <s v="2344" u="1"/>
        <s v="4754" u="1"/>
        <s v="6353" u="1"/>
        <s v="3554" u="1"/>
        <s v="5153" u="1"/>
        <s v="5964" u="1"/>
        <s v="7563" u="1"/>
        <s v="2354" u="1"/>
        <s v="4764" u="1"/>
        <s v="6363" u="1"/>
        <s v="3564" u="1"/>
        <s v="5163" u="1"/>
        <s v="5974" u="1"/>
        <s v="7573" u="1"/>
        <s v="2364" u="1"/>
        <s v="4774" u="1"/>
        <s v="6373" u="1"/>
        <s v="3574" u="1"/>
        <s v="5173" u="1"/>
        <s v="5984" u="1"/>
        <s v="7583" u="1"/>
        <s v="2374" u="1"/>
        <s v="4784" u="1"/>
        <s v="6383" u="1"/>
        <s v="3584" u="1"/>
        <s v="5183" u="1"/>
        <s v="5994" u="1"/>
        <s v="7593" u="1"/>
        <s v="2384" u="1"/>
        <s v="4794" u="1"/>
        <s v="6393" u="1"/>
        <s v="1995" u="1"/>
        <s v="3594" u="1"/>
        <s v="5193" u="1"/>
        <s v="2394" u="1"/>
        <s v="7904" u="1"/>
        <s v="6704" u="1"/>
        <s v="8303" u="1"/>
        <s v="3905" u="1"/>
        <s v="5504" u="1"/>
        <s v="7103" u="1"/>
        <s v="7914" u="1"/>
        <s v="2705" u="1"/>
        <s v="4304" u="1"/>
        <s v="6714" u="1"/>
        <s v="8313" u="1"/>
        <s v="3104" u="1"/>
        <s v="3915" u="1"/>
        <s v="5514" u="1"/>
        <s v="7113" u="1"/>
        <s v="7924" u="1"/>
        <s v="2715" u="1"/>
        <s v="4314" u="1"/>
        <s v="6724" u="1"/>
        <s v="8323" u="1"/>
        <s v="3114" u="1"/>
        <s v="3925" u="1"/>
        <s v="5524" u="1"/>
        <s v="7123" u="1"/>
        <s v="7934" u="1"/>
        <s v="2725" u="1"/>
        <s v="4324" u="1"/>
        <s v="6734" u="1"/>
        <s v="8333" u="1"/>
        <s v="3124" u="1"/>
        <s v="3935" u="1"/>
        <s v="5534" u="1"/>
        <s v="7133" u="1"/>
        <s v="7944" u="1"/>
        <s v="2735" u="1"/>
        <s v="4334" u="1"/>
        <s v="6744" u="1"/>
        <s v="8343" u="1"/>
        <s v="3134" u="1"/>
        <s v="3945" u="1"/>
        <s v="5544" u="1"/>
        <s v="7143" u="1"/>
        <s v="7954" u="1"/>
        <s v="2745" u="1"/>
        <s v="4344" u="1"/>
        <s v="6754" u="1"/>
        <s v="8353" u="1"/>
        <s v="3144" u="1"/>
        <s v="3955" u="1"/>
        <s v="5554" u="1"/>
        <s v="7153" u="1"/>
        <s v="7964" u="1"/>
        <s v="2755" u="1"/>
        <s v="4354" u="1"/>
        <s v="6764" u="1"/>
        <s v="8363" u="1"/>
        <s v="3154" u="1"/>
        <s v="3965" u="1"/>
        <s v="5564" u="1"/>
        <s v="7163" u="1"/>
        <s v="7974" u="1"/>
        <s v="2765" u="1"/>
        <s v="4364" u="1"/>
        <s v="6774" u="1"/>
        <s v="8373" u="1"/>
        <s v="3164" u="1"/>
        <s v="3975" u="1"/>
        <s v="5574" u="1"/>
        <s v="7173" u="1"/>
        <s v="7984" u="1"/>
        <s v="2775" u="1"/>
        <s v="4374" u="1"/>
        <s v="6784" u="1"/>
        <s v="8383" u="1"/>
        <s v="3174" u="1"/>
        <s v="3985" u="1"/>
        <s v="5584" u="1"/>
        <s v="7183" u="1"/>
        <s v="7994" u="1"/>
        <s v="2785" u="1"/>
        <s v="4384" u="1"/>
        <s v="6794" u="1"/>
        <s v="8393" u="1"/>
        <s v="3184" u="1"/>
        <s v="3995" u="1"/>
        <s v="5594" u="1"/>
        <s v="7193" u="1"/>
        <s v="2795" u="1"/>
        <s v="4394" u="1"/>
        <s v="3194" u="1"/>
        <s v="5905" u="1"/>
        <s v="7504" u="1"/>
        <s v="4705" u="1"/>
        <s v="6304" u="1"/>
        <s v="3505" u="1"/>
        <s v="5104" u="1"/>
        <s v="5915" u="1"/>
        <s v="7514" u="1"/>
        <s v="2305" u="1"/>
        <s v="4715" u="1"/>
        <s v="6314" u="1"/>
        <s v="3515" u="1"/>
        <s v="5114" u="1"/>
        <s v="5925" u="1"/>
        <s v="7524" u="1"/>
        <s v="2315" u="1"/>
        <s v="4725" u="1"/>
        <s v="6324" u="1"/>
        <s v="3525" u="1"/>
        <s v="5124" u="1"/>
        <s v="5935" u="1"/>
        <s v="7534" u="1"/>
        <s v="2325" u="1"/>
        <s v="4735" u="1"/>
        <s v="6334" u="1"/>
        <s v="3535" u="1"/>
        <s v="5134" u="1"/>
        <s v="5945" u="1"/>
        <s v="7544" u="1"/>
        <s v="2335" u="1"/>
        <s v="4745" u="1"/>
        <s v="6344" u="1"/>
        <s v="3545" u="1"/>
        <s v="5144" u="1"/>
        <s v="5955" u="1"/>
        <s v="7554" u="1"/>
        <s v="2345" u="1"/>
        <s v="4755" u="1"/>
        <s v="6354" u="1"/>
        <s v="3555" u="1"/>
        <s v="5154" u="1"/>
        <s v="5965" u="1"/>
        <s v="7564" u="1"/>
        <s v="2355" u="1"/>
        <s v="4765" u="1"/>
        <s v="6364" u="1"/>
        <s v="3565" u="1"/>
        <s v="5164" u="1"/>
        <s v="5975" u="1"/>
        <s v="7574" u="1"/>
        <s v="2365" u="1"/>
        <s v="4775" u="1"/>
        <s v="6374" u="1"/>
        <s v="3575" u="1"/>
        <s v="5174" u="1"/>
        <s v="5985" u="1"/>
        <s v="7584" u="1"/>
        <s v="2375" u="1"/>
        <s v="4785" u="1"/>
        <s v="6384" u="1"/>
        <s v="3585" u="1"/>
        <s v="5184" u="1"/>
        <s v="5995" u="1"/>
        <s v="7594" u="1"/>
        <s v="2385" u="1"/>
        <s v="4795" u="1"/>
        <s v="6394" u="1"/>
        <s v="1996" u="1"/>
        <s v="3595" u="1"/>
        <s v="5194" u="1"/>
        <s v="2395" u="1"/>
        <s v="7905" u="1"/>
        <s v="6705" u="1"/>
        <s v="8304" u="1"/>
        <s v="3906" u="1"/>
        <s v="5505" u="1"/>
        <s v="7104" u="1"/>
        <s v="7915" u="1"/>
        <s v="2706" u="1"/>
        <s v="4305" u="1"/>
        <s v="6715" u="1"/>
        <s v="8314" u="1"/>
        <s v="3105" u="1"/>
        <s v="3916" u="1"/>
        <s v="5515" u="1"/>
        <s v="7114" u="1"/>
        <s v="7925" u="1"/>
        <s v="2716" u="1"/>
        <s v="4315" u="1"/>
        <s v="6725" u="1"/>
        <s v="8324" u="1"/>
        <s v="3115" u="1"/>
        <s v="3926" u="1"/>
        <s v="5525" u="1"/>
        <s v="7124" u="1"/>
        <s v="7935" u="1"/>
        <s v="2726" u="1"/>
        <s v="4325" u="1"/>
        <s v="6735" u="1"/>
        <s v="8334" u="1"/>
        <s v="3125" u="1"/>
        <s v="3936" u="1"/>
        <s v="5535" u="1"/>
        <s v="7134" u="1"/>
        <s v="7945" u="1"/>
        <s v="2736" u="1"/>
        <s v="4335" u="1"/>
        <s v="6745" u="1"/>
        <s v="8344" u="1"/>
        <s v="3135" u="1"/>
        <s v="3946" u="1"/>
        <s v="5545" u="1"/>
        <s v="7144" u="1"/>
        <s v="7955" u="1"/>
        <s v="2746" u="1"/>
        <s v="4345" u="1"/>
        <s v="6755" u="1"/>
        <s v="8354" u="1"/>
        <s v="3145" u="1"/>
        <s v="3956" u="1"/>
        <s v="5555" u="1"/>
        <s v="7154" u="1"/>
        <s v="7965" u="1"/>
        <s v="2756" u="1"/>
        <s v="4355" u="1"/>
        <s v="6765" u="1"/>
        <s v="8364" u="1"/>
        <s v="3155" u="1"/>
        <s v="3966" u="1"/>
        <s v="5565" u="1"/>
        <s v="7164" u="1"/>
        <s v="7975" u="1"/>
        <s v="2766" u="1"/>
        <s v="4365" u="1"/>
        <s v="6775" u="1"/>
        <s v="8374" u="1"/>
        <s v="3165" u="1"/>
        <s v="3976" u="1"/>
        <s v="5575" u="1"/>
        <s v="7174" u="1"/>
        <s v="7985" u="1"/>
        <s v="2776" u="1"/>
        <s v="4375" u="1"/>
        <s v="6785" u="1"/>
        <s v="8384" u="1"/>
        <s v="3175" u="1"/>
        <s v="3986" u="1"/>
        <s v="5585" u="1"/>
        <s v="7184" u="1"/>
        <s v="7995" u="1"/>
        <s v="2786" u="1"/>
        <s v="4385" u="1"/>
        <s v="6795" u="1"/>
        <s v="8394" u="1"/>
        <s v="3185" u="1"/>
        <s v="3996" u="1"/>
        <s v="5595" u="1"/>
        <s v="7194" u="1"/>
        <s v="2796" u="1"/>
        <s v="4395" u="1"/>
        <s v="3195" u="1"/>
        <s v="5906" u="1"/>
        <s v="7505" u="1"/>
        <s v="4706" u="1"/>
        <s v="6305" u="1"/>
        <s v="3506" u="1"/>
        <s v="5105" u="1"/>
        <s v="5916" u="1"/>
        <s v="7515" u="1"/>
        <s v="2306" u="1"/>
        <s v="4716" u="1"/>
        <s v="6315" u="1"/>
        <s v="3516" u="1"/>
        <s v="5115" u="1"/>
        <s v="5926" u="1"/>
        <s v="7525" u="1"/>
        <s v="2316" u="1"/>
        <s v="4726" u="1"/>
        <s v="6325" u="1"/>
        <s v="3526" u="1"/>
        <s v="5125" u="1"/>
        <s v="5936" u="1"/>
        <s v="7535" u="1"/>
        <s v="2326" u="1"/>
        <s v="4736" u="1"/>
        <s v="6335" u="1"/>
        <s v="3536" u="1"/>
        <s v="5135" u="1"/>
        <s v="5946" u="1"/>
        <s v="7545" u="1"/>
        <s v="2336" u="1"/>
        <s v="4746" u="1"/>
        <s v="6345" u="1"/>
        <s v="3546" u="1"/>
        <s v="5145" u="1"/>
        <s v="5956" u="1"/>
        <s v="7555" u="1"/>
        <s v="2346" u="1"/>
        <s v="4756" u="1"/>
        <s v="6355" u="1"/>
        <s v="3556" u="1"/>
        <s v="5155" u="1"/>
        <s v="5966" u="1"/>
        <s v="7565" u="1"/>
        <s v="2356" u="1"/>
        <s v="4766" u="1"/>
        <s v="6365" u="1"/>
        <s v="3566" u="1"/>
        <s v="5165" u="1"/>
        <s v="5976" u="1"/>
        <s v="7575" u="1"/>
        <s v="2366" u="1"/>
        <s v="4776" u="1"/>
        <s v="6375" u="1"/>
        <s v="3576" u="1"/>
        <s v="5175" u="1"/>
        <s v="5986" u="1"/>
        <s v="7585" u="1"/>
        <s v="2376" u="1"/>
        <s v="4786" u="1"/>
        <s v="6385" u="1"/>
        <s v="3586" u="1"/>
        <s v="5185" u="1"/>
        <s v="5996" u="1"/>
        <s v="7595" u="1"/>
        <s v="2386" u="1"/>
        <s v="4796" u="1"/>
        <s v="6395" u="1"/>
        <s v="1997" u="1"/>
        <s v="3596" u="1"/>
        <s v="5195" u="1"/>
        <s v="2396" u="1"/>
        <s v="7906" u="1"/>
        <s v="6706" u="1"/>
        <s v="8305" u="1"/>
        <s v="3907" u="1"/>
        <s v="5506" u="1"/>
        <s v="7105" u="1"/>
        <s v="7916" u="1"/>
        <s v="2707" u="1"/>
        <s v="4306" u="1"/>
        <s v="6716" u="1"/>
        <s v="8315" u="1"/>
        <s v="3106" u="1"/>
        <s v="3917" u="1"/>
        <s v="5516" u="1"/>
        <s v="7115" u="1"/>
        <s v="7926" u="1"/>
        <s v="2717" u="1"/>
        <s v="4316" u="1"/>
        <s v="6726" u="1"/>
        <s v="8325" u="1"/>
        <s v="3116" u="1"/>
        <s v="3927" u="1"/>
        <s v="5526" u="1"/>
        <s v="7125" u="1"/>
        <s v="7936" u="1"/>
        <s v="2727" u="1"/>
        <s v="4326" u="1"/>
        <s v="6736" u="1"/>
        <s v="8335" u="1"/>
        <s v="3126" u="1"/>
        <s v="3937" u="1"/>
        <s v="5536" u="1"/>
        <s v="7135" u="1"/>
        <s v="7946" u="1"/>
        <s v="2737" u="1"/>
        <s v="4336" u="1"/>
        <s v="6746" u="1"/>
        <s v="8345" u="1"/>
        <s v="3136" u="1"/>
        <s v="3947" u="1"/>
        <s v="5546" u="1"/>
        <s v="7145" u="1"/>
        <s v="7956" u="1"/>
        <s v="2747" u="1"/>
        <s v="4346" u="1"/>
        <s v="6756" u="1"/>
        <s v="8355" u="1"/>
        <s v="3146" u="1"/>
        <s v="3957" u="1"/>
        <s v="5556" u="1"/>
        <s v="7155" u="1"/>
        <s v="7966" u="1"/>
        <s v="2757" u="1"/>
        <s v="4356" u="1"/>
        <s v="6766" u="1"/>
        <s v="8365" u="1"/>
        <s v="3156" u="1"/>
        <s v="3967" u="1"/>
        <s v="5566" u="1"/>
        <s v="7165" u="1"/>
        <s v="7976" u="1"/>
        <s v="2767" u="1"/>
        <s v="4366" u="1"/>
        <s v="6776" u="1"/>
        <s v="8375" u="1"/>
        <s v="3166" u="1"/>
        <s v="3977" u="1"/>
        <s v="5576" u="1"/>
        <s v="7175" u="1"/>
        <s v="7986" u="1"/>
        <s v="2777" u="1"/>
        <s v="4376" u="1"/>
        <s v="6786" u="1"/>
        <s v="8385" u="1"/>
        <s v="3176" u="1"/>
        <s v="3987" u="1"/>
        <s v="5586" u="1"/>
        <s v="7185" u="1"/>
        <s v="7996" u="1"/>
        <s v="2787" u="1"/>
        <s v="4386" u="1"/>
        <s v="6796" u="1"/>
        <s v="8395" u="1"/>
        <s v="3186" u="1"/>
        <s v="3997" u="1"/>
        <s v="5596" u="1"/>
        <s v="7195" u="1"/>
        <s v="2797" u="1"/>
        <s v="4396" u="1"/>
        <s v="3196" u="1"/>
        <s v="5907" u="1"/>
        <s v="7506" u="1"/>
        <s v="4707" u="1"/>
        <s v="6306" u="1"/>
        <s v="3507" u="1"/>
        <s v="5106" u="1"/>
        <s v="5917" u="1"/>
        <s v="7516" u="1"/>
        <s v="2307" u="1"/>
        <s v="4717" u="1"/>
        <s v="6316" u="1"/>
        <s v="3517" u="1"/>
        <s v="5116" u="1"/>
        <s v="5927" u="1"/>
        <s v="7526" u="1"/>
        <s v="2317" u="1"/>
        <s v="4727" u="1"/>
        <s v="6326" u="1"/>
        <s v="3527" u="1"/>
        <s v="5126" u="1"/>
        <s v="5937" u="1"/>
        <s v="7536" u="1"/>
        <s v="2327" u="1"/>
        <s v="4737" u="1"/>
        <s v="6336" u="1"/>
        <s v="3537" u="1"/>
        <s v="5136" u="1"/>
        <s v="5947" u="1"/>
        <s v="7546" u="1"/>
        <s v="2337" u="1"/>
        <s v="4747" u="1"/>
        <s v="6346" u="1"/>
        <s v="3547" u="1"/>
        <s v="5146" u="1"/>
        <s v="5957" u="1"/>
        <s v="7556" u="1"/>
        <s v="2347" u="1"/>
        <s v="4757" u="1"/>
        <s v="6356" u="1"/>
        <s v="3557" u="1"/>
        <s v="5156" u="1"/>
        <s v="5967" u="1"/>
        <s v="7566" u="1"/>
        <s v="2357" u="1"/>
        <s v="4767" u="1"/>
        <s v="6366" u="1"/>
        <s v="3567" u="1"/>
        <s v="5166" u="1"/>
        <s v="5977" u="1"/>
        <s v="7576" u="1"/>
        <s v="2367" u="1"/>
        <s v="4777" u="1"/>
        <s v="6376" u="1"/>
        <s v="3577" u="1"/>
        <s v="5176" u="1"/>
        <s v="5987" u="1"/>
        <s v="7586" u="1"/>
        <s v="2377" u="1"/>
        <s v="4787" u="1"/>
        <s v="6386" u="1"/>
        <s v="2800" u="1"/>
        <s v="3587" u="1"/>
        <s v="5186" u="1"/>
        <s v="5997" u="1"/>
        <s v="7596" u="1"/>
        <s v="2387" u="1"/>
        <s v="4797" u="1"/>
        <s v="6396" u="1"/>
        <s v="1998" u="1"/>
        <s v="2810" u="1"/>
        <s v="3597" u="1"/>
        <s v="5196" u="1"/>
        <s v="2397" u="1"/>
        <s v="2820" u="1"/>
        <s v="2830" u="1"/>
        <s v="2840" u="1"/>
        <s v="2850" u="1"/>
        <s v="2860" u="1"/>
        <s v="7907" u="1"/>
        <s v="2870" u="1"/>
        <s v="6707" u="1"/>
        <s v="8306" u="1"/>
        <s v="3908" u="1"/>
        <s v="5507" u="1"/>
        <s v="7106" u="1"/>
        <s v="7917" u="1"/>
        <s v="2708" u="1"/>
        <s v="2880" u="1"/>
        <s v="4307" u="1"/>
        <s v="6717" u="1"/>
        <s v="8316" u="1"/>
        <s v="3107" u="1"/>
        <s v="3918" u="1"/>
        <s v="5517" u="1"/>
        <s v="7116" u="1"/>
        <s v="7927" u="1"/>
        <s v="2718" u="1"/>
        <s v="2890" u="1"/>
        <s v="4317" u="1"/>
        <s v="6727" u="1"/>
        <s v="8326" u="1"/>
        <s v="3117" u="1"/>
        <s v="3928" u="1"/>
        <s v="5527" u="1"/>
        <s v="7126" u="1"/>
        <s v="7937" u="1"/>
        <s v="2728" u="1"/>
        <s v="4327" u="1"/>
        <s v="6737" u="1"/>
        <s v="8336" u="1"/>
        <s v="3127" u="1"/>
        <s v="3938" u="1"/>
        <s v="5537" u="1"/>
        <s v="7136" u="1"/>
        <s v="7947" u="1"/>
        <s v="2738" u="1"/>
        <s v="4337" u="1"/>
        <s v="6747" u="1"/>
        <s v="8346" u="1"/>
        <s v="3137" u="1"/>
        <s v="3948" u="1"/>
        <s v="5547" u="1"/>
        <s v="7146" u="1"/>
        <s v="7957" u="1"/>
        <s v="2748" u="1"/>
        <s v="4347" u="1"/>
        <s v="6757" u="1"/>
        <s v="8356" u="1"/>
        <s v="3147" u="1"/>
        <s v="3958" u="1"/>
        <s v="5557" u="1"/>
        <s v="7156" u="1"/>
        <s v="7967" u="1"/>
        <s v="2758" u="1"/>
        <s v="4357" u="1"/>
        <s v="6767" u="1"/>
        <s v="8366" u="1"/>
        <s v="3157" u="1"/>
        <s v="3968" u="1"/>
        <s v="5567" u="1"/>
        <s v="7166" u="1"/>
        <s v="7977" u="1"/>
        <s v="2768" u="1"/>
        <s v="4367" u="1"/>
        <s v="6777" u="1"/>
        <s v="8376" u="1"/>
        <s v="3167" u="1"/>
        <s v="3978" u="1"/>
        <s v="5577" u="1"/>
        <s v="7176" u="1"/>
        <s v="7987" u="1"/>
        <s v="2778" u="1"/>
        <s v="4377" u="1"/>
        <s v="6787" u="1"/>
        <s v="8386" u="1"/>
        <s v="3177" u="1"/>
        <s v="3988" u="1"/>
        <s v="4800" u="1"/>
        <s v="5587" u="1"/>
        <s v="7186" u="1"/>
        <s v="7997" u="1"/>
        <s v="2788" u="1"/>
        <s v="3600" u="1"/>
        <s v="4387" u="1"/>
        <s v="6797" u="1"/>
        <s v="8396" u="1"/>
        <s v="2400" u="1"/>
        <s v="3187" u="1"/>
        <s v="3998" u="1"/>
        <s v="4810" u="1"/>
        <s v="5597" u="1"/>
        <s v="7196" u="1"/>
        <s v="2798" u="1"/>
        <s v="3610" u="1"/>
        <s v="4397" u="1"/>
        <s v="2410" u="1"/>
        <s v="3197" u="1"/>
        <s v="4820" u="1"/>
        <s v="3620" u="1"/>
        <s v="2420" u="1"/>
        <s v="4830" u="1"/>
        <s v="3630" u="1"/>
        <s v="2430" u="1"/>
        <s v="4840" u="1"/>
        <s v="3640" u="1"/>
        <s v="2440" u="1"/>
        <s v="4850" u="1"/>
        <s v="3650" u="1"/>
        <s v="2450" u="1"/>
        <s v="4860" u="1"/>
        <s v="3660" u="1"/>
        <s v="2460" u="1"/>
        <s v="4870" u="1"/>
        <s v="3670" u="1"/>
        <s v="5908" u="1"/>
        <s v="7507" u="1"/>
        <s v="2470" u="1"/>
        <s v="4708" u="1"/>
        <s v="4880" u="1"/>
        <s v="6307" u="1"/>
        <s v="3508" u="1"/>
        <s v="3680" u="1"/>
        <s v="5107" u="1"/>
        <s v="5918" u="1"/>
        <s v="7517" u="1"/>
        <s v="2308" u="1"/>
        <s v="2480" u="1"/>
        <s v="4718" u="1"/>
        <s v="4890" u="1"/>
        <s v="6317" u="1"/>
        <s v="3518" u="1"/>
        <s v="3690" u="1"/>
        <s v="5117" u="1"/>
        <s v="5928" u="1"/>
        <s v="7527" u="1"/>
        <s v="2318" u="1"/>
        <s v="2490" u="1"/>
        <s v="4728" u="1"/>
        <s v="6327" u="1"/>
        <s v="3528" u="1"/>
        <s v="5127" u="1"/>
        <s v="5938" u="1"/>
        <s v="7537" u="1"/>
        <s v="2328" u="1"/>
        <s v="4738" u="1"/>
        <s v="6337" u="1"/>
        <s v="3538" u="1"/>
        <s v="5137" u="1"/>
        <s v="5948" u="1"/>
        <s v="7547" u="1"/>
        <s v="2338" u="1"/>
        <s v="4748" u="1"/>
        <s v="6347" u="1"/>
        <s v="3548" u="1"/>
        <s v="5147" u="1"/>
        <s v="5958" u="1"/>
        <s v="7557" u="1"/>
        <s v="2348" u="1"/>
        <s v="4758" u="1"/>
        <s v="6357" u="1"/>
        <s v="3558" u="1"/>
        <s v="5157" u="1"/>
        <s v="5968" u="1"/>
        <s v="7567" u="1"/>
        <s v="2358" u="1"/>
        <s v="4768" u="1"/>
        <s v="6367" u="1"/>
        <s v="3568" u="1"/>
        <s v="5167" u="1"/>
        <s v="5978" u="1"/>
        <s v="7577" u="1"/>
        <s v="2368" u="1"/>
        <s v="4778" u="1"/>
        <s v="6377" u="1"/>
        <s v="3578" u="1"/>
        <s v="5177" u="1"/>
        <s v="5988" u="1"/>
        <s v="6800" u="1"/>
        <s v="7587" u="1"/>
        <s v="2378" u="1"/>
        <s v="4788" u="1"/>
        <s v="5600" u="1"/>
        <s v="6387" u="1"/>
        <s v="2801" u="1"/>
        <s v="3588" u="1"/>
        <s v="4400" u="1"/>
        <s v="5187" u="1"/>
        <s v="5998" u="1"/>
        <s v="6810" u="1"/>
        <s v="7597" u="1"/>
        <s v="2388" u="1"/>
        <s v="3200" u="1"/>
        <s v="4798" u="1"/>
        <s v="5610" u="1"/>
        <s v="6397" u="1"/>
        <s v="1999" u="1"/>
        <s v="2000" u="1"/>
        <s v="2811" u="1"/>
        <s v="3598" u="1"/>
        <s v="4410" u="1"/>
        <s v="5197" u="1"/>
        <s v="6820" u="1"/>
        <s v="2398" u="1"/>
        <s v="3210" u="1"/>
        <s v="5620" u="1"/>
        <s v="2010" u="1"/>
        <s v="2821" u="1"/>
        <s v="4420" u="1"/>
        <s v="6830" u="1"/>
        <s v="3220" u="1"/>
        <s v="5630" u="1"/>
        <s v="2020" u="1"/>
        <s v="2831" u="1"/>
        <s v="4430" u="1"/>
        <s v="6840" u="1"/>
        <s v="3230" u="1"/>
        <s v="5640" u="1"/>
        <s v="2030" u="1"/>
        <s v="2841" u="1"/>
        <s v="4440" u="1"/>
        <s v="6850" u="1"/>
        <s v="3240" u="1"/>
        <s v="5650" u="1"/>
        <s v="2040" u="1"/>
        <s v="2851" u="1"/>
        <s v="4450" u="1"/>
        <s v="6860" u="1"/>
        <s v="3250" u="1"/>
        <s v="5660" u="1"/>
        <s v="2050" u="1"/>
        <s v="2861" u="1"/>
        <s v="4460" u="1"/>
        <s v="6870" u="1"/>
        <s v="3260" u="1"/>
        <s v="5670" u="1"/>
        <s v="7908" u="1"/>
        <s v="2060" u="1"/>
        <s v="2871" u="1"/>
        <s v="4470" u="1"/>
        <s v="6708" u="1"/>
        <s v="6880" u="1"/>
        <s v="8307" u="1"/>
        <s v="3270" u="1"/>
        <s v="3909" u="1"/>
        <s v="5508" u="1"/>
        <s v="5680" u="1"/>
        <s v="7107" u="1"/>
        <s v="7918" u="1"/>
        <s v="2070" u="1"/>
        <s v="2709" u="1"/>
        <s v="2881" u="1"/>
        <s v="4308" u="1"/>
        <s v="4480" u="1"/>
        <s v="6718" u="1"/>
        <s v="6890" u="1"/>
        <s v="8317" u="1"/>
        <s v="3108" u="1"/>
        <s v="3280" u="1"/>
        <s v="3919" u="1"/>
        <s v="5518" u="1"/>
        <s v="5690" u="1"/>
        <s v="7117" u="1"/>
        <s v="7928" u="1"/>
        <s v="2080" u="1"/>
        <s v="2719" u="1"/>
        <s v="2891" u="1"/>
        <s v="4318" u="1"/>
        <s v="4490" u="1"/>
        <s v="6728" u="1"/>
        <s v="8327" u="1"/>
        <s v="3118" u="1"/>
        <s v="3290" u="1"/>
        <s v="3929" u="1"/>
        <s v="5528" u="1"/>
        <s v="7127" u="1"/>
        <s v="7938" u="1"/>
        <s v="2090" u="1"/>
        <s v="2729" u="1"/>
        <s v="4328" u="1"/>
        <s v="6738" u="1"/>
        <s v="8337" u="1"/>
        <s v="3128" u="1"/>
        <s v="3939" u="1"/>
        <s v="5538" u="1"/>
        <s v="7137" u="1"/>
        <s v="7948" u="1"/>
        <s v="2739" u="1"/>
        <s v="4338" u="1"/>
        <s v="6748" u="1"/>
        <s v="8347" u="1"/>
        <s v="3138" u="1"/>
        <s v="3949" u="1"/>
        <s v="5548" u="1"/>
        <s v="7147" u="1"/>
        <s v="7958" u="1"/>
        <s v="2749" u="1"/>
        <s v="4348" u="1"/>
        <s v="6758" u="1"/>
        <s v="8357" u="1"/>
        <s v="3148" u="1"/>
        <s v="3959" u="1"/>
        <s v="5558" u="1"/>
        <s v="7157" u="1"/>
        <s v="7968" u="1"/>
        <s v="2759" u="1"/>
        <s v="4358" u="1"/>
        <s v="6768" u="1"/>
        <s v="8367" u="1"/>
        <s v="3158" u="1"/>
        <s v="3969" u="1"/>
        <s v="5568" u="1"/>
        <s v="7167" u="1"/>
        <s v="7978" u="1"/>
        <s v="2769" u="1"/>
        <s v="4368" u="1"/>
        <s v="6778" u="1"/>
        <s v="8377" u="1"/>
        <s v="3168" u="1"/>
        <s v="3979" u="1"/>
        <s v="5578" u="1"/>
        <s v="7177" u="1"/>
        <s v="7988" u="1"/>
        <s v="2779" u="1"/>
        <s v="4378" u="1"/>
        <s v="6788" u="1"/>
        <s v="7600" u="1"/>
        <s v="8387" u="1"/>
        <s v="3178" u="1"/>
        <s v="3989" u="1"/>
        <s v="4801" u="1"/>
        <s v="5588" u="1"/>
        <s v="6400" u="1"/>
        <s v="7187" u="1"/>
        <s v="7998" u="1"/>
        <s v="2789" u="1"/>
        <s v="3601" u="1"/>
        <s v="4388" u="1"/>
        <s v="5200" u="1"/>
        <s v="6798" u="1"/>
        <s v="7610" u="1"/>
        <s v="8397" u="1"/>
        <s v="2401" u="1"/>
        <s v="3188" u="1"/>
        <s v="3999" u="1"/>
        <s v="4000" u="1"/>
        <s v="4811" u="1"/>
        <s v="5598" u="1"/>
        <s v="6410" u="1"/>
        <s v="7197" u="1"/>
        <s v="2799" u="1"/>
        <s v="3611" u="1"/>
        <s v="4398" u="1"/>
        <s v="5210" u="1"/>
        <s v="7620" u="1"/>
        <s v="2411" u="1"/>
        <s v="3198" u="1"/>
        <s v="4010" u="1"/>
        <s v="4821" u="1"/>
        <s v="6420" u="1"/>
        <s v="3621" u="1"/>
        <s v="5220" u="1"/>
        <s v="7630" u="1"/>
        <s v="2421" u="1"/>
        <s v="4020" u="1"/>
        <s v="4831" u="1"/>
        <s v="6430" u="1"/>
        <s v="3631" u="1"/>
        <s v="5230" u="1"/>
        <s v="7640" u="1"/>
        <s v="2431" u="1"/>
        <s v="4030" u="1"/>
        <s v="4841" u="1"/>
        <s v="6440" u="1"/>
        <s v="3641" u="1"/>
        <s v="5240" u="1"/>
        <s v="7650" u="1"/>
        <s v="2441" u="1"/>
        <s v="4040" u="1"/>
        <s v="4851" u="1"/>
        <s v="6450" u="1"/>
        <s v="3651" u="1"/>
        <s v="5250" u="1"/>
        <s v="7660" u="1"/>
        <s v="2451" u="1"/>
        <s v="4050" u="1"/>
        <s v="4861" u="1"/>
        <s v="6460" u="1"/>
        <s v="3661" u="1"/>
        <s v="5260" u="1"/>
        <s v="7670" u="1"/>
        <s v="2461" u="1"/>
        <s v="4060" u="1"/>
        <s v="4871" u="1"/>
        <s v="6470" u="1"/>
        <s v="3671" u="1"/>
        <s v="5270" u="1"/>
        <s v="5909" u="1"/>
        <s v="7508" u="1"/>
        <s v="7680" u="1"/>
        <s v="2471" u="1"/>
        <s v="4070" u="1"/>
        <s v="4709" u="1"/>
        <s v="4881" u="1"/>
        <s v="6308" u="1"/>
        <s v="6480" u="1"/>
        <s v="3509" u="1"/>
        <s v="3681" u="1"/>
        <s v="5108" u="1"/>
        <s v="5280" u="1"/>
        <s v="5919" u="1"/>
        <s v="7518" u="1"/>
        <s v="7690" u="1"/>
        <s v="2309" u="1"/>
        <s v="2481" u="1"/>
        <s v="4080" u="1"/>
        <s v="4719" u="1"/>
        <s v="4891" u="1"/>
        <s v="6318" u="1"/>
        <s v="6490" u="1"/>
        <s v="3519" u="1"/>
        <s v="3691" u="1"/>
        <s v="5118" u="1"/>
        <s v="5290" u="1"/>
        <s v="5929" u="1"/>
        <s v="7528" u="1"/>
        <s v="2319" u="1"/>
        <s v="2491" u="1"/>
        <s v="4090" u="1"/>
        <s v="4729" u="1"/>
        <s v="6328" u="1"/>
        <s v="3529" u="1"/>
        <s v="5128" u="1"/>
        <s v="5939" u="1"/>
        <s v="7538" u="1"/>
        <s v="2329" u="1"/>
        <s v="4739" u="1"/>
        <s v="6338" u="1"/>
        <s v="3539" u="1"/>
        <s v="5138" u="1"/>
        <s v="5949" u="1"/>
        <s v="7548" u="1"/>
        <s v="2339" u="1"/>
        <s v="4749" u="1"/>
        <s v="6348" u="1"/>
        <s v="3549" u="1"/>
        <s v="5148" u="1"/>
        <s v="5959" u="1"/>
        <s v="7558" u="1"/>
        <s v="2349" u="1"/>
        <s v="4759" u="1"/>
        <s v="6358" u="1"/>
        <s v="3559" u="1"/>
        <s v="5158" u="1"/>
        <s v="5969" u="1"/>
        <s v="7568" u="1"/>
        <s v="2359" u="1"/>
        <s v="4769" u="1"/>
        <s v="6368" u="1"/>
        <s v="3569" u="1"/>
        <s v="5168" u="1"/>
        <s v="5979" u="1"/>
        <s v="7578" u="1"/>
        <s v="2369" u="1"/>
        <s v="4779" u="1"/>
        <s v="6378" u="1"/>
        <s v="3579" u="1"/>
        <s v="5178" u="1"/>
        <s v="5989" u="1"/>
        <s v="6801" u="1"/>
        <s v="7588" u="1"/>
        <s v="8400" u="1"/>
        <s v="2379" u="1"/>
        <s v="4789" u="1"/>
        <s v="5601" u="1"/>
        <s v="6388" u="1"/>
        <s v="7200" u="1"/>
        <s v="2802" u="1"/>
        <s v="3589" u="1"/>
        <s v="4401" u="1"/>
        <s v="5188" u="1"/>
        <s v="5999" u="1"/>
        <s v="6000" u="1"/>
        <s v="6811" u="1"/>
        <s v="7598" u="1"/>
        <s v="8410" u="1"/>
        <s v="2389" u="1"/>
        <s v="3201" u="1"/>
        <s v="4799" u="1"/>
        <s v="5611" u="1"/>
        <s v="6398" u="1"/>
        <s v="7210" u="1"/>
        <s v="2001" u="1"/>
        <s v="2812" u="1"/>
        <s v="3599" u="1"/>
        <s v="4411" u="1"/>
        <s v="5198" u="1"/>
        <s v="6010" u="1"/>
        <s v="6821" u="1"/>
        <s v="8420" u="1"/>
        <s v="2399" u="1"/>
        <s v="3211" u="1"/>
        <s v="5621" u="1"/>
        <s v="7220" u="1"/>
        <s v="2011" u="1"/>
        <s v="2822" u="1"/>
        <s v="4421" u="1"/>
        <s v="6020" u="1"/>
        <s v="6831" u="1"/>
        <s v="8430" u="1"/>
        <s v="3221" u="1"/>
        <s v="5631" u="1"/>
        <s v="7230" u="1"/>
        <s v="2021" u="1"/>
        <s v="2832" u="1"/>
        <s v="4431" u="1"/>
        <s v="6030" u="1"/>
        <s v="6841" u="1"/>
        <s v="8440" u="1"/>
        <s v="3231" u="1"/>
        <s v="5641" u="1"/>
        <s v="7240" u="1"/>
        <s v="2031" u="1"/>
        <s v="2842" u="1"/>
        <s v="4441" u="1"/>
        <s v="6040" u="1"/>
        <s v="6851" u="1"/>
        <s v="3241" u="1"/>
        <s v="5651" u="1"/>
        <s v="7250" u="1"/>
        <s v="2041" u="1"/>
        <s v="2852" u="1"/>
        <s v="4451" u="1"/>
        <s v="6050" u="1"/>
        <s v="6861" u="1"/>
        <s v="3251" u="1"/>
        <s v="5661" u="1"/>
        <s v="7260" u="1"/>
        <s v="2051" u="1"/>
        <s v="2862" u="1"/>
        <s v="4461" u="1"/>
        <s v="6060" u="1"/>
        <s v="6871" u="1"/>
        <s v="3261" u="1"/>
        <s v="5671" u="1"/>
        <s v="7270" u="1"/>
        <s v="7909" u="1"/>
        <s v="2061" u="1"/>
        <s v="2872" u="1"/>
        <s v="4471" u="1"/>
        <s v="6070" u="1"/>
        <s v="6709" u="1"/>
        <s v="6881" u="1"/>
        <s v="8308" u="1"/>
        <s v="3271" u="1"/>
        <s v="5509" u="1"/>
        <s v="5681" u="1"/>
        <s v="7108" u="1"/>
        <s v="7280" u="1"/>
        <s v="7919" u="1"/>
        <s v="2071" u="1"/>
        <s v="2882" u="1"/>
        <s v="4309" u="1"/>
        <s v="4481" u="1"/>
        <s v="6080" u="1"/>
        <s v="6719" u="1"/>
        <s v="6891" u="1"/>
        <s v="8318" u="1"/>
        <s v="3109" u="1"/>
        <s v="3281" u="1"/>
        <s v="5519" u="1"/>
        <s v="5691" u="1"/>
        <s v="7118" u="1"/>
        <s v="7290" u="1"/>
        <s v="7929" u="1"/>
        <s v="2081" u="1"/>
        <s v="2892" u="1"/>
        <s v="4319" u="1"/>
        <s v="4491" u="1"/>
        <s v="6090" u="1"/>
        <s v="6729" u="1"/>
        <s v="8328" u="1"/>
        <s v="3119" u="1"/>
        <s v="3291" u="1"/>
        <s v="5529" u="1"/>
        <s v="7128" u="1"/>
        <s v="7939" u="1"/>
        <s v="2091" u="1"/>
        <s v="4329" u="1"/>
        <s v="6739" u="1"/>
        <s v="8338" u="1"/>
        <s v="3129" u="1"/>
        <s v="5539" u="1"/>
        <s v="7138" u="1"/>
        <s v="7949" u="1"/>
        <s v="4339" u="1"/>
        <s v="6749" u="1"/>
        <s v="8348" u="1"/>
        <s v="3139" u="1"/>
        <s v="5549" u="1"/>
        <s v="7148" u="1"/>
        <s v="7959" u="1"/>
        <s v="4349" u="1"/>
        <s v="6759" u="1"/>
        <s v="8358" u="1"/>
        <s v="3149" u="1"/>
        <s v="5559" u="1"/>
        <s v="7158" u="1"/>
        <s v="7969" u="1"/>
        <s v="4359" u="1"/>
        <s v="6769" u="1"/>
        <s v="8368" u="1"/>
        <s v="3159" u="1"/>
        <s v="5569" u="1"/>
        <s v="7168" u="1"/>
        <s v="7979" u="1"/>
        <s v="4369" u="1"/>
        <s v="6779" u="1"/>
        <s v="8378" u="1"/>
        <s v="3169" u="1"/>
        <s v="5579" u="1"/>
        <s v="7178" u="1"/>
        <s v="7989" u="1"/>
        <s v="4379" u="1"/>
        <s v="6789" u="1"/>
        <s v="7601" u="1"/>
        <s v="8388" u="1"/>
        <s v="3179" u="1"/>
        <s v="4802" u="1"/>
        <s v="5589" u="1"/>
        <s v="6401" u="1"/>
        <s v="7188" u="1"/>
        <s v="7999" u="1"/>
        <s v="8000" u="1"/>
        <s v="3602" u="1"/>
        <s v="4389" u="1"/>
        <s v="5201" u="1"/>
        <s v="6799" u="1"/>
        <s v="7611" u="1"/>
        <s v="8398" u="1"/>
        <s v="2402" u="1"/>
        <s v="3189" u="1"/>
        <s v="4001" u="1"/>
        <s v="4812" u="1"/>
        <s v="5599" u="1"/>
        <s v="6411" u="1"/>
        <s v="7198" u="1"/>
        <s v="8010" u="1"/>
        <s v="3612" u="1"/>
        <s v="4399" u="1"/>
        <s v="5211" u="1"/>
        <s v="7621" u="1"/>
        <s v="2412" u="1"/>
        <s v="3199" u="1"/>
        <s v="4011" u="1"/>
        <s v="4822" u="1"/>
        <s v="6421" u="1"/>
        <s v="8020" u="1"/>
        <s v="3622" u="1"/>
        <s v="5221" u="1"/>
        <s v="7631" u="1"/>
        <s v="2422" u="1"/>
        <s v="4021" u="1"/>
        <s v="4832" u="1"/>
        <s v="6431" u="1"/>
        <s v="8030" u="1"/>
        <s v="3632" u="1"/>
        <s v="5231" u="1"/>
        <s v="7641" u="1"/>
        <s v="2432" u="1"/>
        <s v="4031" u="1"/>
        <s v="4842" u="1"/>
        <s v="6441" u="1"/>
        <s v="8040" u="1"/>
        <s v="3642" u="1"/>
        <s v="5241" u="1"/>
        <s v="7651" u="1"/>
        <s v="2442" u="1"/>
        <s v="4041" u="1"/>
        <s v="4852" u="1"/>
        <s v="6451" u="1"/>
        <s v="8050" u="1"/>
        <s v="3652" u="1"/>
        <s v="5251" u="1"/>
        <s v="7661" u="1"/>
        <s v="2452" u="1"/>
        <s v="4051" u="1"/>
        <s v="4862" u="1"/>
        <s v="6461" u="1"/>
        <s v="8060" u="1"/>
        <s v="3662" u="1"/>
        <s v="5261" u="1"/>
        <s v="7671" u="1"/>
        <s v="2462" u="1"/>
        <s v="4061" u="1"/>
        <s v="4872" u="1"/>
        <s v="6471" u="1"/>
        <s v="8070" u="1"/>
        <s v="3672" u="1"/>
        <s v="5271" u="1"/>
        <s v="7509" u="1"/>
        <s v="7681" u="1"/>
        <s v="2472" u="1"/>
        <s v="4071" u="1"/>
        <s v="4882" u="1"/>
        <s v="6309" u="1"/>
        <s v="6481" u="1"/>
        <s v="8080" u="1"/>
        <s v="3682" u="1"/>
        <s v="5109" u="1"/>
        <s v="5281" u="1"/>
        <s v="7519" u="1"/>
        <s v="7691" u="1"/>
        <s v="2482" u="1"/>
        <s v="4081" u="1"/>
        <s v="4892" u="1"/>
        <s v="6319" u="1"/>
        <s v="6491" u="1"/>
        <s v="8090" u="1"/>
        <s v="3692" u="1"/>
        <s v="5119" u="1"/>
        <s v="5291" u="1"/>
        <s v="7529" u="1"/>
        <s v="2492" u="1"/>
        <s v="4091" u="1"/>
        <s v="6329" u="1"/>
        <s v="5129" u="1"/>
        <s v="7539" u="1"/>
        <s v="6339" u="1"/>
        <s v="5139" u="1"/>
        <s v="7549" u="1"/>
        <s v="6349" u="1"/>
        <s v="5149" u="1"/>
        <s v="7559" u="1"/>
        <s v="6359" u="1"/>
        <s v="5159" u="1"/>
        <s v="7569" u="1"/>
        <s v="6369" u="1"/>
        <s v="5169" u="1"/>
        <s v="7579" u="1"/>
        <s v="6379" u="1"/>
        <s v="5179" u="1"/>
        <s v="6802" u="1"/>
        <s v="7589" u="1"/>
        <s v="8401" u="1"/>
        <s v="5602" u="1"/>
        <s v="6389" u="1"/>
        <s v="7201" u="1"/>
        <s v="2803" u="1"/>
        <s v="4402" u="1"/>
        <s v="5189" u="1"/>
        <s v="6001" u="1"/>
        <s v="6812" u="1"/>
        <s v="7599" u="1"/>
        <s v="8411" u="1"/>
        <s v="3202" u="1"/>
        <s v="5612" u="1"/>
        <s v="6399" u="1"/>
        <s v="7211" u="1"/>
        <s v="2002" u="1"/>
        <s v="2813" u="1"/>
        <s v="4412" u="1"/>
        <s v="5199" u="1"/>
        <s v="6011" u="1"/>
        <s v="6822" u="1"/>
        <s v="8421" u="1"/>
        <s v="3212" u="1"/>
        <s v="5622" u="1"/>
        <s v="7221" u="1"/>
        <s v="2012" u="1"/>
        <s v="2823" u="1"/>
        <s v="4422" u="1"/>
        <s v="6021" u="1"/>
        <s v="6832" u="1"/>
        <s v="8431" u="1"/>
        <s v="3222" u="1"/>
        <s v="5632" u="1"/>
        <s v="7231" u="1"/>
        <s v="2022" u="1"/>
        <s v="2833" u="1"/>
        <s v="4432" u="1"/>
        <s v="6031" u="1"/>
        <s v="6842" u="1"/>
        <s v="8441" u="1"/>
        <s v="3232" u="1"/>
        <s v="5642" u="1"/>
        <s v="7241" u="1"/>
        <s v="2032" u="1"/>
        <s v="2843" u="1"/>
        <s v="4442" u="1"/>
        <s v="6041" u="1"/>
        <s v="6852" u="1"/>
        <s v="3242" u="1"/>
        <s v="5652" u="1"/>
        <s v="7251" u="1"/>
        <s v="2042" u="1"/>
        <s v="2853" u="1"/>
        <s v="4452" u="1"/>
        <s v="6051" u="1"/>
        <s v="6862" u="1"/>
        <s v="3252" u="1"/>
        <s v="5662" u="1"/>
        <s v="7261" u="1"/>
        <s v="2052" u="1"/>
        <s v="2863" u="1"/>
        <s v="4462" u="1"/>
        <s v="6061" u="1"/>
        <s v="6872" u="1"/>
        <s v="3262" u="1"/>
        <s v="5672" u="1"/>
        <s v="7271" u="1"/>
        <s v="2062" u="1"/>
        <s v="2873" u="1"/>
        <s v="4472" u="1"/>
        <s v="6071" u="1"/>
        <s v="6882" u="1"/>
        <s v="8309" u="1"/>
        <s v="3272" u="1"/>
        <s v="5682" u="1"/>
        <s v="7109" u="1"/>
        <s v="7281" u="1"/>
        <s v="2072" u="1"/>
        <s v="2883" u="1"/>
        <s v="4482" u="1"/>
        <s v="6081" u="1"/>
        <s v="6892" u="1"/>
        <s v="8319" u="1"/>
        <s v="3282" u="1"/>
        <s v="5692" u="1"/>
        <s v="7119" u="1"/>
        <s v="7291" u="1"/>
        <s v="2082" u="1"/>
        <s v="2893" u="1"/>
        <s v="4492" u="1"/>
        <s v="6091" u="1"/>
        <s v="8329" u="1"/>
        <s v="3292" u="1"/>
        <s v="7129" u="1"/>
        <s v="2092" u="1"/>
        <s v="8339" u="1"/>
        <s v="7139" u="1"/>
        <s v="8349" u="1"/>
        <s v="7149" u="1"/>
        <s v="8359" u="1"/>
        <s v="7159" u="1"/>
        <s v="8369" u="1"/>
        <s v="7169" u="1"/>
        <s v="8379" u="1"/>
        <s v="7179" u="1"/>
        <s v="7602" u="1"/>
        <s v="8389" u="1"/>
        <s v="4803" u="1"/>
        <s v="6402" u="1"/>
        <s v="7189" u="1"/>
        <s v="8001" u="1"/>
        <s v="3603" u="1"/>
        <s v="5202" u="1"/>
        <s v="7612" u="1"/>
        <s v="8399" u="1"/>
        <s v="2403" u="1"/>
        <s v="4002" u="1"/>
        <s v="4813" u="1"/>
        <s v="6412" u="1"/>
        <s v="7199" u="1"/>
        <s v="8011" u="1"/>
        <s v="3613" u="1"/>
        <s v="5212" u="1"/>
        <s v="7622" u="1"/>
        <s v="2413" u="1"/>
        <s v="4012" u="1"/>
        <s v="4823" u="1"/>
        <s v="6422" u="1"/>
        <s v="8021" u="1"/>
        <s v="3623" u="1"/>
        <s v="5222" u="1"/>
        <s v="7632" u="1"/>
        <s v="2423" u="1"/>
        <s v="4022" u="1"/>
        <s v="4833" u="1"/>
        <s v="6432" u="1"/>
        <s v="8031" u="1"/>
        <s v="3633" u="1"/>
        <s v="5232" u="1"/>
        <s v="7642" u="1"/>
        <s v="2433" u="1"/>
        <s v="4032" u="1"/>
        <s v="4843" u="1"/>
        <s v="6442" u="1"/>
        <s v="8041" u="1"/>
        <s v="3643" u="1"/>
        <s v="5242" u="1"/>
        <s v="7652" u="1"/>
        <s v="2443" u="1"/>
        <s v="4042" u="1"/>
        <s v="4853" u="1"/>
        <s v="6452" u="1"/>
        <s v="8051" u="1"/>
        <s v="3653" u="1"/>
        <s v="5252" u="1"/>
        <s v="7662" u="1"/>
        <s v="2453" u="1"/>
        <s v="4052" u="1"/>
        <s v="4863" u="1"/>
        <s v="6462" u="1"/>
        <s v="8061" u="1"/>
        <s v="3663" u="1"/>
        <s v="5262" u="1"/>
        <s v="7672" u="1"/>
        <s v="2463" u="1"/>
        <s v="4062" u="1"/>
        <s v="4873" u="1"/>
        <s v="6472" u="1"/>
        <s v="8071" u="1"/>
        <s v="3673" u="1"/>
        <s v="5272" u="1"/>
        <s v="7682" u="1"/>
        <s v="2473" u="1"/>
        <s v="4072" u="1"/>
        <s v="4883" u="1"/>
        <s v="6482" u="1"/>
        <s v="8081" u="1"/>
        <s v="3683" u="1"/>
        <s v="5282" u="1"/>
        <s v="7692" u="1"/>
        <s v="2483" u="1"/>
        <s v="4082" u="1"/>
        <s v="4893" u="1"/>
        <s v="6492" u="1"/>
        <s v="8091" u="1"/>
        <s v="3693" u="1"/>
        <s v="5292" u="1"/>
        <s v="2493" u="1"/>
        <s v="4092" u="1"/>
        <s v="6803" u="1"/>
        <s v="8402" u="1"/>
        <s v="5603" u="1"/>
        <s v="7202" u="1"/>
        <s v="2804" u="1"/>
        <s v="4403" u="1"/>
        <s v="6002" u="1"/>
        <s v="6813" u="1"/>
        <s v="8412" u="1"/>
        <s v="3203" u="1"/>
        <s v="5613" u="1"/>
        <s v="7212" u="1"/>
        <s v="2003" u="1"/>
        <s v="2814" u="1"/>
        <s v="4413" u="1"/>
        <s v="6012" u="1"/>
        <s v="6823" u="1"/>
        <s v="8422" u="1"/>
        <s v="3213" u="1"/>
        <s v="5623" u="1"/>
        <s v="7222" u="1"/>
        <s v="2013" u="1"/>
        <s v="2824" u="1"/>
        <s v="4423" u="1"/>
        <s v="6022" u="1"/>
        <s v="6833" u="1"/>
        <s v="8432" u="1"/>
        <s v="3223" u="1"/>
        <s v="5633" u="1"/>
        <s v="7232" u="1"/>
        <s v="2023" u="1"/>
        <s v="2834" u="1"/>
        <s v="4433" u="1"/>
        <s v="6032" u="1"/>
        <s v="6843" u="1"/>
        <s v="8442" u="1"/>
        <s v="3233" u="1"/>
        <s v="5643" u="1"/>
        <s v="7242" u="1"/>
        <s v="2033" u="1"/>
        <s v="2844" u="1"/>
        <s v="4443" u="1"/>
        <s v="6042" u="1"/>
        <s v="6853" u="1"/>
        <s v="3243" u="1"/>
        <s v="5653" u="1"/>
        <s v="7252" u="1"/>
        <s v="2043" u="1"/>
        <s v="2854" u="1"/>
        <s v="4453" u="1"/>
        <s v="6052" u="1"/>
        <s v="6863" u="1"/>
        <s v="3253" u="1"/>
        <s v="5663" u="1"/>
        <s v="7262" u="1"/>
        <s v="2053" u="1"/>
        <s v="2864" u="1"/>
        <s v="4463" u="1"/>
        <s v="6062" u="1"/>
        <s v="6873" u="1"/>
        <s v="3263" u="1"/>
        <s v="5673" u="1"/>
        <s v="7272" u="1"/>
        <s v="2063" u="1"/>
        <s v="2874" u="1"/>
        <s v="4473" u="1"/>
        <s v="6072" u="1"/>
        <s v="6883" u="1"/>
        <s v="3273" u="1"/>
        <s v="5683" u="1"/>
        <s v="7282" u="1"/>
        <s v="2073" u="1"/>
        <s v="2884" u="1"/>
        <s v="4483" u="1"/>
        <s v="6082" u="1"/>
        <s v="6893" u="1"/>
        <s v="3283" u="1"/>
        <s v="5693" u="1"/>
        <s v="7292" u="1"/>
        <s v="2083" u="1"/>
        <s v="2894" u="1"/>
        <s v="4493" u="1"/>
        <s v="6092" u="1"/>
        <s v="3293" u="1"/>
        <s v="2093" u="1"/>
        <s v="7603" u="1"/>
        <s v="4804" u="1"/>
        <s v="6403" u="1"/>
        <s v="8002" u="1"/>
        <s v="3604" u="1"/>
        <s v="5203" u="1"/>
        <s v="7613" u="1"/>
        <s v="2404" u="1"/>
        <s v="4003" u="1"/>
        <s v="4814" u="1"/>
        <s v="6413" u="1"/>
        <s v="8012" u="1"/>
        <s v="3614" u="1"/>
        <s v="5213" u="1"/>
        <s v="7623" u="1"/>
        <s v="2414" u="1"/>
        <s v="4013" u="1"/>
        <s v="4824" u="1"/>
        <s v="6423" u="1"/>
        <s v="8022" u="1"/>
        <s v="3624" u="1"/>
        <s v="5223" u="1"/>
        <s v="7633" u="1"/>
        <s v="2424" u="1"/>
        <s v="4023" u="1"/>
        <s v="4834" u="1"/>
        <s v="6433" u="1"/>
        <s v="8032" u="1"/>
        <s v="3634" u="1"/>
        <s v="5233" u="1"/>
        <s v="7643" u="1"/>
        <s v="2434" u="1"/>
        <s v="4033" u="1"/>
        <s v="4844" u="1"/>
        <s v="6443" u="1"/>
        <s v="8042" u="1"/>
        <s v="3644" u="1"/>
        <s v="5243" u="1"/>
        <s v="7653" u="1"/>
        <s v="2444" u="1"/>
        <s v="4043" u="1"/>
        <s v="4854" u="1"/>
        <s v="6453" u="1"/>
        <s v="8052" u="1"/>
        <s v="3654" u="1"/>
        <s v="5253" u="1"/>
        <s v="7663" u="1"/>
        <s v="2454" u="1"/>
        <s v="4053" u="1"/>
        <s v="4864" u="1"/>
        <s v="6463" u="1"/>
        <s v="8062" u="1"/>
        <s v="3664" u="1"/>
        <s v="5263" u="1"/>
        <s v="7673" u="1"/>
        <s v="2464" u="1"/>
        <s v="4063" u="1"/>
        <s v="4874" u="1"/>
        <s v="6473" u="1"/>
        <s v="8072" u="1"/>
        <s v="3674" u="1"/>
        <s v="5273" u="1"/>
        <s v="7683" u="1"/>
        <s v="2474" u="1"/>
        <s v="4073" u="1"/>
        <s v="4884" u="1"/>
        <s v="6483" u="1"/>
        <s v="8082" u="1"/>
        <s v="3684" u="1"/>
        <s v="5283" u="1"/>
        <s v="7693" u="1"/>
        <s v="2484" u="1"/>
        <s v="4083" u="1"/>
        <s v="4894" u="1"/>
        <s v="6493" u="1"/>
        <s v="8092" u="1"/>
        <s v="3694" u="1"/>
        <s v="5293" u="1"/>
        <s v="2494" u="1"/>
        <s v="4093" u="1"/>
        <s v="6804" u="1"/>
        <s v="8403" u="1"/>
        <s v="5604" u="1"/>
        <s v="7203" u="1"/>
        <s v="2805" u="1"/>
        <s v="4404" u="1"/>
        <s v="6003" u="1"/>
        <s v="6814" u="1"/>
        <s v="8413" u="1"/>
        <s v="3204" u="1"/>
        <s v="5614" u="1"/>
        <s v="7213" u="1"/>
        <s v="2004" u="1"/>
        <s v="2815" u="1"/>
        <s v="4414" u="1"/>
        <s v="6013" u="1"/>
        <s v="6824" u="1"/>
        <s v="8423" u="1"/>
        <s v="3214" u="1"/>
        <s v="5624" u="1"/>
        <s v="7223" u="1"/>
        <s v="2014" u="1"/>
        <s v="2825" u="1"/>
        <s v="4424" u="1"/>
        <s v="6023" u="1"/>
        <s v="6834" u="1"/>
        <s v="8433" u="1"/>
        <s v="3224" u="1"/>
        <s v="5634" u="1"/>
        <s v="7233" u="1"/>
        <s v="2024" u="1"/>
        <s v="2835" u="1"/>
        <s v="4434" u="1"/>
        <s v="6033" u="1"/>
        <s v="6844" u="1"/>
        <s v="8443" u="1"/>
        <s v="3234" u="1"/>
        <s v="5644" u="1"/>
        <s v="7243" u="1"/>
        <s v="2034" u="1"/>
        <s v="2845" u="1"/>
        <s v="4444" u="1"/>
        <s v="6043" u="1"/>
        <s v="6854" u="1"/>
        <s v="3244" u="1"/>
        <s v="5654" u="1"/>
        <s v="7253" u="1"/>
        <s v="2044" u="1"/>
        <s v="2855" u="1"/>
        <s v="4454" u="1"/>
        <s v="6053" u="1"/>
        <s v="6864" u="1"/>
        <s v="3254" u="1"/>
        <s v="5664" u="1"/>
        <s v="7263" u="1"/>
        <s v="2054" u="1"/>
        <s v="2865" u="1"/>
        <s v="4464" u="1"/>
        <s v="6063" u="1"/>
        <s v="6874" u="1"/>
        <s v="3264" u="1"/>
        <s v="5674" u="1"/>
        <s v="7273" u="1"/>
        <s v="2064" u="1"/>
        <s v="2875" u="1"/>
        <s v="4474" u="1"/>
        <s v="6073" u="1"/>
        <s v="6884" u="1"/>
        <s v="3274" u="1"/>
        <s v="5684" u="1"/>
        <s v="7283" u="1"/>
        <s v="2074" u="1"/>
        <s v="2885" u="1"/>
        <s v="4484" u="1"/>
        <s v="6083" u="1"/>
        <s v="6894" u="1"/>
        <s v="3284" u="1"/>
        <s v="5694" u="1"/>
        <s v="7293" u="1"/>
        <s v="2084" u="1"/>
        <s v="2895" u="1"/>
        <s v="4494" u="1"/>
        <s v="6093" u="1"/>
        <s v="3294" u="1"/>
        <s v="2094" u="1"/>
        <s v="7604" u="1"/>
        <s v="4805" u="1"/>
        <s v="6404" u="1"/>
        <s v="8003" u="1"/>
        <s v="3605" u="1"/>
        <s v="5204" u="1"/>
        <s v="7614" u="1"/>
        <s v="2405" u="1"/>
        <s v="4004" u="1"/>
        <s v="4815" u="1"/>
        <s v="6414" u="1"/>
        <s v="8013" u="1"/>
        <s v="3615" u="1"/>
        <s v="5214" u="1"/>
        <s v="7624" u="1"/>
        <s v="2415" u="1"/>
        <s v="4014" u="1"/>
        <s v="4825" u="1"/>
        <s v="6424" u="1"/>
        <s v="8023" u="1"/>
        <s v="3625" u="1"/>
        <s v="5224" u="1"/>
        <s v="7634" u="1"/>
        <s v="2425" u="1"/>
        <s v="4024" u="1"/>
        <s v="4835" u="1"/>
        <s v="6434" u="1"/>
        <s v="8033" u="1"/>
        <s v="3635" u="1"/>
        <s v="5234" u="1"/>
        <s v="7644" u="1"/>
        <s v="2435" u="1"/>
        <s v="4034" u="1"/>
        <s v="4845" u="1"/>
        <s v="6444" u="1"/>
        <s v="8043" u="1"/>
        <s v="3645" u="1"/>
        <s v="5244" u="1"/>
        <s v="7654" u="1"/>
        <s v="2445" u="1"/>
        <s v="4044" u="1"/>
        <s v="4855" u="1"/>
        <s v="6454" u="1"/>
        <s v="8053" u="1"/>
        <s v="3655" u="1"/>
        <s v="5254" u="1"/>
        <s v="7664" u="1"/>
        <s v="2455" u="1"/>
        <s v="4054" u="1"/>
        <s v="4865" u="1"/>
        <s v="6464" u="1"/>
        <s v="8063" u="1"/>
        <s v="3665" u="1"/>
        <s v="5264" u="1"/>
        <s v="7674" u="1"/>
        <s v="2465" u="1"/>
        <s v="4064" u="1"/>
        <s v="4875" u="1"/>
        <s v="6474" u="1"/>
        <s v="8073" u="1"/>
        <s v="3675" u="1"/>
        <s v="5274" u="1"/>
        <s v="7684" u="1"/>
        <s v="2475" u="1"/>
        <s v="4074" u="1"/>
        <s v="4885" u="1"/>
        <s v="6484" u="1"/>
        <s v="8083" u="1"/>
        <s v="3685" u="1"/>
        <s v="5284" u="1"/>
        <s v="7694" u="1"/>
        <s v="2485" u="1"/>
        <s v="4084" u="1"/>
        <s v="4895" u="1"/>
        <s v="6494" u="1"/>
        <s v="8093" u="1"/>
        <s v="3695" u="1"/>
        <s v="5294" u="1"/>
        <s v="2495" u="1"/>
        <s v="2005" u="1"/>
        <s v="2015" u="1"/>
        <s v="2025" u="1"/>
        <s v="2035" u="1"/>
        <s v="2045" u="1"/>
        <s v="2055" u="1"/>
        <s v="2065" u="1"/>
        <s v="2075" u="1"/>
        <s v="2085" u="1"/>
        <s v="2095" u="1"/>
        <s v="2006" u="1"/>
        <s v="2016" u="1"/>
        <s v="2026" u="1"/>
        <s v="2036" u="1"/>
        <s v="2046" u="1"/>
        <s v="2056" u="1"/>
        <s v="2066" u="1"/>
        <s v="2076" u="1"/>
        <s v="2086" u="1"/>
        <s v="2096" u="1"/>
        <s v="2007" u="1"/>
        <s v="2017" u="1"/>
        <s v="2027" u="1"/>
        <s v="2037" u="1"/>
        <s v="2047" u="1"/>
        <s v="2057" u="1"/>
        <s v="2067" u="1"/>
        <s v="2077" u="1"/>
        <s v="2087" u="1"/>
        <s v="2097" u="1"/>
      </sharedItems>
    </cacheField>
    <cacheField name="idcoleccion" numFmtId="0">
      <sharedItems containsSemiMixedTypes="0" containsString="0" containsNumber="1" containsInteger="1" minValue="990" maxValue="990"/>
    </cacheField>
    <cacheField name="coleccion" numFmtId="0">
      <sharedItems containsBlank="1" count="3">
        <s v="Agencia Información"/>
        <m u="1"/>
        <e v="#REF!" u="1"/>
      </sharedItems>
    </cacheField>
    <cacheField name="sector" numFmtId="0">
      <sharedItems containsBlank="1" count="17">
        <s v="Socioeconómico"/>
        <s v="Educación"/>
        <s v="Mujeres"/>
        <s v="Gobiernos locales"/>
        <s v="Salud"/>
        <s v="Agropecuario y Forestal"/>
        <s v="Social"/>
        <s v="Arte y cultura"/>
        <s v="Vivienda y Construcción"/>
        <s v="Economía"/>
        <s v="Energía"/>
        <s v="Medio Ambiente"/>
        <s v="Transporte y tránsito"/>
        <s v="Política y Gobierno"/>
        <s v="Tecnología, Internet y Telecomunicaciones"/>
        <s v="Turismo"/>
        <m u="1"/>
      </sharedItems>
    </cacheField>
    <cacheField name="Filtro URL" numFmtId="0">
      <sharedItems containsSemiMixedTypes="0" containsString="0" containsNumber="1" containsInteger="1" minValue="0" maxValue="3104"/>
    </cacheField>
    <cacheField name="tema" numFmtId="0">
      <sharedItems containsBlank="1" count="174">
        <s v="Ingreso Promedio Regional"/>
        <s v="PSU"/>
        <s v="Violaciones"/>
        <s v="Ingreso Promedio Nacional"/>
        <s v="Ingreso por etnia"/>
        <s v="Indicadores de Calidad de Educación Municipal"/>
        <s v="Casos Activos "/>
        <s v="Exportaciones"/>
        <s v="Abuso sexual"/>
        <s v="Establecimientos Larga Estadía para Adultos Mayores (ELEAM)"/>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Dinámica de Cambio de Glaciares en temporada seca (Ene-Abr)"/>
        <s v="Dinámica de Cambio de Glaciares en temporada fria (May-Dic)"/>
        <s v="Dinámica de Cambio de Glaciares"/>
        <s v="Superficie de Glaciares"/>
        <s v="Evolución COVID-19" u="1"/>
        <m u="1"/>
        <s v="Emisiones de CO2 " u="1"/>
        <s v="Indicador de Participación y formación ciudadana" u="1"/>
        <s v="Atenciones" u="1"/>
        <s v="Superficie plantada" u="1"/>
        <s v="IPTs Locales (PRC, LU, PS)" u="1"/>
        <s v="Ingresos regionales" u="1"/>
        <s v="Casas de Acogida" u="1"/>
        <s v="Monitoreo de Glaciares"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Homicidio"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esca Industrial y Artesanal" u="1"/>
        <s v="Plan Regional de Desarrollo Urbano (PRDU)" u="1"/>
        <s v="Casos de VIF" u="1"/>
        <s v="Solicitudes autorizadas" u="1"/>
        <s v="Envases" u="1"/>
        <s v="Estado mantención" u="1"/>
        <s v="Ingresos por etnia" u="1"/>
        <s v="Evolución de incendios" u="1"/>
        <s v="Áreas Verdes Mantenidas por Habitante" u="1"/>
        <s v="Clima de Convivencia Escolar" u="1"/>
        <s v="País de destino" u="1"/>
        <s v="Centros de la Mujer" u="1"/>
        <s v="Edad" u="1"/>
        <s v="Generación de ERNC" u="1"/>
        <s v="Delitos de Mayor Connotación Social" u="1"/>
        <s v="Potencia Neta" u="1"/>
        <s v="Emisiones por quema de combustible" u="1"/>
        <s v="Frecuencia de delitos" u="1"/>
        <s v="SIMCE Lectura 6° Básico" u="1"/>
        <s v="Sentencias por delitos de abuso sexual" u="1"/>
        <s v="Homicidio y Violación" u="1"/>
        <s v="Precios de hortalizas" u="1"/>
        <s v="Superficie de plantaciones afectadas por incendios" u="1"/>
        <s v="Taxis" u="1"/>
        <s v="Autoestima Académica y Motivación Escolar" u="1"/>
        <s v="SENAME" u="1"/>
        <s v="Absorciones de CO2" u="1"/>
        <s v="Emisiones netas de CO2" u="1"/>
        <s v="Denuncias" u="1"/>
        <s v="Producción Agrícola" u="1"/>
        <s v="Ubicación" u="1"/>
        <s v="Robo con Violencia o Intimidación" u="1"/>
      </sharedItems>
    </cacheField>
    <cacheField name="contenido" numFmtId="0">
      <sharedItems containsBlank="1" count="97">
        <s v="Ingresos Históricos"/>
        <s v="Métricas de la Educación"/>
        <s v="Violencia Contra la Mujer"/>
        <s v="Gestión Municipal de Educación"/>
        <s v="COVID-19"/>
        <s v="Agricultura"/>
        <s v="Protección Adultos Mayores"/>
        <s v="Evaluación de Programas"/>
        <s v="Forestal"/>
        <s v="Cultura"/>
        <s v="Delincuencia"/>
        <s v="Territorio"/>
        <s v="Empresas"/>
        <s v="Energía"/>
        <s v="Mujer Salud"/>
        <s v="Programas de Salud"/>
        <s v="Vulnerabilidad"/>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Pesca y Acuicultura"/>
        <s v="Economía"/>
        <s v="Pobreza"/>
        <s v="Protección de Menores"/>
        <s v="Glaciares"/>
        <s v="Evolución COVID-19" u="1"/>
        <s v="Licencias de Conducir" u="1"/>
        <m u="1"/>
        <s v="Ingreso por etnia" u="1"/>
        <s v="Instrumentos de Planificación Territorial (IPT)" u="1"/>
        <s v="GEI" u="1"/>
        <s v="SIMCE" u="1"/>
        <s v="Permisos de circulación" u="1"/>
        <s v="Importaciones" u="1"/>
        <s v="Solicitudes edificación"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Laboral" u="1"/>
        <s v="Pesca" u="1"/>
        <s v="Estadísticas vitales" u="1"/>
        <s v="Cáncer Cuello Cervicouterino" u="1"/>
        <s v="Trabajadores" u="1"/>
        <s v="Establecimientos de Apoyo" u="1"/>
        <s v="ERNC" u="1"/>
        <s v="Población" u="1"/>
        <s v="Enfermedades de Transmisión Sexual" u="1"/>
        <s v="Violaciones" u="1"/>
        <s v="Infraestructura" u="1"/>
        <s v="Desembarque" u="1"/>
        <s v="Comercio" u="1"/>
        <s v="Viviendas" u="1"/>
        <s v="Superficie No Habitacional" u="1"/>
        <s v="Precios" u="1"/>
        <s v="Incendios Forestales" u="1"/>
        <s v="Monitoreo" u="1"/>
        <s v="Abuso sexual" u="1"/>
        <s v="Manufacturas" u="1"/>
        <s v="Salud Mental" u="1"/>
        <s v="Ventas" u="1"/>
        <s v="Gases de Efecto Invernadero (GEI)" u="1"/>
        <s v="Delitos de Mayor Connotación Social" u="1"/>
        <s v="Infraestructura Cultural" u="1"/>
        <s v="Calidad de la Educación" u="1"/>
        <s v="Parque vehicular escolar" u="1"/>
        <s v="Parque Vehicular" u="1"/>
        <s v="Atenciones de Salud Violencia de Género" u="1"/>
        <s v="Plantaciones" u="1"/>
        <s v="Métricas de Educación" u="1"/>
        <s v="Superficie Habitacional" u="1"/>
      </sharedItems>
    </cacheField>
    <cacheField name="escala" numFmtId="0">
      <sharedItems containsBlank="1" count="3">
        <s v="País"/>
        <s v="Región"/>
        <m u="1"/>
      </sharedItems>
    </cacheField>
    <cacheField name="territorio" numFmtId="0">
      <sharedItems containsBlank="1" count="18">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m u="1"/>
      </sharedItems>
    </cacheField>
    <cacheField name="Filtro Integrado" numFmtId="0">
      <sharedItems/>
    </cacheField>
    <cacheField name="Muestra" numFmtId="0">
      <sharedItems/>
    </cacheField>
    <cacheField name="temporalidad" numFmtId="0">
      <sharedItems/>
    </cacheField>
    <cacheField name="unidad_medida" numFmtId="0">
      <sharedItems/>
    </cacheField>
    <cacheField name="fuente" numFmtId="0">
      <sharedItems/>
    </cacheField>
    <cacheField name="titulo" numFmtId="0">
      <sharedItems containsBlank="1" count="2559" longText="1">
        <s v="Evolución de Ingreso Promedio Mensual en Chile para el Periodo 2006-2017"/>
        <s v="Evolución de Ingreso Promedio Mensual en la Región de Tarapacá para el Periodo 2006-2017"/>
        <s v="Evolución de Ingreso Promedio Mensual en la Región de Antofagasta para el Periodo 2006-2017"/>
        <s v="Evolución de Ingreso Promedio Mensual en la Región de Atacama para el Periodo 2006-2017"/>
        <s v="Evolución de Ingreso Promedio Mensual en la Región de Coquimbo para el Periodo 2006-2017"/>
        <s v="Evolución de Ingreso Promedio Mensual en la Región de Valparaíso para el Periodo 2006-2017"/>
        <s v="Evolución de Ingreso Promedio Mensual en la Región de O'Higgins para el Periodo 2006-2017"/>
        <s v="Evolución de Ingreso Promedio Mensual en la Región de Maule para el Periodo 2006-2017"/>
        <s v="Evolución de Ingreso Promedio Mensual en la Región del Biobío para el Periodo 2006-2017"/>
        <s v="Evolución de Ingreso Promedio Mensual en la Región de La Araucanía para el Periodo 2006-2017"/>
        <s v="Evolución de Ingreso Promedio Mensual en la Región de Los Lagos para el Periodo 2006-2017"/>
        <s v="Evolución de Ingreso Promedio Mensual en la Región de Aysén para el Periodo 2006-2017"/>
        <s v="Evolución de Ingreso Promedio Mensual en la Región de Magallanes para el Periodo 2006-2017"/>
        <s v="Evolución de Ingreso Promedio Mensual en la Región Metropolitana para el Periodo 2006-2017"/>
        <s v="Evolución de Ingreso Promedio Mensual en la Región de Los Ríos para el Periodo 2006-2017"/>
        <s v="Evolución de Ingreso Promedio Mensual en la Región de Arica y Parinacota para el Periodo 2006-2017"/>
        <s v="Evolución de Ingreso Promedio Mensual en la Región de Ñuble para el Periodo 2006-2017"/>
        <s v="Proporción de Alumnos de 4to Medio con más de 450 puntos en la PSU según dependencia de colegios"/>
        <s v="Proporción de Alumnos de 4to Medio con más de 450 puntos en la PSU según dependencia de colegios en la Región de Tarapacá"/>
        <s v="Proporción de Alumnos de 4to Medio con más de 450 puntos en la PSU según dependencia de colegios en la Región de Antofagasta"/>
        <s v="Proporción de Alumnos de 4to Medio con más de 450 puntos en la PSU según dependencia de colegios en la Región de Atacama"/>
        <s v="Proporción de Alumnos de 4to Medio con más de 450 puntos en la PSU según dependencia de colegios en la Región de Coquimbo"/>
        <s v="Proporción de Alumnos de 4to Medio con más de 450 puntos en la PSU según dependencia de colegios en la Región de Valparaíso"/>
        <s v="Proporción de Alumnos de 4to Medio con más de 450 puntos en la PSU según dependencia de colegios en la Región de O'Higgins"/>
        <s v="Proporción de Alumnos de 4to Medio con más de 450 puntos en la PSU según dependencia de colegios en la Región de Maule"/>
        <s v="Proporción de Alumnos de 4to Medio con más de 450 puntos en la PSU según dependencia de colegios en la Región del Biobío"/>
        <s v="Proporción de Alumnos de 4to Medio con más de 450 puntos en la PSU según dependencia de colegios en la Región de La Araucanía"/>
        <s v="Proporción de Alumnos de 4to Medio con más de 450 puntos en la PSU según dependencia de colegios en la Región de Los Lagos"/>
        <s v="Proporción de Alumnos de 4to Medio con más de 450 puntos en la PSU según dependencia de colegios en la Región de Magallanes"/>
        <s v="Proporción de Alumnos de 4to Medio con más de 450 puntos en la PSU según dependencia de colegios en la Región Metropolitana"/>
        <s v="Proporción de Alumnos de 4to Medio con más de 450 puntos en la PSU según dependencia de colegios en la Región de Los Ríos"/>
        <s v="Proporción de Alumnos de 4to Medio con más de 450 puntos en la PSU según dependencia de colegios en la Región de Arica y Parinacota"/>
        <s v="Proporción de Alumnos de 4to Medio con más de 450 puntos en la PSU según dependencia de colegios en la Región de Ñuble"/>
        <s v="Evolución de denuncias por violación en Chile en el Periodo 2008-2020"/>
        <s v="Evolución de denuncias por violación en la Región de Tarapacá en el Periodo 2008-2020"/>
        <s v="Distribución comunal de denuncias por violación en la Región de Antofagasta en el Periodo 2008-2020"/>
        <s v="Distribución comunal de denuncias por violación en la Región de Atacama en el Periodo 2008-2020"/>
        <s v="Distribución comunal de denuncias por violación en la Región de Coquimbo en el Periodo 2008-2020"/>
        <s v="Distribución comunal de denuncias por violación en la Región de Valparaíso en el Periodo 2008-2020"/>
        <s v="Distribución comunal de denuncias por violación en la Región de O'Higgins en el Periodo 2008-2020"/>
        <s v="Distribución comunal de denuncias por violación en la Región de Maule en el Periodo 2008-2020"/>
        <s v="Distribución comunal de denuncias por violación en la Región del Biobío en el Periodo 2008-2020"/>
        <s v="Distribución comunal de denuncias por violación en la Región de La Araucanía en el Periodo 2008-2020"/>
        <s v="Distribución comunal de denuncias por violación en la Región de Los Lagos en el Periodo 2008-2020"/>
        <s v="Distribución comunal de denuncias por violación en la Región de Aysén en el Periodo 2008-2020"/>
        <s v="Distribución comunal de denuncias por violación en la Región de Magallanes en el Periodo 2008-2020"/>
        <s v="Distribución comunal de denuncias por violación en la Región Metropolitana en el Periodo 2008-2020"/>
        <s v="Distribución comunal de denuncias por violación en la Región de Los Ríos en el Periodo 2008-2020"/>
        <s v="Distribución comunal de denuncias por violación en la Región de Arica y Parinacota en el Periodo 2008-2020"/>
        <s v="Distribución comunal de denuncias por violación en la Región de Ñuble en el Periodo 2008-2020"/>
        <s v="Evolución del Ingreso Promedio Mensual a Escala Nacional (CLP/mes)"/>
        <s v="Evolución de Ingreso Promedio Mensual por Etnia en Chile para el Periodo 2006-2017"/>
        <s v="Evolución de Ingreso Promedio Mensual por Etnia en la Región de Tarapacá para el Periodo 2006-2017"/>
        <s v="Evolución de Ingreso Promedio Mensual por Etnia en la Región de Antofagasta para el Periodo 2006-2017"/>
        <s v="Evolución de Ingreso Promedio Mensual por Etnia en la Región de Atacama para el Periodo 2006-2017"/>
        <s v="Evolución de Ingreso Promedio Mensual por Etnia en la Región de Coquimbo para el Periodo 2006-2017"/>
        <s v="Evolución de Ingreso Promedio Mensual por Etnia en la Región de Valparaíso para el Periodo 2006-2017"/>
        <s v="Evolución de Ingreso Promedio Mensual por Etnia en la Región de O'Higgins para el Periodo 2006-2017"/>
        <s v="Evolución de Ingreso Promedio Mensual por Etnia en la Región de Maule para el Periodo 2006-2017"/>
        <s v="Evolución de Ingreso Promedio Mensual por Etnia en la Región del Biobío para el Periodo 2006-2017"/>
        <s v="Evolución de Ingreso Promedio Mensual por Etnia en la Región de La Araucanía para el Periodo 2006-2017"/>
        <s v="Evolución de Ingreso Promedio Mensual por Etnia en la Región de Los Lagos para el Periodo 2006-2017"/>
        <s v="Evolución de Ingreso Promedio Mensual por Etnia en la Región de Aysén para el Periodo 2006-2017"/>
        <s v="Evolución de Ingreso Promedio Mensual por Etnia en la Región de Magallanes para el Periodo 2006-2017"/>
        <s v="Evolución de Ingreso Promedio Mensual por Etnia en la Región Metropolitana para el Periodo 2006-2017"/>
        <s v="Evolución de Ingreso Promedio Mensual por Etnia en la Región de Los Ríos para el Periodo 2006-2017"/>
        <s v="Evolución de Ingreso Promedio Mensual por Etnia en la Región de Arica y Parinacota para el Periodo 2006-2017"/>
        <s v="Evolución de Ingreso Promedio Mensual por Etnia en la Región de Ñuble para el Periodo 2006-2017"/>
        <s v="Ranking Comunal 2020: Número de Alumnos por Docente en Aula, variación Periodo 2019-2020"/>
        <s v="Ranking Comunal Región de Tarapacá 2020: Número de Alumnos por Docente en Aula, variación Periodo 2019-2020"/>
        <s v="Ranking Comunal Región de Antofagasta 2020: Número de Alumnos por Docente en Aula, variación Periodo 2019-2020"/>
        <s v="Ranking Comunal Región de Atacama 2020: Número de Alumnos por Docente en Aula, variación Periodo 2019-2020"/>
        <s v="Ranking Comunal Región de Coquimbo 2020: Número de Alumnos por Docente en Aula, variación Periodo 2019-2020"/>
        <s v="Ranking Comunal Región de Valparaíso 2020: Número de Alumnos por Docente en Aula, variación Periodo 2019-2020"/>
        <s v="Ranking Comunal Región de O'Higgins 2020: Número de Alumnos por Docente en Aula, variación Periodo 2019-2020"/>
        <s v="Ranking Comunal Región de Maule 2020: Número de Alumnos por Docente en Aula, variación Periodo 2019-2020"/>
        <s v="Ranking Comunal Región del Biobío 2020: Número de Alumnos por Docente en Aula, variación Periodo 2019-2020"/>
        <s v="Ranking Comunal Región de La Araucanía 2020: Número de Alumnos por Docente en Aula, variación Periodo 2019-2020"/>
        <s v="Ranking Comunal Región de Los Lagos 2020: Número de Alumnos por Docente en Aula, variación Periodo 2019-2020"/>
        <s v="Ranking Comunal Región de Aysén 2020: Número de Alumnos por Docente en Aula, variación Periodo 2019-2020"/>
        <s v="Ranking Comunal Región de Magallanes 2020: Número de Alumnos por Docente en Aula, variación Periodo 2019-2020"/>
        <s v="Ranking Comunal Región Metropolitana 2020: Número de Alumnos por Docente en Aula, variación Periodo 2019-2020"/>
        <s v="Ranking Comunal Región de Los Ríos 2020: Número de Alumnos por Docente en Aula, variación Periodo 2019-2020"/>
        <s v="Ranking Comunal Región de Ñuble 2020: Número de Alumnos por Docente en Aula, variación Periodo 2019-2020"/>
        <s v="Evolución de Casos Activos de COVID-19 por 1 millón de habitantes en las comunas de Chile durante el Periodo 2020-2021"/>
        <s v="Evolución de Casos Activos de COVID-19 por 1 millón de habitantes en las comunas de la Región de Tarapacá durante el Periodo 2020-2021"/>
        <s v="Evolución de Casos Activos de COVID-19 por 1 millón de habitantes en las comunas de la Región de Antofagasta durante el Periodo 2020-2021"/>
        <s v="Evolución de Casos Activos de COVID-19 por 1 millón de habitantes en las comunas de la Región de Atacama durante el Periodo 2020-2021"/>
        <s v="Evolución de Casos Activos de COVID-19 por 1 millón de habitantes en las comunas de la Región de Coquimbo durante el Periodo 2020-2021"/>
        <s v="Evolución de Casos Activos de COVID-19 por 1 millón de habitantes en las comunas de la Región de Valparaíso durante el Periodo 2020-2021"/>
        <s v="Evolución de Casos Activos de COVID-19 por 1 millón de habitantes en las comunas de la Región de O'Higgins durante el Periodo 2020-2021"/>
        <s v="Evolución de Casos Activos de COVID-19 por 1 millón de habitantes en las comunas de la Región de Maule durante el Periodo 2020-2021"/>
        <s v="Evolución de Casos Activos de COVID-19 por 1 millón de habitantes en las comunas de la Región del Biobío durante el Periodo 2020-2021"/>
        <s v="Evolución de Casos Activos de COVID-19 por 1 millón de habitantes en las comunas de la Región de La Araucanía durante el Periodo 2020-2021"/>
        <s v="Evolución de Casos Activos de COVID-19 por 1 millón de habitantes en las comunas de la Región de Los Lagos durante el Periodo 2020-2021"/>
        <s v="Evolución de Casos Activos de COVID-19 por 1 millón de habitantes en las comunas de la Región de Aysén durante el Periodo 2020-2021"/>
        <s v="Evolución de Casos Activos de COVID-19 por 1 millón de habitantes en las comunas de la Región de Magallanes durante el Periodo 2020-2021"/>
        <s v="Evolución de Casos Activos de COVID-19 por 1 millón de habitantes en las comunas de la Región Metropolitana durante el Periodo 2020-2021"/>
        <s v="Evolución de Casos Activos de COVID-19 por 1 millón de habitantes en las comunas de la Región de Los Ríos durante el Periodo 2020-2021"/>
        <s v="Evolución de Casos Activos de COVID-19 por 1 millón de habitantes en las comunas de la Región de Arica y Parinacota durante el Periodo 2020-2021"/>
        <s v="Evolución de Casos Activos de COVID-19 por 1 millón de habitantes en las comunas de la Región de Ñuble durante el Periodo 2020-2021"/>
        <s v="Volumen de Exportaciones Frutícolas en Chile, Periodo 2012-2020"/>
        <s v="Volumen acumulado de Exportaciones Frutícolas por país de destino, Periodo 2012-2020"/>
        <s v="Sentencias Dictadas por delitos de Abuso Sexual en Chile para el Periodo 2013-2019"/>
        <s v="Sentencias Dictadas por delitos de Abuso Sexual en la Región de Tarapacá para el Periodo 2013-2019"/>
        <s v="Sentencias Dictadas por delitos de Abuso Sexual en la Región de Antofagasta para el Periodo 2013-2019"/>
        <s v="Sentencias Dictadas por delitos de Abuso Sexual en la Región de Atacama para el Periodo 2013-2019"/>
        <s v="Sentencias Dictadas por delitos de Abuso Sexual en la Región de Coquimbo para el Periodo 2013-2019"/>
        <s v="Sentencias Dictadas por delitos de Abuso Sexual en la Región de Valparaíso para el Periodo 2013-2019"/>
        <s v="Sentencias Dictadas por delitos de Abuso Sexual en la Región de O'Higgins para el Periodo 2013-2019"/>
        <s v="Sentencias Dictadas por delitos de Abuso Sexual en la Región de Maule para el Periodo 2013-2019"/>
        <s v="Sentencias Dictadas por delitos de Abuso Sexual en la Región del Biobío para el Periodo 2013-2019"/>
        <s v="Sentencias Dictadas por delitos de Abuso Sexual en la Región de La Araucanía para el Periodo 2013-2019"/>
        <s v="Sentencias Dictadas por delitos de Abuso Sexual en la Región de Los Lagos para el Periodo 2013-2019"/>
        <s v="Sentencias Dictadas por delitos de Abuso Sexual en la Región de Aysén para el Periodo 2013-2019"/>
        <s v="Sentencias Dictadas por delitos de Abuso Sexual en la Región de Magallanes para el Periodo 2013-2019"/>
        <s v="Sentencias Dictadas por delitos de Abuso Sexual en la Región Metropolitana para el Periodo 2013-2019"/>
        <s v="Sentencias Dictadas por delitos de Abuso Sexual en la Región de Los Ríos para el Periodo 2013-2019"/>
        <s v="Sentencias Dictadas por delitos de Abuso Sexual en la Región de Arica y Parinacota para el Periodo 2013-2019"/>
        <s v="Sentencias Dictadas por delitos de Abuso Sexual en la Región de Ñuble para el Periodo 2013-2019"/>
        <s v="Variación número y cupos en Establecimientos de Larga Estadía para Adultos Mayores (ELEAM) en Chile, Periodo 2020-2021"/>
        <s v="Número de programas/instituciones evaluadas según línea de evaluación (periodo 1997 -2020)"/>
        <s v="Evolución de la Superficie de Plantaciones Forestales Afectadas por Incendios por Comuna"/>
        <s v="Precios diarios de hortalizas en mercados mayoristas de Chile, Año 2021"/>
        <s v="Precios diarios de hortalizas en mercados mayoristas de la Región de Coquimbo, Año 2021"/>
        <s v="Precios diarios de hortalizas en mercados mayoristas de la Región de Valparaíso, Año 2021"/>
        <s v="Precios diarios de hortalizas en mercados mayoristas de la Región de Maule, Año 2021"/>
        <s v="Precios diarios de hortalizas en mercados mayoristas de la Región del Biobío, Año 2021"/>
        <s v="Precios diarios de hortalizas en mercados mayoristas de la Región de La Araucanía, Año 2021"/>
        <s v="Precios diarios de hortalizas en mercados mayoristas de la Región de Los Lagos, Año 2021"/>
        <s v="Precios diarios de hortalizas en mercados mayoristas de la Región Metropolitana, Año 2021"/>
        <s v="Precios diarios de hortalizas en mercados mayoristas de la Región de Arica y Parinacota, Año 2021"/>
        <s v="Precios diarios de hortalizas en mercados mayoristas de la Región de Ñuble, Año 2021"/>
        <s v="Precios diarios de frutas en mercados mayoristas de Chile, Año 2021"/>
        <s v="Precios diarios de frutas en mercados mayoristas de la Región de Coquimbo, Año 2021"/>
        <s v="Precios diarios de frutas en mercados mayoristas de la Región de Valparaíso, Año 2021"/>
        <s v="Precios diarios de frutas en mercados mayoristas de la Región de Maule, Año 2021"/>
        <s v="Precios diarios de frutas en mercados mayoristas de la Región del Biobío, Año 2021"/>
        <s v="Precios diarios de frutas en mercados mayoristas de la Región de La Araucanía, Año 2021"/>
        <s v="Precios diarios de frutas en mercados mayoristas de la Región de Los Lagos, Año 2021"/>
        <s v="Precios diarios de frutas en mercados mayoristas de la Región Metropolitana, Año 2021"/>
        <s v="Precios diarios de frutas en mercados mayoristas de la Región de Arica y Parinacota, Año 2021"/>
        <s v="Precios diarios de frutas en mercados mayoristas de la Región de Ñuble, Año 2021"/>
        <s v="Cantidad de Espacios Culturales por Tipo de Titularidad y Comuna en el año 2021"/>
        <s v="Cantidad de Espacios Culturales en la Región de Tarapacá por Tipo de Titularidad y Comuna en el Año 2021"/>
        <s v="Cantidad de Espacios Culturales en la Región de Antofagasta por Tipo de Titularidad y Comuna en el Año 2021"/>
        <s v="Cantidad de Espacios Culturales en la Región de Atacama por Tipo de Titularidad y Comuna en el Año 2021"/>
        <s v="Cantidad de Espacios Culturales en la Región de Coquimbo por Tipo de Titularidad y Comuna en el Año 2021"/>
        <s v="Cantidad de Espacios Culturales en la Región de Valparaíso por Tipo de Titularidad y Comuna en el Año 2021"/>
        <s v="Cantidad de Espacios Culturales en la Región de O'Higgins por Tipo de Titularidad y Comuna en el Año 2021"/>
        <s v="Cantidad de Espacios Culturales en la Región de Maule por Tipo de Titularidad y Comuna en el Año 2021"/>
        <s v="Cantidad de Espacios Culturales en la Región del Biobío por Tipo de Titularidad y Comuna en el Año 2021"/>
        <s v="Cantidad de Espacios Culturales en la Región de La Araucanía por Tipo de Titularidad y Comuna en el Año 2021"/>
        <s v="Cantidad de Espacios Culturales en la Región de Los Lagos por Tipo de Titularidad y Comuna en el Año 2021"/>
        <s v="Cantidad de Espacios Culturales en la Región de Aysén por Tipo de Titularidad y Comuna en el Año 2021"/>
        <s v="Cantidad de Espacios Culturales en la Región de Magallanes por Tipo de Titularidad y Comuna en el Año 2021"/>
        <s v="Cantidad de Espacios Culturales en la Región Metropolitana por Tipo de Titularidad y Comuna en el Año 2021"/>
        <s v="Cantidad de Espacios Culturales en la Región de Los Ríos por Tipo de Titularidad y Comuna en el Año 2021"/>
        <s v="Cantidad de Espacios Culturales en la Región de Arica y Parinacota por Tipo de Titularidad y Comuna en el Año 2021"/>
        <s v="Cantidad de Espacios Culturales en la Región de Ñuble por Tipo de Titularidad y Comuna en el Año 2021"/>
        <s v="Variación Anual de Frecuencia de Delitos de Mayor Connotación Social en Chile, Periodo 2008-2020"/>
        <s v="Variación Anual de Frecuencia de Delitos de Mayor Connotación Social en la Región de Tarapacá, Periodo 2008-2020"/>
        <s v="Variación Anual de Frecuencia de Delitos de Mayor Connotación Social en la Región de Antofagasta, Periodo 2008-2020"/>
        <s v="Variación Anual de Frecuencia de Delitos de Mayor Connotación Social en la Región de Atacama, Periodo 2008-2020"/>
        <s v="Variación Anual de Frecuencia de Delitos de Mayor Connotación Social en la Región de Coquimbo, Periodo 2008-2020"/>
        <s v="Variación Anual de Frecuencia de Delitos de Mayor Connotación Social en la Región de Valparaíso, Periodo 2008-2020"/>
        <s v="Variación Anual de Frecuencia de Delitos de Mayor Connotación Social en la Región de O'Higgins, Periodo 2008-2020"/>
        <s v="Variación Anual de Frecuencia de Delitos de Mayor Connotación Social en la Región de Maule, Periodo 2008-2020"/>
        <s v="Variación Anual de Frecuencia de Delitos de Mayor Connotación Social en la Región del Biobío, Periodo 2008-2020"/>
        <s v="Variación Anual de Frecuencia de Delitos de Mayor Connotación Social en la Región de La Araucanía, Periodo 2008-2020"/>
        <s v="Variación Anual de Frecuencia de Delitos de Mayor Connotación Social en la Región de Los Lagos, Periodo 2008-2020"/>
        <s v="Variación Anual de Frecuencia de Delitos de Mayor Connotación Social en la Región de Aysén, Periodo 2008-2020"/>
        <s v="Variación Anual de Frecuencia de Delitos de Mayor Connotación Social en la Región de Magallanes, Periodo 2008-2020"/>
        <s v="Variación Anual de Frecuencia de Delitos de Mayor Connotación Social en la Región Metropolitana, Periodo 2008-2020"/>
        <s v="Variación Anual de Frecuencia de Delitos de Mayor Connotación Social en la Región de Los Ríos, Periodo 2008-2020"/>
        <s v="Variación Anual de Frecuencia de Delitos de Mayor Connotación Social en la Región de Arica y Parinacota, Periodo 2008-2020"/>
        <s v="Variación Anual de Frecuencia de Delitos de Mayor Connotación Social en la Región de Ñuble, Periodo 2008-2020"/>
        <s v="Evolución trimestral de Casos de Violencia Intrafamiliar presentados a la Fiscalía, a nivel nacional"/>
        <s v="Evolución trimestral de Casos de Violencia Intrafamiliar presentados frente a la Fiscalía Nacional en Chile"/>
        <s v="Evolución trimestral de Casos de Violencia Intrafamiliar presentados frente a la Fiscalía Nacional en la Región de Tarapacá"/>
        <s v="Evolución trimestral de Casos de Violencia Intrafamiliar presentados frente a la Fiscalía Nacional en la Región de Antofagasta"/>
        <s v="Evolución trimestral de Casos de Violencia Intrafamiliar presentados frente a la Fiscalía Nacional en la Región de Atacama"/>
        <s v="Evolución trimestral de Casos de Violencia Intrafamiliar presentados frente a la Fiscalía Nacional en la Región de Coquimbo"/>
        <s v="Evolución trimestral de Casos de Violencia Intrafamiliar presentados frente a la Fiscalía Nacional en la Región de Valparaíso"/>
        <s v="Evolución trimestral de Casos de Violencia Intrafamiliar presentados frente a la Fiscalía Nacional en la Región de O'Higgins"/>
        <s v="Evolución trimestral de Casos de Violencia Intrafamiliar presentados frente a la Fiscalía Nacional en la Región de Maule"/>
        <s v="Evolución trimestral de Casos de Violencia Intrafamiliar presentados frente a la Fiscalía Nacional en la Región del Biobío"/>
        <s v="Evolución trimestral de Casos de Violencia Intrafamiliar presentados frente a la Fiscalía Nacional en la Región de La Araucanía"/>
        <s v="Evolución trimestral de Casos de Violencia Intrafamiliar presentados frente a la Fiscalía Nacional en la Región de Los Lagos"/>
        <s v="Evolución trimestral de Casos de Violencia Intrafamiliar presentados frente a la Fiscalía Nacional en la Región de Aysén"/>
        <s v="Evolución trimestral de Casos de Violencia Intrafamiliar presentados frente a la Fiscalía Nacional en la Región de Magallanes"/>
        <s v="Evolución trimestral de Casos de Violencia Intrafamiliar presentados frente a la Fiscalía Nacional en la Región Metropolitana"/>
        <s v="Evolución trimestral de Casos de Violencia Intrafamiliar presentados frente a la Fiscalía Nacional en la Región de Los Ríos"/>
        <s v="Evolución trimestral de Casos de Violencia Intrafamiliar presentados frente a la Fiscalía Nacional en la Región de Arica y Parinacota"/>
        <s v="Evolución trimestral de Casos de Violencia Intrafamiliar presentados frente a la Fiscalía Nacional en la Región de Ñuble"/>
        <s v="Cantidad de Denuncias por Violencia Intrafamiliar hacia la mujer, acumuladas en el Periodo 2020-2021"/>
        <s v="Cantidad de Denuncias por Violencia Intrafamiliar hacia la mujer, en la Región de Tarapacá, acumuladas en el Periodo 2020-2021"/>
        <s v="Sentencias Dictadas por delitos de Abuso Sexual en la Región de Antofagasta para el Periodo 2020-2021"/>
        <s v="Sentencias Dictadas por delitos de Abuso Sexual en la Región de Atacama para el Periodo 2020-2021"/>
        <s v="Sentencias Dictadas por delitos de Abuso Sexual en la Región de Coquimbo para el Periodo 2020-2021"/>
        <s v="Sentencias Dictadas por delitos de Abuso Sexual en la Región de Valparaíso para el Periodo 2020-2021"/>
        <s v="Sentencias Dictadas por delitos de Abuso Sexual en la Región de O'Higgins para el Periodo 2020-2021"/>
        <s v="Sentencias Dictadas por delitos de Abuso Sexual en la Región de Maule para el Periodo 2020-2021"/>
        <s v="Sentencias Dictadas por delitos de Abuso Sexual en la Región del Biobío para el Periodo 2020-2021"/>
        <s v="Sentencias Dictadas por delitos de Abuso Sexual en la Región de La Araucanía para el Periodo 2020-2021"/>
        <s v="Sentencias Dictadas por delitos de Abuso Sexual en la Región de Los Lagos para el Periodo 2020-2021"/>
        <s v="Sentencias Dictadas por delitos de Abuso Sexual en la Región de Aysén para el Periodo 2020-2021"/>
        <s v="Sentencias Dictadas por delitos de Abuso Sexual en la Región de Magallanes para el Periodo 2020-2021"/>
        <s v="Sentencias Dictadas por delitos de Abuso Sexual en la Región Metropolitana para el Periodo 2020-2021"/>
        <s v="Sentencias Dictadas por delitos de Abuso Sexual en la Región de Los Ríos para el Periodo 2020-2021"/>
        <s v="Sentencias Dictadas por delitos de Abuso Sexual en la Región de Arica y Parinacota para el Periodo 2020-2021"/>
        <s v="Sentencias Dictadas por delitos de Abuso Sexual en la Región de Ñuble para el Periodo 2020-2021"/>
        <s v="Toneladas de fruta producidas en Chile por tipo de envase utilizado"/>
        <s v="Proporción del destino de la fruta producida por Chile, en el Periodo 2018-2020"/>
        <s v="Proporción del destino de la fruta producida por la Región de Tarapacá, en el Periodo 2018-2020"/>
        <s v="Proporción del destino de la fruta producida por la Región de Atacama, en el Periodo 2018-2020"/>
        <s v="Proporción del destino de la fruta producida por la Región de Coquimbo, en el Periodo 2018-2020"/>
        <s v="Proporción del destino de la fruta producida por la Región de Valparaíso, en el Periodo 2018-2020"/>
        <s v="Proporción del destino de la fruta producida por la Región de O'Higgins, en el Periodo 2018-2020"/>
        <s v="Proporción del destino de la fruta producida por la Región de Maule, en el Periodo 2018-2020"/>
        <s v="Proporción del destino de la fruta producida por la Región del Biobío, en el Periodo 2018-2020"/>
        <s v="Proporción del destino de la fruta producida por la Región de La Araucanía, en el Periodo 2018-2020"/>
        <s v="Proporción del destino de la fruta producida por la Región de Los Lagos, en el Periodo 2018-2020"/>
        <s v="Proporción del destino de la fruta producida por la Región Metropolitana, en el Periodo 2018-2020"/>
        <s v="Proporción del destino de la fruta producida por la Región de Los Ríos, en el Periodo 2018-2020"/>
        <s v="Proporción del destino de la fruta producida por la Región de Arica y Parinacota, en el Periodo 2018-2020"/>
        <s v="Proporción del destino de la fruta producida por la Región de Ñuble, en el Periodo 2018-2020"/>
        <s v="Evolución anual de superficie plantada (ha) de lechuga por región"/>
        <s v="Evolución anual de superficie plantada (ha) de lechuga en la Región de Atacama"/>
        <s v="Evolución anual de superficie plantada (ha) de lechuga en la Región de Coquimbo"/>
        <s v="Evolución anual de superficie plantada (ha) de lechuga en la Región de Valparaíso"/>
        <s v="Evolución anual de superficie plantada (ha) de lechuga en la Región de O'Higgins"/>
        <s v="Evolución anual de superficie plantada (ha) de lechuga en la Región de Maule"/>
        <s v="Evolución anual de superficie plantada (ha) de lechuga en la Región del Biobío"/>
        <s v="Evolución anual de superficie plantada (ha) de lechuga en la Región de La Araucanía"/>
        <s v="Evolución anual de superficie plantada (ha) de lechuga en la Región Metropolitana"/>
        <s v="Evolución anual de superficie plantada (ha) de lechuga en la Región de Arica y Parinacota"/>
        <s v="Evolución anual de superficie plantada (ha) de lechuga en la Región de Ñuble"/>
        <s v="Estado del Plan Regional de Desarrollo Urbano por Región"/>
        <s v="Cantidad de Espacios Culturales con Acceso para Discapacitados en el Año 2021"/>
        <s v="Cantidad de Espacios Culturales con Acceso para Discapacitados en la Región de Tarapacá, en el Año 2021"/>
        <s v="Cantidad de Espacios Culturales con Acceso para Discapacitados en la Región de Antofagasta, en el Año 2021"/>
        <s v="Cantidad de Espacios Culturales con Acceso para Discapacitados en la Región de Atacama, en el Año 2021"/>
        <s v="Cantidad de Espacios Culturales con Acceso para Discapacitados en la Región de Coquimbo, en el Año 2021"/>
        <s v="Cantidad de Espacios Culturales con Acceso para Discapacitados en la Región de Valparaíso, en el Año 2021"/>
        <s v="Cantidad de Espacios Culturales con Acceso para Discapacitados en la Región de O'Higgins, en el Año 2021"/>
        <s v="Cantidad de Espacios Culturales con Acceso para Discapacitados en la Región de Maule, en el Año 2021"/>
        <s v="Cantidad de Espacios Culturales con Acceso para Discapacitados en la Región del Biobío, en el Año 2021"/>
        <s v="Cantidad de Espacios Culturales con Acceso para Discapacitados en la Región de La Araucanía, en el Año 2021"/>
        <s v="Cantidad de Espacios Culturales con Acceso para Discapacitados en la Región de Los Lagos, en el Año 2021"/>
        <s v="Cantidad de Espacios Culturales con Acceso para Discapacitados en la Región de Aysén, en el Año 2021"/>
        <s v="Cantidad de Espacios Culturales con Acceso para Discapacitados en la Región de Magallanes, en el Año 2021"/>
        <s v="Cantidad de Espacios Culturales con Acceso para Discapacitados en la Región Metropolitana, en el Año 2021"/>
        <s v="Cantidad de Espacios Culturales con Acceso para Discapacitados en la Región de Los Ríos, en el Año 2021"/>
        <s v="Cantidad de Espacios Culturales con Acceso para Discapacitados en la Región de Arica y Parinacota, en el Año 2021"/>
        <s v="Cantidad de Espacios Culturales con Acceso para Discapacitados en la Región de Ñuble, en el Año 2021"/>
        <s v="Ventas anuales en UF por rubro en Chile, Año 2019"/>
        <s v="Ventas anuales en UF por rubro en la Región de Tarapacá, Año 2019"/>
        <s v="Ventas anuales en UF por rubro en la Región de Antofagasta, Año 2019"/>
        <s v="Ventas anuales en UF por rubro en la Región de Atacama, Año 2019"/>
        <s v="Ventas anuales en UF por rubro en la Región de Coquimbo, Año 2019"/>
        <s v="Ventas anuales en UF por rubro en la Región de Valparaíso, Año 2019"/>
        <s v="Ventas anuales en UF por rubro en la Región de O'Higgins, Año 2019"/>
        <s v="Ventas anuales en UF por rubro en la Región de Maule, Año 2019"/>
        <s v="Ventas anuales en UF por rubro en la Región del Biobío, Año 2019"/>
        <s v="Ventas anuales en UF por rubro en la Región de La Araucanía, Año 2019"/>
        <s v="Ventas anuales en UF por rubro en la Región de Los Lagos, Año 2019"/>
        <s v="Ventas anuales en UF por rubro en la Región de Aysén, Año 2019"/>
        <s v="Ventas anuales en UF por rubro en la Región de Magallanes, Año 2019"/>
        <s v="Ventas anuales en UF por rubro en la Región Metropolitana, Año 2019"/>
        <s v="Ventas anuales en UF por rubro en la Región de Los Ríos, Año 2019"/>
        <s v="Ventas anuales en UF por rubro en la Región de Arica y Parinacota, Año 2019"/>
        <s v="Ventas anuales en UF por rubro en la Región de Ñuble, Año 2019"/>
        <s v="Cantidad de Centros de la Mujer por Región en el Año 2021"/>
        <s v="Cantidad de Mujeres Ingresadas en Centros de la Mujer en Chile para el Periodo 2014-2019"/>
        <s v="Cantidad de Salidas desde Casas de Acogida en Chile durante el Periodo 2014-2019"/>
        <s v="Proporción por tipo de Salida desde Casas de Acogida en Chile para el Periodo 2014-2019"/>
        <s v="Evolución de las Exportaciones (USD) de frutas desde Chile para el Periodo 2012-2020"/>
        <s v="Evolución de las Exportaciones (USD) de frutas desde la Región de Tarapacá para el Periodo 2012-2020"/>
        <s v="Evolución de las Exportaciones (USD) de frutas desde la Región de Antofagasta para el Periodo 2012-2020"/>
        <s v="Evolución de las Exportaciones (USD) de frutas desde la Región de Atacama para el Periodo 2012-2020"/>
        <s v="Evolución de las Exportaciones (USD) de frutas desde la Región de Coquimbo para el Periodo 2012-2020"/>
        <s v="Evolución de las Exportaciones (USD) de frutas desde la Región de Valparaíso para el Periodo 2012-2020"/>
        <s v="Evolución de las Exportaciones (USD) de frutas desde la Región de O'Higgins para el Periodo 2012-2020"/>
        <s v="Evolución de las Exportaciones (USD) de frutas desde la Región de Maule para el Periodo 2012-2020"/>
        <s v="Evolución de las Exportaciones (USD) de frutas desde la Región del Biobío para el Periodo 2012-2020"/>
        <s v="Evolución de las Exportaciones (USD) de frutas desde la Región de La Araucanía para el Periodo 2012-2020"/>
        <s v="Evolución de las Exportaciones (USD) de frutas desde la Región de Los Lagos para el Periodo 2012-2020"/>
        <s v="Evolución de las Exportaciones (USD) de frutas desde la Región de Aysén para el Periodo 2012-2020"/>
        <s v="Evolución de las Exportaciones (USD) de frutas desde la Región de Magallanes para el Periodo 2012-2020"/>
        <s v="Evolución de las Exportaciones (USD) de frutas desde la Región Metropolitana para el Periodo 2012-2020"/>
        <s v="Evolución de las Exportaciones (USD) de frutas desde la Región de Los Ríos para el Periodo 2012-2020"/>
        <s v="Evolución de las Exportaciones (USD) de frutas desde la Región de Arica y Parinacota para el Periodo 2012-2020"/>
        <s v="Evolución de las Exportaciones (USD) de frutas desde la Región de Ñuble para el Periodo 2012-2020"/>
        <s v="Valor acumulado (USD) de Exportaciones Frutícolas por país de destino, Periodo 2012-2020"/>
        <s v="Capacidad Instalada (MW) de Centrales Eléctricas de Energía Renovable y No Renovable en Chile, para el Año 2021"/>
        <s v="Capacidad Instalada (MW) de Centrales Eléctricas de Energía Renovable y No Renovable en la Región de Tarapacá, para el Año 2021"/>
        <s v="Capacidad Instalada (MW) de Centrales Eléctricas de Energía Renovable y No Renovable en la Región de Antofagasta, para el Año 2021"/>
        <s v="Capacidad Instalada (MW) de Centrales Eléctricas de Energía Renovable y No Renovable en la Región de Atacama, para el Año 2021"/>
        <s v="Capacidad Instalada (MW) de Centrales Eléctricas de Energía Renovable y No Renovable en la Región de Coquimbo, para el Año 2021"/>
        <s v="Capacidad Instalada (MW) de Centrales Eléctricas de Energía Renovable y No Renovable en la Región de Valparaíso, para el Año 2021"/>
        <s v="Capacidad Instalada (MW) de Centrales Eléctricas de Energía Renovable y No Renovable en la Región de O'Higgins, para el Año 2021"/>
        <s v="Capacidad Instalada (MW) de Centrales Eléctricas de Energía Renovable y No Renovable en la Región de Maule, para el Año 2021"/>
        <s v="Capacidad Instalada (MW) de Centrales Eléctricas de Energía Renovable y No Renovable en la Región del Biobío, para el Año 2021"/>
        <s v="Capacidad Instalada (MW) de Centrales Eléctricas de Energía Renovable y No Renovable en la Región de La Araucanía, para el Año 2021"/>
        <s v="Capacidad Instalada (MW) de Centrales Eléctricas de Energía Renovable y No Renovable en la Región de Los Lagos, para el Año 2021"/>
        <s v="Capacidad Instalada (MW) de Centrales Eléctricas de Energía Renovable y No Renovable en la Región de Aysén, para el Año 2021"/>
        <s v="Capacidad Instalada (MW) de Centrales Eléctricas de Energía Renovable y No Renovable en la Región de Magallanes, para el Año 2021"/>
        <s v="Capacidad Instalada (MW) de Centrales Eléctricas de Energía Renovable y No Renovable en la Región Metropolitana, para el Año 2021"/>
        <s v="Capacidad Instalada (MW) de Centrales Eléctricas de Energía Renovable y No Renovable en la Región de Los Ríos, para el Año 2021"/>
        <s v="Capacidad Instalada (MW) de Centrales Eléctricas de Energía Renovable y No Renovable en la Región de Arica y Parinacota, para el Año 2021"/>
        <s v="Capacidad Instalada (MW) de Centrales Eléctricas de Energía Renovable y No Renovable en la Región de Ñuble, para el Año 2021"/>
        <s v="Producción Agrícola (t) en Chile en el Periodo 1979-2020"/>
        <s v="Producción Agrícola (t) en la Región de Coquimbo en el Periodo 1979-2020"/>
        <s v="Producción Agrícola (t) en la Región de Valparaíso en el Periodo 1979-2020"/>
        <s v="Producción Agrícola (t) en la Región de O'Higgins en el Periodo 1979-2020"/>
        <s v="Producción Agrícola (t) en la Región de Maule en el Periodo 1979-2020"/>
        <s v="Producción Agrícola (t) en la Región del Biobío en el Periodo 1979-2020"/>
        <s v="Producción Agrícola (t) en la Región de La Araucanía en el Periodo 1979-2020"/>
        <s v="Producción Agrícola (t) en la Región de Los Lagos en el Periodo 1979-2020"/>
        <s v="Producción Agrícola (t) en la Región Metropolitana en el Periodo 1979-2020"/>
        <s v="Producción Agrícola (t) en la Región de Los Ríos en el Periodo 1979-2020"/>
        <s v="Producción Agrícola (t) en la Región de Ñuble en el Periodo 1979-2020"/>
        <s v="Volumen de Importaciones (t) de frutas tropicales y subtropicales, en el Periodo 2012-2020"/>
        <s v="Volumen de Importaciones (t) por Procesamiento, en el Periodo 2012-2020"/>
        <s v="Evolución de Casos de Cáncer de Cuello Uterino en Chile durante el Periodo 2011-2018"/>
        <s v="Evolución de Población en Control en el Programa de VIH/SIDA según sexo en Chile durante el Periodo 2011-2018"/>
        <s v="Evolución de Población en Control en el Programa de VIH/SIDA según sexo en Región de Tarapacá durante el Periodo 2011-2018"/>
        <s v="Evolución de Población en Control en el Programa de VIH/SIDA según sexo en Región de Antofagasta durante el Periodo 2011-2018"/>
        <s v="Evolución de Población en Control en el Programa de VIH/SIDA según sexo en Región de Atacama durante el Periodo 2011-2018"/>
        <s v="Evolución de Población en Control en el Programa de VIH/SIDA según sexo en Región de Coquimbo durante el Periodo 2011-2018"/>
        <s v="Evolución de Población en Control en el Programa de VIH/SIDA según sexo en Región de Valparaíso durante el Periodo 2011-2018"/>
        <s v="Evolución de Población en Control en el Programa de VIH/SIDA según sexo en Región de O'Higgins durante el Periodo 2011-2018"/>
        <s v="Evolución de Población en Control en el Programa de VIH/SIDA según sexo en Región de Maule durante el Periodo 2011-2018"/>
        <s v="Evolución de Población en Control en el Programa de VIH/SIDA según sexo en Región del Biobío durante el Periodo 2011-2018"/>
        <s v="Evolución de Población en Control en el Programa de VIH/SIDA según sexo en Región de La Araucanía durante el Periodo 2011-2018"/>
        <s v="Evolución de Población en Control en el Programa de VIH/SIDA según sexo en Región de Los Lagos durante el Periodo 2011-2018"/>
        <s v="Evolución de Población en Control en el Programa de VIH/SIDA según sexo en Región de Aysén durante el Periodo 2011-2018"/>
        <s v="Evolución de Población en Control en el Programa de VIH/SIDA según sexo en Región de Magallanes durante el Periodo 2011-2018"/>
        <s v="Evolución de Población en Control en el Programa de VIH/SIDA según sexo en Región Metropolitana durante el Periodo 2011-2018"/>
        <s v="Evolución de Población en Control en el Programa de VIH/SIDA según sexo en Región de Los Ríos durante el Periodo 2011-2018"/>
        <s v="Evolución de Población en Control en el Programa de VIH/SIDA según sexo en Región de Arica y Parinacota durante el Periodo 2011-2018"/>
        <s v="Evolución de Población en Control en el Programa de VIH/SIDA según sexo en Región de Ñuble durante el Periodo 2011-2018"/>
        <s v="Cantidad de comunas por región según grado de vulnerabilidad al cambio climático, Año 2020"/>
        <s v="Cantidad de comunas según grado de vulnerabilidad al cambio climático, Región de Tarapacá, Año 2020"/>
        <s v="Cantidad de comunas según grado de vulnerabilidad al cambio climático, Región de Antofagasta, Año 2020"/>
        <s v="Cantidad de comunas según grado de vulnerabilidad al cambio climático, Región de Atacama, Año 2020"/>
        <s v="Cantidad de comunas según grado de vulnerabilidad al cambio climático, Región de Coquimbo, Año 2020"/>
        <s v="Cantidad de comunas según grado de vulnerabilidad al cambio climático, Región de Valparaíso, Año 2020"/>
        <s v="Cantidad de comunas según grado de vulnerabilidad al cambio climático, Región de O'Higgins, Año 2020"/>
        <s v="Cantidad de comunas según grado de vulnerabilidad al cambio climático, Región de Maule, Año 2020"/>
        <s v="Cantidad de comunas según grado de vulnerabilidad al cambio climático, Región del Biobío, Año 2020"/>
        <s v="Cantidad de comunas según grado de vulnerabilidad al cambio climático, Región de La Araucanía, Año 2020"/>
        <s v="Cantidad de comunas según grado de vulnerabilidad al cambio climático, Región de Los Lagos, Año 2020"/>
        <s v="Cantidad de comunas según grado de vulnerabilidad al cambio climático, Región de Aysén, Año 2020"/>
        <s v="Cantidad de comunas según grado de vulnerabilidad al cambio climático, Región de Magallanes, Año 2020"/>
        <s v="Cantidad de comunas según grado de vulnerabilidad al cambio climático, Región Metropolitana, Año 2020"/>
        <s v="Cantidad de comunas según grado de vulnerabilidad al cambio climático, Región de Los Ríos, Año 2020"/>
        <s v="Cantidad de comunas según grado de vulnerabilidad al cambio climático, Región de Arica y Parinacota, Año 2020"/>
        <s v="Cantidad de comunas según grado de vulnerabilidad al cambio climático, Región de Ñuble, Año 2020"/>
        <s v="Mapa de Comunas con ALTA Vulnerabilidad al Cambio Climático en Chile, Año 2020"/>
        <s v="Ranking de las regiones con mayor Vulnerabilidad al Cambio Climático en Chile, Año 2020"/>
        <s v="Representación geográfica de regiones con la proporción de comunas que poseen IPT's locales, para el Año 2020"/>
        <s v="Cantidad de Personas que se Identifican con un Pueblo Indígena por Pueblo y Sexo, Año 2017"/>
        <s v="Cantidad de defunciones anuales por región en Chile, Periodo 2010-2021"/>
        <s v="Cantidad de defunciones anuales en la Región de Tarapacá, Periodo 2010-2021"/>
        <s v="Cantidad de defunciones anuales en la Región de Antofagasta, Periodo 2010-2021"/>
        <s v="Cantidad de defunciones anuales en la Región de Atacama, Periodo 2010-2021"/>
        <s v="Cantidad de defunciones anuales en la Región de Coquimbo, Periodo 2010-2021"/>
        <s v="Cantidad de defunciones anuales en la Región de Valparaíso, Periodo 2010-2021"/>
        <s v="Cantidad de defunciones anuales en la Región de O'Higgins, Periodo 2010-2021"/>
        <s v="Cantidad de defunciones anuales en la Región de Maule, Periodo 2010-2021"/>
        <s v="Cantidad de defunciones anuales en la Región del Biobío, Periodo 2010-2021"/>
        <s v="Cantidad de defunciones anuales en la Región de La Araucanía, Periodo 2010-2021"/>
        <s v="Cantidad de defunciones anuales en la Región de Los Lagos, Periodo 2010-2021"/>
        <s v="Cantidad de defunciones anuales en la Región de Aysén, Periodo 2010-2021"/>
        <s v="Cantidad de defunciones anuales en la Región de Magallanes, Periodo 2010-2021"/>
        <s v="Cantidad de defunciones anuales en la Región Metropolitana, Periodo 2010-2021"/>
        <s v="Cantidad de defunciones anuales en la Región de Los Ríos, Periodo 2010-2021"/>
        <s v="Cantidad de defunciones anuales en la Región de Arica y Parinacota, Periodo 2010-2021"/>
        <s v="Cantidad de defunciones anuales en la Región de Ñuble, Periodo 2010-2021"/>
        <s v="Cantidad de nacimientos anuales por región en Chile, Periodo 2010-2021"/>
        <s v="Cantidad de nacimientos anuales en la Región de Tarapacá, Periodo 2010-2021"/>
        <s v="Cantidad de nacimientos anuales en la Región de Antofagasta, Periodo 2010-2021"/>
        <s v="Cantidad de nacimientos anuales en la Región de Atacama, Periodo 2010-2021"/>
        <s v="Cantidad de nacimientos anuales en la Región de Coquimbo, Periodo 2010-2021"/>
        <s v="Cantidad de nacimientos anuales en la Región de Valparaíso, Periodo 2010-2021"/>
        <s v="Cantidad de nacimientos anuales en la Región de O'Higgins, Periodo 2010-2021"/>
        <s v="Cantidad de nacimientos anuales en la Región de Maule, Periodo 2010-2021"/>
        <s v="Cantidad de nacimientos anuales en la Región del Biobío, Periodo 2010-2021"/>
        <s v="Cantidad de nacimientos anuales en la Región de La Araucanía, Periodo 2010-2021"/>
        <s v="Cantidad de nacimientos anuales en la Región de Los Lagos, Periodo 2010-2021"/>
        <s v="Cantidad de nacimientos anuales en la Región de Aysén, Periodo 2010-2021"/>
        <s v="Cantidad de nacimientos anuales en la Región de Magallanes, Periodo 2010-2021"/>
        <s v="Cantidad de nacimientos anuales en la Región Metropolitana, Periodo 2010-2021"/>
        <s v="Cantidad de nacimientos anuales en la Región de Los Ríos, Periodo 2010-2021"/>
        <s v="Cantidad de nacimientos anuales en la Región de Arica y Parinacota, Periodo 2010-2021"/>
        <s v="Cantidad de nacimientos anuales en la Región de Ñuble, Periodo 2010-2021"/>
        <s v="Cantidad de permisos de circulación según tipo de vehículo en Chile, Periodo 2008-2019"/>
        <s v="Emisiones (t) de CO2 por Tipo de Combustible en Chile, Periodo 1990-2019"/>
        <s v="Variación Porcentual (%) Anual de Emisiones de CO2 por Quema de Combustible en Chile, Periodo 1990-2019"/>
        <s v="Emisiones per cápita (t) de CO2 por Quema de Combustible en Chile, para el Periodo 1990-2019 y previsión 2020-2025"/>
        <s v="Proporción de CO2 Emitido por Quema de Combustible con respecto al Año Anterior en Chile, Periodo 1990-2019"/>
        <s v="Diferencia porcentual con respecto al año anterior de trabajadores dependientes informados por género, Periodo 2005-2019"/>
        <s v="Número de trabajadores informados por tipo de contrato para cada año en Chile, Periodo 2005-2019"/>
        <s v="Número de trabajadores informados por tipo de contrato para cada año en la Región de Tarapacá, Periodo 2005-2019"/>
        <s v="Número de trabajadores informados por tipo de contrato para cada año en la Región de Antofagasta, Periodo 2005-2019"/>
        <s v="Número de trabajadores informados por tipo de contrato para cada año en la Región de Atacama, Periodo 2005-2019"/>
        <s v="Número de trabajadores informados por tipo de contrato para cada año en la Región de Coquimbo, Periodo 2005-2019"/>
        <s v="Número de trabajadores informados por tipo de contrato para cada año en la Región de Valparaíso, Periodo 2005-2019"/>
        <s v="Número de trabajadores informados por tipo de contrato para cada año en la Región de O'Higgins, Periodo 2005-2019"/>
        <s v="Número de trabajadores informados por tipo de contrato para cada año en la Región de Maule, Periodo 2005-2019"/>
        <s v="Número de trabajadores informados por tipo de contrato para cada año en la Región del Biobío, Periodo 2005-2019"/>
        <s v="Número de trabajadores informados por tipo de contrato para cada año en la Región de La Araucanía, Periodo 2005-2019"/>
        <s v="Número de trabajadores informados por tipo de contrato para cada año en la Región de Los Lagos, Periodo 2005-2019"/>
        <s v="Número de trabajadores informados por tipo de contrato para cada año en la Región de Aysén, Periodo 2005-2019"/>
        <s v="Número de trabajadores informados por tipo de contrato para cada año en la Región de Magallanes, Periodo 2005-2019"/>
        <s v="Número de trabajadores informados por tipo de contrato para cada año en la Región Metropolitana, Periodo 2005-2019"/>
        <s v="Número de trabajadores informados por tipo de contrato para cada año en la Región de Los Ríos, Periodo 2005-2019"/>
        <s v="Número de trabajadores informados por tipo de contrato para cada año en la Región de Arica y Parinacota, Periodo 2005-2019"/>
        <s v="Número de trabajadores informados por tipo de contrato para cada año en la Región de Ñuble, Periodo 2005-2019"/>
        <s v="Evolución de Puntaje SIMCE de Lectura por Dependencia de Establecimientos para 4° Básico en Chile para el Periodo 2015 - 2018"/>
        <s v="Evolución de Puntaje SIMCE de Lectura por Dependencia de Establecimientos para 4° Básico en la Región de Tarapacá para el Periodo 2015 - 2018"/>
        <s v="Evolución de Puntaje SIMCE de Lectura por Dependencia de Establecimientos para 4° Básico en la Región de Antofagasta para el Periodo 2015 - 2018"/>
        <s v="Evolución de Puntaje SIMCE de Lectura por Dependencia de Establecimientos para 4° Básico en la Región de Atacama para el Periodo 2015 - 2018"/>
        <s v="Evolución de Puntaje SIMCE de Lectura por Dependencia de Establecimientos para 4° Básico en la Región de Coquimbo para el Periodo 2015 - 2018"/>
        <s v="Evolución de Puntaje SIMCE de Lectura por Dependencia de Establecimientos para 4° Básico en la Región de Valparaíso para el Periodo 2015 - 2018"/>
        <s v="Evolución de Puntaje SIMCE de Lectura por Dependencia de Establecimientos para 4° Básico en la Región de O'Higgins para el Periodo 2015 - 2018"/>
        <s v="Evolución de Puntaje SIMCE de Lectura por Dependencia de Establecimientos para 4° Básico en la Región de Maule para el Periodo 2015 - 2018"/>
        <s v="Evolución de Puntaje SIMCE de Lectura por Dependencia de Establecimientos para 4° Básico en la Región del Biobío para el Periodo 2015 - 2018"/>
        <s v="Evolución de Puntaje SIMCE de Lectura por Dependencia de Establecimientos para 4° Básico en la Región de La Araucanía para el Periodo 2015 - 2018"/>
        <s v="Evolución de Puntaje SIMCE de Lectura por Dependencia de Establecimientos para 4° Básico en la Región de Los Lagos para el Periodo 2015 - 2018"/>
        <s v="Evolución de Puntaje SIMCE de Lectura por Dependencia de Establecimientos para 4° Básico en la Región de Aysén para el Periodo 2015 - 2018"/>
        <s v="Evolución de Puntaje SIMCE de Lectura por Dependencia de Establecimientos para 4° Básico en la Región de Magallanes para el Periodo 2015 - 2018"/>
        <s v="Evolución de Puntaje SIMCE de Lectura por Dependencia de Establecimientos para 4° Básico en la Región Metropolitana para el Periodo 2015 - 2018"/>
        <s v="Evolución de Puntaje SIMCE de Lectura por Dependencia de Establecimientos para 4° Básico en la Región de Los Ríos para el Periodo 2015 - 2018"/>
        <s v="Evolución de Puntaje SIMCE de Lectura por Dependencia de Establecimientos para 4° Básico en la Región de Arica y Parinacota para el Periodo 2015 - 2018"/>
        <s v="Evolución de Puntaje SIMCE de Lectura por Dependencia de Establecimientos para 4° Básico en la Región de Ñuble para el Periodo 2015 - 2018"/>
        <s v="Evolución de Puntaje SIMCE de Lectura según área urbana o rural para 6° Básico en Chile para el Periodo 2015 - 2018"/>
        <s v="Evolución de Puntaje SIMCE de Lectura según área urbana o rural para 6° Básico en la Región de Tarapacá para el Periodo 2015 - 2018"/>
        <s v="Evolución de Puntaje SIMCE de Lectura según área urbana o rural para 6° Básico en la Región de Antofagasta para el Periodo 2015 - 2018"/>
        <s v="Evolución de Puntaje SIMCE de Lectura según área urbana o rural para 6° Básico en la Región de Atacama para el Periodo 2015 - 2018"/>
        <s v="Evolución de Puntaje SIMCE de Lectura según área urbana o rural para 6° Básico en la Región de Coquimbo para el Periodo 2015 - 2018"/>
        <s v="Evolución de Puntaje SIMCE de Lectura según área urbana o rural para 6° Básico en la Región de Valparaíso para el Periodo 2015 - 2018"/>
        <s v="Evolución de Puntaje SIMCE de Lectura según área urbana o rural para 6° Básico en la Región de O'Higgins para el Periodo 2015 - 2018"/>
        <s v="Evolución de Puntaje SIMCE de Lectura según área urbana o rural para 6° Básico en la Región de Maule para el Periodo 2015 - 2018"/>
        <s v="Evolución de Puntaje SIMCE de Lectura según área urbana o rural para 6° Básico en la Región del Biobío para el Periodo 2015 - 2018"/>
        <s v="Evolución de Puntaje SIMCE de Lectura según área urbana o rural para 6° Básico en la Región de La Araucanía para el Periodo 2015 - 2018"/>
        <s v="Evolución de Puntaje SIMCE de Lectura según área urbana o rural para 6° Básico en la Región de Los Lagos para el Periodo 2015 - 2018"/>
        <s v="Evolución de Puntaje SIMCE de Lectura según área urbana o rural para 6° Básico en la Región de Aysén para el Periodo 2015 - 2018"/>
        <s v="Evolución de Puntaje SIMCE de Lectura según área urbana o rural para 6° Básico en la Región de Magallanes para el Periodo 2015 - 2018"/>
        <s v="Evolución de Puntaje SIMCE de Lectura según área urbana o rural para 6° Básico en la Región Metropolitana para el Periodo 2015 - 2018"/>
        <s v="Evolución de Puntaje SIMCE de Lectura según área urbana o rural para 6° Básico en la Región de Los Ríos para el Periodo 2015 - 2018"/>
        <s v="Evolución de Puntaje SIMCE de Lectura según área urbana o rural para 6° Básico en la Región de Arica y Parinacota para el Periodo 2015 - 2018"/>
        <s v="Evolución de Puntaje SIMCE de Lectura según área urbana o rural para 6° Básico en la Región de Ñuble para el Periodo 2015 - 2018"/>
        <s v="Mapa Puntaje Promedio y Máximo en prueba SIMCE de Lectura de 8vo Básico por Comuna en Chile para el Año 2020"/>
        <s v="Mapa Puntaje Promedio y Máximo en prueba SIMCE de Lectura de 8vo Básico por Comuna en la Región de Tarapacá para el Año 2020"/>
        <s v="Mapa Puntaje Promedio y Máximo en prueba SIMCE de Lectura de 8vo Básico por Comuna en la Región de Antofagasta para el Año 2020"/>
        <s v="Mapa Puntaje Promedio y Máximo en prueba SIMCE de Lectura de 8vo Básico por Comuna en la Región de Atacama para el Año 2020"/>
        <s v="Mapa Puntaje Promedio y Máximo en prueba SIMCE de Lectura de 8vo Básico por Comuna en la Región de Coquimbo para el Año 2020"/>
        <s v="Mapa Puntaje Promedio y Máximo en prueba SIMCE de Lectura de 8vo Básico por Comuna en la Región de Valparaíso para el Año 2020"/>
        <s v="Mapa Puntaje Promedio y Máximo en prueba SIMCE de Lectura de 8vo Básico por Comuna en la Región de O'Higgins para el Año 2020"/>
        <s v="Mapa Puntaje Promedio y Máximo en prueba SIMCE de Lectura de 8vo Básico por Comuna en la Región de Maule para el Año 2020"/>
        <s v="Mapa Puntaje Promedio y Máximo en prueba SIMCE de Lectura de 8vo Básico por Comuna en la Región del Biobío para el Año 2020"/>
        <s v="Mapa Puntaje Promedio y Máximo en prueba SIMCE de Lectura de 8vo Básico por Comuna en la Región de La Araucanía para el Año 2020"/>
        <s v="Mapa Puntaje Promedio y Máximo en prueba SIMCE de Lectura de 8vo Básico por Comuna en la Región de Los Lagos para el Año 2020"/>
        <s v="Mapa Puntaje Promedio y Máximo en prueba SIMCE de Lectura de 8vo Básico por Comuna en la Región de Aysén para el Año 2020"/>
        <s v="Mapa Puntaje Promedio y Máximo en prueba SIMCE de Lectura de 8vo Básico por Comuna en la Región de Magallanes para el Año 2020"/>
        <s v="Mapa Puntaje Promedio y Máximo en prueba SIMCE de Lectura de 8vo Básico por Comuna en la Región Metropolitana para el Año 2020"/>
        <s v="Mapa Puntaje Promedio y Máximo en prueba SIMCE de Lectura de 8vo Básico por Comuna en la Región de Los Ríos para el Año 2020"/>
        <s v="Mapa Puntaje Promedio y Máximo en prueba SIMCE de Lectura de 8vo Básico por Comuna en la Región de Arica y Parinacota para el Año 2020"/>
        <s v="Mapa Puntaje Promedio y Máximo en prueba SIMCE de Lectura de 8vo Básico por Comuna en la Región de Ñuble para el Año 2020"/>
        <s v="Evolución del Indicador de Participación y formación ciudadana por Dependencia de Establecimientos en Chile para el Periodo 2014 - 2019"/>
        <s v="Evolución del Indicador de Participación y formación ciudadana por Dependencia de Establecimientos en la Región de Tarapacá para el Periodo 2014 - 2019"/>
        <s v="Evolución del Indicador de Participación y formación ciudadana por Dependencia de Establecimientos en la Región de Antofagasta para el Periodo 2014 - 2019"/>
        <s v="Evolución del Indicador de Participación y formación ciudadana por Dependencia de Establecimientos en la Región de Atacama para el Periodo 2014 - 2019"/>
        <s v="Evolución del Indicador de Participación y formación ciudadana por Dependencia de Establecimientos en la Región de Coquimbo para el Periodo 2014 - 2019"/>
        <s v="Evolución del Indicador de Participación y formación ciudadana por Dependencia de Establecimientos en la Región de Valparaíso para el Periodo 2014 - 2019"/>
        <s v="Evolución del Indicador de Participación y formación ciudadana por Dependencia de Establecimientos en la Región de O'Higgins para el Periodo 2014 - 2019"/>
        <s v="Evolución del Indicador de Participación y formación ciudadana por Dependencia de Establecimientos en la Región de Maule para el Periodo 2014 - 2019"/>
        <s v="Evolución del Indicador de Participación y formación ciudadana por Dependencia de Establecimientos en la Región del Biobío para el Periodo 2014 - 2019"/>
        <s v="Evolución del Indicador de Participación y formación ciudadana por Dependencia de Establecimientos en la Región de La Araucanía para el Periodo 2014 - 2019"/>
        <s v="Evolución del Indicador de Participación y formación ciudadana por Dependencia de Establecimientos en la Región de Los Lagos para el Periodo 2014 - 2019"/>
        <s v="Evolución del Indicador de Participación y formación ciudadana por Dependencia de Establecimientos en la Región de Aysén para el Periodo 2014 - 2019"/>
        <s v="Evolución del Indicador de Participación y formación ciudadana por Dependencia de Establecimientos en la Región de Magallanes para el Periodo 2014 - 2019"/>
        <s v="Evolución del Indicador de Participación y formación ciudadana por Dependencia de Establecimientos en la Región Metropolitana para el Periodo 2014 - 2019"/>
        <s v="Evolución del Indicador de Participación y formación ciudadana por Dependencia de Establecimientos en la Región de Los Ríos para el Periodo 2014 - 2019"/>
        <s v="Evolución del Indicador de Participación y formación ciudadana por Dependencia de Establecimientos en la Región de Arica y Parinacota para el Periodo 2014 - 2019"/>
        <s v="Evolución del Indicador de Participación y formación ciudadana por Dependencia de Establecimientos en la Región de Ñuble para el Periodo 2014 - 2019"/>
        <s v="Edad de Víctimas de Femicidios en Chile para el Periodo 2010-2021"/>
        <s v="Edad de Víctimas de Femicidios en la Región de Tarapacá para el Periodo 2010-2021"/>
        <s v="Edad de Víctimas de Femicidios en la Región de Antofagasta para el Periodo 2010-2021"/>
        <s v="Edad de Víctimas de Femicidios en la Región de Atacama para el Periodo 2010-2021"/>
        <s v="Edad de Víctimas de Femicidios en la Región de Coquimbo para el Periodo 2010-2021"/>
        <s v="Edad de Víctimas de Femicidios en la Región de Valparaíso para el Periodo 2010-2021"/>
        <s v="Edad de Víctimas de Femicidios en la Región de O'Higgins para el Periodo 2010-2021"/>
        <s v="Edad de Víctimas de Femicidios en la Región de Maule para el Periodo 2010-2021"/>
        <s v="Edad de Víctimas de Femicidios en la Región del Biobío para el Periodo 2010-2021"/>
        <s v="Edad de Víctimas de Femicidios en la Región de La Araucanía para el Periodo 2010-2021"/>
        <s v="Edad de Víctimas de Femicidios en la Región de Los Lagos para el Periodo 2010-2021"/>
        <s v="Edad de Víctimas de Femicidios en la Región de Aysén para el Periodo 2010-2021"/>
        <s v="Edad de Víctimas de Femicidios en la Región de Magallanes para el Periodo 2010-2021"/>
        <s v="Edad de Víctimas de Femicidios en la Región Metropolitana para el Periodo 2010-2021"/>
        <s v="Edad de Víctimas de Femicidios en la Región de Los Ríos para el Periodo 2010-2021"/>
        <s v="Edad de Víctimas de Femicidios en la Región de Arica y Parinacota para el Periodo 2010-2021"/>
        <s v="Edad de Víctimas de Femicidios en la Región de Ñuble para el Periodo 2010-2021"/>
        <s v="Relación Víctima-Femicida en Chile para el Periodo 2010-2021"/>
        <s v="Relación Víctima-Femicida en la Región de Tarapacá para el Periodo 2010-2021"/>
        <s v="Relación Víctima-Femicida en la Región de Antofagasta para el Periodo 2010-2021"/>
        <s v="Relación Víctima-Femicida en la Región de Atacama para el Periodo 2010-2021"/>
        <s v="Relación Víctima-Femicida en la Región de Coquimbo para el Periodo 2010-2021"/>
        <s v="Relación Víctima-Femicida en la Región de Valparaíso para el Periodo 2010-2021"/>
        <s v="Relación Víctima-Femicida en la Región de O'Higgins para el Periodo 2010-2021"/>
        <s v="Relación Víctima-Femicida en la Región de Maule para el Periodo 2010-2021"/>
        <s v="Relación Víctima-Femicida en la Región del Biobío para el Periodo 2010-2021"/>
        <s v="Relación Víctima-Femicida en la Región de La Araucanía para el Periodo 2010-2021"/>
        <s v="Relación Víctima-Femicida en la Región de Los Lagos para el Periodo 2010-2021"/>
        <s v="Relación Víctima-Femicida en la Región de Aysén para el Periodo 2010-2021"/>
        <s v="Relación Víctima-Femicida en la Región de Magallanes para el Periodo 2010-2021"/>
        <s v="Relación Víctima-Femicida en la Región Metropolitana para el Periodo 2010-2021"/>
        <s v="Relación Víctima-Femicida en la Región de Los Ríos para el Periodo 2010-2021"/>
        <s v="Relación Víctima-Femicida en la Región de Arica y Parinacota para el Periodo 2010-2021"/>
        <s v="Relación Víctima-Femicida en la Región de Ñuble para el Periodo 2010-2021"/>
        <s v="Evolución Comparada Anual de Femicidios en Chile para el Periodo 2018-2021"/>
        <s v="Evolución de Femicidios por mes en Chile para el Periodo 2010-2021"/>
        <s v="Evolución de Parque Vehicular Escolar por Región en Chile para el Periodo 2014-2021"/>
        <s v="Detalle de programas e instituciones evaluados por ministerio en Chile durante el Periodo 1997-2020"/>
        <s v="Evolución de número de fallecidos por 1 millón de habitantes por comuna en Chile durante el Periodo 2020-2021"/>
        <s v="Evolución de número de fallecidos por 1 millón de habitantes por comuna en la Región de Tarapacá durante el Periodo 2020-2021"/>
        <s v="Evolución de número de fallecidos por 1 millón de habitantes por comuna en la Región de Antofagasta durante el Periodo 2020-2021"/>
        <s v="Evolución de número de fallecidos por 1 millón de habitantes por comuna en la Región de Atacama durante el Periodo 2020-2021"/>
        <s v="Evolución de número de fallecidos por 1 millón de habitantes por comuna en la Región de Coquimbo durante el Periodo 2020-2021"/>
        <s v="Evolución de número de fallecidos por 1 millón de habitantes por comuna en la Región de Valparaíso durante el Periodo 2020-2021"/>
        <s v="Evolución de número de fallecidos por 1 millón de habitantes por comuna en la Región de O'Higgins durante el Periodo 2020-2021"/>
        <s v="Evolución de número de fallecidos por 1 millón de habitantes por comuna en la Región de Maule durante el Periodo 2020-2021"/>
        <s v="Evolución de número de fallecidos por 1 millón de habitantes por comuna en la Región del Biobío durante el Periodo 2020-2021"/>
        <s v="Evolución de número de fallecidos por 1 millón de habitantes por comuna en la Región de La Araucanía durante el Periodo 2020-2021"/>
        <s v="Evolución de número de fallecidos por 1 millón de habitantes por comuna en la Región de Los Lagos durante el Periodo 2020-2021"/>
        <s v="Evolución de número de fallecidos por 1 millón de habitantes por comuna en la Región de Aysén durante el Periodo 2020-2021"/>
        <s v="Evolución de número de fallecidos por 1 millón de habitantes por comuna en la Región de Magallanes durante el Periodo 2020-2021"/>
        <s v="Evolución de número de fallecidos por 1 millón de habitantes por comuna en la Región Metropolitana durante el Periodo 2020-2021"/>
        <s v="Evolución de número de fallecidos por 1 millón de habitantes por comuna en la Región de Los Ríos durante el Periodo 2020-2021"/>
        <s v="Evolución de número de fallecidos por 1 millón de habitantes por comuna en la Región de Arica y Parinacota durante el Periodo 2020-2021"/>
        <s v="Evolución de número de fallecidos por 1 millón de habitantes por comuna en la Región de Ñuble durante el Periodo 2020-2021"/>
        <s v="Evolución de Puntaje SIMCE de Lectura por Dependencia de Establecimientos para 2° Medio en Chile, Periodo 2015-2018"/>
        <s v="Evolución de Puntaje SIMCE de Lectura por Dependencia de Establecimientos para 2° Medio en la Región de Tarapacá, Periodo 2015-2018"/>
        <s v="Evolución de Puntaje SIMCE de Lectura por Dependencia de Establecimientos para 2° Medio en la Región de Antofagasta, Periodo 2015-2018"/>
        <s v="Evolución de Puntaje SIMCE de Lectura por Dependencia de Establecimientos para 2° Medio en la Región de Atacama, Periodo 2015-2018"/>
        <s v="Evolución de Puntaje SIMCE de Lectura por Dependencia de Establecimientos para 2° Medio en la Región de Coquimbo, Periodo 2015-2018"/>
        <s v="Evolución de Puntaje SIMCE de Lectura por Dependencia de Establecimientos para 2° Medio en la Región de Valparaíso, Periodo 2015-2018"/>
        <s v="Evolución de Puntaje SIMCE de Lectura por Dependencia de Establecimientos para 2° Medio en la Región de O'Higgins, Periodo 2015-2018"/>
        <s v="Evolución de Puntaje SIMCE de Lectura por Dependencia de Establecimientos para 2° Medio en la Región de Maule, Periodo 2015-2018"/>
        <s v="Evolución de Puntaje SIMCE de Lectura por Dependencia de Establecimientos para 2° Medio en la Región del Biobío, Periodo 2015-2018"/>
        <s v="Evolución de Puntaje SIMCE de Lectura por Dependencia de Establecimientos para 2° Medio en la Región de La Araucanía, Periodo 2015-2018"/>
        <s v="Evolución de Puntaje SIMCE de Lectura por Dependencia de Establecimientos para 2° Medio en la Región de Los Lagos, Periodo 2015-2018"/>
        <s v="Evolución de Puntaje SIMCE de Lectura por Dependencia de Establecimientos para 2° Medio en la Región de Aysén, Periodo 2015-2018"/>
        <s v="Evolución de Puntaje SIMCE de Lectura por Dependencia de Establecimientos para 2° Medio en la Región de Magallanes, Periodo 2015-2018"/>
        <s v="Evolución de Puntaje SIMCE de Lectura por Dependencia de Establecimientos para 2° Medio en la Región Metropolitana, Periodo 2015-2018"/>
        <s v="Evolución de Puntaje SIMCE de Lectura por Dependencia de Establecimientos para 2° Medio en la Región de Los Ríos, Periodo 2015-2018"/>
        <s v="Evolución de Puntaje SIMCE de Lectura por Dependencia de Establecimientos para 2° Medio en la Región de Arica y Parinacota, Periodo 2015-2018"/>
        <s v="Evolución de Puntaje SIMCE de Lectura por Dependencia de Establecimientos para 2° Medio en la Región de Ñuble, Periodo 2015-2018"/>
        <s v="Evolución de Puntaje SIMCE de Matemáticas por Dependencia de Establecimientos para 2° Medio en Chile, Periodo 2015-2018"/>
        <s v="Evolución de Puntaje SIMCE de Matemáticas por Dependencia de Establecimientos para 2° Medio en la Región de Tarapacá, Periodo 2015-2018"/>
        <s v="Evolución de Puntaje SIMCE de Matemáticas por Dependencia de Establecimientos para 2° Medio en la Región de Antofagasta, Periodo 2015-2018"/>
        <s v="Evolución de Puntaje SIMCE de Matemáticas por Dependencia de Establecimientos para 2° Medio en la Región de Atacama, Periodo 2015-2018"/>
        <s v="Evolución de Puntaje SIMCE de Matemáticas por Dependencia de Establecimientos para 2° Medio en la Región de Coquimbo, Periodo 2015-2018"/>
        <s v="Evolución de Puntaje SIMCE de Matemáticas por Dependencia de Establecimientos para 2° Medio en la Región de Valparaíso, Periodo 2015-2018"/>
        <s v="Evolución de Puntaje SIMCE de Matemáticas por Dependencia de Establecimientos para 2° Medio en la Región de O'Higgins, Periodo 2015-2018"/>
        <s v="Evolución de Puntaje SIMCE de Matemáticas por Dependencia de Establecimientos para 2° Medio en la Región de Maule, Periodo 2015-2018"/>
        <s v="Evolución de Puntaje SIMCE de Matemáticas por Dependencia de Establecimientos para 2° Medio en la Región del Biobío, Periodo 2015-2018"/>
        <s v="Evolución de Puntaje SIMCE de Matemáticas por Dependencia de Establecimientos para 2° Medio en la Región de La Araucanía, Periodo 2015-2018"/>
        <s v="Evolución de Puntaje SIMCE de Matemáticas por Dependencia de Establecimientos para 2° Medio en la Región de Los Lagos, Periodo 2015-2018"/>
        <s v="Evolución de Puntaje SIMCE de Matemáticas por Dependencia de Establecimientos para 2° Medio en la Región de Aysén, Periodo 2015-2018"/>
        <s v="Evolución de Puntaje SIMCE de Matemáticas por Dependencia de Establecimientos para 2° Medio en la Región de Magallanes, Periodo 2015-2018"/>
        <s v="Evolución de Puntaje SIMCE de Matemáticas por Dependencia de Establecimientos para 2° Medio en la Región Metropolitana, Periodo 2015-2018"/>
        <s v="Evolución de Puntaje SIMCE de Matemáticas por Dependencia de Establecimientos para 2° Medio en la Región de Los Ríos, Periodo 2015-2018"/>
        <s v="Evolución de Puntaje SIMCE de Matemáticas por Dependencia de Establecimientos para 2° Medio en la Región de Arica y Parinacota, Periodo 2015-2018"/>
        <s v="Evolución de Puntaje SIMCE de Matemáticas por Dependencia de Establecimientos para 2° Medio en la Región de Ñuble, Periodo 2015-2018"/>
        <s v="Resumen de Indicadores de Desarrollo Personal y Social por Dependencia de Establecimiento por comuna en Chile, Periodo 2014-2019"/>
        <s v="Resumen de Indicadores de Desarrollo Personal y Social por Dependencia de Establecimiento por comuna en la Región de Tarapacá, Periodo 2014-2019"/>
        <s v="Resumen de Indicadores de Desarrollo Personal y Social por Dependencia de Establecimiento por comuna en la Región de Antofagasta, Periodo 2014-2019"/>
        <s v="Resumen de Indicadores de Desarrollo Personal y Social por Dependencia de Establecimiento por comuna en la Región de Atacama, Periodo 2014-2019"/>
        <s v="Resumen de Indicadores de Desarrollo Personal y Social por Dependencia de Establecimiento por comuna en la Región de Coquimbo, Periodo 2014-2019"/>
        <s v="Resumen de Indicadores de Desarrollo Personal y Social por Dependencia de Establecimiento por comuna en la Región de Valparaíso, Periodo 2014-2019"/>
        <s v="Resumen de Indicadores de Desarrollo Personal y Social por Dependencia de Establecimiento por comuna en la Región de O'Higgins, Periodo 2014-2019"/>
        <s v="Resumen de Indicadores de Desarrollo Personal y Social por Dependencia de Establecimiento por comuna en la Región de Maule, Periodo 2014-2019"/>
        <s v="Resumen de Indicadores de Desarrollo Personal y Social por Dependencia de Establecimiento por comuna en la Región del Biobío, Periodo 2014-2019"/>
        <s v="Resumen de Indicadores de Desarrollo Personal y Social por Dependencia de Establecimiento por comuna en la Región de La Araucanía, Periodo 2014-2019"/>
        <s v="Resumen de Indicadores de Desarrollo Personal y Social por Dependencia de Establecimiento por comuna en la Región de Los Lagos, Periodo 2014-2019"/>
        <s v="Resumen de Indicadores de Desarrollo Personal y Social por Dependencia de Establecimiento por comuna en la Región de Aysén, Periodo 2014-2019"/>
        <s v="Resumen de Indicadores de Desarrollo Personal y Social por Dependencia de Establecimiento por comuna en la Región de Magallanes, Periodo 2014-2019"/>
        <s v="Resumen de Indicadores de Desarrollo Personal y Social por Dependencia de Establecimiento por comuna en la Región Metropolitana, Periodo 2014-2019"/>
        <s v="Resumen de Indicadores de Desarrollo Personal y Social por Dependencia de Establecimiento por comuna en la Región de Los Ríos, Periodo 2014-2019"/>
        <s v="Resumen de Indicadores de Desarrollo Personal y Social por Dependencia de Establecimiento por comuna en la Región de Arica y Parinacota, Periodo 2014-2019"/>
        <s v="Resumen de Indicadores de Desarrollo Personal y Social por Dependencia de Establecimiento por comuna en la Región de Ñuble, Periodo 2014-2019"/>
        <s v="Mapa de distribución geográfica en Chile del Indicador de Autoestima Académica y Motivación Escolar, Periodo 2014-2019"/>
        <s v="Mapa de distribución geográfica en la Región de Tarapacá del Indicador de Autoestima Académica y Motivación Escolar, Periodo 2014-2019"/>
        <s v="Mapa de distribución geográfica en la Región de Antofagasta del Indicador de Autoestima Académica y Motivación Escolar, Periodo 2014-2019"/>
        <s v="Mapa de distribución geográfica en la Región de Atacama del Indicador de Autoestima Académica y Motivación Escolar, Periodo 2014-2019"/>
        <s v="Mapa de distribución geográfica en la Región de Coquimbo del Indicador de Autoestima Académica y Motivación Escolar, Periodo 2014-2019"/>
        <s v="Mapa de distribución geográfica en la Región de Valparaíso del Indicador de Autoestima Académica y Motivación Escolar, Periodo 2014-2019"/>
        <s v="Mapa de distribución geográfica en la Región de O'Higgins del Indicador de Autoestima Académica y Motivación Escolar, Periodo 2014-2019"/>
        <s v="Mapa de distribución geográfica en la Región de Maule del Indicador de Autoestima Académica y Motivación Escolar, Periodo 2014-2019"/>
        <s v="Mapa de distribución geográfica en la Región del Biobío del Indicador de Autoestima Académica y Motivación Escolar, Periodo 2014-2019"/>
        <s v="Mapa de distribución geográfica en la Región de La Araucanía del Indicador de Autoestima Académica y Motivación Escolar, Periodo 2014-2019"/>
        <s v="Mapa de distribución geográfica en la Región de Los Lagos del Indicador de Autoestima Académica y Motivación Escolar, Periodo 2014-2019"/>
        <s v="Mapa de distribución geográfica en la Región de Aysén del Indicador de Autoestima Académica y Motivación Escolar, Periodo 2014-2019"/>
        <s v="Mapa de distribución geográfica en la Región de Magallanes del Indicador de Autoestima Académica y Motivación Escolar, Periodo 2014-2019"/>
        <s v="Mapa de distribución geográfica en la Región Metropolitana del Indicador de Autoestima Académica y Motivación Escolar, Periodo 2014-2019"/>
        <s v="Mapa de distribución geográfica en la Región de Los Ríos del Indicador de Autoestima Académica y Motivación Escolar, Periodo 2014-2019"/>
        <s v="Mapa de distribución geográfica en la Región de Arica y Parinacota del Indicador de Autoestima Académica y Motivación Escolar, Periodo 2014-2019"/>
        <s v="Mapa de distribución geográfica en la Región de Ñuble del Indicador de Autoestima Académica y Motivación Escolar, Periodo 2014-2019"/>
        <s v="Evolución del Indicador de Clima de Convivencia Escolar por Dependencia de Establecimientos en Chile, Periodo 2014-2019"/>
        <s v="Evolución del Indicador de Clima de Convivencia Escolar por Dependencia de Establecimientos en la Región de Tarapacá, Periodo 2014-2019"/>
        <s v="Evolución del Indicador de Clima de Convivencia Escolar por Dependencia de Establecimientos en la Región de Antofagasta, Periodo 2014-2019"/>
        <s v="Evolución del Indicador de Clima de Convivencia Escolar por Dependencia de Establecimientos en la Región de Atacama, Periodo 2014-2019"/>
        <s v="Evolución del Indicador de Clima de Convivencia Escolar por Dependencia de Establecimientos en la Región de Coquimbo, Periodo 2014-2019"/>
        <s v="Evolución del Indicador de Clima de Convivencia Escolar por Dependencia de Establecimientos en la Región de Valparaíso, Periodo 2014-2019"/>
        <s v="Evolución del Indicador de Clima de Convivencia Escolar por Dependencia de Establecimientos en la Región de O'Higgins, Periodo 2014-2019"/>
        <s v="Evolución del Indicador de Clima de Convivencia Escolar por Dependencia de Establecimientos en la Región de Maule, Periodo 2014-2019"/>
        <s v="Evolución del Indicador de Clima de Convivencia Escolar por Dependencia de Establecimientos en la Región del Biobío, Periodo 2014-2019"/>
        <s v="Evolución del Indicador de Clima de Convivencia Escolar por Dependencia de Establecimientos en la Región de La Araucanía, Periodo 2014-2019"/>
        <s v="Evolución del Indicador de Clima de Convivencia Escolar por Dependencia de Establecimientos en la Región de Los Lagos, Periodo 2014-2019"/>
        <s v="Evolución del Indicador de Clima de Convivencia Escolar por Dependencia de Establecimientos en la Región de Aysén, Periodo 2014-2019"/>
        <s v="Evolución del Indicador de Clima de Convivencia Escolar por Dependencia de Establecimientos en la Región de Magallanes, Periodo 2014-2019"/>
        <s v="Evolución del Indicador de Clima de Convivencia Escolar por Dependencia de Establecimientos en la Región Metropolitana, Periodo 2014-2019"/>
        <s v="Evolución del Indicador de Clima de Convivencia Escolar por Dependencia de Establecimientos en la Región de Los Ríos, Periodo 2014-2019"/>
        <s v="Evolución del Indicador de Clima de Convivencia Escolar por Dependencia de Establecimientos en la Región de Arica y Parinacota, Periodo 2014-2019"/>
        <s v="Evolución del Indicador de Clima de Convivencia Escolar por Dependencia de Establecimientos en la Región de Ñuble, Periodo 2014-2019"/>
        <s v="Superficie de Solicitudes de Edificación Autorizadas por Categoría en Chile, Periodo 2020-2021"/>
        <s v="Número trabajadores dependientes informados por género según tamaño de empresa en Chile, Año 2019"/>
        <s v="Número trabajadores dependientes informados por sexo según tamaño de empresa en la Región de Tarapacá, Año 2019"/>
        <s v="Número trabajadores dependientes informados por sexo según tamaño de empresa en la Región de Antofagasta, Año 2019"/>
        <s v="Número trabajadores dependientes informados por sexo según tamaño de empresa en la Región de Atacama, Año 2019"/>
        <s v="Número trabajadores dependientes informados por sexo según tamaño de empresa en la Región de Coquimbo, Año 2019"/>
        <s v="Número trabajadores dependientes informados por sexo según tamaño de empresa en la Región de Valparaíso, Año 2019"/>
        <s v="Número trabajadores dependientes informados por sexo según tamaño de empresa en la Región de O'Higgins, Año 2019"/>
        <s v="Número trabajadores dependientes informados por sexo según tamaño de empresa en la Región de Maule, Año 2019"/>
        <s v="Número trabajadores dependientes informados por sexo según tamaño de empresa en la Región del Biobío, Año 2019"/>
        <s v="Número trabajadores dependientes informados por sexo según tamaño de empresa en la Región de La Araucanía, Año 2019"/>
        <s v="Número trabajadores dependientes informados por sexo según tamaño de empresa en la Región de Los Lagos, Año 2019"/>
        <s v="Número trabajadores dependientes informados por sexo según tamaño de empresa en la Región de Aysén, Año 2019"/>
        <s v="Número trabajadores dependientes informados por sexo según tamaño de empresa en la Región de Magallanes, Año 2019"/>
        <s v="Número trabajadores dependientes informados por sexo según tamaño de empresa en la Región Metropolitana, Año 2019"/>
        <s v="Número trabajadores dependientes informados por sexo según tamaño de empresa en la Región de Los Ríos, Año 2019"/>
        <s v="Número trabajadores dependientes informados por sexo según tamaño de empresa en la Región de Arica y Parinacota, Año 2019"/>
        <s v="Número trabajadores dependientes informados por sexo según tamaño de empresa en la Región de Ñuble, Año 2019"/>
        <s v="Renta neta informada de trabajadoras en Chile, Periodo 2005-2019"/>
        <s v="Renta neta informada de trabajadoras en la Región de Tarapacá, Periodo 2005-2019"/>
        <s v="Renta neta informada de trabajadoras en la Región de Antofagasta, Periodo 2005-2019"/>
        <s v="Renta neta informada de trabajadoras en la Región de Atacama, Periodo 2005-2019"/>
        <s v="Renta neta informada de trabajadoras en la Región de Coquimbo, Periodo 2005-2019"/>
        <s v="Renta neta informada de trabajadoras en la Región de Valparaíso, Periodo 2005-2019"/>
        <s v="Renta neta informada de trabajadoras en la Región de O'Higgins, Periodo 2005-2019"/>
        <s v="Renta neta informada de trabajadoras en la Región de Maule, Periodo 2005-2019"/>
        <s v="Renta neta informada de trabajadoras en la Región del Biobío, Periodo 2005-2019"/>
        <s v="Renta neta informada de trabajadoras en la Región de La Araucanía, Periodo 2005-2019"/>
        <s v="Renta neta informada de trabajadoras en la Región de Los Lagos, Periodo 2005-2019"/>
        <s v="Renta neta informada de trabajadoras en la Región de Aysén, Periodo 2005-2019"/>
        <s v="Renta neta informada de trabajadoras en la Región de Magallanes, Periodo 2005-2019"/>
        <s v="Renta neta informada de trabajadoras en la Región Metropolitana, Periodo 2005-2019"/>
        <s v="Renta neta informada de trabajadoras en la Región de Los Ríos, Periodo 2005-2019"/>
        <s v="Renta neta informada de trabajadoras en la Región de Arica y Parinacota, Periodo 2005-2019"/>
        <s v="Renta neta informada de trabajadoras en la Región de Ñuble, Periodo 2005-2019"/>
        <s v="Número de Empresas por Tamaño según ventas en Chile, Periodo 2005-2019"/>
        <s v="Número de Empresas por Tamaño según ventas en la Región de Tarapacá, Periodo 2005-2019"/>
        <s v="Número de Empresas por Tamaño según ventas en la Región de Antofagasta, Periodo 2005-2019"/>
        <s v="Número de Empresas por Tamaño según ventas en la Región de Atacama, Periodo 2005-2019"/>
        <s v="Número de Empresas por Tamaño según ventas en la Región de Coquimbo, Periodo 2005-2019"/>
        <s v="Número de Empresas por Tamaño según ventas en la Región de Valparaíso, Periodo 2005-2019"/>
        <s v="Número de Empresas por Tamaño según ventas en la Región de O'Higgins, Periodo 2005-2019"/>
        <s v="Número de Empresas por Tamaño según ventas en la Región de Maule, Periodo 2005-2019"/>
        <s v="Número de Empresas por Tamaño según ventas en la Región del Biobío, Periodo 2005-2019"/>
        <s v="Número de Empresas por Tamaño según ventas en la Región de La Araucanía, Periodo 2005-2019"/>
        <s v="Número de Empresas por Tamaño según ventas en la Región de Los Lagos, Periodo 2005-2019"/>
        <s v="Número de Empresas por Tamaño según ventas en la Región de Aysén, Periodo 2005-2019"/>
        <s v="Número de Empresas por Tamaño según ventas en la Región de Magallanes, Periodo 2005-2019"/>
        <s v="Número de Empresas por Tamaño según ventas en la Región Metropolitana, Periodo 2005-2019"/>
        <s v="Número de Empresas por Tamaño según ventas en la Región de Los Ríos, Periodo 2005-2019"/>
        <s v="Número de Empresas por Tamaño según ventas en la Región de Arica y Parinacota, Periodo 2005-2019"/>
        <s v="Número de Empresas por Tamaño según ventas en la Región de Ñuble, Periodo 2005-2019"/>
        <s v="Población en Control del Programa de Salud Cardiovascular en Chile, Año 2018"/>
        <s v="Mapa de Absorciones (kt) de CO2 por Región, Chile, Periodo 1990-2018"/>
        <s v="Promedio de Emisiones Netas (kt) de CO2 equivalente, Chile, Periodo 1990-2018"/>
        <s v="Emisiones (kt) de CO2 equivalente por Gas en Chile, durante el Periodo 1990-2018"/>
        <s v="Emisiones y Absorciones (kt) de CO2 equivalente por Subsector en Chile, para el Año 2018"/>
        <s v="Número de trabajadores dependientes por sexo, en el rubro B-Explotación minera y canteras, según año comercial y a nivel regional en Chile, Periodo 2005-2019"/>
        <s v="Número de trabajadores dependientes por sexo, en el rubro B-Explotación minera y canteras, según año comercial en la Región de Tarapacá, Periodo 2005-2019"/>
        <s v="Número de trabajadores dependientes por sexo, en el rubro B-Explotación minera y canteras, según año comercial en la Región de Antofagasta, Periodo 2005-2019"/>
        <s v="Número de trabajadores dependientes por sexo, en el rubro B-Explotación minera y canteras, según año comercial en la Región de Atacama, Periodo 2005-2019"/>
        <s v="Número de trabajadores dependientes por sexo, en el rubro B-Explotación minera y canteras, según año comercial en la Región de Coquimbo, Periodo 2005-2019"/>
        <s v="Número de trabajadores dependientes por sexo, en el rubro B-Explotación minera y canteras, según año comercial en la Región de Valparaíso, Periodo 2005-2019"/>
        <s v="Número de trabajadores dependientes por sexo, en el rubro B-Explotación minera y canteras, según año comercial en la Región de O'Higgins, Periodo 2005-2019"/>
        <s v="Número de trabajadores dependientes por sexo, en el rubro B-Explotación minera y canteras, según año comercial en la Región de Maule, Periodo 2005-2019"/>
        <s v="Número de trabajadores dependientes por sexo, en el rubro B-Explotación minera y canteras, según año comercial en la Región del Biobío, Periodo 2005-2019"/>
        <s v="Número de trabajadores dependientes por sexo, en el rubro B-Explotación minera y canteras, según año comercial en la Región de La Araucanía, Periodo 2005-2019"/>
        <s v="Número de trabajadores dependientes por sexo, en el rubro B-Explotación minera y canteras, según año comercial en la Región de Los Lagos, Periodo 2005-2019"/>
        <s v="Número de trabajadores dependientes por sexo, en el rubro B-Explotación minera y canteras, según año comercial en la Región de Aysén, Periodo 2005-2019"/>
        <s v="Número de trabajadores dependientes por sexo, en el rubro B-Explotación minera y canteras, según año comercial en la Región de Magallanes, Periodo 2005-2019"/>
        <s v="Número de trabajadores dependientes por sexo, en el rubro B-Explotación minera y canteras, según año comercial en la Región Metropolitana, Periodo 2005-2019"/>
        <s v="Número de trabajadores dependientes por sexo, en el rubro B-Explotación minera y canteras, según año comercial en la Región de Los Ríos, Periodo 2005-2019"/>
        <s v="Número de trabajadores dependientes por sexo, en el rubro B-Explotación minera y canteras, según año comercial en la Región de Arica y Parinacota, Periodo 2005-2019"/>
        <s v="Número de trabajadores dependientes por sexo, en el rubro B-Explotación minera y canteras, según año comercial en la Región de Ñuble, Periodo 2005-2019"/>
        <s v="Evolución de las Ventas Anuales en UF para el rubro L-Actividades Inmobiliarias en Chile, Periodo 2005-2019"/>
        <s v="Evolución Casos de Cáncer de Cuello Uterino por Comuna en Chile, Periodo 2011-2018"/>
        <s v="Evolución Casos de Cáncer de Cuello Uterino por Comuna en la Región de Tarapacá, Periodo 2011-2018"/>
        <s v="Evolución Casos de Cáncer de Cuello Uterino por Comuna en la Región de Antofagasta, Periodo 2011-2018"/>
        <s v="Evolución Casos de Cáncer de Cuello Uterino por Comuna en la Región de Atacama, Periodo 2011-2018"/>
        <s v="Evolución Casos de Cáncer de Cuello Uterino por Comuna en la Región de Coquimbo, Periodo 2011-2018"/>
        <s v="Evolución Casos de Cáncer de Cuello Uterino por Comuna en la Región de Valparaíso, Periodo 2011-2018"/>
        <s v="Evolución Casos de Cáncer de Cuello Uterino por Comuna en la Región de O'Higgins, Periodo 2011-2018"/>
        <s v="Evolución Casos de Cáncer de Cuello Uterino por Comuna en la Región de Maule, Periodo 2011-2018"/>
        <s v="Evolución Casos de Cáncer de Cuello Uterino por Comuna en la Región del Biobío, Periodo 2011-2018"/>
        <s v="Evolución Casos de Cáncer de Cuello Uterino por Comuna en la Región de La Araucanía, Periodo 2011-2018"/>
        <s v="Evolución Casos de Cáncer de Cuello Uterino por Comuna en la Región de Los Lagos, Periodo 2011-2018"/>
        <s v="Evolución Casos de Cáncer de Cuello Uterino por Comuna en la Región de Aysén, Periodo 2011-2018"/>
        <s v="Evolución Casos de Cáncer de Cuello Uterino por Comuna en la Región de Magallanes, Periodo 2011-2018"/>
        <s v="Evolución Casos de Cáncer de Cuello Uterino por Comuna en la Región Metropolitana, Periodo 2011-2018"/>
        <s v="Evolución Casos de Cáncer de Cuello Uterino por Comuna en la Región de Los Ríos, Periodo 2011-2018"/>
        <s v="Evolución Casos de Cáncer de Cuello Uterino por Comuna en la Región de Arica y Parinacota, Periodo 2011-2018"/>
        <s v="Evolución Casos de Cáncer de Cuello Uterino por Comuna en la Región de Ñuble, Periodo 2011-2018"/>
        <s v="Emisiones Netas (kt) de CO2 equivalente por Región en Chile, Año 2018"/>
        <s v="Superficie de Incendios Forestales por Comuna en Chile, Periodo 2010-2020"/>
        <s v="Superficie de Incendios Forestales por Comuna en la Región de Tarapacá, Periodo 2010-2020"/>
        <s v="Superficie de Incendios Forestales por Comuna en la Región de Antofagasta, Periodo 2010-2020"/>
        <s v="Superficie de Incendios Forestales por Comuna en la Región de Atacama, Periodo 2010-2020"/>
        <s v="Superficie de Incendios Forestales por Comuna en la Región de Coquimbo, Periodo 2010-2020"/>
        <s v="Superficie de Incendios Forestales por Comuna en la Región de Valparaíso, Periodo 2010-2020"/>
        <s v="Superficie de Incendios Forestales por Comuna en la Región de O'Higgins, Periodo 2010-2020"/>
        <s v="Superficie de Incendios Forestales por Comuna en la Región de Maule, Periodo 2010-2020"/>
        <s v="Superficie de Incendios Forestales por Comuna en la Región del Biobío, Periodo 2010-2020"/>
        <s v="Superficie de Incendios Forestales por Comuna en la Región de La Araucanía, Periodo 2010-2020"/>
        <s v="Superficie de Incendios Forestales por Comuna en la Región de Los Lagos, Periodo 2010-2020"/>
        <s v="Superficie de Incendios Forestales por Comuna en la Región de Aysén, Periodo 2010-2020"/>
        <s v="Superficie de Incendios Forestales por Comuna en la Región de Magallanes, Periodo 2010-2020"/>
        <s v="Superficie de Incendios Forestales por Comuna en la Región Metropolitana, Periodo 2010-2020"/>
        <s v="Superficie de Incendios Forestales por Comuna en la Región de Los Ríos, Periodo 2010-2020"/>
        <s v="Superficie de Incendios Forestales por Comuna en la Región de Arica y Parinacota, Periodo 2010-2020"/>
        <s v="Superficie de Incendios Forestales por Comuna en la Región de Ñuble, Periodo 2010-2020"/>
        <s v="Incendios y superficie afectada de plantaciones Forestales según causas específicas en Chile, Periodo 2010-2020"/>
        <s v="Incendios y superficie afectada de plantaciones Forestales según causas específicas en la Región de Atacama, Periodo 2010-2020"/>
        <s v="Incendios y superficie afectada de plantaciones Forestales según causas específicas en la Región de Coquimbo, Periodo 2010-2020"/>
        <s v="Incendios y superficie afectada de plantaciones Forestales según causas específicas en la Región de Valparaíso, Periodo 2010-2020"/>
        <s v="Incendios y superficie afectada de plantaciones Forestales según causas específicas en la Región de O'Higgins, Periodo 2010-2020"/>
        <s v="Incendios y superficie afectada de plantaciones Forestales según causas específicas en la Región de Maule, Periodo 2010-2020"/>
        <s v="Incendios y superficie afectada de plantaciones Forestales según causas específicas en la Región del Biobío, Periodo 2010-2020"/>
        <s v="Incendios y superficie afectada de plantaciones Forestales según causas específicas en la Región de La Araucanía, Periodo 2010-2020"/>
        <s v="Incendios y superficie afectada de plantaciones Forestales según causas específicas en la Región de Los Lagos, Periodo 2010-2020"/>
        <s v="Incendios y superficie afectada de plantaciones Forestales según causas específicas en la Región de Aysén, Periodo 2010-2020"/>
        <s v="Incendios y superficie afectada de plantaciones Forestales según causas específicas en la Región de Magallanes, Periodo 2010-2020"/>
        <s v="Incendios y superficie afectada de plantaciones Forestales según causas específicas en la Región Metropolitana, Periodo 2010-2020"/>
        <s v="Incendios y superficie afectada de plantaciones Forestales según causas específicas en la Región de Los Ríos, Periodo 2010-2020"/>
        <s v="Incendios y superficie afectada de plantaciones Forestales según causas específicas en la Región de Ñuble, Periodo 2010-2020"/>
        <s v="Incendios y superficie afectada según causas generales y específicas en Chile, Periodo 2010-2020"/>
        <s v="Incendios y superficie afectada según causas generales y específicas en la Región de Tarapacá, Periodo 2010-2020"/>
        <s v="Incendios y superficie afectada según causas generales y específicas en la Región de Antofagasta, Periodo 2010-2020"/>
        <s v="Incendios y superficie afectada según causas generales y específicas en la Región de Atacama, Periodo 2010-2020"/>
        <s v="Incendios y superficie afectada según causas generales y específicas en la Región de Coquimbo, Periodo 2010-2020"/>
        <s v="Incendios y superficie afectada según causas generales y específicas en la Región de Valparaíso, Periodo 2010-2020"/>
        <s v="Incendios y superficie afectada según causas generales y específicas en la Región de O'Higgins, Periodo 2010-2020"/>
        <s v="Incendios y superficie afectada según causas generales y específicas en la Región de Maule, Periodo 2010-2020"/>
        <s v="Incendios y superficie afectada según causas generales y específicas en la Región del Biobío, Periodo 2010-2020"/>
        <s v="Incendios y superficie afectada según causas generales y específicas en la Región de La Araucanía, Periodo 2010-2020"/>
        <s v="Incendios y superficie afectada según causas generales y específicas en la Región de Los Lagos, Periodo 2010-2020"/>
        <s v="Incendios y superficie afectada según causas generales y específicas en la Región de Aysén, Periodo 2010-2020"/>
        <s v="Incendios y superficie afectada según causas generales y específicas en la Región de Magallanes, Periodo 2010-2020"/>
        <s v="Incendios y superficie afectada según causas generales y específicas en la Región Metropolitana, Periodo 2010-2020"/>
        <s v="Incendios y superficie afectada según causas generales y específicas en la Región de Los Ríos, Periodo 2010-2020"/>
        <s v="Incendios y superficie afectada según causas generales y específicas en la Región de Arica y Parinacota, Periodo 2010-2020"/>
        <s v="Incendios y superficie afectada según causas generales y específicas en la Región de Ñuble, Periodo 2010-2020"/>
        <s v="Candidatos electos, Lista-Partido y Votación Obtenida a los cargos de Elección Popular, para 6 comunas por Región en Chile, Periodo 1990-2020"/>
        <s v="Candidatos electos, Lista-Partido y Votación Obtenida a los cargos de Elección Popular, para 6 comunas en la Región de Tarapacá, Periodo 1990-2020"/>
        <s v="Candidatos electos, Lista-Partido y Votación Obtenida a los cargos de Elección Popular, para 6 comunas en la Región de Antofagasta, Periodo 1990-2020"/>
        <s v="Candidatos electos, Lista-Partido y Votación Obtenida a los cargos de Elección Popular, para 6 comunas en la Región de Atacama, Periodo 1990-2020"/>
        <s v="Candidatos electos, Lista-Partido y Votación Obtenida a los cargos de Elección Popular, para 6 comunas en la Región de Coquimbo, Periodo 1990-2020"/>
        <s v="Candidatos electos, Lista-Partido y Votación Obtenida a los cargos de Elección Popular, para 6 comunas en la Región de Valparaíso, Periodo 1990-2020"/>
        <s v="Candidatos electos, Lista-Partido y Votación Obtenida a los cargos de Elección Popular, para 6 comunas en la Región de O'Higgins, Periodo 1990-2020"/>
        <s v="Candidatos electos, Lista-Partido y Votación Obtenida a los cargos de Elección Popular, para 6 comunas en la Región de Maule, Periodo 1990-2020"/>
        <s v="Candidatos electos, Lista-Partido y Votación Obtenida a los cargos de Elección Popular, para 6 comunas en la Región del Biobío, Periodo 1990-2020"/>
        <s v="Candidatos electos, Lista-Partido y Votación Obtenida a los cargos de Elección Popular, para 6 comunas en la Región de La Araucanía, Periodo 1990-2020"/>
        <s v="Candidatos electos, Lista-Partido y Votación Obtenida a los cargos de Elección Popular, para 6 comunas en la Región de Los Lagos, Periodo 1990-2020"/>
        <s v="Candidatos electos, Lista-Partido y Votación Obtenida a los cargos de Elección Popular, para 6 comunas en la Región de Aysén, Periodo 1990-2020"/>
        <s v="Candidatos electos, Lista-Partido y Votación Obtenida a los cargos de Elección Popular, para 6 comunas en la Región de Magallanes, Periodo 1990-2020"/>
        <s v="Candidatos electos, Lista-Partido y Votación Obtenida a los cargos de Elección Popular, para 6 comunas en la Región Metropolitana, Periodo 1990-2020"/>
        <s v="Candidatos electos, Lista-Partido y Votación Obtenida a los cargos de Elección Popular, para 6 comunas en la Región de Los Ríos, Periodo 1990-2020"/>
        <s v="Candidatos electos, Lista-Partido y Votación Obtenida a los cargos de Elección Popular, para 4 comunas en la Región de Arica y Parinacota, Periodo 1990-2020"/>
        <s v="Candidatos electos, Lista-Partido y Votación Obtenida a los cargos de Elección Popular, para 6 comunas en la Región de Ñuble, Periodo 1990-2020"/>
        <s v="Cupos para cargos de Elección Popular, a nivel regional y comunal en Chile"/>
        <s v="Cupos para cargos de Elección Popular, a nivel regional y comunal en la Región de Tarapacá"/>
        <s v="Cupos para cargos de Elección Popular, a nivel regional y comunal en la Región de Antofagasta"/>
        <s v="Cupos para cargos de Elección Popular, a nivel regional y comunal en la Región de Atacama"/>
        <s v="Cupos para cargos de Elección Popular, a nivel regional y comunal en la Región de Coquimbo"/>
        <s v="Cupos para cargos de Elección Popular, a nivel regional y comunal en la Región de Valparaíso"/>
        <s v="Cupos para cargos de Elección Popular, a nivel regional y comunal en la Región de O'Higgins"/>
        <s v="Cupos para cargos de Elección Popular, a nivel regional y comunal en la Región de Maule"/>
        <s v="Cupos para cargos de Elección Popular, a nivel regional y comunal en la Región del Biobío"/>
        <s v="Cupos para cargos de Elección Popular, a nivel regional y comunal en la Región de La Araucanía"/>
        <s v="Cupos para cargos de Elección Popular, a nivel regional y comunal en la Región de Los Lagos"/>
        <s v="Cupos para cargos de Elección Popular, a nivel regional y comunal en la Región de Aysén"/>
        <s v="Cupos para cargos de Elección Popular, a nivel regional y comunal en la Región de Magallanes"/>
        <s v="Cupos para cargos de Elección Popular, a nivel regional y comunal en la Región Metropolitana"/>
        <s v="Cupos para cargos de Elección Popular, a nivel regional y comunal en la Región de Los Ríos"/>
        <s v="Cupos para cargos de Elección Popular, a nivel regional y comunal en la Región de Arica y Parinacota"/>
        <s v="Cupos para cargos de Elección Popular, a nivel regional y comunal en la Región de Ñuble"/>
        <s v="Número de empresas vigentes según año de inicio de actividades y tipo de contribuyente en Chile, Periodo 1993-2019"/>
        <s v="Número de empresas vigentes según año de inicio de actividades y tipo de contribuyente en la Región de Tarapacá, Periodo 1993-2019"/>
        <s v="Número de empresas vigentes según año de inicio de actividades y tipo de contribuyente en la Región de Antofagasta, Periodo 1993-2019"/>
        <s v="Número de empresas vigentes según año de inicio de actividades y tipo de contribuyente en la Región de Atacama, Periodo 1993-2019"/>
        <s v="Número de empresas vigentes según año de inicio de actividades y tipo de contribuyente en la Región de Coquimbo, Periodo 1993-2019"/>
        <s v="Número de empresas vigentes según año de inicio de actividades y tipo de contribuyente en la Región de Valparaíso, Periodo 1993-2019"/>
        <s v="Número de empresas vigentes según año de inicio de actividades y tipo de contribuyente en la Región de O'Higgins, Periodo 1993-2019"/>
        <s v="Número de empresas vigentes según año de inicio de actividades y tipo de contribuyente en la Región de Maule, Periodo 1993-2019"/>
        <s v="Número de empresas vigentes según año de inicio de actividades y tipo de contribuyente en la Región del Biobío, Periodo 1993-2019"/>
        <s v="Número de empresas vigentes según año de inicio de actividades y tipo de contribuyente en la Región de La Araucanía, Periodo 1993-2019"/>
        <s v="Número de empresas vigentes según año de inicio de actividades y tipo de contribuyente en la Región de Los Lagos, Periodo 1993-2019"/>
        <s v="Número de empresas vigentes según año de inicio de actividades y tipo de contribuyente en la Región de Aysén, Periodo 1993-2019"/>
        <s v="Número de empresas vigentes según año de inicio de actividades y tipo de contribuyente en la Región de Magallanes, Periodo 1993-2019"/>
        <s v="Número de empresas vigentes según año de inicio de actividades y tipo de contribuyente en la Región Metropolitana, Periodo 1993-2019"/>
        <s v="Número de empresas vigentes según año de inicio de actividades y tipo de contribuyente en la Región de Los Ríos, Periodo 1993-2019"/>
        <s v="Número de empresas vigentes según año de inicio de actividades y tipo de contribuyente en la Región de Arica y Parinacota, Periodo 1993-2019"/>
        <s v="Número de empresas vigentes según año de inicio de actividades y tipo de contribuyente en la Región de Ñuble, Periodo 1993-2019"/>
        <s v="Número de trabajadores de empresas vigentes, por año de inicio de actividades y tipo de contribuyentes en Chile, Periodo 1993-2019"/>
        <s v="Número de trabajadores de empresas vigentes, por año de inicio de actividades y tipo de contribuyentes en la Región de Tarapacá, Periodo 1993-2019"/>
        <s v="Número de trabajadores de empresas vigentes, por año de inicio de actividades y tipo de contribuyentes en la Región de Antofagasta, Periodo 1993-2019"/>
        <s v="Número de trabajadores de empresas vigentes, por año de inicio de actividades y tipo de contribuyentes en la Región de Atacama, Periodo 1993-2019"/>
        <s v="Número de trabajadores de empresas vigentes, por año de inicio de actividades y tipo de contribuyentes en la Región de Coquimbo, Periodo 1993-2019"/>
        <s v="Número de trabajadores de empresas vigentes, por año de inicio de actividades y tipo de contribuyentes en la Región de Valparaíso, Periodo 1993-2019"/>
        <s v="Número de trabajadores de empresas vigentes, por año de inicio de actividades y tipo de contribuyentes en la Región de O'Higgins, Periodo 1993-2019"/>
        <s v="Número de trabajadores de empresas vigentes, por año de inicio de actividades y tipo de contribuyentes en la Región de Maule, Periodo 1993-2019"/>
        <s v="Número de trabajadores de empresas vigentes, por año de inicio de actividades y tipo de contribuyentes en la Región del Biobío, Periodo 1993-2019"/>
        <s v="Número de trabajadores de empresas vigentes, por año de inicio de actividades y tipo de contribuyentes en la Región de La Araucanía, Periodo 1993-2019"/>
        <s v="Número de trabajadores de empresas vigentes, por año de inicio de actividades y tipo de contribuyentes en la Región de Los Lagos, Periodo 1993-2019"/>
        <s v="Número de trabajadores de empresas vigentes, por año de inicio de actividades y tipo de contribuyentes en la Región de Aysén, Periodo 1993-2019"/>
        <s v="Número de trabajadores de empresas vigentes, por año de inicio de actividades y tipo de contribuyentes en la Región de Magallanes, Periodo 1993-2019"/>
        <s v="Número de trabajadores de empresas vigentes, por año de inicio de actividades y tipo de contribuyentes en la Región Metropolitana, Periodo 1993-2019"/>
        <s v="Número de trabajadores de empresas vigentes, por año de inicio de actividades y tipo de contribuyentes en la Región de Los Ríos, Periodo 1993-2019"/>
        <s v="Número de trabajadores de empresas vigentes, por año de inicio de actividades y tipo de contribuyentes en la Región de Arica y Parinacota, Periodo 1993-2019"/>
        <s v="Número de trabajadores de empresas vigentes, por año de inicio de actividades y tipo de contribuyentes en la Región de Ñuble, Periodo 1993-2019"/>
        <s v="Evolución de Población en el Programa de VIH/SIDA según Comuna en Chile, Periodo 2012-2018"/>
        <s v="Evolución de Población en el Programa de VIH/SIDA según Comuna en la Región de Tarapacá, Periodo 2012-2018"/>
        <s v="Evolución de Población en el Programa de VIH/SIDA según Comuna en la Región de Antofagasta, Periodo 2012-2018"/>
        <s v="Evolución de Población en el Programa de VIH/SIDA según Comuna en la Región de Atacama, Periodo 2012-2018"/>
        <s v="Evolución de Población en el Programa de VIH/SIDA según Comuna en la Región de Coquimbo, Periodo 2012-2018"/>
        <s v="Evolución de Población en el Programa de VIH/SIDA según Comuna en la Región de Valparaíso, Periodo 2012-2018"/>
        <s v="Evolución de Población en el Programa de VIH/SIDA según Comuna en la Región de O'Higgins, Periodo 2012-2018"/>
        <s v="Evolución de Población en el Programa de VIH/SIDA según Comuna en la Región de Maule, Periodo 2012-2018"/>
        <s v="Evolución de Población en el Programa de VIH/SIDA según Comuna en la Región del Biobío, Periodo 2012-2018"/>
        <s v="Evolución de Población en el Programa de VIH/SIDA según Comuna en la Región de La Araucanía, Periodo 2012-2018"/>
        <s v="Evolución de Población en el Programa de VIH/SIDA según Comuna en la Región de Los Lagos, Periodo 2012-2018"/>
        <s v="Evolución de Población en el Programa de VIH/SIDA según Comuna en la Región de Aysén, Periodo 2012-2018"/>
        <s v="Evolución de Población en el Programa de VIH/SIDA según Comuna en la Región de Magallanes, Periodo 2012-2018"/>
        <s v="Evolución de Población en el Programa de VIH/SIDA según Comuna en la Región Metropolitana, Periodo 2012-2018"/>
        <s v="Evolución de Población en el Programa de VIH/SIDA según Comuna en la Región de Los Ríos, Periodo 2012-2018"/>
        <s v="Evolución de Población en el Programa de VIH/SIDA según Comuna en la Región de Arica y Parinacota, Periodo 2012-2018"/>
        <s v="Evolución de Población en el Programa de VIH/SIDA según Comuna en la Región de Ñuble, Periodo 2012-2018"/>
        <s v="Evolución de Población en Control en el Programa de VIH/SIDA según Región en Chile, Periodo 2012-2018"/>
        <s v="Evolución de Población en Control en el Programa de VIH/SIDA en la Región de Tarapacá, Periodo 2012-2018"/>
        <s v="Evolución de Población en Control en el Programa de VIH/SIDA en la Región de Antofagasta, Periodo 2012-2018"/>
        <s v="Evolución de Población en Control en el Programa de VIH/SIDA en la Región de Atacama, Periodo 2012-2018"/>
        <s v="Evolución de Población en Control en el Programa de VIH/SIDA en la Región de Coquimbo, Periodo 2012-2018"/>
        <s v="Evolución de Población en Control en el Programa de VIH/SIDA en la Región de Valparaíso, Periodo 2012-2018"/>
        <s v="Evolución de Población en Control en el Programa de VIH/SIDA en la Región de O'Higgins, Periodo 2012-2018"/>
        <s v="Evolución de Población en Control en el Programa de VIH/SIDA en la Región de Maule, Periodo 2012-2018"/>
        <s v="Evolución de Población en Control en el Programa de VIH/SIDA en la Región del Biobío, Periodo 2012-2018"/>
        <s v="Evolución de Población en Control en el Programa de VIH/SIDA en la Región de La Araucanía, Periodo 2012-2018"/>
        <s v="Evolución de Población en Control en el Programa de VIH/SIDA en la Región de Los Lagos, Periodo 2012-2018"/>
        <s v="Evolución de Población en Control en el Programa de VIH/SIDA en la Región de Aysén, Periodo 2012-2018"/>
        <s v="Evolución de Población en Control en el Programa de VIH/SIDA en la Región de Magallanes, Periodo 2012-2018"/>
        <s v="Evolución de Población en Control en el Programa de VIH/SIDA en la Región Metropolitana, Periodo 2012-2018"/>
        <s v="Evolución de Población en Control en el Programa de VIH/SIDA en la Región de Los Ríos, Periodo 2012-2018"/>
        <s v="Evolución de Población en Control en el Programa de VIH/SIDA en la Región de Arica y Parinacota, Periodo 2012-2018"/>
        <s v="Evolución de Población en Control en el Programa de VIH/SIDA en la Región de Ñuble, Periodo 2012-2018"/>
        <s v="Evolución de Población en Control en el Programa de VIH/SIDA según Rango Etario en Chile, Periodo 2012-2018"/>
        <s v="Evolución de Población en Control en el Programa de VIH/SIDA según Rango Etario en la Región de Tarapacá, Periodo 2012-2018"/>
        <s v="Evolución de Población en Control en el Programa de VIH/SIDA según Rango Etario en la Región de Antofagasta, Periodo 2012-2018"/>
        <s v="Evolución de Población en Control en el Programa de VIH/SIDA según Rango Etario en la Región de Atacama, Periodo 2012-2018"/>
        <s v="Evolución de Población en Control en el Programa de VIH/SIDA según Rango Etario en la Región de Coquimbo, Periodo 2012-2018"/>
        <s v="Evolución de Población en Control en el Programa de VIH/SIDA según Rango Etario en la Región de Valparaíso, Periodo 2012-2018"/>
        <s v="Evolución de Población en Control en el Programa de VIH/SIDA según Rango Etario en la Región de O'Higgins, Periodo 2012-2018"/>
        <s v="Evolución de Población en Control en el Programa de VIH/SIDA según Rango Etario en la Región de Maule, Periodo 2012-2018"/>
        <s v="Evolución de Población en Control en el Programa de VIH/SIDA según Rango Etario en la Región del Biobío, Periodo 2012-2018"/>
        <s v="Evolución de Población en Control en el Programa de VIH/SIDA según Rango Etario en la Región de La Araucanía, Periodo 2012-2018"/>
        <s v="Evolución de Población en Control en el Programa de VIH/SIDA según Rango Etario en la Región de Los Lagos, Periodo 2012-2018"/>
        <s v="Evolución de Población en Control en el Programa de VIH/SIDA según Rango Etario en la Región de Aysén, Periodo 2012-2018"/>
        <s v="Evolución de Población en Control en el Programa de VIH/SIDA según Rango Etario en la Región de Magallanes, Periodo 2012-2018"/>
        <s v="Evolución de Población en Control en el Programa de VIH/SIDA según Rango Etario en la Región Metropolitana, Periodo 2012-2018"/>
        <s v="Evolución de Población en Control en el Programa de VIH/SIDA según Rango Etario en la Región de Los Ríos, Periodo 2012-2018"/>
        <s v="Evolución de Población en Control en el Programa de VIH/SIDA según Rango Etario en la Región de Arica y Parinacota, Periodo 2012-2018"/>
        <s v="Evolución de Población en Control en el Programa de VIH/SIDA según Rango Etario en la Región de Ñuble, Periodo 2012-2018"/>
        <s v="Mapa de la Cantidad de Espacios Culturales por Comuna en Chile, Año 2021"/>
        <s v="Mapa de la Cantidad de Espacios Culturales por Comuna en la Región de Tarapacá, Año 2021"/>
        <s v="Mapa de la Cantidad de Espacios Culturales por Comuna en la Región de Antofagasta, Año 2021"/>
        <s v="Mapa de la Cantidad de Espacios Culturales por Comuna en la Región de Atacama, Año 2021"/>
        <s v="Mapa de la Cantidad de Espacios Culturales por Comuna en la Región de Coquimbo, Año 2021"/>
        <s v="Mapa de la Cantidad de Espacios Culturales por Comuna en la Región de Valparaíso, Año 2021"/>
        <s v="Mapa de la Cantidad de Espacios Culturales por Comuna en la Región de O'Higgins, Año 2021"/>
        <s v="Mapa de la Cantidad de Espacios Culturales por Comuna en la Región de Maule, Año 2021"/>
        <s v="Mapa de la Cantidad de Espacios Culturales por Comuna en la Región del Biobío, Año 2021"/>
        <s v="Mapa de la Cantidad de Espacios Culturales por Comuna en la Región de La Araucanía, Año 2021"/>
        <s v="Mapa de la Cantidad de Espacios Culturales por Comuna en la Región de Los Lagos, Año 2021"/>
        <s v="Mapa de la Cantidad de Espacios Culturales por Comuna en la Región de Aysén, Año 2021"/>
        <s v="Mapa de la Cantidad de Espacios Culturales por Comuna en la Región de Magallanes, Año 2021"/>
        <s v="Mapa de la Cantidad de Espacios Culturales por Comuna en la Región Metropolitana, Año 2021"/>
        <s v="Mapa de la Cantidad de Espacios Culturales por Comuna en la Región de Los Ríos, Año 2021"/>
        <s v="Mapa de la Cantidad de Espacios Culturales por Comuna en la Región de Arica y Parinacota, Año 2021"/>
        <s v="Mapa de la Cantidad de Espacios Culturales por Comuna en la Región de Ñuble, Año 2021"/>
        <s v="Cantidad de Espacios Culturales por Fuente de Financiamiento y Región en Chile, Año 2021"/>
        <s v="Cantidad de Espacios Culturales por Fuente de Financiamiento en la Región de Tarapacá, Año 2021"/>
        <s v="Cantidad de Espacios Culturales por Fuente de Financiamiento en la Región de Antofagasta, Año 2021"/>
        <s v="Cantidad de Espacios Culturales por Fuente de Financiamiento en la Región de Atacama, Año 2021"/>
        <s v="Cantidad de Espacios Culturales por Fuente de Financiamiento en la Región de Coquimbo, Año 2021"/>
        <s v="Cantidad de Espacios Culturales por Fuente de Financiamiento en la Región de Valparaíso, Año 2021"/>
        <s v="Cantidad de Espacios Culturales por Fuente de Financiamiento en la Región de O'Higgins, Año 2021"/>
        <s v="Cantidad de Espacios Culturales por Fuente de Financiamiento en la Región de Maule, Año 2021"/>
        <s v="Cantidad de Espacios Culturales por Fuente de Financiamiento en la Región del Biobío, Año 2021"/>
        <s v="Cantidad de Espacios Culturales por Fuente de Financiamiento en la Región de La Araucanía, Año 2021"/>
        <s v="Cantidad de Espacios Culturales por Fuente de Financiamiento en la Región de Los Lagos, Año 2021"/>
        <s v="Cantidad de Espacios Culturales por Fuente de Financiamiento en la Región de Aysén, Año 2021"/>
        <s v="Cantidad de Espacios Culturales por Fuente de Financiamiento en la Región de Magallanes, Año 2021"/>
        <s v="Cantidad de Espacios Culturales por Fuente de Financiamiento en la Región Metropolitana, Año 2021"/>
        <s v="Cantidad de Espacios Culturales por Fuente de Financiamiento en la Región de Los Ríos, Año 2021"/>
        <s v="Cantidad de Espacios Culturales por Fuente de Financiamiento en la Región de Arica y Parinacota, Año 2021"/>
        <s v="Cantidad de Espacios Culturales por Fuente de Financiamiento en la Región de Ñuble, Año 2021"/>
        <s v="Cantidad de Espacios Culturales por Categoría y Región en Chile, Año 2021"/>
        <s v="Cantidad de Espacios Culturales por Categoría en la Región de Tarapacá, Año 2021"/>
        <s v="Cantidad de Espacios Culturales por Categoría en la Región de Antofagasta, Año 2021"/>
        <s v="Cantidad de Espacios Culturales por Categoría en la Región de Atacama, Año 2021"/>
        <s v="Cantidad de Espacios Culturales por Categoría en la Región de Coquimbo, Año 2021"/>
        <s v="Cantidad de Espacios Culturales por Categoría en la Región de Valparaíso, Año 2021"/>
        <s v="Cantidad de Espacios Culturales por Categoría en la Región de O'Higgins, Año 2021"/>
        <s v="Cantidad de Espacios Culturales por Categoría en la Región de Maule, Año 2021"/>
        <s v="Cantidad de Espacios Culturales por Categoría en la Región del Biobío, Año 2021"/>
        <s v="Cantidad de Espacios Culturales por Categoría en la Región de La Araucanía, Año 2021"/>
        <s v="Cantidad de Espacios Culturales por Categoría en la Región de Los Lagos, Año 2021"/>
        <s v="Cantidad de Espacios Culturales por Categoría en la Región de Aysén, Año 2021"/>
        <s v="Cantidad de Espacios Culturales por Categoría en la Región de Magallanes, Año 2021"/>
        <s v="Cantidad de Espacios Culturales por Categoría en la Región Metropolitana, Año 2021"/>
        <s v="Cantidad de Espacios Culturales por Categoría en la Región de Los Ríos, Año 2021"/>
        <s v="Cantidad de Espacios Culturales por Categoría en la Región de Arica y Parinacota, Año 2021"/>
        <s v="Cantidad de Espacios Culturales por Categoría en la Región de Ñuble, Año 2021"/>
        <s v="Cantidad de Espacios Culturales por Estado de Mantención y Región en Chile, Año 2021"/>
        <s v="Cantidad de Espacios Culturales por Estado de Mantención en la Región de Tarapacá, Año 2021"/>
        <s v="Cantidad de Espacios Culturales por Estado de Mantención en la Región de Antofagasta, Año 2021"/>
        <s v="Cantidad de Espacios Culturales por Estado de Mantención en la Región de Atacama, Año 2021"/>
        <s v="Cantidad de Espacios Culturales por Estado de Mantención en la Región de Coquimbo, Año 2021"/>
        <s v="Cantidad de Espacios Culturales por Estado de Mantención en la Región de Valparaíso, Año 2021"/>
        <s v="Cantidad de Espacios Culturales por Estado de Mantención en la Región de O'Higgins, Año 2021"/>
        <s v="Cantidad de Espacios Culturales por Estado de Mantención en la Región de Maule, Año 2021"/>
        <s v="Cantidad de Espacios Culturales por Estado de Mantención en la Región del Biobío, Año 2021"/>
        <s v="Cantidad de Espacios Culturales por Estado de Mantención en la Región de La Araucanía, Año 2021"/>
        <s v="Cantidad de Espacios Culturales por Estado de Mantención en la Región de Los Lagos, Año 2021"/>
        <s v="Cantidad de Espacios Culturales por Estado de Mantención en la Región de Aysén, Año 2021"/>
        <s v="Cantidad de Espacios Culturales por Estado de Mantención en la Región de Magallanes, Año 2021"/>
        <s v="Cantidad de Espacios Culturales por Estado de Mantención en la Región Metropolitana, Año 2021"/>
        <s v="Cantidad de Espacios Culturales por Estado de Mantención en la Región de Los Ríos, Año 2021"/>
        <s v="Cantidad de Espacios Culturales por Estado de Mantención en la Región de Arica y Parinacota, Año 2021"/>
        <s v="Cantidad de Espacios Culturales por Estado de Mantención en la Región de Ñuble, Año 2021"/>
        <s v="Mapa de Espacios Culturales en Chile, Año 2021"/>
        <s v="Mapa de Espacios Culturales en la Región de Tarapacá, Año 2021"/>
        <s v="Mapa de Espacios Culturales en la Región de Antofagasta, Año 2021"/>
        <s v="Mapa de Espacios Culturales en la Región de Atacama, Año 2021"/>
        <s v="Mapa de Espacios Culturales en la Región de Coquimbo, Año 2021"/>
        <s v="Mapa de Espacios Culturales en la Región de Valparaíso, Año 2021"/>
        <s v="Mapa de Espacios Culturales en la Región de O'Higgins, Año 2021"/>
        <s v="Mapa de Espacios Culturales en la Región de Maule, Año 2021"/>
        <s v="Mapa de Espacios Culturales en la Región del Biobío, Año 2021"/>
        <s v="Mapa de Espacios Culturales en la Región de La Araucanía, Año 2021"/>
        <s v="Mapa de Espacios Culturales en la Región de Los Lagos, Año 2021"/>
        <s v="Mapa de Espacios Culturales en la Región de Aysén, Año 2021"/>
        <s v="Mapa de Espacios Culturales en la Región de Magallanes, Año 2021"/>
        <s v="Mapa de Espacios Culturales en la Región Metropolitana, Año 2021"/>
        <s v="Mapa de Espacios Culturales en la Región de Los Ríos, Año 2021"/>
        <s v="Mapa de Espacios Culturales en la Región de Arica y Parinacota, Año 2021"/>
        <s v="Mapa de Espacios Culturales en la Región de Ñuble, Año 2021"/>
        <s v="Población en Control del Programa de Cáncer de Cuello Uterino por Rango Etario en Chile, Periodo 2011-2018"/>
        <s v="Población en Control del Programa de Cáncer de Cuello Uterino por Rango Etario en la Región de Tarapacá, Periodo 2011-2018"/>
        <s v="Población en Control del Programa de Cáncer de Cuello Uterino por Rango Etario en la Región de Antofagasta, Periodo 2011-2018"/>
        <s v="Población en Control del Programa de Cáncer de Cuello Uterino por Rango Etario en la Región de Atacama, Periodo 2011-2018"/>
        <s v="Población en Control del Programa de Cáncer de Cuello Uterino por Rango Etario en la Región de Coquimbo, Periodo 2011-2018"/>
        <s v="Población en Control del Programa de Cáncer de Cuello Uterino por Rango Etario en la Región de Valparaíso, Periodo 2011-2018"/>
        <s v="Población en Control del Programa de Cáncer de Cuello Uterino por Rango Etario en la Región de O'Higgins, Periodo 2011-2018"/>
        <s v="Población en Control del Programa de Cáncer de Cuello Uterino por Rango Etario en la Región de Maule, Periodo 2011-2018"/>
        <s v="Población en Control del Programa de Cáncer de Cuello Uterino por Rango Etario en la Región del Biobío, Periodo 2011-2018"/>
        <s v="Población en Control del Programa de Cáncer de Cuello Uterino por Rango Etario en la Región de La Araucanía, Periodo 2011-2018"/>
        <s v="Población en Control del Programa de Cáncer de Cuello Uterino por Rango Etario en la Región de Los Lagos, Periodo 2011-2018"/>
        <s v="Población en Control del Programa de Cáncer de Cuello Uterino por Rango Etario en la Región de Aysén, Periodo 2011-2018"/>
        <s v="Población en Control del Programa de Cáncer de Cuello Uterino por Rango Etario en la Región de Magallanes, Periodo 2011-2018"/>
        <s v="Población en Control del Programa de Cáncer de Cuello Uterino por Rango Etario en la Región Metropolitana, Periodo 2011-2018"/>
        <s v="Población en Control del Programa de Cáncer de Cuello Uterino por Rango Etario en la Región de Los Ríos, Periodo 2011-2018"/>
        <s v="Población en Control del Programa de Cáncer de Cuello Uterino por Rango Etario en la Región de Arica y Parinacota, Periodo 2011-2018"/>
        <s v="Población en Control del Programa de Cáncer de Cuello Uterino por Rango Etario en la Región de Ñuble, Periodo 2011-2018"/>
        <s v="Población en Control del Programa de Cáncer de Cuello Uterino por Región en Chile, Periodo 2011-2018"/>
        <s v="Población en Control del Programa de Cáncer de Cuello Uterino en la Región de Tarapacá, Periodo 2011-2018"/>
        <s v="Población en Control del Programa de Cáncer de Cuello Uterino en la Región de Antofagasta, Periodo 2011-2018"/>
        <s v="Población en Control del Programa de Cáncer de Cuello Uterino en la Región de Atacama, Periodo 2011-2018"/>
        <s v="Población en Control del Programa de Cáncer de Cuello Uterino en la Región de Coquimbo, Periodo 2011-2018"/>
        <s v="Población en Control del Programa de Cáncer de Cuello Uterino en la Región de Valparaíso, Periodo 2011-2018"/>
        <s v="Población en Control del Programa de Cáncer de Cuello Uterino en la Región de O'Higgins, Periodo 2011-2018"/>
        <s v="Población en Control del Programa de Cáncer de Cuello Uterino en la Región de Maule, Periodo 2011-2018"/>
        <s v="Población en Control del Programa de Cáncer de Cuello Uterino en la Región del Biobío, Periodo 2011-2018"/>
        <s v="Población en Control del Programa de Cáncer de Cuello Uterino en la Región de La Araucanía, Periodo 2011-2018"/>
        <s v="Población en Control del Programa de Cáncer de Cuello Uterino en la Región de Los Lagos, Periodo 2011-2018"/>
        <s v="Población en Control del Programa de Cáncer de Cuello Uterino en la Región de Aysén, Periodo 2011-2018"/>
        <s v="Población en Control del Programa de Cáncer de Cuello Uterino en la Región de Magallanes, Periodo 2011-2018"/>
        <s v="Población en Control del Programa de Cáncer de Cuello Uterino en la Región Metropolitana, Periodo 2011-2018"/>
        <s v="Población en Control del Programa de Cáncer de Cuello Uterino en la Región de Los Ríos, Periodo 2011-2018"/>
        <s v="Población en Control del Programa de Cáncer de Cuello Uterino en la Región de Arica y Parinacota, Periodo 2011-2018"/>
        <s v="Población en Control del Programa de Cáncer de Cuello Uterino en la Región de Ñuble, Periodo 2011-2018"/>
        <s v="Evolución de Población en Control en el Programa de VIH/SIDA y Variación Anual en Chile, Periodo 2012-2018"/>
        <s v="Población en Control del Programa de Cáncer de Cuello Uterino en la Región de Tarapacá, Periodo 2012-2018"/>
        <s v="Población en Control del Programa de Cáncer de Cuello Uterino en la Región de Antofagasta, Periodo 2012-2018"/>
        <s v="Población en Control del Programa de Cáncer de Cuello Uterino en la Región de Atacama, Periodo 2012-2018"/>
        <s v="Población en Control del Programa de Cáncer de Cuello Uterino en la Región de Coquimbo, Periodo 2012-2018"/>
        <s v="Población en Control del Programa de Cáncer de Cuello Uterino en la Región de Valparaíso, Periodo 2012-2018"/>
        <s v="Población en Control del Programa de Cáncer de Cuello Uterino en la Región de O'Higgins, Periodo 2012-2018"/>
        <s v="Población en Control del Programa de Cáncer de Cuello Uterino en la Región de Maule, Periodo 2012-2018"/>
        <s v="Población en Control del Programa de Cáncer de Cuello Uterino en la Región del Biobío, Periodo 2012-2018"/>
        <s v="Población en Control del Programa de Cáncer de Cuello Uterino en la Región de La Araucanía, Periodo 2012-2018"/>
        <s v="Población en Control del Programa de Cáncer de Cuello Uterino en la Región de Los Lagos, Periodo 2012-2018"/>
        <s v="Población en Control del Programa de Cáncer de Cuello Uterino en la Región de Aysén, Periodo 2012-2018"/>
        <s v="Población en Control del Programa de Cáncer de Cuello Uterino en la Región de Magallanes, Periodo 2012-2018"/>
        <s v="Población en Control del Programa de Cáncer de Cuello Uterino en la Región Metropolitana, Periodo 2012-2018"/>
        <s v="Población en Control del Programa de Cáncer de Cuello Uterino en la Región de Los Ríos, Periodo 2012-2018"/>
        <s v="Población en Control del Programa de Cáncer de Cuello Uterino en la Región de Arica y Parinacota, Periodo 2012-2018"/>
        <s v="Población en Control del Programa de Cáncer de Cuello Uterino en la Región de Ñuble, Periodo 2012-2018"/>
        <s v="Cantidad de Predios Agrícolas por Comuna en Chile, Periodo 2006-2019"/>
        <s v="Cantidad de Predios Agrícolas por Comuna en la Región de Tarapacá, Periodo 2006-2019"/>
        <s v="Cantidad de Predios Agrícolas por Comuna en la Región de Antofagasta, Periodo 2006-2019"/>
        <s v="Cantidad de Predios Agrícolas por Comuna en la Región de Atacama, Periodo 2006-2019"/>
        <s v="Cantidad de Predios Agrícolas por Comuna en la Región de Coquimbo, Periodo 2006-2019"/>
        <s v="Cantidad de Predios Agrícolas por Comuna en la Región de Valparaíso, Periodo 2006-2019"/>
        <s v="Cantidad de Predios Agrícolas por Comuna en la Región de O'Higgins, Periodo 2006-2019"/>
        <s v="Cantidad de Predios Agrícolas por Comuna en la Región de Maule, Periodo 2006-2019"/>
        <s v="Cantidad de Predios Agrícolas por Comuna en la Región del Biobío, Periodo 2006-2019"/>
        <s v="Cantidad de Predios Agrícolas por Comuna en la Región de La Araucanía, Periodo 2006-2019"/>
        <s v="Cantidad de Predios Agrícolas por Comuna en la Región de Los Lagos, Periodo 2006-2019"/>
        <s v="Cantidad de Predios Agrícolas por Comuna en la Región de Aysén, Periodo 2006-2019"/>
        <s v="Cantidad de Predios Agrícolas por Comuna en la Región de Magallanes, Periodo 2006-2019"/>
        <s v="Cantidad de Predios Agrícolas por Comuna en la Región Metropolitana, Periodo 2006-2019"/>
        <s v="Cantidad de Predios Agrícolas por Comuna en la Región de Los Ríos, Periodo 2006-2019"/>
        <s v="Cantidad de Predios Agrícolas por Comuna en la Región de Arica y Parinacota, Periodo 2006-2019"/>
        <s v="Cantidad de Predios Agrícolas por Comuna en la Región de Ñuble, Periodo 2006-2019"/>
        <s v="Cantidad de Establecimientos de la Salud por Región en Chile, Año 2021"/>
        <s v="Cantidad de Establecimientos de la Salud en la Región de Tarapacá, Año 2021"/>
        <s v="Cantidad de Establecimientos de la Salud en la Región de Antofagasta, Año 2021"/>
        <s v="Cantidad de Establecimientos de la Salud en la Región de Atacama, Año 2021"/>
        <s v="Cantidad de Establecimientos de la Salud en la Región de Coquimbo, Año 2021"/>
        <s v="Cantidad de Establecimientos de la Salud en la Región de Valparaíso, Año 2021"/>
        <s v="Cantidad de Establecimientos de la Salud en la Región de O'Higgins, Año 2021"/>
        <s v="Cantidad de Establecimientos de la Salud en la Región de Maule, Año 2021"/>
        <s v="Cantidad de Establecimientos de la Salud en la Región del Biobío, Año 2021"/>
        <s v="Cantidad de Establecimientos de la Salud en la Región de La Araucanía, Año 2021"/>
        <s v="Cantidad de Establecimientos de la Salud en la Región de Los Lagos, Año 2021"/>
        <s v="Cantidad de Establecimientos de la Salud en la Región de Aysén, Año 2021"/>
        <s v="Cantidad de Establecimientos de la Salud en la Región de Magallanes, Año 2021"/>
        <s v="Cantidad de Establecimientos de la Salud en la Región Metropolitana, Año 2021"/>
        <s v="Cantidad de Establecimientos de la Salud en la Región de Los Ríos, Año 2021"/>
        <s v="Cantidad de Establecimientos de la Salud en la Región de Arica y Parinacota, Año 2021"/>
        <s v="Cantidad de Establecimientos de la Salud en la Región de Ñuble, Año 2021"/>
        <s v="Cantidad de Establecimientos de la Salud por Comuna en Chile, Año 2021"/>
        <s v="Cantidad de Establecimientos de la Salud por Comuna en la Región de Tarapacá, Año 2021"/>
        <s v="Cantidad de Establecimientos de la Salud por Comuna en la Región de Antofagasta, Año 2021"/>
        <s v="Cantidad de Establecimientos de la Salud por Comuna en la Región de Atacama, Año 2021"/>
        <s v="Cantidad de Establecimientos de la Salud por Comuna en la Región de Coquimbo, Año 2021"/>
        <s v="Cantidad de Establecimientos de la Salud por Comuna en la Región de Valparaíso, Año 2021"/>
        <s v="Cantidad de Establecimientos de la Salud por Comuna en la Región de O'Higgins, Año 2021"/>
        <s v="Cantidad de Establecimientos de la Salud por Comuna en la Región de Maule, Año 2021"/>
        <s v="Cantidad de Establecimientos de la Salud por Comuna en la Región del Biobío, Año 2021"/>
        <s v="Cantidad de Establecimientos de la Salud por Comuna en la Región de La Araucanía, Año 2021"/>
        <s v="Cantidad de Establecimientos de la Salud por Comuna en la Región de Los Lagos, Año 2021"/>
        <s v="Cantidad de Establecimientos de la Salud por Comuna en la Región de Aysén, Año 2021"/>
        <s v="Cantidad de Establecimientos de la Salud por Comuna en la Región de Magallanes, Año 2021"/>
        <s v="Cantidad de Establecimientos de la Salud por Comuna en la Región Metropolitana, Año 2021"/>
        <s v="Cantidad de Establecimientos de la Salud por Comuna en la Región de Los Ríos, Año 2021"/>
        <s v="Cantidad de Establecimientos de la Salud por Comuna en la Región de Arica y Parinacota, Año 2021"/>
        <s v="Cantidad de Establecimientos de la Salud por Comuna en la Región de Ñuble, Año 2021"/>
        <s v="Cantidad de Establecimientos de la Salud por Tipo en Chile, Año 2021"/>
        <s v="Cantidad de Establecimientos de la Salud por Tipo en la Región de Tarapacá, Año 2021"/>
        <s v="Cantidad de Establecimientos de la Salud por Tipo en la Región de Antofagasta, Año 2021"/>
        <s v="Cantidad de Establecimientos de la Salud por Tipo en la Región de Atacama, Año 2021"/>
        <s v="Cantidad de Establecimientos de la Salud por Tipo en la Región de Coquimbo, Año 2021"/>
        <s v="Cantidad de Establecimientos de la Salud por Tipo en la Región de Valparaíso, Año 2021"/>
        <s v="Cantidad de Establecimientos de la Salud por Tipo en la Región de O'Higgins, Año 2021"/>
        <s v="Cantidad de Establecimientos de la Salud por Tipo en la Región de Maule, Año 2021"/>
        <s v="Cantidad de Establecimientos de la Salud por Tipo en la Región del Biobío, Año 2021"/>
        <s v="Cantidad de Establecimientos de la Salud por Tipo en la Región de La Araucanía, Año 2021"/>
        <s v="Cantidad de Establecimientos de la Salud por Tipo en la Región de Los Lagos, Año 2021"/>
        <s v="Cantidad de Establecimientos de la Salud por Tipo en la Región de Aysén, Año 2021"/>
        <s v="Cantidad de Establecimientos de la Salud por Tipo en la Región de Magallanes, Año 2021"/>
        <s v="Cantidad de Establecimientos de la Salud por Tipo en la Región Metropolitana, Año 2021"/>
        <s v="Cantidad de Establecimientos de la Salud por Tipo en la Región de Los Ríos, Año 2021"/>
        <s v="Cantidad de Establecimientos de la Salud por Tipo en la Región de Arica y Parinacota, Año 2021"/>
        <s v="Cantidad de Establecimientos de la Salud por Tipo en la Región de Ñuble, Año 2021"/>
        <s v="Atenciones Médicas por Violencia de Género por Región en Chile, Periodo 2010-2016"/>
        <s v="Atenciones Médicas por Violencia de Género en la Región de Tarapacá, Periodo 2010-2016"/>
        <s v="Atenciones Médicas por Violencia de Género en la Región de Antofagasta, Periodo 2010-2016"/>
        <s v="Atenciones Médicas por Violencia de Género en la Región de Atacama, Periodo 2010-2016"/>
        <s v="Atenciones Médicas por Violencia de Género en la Región de Coquimbo, Periodo 2010-2016"/>
        <s v="Atenciones Médicas por Violencia de Género en la Región de Valparaíso, Periodo 2010-2016"/>
        <s v="Atenciones Médicas por Violencia de Género en la Región de O'Higgins, Periodo 2010-2016"/>
        <s v="Atenciones Médicas por Violencia de Género en la Región de Maule, Periodo 2010-2016"/>
        <s v="Atenciones Médicas por Violencia de Género en la Región del Biobío, Periodo 2010-2016"/>
        <s v="Atenciones Médicas por Violencia de Género en la Región de La Araucanía, Periodo 2010-2016"/>
        <s v="Atenciones Médicas por Violencia de Género en la Región de Los Lagos, Periodo 2010-2016"/>
        <s v="Atenciones Médicas por Violencia de Género en la Región de Aysén, Periodo 2010-2016"/>
        <s v="Atenciones Médicas por Violencia de Género en la Región de Magallanes, Periodo 2010-2016"/>
        <s v="Atenciones Médicas por Violencia de Género en la Región Metropolitana, Periodo 2010-2016"/>
        <s v="Atenciones Médicas por Violencia de Género en la Región de Los Ríos, Periodo 2010-2016"/>
        <s v="Atenciones Médicas por Violencia de Género en la Región de Arica y Parinacota, Periodo 2010-2016"/>
        <s v="Atenciones Médicas por Violencia de Género en la Región de Ñuble, Periodo 2010-2016"/>
        <s v="Cantidad de Establecimientos de la Salud por Tipo y Categoría en Chile, Año 2021"/>
        <s v="Cantidad de Establecimientos de la Salud por Tipo y Categoría en la Región de Tarapacá, Año 2021"/>
        <s v="Cantidad de Establecimientos de la Salud por Tipo y Categoría en la Región de Antofagasta, Año 2021"/>
        <s v="Cantidad de Establecimientos de la Salud por Tipo y Categoría en la Región de Atacama, Año 2021"/>
        <s v="Cantidad de Establecimientos de la Salud por Tipo y Categoría en la Región de Coquimbo, Año 2021"/>
        <s v="Cantidad de Establecimientos de la Salud por Tipo y Categoría en la Región de Valparaíso, Año 2021"/>
        <s v="Cantidad de Establecimientos de la Salud por Tipo y Categoría en la Región de O'Higgins, Año 2021"/>
        <s v="Cantidad de Establecimientos de la Salud por Tipo y Categoría en la Región de Maule, Año 2021"/>
        <s v="Cantidad de Establecimientos de la Salud por Tipo y Categoría en la Región del Biobío, Año 2021"/>
        <s v="Cantidad de Establecimientos de la Salud por Tipo y Categoría en la Región de La Araucanía, Año 2021"/>
        <s v="Cantidad de Establecimientos de la Salud por Tipo y Categoría en la Región de Los Lagos, Año 2021"/>
        <s v="Cantidad de Establecimientos de la Salud por Tipo y Categoría en la Región de Aysén, Año 2021"/>
        <s v="Cantidad de Establecimientos de la Salud por Tipo y Categoría en la Región de Magallanes, Año 2021"/>
        <s v="Cantidad de Establecimientos de la Salud por Tipo y Categoría en la Región Metropolitana, Año 2021"/>
        <s v="Cantidad de Establecimientos de la Salud por Tipo y Categoría en la Región de Los Ríos, Año 2021"/>
        <s v="Cantidad de Establecimientos de la Salud por Tipo y Categoría en la Región de Arica y Parinacota, Año 2021"/>
        <s v="Cantidad de Establecimientos de la Salud por Tipo y Categoría en la Región de Ñuble, Año 2021"/>
        <s v="Cantidad de licencias de conducir del tipo profesional según clase en Chile, Periodo 2011-2017"/>
        <s v="Cantidad de licencias de conducir del tipo profesional según clase en la Región de Tarapacá, Periodo 2011-2017"/>
        <s v="Cantidad de licencias de conducir del tipo profesional según clase en la Región de Antofagasta, Periodo 2011-2017"/>
        <s v="Cantidad de licencias de conducir del tipo profesional según clase en la Región de Atacama, Periodo 2011-2017"/>
        <s v="Cantidad de licencias de conducir del tipo profesional según clase en la Región de Coquimbo, Periodo 2011-2017"/>
        <s v="Cantidad de licencias de conducir del tipo profesional según clase en la Región de Valparaíso, Periodo 2011-2017"/>
        <s v="Cantidad de licencias de conducir del tipo profesional según clase en la Región de O'Higgins, Periodo 2011-2017"/>
        <s v="Cantidad de licencias de conducir del tipo profesional según clase en la Región de Maule, Periodo 2011-2017"/>
        <s v="Cantidad de licencias de conducir del tipo profesional según clase en la Región del Biobío, Periodo 2011-2017"/>
        <s v="Cantidad de licencias de conducir del tipo profesional según clase en la Región de La Araucanía, Periodo 2011-2017"/>
        <s v="Cantidad de licencias de conducir del tipo profesional según clase en la Región de Los Lagos, Periodo 2011-2017"/>
        <s v="Cantidad de licencias de conducir del tipo profesional según clase en la Región de Aysén, Periodo 2011-2017"/>
        <s v="Cantidad de licencias de conducir del tipo profesional según clase en la Región de Magallanes, Periodo 2011-2017"/>
        <s v="Cantidad de licencias de conducir del tipo profesional según clase en la Región Metropolitana, Periodo 2011-2017"/>
        <s v="Cantidad de licencias de conducir del tipo profesional según clase en la Región de Los Ríos, Periodo 2011-2017"/>
        <s v="Cantidad de licencias de conducir del tipo profesional según clase en la Región de Arica y Parinacota, Periodo 2011-2017"/>
        <s v="Cantidad de licencias de conducir del tipo profesional según clase en la Región de Ñuble, Periodo 2011-2017"/>
        <s v="Cantidad de permisos de circulación según tipo de transporte en Chile, Periodo 2008-2019"/>
        <s v="Cantidad de permisos de circulación según tipo de transporte en la Región de Tarapacá, Periodo 2008-2019"/>
        <s v="Cantidad de permisos de circulación según tipo de transporte en la Región de Antofagasta, Periodo 2008-2019"/>
        <s v="Cantidad de permisos de circulación según tipo de transporte en la Región de Atacama, Periodo 2008-2019"/>
        <s v="Cantidad de permisos de circulación según tipo de transporte en la Región de Coquimbo, Periodo 2008-2019"/>
        <s v="Cantidad de permisos de circulación según tipo de transporte en la Región de Valparaíso, Periodo 2008-2019"/>
        <s v="Cantidad de permisos de circulación según tipo de transporte en la Región de O'Higgins, Periodo 2008-2019"/>
        <s v="Cantidad de permisos de circulación según tipo de transporte en la Región de Maule, Periodo 2008-2019"/>
        <s v="Cantidad de permisos de circulación según tipo de transporte en la Región del Biobío, Periodo 2008-2019"/>
        <s v="Cantidad de permisos de circulación según tipo de transporte en la Región de La Araucanía, Periodo 2008-2019"/>
        <s v="Cantidad de permisos de circulación según tipo de transporte en la Región de Los Lagos, Periodo 2008-2019"/>
        <s v="Cantidad de permisos de circulación según tipo de transporte en la Región de Aysén, Periodo 2008-2019"/>
        <s v="Cantidad de permisos de circulación según tipo de transporte en la Región de Magallanes, Periodo 2008-2019"/>
        <s v="Cantidad de permisos de circulación según tipo de transporte en la Región Metropolitana, Periodo 2008-2019"/>
        <s v="Cantidad de permisos de circulación según tipo de transporte en la Región de Los Ríos, Periodo 2008-2019"/>
        <s v="Cantidad de permisos de circulación según tipo de transporte en la Región de Arica y Parinacota, Periodo 2008-2019"/>
        <s v="Cantidad de permisos de circulación según tipo de transporte en la Región de Ñuble, Periodo 2008-2019"/>
        <s v="Cantidad de licencias de conducir del tipo no profesional por Comuna en Chile, Periodo 2011-2017"/>
        <s v="Cantidad de licencias de conducir del tipo no profesional por Comuna en la Región de Tarapacá, Periodo 2011-2017"/>
        <s v="Cantidad de licencias de conducir del tipo no profesional por Comuna en la Región de Antofagasta, Periodo 2011-2017"/>
        <s v="Cantidad de licencias de conducir del tipo no profesional por Comuna en la Región de Atacama, Periodo 2011-2017"/>
        <s v="Cantidad de licencias de conducir del tipo no profesional por Comuna en la Región de Coquimbo, Periodo 2011-2017"/>
        <s v="Cantidad de licencias de conducir del tipo no profesional por Comuna en la Región de Valparaíso, Periodo 2011-2017"/>
        <s v="Cantidad de licencias de conducir del tipo no profesional por Comuna en la Región de O'Higgins, Periodo 2011-2017"/>
        <s v="Cantidad de licencias de conducir del tipo no profesional por Comuna en la Región de Maule, Periodo 2011-2017"/>
        <s v="Cantidad de licencias de conducir del tipo no profesional por Comuna en la Región del Biobío, Periodo 2011-2017"/>
        <s v="Cantidad de licencias de conducir del tipo no profesional por Comuna en la Región de La Araucanía, Periodo 2011-2017"/>
        <s v="Cantidad de licencias de conducir del tipo no profesional por Comuna en la Región de Los Lagos, Periodo 2011-2017"/>
        <s v="Cantidad de licencias de conducir del tipo no profesional por Comuna en la Región de Aysén, Periodo 2011-2017"/>
        <s v="Cantidad de licencias de conducir del tipo no profesional por Comuna en la Región de Magallanes, Periodo 2011-2017"/>
        <s v="Cantidad de licencias de conducir del tipo no profesional por Comuna en la Región Metropolitana, Periodo 2011-2017"/>
        <s v="Cantidad de licencias de conducir del tipo no profesional por Comuna en la Región de Los Ríos, Periodo 2011-2017"/>
        <s v="Cantidad de licencias de conducir del tipo no profesional por Comuna en la Región de Arica y Parinacota, Periodo 2011-2017"/>
        <s v="Cantidad de licencias de conducir del tipo no profesional por Comuna en la Región de Ñuble, Periodo 2011-2017"/>
        <s v="Cantidad de permisos de circulación de transportes colectivos por Comuna en Chile, Periodo 2008-2019"/>
        <s v="Cantidad de permisos de circulación de transportes colectivos por Comuna en la Región de Tarapacá, Periodo 2008-2019"/>
        <s v="Cantidad de permisos de circulación de transportes colectivos por Comuna en la Región de Antofagasta, Periodo 2008-2019"/>
        <s v="Cantidad de permisos de circulación de transportes colectivos por Comuna en la Región de Atacama, Periodo 2008-2019"/>
        <s v="Cantidad de permisos de circulación de transportes colectivos por Comuna en la Región de Coquimbo, Periodo 2008-2019"/>
        <s v="Cantidad de permisos de circulación de transportes colectivos por Comuna en la Región de Valparaíso, Periodo 2008-2019"/>
        <s v="Cantidad de permisos de circulación de transportes colectivos por Comuna en la Región de O'Higgins, Periodo 2008-2019"/>
        <s v="Cantidad de permisos de circulación de transportes colectivos por Comuna en la Región de Maule, Periodo 2008-2019"/>
        <s v="Cantidad de permisos de circulación de transportes colectivos por Comuna en la Región del Biobío, Periodo 2008-2019"/>
        <s v="Cantidad de permisos de circulación de transportes colectivos por Comuna en la Región de La Araucanía, Periodo 2008-2019"/>
        <s v="Cantidad de permisos de circulación de transportes colectivos por Comuna en la Región de Los Lagos, Periodo 2008-2019"/>
        <s v="Cantidad de permisos de circulación de transportes colectivos por Comuna en la Región de Aysén, Periodo 2008-2019"/>
        <s v="Cantidad de permisos de circulación de transportes colectivos por Comuna en la Región de Magallanes, Periodo 2008-2019"/>
        <s v="Cantidad de permisos de circulación de transportes colectivos por Comuna en la Región Metropolitana, Periodo 2008-2019"/>
        <s v="Cantidad de permisos de circulación de transportes colectivos por Comuna en la Región de Los Ríos, Periodo 2008-2019"/>
        <s v="Cantidad de permisos de circulación de transportes colectivos por Comuna en la Región de Arica y Parinacota, Periodo 2008-2019"/>
        <s v="Cantidad de permisos de circulación de transportes colectivos por Comuna en la Región de Ñuble, Periodo 2008-2019"/>
        <s v="Cantidad de licencias de conducir por clase y Comuna en Chile, Periodo 2011-2017"/>
        <s v="Cantidad de licencias de conducir por clase y Comuna en la Región de Tarapacá, Periodo 2011-2017"/>
        <s v="Cantidad de licencias de conducir por clase y Comuna en la Región de Antofagasta, Periodo 2011-2017"/>
        <s v="Cantidad de licencias de conducir por clase y Comuna en la Región de Atacama, Periodo 2011-2017"/>
        <s v="Cantidad de licencias de conducir por clase y Comuna en la Región de Coquimbo, Periodo 2011-2017"/>
        <s v="Cantidad de licencias de conducir por clase y Comuna en la Región de Valparaíso, Periodo 2011-2017"/>
        <s v="Cantidad de licencias de conducir por clase y Comuna en la Región de O'Higgins, Periodo 2011-2017"/>
        <s v="Cantidad de licencias de conducir por clase y Comuna en la Región de Maule, Periodo 2011-2017"/>
        <s v="Cantidad de licencias de conducir por clase y Comuna en la Región del Biobío, Periodo 2011-2017"/>
        <s v="Cantidad de licencias de conducir por clase y Comuna en la Región de La Araucanía, Periodo 2011-2017"/>
        <s v="Cantidad de licencias de conducir por clase y Comuna en la Región de Los Lagos, Periodo 2011-2017"/>
        <s v="Cantidad de licencias de conducir por clase y Comuna en la Región de Aysén, Periodo 2011-2017"/>
        <s v="Cantidad de licencias de conducir por clase y Comuna en la Región de Magallanes, Periodo 2011-2017"/>
        <s v="Cantidad de licencias de conducir por clase y Comuna en la Región Metropolitana, Periodo 2011-2017"/>
        <s v="Cantidad de licencias de conducir por clase y Comuna en la Región de Los Ríos, Periodo 2011-2017"/>
        <s v="Cantidad de licencias de conducir por clase y Comuna en la Región de Arica y Parinacota, Periodo 2011-2017"/>
        <s v="Cantidad de licencias de conducir por clase y Comuna en la Región de Ñuble, Periodo 2011-2017"/>
        <s v="Capacidad Instalada (MW) de Centrales Eléctricas por Tipo de Energía y Región en Chile, para el Año 2021"/>
        <s v="Capacidad Instalada (MW) de Centrales Eléctricas por Tipo de Energía en la Región de Tarapacá, para el Año 2021"/>
        <s v="Capacidad Instalada (MW) de Centrales Eléctricas por Tipo de Energía en la Región de Antofagasta, para el Año 2021"/>
        <s v="Capacidad Instalada (MW) de Centrales Eléctricas por Tipo de Energía en la Región de Atacama, para el Año 2021"/>
        <s v="Capacidad Instalada (MW) de Centrales Eléctricas por Tipo de Energía en la Región de Coquimbo, para el Año 2021"/>
        <s v="Capacidad Instalada (MW) de Centrales Eléctricas por Tipo de Energía en la Región de Valparaíso, para el Año 2021"/>
        <s v="Capacidad Instalada (MW) de Centrales Eléctricas por Tipo de Energía en la Región de O'Higgins, para el Año 2021"/>
        <s v="Capacidad Instalada (MW) de Centrales Eléctricas por Tipo de Energía en la Región de Maule, para el Año 2021"/>
        <s v="Capacidad Instalada (MW) de Centrales Eléctricas por Tipo de Energía en la Región del Biobío, para el Año 2021"/>
        <s v="Capacidad Instalada (MW) de Centrales Eléctricas por Tipo de Energía en la Región de La Araucanía, para el Año 2021"/>
        <s v="Capacidad Instalada (MW) de Centrales Eléctricas por Tipo de Energía en la Región de Los Lagos, para el Año 2021"/>
        <s v="Capacidad Instalada (MW) de Centrales Eléctricas por Tipo de Energía en la Región de Aysén, para el Año 2021"/>
        <s v="Capacidad Instalada (MW) de Centrales Eléctricas por Tipo de Energía en la Región de Magallanes, para el Año 2021"/>
        <s v="Capacidad Instalada (MW) de Centrales Eléctricas por Tipo de Energía en la Región Metropolitana, para el Año 2021"/>
        <s v="Capacidad Instalada (MW) de Centrales Eléctricas por Tipo de Energía en la Región de Los Ríos, para el Año 2021"/>
        <s v="Capacidad Instalada (MW) de Centrales Eléctricas por Tipo de Energía en la Región de Arica y Parinacota, para el Año 2021"/>
        <s v="Capacidad Instalada (MW) de Centrales Eléctricas por Tipo de Energía en la Región de Ñuble, para el Año 2021"/>
        <s v="Top 10 de Propietarios de Centrales Eléctricas con Mayor Capacidad Instalada (MW) en Chile, para el Año 2021"/>
        <s v="Cantidad de Centrales Eléctricas de Energía Renovable y No Renovable por Región en el año 2021"/>
        <s v="Cantidad de Centrales Eléctricas de Energía Renovable No Convencional por Comuna en Chile, para el Año 2021"/>
        <s v="Cantidad de Centrales Eléctricas de Energía Renovable No Convencional por Comuna en la Región de Tarapacá, para el Año 2021"/>
        <s v="Cantidad de Centrales Eléctricas de Energía Renovable No Convencional por Comuna en la Región de Antofagasta, para el Año 2021"/>
        <s v="Cantidad de Centrales Eléctricas de Energía Renovable No Convencional por Comuna en la Región de Atacama, para el Año 2021"/>
        <s v="Cantidad de Centrales Eléctricas de Energía Renovable No Convencional por Comuna en la Región de Coquimbo, para el Año 2021"/>
        <s v="Cantidad de Centrales Eléctricas de Energía Renovable No Convencional por Comuna en la Región de Valparaíso, para el Año 2021"/>
        <s v="Cantidad de Centrales Eléctricas de Energía Renovable No Convencional por Comuna en la Región de O'Higgins, para el Año 2021"/>
        <s v="Cantidad de Centrales Eléctricas de Energía Renovable No Convencional por Comuna en la Región de Maule, para el Año 2021"/>
        <s v="Cantidad de Centrales Eléctricas de Energía Renovable No Convencional por Comuna en la Región del Biobío, para el Año 2021"/>
        <s v="Cantidad de Centrales Eléctricas de Energía Renovable No Convencional por Comuna en la Región de La Araucanía, para el Año 2021"/>
        <s v="Cantidad de Centrales Eléctricas de Energía Renovable No Convencional por Comuna en la Región de Los Lagos, para el Año 2021"/>
        <s v="Cantidad de Centrales Eléctricas de Energía Renovable No Convencional por Comuna en la Región de Aysén, para el Año 2021"/>
        <s v="Cantidad de Centrales Eléctricas de Energía Renovable No Convencional por Comuna en la Región de Magallanes, para el Año 2021"/>
        <s v="Cantidad de Centrales Eléctricas de Energía Renovable No Convencional por Comuna en la Región Metropolitana, para el Año 2021"/>
        <s v="Cantidad de Centrales Eléctricas de Energía Renovable No Convencional por Comuna en la Región de Los Ríos, para el Año 2021"/>
        <s v="Cantidad de Centrales Eléctricas de Energía Renovable No Convencional por Comuna en la Región de Arica y Parinacota, para el Año 2021"/>
        <s v="Cantidad de Centrales Eléctricas de Energía Renovable No Convencional por Comuna en la Región de Ñuble, para el Año 2021"/>
        <s v="Capacidad Instalada (MW) de Centrales Eléctricas por Región en Chile, Año 2021"/>
        <s v="Top 10 Comunas con la mayor cantidad de farmacias en Chile, Año 2021"/>
        <s v="Cantidad de Farmacias por Región en Chile, Año 2021"/>
        <s v="Cantidad de Farmacias de Turno por Comuna en Chile, Año 2021"/>
        <s v="Cantidad de Farmacias de Turno por Comuna en la Región de Tarapacá, Año 2021"/>
        <s v="Cantidad de Farmacias de Turno por Comuna en la Región de Antofagasta, Año 2021"/>
        <s v="Cantidad de Farmacias de Turno por Comuna en la Región de Atacama, Año 2021"/>
        <s v="Cantidad de Farmacias de Turno por Comuna en la Región de Coquimbo, Año 2021"/>
        <s v="Cantidad de Farmacias de Turno por Comuna en la Región de Valparaíso, Año 2021"/>
        <s v="Cantidad de Farmacias de Turno por Comuna en la Región de O'Higgins, Año 2021"/>
        <s v="Cantidad de Farmacias de Turno por Comuna en la Región de Maule, Año 2021"/>
        <s v="Cantidad de Farmacias de Turno por Comuna en la Región del Biobío, Año 2021"/>
        <s v="Cantidad de Farmacias de Turno por Comuna en la Región de La Araucanía, Año 2021"/>
        <s v="Cantidad de Farmacias de Turno por Comuna en la Región de Los Lagos, Año 2021"/>
        <s v="Cantidad de Farmacias de Turno por Comuna en la Región de Aysén, Año 2021"/>
        <s v="Cantidad de Farmacias de Turno por Comuna en la Región de Magallanes, Año 2021"/>
        <s v="Cantidad de Farmacias de Turno por Comuna en la Región Metropolitana, Año 2021"/>
        <s v="Cantidad de Farmacias de Turno por Comuna en la Región de Los Ríos, Año 2021"/>
        <s v="Cantidad de Farmacias de Turno por Comuna en la Región de Ñuble, Año 2021"/>
        <s v="Cantidad de Farmacias de Turno por Región en Chile, Año 2021"/>
        <s v="Evolución Trimestral de Exportaciones (USD) de Productos del Mar desde Chile, Periodo 2018-2021"/>
        <s v="Evolución Trimestral de Exportaciones (USD) por Tipo de Producto desde Chile, Periodo 2015-2021"/>
        <s v="Mapa de calor que muestra el valor de las Importaciones en USD por Región  en Chile, Año 2021"/>
        <s v="Volumen de las importaciones en kilogramo según tipo de terminal de entrada en Chile, Periodo 2015-2021"/>
        <s v="Volumen de las importaciones en kilogramo según tipo de terminal de entrada en la Región de Tarapacá, Periodo 2015-2021"/>
        <s v="Volumen de las importaciones en kilogramo según tipo de terminal de entrada en la Región de Antofagasta, Periodo 2015-2021"/>
        <s v="Volumen de las importaciones en kilogramo según tipo de terminal de entrada en la Región de Atacama, Periodo 2015-2021"/>
        <s v="Volumen de las importaciones en kilogramo según tipo de terminal de entrada en la Región de Coquimbo, Periodo 2015-2021"/>
        <s v="Volumen de las importaciones en kilogramo según tipo de terminal de entrada en la Región de Valparaíso, Periodo 2015-2021"/>
        <s v="Volumen de las importaciones en kilogramo según tipo de terminal de entrada en la Región de O'Higgins, Periodo 2015-2021"/>
        <s v="Volumen de las importaciones en kilogramo según tipo de terminal de entrada en la Región de Maule, Periodo 2015-2021"/>
        <s v="Volumen de las importaciones en kilogramo según tipo de terminal de entrada en la Región del Biobío, Periodo 2015-2021"/>
        <s v="Volumen de las importaciones en kilogramo según tipo de terminal de entrada en la Región de La Araucanía, Periodo 2015-2021"/>
        <s v="Volumen de las importaciones en kilogramo según tipo de terminal de entrada en la Región de Los Lagos, Periodo 2015-2021"/>
        <s v="Volumen de las importaciones en kilogramo según tipo de terminal de entrada en la Región de Aysén, Periodo 2015-2021"/>
        <s v="Volumen de las importaciones en kilogramo según tipo de terminal de entrada en la Región de Magallanes, Periodo 2015-2021"/>
        <s v="Volumen de las importaciones en kilogramo según tipo de terminal de entrada en la Región Metropolitana, Periodo 2015-2021"/>
        <s v="Volumen de las importaciones en kilogramo según tipo de terminal de entrada en la Región de Los Ríos, Periodo 2015-2021"/>
        <s v="Volumen de las importaciones en kilogramo según tipo de terminal de entrada en la Región de Arica y Parinacota, Periodo 2015-2021"/>
        <s v="Valor de las exportaciones en USD según terminal de salida para Chile, Periodo 2015-2021"/>
        <s v="Valor de las exportaciones en USD según terminal de salida para la Región de Tarapacá, Periodo 2015-2021"/>
        <s v="Valor de las exportaciones en USD según terminal de salida para la Región de Antofagasta, Periodo 2015-2021"/>
        <s v="Valor de las exportaciones en USD según terminal de salida para la Región de Atacama, Periodo 2015-2021"/>
        <s v="Valor de las exportaciones en USD según terminal de salida para la Región de Coquimbo, Periodo 2015-2021"/>
        <s v="Valor de las exportaciones en USD según terminal de salida para la Región de Valparaíso, Periodo 2015-2021"/>
        <s v="Valor de las exportaciones en USD según terminal de salida para la Región de O'Higgins, Periodo 2015-2021"/>
        <s v="Valor de las exportaciones en USD según terminal de salida para la Región de Maule, Periodo 2015-2021"/>
        <s v="Valor de las exportaciones en USD según terminal de salida para la Región del Biobío, Periodo 2015-2021"/>
        <s v="Valor de las exportaciones en USD según terminal de salida para la Región de La Araucanía, Periodo 2015-2021"/>
        <s v="Valor de las exportaciones en USD según terminal de salida para la Región de Los Lagos, Periodo 2015-2021"/>
        <s v="Valor de las exportaciones en USD según terminal de salida para la Región de Aysén, Periodo 2015-2021"/>
        <s v="Valor de las exportaciones en USD según terminal de salida para la Región de Magallanes, Periodo 2015-2021"/>
        <s v="Valor de las exportaciones en USD según terminal de salida para la Región Metropolitana, Periodo 2015-2021"/>
        <s v="Valor de las exportaciones en USD según terminal de salida para la Región de Los Ríos, Periodo 2015-2021"/>
        <s v="Valor de las exportaciones en USD según terminal de salida para la Región de Arica y Parinacota, Periodo 2015-2021"/>
        <s v="Volumen de las exportaciones en kilogramo en Chile, Periodo 2015-2021"/>
        <s v="Evolución por trimestre de Importaciones y exportaciones según el volumen (kg) en Chile, Periodo 2015-2021"/>
        <s v="Evolución por trimestre de Importaciones y exportaciones según el volumen (kg) en la Región de Tarapacá, Periodo 2015-2021"/>
        <s v="Evolución por trimestre de Importaciones y exportaciones según el volumen (kg) en la Región de Antofagasta, Periodo 2015-2021"/>
        <s v="Evolución por trimestre de Importaciones y exportaciones según el volumen (kg) en la Región de Atacama, Periodo 2015-2021"/>
        <s v="Evolución por trimestre de Importaciones y exportaciones según el volumen (kg) en la Región de Coquimbo, Periodo 2015-2021"/>
        <s v="Evolución por trimestre de Importaciones y exportaciones según el volumen (kg) en la Región de Valparaíso, Periodo 2015-2021"/>
        <s v="Evolución por trimestre de Importaciones y exportaciones según el volumen (kg) en la Región de O'Higgins, Periodo 2015-2021"/>
        <s v="Evolución por trimestre de Importaciones y exportaciones según el volumen (kg) en la Región de Maule, Periodo 2015-2021"/>
        <s v="Evolución por trimestre de Importaciones y exportaciones según el volumen (kg) en la Región del Biobío, Periodo 2015-2021"/>
        <s v="Evolución por trimestre de Importaciones y exportaciones según el volumen (kg) en la Región de La Araucanía, Periodo 2015-2021"/>
        <s v="Evolución por trimestre de Importaciones y exportaciones según el volumen (kg) en la Región de Los Lagos, Periodo 2015-2021"/>
        <s v="Evolución por trimestre de Importaciones y exportaciones según el volumen (kg) en la Región de Aysén, Periodo 2015-2021"/>
        <s v="Evolución por trimestre de Importaciones y exportaciones según el volumen (kg) en la Región de Magallanes, Periodo 2015-2021"/>
        <s v="Evolución por trimestre de Importaciones y exportaciones según el volumen (kg) en la Región Metropolitana, Periodo 2015-2021"/>
        <s v="Evolución por trimestre de Importaciones y exportaciones según el volumen (kg) en la Región de Los Ríos, Periodo 2015-2021"/>
        <s v="Evolución por trimestre de Importaciones y exportaciones según el volumen (kg) en la Región de Arica y Parinacota, Periodo 2015-2021"/>
        <s v="Cantidad de Parques Urbanos por Comuna en Chile, Año 2020"/>
        <s v="Cantidad de Parques Urbanos por Comuna en la Región de Tarapacá, Año 2020"/>
        <s v="Cantidad de Parques Urbanos por Comuna en la Región de Antofagasta, Año 2020"/>
        <s v="Cantidad de Parques Urbanos por Comuna en la Región de Atacama, Año 2020"/>
        <s v="Cantidad de Parques Urbanos por Comuna en la Región de Coquimbo, Año 2020"/>
        <s v="Cantidad de Parques Urbanos por Comuna en la Región de Valparaíso, Año 2020"/>
        <s v="Cantidad de Parques Urbanos por Comuna en la Región de O'Higgins, Año 2020"/>
        <s v="Cantidad de Parques Urbanos por Comuna en la Región de Maule, Año 2020"/>
        <s v="Cantidad de Parques Urbanos por Comuna en la Región del Biobío, Año 2020"/>
        <s v="Cantidad de Parques Urbanos por Comuna en la Región de La Araucanía, Año 2020"/>
        <s v="Cantidad de Parques Urbanos por Comuna en la Región de Los Lagos, Año 2020"/>
        <s v="Cantidad de Parques Urbanos por Comuna en la Región de Aysén, Año 2020"/>
        <s v="Cantidad de Parques Urbanos por Comuna en la Región de Magallanes, Año 2020"/>
        <s v="Cantidad de Parques Urbanos por Comuna en la Región Metropolitana, Año 2020"/>
        <s v="Cantidad de Parques Urbanos por Comuna en la Región de Los Ríos, Año 2020"/>
        <s v="Cantidad de Parques Urbanos por Comuna en la Región de Arica y Parinacota, Año 2020"/>
        <s v="Cantidad de Parques Urbanos por Comuna en la Región de Ñuble, Año 2020"/>
        <s v="Cantidad de Plazas Públicas por Comuna en Chile, Año 2020"/>
        <s v="Cantidad de Plazas Públicas por Comuna en la Región de Tarapacá, Año 2020"/>
        <s v="Cantidad de Plazas Públicas por Comuna en la Región de Antofagasta, Año 2020"/>
        <s v="Cantidad de Plazas Públicas por Comuna en la Región de Atacama, Año 2020"/>
        <s v="Cantidad de Plazas Públicas por Comuna en la Región de Coquimbo, Año 2020"/>
        <s v="Cantidad de Plazas Públicas por Comuna en la Región de Valparaíso, Año 2020"/>
        <s v="Cantidad de Plazas Públicas por Comuna en la Región de O'Higgins, Año 2020"/>
        <s v="Cantidad de Plazas Públicas por Comuna en la Región de Maule, Año 2020"/>
        <s v="Cantidad de Plazas Públicas por Comuna en la Región del Biobío, Año 2020"/>
        <s v="Cantidad de Plazas Públicas por Comuna en la Región de La Araucanía, Año 2020"/>
        <s v="Cantidad de Plazas Públicas por Comuna en la Región de Los Lagos, Año 2020"/>
        <s v="Cantidad de Plazas Públicas por Comuna en la Región de Aysén, Año 2020"/>
        <s v="Cantidad de Plazas Públicas por Comuna en la Región de Magallanes, Año 2020"/>
        <s v="Cantidad de Plazas Públicas por Comuna en la Región Metropolitana, Año 2020"/>
        <s v="Cantidad de Plazas Públicas por Comuna en la Región de Los Ríos, Año 2020"/>
        <s v="Cantidad de Plazas Públicas por Comuna en la Región de Arica y Parinacota, Año 2020"/>
        <s v="Cantidad de Plazas Públicas por Comuna en la Región de Ñuble, Año 2020"/>
        <s v="Áreas Verdes Mantenidas (m2) por Habitante y Comuna en Chile, Periodo 2001-2020"/>
        <s v="Áreas Verdes Mantenidas (m2) por Habitante y Comuna en la Región de Tarapacá, Periodo 2001-2020"/>
        <s v="Áreas Verdes Mantenidas (m2) por Habitante y Comuna en la Región de Antofagasta, Periodo 2001-2020"/>
        <s v="Áreas Verdes Mantenidas (m2) por Habitante y Comuna en la Región de Atacama, Periodo 2001-2020"/>
        <s v="Áreas Verdes Mantenidas (m2) por Habitante y Comuna en la Región de Coquimbo, Periodo 2001-2020"/>
        <s v="Áreas Verdes Mantenidas (m2) por Habitante y Comuna en la Región de Valparaíso, Periodo 2001-2020"/>
        <s v="Áreas Verdes Mantenidas (m2) por Habitante y Comuna en la Región de O'Higgins, Periodo 2001-2020"/>
        <s v="Áreas Verdes Mantenidas (m2) por Habitante y Comuna en la Región de Maule, Periodo 2001-2020"/>
        <s v="Áreas Verdes Mantenidas (m2) por Habitante y Comuna en la Región del Biobío, Periodo 2001-2020"/>
        <s v="Áreas Verdes Mantenidas (m2) por Habitante y Comuna en la Región de La Araucanía, Periodo 2001-2020"/>
        <s v="Áreas Verdes Mantenidas (m2) por Habitante y Comuna en la Región de Los Lagos, Periodo 2001-2020"/>
        <s v="Áreas Verdes Mantenidas (m2) por Habitante y Comuna en la Región de Aysén, Periodo 2001-2020"/>
        <s v="Áreas Verdes Mantenidas (m2) por Habitante y Comuna en la Región de Magallanes, Periodo 2001-2020"/>
        <s v="Áreas Verdes Mantenidas (m2) por Habitante y Comuna en la Región Metropolitana, Periodo 2001-2020"/>
        <s v="Áreas Verdes Mantenidas (m2) por Habitante y Comuna en la Región de Los Ríos, Periodo 2001-2020"/>
        <s v="Áreas Verdes Mantenidas (m2) por Habitante y Comuna en la Región de Arica y Parinacota, Periodo 2001-2020"/>
        <s v="Áreas Verdes Mantenidas (m2) por Habitante y Comuna en la Región de Ñuble, Periodo 2001-2020"/>
        <s v="Población que tuvo al menos una Consulta Mental en Chile, a Escala Nacional, Periodo 2009-2017"/>
        <s v="Evolución de la Tasa de Consultas Mentales a Escala Regional (Consultas cada 100 mil habitantes) en Chile, Periodo 2009-2017"/>
        <s v="Evolución de la Tasa de Consultas Mentales a Escala Comunal (Consultas cada 100 mil habitantes) en  Chile, Periodo 2009-2017"/>
        <s v="Evolución de la Tasa de Consultas Mentales a Escala Comunal (Consultas cada 100 mil habitantes) en la  Región de Tarapacá, Periodo 2009-2017"/>
        <s v="Evolución de la Tasa de Consultas Mentales a Escala Comunal (Consultas cada 100 mil habitantes) en la  Región de Antofagasta, Periodo 2009-2017"/>
        <s v="Evolución de la Tasa de Consultas Mentales a Escala Comunal (Consultas cada 100 mil habitantes) en la  Región de Atacama, Periodo 2009-2017"/>
        <s v="Evolución de la Tasa de Consultas Mentales a Escala Comunal (Consultas cada 100 mil habitantes) en la  Región de Coquimbo, Periodo 2009-2017"/>
        <s v="Evolución de la Tasa de Consultas Mentales a Escala Comunal (Consultas cada 100 mil habitantes) en la  Región de Valparaíso, Periodo 2009-2017"/>
        <s v="Evolución de la Tasa de Consultas Mentales a Escala Comunal (Consultas cada 100 mil habitantes) en la  Región de O'Higgins, Periodo 2009-2017"/>
        <s v="Evolución de la Tasa de Consultas Mentales a Escala Comunal (Consultas cada 100 mil habitantes) en la  Región de Maule, Periodo 2009-2017"/>
        <s v="Evolución de la Tasa de Consultas Mentales a Escala Comunal (Consultas cada 100 mil habitantes) en la  Región del Biobío, Periodo 2009-2017"/>
        <s v="Evolución de la Tasa de Consultas Mentales a Escala Comunal (Consultas cada 100 mil habitantes) en la  Región de La Araucanía, Periodo 2009-2017"/>
        <s v="Evolución de la Tasa de Consultas Mentales a Escala Comunal (Consultas cada 100 mil habitantes) en la  Región de Los Lagos, Periodo 2009-2017"/>
        <s v="Evolución de la Tasa de Consultas Mentales a Escala Comunal (Consultas cada 100 mil habitantes) en la  Región de Aysén, Periodo 2009-2017"/>
        <s v="Evolución de la Tasa de Consultas Mentales a Escala Comunal (Consultas cada 100 mil habitantes) en la  Región de Magallanes, Periodo 2009-2017"/>
        <s v="Evolución de la Tasa de Consultas Mentales a Escala Comunal (Consultas cada 100 mil habitantes) en la  Región Metropolitana, Periodo 2009-2017"/>
        <s v="Evolución de la Tasa de Consultas Mentales a Escala Comunal (Consultas cada 100 mil habitantes) en la  Región de Los Ríos, Periodo 2009-2017"/>
        <s v="Evolución de la Tasa de Consultas Mentales a Escala Comunal (Consultas cada 100 mil habitantes) en la  Región de Arica y Parinacota, Periodo 2009-2017"/>
        <s v="Evolución de la Tasa de Consultas Mentales a Escala Comunal (Consultas cada 100 mil habitantes) en la  Región de Ñuble, Periodo 2009-2017"/>
        <s v="Top 10 de comunas en Chile con mayor cantidad de suscripciones a internet fija, Periodo 2007-2019"/>
        <s v="Mapa de cantidad de conexiones a internet fija en Chile, Año 2019"/>
        <s v="Mapa de cantidad de conexiones a internet fija en la Región de Tarapacá, Año 2019"/>
        <s v="Mapa de cantidad de conexiones a internet fija en la Región de Antofagasta, Año 2019"/>
        <s v="Mapa de cantidad de conexiones a internet fija en la Región de Atacama, Año 2019"/>
        <s v="Mapa de cantidad de conexiones a internet fija en la Región de Coquimbo, Año 2019"/>
        <s v="Mapa de cantidad de conexiones a internet fija en la Región de Valparaíso, Año 2019"/>
        <s v="Mapa de cantidad de conexiones a internet fija en la Región de O'Higgins, Año 2019"/>
        <s v="Mapa de cantidad de conexiones a internet fija en la Región de Maule, Año 2019"/>
        <s v="Mapa de cantidad de conexiones a internet fija en la Región del Biobío, Año 2019"/>
        <s v="Mapa de cantidad de conexiones a internet fija en la Región de La Araucanía, Año 2019"/>
        <s v="Mapa de cantidad de conexiones a internet fija en la Región de Los Lagos, Año 2019"/>
        <s v="Mapa de cantidad de conexiones a internet fija en la Región de Aysén, Año 2019"/>
        <s v="Mapa de cantidad de conexiones a internet fija en la Región de Magallanes, Año 2019"/>
        <s v="Mapa de cantidad de conexiones a internet fija en la Región Metropolitana, Año 2019"/>
        <s v="Mapa de cantidad de conexiones a internet fija en la Región de Los Ríos, Año 2019"/>
        <s v="Mapa de cantidad de conexiones a internet fija en la Región de Arica y Parinacota, Año 2019"/>
        <s v="Mapa de cantidad de conexiones a internet fija en la Región de Ñuble, Año 2019"/>
        <s v="Evolución de los suscriptores de televisión de pago en Chile, Periodo 2007-2019"/>
        <s v="Evolución de los suscriptores de televisión de pago en la Región de Tarapacá, Periodo 2007-2019"/>
        <s v="Evolución de los suscriptores de televisión de pago en la Región de Antofagasta, Periodo 2007-2019"/>
        <s v="Evolución de los suscriptores de televisión de pago en la Región de Atacama, Periodo 2007-2019"/>
        <s v="Evolución de los suscriptores de televisión de pago en la Región de Coquimbo, Periodo 2007-2019"/>
        <s v="Evolución de los suscriptores de televisión de pago en la Región de Valparaíso, Periodo 2007-2019"/>
        <s v="Evolución de los suscriptores de televisión de pago en la Región de O'Higgins, Periodo 2007-2019"/>
        <s v="Evolución de los suscriptores de televisión de pago en la Región de Maule, Periodo 2007-2019"/>
        <s v="Evolución de los suscriptores de televisión de pago en la Región del Biobío, Periodo 2007-2019"/>
        <s v="Evolución de los suscriptores de televisión de pago en la Región de La Araucanía, Periodo 2007-2019"/>
        <s v="Evolución de los suscriptores de televisión de pago en la Región de Los Lagos, Periodo 2007-2019"/>
        <s v="Evolución de los suscriptores de televisión de pago en la Región de Aysén, Periodo 2007-2019"/>
        <s v="Evolución de los suscriptores de televisión de pago en la Región de Magallanes, Periodo 2007-2019"/>
        <s v="Evolución de los suscriptores de televisión de pago en la Región Metropolitana, Periodo 2007-2019"/>
        <s v="Evolución de los suscriptores de televisión de pago en la Región de Los Ríos, Periodo 2007-2019"/>
        <s v="Evolución de los suscriptores de televisión de pago en la Región de Arica y Parinacota, Periodo 2007-2019"/>
        <s v="Evolución de los suscriptores de televisión de pago en la Región de Ñuble, Periodo 2007-2019"/>
        <s v="Comunas por región con la mayor cantidad de suscripciones de televisión de pago, Año 2019"/>
        <s v="Comunas de la región de Tarapacá con la mayor cantidad de suscripciones de televisión de pago, Año 2019"/>
        <s v="Comunas de la región de Antofagasta con la mayor cantidad de suscripciones de televisión de pago, Año 2019"/>
        <s v="Comunas de la región de Atacama con la mayor cantidad de suscripciones de televisión de pago, Año 2019"/>
        <s v="Comunas de la región de Coquimbo con la mayor cantidad de suscripciones de televisión de pago, Año 2019"/>
        <s v="Comunas de la región de Valparaíso con la mayor cantidad de suscripciones de televisión de pago, Año 2019"/>
        <s v="Comunas de la región de O'Higgins con la mayor cantidad de suscripciones de televisión de pago, Año 2019"/>
        <s v="Comunas de la región de Maule con la mayor cantidad de suscripciones de televisión de pago, Año 2019"/>
        <s v="Comunas de la región del Biobío con la mayor cantidad de suscripciones de televisión de pago, Año 2019"/>
        <s v="Comunas de la región de La Araucanía con la mayor cantidad de suscripciones de televisión de pago, Año 2019"/>
        <s v="Comunas de la región de Los Lagos con la mayor cantidad de suscripciones de televisión de pago, Año 2019"/>
        <s v="Comunas de la región de Aysén con la mayor cantidad de suscripciones de televisión de pago, Año 2019"/>
        <s v="Comunas de la región de Magallanes con la mayor cantidad de suscripciones de televisión de pago, Año 2019"/>
        <s v="Comunas de la región Metropolitana con la mayor cantidad de suscripciones de televisión de pago, Año 2019"/>
        <s v="Comunas de la región de Los Ríos con la mayor cantidad de suscripciones de televisión de pago, Año 2019"/>
        <s v="Comunas de la región de Arica y Parinacota con la mayor cantidad de suscripciones de televisión de pago, Año 2019"/>
        <s v="Comunas de la región de Ñuble con la mayor cantidad de suscripciones de televisión de pago, Año 2019"/>
        <s v="Cantidad de Personas que se Identifican con un Pueblo Indígena por Comuna en Chile, Año 2017"/>
        <s v="Cantidad de Personas que se Identifican con un Pueblo Indígena en la región de Tarapacá, Año 2017"/>
        <s v="Cantidad de Personas que se Identifican con un Pueblo Indígena en la región de Antofagasta, Año 2017"/>
        <s v="Cantidad de Personas que se Identifican con un Pueblo Indígena en la región de Atacama, Año 2017"/>
        <s v="Cantidad de Personas que se Identifican con un Pueblo Indígena en la región de Coquimbo, Año 2017"/>
        <s v="Cantidad de Personas que se Identifican con un Pueblo Indígena en la región de Valparaíso, Año 2017"/>
        <s v="Cantidad de Personas que se Identifican con un Pueblo Indígena en la región de O'Higgins, Año 2017"/>
        <s v="Cantidad de Personas que se Identifican con un Pueblo Indígena en la región de Maule, Año 2017"/>
        <s v="Cantidad de Personas que se Identifican con un Pueblo Indígena en la región del Biobío, Año 2017"/>
        <s v="Cantidad de Personas que se Identifican con un Pueblo Indígena en la región de La Araucanía, Año 2017"/>
        <s v="Cantidad de Personas que se Identifican con un Pueblo Indígena en la región de Los Lagos, Año 2017"/>
        <s v="Cantidad de Personas que se Identifican con un Pueblo Indígena en la región de Aysén, Año 2017"/>
        <s v="Cantidad de Personas que se Identifican con un Pueblo Indígena en la región de Magallanes, Año 2017"/>
        <s v="Cantidad de Personas que se Identifican con un Pueblo Indígena en la región Metropolitana, Año 2017"/>
        <s v="Cantidad de Personas que se Identifican con un Pueblo Indígena en la región de Los Ríos, Año 2017"/>
        <s v="Cantidad de Personas que se Identifican con un Pueblo Indígena en la región de Arica y Parinacota, Año 2017"/>
        <s v="Cantidad de Personas que se Identifican con un Pueblo Indígena en la región de Ñuble, Año 2017"/>
        <s v="Cantidad de Personas que se Identifican con un Pueblo Indígena por Grupo de Edad en Chile, Año 2017"/>
        <s v="Cantidad de Personas que se Identifican con un Pueblo Indígena por Grupo de Edad en la región de Tarapacá, Año 2017"/>
        <s v="Cantidad de Personas que se Identifican con un Pueblo Indígena por Pueblo en Chile, Año 2017"/>
        <s v="Cantidad de Personas que se Identifican con un Pueblo Indígena por Pueblo y región en Chile, Año 2017"/>
        <s v="Cantidad de Personas que se Identifican con un Pueblo Indígena por Pueblo en la región de Tarapacá, Año 2017"/>
        <s v="Cantidad de Personas que se Identifican con un Pueblo Indígena por Pueblo en la región de Antofagasta, Año 2017"/>
        <s v="Cantidad de Personas que se Identifican con un Pueblo Indígena por Pueblo en la región de Atacama, Año 2017"/>
        <s v="Cantidad de Personas que se Identifican con un Pueblo Indígena por Pueblo en la región de Coquimbo, Año 2017"/>
        <s v="Cantidad de Personas que se Identifican con un Pueblo Indígena por Pueblo en la región de Valparaíso, Año 2017"/>
        <s v="Cantidad de Personas que se Identifican con un Pueblo Indígena por Pueblo en la región de O'Higgins, Año 2017"/>
        <s v="Cantidad de Personas que se Identifican con un Pueblo Indígena por Pueblo en la región de Maule, Año 2017"/>
        <s v="Cantidad de Personas que se Identifican con un Pueblo Indígena por Pueblo en la región de Biobío, Año 2017"/>
        <s v="Cantidad de Personas que se Identifican con un Pueblo Indígena por Pueblo en la región de La Araucanía, Año 2017"/>
        <s v="Cantidad de Personas que se Identifican con un Pueblo Indígena por Pueblo en la región de Los Lagos, Año 2017"/>
        <s v="Cantidad de Personas que se Identifican con un Pueblo Indígena por Pueblo en la región de Aysén, Año 2017"/>
        <s v="Cantidad de Personas que se Identifican con un Pueblo Indígena por Pueblo en la región de Magallanes, Año 2017"/>
        <s v="Cantidad de Personas que se Identifican con un Pueblo Indígena por Pueblo en la región Metropolitana, Año 2017"/>
        <s v="Cantidad de Personas que se Identifican con un Pueblo Indígena por Pueblo en la región de Los Ríos, Año 2017"/>
        <s v="Cantidad de Personas que se Identifican con un Pueblo Indígena por Pueblo en la región de Arica y Parinacota, Año 2017"/>
        <s v="Cantidad de Personas que se Identifican con un Pueblo Indígena por Pueblo en la región de Ñuble, Año 2017"/>
        <s v="Cantidad de Personas que se Identifican con un Pueblo Indígena por Sexo y Región en Chile, Año 2017"/>
        <s v="Cantidad de Personas que se Identifican con un Pueblo Indígena por Sexo en la Región de Tarapacá, Año 2017"/>
        <s v="Cantidad de Personas que se Identifican con un Pueblo Indígena por Sexo en la Región de Antofagasta, Año 2017"/>
        <s v="Cantidad de Personas que se Identifican con un Pueblo Indígena por Sexo en la Región de Atacama, Año 2017"/>
        <s v="Cantidad de Personas que se Identifican con un Pueblo Indígena por Sexo en la Región de Coquimbo, Año 2017"/>
        <s v="Cantidad de Personas que se Identifican con un Pueblo Indígena por Sexo en la Región de Valparaíso, Año 2017"/>
        <s v="Cantidad de Personas que se Identifican con un Pueblo Indígena por Sexo en la Región de O'Higgins, Año 2017"/>
        <s v="Cantidad de Personas que se Identifican con un Pueblo Indígena por Sexo en la Región de Maule, Año 2017"/>
        <s v="Cantidad de Personas que se Identifican con un Pueblo Indígena por Sexo en la Región del Biobío, Año 2017"/>
        <s v="Cantidad de Personas que se Identifican con un Pueblo Indígena por Sexo en la Región de La Araucanía, Año 2017"/>
        <s v="Cantidad de Personas que se Identifican con un Pueblo Indígena por Sexo en la Región de Los Lagos, Año 2017"/>
        <s v="Cantidad de Personas que se Identifican con un Pueblo Indígena por Sexo en la Región de Aysén, Año 2017"/>
        <s v="Cantidad de Personas que se Identifican con un Pueblo Indígena por Sexo en la Región de Magallanes, Año 2017"/>
        <s v="Cantidad de Personas que se Identifican con un Pueblo Indígena por Sexo en la Región Metropolitana, Año 2017"/>
        <s v="Cantidad de Personas que se Identifican con un Pueblo Indígena por Sexo en la Región de Los Ríos, Año 2017"/>
        <s v="Cantidad de Personas que se Identifican con un Pueblo Indígena por Sexo en la Región de Arica y Parinacota, Año 2017"/>
        <s v="Cantidad de Personas que se Identifican con un Pueblo Indígena por Sexo en la Región de Ñuble, Año 2017"/>
        <s v="Tasa de Desocupación en Chile en el Periodo 1986-2021"/>
        <s v="Variación de la Fuerza de Trabajo en Chile con el Año Anterior en el Periodo 1986-2021"/>
        <s v="Variación de desocupados en Chile con el Año Anterior en el Periodo 1986-2021"/>
        <s v="Índice de Producción Minera en Chile en el Periodo 2014-2021"/>
        <s v="Índice de Producción Minera en la Región de Tarapacá en el Periodo 2014-2021"/>
        <s v="Índice de Producción Minera en la Región de Antofagasta en el Periodo 2014-2021"/>
        <s v="Índice de Producción Minera en la Región de Atacama en el Periodo 2014-2021"/>
        <s v="Índice de Producción Minera en la Región de Coquimbo en el Periodo 2014-2021"/>
        <s v="Producción de cobre a nivel nacional en el periodo 2014-2021"/>
        <s v="Producción de cobre en la región de Tarapacá en el periodo 2014-2021"/>
        <s v="Producción de cobre en la región de Antofagasta en el periodo 2014-2021"/>
        <s v="Producción de cobre en la región de Atacama en el periodo 2014-2021"/>
        <s v="Producción de cobre en la región de Coquimbo en el periodo 2014-2021"/>
        <s v="Producción de cobre en la región de Valparaíso en el periodo 2014-2021"/>
        <s v="Producción de cloruro de sodio en Chile en el periodo 2014-2021"/>
        <s v="Producción de hierro en Chile en el periodo 2014-2021"/>
        <s v="Número de pernoctaciones en Chile en el periodo 2016-2021"/>
        <s v="Número de Pernoctaciones en la Región de Tarapacá en el periodo 2016-2021"/>
        <s v="Número de Pernoctaciones en la Región de Antofagasta en el periodo 2016-2021"/>
        <s v="Número de Pernoctaciones en la Región de Atacama en el periodo 2016-2021"/>
        <s v="Número de Pernoctaciones en la Región de Coquimbo en el periodo 2016-2021"/>
        <s v="Número de Pernoctaciones en la Región de Valparaíso en el periodo 2016-2021"/>
        <s v="Número de Pernoctaciones en la Región de O'Higgins en el periodo 2016-2021"/>
        <s v="Número de Pernoctaciones en la Región de Maule en el periodo 2016-2021"/>
        <s v="Número de Pernoctaciones en la Región del Biobío en el periodo 2016-2021"/>
        <s v="Número de Pernoctaciones en la Región de La Araucanía en el periodo 2016-2021"/>
        <s v="Número de Pernoctaciones en la Región de Los Lagos en el periodo 2016-2021"/>
        <s v="Número de Pernoctaciones en la Región de Aysén en el periodo 2016-2021"/>
        <s v="Número de Pernoctaciones en la Región de Magallanes en el periodo 2016-2021"/>
        <s v="Número de Pernoctaciones en la Región Metropolitana en el periodo 2016-2021"/>
        <s v="Número de Pernoctaciones en la Región de Los Ríos en el periodo 2016-2021"/>
        <s v="Número de Pernoctaciones en la Región de Arica y Parinacota en el periodo 2016-2021"/>
        <s v="Número de Pernoctaciones en la Región de Ñuble en el periodo 2016-2021"/>
        <s v="Precio Promedio de Habitación Ocupada en Chile en el periodo 2016-2021"/>
        <s v="Precio Promedio de Habitación Ocupada en la Región de Tarapacá en el periodo 2016-2021"/>
        <s v="Precio Promedio de Habitación Ocupada en la Región de Antofagasta en el periodo 2016-2021"/>
        <s v="Precio Promedio de Habitación Ocupada en la Región de Atacama en el periodo 2016-2021"/>
        <s v="Precio Promedio de Habitación Ocupada en la Región de Coquimbo en el periodo 2016-2021"/>
        <s v="Precio Promedio de Habitación Ocupada en la Región de Valparaíso en el periodo 2016-2021"/>
        <s v="Precio Promedio de Habitación Ocupada en la Región de O'Higgins en el periodo 2016-2021"/>
        <s v="Precio Promedio de Habitación Ocupada en la Región de Maule en el periodo 2016-2021"/>
        <s v="Precio Promedio de Habitación Ocupada en la Región del Biobío en el periodo 2016-2021"/>
        <s v="Precio Promedio de Habitación Ocupada en la Región de La Araucanía en el periodo 2016-2021"/>
        <s v="Precio Promedio de Habitación Ocupada en la Región de Los Lagos en el periodo 2016-2021"/>
        <s v="Precio Promedio de Habitación Ocupada en la Región de Aysén en el periodo 2016-2021"/>
        <s v="Precio Promedio de Habitación Ocupada en la Región de Magallanes en el periodo 2016-2021"/>
        <s v="Precio Promedio de Habitación Ocupada en la Región Metropolitana en el periodo 2016-2021"/>
        <s v="Precio Promedio de Habitación Ocupada en la Región de Los Ríos en el periodo 2016-2021"/>
        <s v="Precio Promedio de Habitación Ocupada en la Región de Arica y Parinacota en el periodo 2016-2021"/>
        <s v="Precio Promedio de Habitación Ocupada en la Región de Ñuble en el periodo 2016-2021"/>
        <s v="Desembarque de pesca industrial en Chile en el periodo 2014-2021"/>
        <s v="Desembarque artesanal de Algas en Chile en el periodo 2014-2021"/>
        <s v="Cosecha acuícola en Chile en el periodo 2014-2021"/>
        <s v="Superficie de Parques Urbanos en Chile en el año 2019"/>
        <s v="Superficie de Parques Urbanos en la Región de Tarapacá en el año 2019"/>
        <s v="Superficie de Parques Urbanos en la Región de Antofagasta en el año 2019"/>
        <s v="Superficie de Parques Urbanos en la Región de Atacama en el año 2019"/>
        <s v="Superficie de Parques Urbanos en la Región de Coquimbo en el año 2019"/>
        <s v="Superficie de Parques Urbanos en la Región de Valparaíso en el año 2019"/>
        <s v="Superficie de Parques Urbanos en la Región de O'Higgins en el año 2019"/>
        <s v="Superficie de Parques Urbanos en la Región de Maule en el año 2019"/>
        <s v="Superficie de Parques Urbanos en la Región del Biobío en el año 2019"/>
        <s v="Superficie de Parques Urbanos en la Región de La Araucanía en el año 2019"/>
        <s v="Superficie de Parques Urbanos en la Región de Los Lagos en el año 2019"/>
        <s v="Superficie de Parques Urbanos en la Región de Aysén en el año 2019"/>
        <s v="Superficie de Parques Urbanos en la Región de Magallanes en el año 2019"/>
        <s v="Superficie de Parques Urbanos en la Región Metropolitana en el año 2019"/>
        <s v="Superficie de Parques Urbanos en la Región de Los Ríos en el año 2019"/>
        <s v="Superficie de Parques Urbanos en la Región de Arica y Parinacota en el año 2019"/>
        <s v="Superficie de Parques Urbanos en la Región de Ñuble en el año 2019"/>
        <s v="Superficie de Plazas Públicas en la Chile en el año 2019"/>
        <s v="Superficie de Plazas Públicas en la Región de Tarapacá en el año 2019"/>
        <s v="Superficie de Plazas Públicas en la Región de Antofagasta en el año 2019"/>
        <s v="Superficie de Plazas Públicas en la Región de Atacama en el año 2019"/>
        <s v="Superficie de Plazas Públicas en la Región de Coquimbo en el año 2019"/>
        <s v="Superficie de Plazas Públicas en la Región de Valparaíso en el año 2019"/>
        <s v="Superficie de Plazas Públicas en la Región de O'Higgins en el año 2019"/>
        <s v="Superficie de Plazas Públicas en la Región de Maule en el año 2019"/>
        <s v="Superficie de Plazas Públicas en la Región del Biobío en el año 2019"/>
        <s v="Superficie de Plazas Públicas en la Región de La Araucanía en el año 2019"/>
        <s v="Superficie de Plazas Públicas en la Región de Los Lagos en el año 2019"/>
        <s v="Superficie de Plazas Públicas en la Región de Aysén en el año 2019"/>
        <s v="Superficie de Plazas Públicas en la Región de Magallanes en el año 2019"/>
        <s v="Superficie de Plazas Públicas en la Región Metropolitana en el año 2019"/>
        <s v="Superficie de Plazas Públicas en la Región de Los Ríos en el año 2019"/>
        <s v="Superficie de Plazas Públicas en la Región de Arica y Parinacota en el año 2019"/>
        <s v="Superficie de Plazas Públicas en la Región de Ñuble en el año 2019"/>
        <s v="Evolución Mensual de Importaciones en Chile en el periodo 2015-2021"/>
        <s v="Evolución Trimestral de Importaciones y Exportaciones en Chile en el periodo 2015-2021"/>
        <s v="Valor de exportaciones acumuladas por país de destino en el periodo 2015-2021 "/>
        <s v="Valor de importaciones de alimentos por país de origen en el año 2021"/>
        <s v="Evolución Trimestral de Exportaciones por Producto Minero en el Periodo 2015-2021 "/>
        <s v="Evolución del Índice de Producción Manufacturera (IPMan) a Escala Nacional"/>
        <s v="Evolución del Índice de Producción Manufacturera (IPMan) en la Región de Valparaíso"/>
        <s v="Evolución del Índice de Producción Manufacturera (IPMan) en la Región de O'Higgins"/>
        <s v="Evolución del Índice de Producción Manufacturera (IPMan) en la Región del Biobío"/>
        <s v="Evolución del Índice de Producción Manufacturera (IPMan) en la Región de La Araucanía"/>
        <s v="Evolución del Índice de Producción Manufacturera (IPMan) en la Región de Los Ríos"/>
        <s v="Evolución del Número de establecimientos clasificados como supermercados, que cuentan con tres o más cajas instaladas a Escala Nacional"/>
        <s v="Evolución del Número de establecimientos clasificados como supermercados, que cuentan con tres o más cajas instaladas en la Región de Tarapacá"/>
        <s v="Evolución del Número de establecimientos clasificados como supermercados, que cuentan con tres o más cajas instaladas en la Región de Antofagasta"/>
        <s v="Evolución del Número de establecimientos clasificados como supermercados, que cuentan con tres o más cajas instaladas en la Región de Atacama"/>
        <s v="Evolución del Número de establecimientos clasificados como supermercados, que cuentan con tres o más cajas instaladas en la Región de Coquimbo"/>
        <s v="Evolución del Número de establecimientos clasificados como supermercados, que cuentan con tres o más cajas instaladas en la Región de Valparaíso"/>
        <s v="Evolución del Número de establecimientos clasificados como supermercados, que cuentan con tres o más cajas instaladas en la Región de O'Higgins"/>
        <s v="Evolución del Número de establecimientos clasificados como supermercados, que cuentan con tres o más cajas instaladas en la Región de Maule"/>
        <s v="Evolución del Número de establecimientos clasificados como supermercados, que cuentan con tres o más cajas instaladas en la Región del Biobío"/>
        <s v="Evolución del Número de establecimientos clasificados como supermercados, que cuentan con tres o más cajas instaladas en la Región de La Araucanía"/>
        <s v="Evolución del Número de establecimientos clasificados como supermercados, que cuentan con tres o más cajas instaladas en la Región de Los Lagos"/>
        <s v="Evolución del Número de establecimientos clasificados como supermercados, que cuentan con tres o más cajas instaladas en la Región de Aysén"/>
        <s v="Evolución del Número de establecimientos clasificados como supermercados, que cuentan con tres o más cajas instaladas en la Región de Magallanes"/>
        <s v="Evolución del Número de establecimientos clasificados como supermercados, que cuentan con tres o más cajas instaladas en la Región Metropolitana"/>
        <s v="Evolución del Número de establecimientos clasificados como supermercados, que cuentan con tres o más cajas instaladas en la Región de Los Ríos"/>
        <s v="Evolución del Número de establecimientos clasificados como supermercados, que cuentan con tres o más cajas instaladas en la Región de Arica y Parinacota"/>
        <s v="Evolución del Número de establecimientos clasificados como supermercados, que cuentan con tres o más cajas instaladas en la Región de Ñuble"/>
        <s v="Evolución del Índice de Producción de la división Elaboración de productos alimenticios a Escala Nacional"/>
        <s v="Evolución del Índice de Producción de la división Elaboración de productos alimenticios en la Región de Valparaíso"/>
        <s v="Evolución del Índice de Producción de la división Elaboración de productos alimenticios en la Región de O'Higgins"/>
        <s v="Evolución del Índice de Producción de la división Elaboración de productos alimenticios en la Región del Biobío"/>
        <s v="Evolución del Índice de Producción de la división Elaboración de productos alimenticios en la Región de Los Ríos"/>
        <s v="Evolución del Índice de Producción de la división Fabricación de productos farmacéuticos, sustancias químicas medicinales y productos botánicos de uso farmacéutico a Escala Nacional"/>
        <s v="Evolución del Índice de Producción de la división Fabricación de sustancias y productos químicos a Escala Nacional"/>
        <s v="Evolución del Índice de Producción de la división Fabricación de sustancias y productos químicos en la Región de Valparaíso"/>
        <s v="Evolución del Índice de Producción de la división Fabricación de sustancias y productos químicos en la Región de O'Higgins"/>
        <s v="Evolución del Índice de Producción de la división Fabricación de sustancias y productos químicos en la Región del Biobío"/>
        <s v="Evolución de la Pasada de vehículos por plazas de peajes y pórticos de autopistas interurbanas a Escala Nacional"/>
        <s v="Evolución de la Pasada de vehículos por plazas de peajes y pórticos de autopistas interurbanas en la Región de Valparaíso"/>
        <s v="Evolución de la Pasada de vehículos por plazas de peajes y pórticos de autopistas interurbanas en la Región del Biobío"/>
        <s v="Evolución de la Pasada de vehículos por plazas de peajes y pórticos de autopistas interurbanas en la Región Metropolitana"/>
        <s v="Evolución de la Pasada de vehículos por plazas de peajes y pórticos de autopistas interurbanas en la Región de Ñuble"/>
        <s v="Evolución del Parque Vehicular de Taxis a Escala Nacional"/>
        <s v="Evolución del Parque Vehicular de Taxis en la Región de Tarapacá"/>
        <s v="Evolución del Parque Vehicular de Taxis en la Región de Antofagasta"/>
        <s v="Evolución del Parque Vehicular de Taxis en la Región de Atacama"/>
        <s v="Evolución del Parque Vehicular de Taxis en la Región de Coquimbo"/>
        <s v="Evolución del Parque Vehicular de Taxis en la Región de Valparaíso"/>
        <s v="Evolución del Parque Vehicular de Taxis en la Región de O'Higgins"/>
        <s v="Evolución del Parque Vehicular de Taxis en la Región de Maule"/>
        <s v="Evolución del Parque Vehicular de Taxis en la Región del Biobío"/>
        <s v="Evolución del Parque Vehicular de Taxis en la Región de La Araucanía"/>
        <s v="Evolución del Parque Vehicular de Taxis en la Región de Los Lagos"/>
        <s v="Evolución del Parque Vehicular de Taxis en la Región de Aysén"/>
        <s v="Evolución del Parque Vehicular de Taxis en la Región de Magallanes"/>
        <s v="Evolución del Parque Vehicular de Taxis en la Región Metropolitana"/>
        <s v="Evolución del Parque Vehicular de Taxis en la Región de Los Ríos"/>
        <s v="Evolución del Parque Vehicular de Taxis en la Región de Arica y Parinacota"/>
        <s v="Evolución del Parque Vehicular de Taxis en la Región de Ñuble"/>
        <s v="Evolución del Movimiento de Carga Portuaria Embarcada al Exterior a Escala Nacional"/>
        <s v="Evolución del Movimiento de Carga Portuaria Embarcada al Exterior en la Región de Tarapacá"/>
        <s v="Evolución del Movimiento de Carga Portuaria Embarcada al Exterior en la Región de Valparaíso"/>
        <s v="Evolución del Movimiento de Carga Portuaria Embarcada al Exterior en la Región del Biobío"/>
        <s v="Evolución de la Superficie de las solicitudes de edificación Habitacional autorizada para construcción de Obras Nuevas a Escala Nacional, Periodo 2014-2021"/>
        <s v="Evolución de la Superficie de las solicitudes de edificación habitacional autorizada para construcción de Obras Nuevas en la Región de Tarapacá, Periodo 2014-2021"/>
        <s v="Evolución de la Superficie de las solicitudes de edificación habitacional autorizada para construcción de Obras Nuevas en la Región de Antofagasta, Periodo 2014-2021"/>
        <s v="Evolución de la Superficie de las solicitudes de edificación habitacional autorizada para construcción de Obras Nuevas en la Región de Atacama, Periodo 2014-2021"/>
        <s v="Evolución de la Superficie de las solicitudes de edificación habitacional autorizada para construcción de Obras Nuevas en la Región de Coquimbo, Periodo 2014-2021"/>
        <s v="Evolución de la Superficie de las solicitudes de edificación habitacional autorizada para construcción de Obras Nuevas en la Región de Valparaíso, Periodo 2014-2021"/>
        <s v="Evolución de la Superficie de las solicitudes de edificación habitacional autorizada para construcción de Obras Nuevas en la Región de O'Higgins, Periodo 2014-2021"/>
        <s v="Evolución de la Superficie de las solicitudes de edificación habitacional autorizada para construcción de Obras Nuevas en la Región de Maule, Periodo 2014-2021"/>
        <s v="Evolución de la Superficie de las solicitudes de edificación habitacional autorizada para construcción de Obras Nuevas en la Región del Biobío, Periodo 2014-2021"/>
        <s v="Evolución de la Superficie de las solicitudes de edificación habitacional autorizada para construcción de Obras Nuevas en la Región de La Araucanía, Periodo 2014-2021"/>
        <s v="Evolución de la Superficie de las solicitudes de edificación habitacional autorizada para construcción de Obras Nuevas en la Región de Los Lagos, Periodo 2014-2021"/>
        <s v="Evolución de la Superficie de las solicitudes de edificación habitacional autorizada para construcción de Obras Nuevas en la Región de Aysén, Periodo 2014-2021"/>
        <s v="Evolución de la Superficie de las solicitudes de edificación habitacional autorizada para construcción de Obras Nuevas en la Región de Magallanes, Periodo 2014-2021"/>
        <s v="Evolución de la Superficie de las solicitudes de edificación habitacional autorizada para construcción de Obras Nuevas en la Región Metropolitana, Periodo 2014-2021"/>
        <s v="Evolución de la Superficie de las solicitudes de edificación habitacional autorizada para construcción de Obras Nuevas en la Región de Los Ríos, Periodo 2014-2021"/>
        <s v="Evolución de la Superficie de las solicitudes de edificación habitacional autorizada para construcción de Obras Nuevas en la Región de Arica y Parinacota, Periodo 2014-2021"/>
        <s v="Evolución de la Superficie de las solicitudes de edificación habitacional autorizada para construcción de Obras Nuevas en la Región de Ñuble, Periodo 2014-2021"/>
        <s v="Evolución Mensual del Número de Viviendas Autorizadas para Construcción a Escala Nacional"/>
        <s v="Evolución Mensual del Número de Viviendas Autorizadas para Construcción en la Región de Tarapacá, Periodo 2014-2021"/>
        <s v="Evolución Mensual del Número de Viviendas Autorizadas para Construcción en la Región de Antofagasta, Periodo 2014-2021"/>
        <s v="Evolución Mensual del Número de Viviendas Autorizadas para Construcción en la Región de Atacama, Periodo 2014-2021"/>
        <s v="Evolución Mensual del Número de Viviendas Autorizadas para Construcción en la Región de Coquimbo, Periodo 2014-2021"/>
        <s v="Evolución Mensual del Número de Viviendas Autorizadas para Construcción en la Región de O'Higgins, Periodo 2014-2021"/>
        <s v="Evolución Mensual del Número de Viviendas Autorizadas para Construcción en la Región de Maule, Periodo 2014-2021"/>
        <s v="Evolución Mensual del Número de Viviendas Autorizadas para Construcción en la Región del Biobío, Periodo 2014-2021"/>
        <s v="Evolución Mensual del Número de Viviendas Autorizadas para Construcción en la Región de La Araucanía, Periodo 2014-2021"/>
        <s v="Evolución Mensual del Número de Viviendas Autorizadas para Construcción en la Región de Los Lagos, Periodo 2014-2021"/>
        <s v="Evolución Mensual del Número de Viviendas Autorizadas para Construcción en la Región de Aysén, Periodo 2014-2021"/>
        <s v="Evolución Mensual del Número de Viviendas Autorizadas para Construcción en la Región de Magallanes, Periodo 2014-2021"/>
        <s v="Evolución Mensual del Número de Viviendas Autorizadas para Construcción en la Región Metropolitana, Periodo 2014-2021"/>
        <s v="Evolución Mensual del Número de Viviendas Autorizadas para Construcción en la Región de Los Ríos, Periodo 2014-2021"/>
        <s v="Evolución Mensual del Número de Viviendas Autorizadas para Construcción en la Región de Arica y Parinacota, Periodo 2014-2021"/>
        <s v="Evolución Mensual del Número de Viviendas Autorizadas para Construcción en la Región de Ñuble, Periodo 2014-2021"/>
        <s v="Evolución de la Superficie de las solicitudes de edificación No Habitacional autorizada para construcción de Ampliaciones de la industria, comercio y establecimientos financieros (ICEF) a Escala Nacional"/>
        <s v="Evolución de la Superficie de las solicitudes de edificación No Habitacional autorizada para construcción de Ampliaciones de la Industria, Comercio y Establecimientos Financieros (ICEF) en la Región de Tarapacá, Periodo 2014-2021"/>
        <s v="Evolución de la Superficie de las solicitudes de edificación No Habitacional autorizada para construcción de Ampliaciones de la Industria, Comercio y Establecimientos Financieros (ICEF) en la Región de Antofagasta, Periodo 2014-2021"/>
        <s v="Evolución de la Superficie de las solicitudes de edificación No Habitacional autorizada para construcción de Ampliaciones de la Industria, Comercio y Establecimientos Financieros (ICEF) en la Región de Atacama, Periodo 2014-2021"/>
        <s v="Evolución de la Superficie de las solicitudes de edificación No Habitacional autorizada para construcción de Ampliaciones de la Industria, Comercio y Establecimientos Financieros (ICEF) en la Región de Coquimbo, Periodo 2014-2021"/>
        <s v="Evolución de la Superficie de las solicitudes de edificación No Habitacional autorizada para construcción de Ampliaciones de la Industria, Comercio y Establecimientos Financieros (ICEF) en la Región de Valparaíso, Periodo 2014-2021"/>
        <s v="Evolución de la Superficie de las solicitudes de edificación No Habitacional autorizada para construcción de Ampliaciones de la Industria, Comercio y Establecimientos Financieros (ICEF) en la Región de O'Higgins, Periodo 2014-2021"/>
        <s v="Evolución de la Superficie de las solicitudes de edificación No Habitacional autorizada para construcción de Ampliaciones de la Industria, Comercio y Establecimientos Financieros (ICEF) en la Región de Maule, Periodo 2014-2021"/>
        <s v="Evolución de la Superficie de las solicitudes de edificación No Habitacional autorizada para construcción de Ampliaciones de la Industria, Comercio y Establecimientos Financieros (ICEF) en la Región del Biobío, Periodo 2014-2021"/>
        <s v="Evolución de la Superficie de las solicitudes de edificación No Habitacional autorizada para construcción de Ampliaciones de la Industria, Comercio y Establecimientos Financieros (ICEF) en la Región de La Araucanía, Periodo 2014-2021"/>
        <s v="Evolución de la Superficie de las solicitudes de edificación No Habitacional autorizada para construcción de Ampliaciones de la Industria, Comercio y Establecimientos Financieros (ICEF) en la Región de Los Lagos, Periodo 2014-2021"/>
        <s v="Evolución de la Superficie de las solicitudes de edificación No Habitacional autorizada para construcción de Ampliaciones de la Industria, Comercio y Establecimientos Financieros (ICEF) en la Región de Aysén, Periodo 2014-2021"/>
        <s v="Evolución de la Superficie de las solicitudes de edificación No Habitacional autorizada para construcción de Ampliaciones de la Industria, Comercio y Establecimientos Financieros (ICEF) en la Región de Magallanes, Periodo 2014-2021"/>
        <s v="Evolución de la Superficie de las solicitudes de edificación No Habitacional autorizada para construcción de Ampliaciones de la Industria, Comercio y Establecimientos Financieros (ICEF) en la Región Metropolitana, Periodo 2014-2021"/>
        <s v="Evolución de la Superficie de las solicitudes de edificación No Habitacional autorizada para construcción de Ampliaciones de la Industria, Comercio y Establecimientos Financieros (ICEF) en la Región de Los Ríos, Periodo 2014-2021"/>
        <s v="Evolución de la Superficie de las solicitudes de edificación No Habitacional autorizada para construcción de Ampliaciones de la Industria, Comercio y Establecimientos Financieros (ICEF) en la Región de Arica y Parinacota, Periodo 2014-2021"/>
        <s v="Evolución de la Superficie de las solicitudes de edificación No Habitacional autorizada para construcción de Ampliaciones de la Industria, Comercio y Establecimientos Financieros (ICEF) en la Región de Ñuble, Periodo 2014-2021"/>
        <s v="Variación de Frecuencia de Casos Policiales entre 2019 y 2020 de Robo con Violencia o Intimidación"/>
        <s v="Variación de Frecuencia de Casos Policiales entre 2019 y 2020 de Robo con Violencia o Intimidación en la Región de Tarapacá"/>
        <s v="Variación de Frecuencia de Casos Policiales entre 2019 y 2020 de Robo con Violencia o Intimidación en la Región de Antofagasta"/>
        <s v="Variación de Frecuencia de Casos Policiales entre 2019 y 2020 de Robo con Violencia o Intimidación en la Región de Atacama"/>
        <s v="Variación de Frecuencia de Casos Policiales entre 2019 y 2020 de Robo con Violencia o Intimidación en la Región de Coquimbo"/>
        <s v="Variación de Frecuencia de Casos Policiales entre 2019 y 2020 de Robo con Violencia o Intimidación en la Región de Valparaíso"/>
        <s v="Variación de Frecuencia de Casos Policiales entre 2019 y 2020 de Robo con Violencia o Intimidación en la Región de O'Higgins"/>
        <s v="Variación de Frecuencia de Casos Policiales entre 2019 y 2020 de Robo con Violencia o Intimidación en la Región de Maule"/>
        <s v="Variación de Frecuencia de Casos Policiales entre 2019 y 2020 de Robo con Violencia o Intimidación en la Región del Biobío"/>
        <s v="Variación de Frecuencia de Casos Policiales entre 2019 y 2020 de Robo con Violencia o Intimidación en la Región de La Araucanía"/>
        <s v="Variación de Frecuencia de Casos Policiales entre 2019 y 2020 de Robo con Violencia o Intimidación en la Región de Los Lagos"/>
        <s v="Variación de Frecuencia de Casos Policiales entre 2019 y 2020 de Robo con Violencia o Intimidación en la Región de Aysén"/>
        <s v="Variación de Frecuencia de Casos Policiales entre 2019 y 2020 de Robo con Violencia o Intimidación en la Región de Magallanes"/>
        <s v="Variación de Frecuencia de Casos Policiales entre 2019 y 2020 de Robo con Violencia o Intimidación en la Región Metropolitana"/>
        <s v="Variación de Frecuencia de Casos Policiales entre 2019 y 2020 de Robo con Violencia o Intimidación en la Región de Los Ríos"/>
        <s v="Variación de Frecuencia de Casos Policiales entre 2019 y 2020 de Robo con Violencia o Intimidación en la Región de Arica y Parinacota"/>
        <s v="Variación de Frecuencia de Casos Policiales entre 2019 y 2020 de Robo con Violencia o Intimidación en la Región de Ñuble"/>
        <s v="Variación de Frecuencia de Casos Policiales entre 2019 y 2020 de Homicidios"/>
        <s v="Variación de Frecuencia de Casos Policiales entre 2019 y 2020 de Homicidios en la Región de Tarapacá"/>
        <s v="Variación de Frecuencia de Casos Policiales entre 2019 y 2020 de Homicidios en la Región de Antofagasta"/>
        <s v="Variación de Frecuencia de Casos Policiales entre 2019 y 2020 de Homicidios en la Región de Atacama"/>
        <s v="Variación de Frecuencia de Casos Policiales entre 2019 y 2020 de Homicidios en la Región de Coquimbo"/>
        <s v="Variación de Frecuencia de Casos Policiales entre 2019 y 2020 de Homicidios en la Región de Valparaíso"/>
        <s v="Variación de Frecuencia de Casos Policiales entre 2019 y 2020 de Homicidios en la Región de O'Higgins"/>
        <s v="Variación de Frecuencia de Casos Policiales entre 2019 y 2020 de Homicidios en la Región de Maule"/>
        <s v="Variación de Frecuencia de Casos Policiales entre 2019 y 2020 de Homicidios en la Región del Biobío"/>
        <s v="Variación de Frecuencia de Casos Policiales entre 2019 y 2020 de Homicidios en la Región de La Araucanía"/>
        <s v="Variación de Frecuencia de Casos Policiales entre 2019 y 2020 de Homicidios en la Región de Los Lagos"/>
        <s v="Variación de Frecuencia de Casos Policiales entre 2019 y 2020 de Homicidios en la Región de Aysén"/>
        <s v="Variación de Frecuencia de Casos Policiales entre 2019 y 2020 de Homicidios en la Región de Magallanes"/>
        <s v="Variación de Frecuencia de Casos Policiales entre 2019 y 2020 de Homicidios en la Región Metropolitana"/>
        <s v="Variación de Frecuencia de Casos Policiales entre 2019 y 2020 de Homicidios en la Región de Los Ríos"/>
        <s v="Variación de Frecuencia de Casos Policiales entre 2019 y 2020 de Homicidios en la Región de Arica y Parinacota"/>
        <s v="Variación de Frecuencia de Casos Policiales entre 2019 y 2020 de Homicidios en la Región de Ñuble"/>
        <s v="Relación entre Detenciones y Denuncias (%) para Delitos de Homicidio y Violación"/>
        <s v="Relación entre Detenciones y Denuncias (%) para Delitos de Homicidio y Violación en la Región de Tarapacá"/>
        <s v="Relación entre Detenciones y Denuncias (%) para Delitos de Homicidio y Violación en la Región de Antofagasta"/>
        <s v="Relación entre Detenciones y Denuncias (%) para Delitos de Homicidio y Violación en la Región de Atacama"/>
        <s v="Relación entre Detenciones y Denuncias (%) para Delitos de Homicidio y Violación en la Región de Coquimbo"/>
        <s v="Relación entre Detenciones y Denuncias (%) para Delitos de Homicidio y Violación en la Región de Valparaíso"/>
        <s v="Relación entre Detenciones y Denuncias (%) para Delitos de Homicidio y Violación en la Región de O'Higgins"/>
        <s v="Relación entre Detenciones y Denuncias (%) para Delitos de Homicidio y Violación en la Región de Maule"/>
        <s v="Relación entre Detenciones y Denuncias (%) para Delitos de Homicidio y Violación en la Región del Biobío"/>
        <s v="Relación entre Detenciones y Denuncias (%) para Delitos de Homicidio y Violación en la Región de La Araucanía"/>
        <s v="Relación entre Detenciones y Denuncias (%) para Delitos de Homicidio y Violación en la Región de Los Lagos"/>
        <s v="Relación entre Detenciones y Denuncias (%) para Delitos de Homicidio y Violación en la Región de Aysén"/>
        <s v="Relación entre Detenciones y Denuncias (%) para Delitos de Homicidio y Violación en la Región de Magallanes"/>
        <s v="Relación entre Detenciones y Denuncias (%) para Delitos de Homicidio y Violación en la Región Metropolitana"/>
        <s v="Relación entre Detenciones y Denuncias (%) para Delitos de Homicidio y Violación en la Región de Los Ríos"/>
        <s v="Relación entre Detenciones y Denuncias (%) para Delitos de Homicidio y Violación en la Región de Arica y Parinacota"/>
        <s v="Relación entre Detenciones y Denuncias (%) para Delitos de Homicidio y Violación en la Región de Ñuble"/>
        <s v="Pobreza en la Población Autodefinida como Indígena a Escala Comunal - 2020 (Extrema y No Extrema)"/>
        <s v="Pobreza en la Población Autodefinida como Indígena a Escala Comunal en la Región de Tarapacá - 2020 (Extrema y No Extrema)"/>
        <s v="Pobreza en la Población Autodefinida como Indígena a Escala Comunal en la Región de Antofagasta - 2020 (Extrema y No Extrema)"/>
        <s v="Pobreza en la Población Autodefinida como Indígena a Escala Comunal en la Región de Atacama - 2020 (Extrema y No Extrema)"/>
        <s v="Pobreza en la Población Autodefinida como Indígena a Escala Comunal en la Región de Coquimbo - 2020 (Extrema y No Extrema)"/>
        <s v="Pobreza en la Población Autodefinida como Indígena a Escala Comunal en la Región de Valparaíso - 2020 (Extrema y No Extrema)"/>
        <s v="Pobreza en la Población Autodefinida como Indígena a Escala Comunal en la Región de O'Higgins - 2020 (Extrema y No Extrema)"/>
        <s v="Pobreza en la Población Autodefinida como Indígena a Escala Comunal en la Región de Maule - 2020 (Extrema y No Extrema)"/>
        <s v="Pobreza en la Población Autodefinida como Indígena a Escala Comunal en la Región del Biobío - 2020 (Extrema y No Extrema)"/>
        <s v="Pobreza en la Población Autodefinida como Indígena a Escala Comunal en la Región de La Araucanía - 2020 (Extrema y No Extrema)"/>
        <s v="Pobreza en la Población Autodefinida como Indígena a Escala Comunal en la Región de Los Lagos - 2020 (Extrema y No Extrema)"/>
        <s v="Pobreza en la Población Autodefinida como Indígena a Escala Comunal en la Región de Aysén - 2020 (Extrema y No Extrema)"/>
        <s v="Pobreza en la Población Autodefinida como Indígena a Escala Comunal en la Región de Magallanes - 2020 (Extrema y No Extrema)"/>
        <s v="Pobreza en la Población Autodefinida como Indígena a Escala Comunal en la Región Metropolitana - 2020 (Extrema y No Extrema)"/>
        <s v="Pobreza en la Población Autodefinida como Indígena a Escala Comunal en la Región de Los Ríos - 2020 (Extrema y No Extrema)"/>
        <s v="Pobreza en la Población Autodefinida como Indígena a Escala Comunal en la Región de Arica y Parinacota - 2020 (Extrema y No Extrema)"/>
        <s v="Pobreza en la Población Autodefinida como Indígena a Escala Comunal en la Región de Ñuble - 2020 (Extrema y No Extrema)"/>
        <s v="Evolución de la Pobreza y Pobreza Extrema a Escala Nacional"/>
        <s v="Evolución de la Pobreza y Pobreza Extrema en la Región de Tarapacá"/>
        <s v="Evolución de la Pobreza y Pobreza Extrema en la Región de Antofagasta"/>
        <s v="Evolución de la Pobreza y Pobreza Extrema en la Región de Atacama"/>
        <s v="Evolución de la Pobreza y Pobreza Extrema en la Región de Coquimbo"/>
        <s v="Evolución de la Pobreza y Pobreza Extrema en la Región de Valparaíso"/>
        <s v="Evolución de la Pobreza y Pobreza Extrema en la Región de O'Higgins"/>
        <s v="Evolución de la Pobreza y Pobreza Extrema en la Región de Maule"/>
        <s v="Evolución de la Pobreza y Pobreza Extrema en la Región del Biobío"/>
        <s v="Evolución de la Pobreza y Pobreza Extrema en la Región de La Araucanía"/>
        <s v="Evolución de la Pobreza y Pobreza Extrema en la Región de Los Lagos"/>
        <s v="Evolución de la Pobreza y Pobreza Extrema en la Región de Aysén"/>
        <s v="Evolución de la Pobreza y Pobreza Extrema en la Región de Magallanes"/>
        <s v="Evolución de la Pobreza y Pobreza Extrema en la Región Metropolitana"/>
        <s v="Evolución de la Pobreza y Pobreza Extrema en la Región de Los Ríos"/>
        <s v="Evolución de la Pobreza y Pobreza Extrema en la Región de Arica y Parinacota"/>
        <s v="Evolución de la Pobreza y Pobreza Extrema en la Región de Ñuble"/>
        <s v="Geografía de la Pobreza Extrema a Escala Comunal - 2020"/>
        <s v="Geografía de la Pobreza Extrema a Escala Comunal en la Región de Tarapacá - 2020"/>
        <s v="Geografía de la Pobreza Extrema a Escala Comunal en la Región de Antofagasta - 2020"/>
        <s v="Geografía de la Pobreza Extrema a Escala Comunal en la Región de Atacama - 2020"/>
        <s v="Geografía de la Pobreza Extrema a Escala Comunal en la Región de Coquimbo - 2020"/>
        <s v="Geografía de la Pobreza Extrema a Escala Comunal en la Región de Valparaíso - 2020"/>
        <s v="Geografía de la Pobreza Extrema a Escala Comunal en la Región de O'Higgins - 2020"/>
        <s v="Geografía de la Pobreza Extrema a Escala Comunal en la Región de Maule - 2020"/>
        <s v="Geografía de la Pobreza Extrema a Escala Comunal en la Región del Biobío - 2020"/>
        <s v="Geografía de la Pobreza Extrema a Escala Comunal en la Región de La Araucanía - 2020"/>
        <s v="Geografía de la Pobreza Extrema a Escala Comunal en la Región de Los Lagos - 2020"/>
        <s v="Geografía de la Pobreza Extrema a Escala Comunal en la Región de Aysén - 2020"/>
        <s v="Geografía de la Pobreza Extrema a Escala Comunal en la Región de Magallanes - 2020"/>
        <s v="Geografía de la Pobreza Extrema a Escala Comunal en la Región Metropolitana - 2020"/>
        <s v="Geografía de la Pobreza Extrema a Escala Comunal en la Región de Los Ríos - 2020"/>
        <s v="Geografía de la Pobreza Extrema a Escala Comunal en la Región de Arica y Parinacota - 2020"/>
        <s v="Geografía de la Pobreza Extrema a Escala Comunal en la Región de Ñuble - 2020"/>
        <s v="Evolución de Ingresos y Egresos de NNA en el Periodo 2016-2019"/>
        <s v="Ingresos y Egresos de NNA por Línea de Atención en el Año 2019"/>
        <s v="Ingresos y Egresos de NNA por Región en el Año 2019"/>
        <s v="Cantidad de Predios No Agrícolas Habitacionales por Comuna en el periodo 2006-2019"/>
        <s v="Cantidad de Predios No Agrícolas Habitacionales por Comuna en la Región de Tarapacá en el periodo 2006-2019"/>
        <s v="Cantidad de Predios No Agrícolas Habitacionales por Comuna en la Región de Antofagasta en el periodo 2006-2019"/>
        <s v="Cantidad de Predios No Agrícolas Habitacionales por Comuna en la Región de Atacama en el periodo 2006-2019"/>
        <s v="Cantidad de Predios No Agrícolas Habitacionales por Comuna en la Región de Coquimbo en el periodo 2006-2019"/>
        <s v="Cantidad de Predios No Agrícolas Habitacionales por Comuna en la Región de Valparaíso en el periodo 2006-2019"/>
        <s v="Cantidad de Predios No Agrícolas Habitacionales por Comuna en la Región de O'Higgins en el periodo 2006-2019"/>
        <s v="Cantidad de Predios No Agrícolas Habitacionales por Comuna en la Región de Maule en el periodo 2006-2019"/>
        <s v="Cantidad de Predios No Agrícolas Habitacionales por Comuna en la Región del Biobío en el periodo 2006-2019"/>
        <s v="Cantidad de Predios No Agrícolas Habitacionales por Comuna en la Región de La Araucanía en el periodo 2006-2019"/>
        <s v="Cantidad de Predios No Agrícolas Habitacionales por Comuna en la Región de Los Lagos en el periodo 2006-2019"/>
        <s v="Cantidad de Predios No Agrícolas Habitacionales por Comuna en la Región de Aysén en el periodo 2006-2019"/>
        <s v="Cantidad de Predios No Agrícolas Habitacionales por Comuna en la Región de Magallanes en el periodo 2006-2019"/>
        <s v="Cantidad de Predios No Agrícolas Habitacionales por Comuna en la Región Metropolitana en el periodo 2006-2019"/>
        <s v="Cantidad de Predios No Agrícolas Habitacionales por Comuna en la Región de Los Ríos en el periodo 2006-2019"/>
        <s v="Cantidad de Predios No Agrícolas Habitacionales por Comuna en la Región de Arica y Parinacota en el periodo 2006-2019"/>
        <s v="Cantidad de Predios No Agrícolas Habitacionales por Comuna en la Región de Ñuble en el periodo 2006-2019"/>
        <s v="Cantidad de Propiedades Municipales por Comuna en el periodo 2010-2019"/>
        <s v="Cantidad de Propiedades Municipales por Comuna en la Región de Tarapacá en el periodo 2010-2019"/>
        <s v="Cantidad de Propiedades Municipales por Comuna en la Región de Antofagasta en el periodo 2010-2019"/>
        <s v="Cantidad de Propiedades Municipales por Comuna en la Región de Atacama en el periodo 2010-2019"/>
        <s v="Cantidad de Propiedades Municipales por Comuna en la Región de Coquimbo en el periodo 2010-2019"/>
        <s v="Cantidad de Propiedades Municipales por Comuna en la Región de Valparaíso en el periodo 2010-2019"/>
        <s v="Cantidad de Propiedades Municipales por Comuna en la Región de O'Higgins en el periodo 2010-2019"/>
        <s v="Cantidad de Propiedades Municipales por Comuna en la Región de Maule en el periodo 2010-2019"/>
        <s v="Cantidad de Propiedades Municipales por Comuna en la Región del Biobío en el periodo 2010-2019"/>
        <s v="Cantidad de Propiedades Municipales por Comuna en la Región de La Araucanía en el periodo 2010-2019"/>
        <s v="Cantidad de Propiedades Municipales por Comuna en la Región de Los Lagos en el periodo 2010-2019"/>
        <s v="Cantidad de Propiedades Municipales por Comuna en la Región de Aysén en el periodo 2010-2019"/>
        <s v="Cantidad de Propiedades Municipales por Comuna en la Región de Magallanes en el periodo 2010-2019"/>
        <s v="Cantidad de Propiedades Municipales por Comuna en la Región Metropolitana en el periodo 2010-2019"/>
        <s v="Cantidad de Propiedades Municipales por Comuna en la Región de Los Ríos en el periodo 2010-2019"/>
        <s v="Cantidad de Propiedades Municipales por Comuna en la Región de Arica y Parinacota en el periodo 2010-2019"/>
        <s v="Cantidad de Propiedades Municipales por Comuna en la Región de Ñuble en el periodo 2010-2019"/>
        <s v="Evolución Población en Control del Programa de Salud Cardiovascular, Chile 2012-2018"/>
        <s v="Población en Control del Programa de Salud Cardiovascular por Enfermedad, Chile 2012-2018"/>
        <s v="Población en Control del Programa de Salud Cardiovascular por Enfermedad en la Región de Tarapacá, 2012-2018"/>
        <s v="Población en Control del Programa de Salud Cardiovascular por Enfermedad en la Región de Antofagasta, 2012-2018"/>
        <s v="Población en Control del Programa de Salud Cardiovascular por Enfermedad en la Región de Atacama, 2012-2018"/>
        <s v="Población en Control del Programa de Salud Cardiovascular por Enfermedad en la Región de Coquimbo, 2012-2018"/>
        <s v="Población en Control del Programa de Salud Cardiovascular por Enfermedad en la Región de Valparaíso, 2012-2018"/>
        <s v="Población en Control del Programa de Salud Cardiovascular por Enfermedad en la Región de O'Higgins, 2012-2018"/>
        <s v="Población en Control del Programa de Salud Cardiovascular por Enfermedad en la Región de Maule, 2012-2018"/>
        <s v="Población en Control del Programa de Salud Cardiovascular por Enfermedad en la Región del Biobío, 2012-2018"/>
        <s v="Población en Control del Programa de Salud Cardiovascular por Enfermedad en la Región de La Araucanía, 2012-2018"/>
        <s v="Población en Control del Programa de Salud Cardiovascular por Enfermedad en la Región de Los Lagos, 2012-2018"/>
        <s v="Población en Control del Programa de Salud Cardiovascular por Enfermedad en la Región de Aysén, 2012-2018"/>
        <s v="Población en Control del Programa de Salud Cardiovascular por Enfermedad en la Región de Magallanes, 2012-2018"/>
        <s v="Población en Control del Programa de Salud Cardiovascular por Enfermedad en la Región Metropolitana, 2012-2018"/>
        <s v="Población en Control del Programa de Salud Cardiovascular por Enfermedad en la Región de Los Ríos, 2012-2018"/>
        <s v="Población en Control del Programa de Salud Cardiovascular por Enfermedad en la Región de Arica y Parinacota, 2012-2018"/>
        <s v="Población en Control del Programa de Salud Cardiovascular por Enfermedad en la Región de Ñuble, 2012-2018"/>
        <s v="Población en Control del Programa de Salud Cardiovascular por Región, Chile 2012-2018"/>
        <s v="Población en Control del Programa de Salud Cardiovascular en la Región de Tarapacá, 2012-2018"/>
        <s v="Población en Control del Programa de Salud Cardiovascular en la Región de Antofagasta, 2012-2018"/>
        <s v="Población en Control del Programa de Salud Cardiovascular en la Región de Atacama, 2012-2018"/>
        <s v="Población en Control del Programa de Salud Cardiovascular en la Región de Coquimbo, 2012-2018"/>
        <s v="Población en Control del Programa de Salud Cardiovascular en la Región de Valparaíso, 2012-2018"/>
        <s v="Población en Control del Programa de Salud Cardiovascular en la Región de O'Higgins, 2012-2018"/>
        <s v="Población en Control del Programa de Salud Cardiovascular en la Región de Maule, 2012-2018"/>
        <s v="Población en Control del Programa de Salud Cardiovascular en la Región del Biobío, 2012-2018"/>
        <s v="Población en Control del Programa de Salud Cardiovascular en la Región de La Araucanía, 2012-2018"/>
        <s v="Población en Control del Programa de Salud Cardiovascular en la Región de Los Lagos, 2012-2018"/>
        <s v="Población en Control del Programa de Salud Cardiovascular en la Región de Aysén, 2012-2018"/>
        <s v="Población en Control del Programa de Salud Cardiovascular en la Región de Magallanes, 2012-2018"/>
        <s v="Población en Control del Programa de Salud Cardiovascular en la Región Metropolitana, 2012-2018"/>
        <s v="Población en Control del Programa de Salud Cardiovascular en la Región de Los Ríos, 2012-2018"/>
        <s v="Población en Control del Programa de Salud Cardiovascular en la Región de Arica y Parinacota, 2012-2018"/>
        <s v="Población en Control del Programa de Salud Cardiovascular en la Región de Ñuble, 2012-2018"/>
        <s v="Población en Control del Programa de Salud Cardiovascular por Comuna, Chile 2012-2018"/>
        <s v="Población en Control del Programa de Salud Cardiovascular por Comuna en la Región de Tarapacá, 2012-2018"/>
        <s v="Población en Control del Programa de Salud Cardiovascular por Comuna en la Región de Antofagasta, 2012-2018"/>
        <s v="Población en Control del Programa de Salud Cardiovascular por Comuna en la Región de Atacama, 2012-2018"/>
        <s v="Población en Control del Programa de Salud Cardiovascular por Comuna en la Región de Coquimbo, 2012-2018"/>
        <s v="Población en Control del Programa de Salud Cardiovascular por Comuna en la Región de Valparaíso, 2012-2018"/>
        <s v="Población en Control del Programa de Salud Cardiovascular por Comuna en la Región de O'Higgins, 2012-2018"/>
        <s v="Población en Control del Programa de Salud Cardiovascular por Comuna en la Región de Maule, 2012-2018"/>
        <s v="Población en Control del Programa de Salud Cardiovascular por Comuna en la Región del Biobío, 2012-2018"/>
        <s v="Población en Control del Programa de Salud Cardiovascular por Comuna en la Región de La Araucanía, 2012-2018"/>
        <s v="Población en Control del Programa de Salud Cardiovascular por Comuna en la Región de Los Lagos, 2012-2018"/>
        <s v="Población en Control del Programa de Salud Cardiovascular por Comuna en la Región de Aysén, 2012-2018"/>
        <s v="Población en Control del Programa de Salud Cardiovascular por Comuna en la Región de Magallanes, 2012-2018"/>
        <s v="Población en Control del Programa de Salud Cardiovascular por Comuna en la Región Metropolitana, 2012-2018"/>
        <s v="Población en Control del Programa de Salud Cardiovascular por Comuna en la Región de Los Ríos, 2012-2018"/>
        <s v="Población en Control del Programa de Salud Cardiovascular por Comuna en la Región de Arica y Parinacota, 2012-2018"/>
        <s v="Población en Control del Programa de Salud Cardiovascular por Comuna en la Región de Ñuble, 2012-2018"/>
        <s v="Población en Control del Programa de Salud Cardiovascular por Sexo, Chile 2012-2018"/>
        <s v="Población en Control del Programa de Salud Cardiovascular por Sexo en la Región de Tarapacá, 2012-2018"/>
        <s v="Población en Control del Programa de Salud Cardiovascular por Sexo en la Región de Antofagasta, 2012-2018"/>
        <s v="Población en Control del Programa de Salud Cardiovascular por Sexo en la Región de Atacama, 2012-2018"/>
        <s v="Población en Control del Programa de Salud Cardiovascular por Sexo en la Región de Coquimbo, 2012-2018"/>
        <s v="Población en Control del Programa de Salud Cardiovascular por Sexo en la Región de Valparaíso, 2012-2018"/>
        <s v="Población en Control del Programa de Salud Cardiovascular por Sexo en la Región de O'Higgins, 2012-2018"/>
        <s v="Población en Control del Programa de Salud Cardiovascular por Sexo en la Región de Maule, 2012-2018"/>
        <s v="Población en Control del Programa de Salud Cardiovascular por Sexo en la Región del Biobío, 2012-2018"/>
        <s v="Población en Control del Programa de Salud Cardiovascular por Sexo en la Región de La Araucanía, 2012-2018"/>
        <s v="Población en Control del Programa de Salud Cardiovascular por Sexo en la Región de Los Lagos, 2012-2018"/>
        <s v="Población en Control del Programa de Salud Cardiovascular por Sexo en la Región de Aysén, 2012-2018"/>
        <s v="Población en Control del Programa de Salud Cardiovascular por Sexo en la Región de Magallanes, 2012-2018"/>
        <s v="Población en Control del Programa de Salud Cardiovascular por Sexo en la Región Metropolitana, 2012-2018"/>
        <s v="Población en Control del Programa de Salud Cardiovascular por Sexo en la Región de Los Ríos, 2012-2018"/>
        <s v="Población en Control del Programa de Salud Cardiovascular por Sexo en la Región de Arica y Parinacota, 2012-2018"/>
        <s v="Población en Control del Programa de Salud Cardiovascular por Sexo en la Región de Ñuble, 2012-2018"/>
        <s v="Población en Control del Programa de Salud Cardiovascular por Rango Etario, Chile 2012-2018"/>
        <s v="Población en Control del Programa de Salud Cardiovascular por Rango Etario en la Región de Tarapacá, 2012-2018"/>
        <s v="Población en Control del Programa de Salud Cardiovascular por Rango Etario en la Región de Antofagasta, 2012-2018"/>
        <s v="Población en Control del Programa de Salud Cardiovascular por Rango Etario en la Región de Atacama, 2012-2018"/>
        <s v="Población en Control del Programa de Salud Cardiovascular por Rango Etario en la Región de Coquimbo, 2012-2018"/>
        <s v="Población en Control del Programa de Salud Cardiovascular por Rango Etario en la Región de Valparaíso, 2012-2018"/>
        <s v="Población en Control del Programa de Salud Cardiovascular por Rango Etario en la Región de O'Higgins, 2012-2018"/>
        <s v="Población en Control del Programa de Salud Cardiovascular por Rango Etario en la Región de Maule, 2012-2018"/>
        <s v="Población en Control del Programa de Salud Cardiovascular por Rango Etario en la Región del Biobío, 2012-2018"/>
        <s v="Población en Control del Programa de Salud Cardiovascular por Rango Etario en la Región de La Araucanía, 2012-2018"/>
        <s v="Población en Control del Programa de Salud Cardiovascular por Rango Etario en la Región de Los Lagos, 2012-2018"/>
        <s v="Población en Control del Programa de Salud Cardiovascular por Rango Etario en la Región de Aysén, 2012-2018"/>
        <s v="Población en Control del Programa de Salud Cardiovascular por Rango Etario en la Región de Magallanes, 2012-2018"/>
        <s v="Población en Control del Programa de Salud Cardiovascular por Rango Etario en la Región Metropolitana, 2012-2018"/>
        <s v="Población en Control del Programa de Salud Cardiovascular por Rango Etario en la Región de Los Ríos, 2012-2018"/>
        <s v="Población en Control del Programa de Salud Cardiovascular por Rango Etario en la Región de Arica y Parinacota, 2012-2018"/>
        <s v="Población en Control del Programa de Salud Cardiovascular por Rango Etario en la Región de Ñuble, 2012-2018"/>
        <s v="Dinámica de Cambio en temporada seca (Ene-Abr) durante los Años 2017-2018 en el Complejo Glaciar COCHAMÓ-HUALAIHUÉ || Costeras entre Rio Puelo y Punta Trentelhue-/Rio Puelo Chico/Costeras Entre Punta Tentelhue y Rio Negro (Incluido)"/>
        <s v="Dinámica de Cambio en temporada seca (Ene-Abr) durante los Años 2018-2019 en el Complejo Glaciar COCHAMÓ-HUALAIHUÉ || Costeras entre Rio Puelo y Punta Trentelhue-/Rio Puelo Chico/Costeras Entre Punta Tentelhue y Rio Negro (Incluido)"/>
        <s v="Dinámica de Cambio en temporada seca (Ene-Abr) durante los  Años 2019-2020 en el Complejo Glaciar COCHAMÓ-HUALAIHUÉ || Costeras entre Rio Puelo y Punta Trentelhue-/Rio Puelo Chico/Costeras Entre Punta Tentelhue y Rio Negro (Incluido)"/>
        <s v="Dinámica de Cambio en temporada seca (Ene-Abr) durante los Años 2020-2021 en el Complejo Glaciar COCHAMÓ-HUALAIHUÉ || Costeras entre Rio Puelo y Punta Trentelhue-/Rio Puelo Chico/Costeras Entre Punta Tentelhue y Rio Negro (Incluido)"/>
        <s v="Detalle de la Dinámica de Cambio en el Complejo Glaciar COCHAMÓ-HUALAIHUÉ || Costeras entre Rio Puelo y Punta Trentelhue-/Rio Puelo Chico/Costeras Entre Punta Tentelhue y Rio Negro (Incluido)"/>
        <s v="Mapa descargable (pdf) de la Dinámica de Cambio en temporada seca (Ene-Abr) durante los Años 2017-2018 en el Complejo Glaciar COCHAMÓ-HUALAIHUÉ || Costeras entre Rio Puelo y Punta Trentelhue-/Rio Puelo Chico/Costeras Entre Punta Tentelhue y Rio Negro (Incluido)"/>
        <s v="Mapa descargable (pdf) de la Dinámica de Cambio en temporada seca (Ene-Abr) durante los Años 2018-2019 en el Complejo Glaciar COCHAMÓ-HUALAIHUÉ || Costeras entre Rio Puelo y Punta Trentelhue-/Rio Puelo Chico/Costeras Entre Punta Tentelhue y Rio Negro (Incluido)"/>
        <s v="Mapa descargable (pdf) de la Dinámica de Cambio en temporada seca (Ene-Abr) durante los  Años 2019-2020 en el Complejo Glaciar COCHAMÓ-HUALAIHUÉ || Costeras entre Rio Puelo y Punta Trentelhue-/Rio Puelo Chico/Costeras Entre Punta Tentelhue y Rio Negro (Incluido)"/>
        <s v="Mapa descargable (pdf) de la Dinámica de Cambio en temporada seca (Ene-Abr) durante los Años 2020-2021 en el Complejo Glaciar COCHAMÓ-HUALAIHUÉ || Costeras entre Rio Puelo y Punta Trentelhue-/Rio Puelo Chico/Costeras Entre Punta Tentelhue y Rio Negro (Incluido)"/>
        <s v="Superficie Máxima y Mínima en el Complejo Glaciar COCHAMÓ-HUALAIHUÉ || Costeras entre Rio Puelo y Punta Trentelhue-/Rio Puelo Chico/Costeras Entre Punta Tentelhue y Rio Negro (Incluido)"/>
        <s v="Detalle de la Superficie Máxima y Mínima en el Complejo Glaciar COCHAMÓ-HUALAIHUÉ || Costeras entre Rio Puelo y Punta Trentelhue-/Rio Puelo Chico/Costeras Entre Punta Tentelhue y Rio Negro (Incluido)"/>
        <s v="Mapa descargable (pdf) con las Superficies Máximas y Mínimas en el Complejo Glaciar COCHAMÓ-HUALAIHUÉ || Costeras entre Rio Puelo y Punta Trentelhue-/Rio Puelo Chico/Costeras Entre Punta Tentelhue y Rio Negro (Incluido)"/>
        <s v="Dinámica de Cambio en temporada seca (Ene-Abr) durante los Años 2017-2018 en el Complejo Glaciar Volcán Calbuco"/>
        <s v="Dinámica de Cambio en temporada seca (Ene-Abr) durante los Años 2018-2019 en el Complejo Glaciar Volcán Calbuco"/>
        <s v="Dinámica de Cambio en temporada seca (Ene-Abr) durante los  Años 2019-2020 en el Complejo Glaciar Volcán Calbuco"/>
        <s v="Dinámica de Cambio en temporada seca (Ene-Abr) durante los Años 2020-2021 en el Complejo Glaciar Volcán Calbuco"/>
        <s v="Detalle de la Dinámica de Cambio en el Complejo Glaciar Volcán Calbuco"/>
        <s v="Mapa descargable (pdf) de la Dinámica de Cambio en temporada seca (Ene-Abr) durante los Años 2017-2018 en el Complejo Glaciar Volcán Calbuco"/>
        <s v="Mapa descargable (pdf) de la Dinámica de Cambio en temporada seca (Ene-Abr) durante los Años 2018-2019 en el Complejo Glaciar Volcán Calbuco"/>
        <s v="Mapa descargable (pdf) de la Dinámica de Cambio en temporada seca (Ene-Abr) durante los  Años 2019-2020 en el Complejo Glaciar Volcán Calbuco"/>
        <s v="Mapa descargable (pdf) de la Dinámica de Cambio en temporada seca (Ene-Abr) durante los Años 2020-2021 en el Complejo Glaciar Volcán Calbuco"/>
        <s v="Superficie Máxima y Mínima en el Complejo Glaciar Volcán Calbuco"/>
        <s v="Detalle de la Superficie Máxima y Mínima en el Complejo Glaciar Volcán Calbuco"/>
        <s v="Mapa descargable (pdf) con las Superficies Máximas y Mínimas en el Complejo Glaciar Volcán Calbuco"/>
        <s v="Dinámica de Cambio en temporada seca (Ene-Abr) durante los Años 2017-2018 en el Complejo Glaciar Volcán Osorno"/>
        <s v="Dinámica de Cambio en temporada seca (Ene-Abr) durante los Años 2018-2019 en el Complejo Glaciar Volcán Osorno"/>
        <s v="Dinámica de Cambio en temporada seca (Ene-Abr) durante los  Años 2019-2020 en el Complejo Glaciar Volcán Osorno"/>
        <s v="Dinámica de Cambio en temporada seca (Ene-Abr) durante los Años 2020-2021 en el Complejo Glaciar Volcán Osorno"/>
        <s v="Detalle de la Dinámica de Cambio en el Complejo Glaciar Volcán Osorno"/>
        <s v="Mapa descargable (pdf) de la Dinámica de Cambio en temporada seca (Ene-Abr) durante los Años 2017-2018 en el Complejo Glaciar Volcán Osorno"/>
        <s v="Mapa descargable (pdf) de la Dinámica de Cambio en temporada seca (Ene-Abr) durante los Años 2018-2019 en el Complejo Glaciar Volcán Osorno"/>
        <s v="Mapa descargable (pdf) de la Dinámica de Cambio en temporada seca (Ene-Abr) durante los  Años 2019-2020 en el Complejo Glaciar Volcán Osorno"/>
        <s v="Mapa descargable (pdf) de la Dinámica de Cambio en temporada seca (Ene-Abr) durante los Años 2020-2021 en el Complejo Glaciar Volcán Osorno"/>
        <s v="Superficie Máxima y Mínima en el Complejo Glaciar Volcán Osorno"/>
        <s v="Detalle de la Superficie Máxima y Mínima en el Complejo Glaciar Volcán Osorno"/>
        <s v="Mapa descargable (pdf) con las Superficies Máximas y Mínimas en el Complejo Glaciar Volcán Osorno"/>
        <m u="1"/>
        <s v="Cantidad de Centrales de Energía Renovable No Convencional por Comuna en la Región de Coquimbo, para el Año 2021" u="1"/>
        <s v="Cantidad de Centrales de Energía Renovable No Convencional por Comuna en la Región de Los Ríos, para el Año 2021" u="1"/>
        <s v="Cantidad de Centrales de Energía Renovable No Convencional por Comuna en la Región de Tarapacá, para el Año 2021" u="1"/>
        <s v="Volumen de Exportaciones Frutícolas en la Región de Los Lagos, Periodo 2012-2020" u="1"/>
        <s v="Volumen de Exportaciones Frutícolas en la Región de O'Higgins, Periodo 2012-2020" u="1"/>
        <s v="Capacidad Instalada (MW) de Centrales de Energía Renovable y No Renovable en la Región de Atacama, para el Año 2021" u="1"/>
        <s v="Capacidad Instalada (MW) de Centrales de Energía Renovable y No Renovable en la Región del Biobío, para el Año 2021" u="1"/>
        <e v="#VALUE!" u="1"/>
        <s v="Evolución de la Superficie de las solicitudes de edificación Habitacional autorizada para construcción de Obras Nuevas en la Región de O'Higgins" u="1"/>
        <s v="Sentencias Dictadas por delitos de Abuso Sexual en la  para el Periodo 1979-2020" u="1"/>
        <s v="Volumen de las exportaciones en kilogramo en Región de Arica y Parinacota, Periodo 2015-2021" u="1"/>
        <s v="Capacidad Instalada (MW) de Centrales de Energía Renovable y No Renovable en la Región de Aysén, para el Año 2021" u="1"/>
        <s v="Capacidad Instalada (MW) de Centrales de Energía Renovable y No Renovable en la Región de Maule, para el Año 2021" u="1"/>
        <s v="Capacidad Instalada (MW) de Centrales de Energía Renovable y No Renovable en la Región de Ñuble, para el Año 2021" u="1"/>
        <s v="Capacidad Instalada de Generación de ERNC en la Región de Coquimbo para el POR DEFINIR" u="1"/>
        <s v="Capacidad Instalada de Generación de ERNC en la Región de Los Ríos para el POR DEFINIR" u="1"/>
        <s v="Capacidad Instalada de Generación de ERNC en la Región de Tarapacá para el POR DEFINIR" u="1"/>
        <s v="Evolución por trimestre de Importaciones y exportaciones según el volumen (kg) en la Región de Magallanes, Año 2020" u="1"/>
        <s v="Evolución por trimestre de Importaciones y exportaciones según el volumen (kg) en la Región de Valparaíso, Año 2020" u="1"/>
        <s v="Evolución por trimestre de Importaciones y exportaciones según el volumen (kg) en la Región Metropolitana, Año 2020" u="1"/>
        <s v="Atenciones Médicas por Violencia de Género en la Región de Antofagasta, Año 2021" u="1"/>
        <s v="Cantidad de licencias de conducir por clase y Comuna en la Región de Coquimbo, Año 2021" u="1"/>
        <s v="Cantidad de licencias de conducir por clase y Comuna en la Región de Los Ríos, Año 2021" u="1"/>
        <s v="Cantidad de licencias de conducir por clase y Comuna en la Región de Tarapacá, Año 2021" u="1"/>
        <s v="Ingresos promedios mensuales en Región de Magallanes en el POR DEFINIR" u="1"/>
        <s v="Ingresos promedios mensuales en Región de Valparaíso en el POR DEFINIR" u="1"/>
        <s v="Ingresos promedios mensuales en Región Metropolitana en el POR DEFINIR" u="1"/>
        <s v="Evolución de la Superficie de las solicitudes de edificación No Habitacional autorizada para construcción de Ampliaciones de la industria, comercio y establecimientos financieros (ICEF) en la Región de Maule" u="1"/>
        <s v="Población que tuvo al menos una Consulta Mental a en Chile, a Escala Nacional, Periodo 2009-2017" u="1"/>
        <s v="Proporción del destino de la fruta producida por la Región de Antofagasta, en el Periodo 2018-2020" u="1"/>
        <s v="Cantidad de Plazas Públicas por Comuna en la Región de Los Lagos, Periodo 2001-2020" u="1"/>
        <s v="Cantidad de Plazas Públicas por Comuna en la Región de O'Higgins, Periodo 2001-2020" u="1"/>
        <s v="Cantidad de Centrales de Energía Renovable No Convencional por Comuna en Región de Ñuble, para el Año 2021" u="1"/>
        <s v="Cantidad de permisos de circulación según tipo de vehículo en la Región de Magallanes, Periodo 2008-2019" u="1"/>
        <s v="Cantidad de permisos de circulación según tipo de vehículo en la Región de Valparaíso, Periodo 2008-2019" u="1"/>
        <s v="Cantidad de permisos de circulación según tipo de vehículo en la Región Metropolitana, Periodo 2008-2019" u="1"/>
        <s v="Atenciones Médicas por Violencia de Género en la Región de Coquimbo, Año 2021" u="1"/>
        <s v="Atenciones Médicas por Violencia de Género en la Región de Los Ríos, Año 2021" u="1"/>
        <s v="Atenciones Médicas por Violencia de Género en la Región de Tarapacá, Año 2021" u="1"/>
        <s v="Evolución Anual de la superficie afectada por Incendios Forestales en la Región de Atacama, Periodo 2010-2020" u="1"/>
        <s v="Evolución Anual de la superficie afectada por Incendios Forestales en la Región del Biobío, Periodo 2010-2020" u="1"/>
        <s v="Resumen Indicadores de Desarrollo Personal y Social por Establecimiento para la " u="1"/>
        <s v="Proporción del destino de la fruta producida por la Región de Magallanes, en el Periodo 2018-2020" u="1"/>
        <s v="Cantidad de permisos de circulación según tipo de transporte en la Región de Aysén, Periodo 2011-2017" u="1"/>
        <s v="Cantidad de permisos de circulación según tipo de transporte en la Región de Maule, Periodo 2011-2017" u="1"/>
        <s v="Cantidad de Farmacias de Turno por Comuna en la Región de Atacama, Periodo 2015-2021" u="1"/>
        <s v="Cantidad de Farmacias de Turno por Comuna en la Región del Biobío, Periodo 2015-2021" u="1"/>
        <s v="Cantidad de Farmacias de Turno por Región en Región de Magallanes, Periodo 2015-2021" u="1"/>
        <s v="Evolución Anual de la superficie afectada por Incendios Forestales en la Región de Arica y Parinacota, Periodo 2010-2020" u="1"/>
        <s v="Cantidad de licencias de conducir del tipo no profesional por Comuna en la Chile, Periodo 2008-2019" u="1"/>
        <s v="Cantidad de permisos de circulación según tipo de vehículo en la Región de Aysén, Periodo 2008-2019" u="1"/>
        <s v="Cantidad de permisos de circulación según tipo de vehículo en la Región de Maule, Periodo 2008-2019" u="1"/>
        <s v="Cantidad de permisos de circulación según tipo de vehículo en la Región de Ñuble, Periodo 2008-2019" u="1"/>
        <s v="Producción de cobre en la región de Tarapáca en el periodo 2014-2021" u="1"/>
        <s v="Sentencias Dictadas por delitos de Abuso Sexual en la Región de Atacama para el Año 2019" u="1"/>
        <s v="Sentencias Dictadas por delitos de Abuso Sexual en la Región del Biobío para el Año 2019" u="1"/>
        <s v="Cantidad de permisos de circulación de transportes colectivos por Comuna en la Región de La Araucanía, Periodo 2011-2017" u="1"/>
        <s v="Evolución de las Atenciones de Salud por Violencia de Género en Región de Magallanes, para el Periodo 2010-2016" u="1"/>
        <s v="Evolución de las Atenciones de Salud por Violencia de Género en Región de Valparaíso, para el Periodo 2010-2016" u="1"/>
        <s v="Evolución de las Atenciones de Salud por Violencia de Género en Región Metropolitana, para el Periodo 2010-2016" u="1"/>
        <s v="Cantidad de Establecimientos de la Salud por Tipo en la Chile, Periodo 2010-2016" u="1"/>
        <s v="Cantidad de Establecimientos de la Salud por Tipo y Categoría en la Región de Aysén, Periodo 2011-2017" u="1"/>
        <s v="Cantidad de Establecimientos de la Salud por Tipo y Categoría en la Región de Maule, Periodo 2011-2017" u="1"/>
        <s v="Distribución comunal de denuncias por violación en Chile en el Año 2020" u="1"/>
        <s v="Cantidad de licencias de conducir del tipo no profesional por Comuna en la Región de Magallanes, Periodo 2008-2019" u="1"/>
        <s v="Cantidad de licencias de conducir del tipo no profesional por Comuna en la Región de Valparaíso, Periodo 2008-2019" u="1"/>
        <s v="Cantidad de licencias de conducir del tipo no profesional por Comuna en la Región Metropolitana, Periodo 2008-2019" u="1"/>
        <s v="Cantidad de licencias de conducir del tipo profesional según clase en la Región de La Araucanía, Periodo 2008-2019" u="1"/>
        <s v="Cantidad de Centrales de Energía Renovable No Convencional por Comuna en la Región de Magallanes, para el Año 2021" u="1"/>
        <s v="Cantidad de Centrales de Energía Renovable No Convencional por Comuna en la Región de Valparaíso, para el Año 2021" u="1"/>
        <s v="Cantidad de Centrales de Energía Renovable No Convencional por Comuna en la Región Metropolitana, para el Año 2021" u="1"/>
        <s v="Distribución comunal de denuncias por violación en la Región de Antofagasta en el Año 2020" u="1"/>
        <s v="Cantidad de Establecimientos de la Salud por Tipo y Categoría en la Región de Magallanes, Periodo 2011-2017" u="1"/>
        <s v="Cantidad de Establecimientos de la Salud por Tipo y Categoría en la Región de Valparaíso, Periodo 2011-2017" u="1"/>
        <s v="Cantidad de Establecimientos de la Salud por Tipo y Categoría en la Región Metropolitana, Periodo 2011-2017" u="1"/>
        <s v="Cantidad de permisos de circulación según tipo de transporte en la Región de Antofagasta, Periodo 2011-2017" u="1"/>
        <s v="Cantidad de Establecimientos de la Salud por Comuna en la Chile, Año 2021" u="1"/>
        <s v="Cantidad de licencias de conducir del tipo profesional según clase en la Chile, Periodo 2008-2019" u="1"/>
        <s v="Cantidad de permisos de circulación de transportes colectivos por Comuna en la Región de Arica y Parinacota, Periodo 2011-2017" u="1"/>
        <s v="Ingresos promedios mensuales en Región de Arica y Parinacota en el POR DEFINIR" u="1"/>
        <s v="Cantidad de licencias de conducir del tipo no profesional por Comuna en la Región de La Araucanía, Periodo 2008-2019" u="1"/>
        <s v="Ingresos promedios mensuales en Chile en el POR DEFINIR" u="1"/>
        <s v="Cantidad de Centrales de Energía Renovable No Convencional por Comuna en la Región de Atacama, para el Año 2021" u="1"/>
        <s v="Cantidad de Centrales de Energía Renovable No Convencional por Comuna en la Región del Biobío, para el Año 2021" u="1"/>
        <s v="Cantidad de permisos de circulación de transportes colectivos por Comuna en la Región de Magallanes, Periodo 2011-2017" u="1"/>
        <s v="Cantidad de permisos de circulación de transportes colectivos por Comuna en la Región de Valparaíso, Periodo 2011-2017" u="1"/>
        <s v="Cantidad de permisos de circulación de transportes colectivos por Comuna en la Región Metropolitana, Periodo 2011-2017" u="1"/>
        <s v="Sentencias Dictadas por delitos de Abuso Sexual en la Región de Aysén para el Año 2019" u="1"/>
        <s v="Sentencias Dictadas por delitos de Abuso Sexual en la Región de Maule para el Año 2019" u="1"/>
        <s v="Sentencias Dictadas por delitos de Abuso Sexual en la Región de Ñuble para el Año 2019" u="1"/>
        <s v="Evolución Mensual del Número de Viviendas Autorizadas para Construcción en la Región de Valparaíso" u="1"/>
        <s v="Evolución de la Superficie de las solicitudes de edificación Habitacional autorizada para construcción de Obras Nuevas en la Región del Biobío" u="1"/>
        <s v="Incendios y superficie afectada de plantaciones Forestales según causas específicas en la Región de Tarapacá, Periodo 2010-2020" u="1"/>
        <s v="Mapa Regional de Ingresos Promedio Mensuales (CLP/mes) para la población de la Región de Magallanes autodefinida como Etnia Mapuche en el Año 2017" u="1"/>
        <s v="Mapa Regional de Ingresos Promedio Mensuales (CLP/mes) para la población de la Región de Valparaíso autodefinida como Etnia Mapuche en el Año 2017" u="1"/>
        <s v="Mapa Regional de Ingresos Promedio Mensuales (CLP/mes) para la población de la Región Metropolitana autodefinida como Etnia Mapuche en el Año 2017" u="1"/>
        <s v="Cantidad de Establecimientos de la Salud por Tipo en la Región de Atacama, Periodo 2010-2016" u="1"/>
        <s v="Cantidad de Establecimientos de la Salud por Tipo en la Región del Biobío, Periodo 2010-2016" u="1"/>
        <s v="Variación Anual de Frecuencia de Delitos de Mayor Connotación Social en la Región de Arica y Parinacota, Periodo 2008-2021" u="1"/>
        <s v="Evolución Anual de la superficie afectada por Incendios Forestales en la Región de Aysén, Periodo 2010-2020" u="1"/>
        <s v="Evolución Anual de la superficie afectada por Incendios Forestales en la Región de Maule, Periodo 2010-2020" u="1"/>
        <s v="Evolución Anual de la superficie afectada por Incendios Forestales en la Región de Ñuble, Periodo 2010-2020" u="1"/>
        <s v="Cantidad de Farmacias de Turno por Comuna en la Región de Aysén, Periodo 2015-2021" u="1"/>
        <s v="Cantidad de Farmacias de Turno por Comuna en la Región de Maule, Periodo 2015-2021" u="1"/>
        <s v="Evolución de la Superficie de las solicitudes de edificación Habitacional autorizada para construcción de Obras Nuevas en la Región de La Araucanía" u="1"/>
        <s v="Evolución de la Superficie de las solicitudes de edificación Habitacional autorizada para construcción de Obras Nuevas en la Región de Ñuble" u="1"/>
        <s v="Evolución de la Superficie de las solicitudes de edificación Habitacional autorizada para construcción de Obras Nuevas en la Región de Tarapacá" u="1"/>
        <s v="Cantidad de comunas según grado de vulnerabilidad al cambio climático, Región de La Araucanía, POR DEFINIR" u="1"/>
        <s v="Cantidad de Establecimientos de la Salud en la Chile, Año 2021" u="1"/>
        <s v="Cantidad de Establecimientos de la Salud por Tipo y Categoría en la Región de Arica y Parinacota, Periodo 2011-2017" u="1"/>
        <s v="Cantidad de permisos de circulación de transportes colectivos por Comuna en la Región de Atacama, Periodo 2011-2017" u="1"/>
        <s v="Cantidad de permisos de circulación de transportes colectivos por Comuna en la Región del Biobío, Periodo 2011-2017" u="1"/>
        <s v="Evolución por trimestre de Importaciones y exportaciones según el volumen (kg) en Chile, Año 2020" u="1"/>
        <s v="Cantidad de Farmacias de Turno por Comuna en la Región de Arica y Parinacota, Año 2021" u="1"/>
        <s v="Cantidad de licencias de conducir por clase y Comuna en la Región de Atacama, Año 2021" u="1"/>
        <s v="Cantidad de licencias de conducir por clase y Comuna en la Región del Biobío, Año 2021" u="1"/>
        <s v="Producción Agrícola (t) en la Región de Magallanes en el Periodo 1979-2020" u="1"/>
        <s v="Cantidad de comunas según grado de vulnerabilidad al cambio climático, Región de Los Lagos, POR DEFINIR" u="1"/>
        <s v="Cantidad de comunas según grado de vulnerabilidad al cambio climático, Región de O'Higgins, POR DEFINIR" u="1"/>
        <s v="Evolución de la Superficie de las solicitudes de edificación No Habitacional autorizada para construcción de Ampliaciones de la industria, comercio y establecimientos financieros (ICEF) en la Región de Valparaíso" u="1"/>
        <s v="Evolución por trimestre de Importaciones y exportaciones según el volumen (kg) en la Región de Antofagasta, Año 2020" u="1"/>
        <s v="Cantidad de Parques Urbanos por Comuna en Región de Ñuble, Año 2020" u="1"/>
        <s v="Cantidad de Plazas Públicas por Comuna en Región de Ñuble, Año 2020" u="1"/>
        <s v="Evolución de la Superficie de las solicitudes de edificación Habitacional autorizada para construcción de Obras Nuevas en la Región Metropolitana" u="1"/>
        <s v="Evolución Anual de la superficie afectada por Incendios Forestales en la Región de La Araucanía, Periodo 2010-2020" u="1"/>
        <s v="Mapa Regional de Ingresos Promedio Mensuales (CLP/mes) para la población de Chile autodefinida de Etnia Mapuche en el Año 2017" u="1"/>
        <s v="Valor de exportaciones acumuladas por país de destino en el periodo 2005-2021 " u="1"/>
        <s v="Cantidad de Centrales de Energía Renovable No Convencional por Comuna en Región de Arica y Parinacota, para el Año 2021" u="1"/>
        <s v="Evolución de la Tasa de Consultas Mentales a Escala Comunal (Consultas cada 100 mil habitantes) en  Región de Ñuble, Periodo 2009-2017" u="1"/>
        <s v="Mapa Regional de Ingresos Promedio Mensuales (CLP/mes) para la población de la Región de Los Lagos autodefinida como Etnia Mapuche en el Año 2017" u="1"/>
        <s v="Mapa Regional de Ingresos Promedio Mensuales (CLP/mes) para la población de la Región de O'Higgins autodefinida como Etnia Mapuche en el Año 2017" u="1"/>
        <s v="Candidatos electos, Lista-Partido y Votación Obtenida a los cargos de Elección Popular, para 7 comunas en la Región de Magallanes, Periodo 1990-2020" u="1"/>
        <s v="Candidatos electos, Lista-Partido y Votación Obtenida a los cargos de Elección Popular, para 7 comunas en la Región de Valparaíso, Periodo 1990-2020" u="1"/>
        <s v="Candidatos electos, Lista-Partido y Votación Obtenida a los cargos de Elección Popular, para 7 comunas en la Región Metropolitana, Periodo 1990-2020" u="1"/>
        <s v="Cantidad de comunas según grado de vulnerabilidad al cambio climático, Región de Atacama, POR DEFINIR" u="1"/>
        <s v="Cantidad de comunas según grado de vulnerabilidad al cambio climático, Región del Biobío, POR DEFINIR" u="1"/>
        <s v="Evolución por trimestre de Importaciones y exportaciones según el volumen (kg) en la Región de Aysén, Año 2020" u="1"/>
        <s v="Evolución por trimestre de Importaciones y exportaciones según el volumen (kg) en la Región de Maule, Año 2020" u="1"/>
        <s v="Candidatos electos, Lista-Partido y Votación Obtenida a los cargos de Elección Popular, para 7 comunas en Chile, Periodo 1990-2020" u="1"/>
        <s v="Evolución Mensual del Número de Viviendas Autorizadas para Construcción en la Región de Los Ríos" u="1"/>
        <s v="Evolución de los suscriptores de televisión de pago en la región de Aysén" u="1"/>
        <s v="Candidatos electos, Lista-Partido y Votación Obtenida a los cargos de Elección Popular, para 7 comunas en la Región de Antofagasta, Periodo 1990-2020" u="1"/>
        <s v="Capacidad Instalada de Generación de ERNC en la Región de Atacama para el POR DEFINIR" u="1"/>
        <s v="Capacidad Instalada de Generación de ERNC en la Región del Biobío para el POR DEFINIR" u="1"/>
        <s v="Variación Anual de Frecuencia de Delitos de Mayor Connotación Social en la Región de Atacama, Periodo 2008-2021" u="1"/>
        <s v="Variación Anual de Frecuencia de Delitos de Mayor Connotación Social en la Región del Biobío, Periodo 2008-2021" u="1"/>
        <s v="Evolución de los suscriptores de televisión de pago en la región del Biobío" u="1"/>
        <s v="Sentencias Dictadas por delitos de Abuso Sexual en la Región de Antofagasta para el Año 2019" u="1"/>
        <s v="Producción Agrícola (t) en la Región de Antofagasta en el Periodo 1979-2020" u="1"/>
        <s v="Esquema jerárquico de programas/instituciones evaluados (periodo 1997 -2019)" u="1"/>
        <s v="Evolución de los suscriptores de televisión de pago en la región de Magallanes" u="1"/>
        <s v="Top 10 de comunas en Chile con mayor cantidad de suscripciones a internet fija" u="1"/>
        <s v="Mapa Regional de Ingresos Promedio Mensuales (CLP/mes) para la población de la Región de Aysén autodefinida como Etnia Mapuche en el Año 2017" u="1"/>
        <s v="Mapa Regional de Ingresos Promedio Mensuales (CLP/mes) para la población de la Región de Maule autodefinida como Etnia Mapuche en el Año 2017" u="1"/>
        <s v="Mapa Regional de Ingresos Promedio Mensuales (CLP/mes) para la población de la Región de Ñuble autodefinida como Etnia Mapuche en el Año 2017" u="1"/>
        <s v="Volumen de Exportaciones Frutícolas en la Región de Antofagasta, Periodo 2012-2020" u="1"/>
        <s v="Evolución de los suscriptores de televisión de pago en la región de Los Ríos" u="1"/>
        <s v="Evolución de la Superficie de las solicitudes de edificación Habitacional autorizada para construcción de Obras Nuevas en la Región de Antofagasta" u="1"/>
        <s v="Capacidad Instalada de Generación de ERNC en Chile para el POR DEFINIR" u="1"/>
        <s v="Evolución Mensual del Número de Viviendas Autorizadas para Construcción en la Región de La Araucanía" u="1"/>
        <s v="Variación Anual de Frecuencia de Delitos de Mayor Connotación Social en la Región de Magallanes, Periodo 2008-2021" u="1"/>
        <s v="Variación Anual de Frecuencia de Delitos de Mayor Connotación Social en la Región de Valparaíso, Periodo 2008-2021" u="1"/>
        <s v="Variación Anual de Frecuencia de Delitos de Mayor Connotación Social en la Región Metropolitana, Periodo 2008-2021" u="1"/>
        <s v="Cantidad de Plazas Públicas por Comuna en la Región de Aysén, Periodo 2001-2020" u="1"/>
        <s v="Cantidad de Plazas Públicas por Comuna en la Región de Maule, Periodo 2001-2020" u="1"/>
        <s v="Capacidad Instalada de Generación de ERNC en la Región de Antofagasta para el POR DEFINIR" u="1"/>
        <s v="Evolución de los suscriptores de televisión de pago en la región de Antofagasta" u="1"/>
        <s v="Evolución Mensual del Número de Viviendas Autorizadas para Construcción en la Región de Aysén" u="1"/>
        <s v="Evolución de la Superficie de las solicitudes de edificación No Habitacional autorizada para construcción de Ampliaciones de la industria, comercio y establecimientos financieros (ICEF) en la Región de Los Ríos" u="1"/>
        <s v="Mapa de Comunas con ALTA Vulnerabilidad al Cambio Climático en Chile, POR DEFINIR" u="1"/>
        <s v="Cantidad de licencias de conducir del tipo no profesional por Comuna en la Región de Antofagasta, Periodo 2008-2019" u="1"/>
        <s v="Evolución de los suscriptores de televisión de pago en la región de Valparaíso" u="1"/>
        <s v="Cantidad de licencias de conducir por clase y Comuna en la Región de La Araucanía, Año 2021" u="1"/>
        <s v="Valor de las exportaciones en USD según terminal de salida para la Chile, Periodo 2015-2021" u="1"/>
        <s v="Evolución anual de superficie plantada (ha) de lechuga en la Región de Magallanes" u="1"/>
        <s v="Variación Anual de Frecuencia de Delitos de Mayor Connotación Social en la Región de Los Lagos, Periodo 2008-2021" u="1"/>
        <s v="Variación Anual de Frecuencia de Delitos de Mayor Connotación Social en la Región de O'Higgins, Periodo 2008-2021" u="1"/>
        <s v="Evolución Mensual del Número de Viviendas Autorizadas para Construcción en la Región de Ñuble" u="1"/>
        <s v="Cantidad de Farmacias de Turno por Comuna en la Región de Valparaíso, Periodo 2015-2021" u="1"/>
        <s v="Producción Agrícola en la Región de Aysén en el Periodo 1979-2020" u="1"/>
        <s v="Producción Agrícola en la Región de Maule en el Periodo 1979-2020" u="1"/>
        <s v="Producción Agrícola en la Región de Ñuble en el Periodo 1979-2020" u="1"/>
        <s v="Cantidad de permisos de circulación de transportes colectivos por Comuna en la Región de Los Lagos, Periodo 2011-2017" u="1"/>
        <s v="Cantidad de permisos de circulación de transportes colectivos por Comuna en la Región de O'Higgins, Periodo 2011-2017" u="1"/>
        <s v="Distribución comunal de denuncias por violación en la Región de Los Lagos en el Año 2020" u="1"/>
        <s v="Distribución comunal de denuncias por violación en la Región de O'Higgins en el Año 2020" u="1"/>
        <s v="Cantidad de permisos de circulación según tipo de vehículo en la Región de Coquimbo, Periodo 2008-2019" u="1"/>
        <s v="Cantidad de permisos de circulación según tipo de vehículo en la Región de Los Ríos, Periodo 2008-2019" u="1"/>
        <s v="Cantidad de permisos de circulación según tipo de vehículo en la Región de Tarapacá, Periodo 2008-2019" u="1"/>
        <s v="Volumen de Exportaciones Frutícolas en la Región de Aysén, Periodo 2012-2020" u="1"/>
        <s v="Volumen de Exportaciones Frutícolas en la Región de Maule, Periodo 2012-2020" u="1"/>
        <s v="Volumen de Exportaciones Frutícolas en la Región de Ñuble, Periodo 2012-2020" u="1"/>
        <s v="Candidatos electos, Lista-Partido y Votación Obtenida a los cargos de Elección Popular, para 7 comunas en la Región de Coquimbo, Periodo 1990-2020" u="1"/>
        <s v="Candidatos electos, Lista-Partido y Votación Obtenida a los cargos de Elección Popular, para 7 comunas en la Región de Los Ríos, Periodo 1990-2020" u="1"/>
        <s v="Candidatos electos, Lista-Partido y Votación Obtenida a los cargos de Elección Popular, para 7 comunas en la Región de Tarapacá, Periodo 1990-2020" u="1"/>
        <s v="Candidatos electos, Lista-Partido y Votación Obtenida a los cargos de Elección Popular, para 7 comunas en la Región de La Araucanía, Periodo 1990-2020" u="1"/>
        <s v="Proporción del destino de la fruta producida por la Región de Aysén, en el Periodo 2018-2020" u="1"/>
        <s v="Evolución anual de superficie plantada (ha) de lechuga en la Región de Aysén" u="1"/>
        <s v="Evolución de la Superficie de las solicitudes de edificación No Habitacional autorizada para construcción de Ampliaciones de la industria, comercio y establecimientos financieros (ICEF) en la Región de La Araucanía" u="1"/>
        <s v="Ingresos promedios mensuales en Región de Coquimbo en el POR DEFINIR" u="1"/>
        <s v="Ingresos promedios mensuales en Región de Los Ríos en el POR DEFINIR" u="1"/>
        <s v="Ingresos promedios mensuales en Región de Tarapacá en el POR DEFINIR" u="1"/>
        <s v="Cantidad de Establecimientos de la Salud por Tipo y Categoría en la Región de Coquimbo, Periodo 2011-2017" u="1"/>
        <s v="Cantidad de Establecimientos de la Salud por Tipo y Categoría en la Región de Los Ríos, Periodo 2011-2017" u="1"/>
        <s v="Cantidad de Establecimientos de la Salud por Tipo y Categoría en la Región de Tarapacá, Periodo 2011-2017" u="1"/>
        <s v="Cantidad de permisos de circulación según tipo de transporte en la Región de Los Lagos, Periodo 2011-2017" u="1"/>
        <s v="Cantidad de permisos de circulación según tipo de transporte en la Región de O'Higgins, Periodo 2011-2017" u="1"/>
        <s v="Evolución Mensual del Número de Viviendas Autorizadas para Construcción en la Región de O'Higgins" u="1"/>
        <s v="Cantidad de permisos de circulación según tipo de vehículo en la Región de Los Lagos, Periodo 2008-2019" u="1"/>
        <s v="Cantidad de permisos de circulación según tipo de vehículo en la Región de O'Higgins, Periodo 2008-2019" u="1"/>
        <s v="Evolución de la Superficie de las solicitudes de edificación Habitacional autorizada para construcción de Obras Nuevas en la Región de Atacama" u="1"/>
        <s v="Evolución de la Superficie de las solicitudes de edificación No Habitacional autorizada para construcción de Ampliaciones de la industria, comercio y establecimientos financieros (ICEF) en la Región de Aysén" u="1"/>
        <s v="Ingresos promedios mensuales en Región de Aysén en el POR DEFINIR" u="1"/>
        <s v="Ingresos promedios mensuales en Región de Maule en el POR DEFINIR" u="1"/>
        <s v="Ingresos promedios mensuales en Región de Ñuble en el POR DEFINIR" u="1"/>
        <s v="Cantidad de Farmacias de Turno por Comuna en la Región de Antofagasta, Periodo 2015-2021" u="1"/>
        <s v="Cantidad de Establecimientos de la Salud por Tipo en la Región de La Araucanía, Periodo 2010-2016" u="1"/>
        <s v="Cantidad de licencias de conducir del tipo no profesional por Comuna en la Región de Arica y Parinacota, Periodo 2008-2019" u="1"/>
        <s v="Evolución de la Superficie de las solicitudes de edificación No Habitacional autorizada para construcción de Ampliaciones de la industria, comercio y establecimientos financieros (ICEF) en la Región de Ñuble" u="1"/>
        <s v="Cantidad de permisos de circulación según tipo de transporte en la Región de Arica y Parinacota, Periodo 2011-2017" u="1"/>
        <s v="Evolución de las Atenciones de Salud por Violencia de Género en Región de Antofagasta, para el Periodo 2010-2016" u="1"/>
        <s v="Cantidad de Establecimientos de la Salud por Tipo en la Región de Magallanes, Periodo 2010-2016" u="1"/>
        <s v="Cantidad de Establecimientos de la Salud por Tipo en la Región de Valparaíso, Periodo 2010-2016" u="1"/>
        <s v="Cantidad de Establecimientos de la Salud por Tipo en la Región Metropolitana, Periodo 2010-2016" u="1"/>
        <s v="Cantidad de licencias de conducir por clase y Comuna en la Región de Aysén, Año 2021" u="1"/>
        <s v="Cantidad de licencias de conducir por clase y Comuna en la Región de Maule, Año 2021" u="1"/>
        <s v="Capacidad Instalada (MW) de Centrales de Energía Renovable y No Renovable en la Región de Arica y Parinacota, para el Año 2021" u="1"/>
        <s v="Sentencias Dictadas por delitos de Abuso Sexual en la Región de Los Lagos para el Año 2019" u="1"/>
        <s v="Sentencias Dictadas por delitos de Abuso Sexual en la Región de O'Higgins para el Año 2019" u="1"/>
        <s v="Evolución de la Superficie de las solicitudes de edificación Habitacional autorizada para construcción de Obras Nuevas en la Región de Magallanes" u="1"/>
        <s v="Cantidad de permisos de circulación según tipo de vehículo en la Región de Antofagasta, Periodo 2008-2019" u="1"/>
        <s v="Superficie de glaciares en la Región de Coquimbo para el Periodo 2016-2021" u="1"/>
        <s v="Superficie de glaciares en la Región de Los Ríos para el Periodo 2016-2021" u="1"/>
        <s v="Superficie de glaciares en la Región de Tarapacá para el Periodo 2016-2021" u="1"/>
        <s v="Cantidad de Establecimientos de la Salud por Tipo y Categoría en la Región de Los Lagos, Periodo 2011-2017" u="1"/>
        <s v="Cantidad de Establecimientos de la Salud por Tipo y Categoría en la Región de O'Higgins, Periodo 2011-2017" u="1"/>
        <s v="Cantidad de licencias de conducir del tipo no profesional por Comuna en Región de Ñuble, Periodo 2011-2017" u="1"/>
        <s v="Cantidad de permisos de circulación según tipo de transporte en la Región de Magallanes, Periodo 2011-2017" u="1"/>
        <s v="Cantidad de permisos de circulación según tipo de transporte en la Región de Valparaíso, Periodo 2011-2017" u="1"/>
        <s v="Cantidad de permisos de circulación según tipo de transporte en la Región Metropolitana, Periodo 2011-2017" u="1"/>
        <s v="Evolución de la Superficie de las solicitudes de edificación Habitacional autorizada para construcción de Obras Nuevas en la Región de Arica y Parinacota" u="1"/>
        <s v="Variación Anual de Frecuencia de Delitos de Mayor Connotación Social en la Región de Coquimbo, Periodo 2008-2021" u="1"/>
        <s v="Variación Anual de Frecuencia de Delitos de Mayor Connotación Social en la Región de Los Ríos, Periodo 2008-2021" u="1"/>
        <s v="Variación Anual de Frecuencia de Delitos de Mayor Connotación Social en la Región de Tarapacá, Periodo 2008-2021" u="1"/>
        <s v="Cantidad de Farmacias de Turno por Comuna en Región de Ñuble, Año 2021" u="1"/>
        <s v="Cantidad de Establecimientos de la Salud por Tipo en la Región de Arica y Parinacota, Periodo 2010-2016" u="1"/>
        <s v="Cantidad de Centrales de Energía Renovable No Convencional por Comuna en la Región de Arica y Parinacota, para el Año 2021" u="1"/>
        <s v="Cantidad de licencias de conducir por clase y Comuna en la Región de Magallanes, Año 2021" u="1"/>
        <s v="Cantidad de licencias de conducir por clase y Comuna en la Región de Valparaíso, Año 2021" u="1"/>
        <s v="Cantidad de licencias de conducir por clase y Comuna en la Región Metropolitana, Año 2021" u="1"/>
        <s v="Evolución de la Superficie de las solicitudes de edificación No Habitacional autorizada para construcción de Ampliaciones de la industria, comercio y establecimientos financieros (ICEF) en la Región de O'Higgins" u="1"/>
        <s v="Capacidad Instalada (MW) de Centrales Eléctricas por Región en Región Metropolitana, Año 2021" u="1"/>
        <s v="Cantidad de Establecimientos de la Salud por Tipo y Categoría en la Chile, Periodo 2011-2017" u="1"/>
        <s v="Incendios y superficie afectada de plantaciones Forestales según causas específicas en la Región de Antofagasta, Periodo 2010-2020" u="1"/>
        <s v="Áreas Verdes Mantenidas (m2) por Habitante y Comuna en la Región de Magallanes, Periodo 2009-2017" u="1"/>
        <s v="Áreas Verdes Mantenidas (m2) por Habitante y Comuna en la Región de Valparaíso, Periodo 2009-2017" u="1"/>
        <s v="Áreas Verdes Mantenidas (m2) por Habitante y Comuna en la Región Metropolitana, Periodo 2009-2017" u="1"/>
        <s v="Cantidad de Centrales de Energía Renovable y No Renovable por Región en el año 2021" u="1"/>
        <s v="Atenciones Médicas por Violencia de Género por Región en Región de Ñuble, Periodo 2010-2016" u="1"/>
        <s v="Cantidad de Establecimientos de la Salud por Tipo en la Región de Coquimbo, Periodo 2010-2016" u="1"/>
        <s v="Cantidad de Establecimientos de la Salud por Tipo en la Región de Los Ríos, Periodo 2010-2016" u="1"/>
        <s v="Cantidad de Establecimientos de la Salud por Tipo en la Región de Tarapacá, Periodo 2010-2016" u="1"/>
        <s v="Evolución anual de superficie plantada (ha) de lechuga en la Región de Los Ríos" u="1"/>
        <s v="Evolución de las Atenciones de Salud por Violencia de Género en Región de La Araucanía, para el Periodo 2010-2016" u="1"/>
        <s v="Cantidad de Plazas Públicas por Comuna en la Región de La Araucanía, Periodo 2001-2020" u="1"/>
        <s v="Atenciones Médicas por Violencia de Género en la Región de Aysén, Año 2021" u="1"/>
        <s v="Atenciones Médicas por Violencia de Género en la Región de Maule, Año 2021" u="1"/>
        <s v="Cantidad de permisos de circulación de transportes colectivos por Comuna en la Chile, Periodo 2011-2017" u="1"/>
        <s v="Cantidad de permisos de circulación según tipo de transporte en la Región de Atacama, Periodo 2011-2017" u="1"/>
        <s v="Cantidad de permisos de circulación según tipo de transporte en la Región del Biobío, Periodo 2011-2017" u="1"/>
        <s v="Evolución de la Superficie de las solicitudes de edificación Habitacional autorizada para construcción de Obras Nuevas en la Región de Los Ríos" u="1"/>
        <s v="Precios diarios de hortalizas en mercados mayoristas (año 2021)" u="1"/>
        <s v="Áreas Verdes Mantenidas (m2) por Habitante y Comuna en la Región de Atacama, Periodo 2009-2017" u="1"/>
        <s v="Áreas Verdes Mantenidas (m2) por Habitante y Comuna en la Región del Biobío, Periodo 2009-2017" u="1"/>
        <s v="Superficie de glaciares en la Región de Atacama para el Periodo 2016-2021" u="1"/>
        <s v="Superficie de glaciares en la Región del Biobío para el Periodo 2016-2021" u="1"/>
        <s v="Capacidad Instalada de Generación de ERNC en la Región de Arica y Parinacota para el POR DEFINIR" u="1"/>
        <s v="Evolución de los suscriptores de televisión de pago en la región de Los Lagos" u="1"/>
        <s v="Cantidad de Farmacias de Turno por Comuna en la Chile, Año 2021" u="1"/>
        <s v="Cantidad de comunas según grado de vulnerabilidad al cambio climático, Región de Coquimbo, POR DEFINIR" u="1"/>
        <s v="Cantidad de comunas según grado de vulnerabilidad al cambio climático, Región de Los Ríos, POR DEFINIR" u="1"/>
        <s v="Cantidad de comunas según grado de vulnerabilidad al cambio climático, Región de Tarapacá, POR DEFINIR" u="1"/>
        <s v="Evolución por trimestre de Importaciones y exportaciones según el volumen (kg) en la Región de La Araucanía, Año 2020" u="1"/>
        <s v="Sentencias Dictadas por delitos de Abuso Sexual en la Región de Magallanes para el Año 2019" u="1"/>
        <s v="Sentencias Dictadas por delitos de Abuso Sexual en la Región de Valparaíso para el Año 2019" u="1"/>
        <s v="Sentencias Dictadas por delitos de Abuso Sexual en la Región Metropolitana para el Año 2019" u="1"/>
        <s v="Cantidad de Establecimientos de la Salud por Tipo en Región de Ñuble, Año 2021" u="1"/>
        <s v="Capacidad Instalada (MW) de Centrales Eléctricas por Tipo de Energía y Región en Región de Ñuble, para el Año 2021" u="1"/>
        <s v="Atenciones Médicas por Violencia de Género en la Región de Arica y Parinacota, Año 2021" u="1"/>
        <s v="Cantidad de Establecimientos de la Salud por Tipo en la Región de Los Lagos, Periodo 2010-2016" u="1"/>
        <s v="Cantidad de Establecimientos de la Salud por Tipo en la Región de O'Higgins, Periodo 2010-2016" u="1"/>
        <s v="Cantidad de licencias de conducir por clase y Comuna en la Región de Arica y Parinacota, Año 2021" u="1"/>
        <s v="Evolución de los suscriptores de televisión de pago en la región Metropolitana" u="1"/>
        <s v="Mapa de cantidad de conexiones a internet fija en la región de Metropolitana, Año 2019" u="1"/>
        <s v="Evolución por trimestre de Importaciones y exportaciones según el volumen (kg) en la Región de Arica y Parinacota, Año 2020" u="1"/>
        <s v="Evolución de los suscriptores de televisión de pago en la región de Coquimbo" u="1"/>
        <s v="Cantidad de Centrales de Energía Renovable No Convencional por Comuna en la Región de La Araucanía, para el Año 2021" u="1"/>
        <s v="Cantidad de Farmacias de Turno por Comuna en la Región de Los Lagos, Periodo 2015-2021" u="1"/>
        <s v="Cantidad de Farmacias de Turno por Comuna en la Región de O'Higgins, Periodo 2015-2021" u="1"/>
        <s v="Distribución comunal de denuncias por violación en la Región de Coquimbo en el Año 2020" u="1"/>
        <s v="Distribución comunal de denuncias por violación en la Región de Los Ríos en el Año 2020" u="1"/>
        <s v="Distribución comunal de denuncias por violación en la Región de Tarapacá en el Año 2020" u="1"/>
        <s v="Desembarque total por tipo (industrial o artesanal) a nivel regional en Chile para el Año 2019" u="1"/>
        <s v="Evolución de los suscriptores de televisión de pago en la región de O'Higgins" u="1"/>
        <s v="Evolución de los suscriptores de televisión de pago en la región de Atacama" u="1"/>
        <s v="Variación Anual de Frecuencia de Delitos de Mayor Connotación Social en Chile, Periodo 2008-2021" u="1"/>
        <s v="Cantidad de Parques Urbanos por Comuna en la Chile, Año 2020" u="1"/>
        <s v="Atenciones Médicas por Violencia de Género en la Región de Atacama, Año 2021" u="1"/>
        <s v="Atenciones Médicas por Violencia de Género en la Región del Biobío, Año 2021" u="1"/>
        <s v="Evolución de los suscriptores de televisión de pago en la región de Ñuble" u="1"/>
        <s v="Áreas Verdes Mantenidas (m2) por Habitante y Comuna en la Región de La Araucanía, Periodo 2009-2017" u="1"/>
        <s v="Variación Anual de Frecuencia de Delitos de Mayor Connotación Social en la Región de Antofagasta, Periodo 2008-2021" u="1"/>
        <s v="Evolución de las Atenciones de Salud por Violencia de Género en Región de Atacama, para el Periodo 2010-2016" u="1"/>
        <s v="Evolución de las Atenciones de Salud por Violencia de Género en Región del Biobío, para el Periodo 2010-2016" u="1"/>
        <s v="Evolución Anual de la superficie afectada por Incendios Forestales en Chile, Periodo 2010-2020" u="1"/>
        <s v="Superficie de glaciares en la Región de Los Lagos para el Periodo 2016-2021" u="1"/>
        <s v="Superficie de glaciares en la Región de O'Higgins para el Periodo 2016-2021" u="1"/>
        <s v="Producción Agrícola (t) en la Región de Aysén en el Periodo 1979-2020" u="1"/>
        <s v="Producción Agrícola en la Región de Los Lagos en el Periodo 1979-2020" u="1"/>
        <s v="Producción Agrícola en la Región de O'Higgins en el Periodo 1979-2020" u="1"/>
        <s v="Evolución Mensual del Número de Viviendas Autorizadas para Construcción en la Región del Biobío" u="1"/>
        <s v="Evolución Anual de la superficie afectada por Incendios Forestales en la Región de Antofagasta, Periodo 2010-2020" u="1"/>
        <s v="Evolución por trimestre de Importaciones y exportaciones según el volumen (kg) en la Región de Coquimbo, Año 2020" u="1"/>
        <s v="Evolución por trimestre de Importaciones y exportaciones según el volumen (kg) en la Región de Los Ríos, Año 2020" u="1"/>
        <s v="Evolución por trimestre de Importaciones y exportaciones según el volumen (kg) en la Región de Tarapacá, Año 2020" u="1"/>
        <s v="Áreas Verdes Mantenidas (m2) por Habitante y Comuna en la Región de Coquimbo, Periodo 2009-2017" u="1"/>
        <s v="Áreas Verdes Mantenidas (m2) por Habitante y Comuna en la Región de Los Ríos, Periodo 2009-2017" u="1"/>
        <s v="Áreas Verdes Mantenidas (m2) por Habitante y Comuna en la Región de Tarapacá, Periodo 2009-2017" u="1"/>
        <s v="Producción Agrícola en Chile en el Periodo 1979-2020" u="1"/>
        <s v="Áreas Verdes Mantenidas (m2) por Habitante y Comuna en la Región de Antofagasta, Periodo 2009-2017" u="1"/>
        <s v="Evolución Anual de la superficie afectada por Incendios Forestales en la Región de Los Lagos, Periodo 2010-2020" u="1"/>
        <s v="Evolución Anual de la superficie afectada por Incendios Forestales en la Región de O'Higgins, Periodo 2010-2020" u="1"/>
        <s v="Mapa Regional de Ingresos Promedio Mensuales (CLP/mes) para la población de la Región de Atacama autodefinida como Etnia Mapuche en el Año 2017" u="1"/>
        <s v="Mapa Regional de Ingresos Promedio Mensuales (CLP/mes) para la población de la Región del Biobío autodefinida como Etnia Mapuche en el Año 2017" u="1"/>
        <s v="Capacidad Instalada de Generación de ERNC en la Región de Los Lagos para el POR DEFINIR" u="1"/>
        <s v="Capacidad Instalada de Generación de ERNC en la Región de O'Higgins para el POR DEFINIR" u="1"/>
        <s v="Cantidad de permisos de circulación de transportes colectivos por Comuna en la Región de Aysén, Periodo 2011-2017" u="1"/>
        <s v="Cantidad de permisos de circulación de transportes colectivos por Comuna en la Región de Maule, Periodo 2011-2017" u="1"/>
        <s v="Producción Agrícola (t) en la Región de Atacama en el Periodo 1979-2020" u="1"/>
        <s v="Producción Agrícola en la Región de Antofagasta en el Periodo 1979-2020" u="1"/>
        <s v="Evolución Mensual del Número de Viviendas Autorizadas para Construcción en la Región de Arica y Parinacota" u="1"/>
        <s v="Cantidad de Establecimientos de la Salud por Comuna en Región de Ñuble, Año 2021" u="1"/>
        <s v="Cantidad de Establecimientos de la Salud por Región en Región de Ñuble, Año 2021" u="1"/>
        <s v="Variación Anual de Frecuencia de Delitos de Mayor Connotación Social en la Región de Aysén, Periodo 2008-2021" u="1"/>
        <s v="Variación Anual de Frecuencia de Delitos de Mayor Connotación Social en la Región de Maule, Periodo 2008-2021" u="1"/>
        <s v="Variación Anual de Frecuencia de Delitos de Mayor Connotación Social en la Región de Ñuble, Periodo 2008-2021" u="1"/>
        <s v="Evolución de las Atenciones de Salud por Violencia de Género en Chile, para el Periodo 2010-2016" u="1"/>
        <s v="Mapa Regional de Ingresos Promedio Mensuales (CLP/mes) para la población de la Región de Coquimbo autodefinida como Etnia Mapuche en el Año 2017" u="1"/>
        <s v="Mapa Regional de Ingresos Promedio Mensuales (CLP/mes) para la población de la Región de Los Ríos autodefinida como Etnia Mapuche en el Año 2017" u="1"/>
        <s v="Mapa Regional de Ingresos Promedio Mensuales (CLP/mes) para la población de la Región de Tarapacá autodefinida como Etnia Mapuche en el Año 2017" u="1"/>
        <s v="Cantidad de permisos de circulación según tipo de vehículo en la Región de Atacama, Periodo 2008-2019" u="1"/>
        <s v="Cantidad de permisos de circulación según tipo de vehículo en la Región del Biobío, Periodo 2008-2019" u="1"/>
        <s v="Cantidad de Centrales de Energía Renovable No Convencional por Comuna en la Chile, para el Año 2021" u="1"/>
        <s v="Evolución de los suscriptores de televisión de pago en la región de La Araucanía" u="1"/>
        <s v="Cantidad de Establecimientos de la Salud por Tipo y Categoría en Región de Ñuble, Año 2021" u="1"/>
        <s v="Cantidad de licencias de conducir por clase y Comuna en la Región de Antofagasta, Año 2021" u="1"/>
        <s v="Cantidad de licencias de conducir del tipo profesional según clase en la Región de Arica y Parinacota, Periodo 2008-2019" u="1"/>
        <s v="Capacidad Instalada (MW) de Centrales de Energía Renovable y No Renovable en Chile, para el Año 2021" u="1"/>
        <s v="Cantidad de Centrales de Energía Renovable No Convencional por Comuna en la Región de Aysén, para el Año 2021" u="1"/>
        <s v="Cantidad de Centrales de Energía Renovable No Convencional por Comuna en la Región de Maule, para el Año 2021" u="1"/>
        <s v="Cantidad de Centrales de Energía Renovable No Convencional por Comuna en la Región de Ñuble, para el Año 2021" u="1"/>
        <s v="Top 10 Comunas con la mayor cantidad de farmacias enChile, Año 2021" u="1"/>
        <s v="Cantidad de Centrales de Energía Renovable No Convencional por Comuna en Chile, para el Año 2021" u="1"/>
        <s v="Cantidad de Plazas Públicas por Comuna en la Región de Antofagasta, Periodo 2001-2020" u="1"/>
        <s v="Capacidad Instalada (MW) de Centrales de Energía Renovable y No Renovable en la Región de Antofagasta, para el Año 2021" u="1"/>
        <s v="Evolución de la Superficie de las solicitudes de edificación No Habitacional autorizada para construcción de Ampliaciones de la industria, comercio y establecimientos financieros (ICEF) en la Región del Biobío" u="1"/>
        <s v="Volumen de Exportaciones Frutícolas en la Región de Arica y Parinacota, Periodo 2012-2020" u="1"/>
        <s v="Evolución anual de superficie plantada (ha) de lechuga en la Región de Antofagasta" u="1"/>
        <s v="Evolución Mensual del Número de Viviendas Autorizadas para Construcción en la Región de Los Lagos" u="1"/>
        <s v="Cantidad de Plazas Públicas por Comuna en la Región de Coquimbo, Periodo 2001-2020" u="1"/>
        <s v="Cantidad de Plazas Públicas por Comuna en la Región de Los Ríos, Periodo 2001-2020" u="1"/>
        <s v="Cantidad de Plazas Públicas por Comuna en la Región de Tarapacá, Periodo 2001-2020" u="1"/>
        <s v="Cantidad de Centrales de Energía Renovable No Convencional por Comuna en la Región de Antofagasta, para el Año 2021" u="1"/>
        <s v="Producción Agrícola en la Región de Arica y Parinacota en el Periodo 1979-2020" u="1"/>
        <s v="Valor acumulado de Exportaciones Frutícolas por país de destino, Periodo 2012-2020" u="1"/>
        <s v="Producción Agrícola en la Región de Magallanes en el Periodo 1979-2020" u="1"/>
        <s v="Producción Agrícola en la Región de Valparaíso en el Periodo 1979-2020" u="1"/>
        <s v="Producción Agrícola en la Región Metropolitana en el Periodo 1979-2020" u="1"/>
        <s v="Evolución de la Superficie de las solicitudes de edificación No Habitacional autorizada para construcción de Ampliaciones de la industria, comercio y establecimientos financieros (ICEF) en la Región de Arica y Parinacota" u="1"/>
        <s v="Cantidad de Centrales de Energía Renovable No Convencional por Comuna en la Región de Los Lagos, para el Año 2021" u="1"/>
        <s v="Cantidad de Centrales de Energía Renovable No Convencional por Comuna en la Región de O'Higgins, para el Año 2021" u="1"/>
        <s v="Ingresos promedios mensuales en Región de Antofagasta en el POR DEFINIR" u="1"/>
        <s v="Superficie de glaciares en la Región de Arica y Parinacota para el Periodo 2016-2021" u="1"/>
        <s v="Cantidad de comunas según grado de vulnerabilidad al cambio climático, Región de Antofagasta, POR DEFINIR" u="1"/>
        <s v="Superficie de glaciares en la Región de Magallanes para el Periodo 2016-2021" u="1"/>
        <s v="Superficie de glaciares en la Región de Valparaíso para el Periodo 2016-2021" u="1"/>
        <s v="Superficie de glaciares en la Región Metropolitana para el Periodo 2016-2021" u="1"/>
        <s v="Atenciones Médicas por Violencia de Género en la Región de La Araucanía, Año 2021" u="1"/>
        <s v="Cantidad de Plazas Públicas por Comuna en la Región de Arica y Parinacota, Periodo 2001-2020" u="1"/>
        <s v="Desembarque de pesca artesanal en Chile en el periodo 2014-2021" u="1"/>
        <s v="Evolución de la Superficie de las solicitudes de edificación Habitacional autorizada para construcción de Obras Nuevas en la Región de Valparaíso" u="1"/>
        <s v="Cantidad de Establecimientos de la Salud por Tipo en la Región de Antofagasta, Periodo 2010-2016" u="1"/>
        <s v="Evolución de la Superficie de las solicitudes de edificación No Habitacional autorizada para construcción de Ampliaciones de la industria, comercio y establecimientos financieros (ICEF) en la Región de Los Lagos" u="1"/>
        <s v="Candidatos electos, Lista-Partido y Votación Obtenida a los cargos de Elección Popular, para 7 comunas en la Región de Los Lagos, Periodo 1990-2020" u="1"/>
        <s v="Candidatos electos, Lista-Partido y Votación Obtenida a los cargos de Elección Popular, para 7 comunas en la Región de O'Higgins, Periodo 1990-2020" u="1"/>
        <s v="Incendios y superficie afectada de plantaciones Forestales según causas específicas en la Región de Arica y Parinacota, Periodo 2010-2020" u="1"/>
        <s v="Evolución Trimestral de Exportaciones (USD) por Tipo de Producto desde Región de Los Ríos, Periodo 2015-2021" u="1"/>
        <s v="Candidatos electos, Lista-Partido y Votación Obtenida a los cargos de Elección Popular, para 7 comunas en la Región de Arica y Parinacota, Periodo 1990-2020" u="1"/>
        <s v="Distribución comunal de denuncias por violación en la Región de Atacama en el Año 2020" u="1"/>
        <s v="Distribución comunal de denuncias por violación en la Región del Biobío en el Año 2020" u="1"/>
        <s v="Evolución de las Atenciones de Salud por Violencia de Género en Región de Arica y Parinacota, para el Periodo 2010-2016" u="1"/>
        <s v="Cantidad de Plazas Públicas por Comuna en la Región de Atacama, Periodo 2001-2020" u="1"/>
        <s v="Cantidad de Plazas Públicas por Comuna en la Región del Biobío, Periodo 2001-2020" u="1"/>
        <s v="Evolución de la Superficie de las solicitudes de edificación Habitacional autorizada para construcción de Obras Nuevas en la Región de Maule" u="1"/>
        <s v="Evolución Mensual del Número de Viviendas Autorizadas para Construcción en la Región de Coquimbo" u="1"/>
        <s v="Superficie de glaciares en la Región de La Araucanía para el Periodo 2016-2021" u="1"/>
        <s v="Cantidad de Plazas Públicas por Comuna en la Chile, Periodo 2001-2020" u="1"/>
        <s v="Ingresos promedios mensuales en Región de La Araucanía en el POR DEFINIR" u="1"/>
        <s v="Población perteneciente a pueblos originarios por región en Chile, POR DEFINIR" u="1"/>
        <s v="Evolución Mensual del Número de Viviendas Autorizadas para Construcción en la Región de Magallanes" u="1"/>
        <s v="Evolución de los suscriptores de televisión de pago en la región de Tarapacá" u="1"/>
        <s v="Superficie de glaciares en Chile para el Periodo 2016-2021" u="1"/>
        <s v="Evolución de la Proporción de la Población que tuvo Consultas Mentales a Escala Nacional en Región de Los Ríos, Periodo 2009-2017" u="1"/>
        <s v="Ingresos promedios mensuales en Región de Los Lagos en el POR DEFINIR" u="1"/>
        <s v="Ingresos promedios mensuales en Región de O'Higgins en el POR DEFINIR" u="1"/>
        <s v="Distribución comunal de denuncias por violación en la Región de Arica y Parinacota en el Año 2020" u="1"/>
        <s v="Superficie de glaciares en la Región de Antofagasta para el Periodo 2016-2021" u="1"/>
        <s v="Cantidad de Establecimientos de la Salud por Tipo y Categoría en la Región de Antofagasta, Periodo 2011-2017" u="1"/>
        <s v="Cantidad de permisos de circulación según tipo de transporte en la Región de La Araucanía, Periodo 2011-2017" u="1"/>
        <s v="Evolución Trimestral de Exportaciones (USD) de Productos del Mar desde Región Metropolitana, Periodo 2015-2021" u="1"/>
        <s v="Cantidad de Farmacias de Turno por Comuna en la Región de La Araucanía, Periodo 2015-2021" u="1"/>
        <s v="Cantidad de Farmacias de Turno por Comuna en la Chile, Periodo 2018-2021" u="1"/>
        <s v="Desembarque total por tipo (industrial o artesanal) en la Región de Tarapacá para el Año 2019" u="1"/>
        <s v="Producción Agrícola (t) en la Región de Tarapacá en el Periodo 1979-2020" u="1"/>
        <s v="Producción Agrícola en la Región de La Araucanía en el Periodo 1979-2020" u="1"/>
        <s v="Cantidad de Plazas Públicas por Comuna en la Región de Magallanes, Periodo 2001-2020" u="1"/>
        <s v="Cantidad de Plazas Públicas por Comuna en la Región de Valparaíso, Periodo 2001-2020" u="1"/>
        <s v="Cantidad de Plazas Públicas por Comuna en la Región Metropolitana, Periodo 2001-2020" u="1"/>
        <s v="Evolución de la Superficie de las solicitudes de edificación No Habitacional autorizada para construcción de Ampliaciones de la industria, comercio y establecimientos financieros (ICEF) en la Región de Coquimbo" u="1"/>
        <s v="Distribución comunal de denuncias por violación en la Región de La Araucanía en el Año 2020" u="1"/>
        <s v="Volumen de Exportaciones Frutícolas en la Región de Coquimbo, Periodo 2012-2020" u="1"/>
        <s v="Volumen de Exportaciones Frutícolas en la Región de Los Ríos, Periodo 2012-2020" u="1"/>
        <s v="Volumen de Exportaciones Frutícolas en la Región de Tarapacá, Periodo 2012-2020" u="1"/>
        <s v="Evolución Mensual del Número de Viviendas Autorizadas para Construcción en la Región de Antofagasta" u="1"/>
        <s v="Cantidad de Farmacias de Turno por Comuna en la Región de Coquimbo, Periodo 2015-2021" u="1"/>
        <s v="Cantidad de Farmacias de Turno por Comuna en la Región de Tarapacá, Periodo 2015-2021" u="1"/>
        <s v="Cantidad de Establecimientos de la Salud por Tipo y Categoría en la Región de Atacama, Periodo 2011-2017" u="1"/>
        <s v="Cantidad de Establecimientos de la Salud por Tipo y Categoría en la Región del Biobío, Periodo 2011-2017" u="1"/>
        <s v="Cantidad de licencias de conducir del tipo profesional según clase en Región de Ñuble, Periodo 2011-2017" u="1"/>
        <s v="Cantidad de permisos de circulación según tipo de transporte en la Región de Coquimbo, Periodo 2011-2017" u="1"/>
        <s v="Cantidad de permisos de circulación según tipo de transporte en la Región de Los Ríos, Periodo 2011-2017" u="1"/>
        <s v="Cantidad de permisos de circulación según tipo de transporte en la Región de Tarapacá, Periodo 2011-2017" u="1"/>
        <s v="Candidatos electos, Lista-Partido y Votación Obtenida a los cargos de Elección Popular, para 7 comunas en la Región de Atacama, Periodo 1990-2020" u="1"/>
        <s v="Candidatos electos, Lista-Partido y Votación Obtenida a los cargos de Elección Popular, para 7 comunas en la Región del Biobío, Periodo 1990-2020" u="1"/>
        <s v="Proporción de Alumnos de 4to Medio con más de 450 puntos en la PSU según dependencia de colegios en la Región de Aysén" u="1"/>
        <s v="Evolución de la Superficie de las solicitudes de edificación No Habitacional autorizada para construcción de Ampliaciones de la industria, comercio y establecimientos financieros (ICEF) en la Región de Magallanes" u="1"/>
        <s v="Evolución Mensual del Número de Viviendas Autorizadas para Construcción en la Región Metropolitana" u="1"/>
        <s v="Distribución comunal de denuncias por violación en la Región de Aysén en el Año 2020" u="1"/>
        <s v="Distribución comunal de denuncias por violación en la Región de Maule en el Año 2020" u="1"/>
        <s v="Distribución comunal de denuncias por violación en la Región de Ñuble en el Año 2020" u="1"/>
        <s v="Cantidad de permisos de circulación de transportes colectivos por Comuna en la Región de Antofagasta, Periodo 2011-2017" u="1"/>
        <s v="Mapa de calor que muestra el valor de las Importaciones en USD por Región  en Región de Arica y Parinacota, Periodo 2015-2021" u="1"/>
        <s v="Ingresos promedios mensuales en Región de Atacama en el POR DEFINIR" u="1"/>
        <s v="Ingresos promedios mensuales en Región del Biobío en el POR DEFINIR" u="1"/>
        <s v="Cantidad de Farmacias de Turno por Comuna en la Chile, Periodo 2015-2021" u="1"/>
        <s v="Evolución de las Atenciones de Salud por Violencia de Género en Región de Coquimbo, para el Periodo 2010-2016" u="1"/>
        <s v="Evolución de las Atenciones de Salud por Violencia de Género en Región de Los Ríos, para el Periodo 2010-2016" u="1"/>
        <s v="Evolución de las Atenciones de Salud por Violencia de Género en Región de Tarapacá, para el Periodo 2010-2016" u="1"/>
        <s v="Ranking de las regiones con mayor Vulnerabilidad al Cambio Climático en Chile, POR DEFINIR" u="1"/>
        <s v="Áreas Verdes Mantenidas (m2) por Habitante y Comuna en la Región de Los Lagos, Periodo 2009-2017" u="1"/>
        <s v="Áreas Verdes Mantenidas (m2) por Habitante y Comuna en la Región de O'Higgins, Periodo 2009-2017" u="1"/>
        <s v="Evolución de la Proporción de la Población que tuvo Consultas Mentales a Escala Nacional en Chile, Periodo 2009-2017" u="1"/>
        <s v="Evolución de las Atenciones de Salud por Violencia de Género en Región de Aysén, para el Periodo 2010-2016" u="1"/>
        <s v="Evolución de las Atenciones de Salud por Violencia de Género en Región de Maule, para el Periodo 2010-2016" u="1"/>
        <s v="Evolución de las Atenciones de Salud por Violencia de Género en Región de Ñuble, para el Periodo 2010-2016" u="1"/>
        <s v="Producción Agrícola en la Región de Atacama en el Periodo 1979-2020" u="1"/>
        <s v="Producción Agrícola en la Región del Biobío en el Periodo 1979-2020" u="1"/>
        <s v="Cantidad de licencias de conducir del tipo no profesional por Comuna en la Región de Coquimbo, Periodo 2008-2019" u="1"/>
        <s v="Cantidad de licencias de conducir del tipo no profesional por Comuna en la Región de Los Ríos, Periodo 2008-2019" u="1"/>
        <s v="Cantidad de licencias de conducir del tipo no profesional por Comuna en la Región de Tarapacá, Periodo 2008-2019" u="1"/>
        <s v="Cantidad de licencias de conducir del tipo profesional según clase en la Región de Magallanes, Periodo 2008-2019" u="1"/>
        <s v="Cantidad de licencias de conducir del tipo profesional según clase en la Región de Valparaíso, Periodo 2008-2019" u="1"/>
        <s v="Cantidad de licencias de conducir del tipo profesional según clase en la Región Metropolitana, Periodo 2008-2019" u="1"/>
        <s v="Cantidad de permisos de circulación según tipo de vehículo en la Región de Arica y Parinacota, Periodo 2008-2019" u="1"/>
        <s v="Evolución por trimestre de Importaciones y exportaciones según el volumen (kg) en la Región de Atacama, Año 2020" u="1"/>
        <s v="Evolución por trimestre de Importaciones y exportaciones según el volumen (kg) en la Región del Biobío, Año 2020" u="1"/>
        <s v="Distribución comunal de denuncias por violación en la Región de Magallanes en el Año 2020" u="1"/>
        <s v="Distribución comunal de denuncias por violación en la Región de Valparaíso en el Año 2020" u="1"/>
        <s v="Distribución comunal de denuncias por violación en la Región Metropolitana en el Año 2020" u="1"/>
        <s v="Cantidad de permisos de circulación según tipo de vehículo en la Región de La Araucanía, Periodo 2008-2019" u="1"/>
        <s v="Evolución Anual de la superficie afectada por Incendios Forestales en la Región de Coquimbo, Periodo 2010-2020" u="1"/>
        <s v="Evolución Anual de la superficie afectada por Incendios Forestales en la Región de Los Ríos, Periodo 2010-2020" u="1"/>
        <s v="Evolución Anual de la superficie afectada por Incendios Forestales en la Región de Tarapacá, Periodo 2010-2020" u="1"/>
        <s v="Evolución de la Superficie de las solicitudes de edificación No Habitacional autorizada para construcción de Ampliaciones de la industria, comercio y establecimientos financieros (ICEF) en la Región de Antofagasta" u="1"/>
        <s v="Superficie de glaciares en la Región de Aysén para el Periodo 2016-2021" u="1"/>
        <s v="Superficie de glaciares en la Región de Maule para el Periodo 2016-2021" u="1"/>
        <s v="Superficie de glaciares en la Región de Ñuble para el Periodo 2016-2021" u="1"/>
        <s v="Volumen de Exportaciones Frutícolas en la Región de Magallanes, Periodo 2012-2020" u="1"/>
        <s v="Volumen de Exportaciones Frutícolas en la Región de Valparaíso, Periodo 2012-2020" u="1"/>
        <s v="Volumen de Exportaciones Frutícolas en la Región Metropolitana, Periodo 2012-2020" u="1"/>
        <s v="Cantidad de licencias de conducir del tipo profesional según clase en la Región de Coquimbo, Periodo 2008-2019" u="1"/>
        <s v="Cantidad de licencias de conducir del tipo profesional según clase en la Región de Los Ríos, Periodo 2008-2019" u="1"/>
        <s v="Cantidad de licencias de conducir del tipo profesional según clase en la Región de Tarapacá, Periodo 2008-2019" u="1"/>
        <s v="Cantidad de permisos de circulación de transportes colectivos por Comuna en Región de Ñuble, Periodo 2008-2019" u="1"/>
        <s v="Sentencias Dictadas por delitos de Abuso Sexual en la Región de La Araucanía para el Año 2019" u="1"/>
        <s v="Mapa Regional de Ingresos Promedio Mensuales (CLP/mes) para la población de la Región de Antofagasta autodefinida como Etnia Mapuche en el Año 2017" u="1"/>
        <s v="Evolución de la Superficie de las solicitudes de edificación Habitacional autorizada para construcción de Obras Nuevas en la Región de Los Lagos" u="1"/>
        <s v="Evolución de la Superficie de las solicitudes de edificación No Habitacional autorizada para construcción de Ampliaciones de la industria, comercio y establecimientos financieros (ICEF) en la Región Metropolitana" u="1"/>
        <s v="Cantidad de comunas según grado de vulnerabilidad al cambio climático, Región de Magallanes, POR DEFINIR" u="1"/>
        <s v="Cantidad de comunas según grado de vulnerabilidad al cambio climático, Región de Valparaíso, POR DEFINIR" u="1"/>
        <s v="Cantidad de comunas según grado de vulnerabilidad al cambio climático, Región Metropolitana, POR DEFINIR" u="1"/>
        <s v="Ranking Comunal Región de Arica y Parinacota 2020: Número de Alumnos por Docente en Aula, variación Periodo 2019-2020" u="1"/>
        <s v="Cantidad de permisos de circulación de transportes colectivos por Comuna en la Región de Coquimbo, Periodo 2011-2017" u="1"/>
        <s v="Cantidad de permisos de circulación de transportes colectivos por Comuna en la Región de Los Ríos, Periodo 2011-2017" u="1"/>
        <s v="Cantidad de permisos de circulación de transportes colectivos por Comuna en la Región de Tarapacá, Periodo 2011-2017" u="1"/>
        <s v="Top 10 de Propietarios de Centrales Eléctricas con Mayor Capacidad Instalada (MW) en Región de Los Ríos, para el Año 2021" u="1"/>
        <s v="Atenciones Médicas por Violencia de Género en la Chile, Año 2021" u="1"/>
        <s v="Cantidad de licencias de conducir por clase y Comuna en Región de Ñuble, Periodo 2011-2017" u="1"/>
        <s v="Cantidad de Establecimientos de la Salud por Tipo en la Región de Aysén, Periodo 2010-2016" u="1"/>
        <s v="Cantidad de Establecimientos de la Salud por Tipo en la Región de Maule, Periodo 2010-2016" u="1"/>
        <s v="Sentencias Dictadas por delitos de Abuso Sexual en la Región de Coquimbo para el Año 2019" u="1"/>
        <s v="Sentencias Dictadas por delitos de Abuso Sexual en la Región de Los Ríos para el Año 2019" u="1"/>
        <s v="Capacidad Instalada de Generación de ERNC en la Región de La Araucanía para el POR DEFINIR" u="1"/>
        <s v="Cantidad de Establecimientos de la Salud por Tipo y Categoría en la Región de La Araucanía, Periodo 2011-2017" u="1"/>
        <s v="Cantidad de licencias de conducir del tipo no profesional por Comuna en la Región de Los Lagos, Periodo 2008-2019" u="1"/>
        <s v="Cantidad de licencias de conducir del tipo no profesional por Comuna en la Región de O'Higgins, Periodo 2008-2019" u="1"/>
        <s v="Cantidad de licencias de conducir del tipo profesional según clase en la Región de Antofagasta, Periodo 2008-2019" u="1"/>
        <s v="Evolución Anual de la superficie afectada por Incendios Forestales en la Región de Magallanes, Periodo 2010-2020" u="1"/>
        <s v="Evolución Anual de la superficie afectada por Incendios Forestales en la Región de Valparaíso, Periodo 2010-2020" u="1"/>
        <s v="Evolución Anual de la superficie afectada por Incendios Forestales en la Región Metropolitana, Periodo 2010-2020" u="1"/>
        <s v="Mapa Regional de Ingresos Promedio Mensuales (CLP/mes) para la población de la Región de La Araucanía autodefinida como Etnia Mapuche en el Año 2017" u="1"/>
        <s v="Capacidad Instalada de Generación de ERNC en la Región de Aysén para el POR DEFINIR" u="1"/>
        <s v="Capacidad Instalada de Generación de ERNC en la Región de Maule para el POR DEFINIR" u="1"/>
        <s v="Capacidad Instalada de Generación de ERNC en la Región de Ñuble para el POR DEFINIR" u="1"/>
        <s v="Cantidad de licencias de conducir del tipo profesional según clase en la Región de Aysén, Periodo 2008-2019" u="1"/>
        <s v="Cantidad de licencias de conducir del tipo profesional según clase en la Región de Maule, Periodo 2008-2019" u="1"/>
        <s v="Evolución anual de superficie plantada (ha) de lechuga en la Región de Tarapacá" u="1"/>
        <s v="Evolución Mensual del Número de Viviendas Autorizadas para Construcción en la Región de Tarapacá" u="1"/>
        <s v="Evolución Mensual del Número de Viviendas Autorizadas para Construcción en la Región de Atacama" u="1"/>
        <s v="Evolución de las Atenciones de Salud por Violencia de Género en Región de Los Lagos, para el Periodo 2010-2016" u="1"/>
        <s v="Evolución de las Atenciones de Salud por Violencia de Género en Región de O'Higgins, para el Periodo 2010-2016" u="1"/>
        <s v="Producción Agrícola en la Región de Coquimbo en el Periodo 1979-2020" u="1"/>
        <s v="Producción Agrícola en la Región de Los Ríos en el Periodo 1979-2020" u="1"/>
        <s v="Producción Agrícola en la Región de Tarapacá en el Periodo 1979-2020" u="1"/>
        <s v="Cantidad de permisos de circulación según tipo de transporte en Región de Ñuble, Periodo 2008-2019" u="1"/>
        <s v="Capacidad Instalada (MW) de Centrales de Energía Renovable y No Renovable en la Región de La Araucanía, para el Año 2021" u="1"/>
        <s v="Capacidad Instalada (MW) de Centrales de Energía Renovable y No Renovable en la Región de Coquimbo, para el Año 2021" u="1"/>
        <s v="Capacidad Instalada (MW) de Centrales de Energía Renovable y No Renovable en la Región de Los Ríos, para el Año 2021" u="1"/>
        <s v="Capacidad Instalada (MW) de Centrales de Energía Renovable y No Renovable en la Región de Tarapacá, para el Año 2021" u="1"/>
        <s v="Evolución de la Superficie de las solicitudes de edificación Habitacional autorizada para construcción de Obras Nuevas en la Región de Aysén" u="1"/>
        <s v="Volumen de Exportaciones Frutícolas en la Región de La Araucanía, Periodo 2012-2020" u="1"/>
        <s v="Evolución de los suscriptores de televisión de pago en la región de Arica y Parinacota" u="1"/>
        <s v="Evolución de los suscriptores de televisión de pago en la región de Maule" u="1"/>
        <s v="Producción Agrícola (t) en la Región de Arica y Parinacota en el Periodo 1979-2020" u="1"/>
        <s v="Evolución de la Superficie de las solicitudes de edificación No Habitacional autorizada para construcción de Ampliaciones de la industria, comercio y establecimientos financieros (ICEF) en la Región de Tarapacá" u="1"/>
        <s v="Evolución de la Superficie de las solicitudes de edificación No Habitacional autorizada para construcción de Ampliaciones de la industria, comercio y establecimientos financieros (ICEF) en la Región de Atacama" u="1"/>
        <s v="Sentencias Dictadas por delitos de Abuso Sexual en la Región de Arica y Parinacota para el Año 2019" u="1"/>
        <s v="Atenciones Médicas por Violencia de Género en la Región de Los Lagos, Año 2021" u="1"/>
        <s v="Atenciones Médicas por Violencia de Género en la Región de O'Higgins, Año 2021" u="1"/>
        <s v="Cantidad de permisos de circulación según tipo de transporte en la Chile, Periodo 2011-2017" u="1"/>
        <s v="Cantidad de licencias de conducir por clase y Comuna en la Región de Los Lagos, Año 2021" u="1"/>
        <s v="Cantidad de licencias de conducir por clase y Comuna en la Región de O'Higgins, Año 2021" u="1"/>
        <s v="Capacidad Instalada (MW) de Centrales Eléctricas por Tipo de Energía en la Chile, para el Año 2021" u="1"/>
        <s v="Cantidad de licencias de conducir del tipo no profesional por Comuna en la Región de Aysén, Periodo 2008-2019" u="1"/>
        <s v="Cantidad de licencias de conducir del tipo no profesional por Comuna en la Región de Maule, Periodo 2008-2019" u="1"/>
        <s v="Cantidad de licencias de conducir del tipo profesional según clase en la Región de Atacama, Periodo 2008-2019" u="1"/>
        <s v="Cantidad de licencias de conducir del tipo profesional según clase en la Región del Biobío, Periodo 2008-2019" u="1"/>
        <s v="Variación Anual de Frecuencia de Delitos de Mayor Connotación Social en la Región de La Araucanía, Periodo 2008-2021" u="1"/>
        <s v="Cantidad de licencias de conducir del tipo no profesional por Comuna en la Región de Atacama, Periodo 2008-2019" u="1"/>
        <s v="Cantidad de licencias de conducir del tipo no profesional por Comuna en la Región del Biobío, Periodo 2008-2019" u="1"/>
        <s v="Cantidad de licencias de conducir del tipo profesional según clase en la Región de Los Lagos, Periodo 2008-2019" u="1"/>
        <s v="Cantidad de licencias de conducir del tipo profesional según clase en la Región de O'Higgins, Periodo 2008-2019" u="1"/>
        <s v="Áreas Verdes Mantenidas (m2) por Habitante y Comuna en Región de Ñuble, Periodo 2001-2020" u="1"/>
        <s v="Capacidad Instalada (MW) de Centrales de Energía Renovable y No Renovable en la Región de Los Lagos, para el Año 2021" u="1"/>
        <s v="Capacidad Instalada (MW) de Centrales de Energía Renovable y No Renovable en la Región de O'Higgins, para el Año 2021" u="1"/>
        <s v="Áreas Verdes Mantenidas (m2) por Habitante y Comuna en la Región de Arica y Parinacota, Periodo 2009-2017" u="1"/>
        <s v="Cantidad de comunas por región según grado de vulnerabilidad al cambio climático, POR DEFINIR" u="1"/>
        <s v="Evolución anual de superficie plantada (ha) de lechuga en la Región de Los Lagos" u="1"/>
        <s v="Capacidad Instalada de Generación de ERNC en la Región de Magallanes para el POR DEFINIR" u="1"/>
        <s v="Capacidad Instalada de Generación de ERNC en la Región de Valparaíso para el POR DEFINIR" u="1"/>
        <s v="Capacidad Instalada de Generación de ERNC en la Región Metropolitana para el POR DEFINIR" u="1"/>
        <s v="Cantidad de comunas según grado de vulnerabilidad al cambio climático, Región de Arica y Parinacota, POR DEFINIR" u="1"/>
        <s v="Mapa Regional de Ingresos Promedio Mensuales (CLP/mes) para la población de la Región de Arica y Parinacota autodefinida como Etnia Mapuche en el Año 2017" u="1"/>
        <s v="Evolución Mensual del Número de Viviendas Autorizadas para Construcción en la Región de Maule" u="1"/>
        <s v="Áreas Verdes Mantenidas (m2) por Habitante y Comuna en la Región de Aysén, Periodo 2009-2017" u="1"/>
        <s v="Áreas Verdes Mantenidas (m2) por Habitante y Comuna en la Región de Maule, Periodo 2009-2017" u="1"/>
        <s v="Áreas Verdes Mantenidas (m2) por Habitante y Comuna en la Región de Ñuble, Periodo 2009-2017" u="1"/>
        <s v="Precios diarios de fruta en mercados mayoristas (año 2021)" u="1"/>
        <s v="Cantidad de Farmacias por Región en Región de Arica y Parinacota, Año 2021" u="1"/>
        <s v="Cantidad de licencias de conducir por clase y Comuna en la Chile, Año 2021" u="1"/>
        <s v="Cantidad de comunas según grado de vulnerabilidad al cambio climático, Región de Aysén, POR DEFINIR" u="1"/>
        <s v="Cantidad de comunas según grado de vulnerabilidad al cambio climático, Región de Maule, POR DEFINIR" u="1"/>
        <s v="Cantidad de comunas según grado de vulnerabilidad al cambio climático, Región de Ñuble, POR DEFINIR" u="1"/>
        <s v="Candidatos electos, Lista-Partido y Votación Obtenida a los cargos de Elección Popular, para 7 comunas en la Región de Aysén, Periodo 1990-2020" u="1"/>
        <s v="Candidatos electos, Lista-Partido y Votación Obtenida a los cargos de Elección Popular, para 7 comunas en la Región de Maule, Periodo 1990-2020" u="1"/>
        <s v="Candidatos electos, Lista-Partido y Votación Obtenida a los cargos de Elección Popular, para 7 comunas en la Región de Ñuble, Periodo 1990-2020" u="1"/>
        <s v="Capacidad Instalada (MW) de Centrales de Energía Renovable y No Renovable en la Región de Magallanes, para el Año 2021" u="1"/>
        <s v="Capacidad Instalada (MW) de Centrales de Energía Renovable y No Renovable en la Región de Valparaíso, para el Año 2021" u="1"/>
        <s v="Capacidad Instalada (MW) de Centrales de Energía Renovable y No Renovable en la Región Metropolitana, para el Año 2021" u="1"/>
        <s v="Volumen de Exportaciones Frutícolas en la Región de Atacama, Periodo 2012-2020" u="1"/>
        <s v="Volumen de Exportaciones Frutícolas en la Región del Biobío, Periodo 2012-2020" u="1"/>
        <s v="Evolución de la Tasa de Consultas Mentales a Escala Regional (Consultas cada 100 mil habitantes) en Región de Arica y Parinacota, Periodo 2009-2017" u="1"/>
        <s v="Evolución de la Superficie de las solicitudes de edificación Habitacional autorizada para construcción de Obras Nuevas a Escala Nacional" u="1"/>
        <s v="Atenciones Médicas por Violencia de Género en la Región de Magallanes, Año 2021" u="1"/>
        <s v="Atenciones Médicas por Violencia de Género en la Región de Valparaíso, Año 2021" u="1"/>
        <s v="Atenciones Médicas por Violencia de Género en la Región Metropolitana, Año 2021" u="1"/>
        <s v="Top 10 Comunas con la mayor cantidad de farmacias enRegión de Los Ríos, Año 2021" u="1"/>
        <s v="Evolución de la Superficie de las solicitudes de edificación Habitacional autorizada para construcción de Obras Nuevas en la Región de Coquimbo" u="1"/>
        <s v="Evolución por trimestre de Importaciones y exportaciones según el volumen (kg) en la Región de Los Lagos, Año 2020" u="1"/>
        <s v="Evolución por trimestre de Importaciones y exportaciones según el volumen (kg) en la Región de O'Higgins, Año 2020" u="1"/>
      </sharedItems>
    </cacheField>
    <cacheField name="descripcion_larga" numFmtId="0">
      <sharedItems longText="1"/>
    </cacheField>
    <cacheField name="visualizacion" numFmtId="0">
      <sharedItems/>
    </cacheField>
    <cacheField name="tag" numFmtId="0">
      <sharedItems/>
    </cacheField>
    <cacheField name="url" numFmtId="0">
      <sharedItems containsBlank="1" count="2195">
        <s v="https://analytics.zoho.com/open-view/2395394000008229874"/>
        <s v="https://analytics.zoho.com/open-view/2395394000008161200?ZOHO_CRITERIA=%22Localiza%20Chile%22.%22Codreg%22%3D1"/>
        <s v="https://analytics.zoho.com/open-view/2395394000008161200?ZOHO_CRITERIA=%22Localiza%20Chile%22.%22Codreg%22%3D2"/>
        <s v="https://analytics.zoho.com/open-view/2395394000008161200?ZOHO_CRITERIA=%22Localiza%20Chile%22.%22Codreg%22%3D3"/>
        <s v="https://analytics.zoho.com/open-view/2395394000008161200?ZOHO_CRITERIA=%22Localiza%20Chile%22.%22Codreg%22%3D4"/>
        <s v="https://analytics.zoho.com/open-view/2395394000008161200?ZOHO_CRITERIA=%22Localiza%20Chile%22.%22Codreg%22%3D5"/>
        <s v="https://analytics.zoho.com/open-view/2395394000008161200?ZOHO_CRITERIA=%22Localiza%20Chile%22.%22Codreg%22%3D6"/>
        <s v="https://analytics.zoho.com/open-view/2395394000008161200?ZOHO_CRITERIA=%22Localiza%20Chile%22.%22Codreg%22%3D7"/>
        <s v="https://analytics.zoho.com/open-view/2395394000008161200?ZOHO_CRITERIA=%22Localiza%20Chile%22.%22Codreg%22%3D8"/>
        <s v="https://analytics.zoho.com/open-view/2395394000008161200?ZOHO_CRITERIA=%22Localiza%20Chile%22.%22Codreg%22%3D9"/>
        <s v="https://analytics.zoho.com/open-view/2395394000008161200?ZOHO_CRITERIA=%22Localiza%20Chile%22.%22Codreg%22%3D10"/>
        <s v="https://analytics.zoho.com/open-view/2395394000008161200?ZOHO_CRITERIA=%22Localiza%20Chile%22.%22Codreg%22%3D11"/>
        <s v="https://analytics.zoho.com/open-view/2395394000008161200?ZOHO_CRITERIA=%22Localiza%20Chile%22.%22Codreg%22%3D12"/>
        <s v="https://analytics.zoho.com/open-view/2395394000008161200?ZOHO_CRITERIA=%22Localiza%20Chile%22.%22Codreg%22%3D13"/>
        <s v="https://analytics.zoho.com/open-view/2395394000008161200?ZOHO_CRITERIA=%22Localiza%20Chile%22.%22Codreg%22%3D14"/>
        <s v="https://analytics.zoho.com/open-view/2395394000008161200?ZOHO_CRITERIA=%22Localiza%20Chile%22.%22Codreg%22%3D15"/>
        <s v="https://analytics.zoho.com/open-view/2395394000008161200?ZOHO_CRITERIA=%22Localiza%20Chile%22.%22Codreg%22%3D16"/>
        <s v="https://analytics.zoho.com/open-view/2395394000009315415"/>
        <s v="https://analytics.zoho.com/open-view/2395394000008416648?ZOHO_CRITERIA=%22Localiza%20CL%22.%22Codreg%22%3D1"/>
        <s v="https://analytics.zoho.com/open-view/2395394000008416648?ZOHO_CRITERIA=%22Localiza%20CL%22.%22Codreg%22%3D2"/>
        <s v="https://analytics.zoho.com/open-view/2395394000008416648?ZOHO_CRITERIA=%22Localiza%20CL%22.%22Codreg%22%3D3"/>
        <s v="https://analytics.zoho.com/open-view/2395394000008416648?ZOHO_CRITERIA=%22Localiza%20CL%22.%22Codreg%22%3D4"/>
        <s v="https://analytics.zoho.com/open-view/2395394000008416648?ZOHO_CRITERIA=%22Localiza%20CL%22.%22Codreg%22%3D5"/>
        <s v="https://analytics.zoho.com/open-view/2395394000008416648?ZOHO_CRITERIA=%22Localiza%20CL%22.%22Codreg%22%3D6"/>
        <s v="https://analytics.zoho.com/open-view/2395394000008416648?ZOHO_CRITERIA=%22Localiza%20CL%22.%22Codreg%22%3D7"/>
        <s v="https://analytics.zoho.com/open-view/2395394000008416648?ZOHO_CRITERIA=%22Localiza%20CL%22.%22Codreg%22%3D8"/>
        <s v="https://analytics.zoho.com/open-view/2395394000008416648?ZOHO_CRITERIA=%22Localiza%20CL%22.%22Codreg%22%3D9"/>
        <s v="https://analytics.zoho.com/open-view/2395394000008416648?ZOHO_CRITERIA=%22Localiza%20CL%22.%22Codreg%22%3D10"/>
        <s v="https://analytics.zoho.com/open-view/2395394000008416648?ZOHO_CRITERIA=%22Localiza%20CL%22.%22Codreg%22%3D12"/>
        <s v="https://analytics.zoho.com/open-view/2395394000008416648?ZOHO_CRITERIA=%22Localiza%20CL%22.%22Codreg%22%3D13"/>
        <s v="https://analytics.zoho.com/open-view/2395394000008416648?ZOHO_CRITERIA=%22Localiza%20CL%22.%22Codreg%22%3D14"/>
        <s v="https://analytics.zoho.com/open-view/2395394000008416648?ZOHO_CRITERIA=%22Localiza%20CL%22.%22Codreg%22%3D15"/>
        <s v="https://analytics.zoho.com/open-view/2395394000008416648?ZOHO_CRITERIA=%22Localiza%20CL%22.%22Codreg%22%3D16"/>
        <s v="https://analytics.zoho.com/open-view/2395394000006789672"/>
        <s v="https://analytics.zoho.com/open-view/2395394000008231335?ZOHO_CRITERIA=%22Localiza%20CL%22.%22Codreg%22%3D1"/>
        <s v="https://analytics.zoho.com/open-view/2395394000008231335?ZOHO_CRITERIA=%22Localiza%20CL%22.%22Codreg%22%3D2"/>
        <s v="https://analytics.zoho.com/open-view/2395394000008231335?ZOHO_CRITERIA=%22Localiza%20CL%22.%22Codreg%22%3D3"/>
        <s v="https://analytics.zoho.com/open-view/2395394000008231335?ZOHO_CRITERIA=%22Localiza%20CL%22.%22Codreg%22%3D4"/>
        <s v="https://analytics.zoho.com/open-view/2395394000008231335?ZOHO_CRITERIA=%22Localiza%20CL%22.%22Codreg%22%3D5"/>
        <s v="https://analytics.zoho.com/open-view/2395394000008231335?ZOHO_CRITERIA=%22Localiza%20CL%22.%22Codreg%22%3D6"/>
        <s v="https://analytics.zoho.com/open-view/2395394000008231335?ZOHO_CRITERIA=%22Localiza%20CL%22.%22Codreg%22%3D7"/>
        <s v="https://analytics.zoho.com/open-view/2395394000008231335?ZOHO_CRITERIA=%22Localiza%20CL%22.%22Codreg%22%3D8"/>
        <s v="https://analytics.zoho.com/open-view/2395394000008231335?ZOHO_CRITERIA=%22Localiza%20CL%22.%22Codreg%22%3D9"/>
        <s v="https://analytics.zoho.com/open-view/2395394000008231335?ZOHO_CRITERIA=%22Localiza%20CL%22.%22Codreg%22%3D10"/>
        <s v="https://analytics.zoho.com/open-view/2395394000008231335?ZOHO_CRITERIA=%22Localiza%20CL%22.%22Codreg%22%3D11"/>
        <s v="https://analytics.zoho.com/open-view/2395394000008231335?ZOHO_CRITERIA=%22Localiza%20CL%22.%22Codreg%22%3D12"/>
        <s v="https://analytics.zoho.com/open-view/2395394000008231335?ZOHO_CRITERIA=%22Localiza%20CL%22.%22Codreg%22%3D13"/>
        <s v="https://analytics.zoho.com/open-view/2395394000008231335?ZOHO_CRITERIA=%22Localiza%20CL%22.%22Codreg%22%3D14"/>
        <s v="https://analytics.zoho.com/open-view/2395394000008231335?ZOHO_CRITERIA=%22Localiza%20CL%22.%22Codreg%22%3D15"/>
        <s v="https://analytics.zoho.com/open-view/2395394000008231335?ZOHO_CRITERIA=%22Localiza%20CL%22.%22Codreg%22%3D16"/>
        <s v="https://analytics.zoho.com/open-view/2395394000008231718"/>
        <s v="https://analytics.zoho.com/open-view/2395394000008231525"/>
        <s v="https://analytics.zoho.com/open-view/2395394000008231605?ZOHO_CRITERIA=%22Localiza%20Chile%22.%22Codreg%22%3D1"/>
        <s v="https://analytics.zoho.com/open-view/2395394000008231605?ZOHO_CRITERIA=%22Localiza%20Chile%22.%22Codreg%22%3D2"/>
        <s v="https://analytics.zoho.com/open-view/2395394000008231605?ZOHO_CRITERIA=%22Localiza%20Chile%22.%22Codreg%22%3D3"/>
        <s v="https://analytics.zoho.com/open-view/2395394000008231605?ZOHO_CRITERIA=%22Localiza%20Chile%22.%22Codreg%22%3D4"/>
        <s v="https://analytics.zoho.com/open-view/2395394000008231605?ZOHO_CRITERIA=%22Localiza%20Chile%22.%22Codreg%22%3D5"/>
        <s v="https://analytics.zoho.com/open-view/2395394000008231605?ZOHO_CRITERIA=%22Localiza%20Chile%22.%22Codreg%22%3D6"/>
        <s v="https://analytics.zoho.com/open-view/2395394000008231605?ZOHO_CRITERIA=%22Localiza%20Chile%22.%22Codreg%22%3D7"/>
        <s v="https://analytics.zoho.com/open-view/2395394000008231605?ZOHO_CRITERIA=%22Localiza%20Chile%22.%22Codreg%22%3D8"/>
        <s v="https://analytics.zoho.com/open-view/2395394000008231605?ZOHO_CRITERIA=%22Localiza%20Chile%22.%22Codreg%22%3D9"/>
        <s v="https://analytics.zoho.com/open-view/2395394000008231605?ZOHO_CRITERIA=%22Localiza%20Chile%22.%22Codreg%22%3D10"/>
        <s v="https://analytics.zoho.com/open-view/2395394000008231605?ZOHO_CRITERIA=%22Localiza%20Chile%22.%22Codreg%22%3D11"/>
        <s v="https://analytics.zoho.com/open-view/2395394000008231605?ZOHO_CRITERIA=%22Localiza%20Chile%22.%22Codreg%22%3D12"/>
        <s v="https://analytics.zoho.com/open-view/2395394000008231605?ZOHO_CRITERIA=%22Localiza%20Chile%22.%22Codreg%22%3D13"/>
        <s v="https://analytics.zoho.com/open-view/2395394000008231605?ZOHO_CRITERIA=%22Localiza%20Chile%22.%22Codreg%22%3D14"/>
        <s v="https://analytics.zoho.com/open-view/2395394000008231605?ZOHO_CRITERIA=%22Localiza%20Chile%22.%22Codreg%22%3D15"/>
        <s v="https://analytics.zoho.com/open-view/2395394000008231605?ZOHO_CRITERIA=%22Localiza%20Chile%22.%22Codreg%22%3D16"/>
        <s v="https://analytics.zoho.com/open-view/2395394000007756457"/>
        <s v="https://analytics.zoho.com/open-view/2395394000008643713?ZOHO_CRITERIA=%22Localiza%20CL%22.%22Codreg%22%3D1"/>
        <s v="https://analytics.zoho.com/open-view/2395394000008643713?ZOHO_CRITERIA=%22Localiza%20CL%22.%22Codreg%22%3D2"/>
        <s v="https://analytics.zoho.com/open-view/2395394000008643713?ZOHO_CRITERIA=%22Localiza%20CL%22.%22Codreg%22%3D3"/>
        <s v="https://analytics.zoho.com/open-view/2395394000008643713?ZOHO_CRITERIA=%22Localiza%20CL%22.%22Codreg%22%3D4"/>
        <s v="https://analytics.zoho.com/open-view/2395394000008643713?ZOHO_CRITERIA=%22Localiza%20CL%22.%22Codreg%22%3D5"/>
        <s v="https://analytics.zoho.com/open-view/2395394000008643713?ZOHO_CRITERIA=%22Localiza%20CL%22.%22Codreg%22%3D6"/>
        <s v="https://analytics.zoho.com/open-view/2395394000008643713?ZOHO_CRITERIA=%22Localiza%20CL%22.%22Codreg%22%3D7"/>
        <s v="https://analytics.zoho.com/open-view/2395394000008643713?ZOHO_CRITERIA=%22Localiza%20CL%22.%22Codreg%22%3D8"/>
        <s v="https://analytics.zoho.com/open-view/2395394000008643713?ZOHO_CRITERIA=%22Localiza%20CL%22.%22Codreg%22%3D9"/>
        <s v="https://analytics.zoho.com/open-view/2395394000008643713?ZOHO_CRITERIA=%22Localiza%20CL%22.%22Codreg%22%3D10"/>
        <s v="https://analytics.zoho.com/open-view/2395394000008643713?ZOHO_CRITERIA=%22Localiza%20CL%22.%22Codreg%22%3D11"/>
        <s v="https://analytics.zoho.com/open-view/2395394000008643713?ZOHO_CRITERIA=%22Localiza%20CL%22.%22Codreg%22%3D12"/>
        <s v="https://analytics.zoho.com/open-view/2395394000008643713?ZOHO_CRITERIA=%22Localiza%20CL%22.%22Codreg%22%3D13"/>
        <s v="https://analytics.zoho.com/open-view/2395394000008643713?ZOHO_CRITERIA=%22Localiza%20CL%22.%22Codreg%22%3D14"/>
        <s v="https://analytics.zoho.com/open-view/2395394000008643713?ZOHO_CRITERIA=%22Localiza%20CL%22.%22Codreg%22%3D16"/>
        <s v="https://analytics.zoho.com/open-view/2395394000008643867"/>
        <s v="https://analytics.zoho.com/open-view/2395394000008645197?ZOHO_CRITERIA=%22Localiza_CL_Poblacion%22.%22Codreg%22%3D1"/>
        <s v="https://analytics.zoho.com/open-view/2395394000008645197?ZOHO_CRITERIA=%22Localiza_CL_Poblacion%22.%22Codreg%22%3D2"/>
        <s v="https://analytics.zoho.com/open-view/2395394000008645197?ZOHO_CRITERIA=%22Localiza_CL_Poblacion%22.%22Codreg%22%3D3"/>
        <s v="https://analytics.zoho.com/open-view/2395394000008645197?ZOHO_CRITERIA=%22Localiza_CL_Poblacion%22.%22Codreg%22%3D4"/>
        <s v="https://analytics.zoho.com/open-view/2395394000008645197?ZOHO_CRITERIA=%22Localiza_CL_Poblacion%22.%22Codreg%22%3D5"/>
        <s v="https://analytics.zoho.com/open-view/2395394000008645197?ZOHO_CRITERIA=%22Localiza_CL_Poblacion%22.%22Codreg%22%3D6"/>
        <s v="https://analytics.zoho.com/open-view/2395394000008645197?ZOHO_CRITERIA=%22Localiza_CL_Poblacion%22.%22Codreg%22%3D7"/>
        <s v="https://analytics.zoho.com/open-view/2395394000008645197?ZOHO_CRITERIA=%22Localiza_CL_Poblacion%22.%22Codreg%22%3D8"/>
        <s v="https://analytics.zoho.com/open-view/2395394000008645197?ZOHO_CRITERIA=%22Localiza_CL_Poblacion%22.%22Codreg%22%3D9"/>
        <s v="https://analytics.zoho.com/open-view/2395394000008645197?ZOHO_CRITERIA=%22Localiza_CL_Poblacion%22.%22Codreg%22%3D10"/>
        <s v="https://analytics.zoho.com/open-view/2395394000008645197?ZOHO_CRITERIA=%22Localiza_CL_Poblacion%22.%22Codreg%22%3D11"/>
        <s v="https://analytics.zoho.com/open-view/2395394000008645197?ZOHO_CRITERIA=%22Localiza_CL_Poblacion%22.%22Codreg%22%3D12"/>
        <s v="https://analytics.zoho.com/open-view/2395394000008645197?ZOHO_CRITERIA=%22Localiza_CL_Poblacion%22.%22Codreg%22%3D13"/>
        <s v="https://analytics.zoho.com/open-view/2395394000008645197?ZOHO_CRITERIA=%22Localiza_CL_Poblacion%22.%22Codreg%22%3D14"/>
        <s v="https://analytics.zoho.com/open-view/2395394000008645197?ZOHO_CRITERIA=%22Localiza_CL_Poblacion%22.%22Codreg%22%3D15"/>
        <s v="https://analytics.zoho.com/open-view/2395394000008645197?ZOHO_CRITERIA=%22Localiza_CL_Poblacion%22.%22Codreg%22%3D16"/>
        <s v="https://analytics.zoho.com/open-view/2395394000005950690"/>
        <s v="https://analytics.zoho.com/open-view/2395394000005948862"/>
        <s v="https://analytics.zoho.com/open-view/2395394000008645520"/>
        <s v="https://analytics.zoho.com/open-view/2395394000007166809?ZOHO_CRITERIA=%22Localiza%20CL%22.%22Codreg%22%3D1"/>
        <s v="https://analytics.zoho.com/open-view/2395394000007166809?ZOHO_CRITERIA=%22Localiza%20CL%22.%22Codreg%22%3D2"/>
        <s v="https://analytics.zoho.com/open-view/2395394000007166809?ZOHO_CRITERIA=%22Localiza%20CL%22.%22Codreg%22%3D3"/>
        <s v="https://analytics.zoho.com/open-view/2395394000007166809?ZOHO_CRITERIA=%22Localiza%20CL%22.%22Codreg%22%3D4"/>
        <s v="https://analytics.zoho.com/open-view/2395394000007166809?ZOHO_CRITERIA=%22Localiza%20CL%22.%22Codreg%22%3D5"/>
        <s v="https://analytics.zoho.com/open-view/2395394000007166809?ZOHO_CRITERIA=%22Localiza%20CL%22.%22Codreg%22%3D6"/>
        <s v="https://analytics.zoho.com/open-view/2395394000007166809?ZOHO_CRITERIA=%22Localiza%20CL%22.%22Codreg%22%3D7"/>
        <s v="https://analytics.zoho.com/open-view/2395394000007166809?ZOHO_CRITERIA=%22Localiza%20CL%22.%22Codreg%22%3D8"/>
        <s v="https://analytics.zoho.com/open-view/2395394000007166809?ZOHO_CRITERIA=%22Localiza%20CL%22.%22Codreg%22%3D9"/>
        <s v="https://analytics.zoho.com/open-view/2395394000007166809?ZOHO_CRITERIA=%22Localiza%20CL%22.%22Codreg%22%3D10"/>
        <s v="https://analytics.zoho.com/open-view/2395394000007166809?ZOHO_CRITERIA=%22Localiza%20CL%22.%22Codreg%22%3D11"/>
        <s v="https://analytics.zoho.com/open-view/2395394000007166809?ZOHO_CRITERIA=%22Localiza%20CL%22.%22Codreg%22%3D12"/>
        <s v="https://analytics.zoho.com/open-view/2395394000007166809?ZOHO_CRITERIA=%22Localiza%20CL%22.%22Codreg%22%3D13"/>
        <s v="https://analytics.zoho.com/open-view/2395394000007166809?ZOHO_CRITERIA=%22Localiza%20CL%22.%22Codreg%22%3D14"/>
        <s v="https://analytics.zoho.com/open-view/2395394000007166809?ZOHO_CRITERIA=%22Localiza%20CL%22.%22Codreg%22%3D15"/>
        <s v="https://analytics.zoho.com/open-view/2395394000007166809?ZOHO_CRITERIA=%22Localiza%20CL%22.%22Codreg%22%3D16"/>
        <s v="https://infogram.com/eleam-2021-1h7g6k0mjdj5o2o"/>
        <s v="https://infogram.com/evaluacion-programas-1h7g6k0mrr7302o?live"/>
        <s v="https://public.flourish.studio/visualisation/6936641/"/>
        <s v="https://analytics.zoho.com/open-view/2395394000008645674"/>
        <s v="https://analytics.zoho.com/open-view/2395394000008646229?ZOHO_CRITERIA=%22Hortaliza%20Consolidado%22.%22Codreg%22%3D4"/>
        <s v="https://analytics.zoho.com/open-view/2395394000008646229?ZOHO_CRITERIA=%22Hortaliza%20Consolidado%22.%22Codreg%22%3D5"/>
        <s v="https://analytics.zoho.com/open-view/2395394000008646229?ZOHO_CRITERIA=%22Hortaliza%20Consolidado%22.%22Codreg%22%3D7"/>
        <s v="https://analytics.zoho.com/open-view/2395394000008646229?ZOHO_CRITERIA=%22Hortaliza%20Consolidado%22.%22Codreg%22%3D8"/>
        <s v="https://analytics.zoho.com/open-view/2395394000008646229?ZOHO_CRITERIA=%22Hortaliza%20Consolidado%22.%22Codreg%22%3D9"/>
        <s v="https://analytics.zoho.com/open-view/2395394000008646229?ZOHO_CRITERIA=%22Hortaliza%20Consolidado%22.%22Codreg%22%3D10"/>
        <s v="https://analytics.zoho.com/open-view/2395394000008646229?ZOHO_CRITERIA=%22Hortaliza%20Consolidado%22.%22Codreg%22%3D13"/>
        <s v="https://analytics.zoho.com/open-view/2395394000008646229?ZOHO_CRITERIA=%22Hortaliza%20Consolidado%22.%22Codreg%22%3D15"/>
        <s v="https://analytics.zoho.com/open-view/2395394000008646229?ZOHO_CRITERIA=%22Hortaliza%20Consolidado%22.%22Codreg%22%3D16"/>
        <s v="https://analytics.zoho.com/open-view/2395394000008646336"/>
        <s v="https://analytics.zoho.com/open-view/2395394000008646880?ZOHO_CRITERIA=%22Fruta%20Consolidado%22.%22Codreg%22%3D4"/>
        <s v="https://analytics.zoho.com/open-view/2395394000008646880?ZOHO_CRITERIA=%22Fruta%20Consolidado%22.%22Codreg%22%3D5"/>
        <s v="https://analytics.zoho.com/open-view/2395394000008646880?ZOHO_CRITERIA=%22Fruta%20Consolidado%22.%22Codreg%22%3D7"/>
        <s v="https://analytics.zoho.com/open-view/2395394000008646880?ZOHO_CRITERIA=%22Fruta%20Consolidado%22.%22Codreg%22%3D8"/>
        <s v="https://analytics.zoho.com/open-view/2395394000008646880?ZOHO_CRITERIA=%22Fruta%20Consolidado%22.%22Codreg%22%3D9"/>
        <s v="https://analytics.zoho.com/open-view/2395394000008646880?ZOHO_CRITERIA=%22Fruta%20Consolidado%22.%22Codreg%22%3D10"/>
        <s v="https://analytics.zoho.com/open-view/2395394000008646880?ZOHO_CRITERIA=%22Fruta%20Consolidado%22.%22Codreg%22%3D13"/>
        <s v="https://analytics.zoho.com/open-view/2395394000008646880?ZOHO_CRITERIA=%22Fruta%20Consolidado%22.%22Codreg%22%3D15"/>
        <s v="https://analytics.zoho.com/open-view/2395394000008646880?ZOHO_CRITERIA=%22Fruta%20Consolidado%22.%22Codreg%22%3D16"/>
        <s v="https://analytics.zoho.com/open-view/2395394000008056226"/>
        <s v="https://analytics.zoho.com/open-view/2395394000008378510?ZOHO_CRITERIA=%22Espacios_Culturales_Completo%201%22.%22C%C3%B3digo_Regi%C3%B3n%22%20%3D%201"/>
        <s v="https://analytics.zoho.com/open-view/2395394000008378510?ZOHO_CRITERIA=%22Espacios_Culturales_Completo%201%22.%22C%C3%B3digo_Regi%C3%B3n%22%20%3D%202"/>
        <s v="https://analytics.zoho.com/open-view/2395394000008378510?ZOHO_CRITERIA=%22Espacios_Culturales_Completo%201%22.%22C%C3%B3digo_Regi%C3%B3n%22%20%3D%203"/>
        <s v="https://analytics.zoho.com/open-view/2395394000008378510?ZOHO_CRITERIA=%22Espacios_Culturales_Completo%201%22.%22C%C3%B3digo_Regi%C3%B3n%22%20%3D%204"/>
        <s v="https://analytics.zoho.com/open-view/2395394000008378510?ZOHO_CRITERIA=%22Espacios_Culturales_Completo%201%22.%22C%C3%B3digo_Regi%C3%B3n%22%20%3D%205"/>
        <s v="https://analytics.zoho.com/open-view/2395394000008378510?ZOHO_CRITERIA=%22Espacios_Culturales_Completo%201%22.%22C%C3%B3digo_Regi%C3%B3n%22%20%3D%206"/>
        <s v="https://analytics.zoho.com/open-view/2395394000008378510?ZOHO_CRITERIA=%22Espacios_Culturales_Completo%201%22.%22C%C3%B3digo_Regi%C3%B3n%22%20%3D%207"/>
        <s v="https://analytics.zoho.com/open-view/2395394000008378510?ZOHO_CRITERIA=%22Espacios_Culturales_Completo%201%22.%22C%C3%B3digo_Regi%C3%B3n%22%20%3D%208"/>
        <s v="https://analytics.zoho.com/open-view/2395394000008378510?ZOHO_CRITERIA=%22Espacios_Culturales_Completo%201%22.%22C%C3%B3digo_Regi%C3%B3n%22%20%3D%209"/>
        <s v="https://analytics.zoho.com/open-view/2395394000008378510?ZOHO_CRITERIA=%22Espacios_Culturales_Completo%201%22.%22C%C3%B3digo_Regi%C3%B3n%22%20%3D%2010"/>
        <s v="https://analytics.zoho.com/open-view/2395394000008378510?ZOHO_CRITERIA=%22Espacios_Culturales_Completo%201%22.%22C%C3%B3digo_Regi%C3%B3n%22%20%3D%2011"/>
        <s v="https://analytics.zoho.com/open-view/2395394000008378510?ZOHO_CRITERIA=%22Espacios_Culturales_Completo%201%22.%22C%C3%B3digo_Regi%C3%B3n%22%20%3D%2012"/>
        <s v="https://analytics.zoho.com/open-view/2395394000008378510?ZOHO_CRITERIA=%22Espacios_Culturales_Completo%201%22.%22C%C3%B3digo_Regi%C3%B3n%22%20%3D%2013"/>
        <s v="https://analytics.zoho.com/open-view/2395394000008378510?ZOHO_CRITERIA=%22Espacios_Culturales_Completo%201%22.%22C%C3%B3digo_Regi%C3%B3n%22%20%3D%2014"/>
        <s v="https://analytics.zoho.com/open-view/2395394000008378510?ZOHO_CRITERIA=%22Espacios_Culturales_Completo%201%22.%22C%C3%B3digo_Regi%C3%B3n%22%20%3D%2015"/>
        <s v="https://analytics.zoho.com/open-view/2395394000008378510?ZOHO_CRITERIA=%22Espacios_Culturales_Completo%201%22.%22C%C3%B3digo_Regi%C3%B3n%22%20%3D%2016"/>
        <s v="https://app.powerbi.com/view?r=eyJrIjoiYzhiZDQ3N2YtMmRkOS00NzAyLThjNjItNzk0NWM1NWE1YjE0IiwidCI6IjhmYmFhNWJmLTJlY2MtNGRjOC1iNTZiLThmOTJlMzA3ZjA3NiIsImMiOjR9"/>
        <s v="https://app.powerbi.com/view?r=eyJrIjoiNDQzYmFiMjctODc3Ny00N2ZlLTgyNTctMzBmMmY3NTdhNmQ3IiwidCI6IjhmYmFhNWJmLTJlY2MtNGRjOC1iNTZiLThmOTJlMzA3ZjA3NiIsImMiOjR9"/>
        <s v="https://app.powerbi.com/view?r=eyJrIjoiOWNlNjk3Y2MtMGNiNS00OTEyLTkxZmUtODM4MDI5MDNlMTdiIiwidCI6IjhmYmFhNWJmLTJlY2MtNGRjOC1iNTZiLThmOTJlMzA3ZjA3NiIsImMiOjR9&amp;pageName=ReportSection4dc3b620a637a46619e6"/>
        <s v="https://app.powerbi.com/view?r=eyJrIjoiNzYyYzA1MTQtYjU4ZC00YmIyLTgxMTMtODQ1MzE1OTdkZTU5IiwidCI6IjhmYmFhNWJmLTJlY2MtNGRjOC1iNTZiLThmOTJlMzA3ZjA3NiIsImMiOjR9"/>
        <s v="https://app.powerbi.com/view?r=eyJrIjoiYTRjMTJkZmEtNzNlMC00ODRlLWIxMzYtNzAzYWVlMGQ2YTU0IiwidCI6IjhmYmFhNWJmLTJlY2MtNGRjOC1iNTZiLThmOTJlMzA3ZjA3NiIsImMiOjR9"/>
        <s v="https://app.powerbi.com/view?r=eyJrIjoiZThkYzY0YTItNWE2NS00MjE5LTgzNTItOWFmNjE2NWE5NTIwIiwidCI6IjhmYmFhNWJmLTJlY2MtNGRjOC1iNTZiLThmOTJlMzA3ZjA3NiIsImMiOjR9"/>
        <s v="https://app.powerbi.com/view?r=eyJrIjoiNWIxNzRiOTctMWUyMi00YjkzLWJmMDUtN2UzODhlZWFlZjA1IiwidCI6IjhmYmFhNWJmLTJlY2MtNGRjOC1iNTZiLThmOTJlMzA3ZjA3NiIsImMiOjR9"/>
        <s v="https://app.powerbi.com/view?r=eyJrIjoiOWIxNDkwMzUtMGQyNi00ZGEzLWE1OGItYTI1OGM4Njk1NjlhIiwidCI6IjhmYmFhNWJmLTJlY2MtNGRjOC1iNTZiLThmOTJlMzA3ZjA3NiIsImMiOjR9"/>
        <s v="https://app.powerbi.com/view?r=eyJrIjoiYzgzMTI1M2UtNmViNS00YTA0LTk2NGYtMTFmYmExYTczNWRhIiwidCI6IjhmYmFhNWJmLTJlY2MtNGRjOC1iNTZiLThmOTJlMzA3ZjA3NiIsImMiOjR9"/>
        <s v="https://app.powerbi.com/view?r=eyJrIjoiZmVjZWI5N2YtMjVhMS00Zjc1LWFmN2YtZDM4NDA1ODMzMGNiIiwidCI6IjhmYmFhNWJmLTJlY2MtNGRjOC1iNTZiLThmOTJlMzA3ZjA3NiIsImMiOjR9"/>
        <s v="https://app.powerbi.com/view?r=eyJrIjoiNDExYTM1N2EtYTNiYi00OGNkLThhMjMtMDVjNGQ5NzNjZTU1IiwidCI6IjhmYmFhNWJmLTJlY2MtNGRjOC1iNTZiLThmOTJlMzA3ZjA3NiIsImMiOjR9"/>
        <s v="https://app.powerbi.com/view?r=eyJrIjoiMzk2YjAzMGUtYTE2Zi00ZGU3LTg1ZjAtN2IxNzExMjg3N2E1IiwidCI6IjhmYmFhNWJmLTJlY2MtNGRjOC1iNTZiLThmOTJlMzA3ZjA3NiIsImMiOjR9"/>
        <s v="https://app.powerbi.com/view?r=eyJrIjoiZWNmYzYxNjQtMTQ1OC00MTkwLWFkYTUtYzUwZmM0NWVjN2U2IiwidCI6IjhmYmFhNWJmLTJlY2MtNGRjOC1iNTZiLThmOTJlMzA3ZjA3NiIsImMiOjR9"/>
        <s v="https://app.powerbi.com/view?r=eyJrIjoiNWYxNzdhNGItMDA0OC00ZjY5LWI0YTUtMDUwYzk1M2JmZGVhIiwidCI6IjhmYmFhNWJmLTJlY2MtNGRjOC1iNTZiLThmOTJlMzA3ZjA3NiIsImMiOjR9"/>
        <s v="https://app.powerbi.com/view?r=eyJrIjoiMzlhNGFhN2QtNjRlZi00YjY1LTlmNzctMmRmZDZkNWUwNmIzIiwidCI6IjhmYmFhNWJmLTJlY2MtNGRjOC1iNTZiLThmOTJlMzA3ZjA3NiIsImMiOjR9"/>
        <s v="https://app.powerbi.com/view?r=eyJrIjoiODk3Zjc3ZTItZTdlNi00NGRlLTljYzktZTM5OTQ1YzI1MDYxIiwidCI6IjhmYmFhNWJmLTJlY2MtNGRjOC1iNTZiLThmOTJlMzA3ZjA3NiIsImMiOjR9"/>
        <s v="https://app.powerbi.com/view?r=eyJrIjoiZDZiYjg2ODAtOGYwZS00MGNlLTkwZWEtZTU3NDMwOTZjZGYxIiwidCI6IjhmYmFhNWJmLTJlY2MtNGRjOC1iNTZiLThmOTJlMzA3ZjA3NiIsImMiOjR9"/>
        <s v="https://analytics.zoho.com/open-view/2395394000007782028"/>
        <s v="https://analytics.zoho.com/open-view/2395394000008210549"/>
        <s v="https://analytics.zoho.com/open-view/2395394000007782059?ZOHO_CRITERIA=%22Trasposicion_27.4%22.%22Cod_Regi%C3%B3n%22%3D1"/>
        <s v="https://analytics.zoho.com/open-view/2395394000007782059?ZOHO_CRITERIA=%22Trasposicion_27.4%22.%22Cod_Regi%C3%B3n%22%3D2"/>
        <s v="https://analytics.zoho.com/open-view/2395394000007782059?ZOHO_CRITERIA=%22Trasposicion_27.4%22.%22Cod_Regi%C3%B3n%22%3D3"/>
        <s v="https://analytics.zoho.com/open-view/2395394000007782059?ZOHO_CRITERIA=%22Trasposicion_27.4%22.%22Cod_Regi%C3%B3n%22%3D4"/>
        <s v="https://analytics.zoho.com/open-view/2395394000007782059?ZOHO_CRITERIA=%22Trasposicion_27.4%22.%22Cod_Regi%C3%B3n%22%3D5"/>
        <s v="https://analytics.zoho.com/open-view/2395394000007782059?ZOHO_CRITERIA=%22Trasposicion_27.4%22.%22Cod_Regi%C3%B3n%22%3D6"/>
        <s v="https://analytics.zoho.com/open-view/2395394000007782059?ZOHO_CRITERIA=%22Trasposicion_27.4%22.%22Cod_Regi%C3%B3n%22%3D7"/>
        <s v="https://analytics.zoho.com/open-view/2395394000007782059?ZOHO_CRITERIA=%22Trasposicion_27.4%22.%22Cod_Regi%C3%B3n%22%3D8"/>
        <s v="https://analytics.zoho.com/open-view/2395394000007782059?ZOHO_CRITERIA=%22Trasposicion_27.4%22.%22Cod_Regi%C3%B3n%22%3D9"/>
        <s v="https://analytics.zoho.com/open-view/2395394000007782059?ZOHO_CRITERIA=%22Trasposicion_27.4%22.%22Cod_Regi%C3%B3n%22%3D10"/>
        <s v="https://analytics.zoho.com/open-view/2395394000007782059?ZOHO_CRITERIA=%22Trasposicion_27.4%22.%22Cod_Regi%C3%B3n%22%3D11"/>
        <s v="https://analytics.zoho.com/open-view/2395394000007782059?ZOHO_CRITERIA=%22Trasposicion_27.4%22.%22Cod_Regi%C3%B3n%22%3D12"/>
        <s v="https://analytics.zoho.com/open-view/2395394000007782059?ZOHO_CRITERIA=%22Trasposicion_27.4%22.%22Cod_Regi%C3%B3n%22%3D13"/>
        <s v="https://analytics.zoho.com/open-view/2395394000007782059?ZOHO_CRITERIA=%22Trasposicion_27.4%22.%22Cod_Regi%C3%B3n%22%3D14"/>
        <s v="https://analytics.zoho.com/open-view/2395394000007782059?ZOHO_CRITERIA=%22Trasposicion_27.4%22.%22Cod_Regi%C3%B3n%22%3D15"/>
        <s v="https://analytics.zoho.com/open-view/2395394000007782059?ZOHO_CRITERIA=%22Trasposicion_27.4%22.%22Cod_Regi%C3%B3n%22%3D16"/>
        <s v="https://analytics.zoho.com/open-view/2395394000008206985"/>
        <s v="https://analytics.zoho.com/open-view/2395394000007782100?ZOHO_CRITERIA=%22Localiza%20CL%22.%22Codreg%22%3D1"/>
        <s v="https://analytics.zoho.com/open-view/2395394000007782100?ZOHO_CRITERIA=%22Localiza%20CL%22.%22Codreg%22%3D2"/>
        <s v="https://analytics.zoho.com/open-view/2395394000007782100?ZOHO_CRITERIA=%22Localiza%20CL%22.%22Codreg%22%3D3"/>
        <s v="https://analytics.zoho.com/open-view/2395394000007782100?ZOHO_CRITERIA=%22Localiza%20CL%22.%22Codreg%22%3D4"/>
        <s v="https://analytics.zoho.com/open-view/2395394000007782100?ZOHO_CRITERIA=%22Localiza%20CL%22.%22Codreg%22%3D5"/>
        <s v="https://analytics.zoho.com/open-view/2395394000007782100?ZOHO_CRITERIA=%22Localiza%20CL%22.%22Codreg%22%3D6"/>
        <s v="https://analytics.zoho.com/open-view/2395394000007782100?ZOHO_CRITERIA=%22Localiza%20CL%22.%22Codreg%22%3D7"/>
        <s v="https://analytics.zoho.com/open-view/2395394000007782100?ZOHO_CRITERIA=%22Localiza%20CL%22.%22Codreg%22%3D8"/>
        <s v="https://analytics.zoho.com/open-view/2395394000007782100?ZOHO_CRITERIA=%22Localiza%20CL%22.%22Codreg%22%3D9"/>
        <s v="https://analytics.zoho.com/open-view/2395394000007782100?ZOHO_CRITERIA=%22Localiza%20CL%22.%22Codreg%22%3D10"/>
        <s v="https://analytics.zoho.com/open-view/2395394000007782100?ZOHO_CRITERIA=%22Localiza%20CL%22.%22Codreg%22%3D11"/>
        <s v="https://analytics.zoho.com/open-view/2395394000007782100?ZOHO_CRITERIA=%22Localiza%20CL%22.%22Codreg%22%3D12"/>
        <s v="https://analytics.zoho.com/open-view/2395394000007782100?ZOHO_CRITERIA=%22Localiza%20CL%22.%22Codreg%22%3D13"/>
        <s v="https://analytics.zoho.com/open-view/2395394000007782100?ZOHO_CRITERIA=%22Localiza%20CL%22.%22Codreg%22%3D14"/>
        <s v="https://analytics.zoho.com/open-view/2395394000007782100?ZOHO_CRITERIA=%22Localiza%20CL%22.%22Codreg%22%3D15"/>
        <s v="https://analytics.zoho.com/open-view/2395394000007782100?ZOHO_CRITERIA=%22Localiza%20CL%22.%22Codreg%22%3D16"/>
        <s v="https://analytics.zoho.com/open-view/2395394000007782157"/>
        <s v="https://analytics.zoho.com/open-view/2395394000008207372"/>
        <s v="https://analytics.zoho.com/open-view/2395394000008207486?ZOHO_CRITERIA=%224.6%22.%22C%C3%B3digo_Regi%C3%B3n%22%3D1"/>
        <s v="https://analytics.zoho.com/open-view/2395394000008207486?ZOHO_CRITERIA=%224.6%22.%22C%C3%B3digo_Regi%C3%B3n%22%3D3"/>
        <s v="https://analytics.zoho.com/open-view/2395394000008207486?ZOHO_CRITERIA=%224.6%22.%22C%C3%B3digo_Regi%C3%B3n%22%3D4"/>
        <s v="https://analytics.zoho.com/open-view/2395394000008207486?ZOHO_CRITERIA=%224.6%22.%22C%C3%B3digo_Regi%C3%B3n%22%3D5"/>
        <s v="https://analytics.zoho.com/open-view/2395394000008207486?ZOHO_CRITERIA=%224.6%22.%22C%C3%B3digo_Regi%C3%B3n%22%3D6"/>
        <s v="https://analytics.zoho.com/open-view/2395394000008207486?ZOHO_CRITERIA=%224.6%22.%22C%C3%B3digo_Regi%C3%B3n%22%3D7"/>
        <s v="https://analytics.zoho.com/open-view/2395394000008207486?ZOHO_CRITERIA=%224.6%22.%22C%C3%B3digo_Regi%C3%B3n%22%3D8"/>
        <s v="https://analytics.zoho.com/open-view/2395394000008207486?ZOHO_CRITERIA=%224.6%22.%22C%C3%B3digo_Regi%C3%B3n%22%3D9"/>
        <s v="https://analytics.zoho.com/open-view/2395394000008207486?ZOHO_CRITERIA=%224.6%22.%22C%C3%B3digo_Regi%C3%B3n%22%3D10"/>
        <s v="https://analytics.zoho.com/open-view/2395394000008207486?ZOHO_CRITERIA=%224.6%22.%22C%C3%B3digo_Regi%C3%B3n%22%3D13"/>
        <s v="https://analytics.zoho.com/open-view/2395394000008207486?ZOHO_CRITERIA=%224.6%22.%22C%C3%B3digo_Regi%C3%B3n%22%3D14"/>
        <s v="https://analytics.zoho.com/open-view/2395394000008207486?ZOHO_CRITERIA=%224.6%22.%22C%C3%B3digo_Regi%C3%B3n%22%3D15"/>
        <s v="https://analytics.zoho.com/open-view/2395394000008207486?ZOHO_CRITERIA=%224.6%22.%22C%C3%B3digo_Regi%C3%B3n%22%3D16"/>
        <s v="https://analytics.zoho.com/open-view/2395394000007782340"/>
        <s v="https://analytics.zoho.com/open-view/2395394000008209595?ZOHO_CRITERIA=%22Trasposicion_4.7%22.%22C%C3%B3digo_Regi%C3%B3n%22%3D3"/>
        <s v="https://analytics.zoho.com/open-view/2395394000008209595?ZOHO_CRITERIA=%22Trasposicion_4.7%22.%22C%C3%B3digo_Regi%C3%B3n%22%3D4"/>
        <s v="https://analytics.zoho.com/open-view/2395394000008209595?ZOHO_CRITERIA=%22Trasposicion_4.7%22.%22C%C3%B3digo_Regi%C3%B3n%22%3D5"/>
        <s v="https://analytics.zoho.com/open-view/2395394000008209595?ZOHO_CRITERIA=%22Trasposicion_4.7%22.%22C%C3%B3digo_Regi%C3%B3n%22%3D6"/>
        <s v="https://analytics.zoho.com/open-view/2395394000008209595?ZOHO_CRITERIA=%22Trasposicion_4.7%22.%22C%C3%B3digo_Regi%C3%B3n%22%3D7"/>
        <s v="https://analytics.zoho.com/open-view/2395394000008209595?ZOHO_CRITERIA=%22Trasposicion_4.7%22.%22C%C3%B3digo_Regi%C3%B3n%22%3D8"/>
        <s v="https://analytics.zoho.com/open-view/2395394000008209595?ZOHO_CRITERIA=%22Trasposicion_4.7%22.%22C%C3%B3digo_Regi%C3%B3n%22%3D9"/>
        <s v="https://analytics.zoho.com/open-view/2395394000008209595?ZOHO_CRITERIA=%22Trasposicion_4.7%22.%22C%C3%B3digo_Regi%C3%B3n%22%3D13"/>
        <s v="https://analytics.zoho.com/open-view/2395394000008209595?ZOHO_CRITERIA=%22Trasposicion_4.7%22.%22C%C3%B3digo_Regi%C3%B3n%22%3D15"/>
        <s v="https://analytics.zoho.com/open-view/2395394000008209595?ZOHO_CRITERIA=%22Trasposicion_4.7%22.%22C%C3%B3digo_Regi%C3%B3n%22%3D16"/>
        <s v="https://app.powerbi.com/view?r=eyJrIjoiYjE4Yzc3NGQtYjM2NS00ZDMwLTg0NDYtOTRjYzQ4MzU0MWI1IiwidCI6IjhmYmFhNWJmLTJlY2MtNGRjOC1iNTZiLThmOTJlMzA3ZjA3NiIsImMiOjR9"/>
        <s v="https://analytics.zoho.com/open-view/2395394000008056138"/>
        <s v="https://analytics.zoho.com/open-view/2395394000008213039?ZOHO_CRITERIA=%22Espacios_Culturales_Completo%201%22.%22C%C3%B3digo_Regi%C3%B3n%22%20%3D%201"/>
        <s v="https://analytics.zoho.com/open-view/2395394000008213039?ZOHO_CRITERIA=%22Espacios_Culturales_Completo%201%22.%22C%C3%B3digo_Regi%C3%B3n%22%20%3D%202"/>
        <s v="https://analytics.zoho.com/open-view/2395394000008213039?ZOHO_CRITERIA=%22Espacios_Culturales_Completo%201%22.%22C%C3%B3digo_Regi%C3%B3n%22%20%3D%203"/>
        <s v="https://analytics.zoho.com/open-view/2395394000008213039?ZOHO_CRITERIA=%22Espacios_Culturales_Completo%201%22.%22C%C3%B3digo_Regi%C3%B3n%22%20%3D%204"/>
        <s v="https://analytics.zoho.com/open-view/2395394000008213039?ZOHO_CRITERIA=%22Espacios_Culturales_Completo%201%22.%22C%C3%B3digo_Regi%C3%B3n%22%20%3D%205"/>
        <s v="https://analytics.zoho.com/open-view/2395394000008213039?ZOHO_CRITERIA=%22Espacios_Culturales_Completo%201%22.%22C%C3%B3digo_Regi%C3%B3n%22%20%3D%206"/>
        <s v="https://analytics.zoho.com/open-view/2395394000008213039?ZOHO_CRITERIA=%22Espacios_Culturales_Completo%201%22.%22C%C3%B3digo_Regi%C3%B3n%22%20%3D%207"/>
        <s v="https://analytics.zoho.com/open-view/2395394000008213039?ZOHO_CRITERIA=%22Espacios_Culturales_Completo%201%22.%22C%C3%B3digo_Regi%C3%B3n%22%20%3D%208"/>
        <s v="https://analytics.zoho.com/open-view/2395394000008213039?ZOHO_CRITERIA=%22Espacios_Culturales_Completo%201%22.%22C%C3%B3digo_Regi%C3%B3n%22%20%3D%209"/>
        <s v="https://analytics.zoho.com/open-view/2395394000008213039?ZOHO_CRITERIA=%22Espacios_Culturales_Completo%201%22.%22C%C3%B3digo_Regi%C3%B3n%22%20%3D%2010"/>
        <s v="https://analytics.zoho.com/open-view/2395394000008213039?ZOHO_CRITERIA=%22Espacios_Culturales_Completo%201%22.%22C%C3%B3digo_Regi%C3%B3n%22%20%3D%2011"/>
        <s v="https://analytics.zoho.com/open-view/2395394000008213039?ZOHO_CRITERIA=%22Espacios_Culturales_Completo%201%22.%22C%C3%B3digo_Regi%C3%B3n%22%20%3D%2012"/>
        <s v="https://analytics.zoho.com/open-view/2395394000008213039?ZOHO_CRITERIA=%22Espacios_Culturales_Completo%201%22.%22C%C3%B3digo_Regi%C3%B3n%22%20%3D%2013"/>
        <s v="https://analytics.zoho.com/open-view/2395394000008213039?ZOHO_CRITERIA=%22Espacios_Culturales_Completo%201%22.%22C%C3%B3digo_Regi%C3%B3n%22%20%3D%2014"/>
        <s v="https://analytics.zoho.com/open-view/2395394000008213039?ZOHO_CRITERIA=%22Espacios_Culturales_Completo%201%22.%22C%C3%B3digo_Regi%C3%B3n%22%20%3D%2015"/>
        <s v="https://analytics.zoho.com/open-view/2395394000008213039?ZOHO_CRITERIA=%22Espacios_Culturales_Completo%201%22.%22C%C3%B3digo_Regi%C3%B3n%22%20%3D%2016"/>
        <s v="https://analytics.zoho.com/open-view/2395394000008181172"/>
        <s v="https://analytics.zoho.com/open-view/2395394000008025390?ZOHO_CRITERIA=%22Rubros_Todo%22.%22Id_Regi%C3%B3n%22%3D1"/>
        <s v="https://analytics.zoho.com/open-view/2395394000008025390?ZOHO_CRITERIA=%22Rubros_Todo%22.%22Id_Regi%C3%B3n%22%3D2"/>
        <s v="https://analytics.zoho.com/open-view/2395394000008025390?ZOHO_CRITERIA=%22Rubros_Todo%22.%22Id_Regi%C3%B3n%22%3D3"/>
        <s v="https://analytics.zoho.com/open-view/2395394000008025390?ZOHO_CRITERIA=%22Rubros_Todo%22.%22Id_Regi%C3%B3n%22%3D4"/>
        <s v="https://analytics.zoho.com/open-view/2395394000008025390?ZOHO_CRITERIA=%22Rubros_Todo%22.%22Id_Regi%C3%B3n%22%3D5"/>
        <s v="https://analytics.zoho.com/open-view/2395394000008025390?ZOHO_CRITERIA=%22Rubros_Todo%22.%22Id_Regi%C3%B3n%22%3D6"/>
        <s v="https://analytics.zoho.com/open-view/2395394000008025390?ZOHO_CRITERIA=%22Rubros_Todo%22.%22Id_Regi%C3%B3n%22%3D7"/>
        <s v="https://analytics.zoho.com/open-view/2395394000008025390?ZOHO_CRITERIA=%22Rubros_Todo%22.%22Id_Regi%C3%B3n%22%3D8"/>
        <s v="https://analytics.zoho.com/open-view/2395394000008025390?ZOHO_CRITERIA=%22Rubros_Todo%22.%22Id_Regi%C3%B3n%22%3D9"/>
        <s v="https://analytics.zoho.com/open-view/2395394000008025390?ZOHO_CRITERIA=%22Rubros_Todo%22.%22Id_Regi%C3%B3n%22%3D10"/>
        <s v="https://analytics.zoho.com/open-view/2395394000008025390?ZOHO_CRITERIA=%22Rubros_Todo%22.%22Id_Regi%C3%B3n%22%3D11"/>
        <s v="https://analytics.zoho.com/open-view/2395394000008025390?ZOHO_CRITERIA=%22Rubros_Todo%22.%22Id_Regi%C3%B3n%22%3D12"/>
        <s v="https://analytics.zoho.com/open-view/2395394000008025390?ZOHO_CRITERIA=%22Rubros_Todo%22.%22Id_Regi%C3%B3n%22%3D13"/>
        <s v="https://analytics.zoho.com/open-view/2395394000008025390?ZOHO_CRITERIA=%22Rubros_Todo%22.%22Id_Regi%C3%B3n%22%3D14"/>
        <s v="https://analytics.zoho.com/open-view/2395394000008025390?ZOHO_CRITERIA=%22Rubros_Todo%22.%22Id_Regi%C3%B3n%22%3D15"/>
        <s v="https://analytics.zoho.com/open-view/2395394000008025390?ZOHO_CRITERIA=%22Rubros_Todo%22.%22Id_Regi%C3%B3n%22%3D16"/>
        <s v="https://analytics.zoho.com/open-view/2395394000007777048"/>
        <s v="https://analytics.zoho.com/open-view/2395394000007777075"/>
        <s v="https://analytics.zoho.com/open-view/2395394000007777114"/>
        <s v="https://analytics.zoho.com/open-view/2395394000007777153"/>
        <s v="https://analytics.zoho.com/open-view/2395394000008195941"/>
        <s v="https://analytics.zoho.com/open-view/2395394000007782936?ZOHO_CRITERIA=%22Trasposicion_4.2%22.%22C%C3%B3digo_Regi%C3%B3n%22%20%3D%201"/>
        <s v="https://analytics.zoho.com/open-view/2395394000007782936?ZOHO_CRITERIA=%22Trasposicion_4.2%22.%22C%C3%B3digo_Regi%C3%B3n%22%20%3D%202"/>
        <s v="https://analytics.zoho.com/open-view/2395394000007782936?ZOHO_CRITERIA=%22Trasposicion_4.2%22.%22C%C3%B3digo_Regi%C3%B3n%22%20%3D%203"/>
        <s v="https://analytics.zoho.com/open-view/2395394000007782936?ZOHO_CRITERIA=%22Trasposicion_4.2%22.%22C%C3%B3digo_Regi%C3%B3n%22%20%3D%204"/>
        <s v="https://analytics.zoho.com/open-view/2395394000007782936?ZOHO_CRITERIA=%22Trasposicion_4.2%22.%22C%C3%B3digo_Regi%C3%B3n%22%20%3D%205"/>
        <s v="https://analytics.zoho.com/open-view/2395394000007782936?ZOHO_CRITERIA=%22Trasposicion_4.2%22.%22C%C3%B3digo_Regi%C3%B3n%22%20%3D%206"/>
        <s v="https://analytics.zoho.com/open-view/2395394000007782936?ZOHO_CRITERIA=%22Trasposicion_4.2%22.%22C%C3%B3digo_Regi%C3%B3n%22%20%3D%207"/>
        <s v="https://analytics.zoho.com/open-view/2395394000007782936?ZOHO_CRITERIA=%22Trasposicion_4.2%22.%22C%C3%B3digo_Regi%C3%B3n%22%20%3D%208"/>
        <s v="https://analytics.zoho.com/open-view/2395394000007782936?ZOHO_CRITERIA=%22Trasposicion_4.2%22.%22C%C3%B3digo_Regi%C3%B3n%22%20%3D%209"/>
        <s v="https://analytics.zoho.com/open-view/2395394000007782936?ZOHO_CRITERIA=%22Trasposicion_4.2%22.%22C%C3%B3digo_Regi%C3%B3n%22%20%3D%2010"/>
        <s v="https://analytics.zoho.com/open-view/2395394000007782936?ZOHO_CRITERIA=%22Trasposicion_4.2%22.%22C%C3%B3digo_Regi%C3%B3n%22%20%3D%2011"/>
        <s v="https://analytics.zoho.com/open-view/2395394000007782936?ZOHO_CRITERIA=%22Trasposicion_4.2%22.%22C%C3%B3digo_Regi%C3%B3n%22%20%3D%2012"/>
        <s v="https://analytics.zoho.com/open-view/2395394000007782936?ZOHO_CRITERIA=%22Trasposicion_4.2%22.%22C%C3%B3digo_Regi%C3%B3n%22%20%3D%2013"/>
        <s v="https://analytics.zoho.com/open-view/2395394000007782936?ZOHO_CRITERIA=%22Trasposicion_4.2%22.%22C%C3%B3digo_Regi%C3%B3n%22%20%3D%2014"/>
        <s v="https://analytics.zoho.com/open-view/2395394000007782936?ZOHO_CRITERIA=%22Trasposicion_4.2%22.%22C%C3%B3digo_Regi%C3%B3n%22%20%3D%2015"/>
        <s v="https://analytics.zoho.com/open-view/2395394000007782936?ZOHO_CRITERIA=%22Trasposicion_4.2%22.%22C%C3%B3digo_Regi%C3%B3n%22%20%3D%2016"/>
        <s v="https://analytics.zoho.com/open-view/2395394000007801200"/>
        <s v="https://analytics.zoho.com/open-view/2395394000008378144"/>
        <s v="https://analytics.zoho.com/open-view/2395394000008378752?ZOHO_CRITERIA=%2216%20Energ%C3%ADas%20Renovables%20y%20No%20Renovables%22.%22Cod_Regi%C3%B3n%22%20%3D%201"/>
        <s v="https://analytics.zoho.com/open-view/2395394000008378752?ZOHO_CRITERIA=%2216%20Energ%C3%ADas%20Renovables%20y%20No%20Renovables%22.%22Cod_Regi%C3%B3n%22%20%3D%202"/>
        <s v="https://analytics.zoho.com/open-view/2395394000008378752?ZOHO_CRITERIA=%2216%20Energ%C3%ADas%20Renovables%20y%20No%20Renovables%22.%22Cod_Regi%C3%B3n%22%20%3D%203"/>
        <s v="https://analytics.zoho.com/open-view/2395394000008378752?ZOHO_CRITERIA=%2216%20Energ%C3%ADas%20Renovables%20y%20No%20Renovables%22.%22Cod_Regi%C3%B3n%22%20%3D%204"/>
        <s v="https://analytics.zoho.com/open-view/2395394000008378752?ZOHO_CRITERIA=%2216%20Energ%C3%ADas%20Renovables%20y%20No%20Renovables%22.%22Cod_Regi%C3%B3n%22%20%3D%205"/>
        <s v="https://analytics.zoho.com/open-view/2395394000008378752?ZOHO_CRITERIA=%2216%20Energ%C3%ADas%20Renovables%20y%20No%20Renovables%22.%22Cod_Regi%C3%B3n%22%20%3D%206"/>
        <s v="https://analytics.zoho.com/open-view/2395394000008378752?ZOHO_CRITERIA=%2216%20Energ%C3%ADas%20Renovables%20y%20No%20Renovables%22.%22Cod_Regi%C3%B3n%22%20%3D%207"/>
        <s v="https://analytics.zoho.com/open-view/2395394000008378752?ZOHO_CRITERIA=%2216%20Energ%C3%ADas%20Renovables%20y%20No%20Renovables%22.%22Cod_Regi%C3%B3n%22%20%3D%208"/>
        <s v="https://analytics.zoho.com/open-view/2395394000008378752?ZOHO_CRITERIA=%2216%20Energ%C3%ADas%20Renovables%20y%20No%20Renovables%22.%22Cod_Regi%C3%B3n%22%20%3D%209"/>
        <s v="https://analytics.zoho.com/open-view/2395394000008378752?ZOHO_CRITERIA=%2216%20Energ%C3%ADas%20Renovables%20y%20No%20Renovables%22.%22Cod_Regi%C3%B3n%22%20%3D%2010"/>
        <s v="https://analytics.zoho.com/open-view/2395394000008378752?ZOHO_CRITERIA=%2216%20Energ%C3%ADas%20Renovables%20y%20No%20Renovables%22.%22Cod_Regi%C3%B3n%22%20%3D%2011"/>
        <s v="https://analytics.zoho.com/open-view/2395394000008378752?ZOHO_CRITERIA=%2216%20Energ%C3%ADas%20Renovables%20y%20No%20Renovables%22.%22Cod_Regi%C3%B3n%22%20%3D%2012"/>
        <s v="https://analytics.zoho.com/open-view/2395394000008378752?ZOHO_CRITERIA=%2216%20Energ%C3%ADas%20Renovables%20y%20No%20Renovables%22.%22Cod_Regi%C3%B3n%22%20%3D%2013"/>
        <s v="https://analytics.zoho.com/open-view/2395394000008378752?ZOHO_CRITERIA=%2216%20Energ%C3%ADas%20Renovables%20y%20No%20Renovables%22.%22Cod_Regi%C3%B3n%22%20%3D%2014"/>
        <s v="https://analytics.zoho.com/open-view/2395394000008378752?ZOHO_CRITERIA=%2216%20Energ%C3%ADas%20Renovables%20y%20No%20Renovables%22.%22Cod_Regi%C3%B3n%22%20%3D%2015"/>
        <s v="https://analytics.zoho.com/open-view/2395394000008378752?ZOHO_CRITERIA=%2216%20Energ%C3%ADas%20Renovables%20y%20No%20Renovables%22.%22Cod_Regi%C3%B3n%22%20%3D%2016"/>
        <s v="https://analytics.zoho.com/open-view/2395394000007777467"/>
        <s v="https://analytics.zoho.com/open-view/2395394000008257083?ZOHO_CRITERIA=%22Trasposicion_4.10%22.%22Cod_regi%C3%B3n%22%20%3D%204"/>
        <s v="https://analytics.zoho.com/open-view/2395394000008257083?ZOHO_CRITERIA=%22Trasposicion_4.10%22.%22Cod_regi%C3%B3n%22%20%3D%205"/>
        <s v="https://analytics.zoho.com/open-view/2395394000008257083?ZOHO_CRITERIA=%22Trasposicion_4.10%22.%22Cod_regi%C3%B3n%22%20%3D%206"/>
        <s v="https://analytics.zoho.com/open-view/2395394000008257083?ZOHO_CRITERIA=%22Trasposicion_4.10%22.%22Cod_regi%C3%B3n%22%20%3D%207"/>
        <s v="https://analytics.zoho.com/open-view/2395394000008257083?ZOHO_CRITERIA=%22Trasposicion_4.10%22.%22Cod_regi%C3%B3n%22%20%3D%208"/>
        <s v="https://analytics.zoho.com/open-view/2395394000008257083?ZOHO_CRITERIA=%22Trasposicion_4.10%22.%22Cod_regi%C3%B3n%22%20%3D%209"/>
        <s v="https://analytics.zoho.com/open-view/2395394000008257083?ZOHO_CRITERIA=%22Trasposicion_4.10%22.%22Cod_regi%C3%B3n%22%20%3D%2010"/>
        <s v="https://analytics.zoho.com/open-view/2395394000008257083?ZOHO_CRITERIA=%22Trasposicion_4.10%22.%22Cod_regi%C3%B3n%22%20%3D%2013"/>
        <s v="https://analytics.zoho.com/open-view/2395394000008257083?ZOHO_CRITERIA=%22Trasposicion_4.10%22.%22Cod_regi%C3%B3n%22%20%3D%2014"/>
        <s v="https://analytics.zoho.com/open-view/2395394000008257083?ZOHO_CRITERIA=%22Trasposicion_4.10%22.%22Cod_regi%C3%B3n%22%20%3D%2016"/>
        <s v="https://analytics.zoho.com/open-view/2395394000007777591?ZOHO_CRITERIA=%22Trasposicion_4.3%22.%22Id_Producto%22%20%3D%20100108"/>
        <s v="https://analytics.zoho.com/open-view/2395394000007777311"/>
        <s v="https://analytics.zoho.com/open-view/2395394000008047165"/>
        <s v="https://analytics.zoho.com/open-view/2395394000009077375"/>
        <s v="https://analytics.zoho.com/open-view/2395394000007991542?ZOHO_CRITERIA=%22Localiza%20CL%22.%22Codreg%22%20%3D%201"/>
        <s v="https://analytics.zoho.com/open-view/2395394000007991542?ZOHO_CRITERIA=%22Localiza%20CL%22.%22Codreg%22%20%3D%202"/>
        <s v="https://analytics.zoho.com/open-view/2395394000007991542?ZOHO_CRITERIA=%22Localiza%20CL%22.%22Codreg%22%20%3D%203"/>
        <s v="https://analytics.zoho.com/open-view/2395394000007991542?ZOHO_CRITERIA=%22Localiza%20CL%22.%22Codreg%22%20%3D%204"/>
        <s v="https://analytics.zoho.com/open-view/2395394000007991542?ZOHO_CRITERIA=%22Localiza%20CL%22.%22Codreg%22%20%3D%205"/>
        <s v="https://analytics.zoho.com/open-view/2395394000007991542?ZOHO_CRITERIA=%22Localiza%20CL%22.%22Codreg%22%20%3D%206"/>
        <s v="https://analytics.zoho.com/open-view/2395394000007991542?ZOHO_CRITERIA=%22Localiza%20CL%22.%22Codreg%22%20%3D%207"/>
        <s v="https://analytics.zoho.com/open-view/2395394000007991542?ZOHO_CRITERIA=%22Localiza%20CL%22.%22Codreg%22%20%3D%208"/>
        <s v="https://analytics.zoho.com/open-view/2395394000007991542?ZOHO_CRITERIA=%22Localiza%20CL%22.%22Codreg%22%20%3D%209"/>
        <s v="https://analytics.zoho.com/open-view/2395394000007991542?ZOHO_CRITERIA=%22Localiza%20CL%22.%22Codreg%22%20%3D%2010"/>
        <s v="https://analytics.zoho.com/open-view/2395394000007991542?ZOHO_CRITERIA=%22Localiza%20CL%22.%22Codreg%22%20%3D%2011"/>
        <s v="https://analytics.zoho.com/open-view/2395394000007991542?ZOHO_CRITERIA=%22Localiza%20CL%22.%22Codreg%22%20%3D%2012"/>
        <s v="https://analytics.zoho.com/open-view/2395394000007991542?ZOHO_CRITERIA=%22Localiza%20CL%22.%22Codreg%22%20%3D%2013"/>
        <s v="https://analytics.zoho.com/open-view/2395394000007991542?ZOHO_CRITERIA=%22Localiza%20CL%22.%22Codreg%22%20%3D%2014"/>
        <s v="https://analytics.zoho.com/open-view/2395394000007991542?ZOHO_CRITERIA=%22Localiza%20CL%22.%22Codreg%22%20%3D%2015"/>
        <s v="https://analytics.zoho.com/open-view/2395394000007991542?ZOHO_CRITERIA=%22Localiza%20CL%22.%22Codreg%22%20%3D%2016"/>
        <s v="https://analytics.zoho.com/open-view/2395394000009424433"/>
        <s v="https://analytics.zoho.com/open-view/2395394000009443389?ZOHO_CRITERIA=%22Localiza%20CL%22.%22Codreg%22%3D1"/>
        <s v="https://analytics.zoho.com/open-view/2395394000009443389?ZOHO_CRITERIA=%22Localiza%20CL%22.%22Codreg%22%3D2"/>
        <s v="https://analytics.zoho.com/open-view/2395394000009443389?ZOHO_CRITERIA=%22Localiza%20CL%22.%22Codreg%22%3D3"/>
        <s v="https://analytics.zoho.com/open-view/2395394000009443389?ZOHO_CRITERIA=%22Localiza%20CL%22.%22Codreg%22%3D4"/>
        <s v="https://analytics.zoho.com/open-view/2395394000009443389?ZOHO_CRITERIA=%22Localiza%20CL%22.%22Codreg%22%3D5"/>
        <s v="https://analytics.zoho.com/open-view/2395394000009443389?ZOHO_CRITERIA=%22Localiza%20CL%22.%22Codreg%22%3D6"/>
        <s v="https://analytics.zoho.com/open-view/2395394000009443389?ZOHO_CRITERIA=%22Localiza%20CL%22.%22Codreg%22%3D7"/>
        <s v="https://analytics.zoho.com/open-view/2395394000009443389?ZOHO_CRITERIA=%22Localiza%20CL%22.%22Codreg%22%3D8"/>
        <s v="https://analytics.zoho.com/open-view/2395394000009443389?ZOHO_CRITERIA=%22Localiza%20CL%22.%22Codreg%22%3D9"/>
        <s v="https://analytics.zoho.com/open-view/2395394000009443389?ZOHO_CRITERIA=%22Localiza%20CL%22.%22Codreg%22%3D10"/>
        <s v="https://analytics.zoho.com/open-view/2395394000009443389?ZOHO_CRITERIA=%22Localiza%20CL%22.%22Codreg%22%3D11"/>
        <s v="https://analytics.zoho.com/open-view/2395394000009443389?ZOHO_CRITERIA=%22Localiza%20CL%22.%22Codreg%22%3D12"/>
        <s v="https://analytics.zoho.com/open-view/2395394000009443389?ZOHO_CRITERIA=%22Localiza%20CL%22.%22Codreg%22%3D13"/>
        <s v="https://analytics.zoho.com/open-view/2395394000009443389?ZOHO_CRITERIA=%22Localiza%20CL%22.%22Codreg%22%3D14"/>
        <s v="https://analytics.zoho.com/open-view/2395394000009443389?ZOHO_CRITERIA=%22Localiza%20CL%22.%22Codreg%22%3D15"/>
        <s v="https://analytics.zoho.com/open-view/2395394000009443389?ZOHO_CRITERIA=%22Localiza%20CL%22.%22Codreg%22%3D16"/>
        <s v="https://analytics.zoho.com/open-view/2395394000009424436"/>
        <s v="https://analytics.zoho.com/open-view/2395394000009424437"/>
        <s v="https://app.powerbi.com/view?r=eyJrIjoiZWFlZTlkOTMtZjVmMS00ZTNjLWIwYjctMWQ3YTI0ZDIwMjlmIiwidCI6IjhmYmFhNWJmLTJlY2MtNGRjOC1iNTZiLThmOTJlMzA3ZjA3NiIsImMiOjR9"/>
        <s v="https://analytics.zoho.com/open-view/2395394000008439156"/>
        <s v="https://app.powerbi.com/view?r=eyJrIjoiZjJhYWRiZjAtNTRkMC00ZmZhLWFmZmUtMjljYjc5MzRiMTZjIiwidCI6IjhmYmFhNWJmLTJlY2MtNGRjOC1iNTZiLThmOTJlMzA3ZjA3NiIsImMiOjR9"/>
        <s v="https://app.powerbi.com/view?r=eyJrIjoiODUwZTBkYWItOTg4OC00NTY4LThmOGYtNmY1Yjg4ZTBiYThlIiwidCI6IjhmYmFhNWJmLTJlY2MtNGRjOC1iNTZiLThmOTJlMzA3ZjA3NiIsImMiOjR9"/>
        <s v="https://app.powerbi.com/view?r=eyJrIjoiNDJiYjBiMTgtMDI3MC00MTYzLWIyNjctOWY3YWI3MzQ5OTZmIiwidCI6IjhmYmFhNWJmLTJlY2MtNGRjOC1iNTZiLThmOTJlMzA3ZjA3NiIsImMiOjR9"/>
        <s v="https://app.powerbi.com/view?r=eyJrIjoiYTkxMWQzMWItYjVkZC00MDM1LWI1N2YtODI3ZTcwMjZlMTJhIiwidCI6IjhmYmFhNWJmLTJlY2MtNGRjOC1iNTZiLThmOTJlMzA3ZjA3NiIsImMiOjR9"/>
        <s v="https://app.powerbi.com/view?r=eyJrIjoiMzM3MzQwMDMtMzNkNS00ZmJjLWI4NTgtNzQzNDViZjM2ZDdhIiwidCI6IjhmYmFhNWJmLTJlY2MtNGRjOC1iNTZiLThmOTJlMzA3ZjA3NiIsImMiOjR9"/>
        <s v="https://app.powerbi.com/view?r=eyJrIjoiYzQyZThjYTctOTk5OS00NTY4LWJmZWEtZDYzMjdhNDE5N2Y5IiwidCI6IjhmYmFhNWJmLTJlY2MtNGRjOC1iNTZiLThmOTJlMzA3ZjA3NiIsImMiOjR9"/>
        <s v="https://app.powerbi.com/view?r=eyJrIjoiNGEyYjQ5YjQtM2RlMy00NzZmLTg2YjUtOWE5YTg4NmZmYTJiIiwidCI6IjhmYmFhNWJmLTJlY2MtNGRjOC1iNTZiLThmOTJlMzA3ZjA3NiIsImMiOjR9"/>
        <s v="https://app.powerbi.com/view?r=eyJrIjoiZjFmZDM4OTItZTEwYi00Mjk2LWJiNWUtMGQ5ZTNlOTVkNjZlIiwidCI6IjhmYmFhNWJmLTJlY2MtNGRjOC1iNTZiLThmOTJlMzA3ZjA3NiIsImMiOjR9"/>
        <s v="https://app.powerbi.com/view?r=eyJrIjoiMDI1ZjhhZTctMDhlZi00ZmI1LWIzMjctMzMxM2ZhYzMxN2QzIiwidCI6IjhmYmFhNWJmLTJlY2MtNGRjOC1iNTZiLThmOTJlMzA3ZjA3NiIsImMiOjR9"/>
        <s v="https://app.powerbi.com/view?r=eyJrIjoiZDFmNjZkOGEtZmZjZS00NTVjLWFiYzgtN2M0NDQ0M2NiNmJjIiwidCI6IjhmYmFhNWJmLTJlY2MtNGRjOC1iNTZiLThmOTJlMzA3ZjA3NiIsImMiOjR9"/>
        <s v="https://app.powerbi.com/view?r=eyJrIjoiZjg1YTE4MDktYzFmNi00YjcyLWFlMWMtM2I5ZjhlOGZiNjM1IiwidCI6IjhmYmFhNWJmLTJlY2MtNGRjOC1iNTZiLThmOTJlMzA3ZjA3NiIsImMiOjR9"/>
        <s v="https://app.powerbi.com/view?r=eyJrIjoiYWFlYWExNTItZDc4YS00MmVlLThjYmQtZDE0Mjg4MDI4ZTZiIiwidCI6IjhmYmFhNWJmLTJlY2MtNGRjOC1iNTZiLThmOTJlMzA3ZjA3NiIsImMiOjR9"/>
        <s v="https://app.powerbi.com/view?r=eyJrIjoiNmQ4YjE5NzAtZjZhYy00NzMxLWI5MTAtNGM4YzQzZGIyNTgwIiwidCI6IjhmYmFhNWJmLTJlY2MtNGRjOC1iNTZiLThmOTJlMzA3ZjA3NiIsImMiOjR9&amp;pageName=ReportSection9386d36f00b3701c0c1d"/>
        <s v="https://app.powerbi.com/view?r=eyJrIjoiYjc2MjY2MjYtZDUyZS00MjUwLWI1MWItOTFkN2I5NzJhZWQzIiwidCI6IjhmYmFhNWJmLTJlY2MtNGRjOC1iNTZiLThmOTJlMzA3ZjA3NiIsImMiOjR9"/>
        <s v="https://app.powerbi.com/view?r=eyJrIjoiNjllOGM2MWUtZmRjNS00ZGRjLTk2NDEtYTQ4MDRiMWY3MTQ0IiwidCI6IjhmYmFhNWJmLTJlY2MtNGRjOC1iNTZiLThmOTJlMzA3ZjA3NiIsImMiOjR9"/>
        <s v="https://app.powerbi.com/view?r=eyJrIjoiYmM4NDNmZGQtNDEzMS00MzRkLWJiZWUtYjljYWE2MGU5NzgwIiwidCI6IjhmYmFhNWJmLTJlY2MtNGRjOC1iNTZiLThmOTJlMzA3ZjA3NiIsImMiOjR9"/>
        <s v="https://app.powerbi.com/view?r=eyJrIjoiOWVmOWU0YTYtZWY0NS00ZTZlLWJlMDMtYTMwNWVjOTU5YTNhIiwidCI6IjhmYmFhNWJmLTJlY2MtNGRjOC1iNTZiLThmOTJlMzA3ZjA3NiIsImMiOjR9"/>
        <s v="https://app.powerbi.com/view?r=eyJrIjoiZDhlM2ZjNDQtYjE2My00NmY3LWE5ZjktNjI2NGZkMDA0Njc3IiwidCI6IjhmYmFhNWJmLTJlY2MtNGRjOC1iNTZiLThmOTJlMzA3ZjA3NiIsImMiOjR9&amp;pageName=ReportSection9386d36f00b3701c0c1d"/>
        <s v="https://app.powerbi.com/view?r=eyJrIjoiNTY2Mjc1MmUtNDRjNy00NzU3LWE0MWYtOGE3MjJjM2Q1MzczIiwidCI6IjhmYmFhNWJmLTJlY2MtNGRjOC1iNTZiLThmOTJlMzA3ZjA3NiIsImMiOjR9"/>
        <s v="https://app.powerbi.com/view?r=eyJrIjoiNzUwZmFjMGEtMTIyYy00YzZiLWFmYzEtZTc5N2IyNGYxZjEyIiwidCI6IjhmYmFhNWJmLTJlY2MtNGRjOC1iNTZiLThmOTJlMzA3ZjA3NiIsImMiOjR9"/>
        <s v="https://app.powerbi.com/view?r=eyJrIjoiOGRjNzkwNzgtMWMzZS00NDhlLWEyNzAtZDJhMTkyZjc1Yjk5IiwidCI6IjhmYmFhNWJmLTJlY2MtNGRjOC1iNTZiLThmOTJlMzA3ZjA3NiIsImMiOjR9"/>
        <s v="https://app.powerbi.com/view?r=eyJrIjoiODdiNDkxMDAtN2FhMC00YWU3LTg5NDEtOTU2ODRhN2E0ZjI3IiwidCI6IjhmYmFhNWJmLTJlY2MtNGRjOC1iNTZiLThmOTJlMzA3ZjA3NiIsImMiOjR9"/>
        <s v="https://app.powerbi.com/view?r=eyJrIjoiYTZmOTVjYjUtNDdkNS00ODllLWIwNjctNjM3MjNkNmM2OTAwIiwidCI6IjhmYmFhNWJmLTJlY2MtNGRjOC1iNTZiLThmOTJlMzA3ZjA3NiIsImMiOjR9"/>
        <s v="https://app.powerbi.com/view?r=eyJrIjoiOTI0NDRhY2ItZGVlZS00Mjk2LWE0NWMtZmJkMTJlMWZhZDk4IiwidCI6IjhmYmFhNWJmLTJlY2MtNGRjOC1iNTZiLThmOTJlMzA3ZjA3NiIsImMiOjR9"/>
        <s v="https://app.powerbi.com/view?r=eyJrIjoiMTc0YzhlMjQtNWY1NC00Njc1LTgzOGItNzAzNGZjZTlhYTAxIiwidCI6IjhmYmFhNWJmLTJlY2MtNGRjOC1iNTZiLThmOTJlMzA3ZjA3NiIsImMiOjR9"/>
        <s v="https://app.powerbi.com/view?r=eyJrIjoiZjc1MDVmYTEtY2RhMi00MjVlLWE4YmItODA0MmJhZmE0MzUwIiwidCI6IjhmYmFhNWJmLTJlY2MtNGRjOC1iNTZiLThmOTJlMzA3ZjA3NiIsImMiOjR9"/>
        <s v="https://app.powerbi.com/view?r=eyJrIjoiMmY4NjE0ZDQtMzQxOC00MmExLWJmMDktNjhmNTA4NDkyMjNhIiwidCI6IjhmYmFhNWJmLTJlY2MtNGRjOC1iNTZiLThmOTJlMzA3ZjA3NiIsImMiOjR9"/>
        <s v="https://app.powerbi.com/view?r=eyJrIjoiMTE2MzJkOTktMWEyNy00MzVjLWEzYzUtODYyZGQyMmVhMDU5IiwidCI6IjhmYmFhNWJmLTJlY2MtNGRjOC1iNTZiLThmOTJlMzA3ZjA3NiIsImMiOjR9"/>
        <s v="https://app.powerbi.com/view?r=eyJrIjoiNjNlODQ2MDYtNDIzMy00MGQ4LTlhMWUtMjE3ZDA4NThlZWJhIiwidCI6IjhmYmFhNWJmLTJlY2MtNGRjOC1iNTZiLThmOTJlMzA3ZjA3NiIsImMiOjR9"/>
        <s v="https://app.powerbi.com/view?r=eyJrIjoiNTEyOGRlNjgtOWJlOC00NTZkLTljZjMtYTRiOTYyMWM0NWJjIiwidCI6IjhmYmFhNWJmLTJlY2MtNGRjOC1iNTZiLThmOTJlMzA3ZjA3NiIsImMiOjR9"/>
        <s v="https://app.powerbi.com/view?r=eyJrIjoiZmVjOGIxMzItZDY5Ni00ZTk0LWEwY2ItN2IyZmViZTM4YmE0IiwidCI6IjhmYmFhNWJmLTJlY2MtNGRjOC1iNTZiLThmOTJlMzA3ZjA3NiIsImMiOjR9"/>
        <s v="https://app.powerbi.com/view?r=eyJrIjoiM2M2ZDRjNjctN2Y2MC00ZmYzLTgwOTktMTFhMzg5NTFmOTBjIiwidCI6IjhmYmFhNWJmLTJlY2MtNGRjOC1iNTZiLThmOTJlMzA3ZjA3NiIsImMiOjR9"/>
        <s v="https://app.powerbi.com/view?r=eyJrIjoiNTk3NjE1MDYtZDViMS00M2YzLTkyZDAtNTY5ZDk5OTA3ZTM3IiwidCI6IjhmYmFhNWJmLTJlY2MtNGRjOC1iNTZiLThmOTJlMzA3ZjA3NiIsImMiOjR9"/>
        <s v="https://app.powerbi.com/view?r=eyJrIjoiMjc0Mjg5ODMtZmYzMy00OWJhLWJiYWQtZjQ3ZWIzMjQwNzMxIiwidCI6IjhmYmFhNWJmLTJlY2MtNGRjOC1iNTZiLThmOTJlMzA3ZjA3NiIsImMiOjR9"/>
        <s v="https://infogram.com/permisos-de-circulacion-1hxr4zxode8lo6y"/>
        <s v="https://analytics.zoho.com/open-view/2395394000007837327"/>
        <s v="https://analytics.zoho.com/open-view/2395394000007837543"/>
        <s v="https://analytics.zoho.com/open-view/2395394000007837090"/>
        <s v="https://analytics.zoho.com/open-view/2395394000007891846"/>
        <s v="https://analytics.zoho.com/open-view/2395394000008038511"/>
        <s v="https://analytics.zoho.com/open-view/2395394000008435674"/>
        <s v="https://analytics.zoho.com/open-view/2395394000008038797?ZOHO_CRITERIA=%225.1%20Empresas_Tama%C3%B1o%22.%22Cod_Regi%C3%B3n%22%3D1"/>
        <s v="https://analytics.zoho.com/open-view/2395394000008038797?ZOHO_CRITERIA=%225.1%20Empresas_Tama%C3%B1o%22.%22Cod_Regi%C3%B3n%22%3D2"/>
        <s v="https://analytics.zoho.com/open-view/2395394000008038797?ZOHO_CRITERIA=%225.1%20Empresas_Tama%C3%B1o%22.%22Cod_Regi%C3%B3n%22%3D3"/>
        <s v="https://analytics.zoho.com/open-view/2395394000008038797?ZOHO_CRITERIA=%225.1%20Empresas_Tama%C3%B1o%22.%22Cod_Regi%C3%B3n%22%3D4"/>
        <s v="https://analytics.zoho.com/open-view/2395394000008038797?ZOHO_CRITERIA=%225.1%20Empresas_Tama%C3%B1o%22.%22Cod_Regi%C3%B3n%22%3D5"/>
        <s v="https://analytics.zoho.com/open-view/2395394000008038797?ZOHO_CRITERIA=%225.1%20Empresas_Tama%C3%B1o%22.%22Cod_Regi%C3%B3n%22%3D6"/>
        <s v="https://analytics.zoho.com/open-view/2395394000008038797?ZOHO_CRITERIA=%225.1%20Empresas_Tama%C3%B1o%22.%22Cod_Regi%C3%B3n%22%3D7"/>
        <s v="https://analytics.zoho.com/open-view/2395394000008038797?ZOHO_CRITERIA=%225.1%20Empresas_Tama%C3%B1o%22.%22Cod_Regi%C3%B3n%22%3D8"/>
        <s v="https://analytics.zoho.com/open-view/2395394000008038797?ZOHO_CRITERIA=%225.1%20Empresas_Tama%C3%B1o%22.%22Cod_Regi%C3%B3n%22%3D9"/>
        <s v="https://analytics.zoho.com/open-view/2395394000008038797?ZOHO_CRITERIA=%225.1%20Empresas_Tama%C3%B1o%22.%22Cod_Regi%C3%B3n%22%3D10"/>
        <s v="https://analytics.zoho.com/open-view/2395394000008038797?ZOHO_CRITERIA=%225.1%20Empresas_Tama%C3%B1o%22.%22Cod_Regi%C3%B3n%22%3D11"/>
        <s v="https://analytics.zoho.com/open-view/2395394000008038797?ZOHO_CRITERIA=%225.1%20Empresas_Tama%C3%B1o%22.%22Cod_Regi%C3%B3n%22%3D12"/>
        <s v="https://analytics.zoho.com/open-view/2395394000008038797?ZOHO_CRITERIA=%225.1%20Empresas_Tama%C3%B1o%22.%22Cod_Regi%C3%B3n%22%3D13"/>
        <s v="https://analytics.zoho.com/open-view/2395394000008038797?ZOHO_CRITERIA=%225.1%20Empresas_Tama%C3%B1o%22.%22Cod_Regi%C3%B3n%22%3D14"/>
        <s v="https://analytics.zoho.com/open-view/2395394000008038797?ZOHO_CRITERIA=%225.1%20Empresas_Tama%C3%B1o%22.%22Cod_Regi%C3%B3n%22%3D15"/>
        <s v="https://analytics.zoho.com/open-view/2395394000008038797?ZOHO_CRITERIA=%225.1%20Empresas_Tama%C3%B1o%22.%22Cod_Regi%C3%B3n%22%3D16"/>
        <s v="https://analytics.zoho.com/open-view/2395394000007908466"/>
        <s v="https://analytics.zoho.com/open-view/2395394000009042076?ZOHO_CRITERIA=%22Localiza%20CL%22.%22Codreg%22%3D1"/>
        <s v="https://analytics.zoho.com/open-view/2395394000009042076?ZOHO_CRITERIA=%22Localiza%20CL%22.%22Codreg%22%3D2"/>
        <s v="https://analytics.zoho.com/open-view/2395394000009042076?ZOHO_CRITERIA=%22Localiza%20CL%22.%22Codreg%22%3D3"/>
        <s v="https://analytics.zoho.com/open-view/2395394000009042076?ZOHO_CRITERIA=%22Localiza%20CL%22.%22Codreg%22%3D4"/>
        <s v="https://analytics.zoho.com/open-view/2395394000009042076?ZOHO_CRITERIA=%22Localiza%20CL%22.%22Codreg%22%3D5"/>
        <s v="https://analytics.zoho.com/open-view/2395394000009042076?ZOHO_CRITERIA=%22Localiza%20CL%22.%22Codreg%22%3D6"/>
        <s v="https://analytics.zoho.com/open-view/2395394000009042076?ZOHO_CRITERIA=%22Localiza%20CL%22.%22Codreg%22%3D7"/>
        <s v="https://analytics.zoho.com/open-view/2395394000009042076?ZOHO_CRITERIA=%22Localiza%20CL%22.%22Codreg%22%3D8"/>
        <s v="https://analytics.zoho.com/open-view/2395394000009042076?ZOHO_CRITERIA=%22Localiza%20CL%22.%22Codreg%22%3D9"/>
        <s v="https://analytics.zoho.com/open-view/2395394000009042076?ZOHO_CRITERIA=%22Localiza%20CL%22.%22Codreg%22%3D10"/>
        <s v="https://analytics.zoho.com/open-view/2395394000009042076?ZOHO_CRITERIA=%22Localiza%20CL%22.%22Codreg%22%3D11"/>
        <s v="https://analytics.zoho.com/open-view/2395394000009042076?ZOHO_CRITERIA=%22Localiza%20CL%22.%22Codreg%22%3D12"/>
        <s v="https://analytics.zoho.com/open-view/2395394000009042076?ZOHO_CRITERIA=%22Localiza%20CL%22.%22Codreg%22%3D13"/>
        <s v="https://analytics.zoho.com/open-view/2395394000009042076?ZOHO_CRITERIA=%22Localiza%20CL%22.%22Codreg%22%3D14"/>
        <s v="https://analytics.zoho.com/open-view/2395394000009042076?ZOHO_CRITERIA=%22Localiza%20CL%22.%22Codreg%22%3D15"/>
        <s v="https://analytics.zoho.com/open-view/2395394000009042076?ZOHO_CRITERIA=%22Localiza%20CL%22.%22Codreg%22%3D16"/>
        <s v="https://analytics.zoho.com/open-view/2395394000007909646"/>
        <s v="https://analytics.zoho.com/open-view/2395394000009042179?ZOHO_CRITERIA=%22Localiza%20CL%22.%22Codreg%22%3D1"/>
        <s v="https://analytics.zoho.com/open-view/2395394000009042179?ZOHO_CRITERIA=%22Localiza%20CL%22.%22Codreg%22%3D2"/>
        <s v="https://analytics.zoho.com/open-view/2395394000009042179?ZOHO_CRITERIA=%22Localiza%20CL%22.%22Codreg%22%3D3"/>
        <s v="https://analytics.zoho.com/open-view/2395394000009042179?ZOHO_CRITERIA=%22Localiza%20CL%22.%22Codreg%22%3D4"/>
        <s v="https://analytics.zoho.com/open-view/2395394000009042179?ZOHO_CRITERIA=%22Localiza%20CL%22.%22Codreg%22%3D5"/>
        <s v="V"/>
        <s v="https://analytics.zoho.com/open-view/2395394000009042179?ZOHO_CRITERIA=%22Localiza%20CL%22.%22Codreg%22%3D7"/>
        <s v="https://analytics.zoho.com/open-view/2395394000009042179?ZOHO_CRITERIA=%22Localiza%20CL%22.%22Codreg%22%3D8"/>
        <s v="https://analytics.zoho.com/open-view/2395394000009042179?ZOHO_CRITERIA=%22Localiza%20CL%22.%22Codreg%22%3D9"/>
        <s v="https://analytics.zoho.com/open-view/2395394000009042179?ZOHO_CRITERIA=%22Localiza%20CL%22.%22Codreg%22%3D10"/>
        <s v="https://analytics.zoho.com/open-view/2395394000009042179?ZOHO_CRITERIA=%22Localiza%20CL%22.%22Codreg%22%3D11"/>
        <s v="https://analytics.zoho.com/open-view/2395394000009042179?ZOHO_CRITERIA=%22Localiza%20CL%22.%22Codreg%22%3D12"/>
        <s v="https://analytics.zoho.com/open-view/2395394000009042179?ZOHO_CRITERIA=%22Localiza%20CL%22.%22Codreg%22%3D13"/>
        <s v="https://analytics.zoho.com/open-view/2395394000009042179?ZOHO_CRITERIA=%22Localiza%20CL%22.%22Codreg%22%3D14"/>
        <s v="https://analytics.zoho.com/open-view/2395394000009042179?ZOHO_CRITERIA=%22Localiza%20CL%22.%22Codreg%22%3D15"/>
        <s v="https://analytics.zoho.com/open-view/2395394000009042179?ZOHO_CRITERIA=%22Localiza%20CL%22.%22Codreg%22%3D16"/>
        <s v="https://analytics.zoho.com/open-view/2395394000007908947"/>
        <s v="https://analytics.zoho.com/open-view/2395394000009042285?ZOHO_CRITERIA=%22Localiza%20CL%22.%22Codreg%22%3D1"/>
        <s v="https://analytics.zoho.com/open-view/2395394000009042285?ZOHO_CRITERIA=%22Localiza%20CL%22.%22Codreg%22%3D2"/>
        <s v="https://analytics.zoho.com/open-view/2395394000009042285?ZOHO_CRITERIA=%22Localiza%20CL%22.%22Codreg%22%3D3"/>
        <s v="https://analytics.zoho.com/open-view/2395394000009042285?ZOHO_CRITERIA=%22Localiza%20CL%22.%22Codreg%22%3D4"/>
        <s v="https://analytics.zoho.com/open-view/2395394000009042285?ZOHO_CRITERIA=%22Localiza%20CL%22.%22Codreg%22%3D5"/>
        <s v="https://analytics.zoho.com/open-view/2395394000009042285?ZOHO_CRITERIA=%22Localiza%20CL%22.%22Codreg%22%3D6"/>
        <s v="https://analytics.zoho.com/open-view/2395394000009042285?ZOHO_CRITERIA=%22Localiza%20CL%22.%22Codreg%22%3D7"/>
        <s v="https://analytics.zoho.com/open-view/2395394000009042285?ZOHO_CRITERIA=%22Localiza%20CL%22.%22Codreg%22%3D8"/>
        <s v="https://analytics.zoho.com/open-view/2395394000009042285?ZOHO_CRITERIA=%22Localiza%20CL%22.%22Codreg%22%3D9"/>
        <s v="https://analytics.zoho.com/open-view/2395394000009042285?ZOHO_CRITERIA=%22Localiza%20CL%22.%22Codreg%22%3D10"/>
        <s v="https://analytics.zoho.com/open-view/2395394000009042285?ZOHO_CRITERIA=%22Localiza%20CL%22.%22Codreg%22%3D11"/>
        <s v="https://analytics.zoho.com/open-view/2395394000009042285?ZOHO_CRITERIA=%22Localiza%20CL%22.%22Codreg%22%3D12"/>
        <s v="https://analytics.zoho.com/open-view/2395394000009042285?ZOHO_CRITERIA=%22Localiza%20CL%22.%22Codreg%22%3D13"/>
        <s v="https://analytics.zoho.com/open-view/2395394000009042285?ZOHO_CRITERIA=%22Localiza%20CL%22.%22Codreg%22%3D14"/>
        <s v="https://analytics.zoho.com/open-view/2395394000009042285?ZOHO_CRITERIA=%22Localiza%20CL%22.%22Codreg%22%3D15"/>
        <s v="https://analytics.zoho.com/open-view/2395394000009042285?ZOHO_CRITERIA=%22Localiza%20CL%22.%22Codreg%22%3D16"/>
        <s v="https://analytics.zoho.com/open-view/2395394000007832763"/>
        <s v="https://analytics.zoho.com/open-view/2395394000009042400?ZOHO_CRITERIA=%22Localiza%20CL%22.%22Codreg%22%3D1"/>
        <s v="https://analytics.zoho.com/open-view/2395394000009042400?ZOHO_CRITERIA=%22Localiza%20CL%22.%22Codreg%22%3D2"/>
        <s v="https://analytics.zoho.com/open-view/2395394000009042400?ZOHO_CRITERIA=%22Localiza%20CL%22.%22Codreg%22%3D3"/>
        <s v="https://analytics.zoho.com/open-view/2395394000009042400?ZOHO_CRITERIA=%22Localiza%20CL%22.%22Codreg%22%3D4"/>
        <s v="https://analytics.zoho.com/open-view/2395394000009042400?ZOHO_CRITERIA=%22Localiza%20CL%22.%22Codreg%22%3D5"/>
        <s v="https://analytics.zoho.com/open-view/2395394000009042400?ZOHO_CRITERIA=%22Localiza%20CL%22.%22Codreg%22%3D6"/>
        <s v="https://analytics.zoho.com/open-view/2395394000009042400?ZOHO_CRITERIA=%22Localiza%20CL%22.%22Codreg%22%3D7"/>
        <s v="https://analytics.zoho.com/open-view/2395394000009042400?ZOHO_CRITERIA=%22Localiza%20CL%22.%22Codreg%22%3D8"/>
        <s v="https://analytics.zoho.com/open-view/2395394000009042400?ZOHO_CRITERIA=%22Localiza%20CL%22.%22Codreg%22%3D9"/>
        <s v="https://analytics.zoho.com/open-view/2395394000009042400?ZOHO_CRITERIA=%22Localiza%20CL%22.%22Codreg%22%3D10"/>
        <s v="https://analytics.zoho.com/open-view/2395394000009042400?ZOHO_CRITERIA=%22Localiza%20CL%22.%22Codreg%22%3D11"/>
        <s v="https://analytics.zoho.com/open-view/2395394000009042400?ZOHO_CRITERIA=%22Localiza%20CL%22.%22Codreg%22%3D12"/>
        <s v="https://analytics.zoho.com/open-view/2395394000009042400?ZOHO_CRITERIA=%22Localiza%20CL%22.%22Codreg%22%3D13"/>
        <s v="https://analytics.zoho.com/open-view/2395394000009042400?ZOHO_CRITERIA=%22Localiza%20CL%22.%22Codreg%22%3D14"/>
        <s v="https://analytics.zoho.com/open-view/2395394000009042400?ZOHO_CRITERIA=%22Localiza%20CL%22.%22Codreg%22%3D15"/>
        <s v="https://analytics.zoho.com/open-view/2395394000009042400?ZOHO_CRITERIA=%22Localiza%20CL%22.%22Codreg%22%3D16"/>
        <s v="https://analytics.zoho.com/open-view/2395394000007849686"/>
        <s v="https://analytics.zoho.com/open-view/2395394000009080171?ZOHO_CRITERIA=%22Localiza%20CL%22.%22Codreg%22%3D1"/>
        <s v="https://analytics.zoho.com/open-view/2395394000009080171?ZOHO_CRITERIA=%22Localiza%20CL%22.%22Codreg%22%3D2"/>
        <s v="https://analytics.zoho.com/open-view/2395394000009080171?ZOHO_CRITERIA=%22Localiza%20CL%22.%22Codreg%22%3D3"/>
        <s v="https://analytics.zoho.com/open-view/2395394000009080171?ZOHO_CRITERIA=%22Localiza%20CL%22.%22Codreg%22%3D4"/>
        <s v="https://analytics.zoho.com/open-view/2395394000009080171?ZOHO_CRITERIA=%22Localiza%20CL%22.%22Codreg%22%3D5"/>
        <s v="https://analytics.zoho.com/open-view/2395394000009080171?ZOHO_CRITERIA=%22Localiza%20CL%22.%22Codreg%22%3D6"/>
        <s v="https://analytics.zoho.com/open-view/2395394000009080171?ZOHO_CRITERIA=%22Localiza%20CL%22.%22Codreg%22%3D7"/>
        <s v="https://analytics.zoho.com/open-view/2395394000009080171?ZOHO_CRITERIA=%22Localiza%20CL%22.%22Codreg%22%3D8"/>
        <s v="https://analytics.zoho.com/open-view/2395394000009080171?ZOHO_CRITERIA=%22Localiza%20CL%22.%22Codreg%22%3D9"/>
        <s v="https://analytics.zoho.com/open-view/2395394000009080171?ZOHO_CRITERIA=%22Localiza%20CL%22.%22Codreg%22%3D10"/>
        <s v="https://analytics.zoho.com/open-view/2395394000009080171?ZOHO_CRITERIA=%22Localiza%20CL%22.%22Codreg%22%3D11"/>
        <s v="https://analytics.zoho.com/open-view/2395394000009080171?ZOHO_CRITERIA=%22Localiza%20CL%22.%22Codreg%22%3D12"/>
        <s v="https://analytics.zoho.com/open-view/2395394000009080171?ZOHO_CRITERIA=%22Localiza%20CL%22.%22Codreg%22%3D13"/>
        <s v="https://analytics.zoho.com/open-view/2395394000009080171?ZOHO_CRITERIA=%22Localiza%20CL%22.%22Codreg%22%3D14"/>
        <s v="https://analytics.zoho.com/open-view/2395394000009080171?ZOHO_CRITERIA=%22Localiza%20CL%22.%22Codreg%22%3D15"/>
        <s v="https://analytics.zoho.com/open-view/2395394000009080171?ZOHO_CRITERIA=%22Localiza%20CL%22.%22Codreg%22%3D16"/>
        <s v="https://analytics.zoho.com/open-view/2395394000007849604"/>
        <s v="https://analytics.zoho.com/open-view/2395394000009080286?ZOHO_CRITERIA=%22Localiza%20CL%22.%22Codreg%22%3D1"/>
        <s v="https://analytics.zoho.com/open-view/2395394000009080286?ZOHO_CRITERIA=%22Localiza%20CL%22.%22Codreg%22%3D2"/>
        <s v="https://analytics.zoho.com/open-view/2395394000009080286?ZOHO_CRITERIA=%22Localiza%20CL%22.%22Codreg%22%3D3"/>
        <s v="https://analytics.zoho.com/open-view/2395394000009080286?ZOHO_CRITERIA=%22Localiza%20CL%22.%22Codreg%22%3D4"/>
        <s v="https://analytics.zoho.com/open-view/2395394000009080286?ZOHO_CRITERIA=%22Localiza%20CL%22.%22Codreg%22%3D5"/>
        <s v="https://analytics.zoho.com/open-view/2395394000009080286?ZOHO_CRITERIA=%22Localiza%20CL%22.%22Codreg%22%3D6"/>
        <s v="https://analytics.zoho.com/open-view/2395394000009080286?ZOHO_CRITERIA=%22Localiza%20CL%22.%22Codreg%22%3D7"/>
        <s v="https://analytics.zoho.com/open-view/2395394000009080286?ZOHO_CRITERIA=%22Localiza%20CL%22.%22Codreg%22%3D8"/>
        <s v="https://analytics.zoho.com/open-view/2395394000009080286?ZOHO_CRITERIA=%22Localiza%20CL%22.%22Codreg%22%3D9"/>
        <s v="https://analytics.zoho.com/open-view/2395394000009080286?ZOHO_CRITERIA=%22Localiza%20CL%22.%22Codreg%22%3D10"/>
        <s v="https://analytics.zoho.com/open-view/2395394000009080286?ZOHO_CRITERIA=%22Localiza%20CL%22.%22Codreg%22%3D11"/>
        <s v="https://analytics.zoho.com/open-view/2395394000009080286?ZOHO_CRITERIA=%22Localiza%20CL%22.%22Codreg%22%3D12"/>
        <s v="https://analytics.zoho.com/open-view/2395394000009080286?ZOHO_CRITERIA=%22Localiza%20CL%22.%22Codreg%22%3D13"/>
        <s v="https://analytics.zoho.com/open-view/2395394000009080286?ZOHO_CRITERIA=%22Localiza%20CL%22.%22Codreg%22%3D14"/>
        <s v="https://analytics.zoho.com/open-view/2395394000009080286?ZOHO_CRITERIA=%22Localiza%20CL%22.%22Codreg%22%3D15"/>
        <s v="https://analytics.zoho.com/open-view/2395394000009080286?ZOHO_CRITERIA=%22Localiza%20CL%22.%22Codreg%22%3D16"/>
        <s v="https://analytics.zoho.com/open-view/2395394000007774595"/>
        <s v="https://analytics.zoho.com/open-view/2395394000009080022"/>
        <s v="https://public.flourish.studio/visualisation/6688416/"/>
        <s v="https://infogram.com/evaluacion-programas-2-1h7z2l8xdmzyg6o?live"/>
        <s v="https://analytics.zoho.com/open-view/2395394000009046875"/>
        <s v="https://analytics.zoho.com/open-view/2395394000009055140?ZOHO_CRITERIA=%22Localiza_CL_Poblacion%22.%22Codreg%22%20%3D%201"/>
        <s v="https://analytics.zoho.com/open-view/2395394000009055140?ZOHO_CRITERIA=%22Localiza_CL_Poblacion%22.%22Codreg%22%20%3D%202"/>
        <s v="https://analytics.zoho.com/open-view/2395394000009055140?ZOHO_CRITERIA=%22Localiza_CL_Poblacion%22.%22Codreg%22%20%3D%203"/>
        <s v="https://analytics.zoho.com/open-view/2395394000009055140?ZOHO_CRITERIA=%22Localiza_CL_Poblacion%22.%22Codreg%22%20%3D%204"/>
        <s v="https://analytics.zoho.com/open-view/2395394000009055140?ZOHO_CRITERIA=%22Localiza_CL_Poblacion%22.%22Codreg%22%20%3D%205"/>
        <s v="https://analytics.zoho.com/open-view/2395394000009055140?ZOHO_CRITERIA=%22Localiza_CL_Poblacion%22.%22Codreg%22%20%3D%206"/>
        <s v="https://analytics.zoho.com/open-view/2395394000009055140?ZOHO_CRITERIA=%22Localiza_CL_Poblacion%22.%22Codreg%22%20%3D%207"/>
        <s v="https://analytics.zoho.com/open-view/2395394000009055140?ZOHO_CRITERIA=%22Localiza_CL_Poblacion%22.%22Codreg%22%20%3D%208"/>
        <s v="https://analytics.zoho.com/open-view/2395394000009055140?ZOHO_CRITERIA=%22Localiza_CL_Poblacion%22.%22Codreg%22%20%3D%209"/>
        <s v="https://analytics.zoho.com/open-view/2395394000009055140?ZOHO_CRITERIA=%22Localiza_CL_Poblacion%22.%22Codreg%22%20%3D%2010"/>
        <s v="https://analytics.zoho.com/open-view/2395394000009055140?ZOHO_CRITERIA=%22Localiza_CL_Poblacion%22.%22Codreg%22%20%3D%2011"/>
        <s v="https://analytics.zoho.com/open-view/2395394000009055140?ZOHO_CRITERIA=%22Localiza_CL_Poblacion%22.%22Codreg%22%20%3D%2012"/>
        <s v="https://analytics.zoho.com/open-view/2395394000009055140?ZOHO_CRITERIA=%22Localiza_CL_Poblacion%22.%22Codreg%22%20%3D%2013"/>
        <s v="https://analytics.zoho.com/open-view/2395394000009055140?ZOHO_CRITERIA=%22Localiza_CL_Poblacion%22.%22Codreg%22%20%3D%2014"/>
        <s v="https://analytics.zoho.com/open-view/2395394000009055140?ZOHO_CRITERIA=%22Localiza_CL_Poblacion%22.%22Codreg%22%20%3D%2015"/>
        <s v="https://analytics.zoho.com/open-view/2395394000009055140?ZOHO_CRITERIA=%22Localiza_CL_Poblacion%22.%22Codreg%22%20%3D%2016"/>
        <s v="https://analytics.zoho.com/open-view/2395394000007908748"/>
        <s v="https://analytics.zoho.com/open-view/2395394000009042568?ZOHO_CRITERIA=%22Localiza%20CL%22.%22Codreg%22%3D1"/>
        <s v="https://analytics.zoho.com/open-view/2395394000009042568?ZOHO_CRITERIA=%22Localiza%20CL%22.%22Codreg%22%3D2"/>
        <s v="https://analytics.zoho.com/open-view/2395394000009042568?ZOHO_CRITERIA=%22Localiza%20CL%22.%22Codreg%22%3D3"/>
        <s v="https://analytics.zoho.com/open-view/2395394000009042568?ZOHO_CRITERIA=%22Localiza%20CL%22.%22Codreg%22%3D4"/>
        <s v="https://analytics.zoho.com/open-view/2395394000009042568?ZOHO_CRITERIA=%22Localiza%20CL%22.%22Codreg%22%3D5"/>
        <s v="https://analytics.zoho.com/open-view/2395394000009042568?ZOHO_CRITERIA=%22Localiza%20CL%22.%22Codreg%22%3D6"/>
        <s v="https://analytics.zoho.com/open-view/2395394000009042568?ZOHO_CRITERIA=%22Localiza%20CL%22.%22Codreg%22%3D7"/>
        <s v="https://analytics.zoho.com/open-view/2395394000009042568?ZOHO_CRITERIA=%22Localiza%20CL%22.%22Codreg%22%3D8"/>
        <s v="https://analytics.zoho.com/open-view/2395394000009042568?ZOHO_CRITERIA=%22Localiza%20CL%22.%22Codreg%22%3D9"/>
        <s v="https://analytics.zoho.com/open-view/2395394000009042568?ZOHO_CRITERIA=%22Localiza%20CL%22.%22Codreg%22%3D10"/>
        <s v="https://analytics.zoho.com/open-view/2395394000009042568?ZOHO_CRITERIA=%22Localiza%20CL%22.%22Codreg%22%3D11"/>
        <s v="https://analytics.zoho.com/open-view/2395394000009042568?ZOHO_CRITERIA=%22Localiza%20CL%22.%22Codreg%22%3D12"/>
        <s v="https://analytics.zoho.com/open-view/2395394000009042568?ZOHO_CRITERIA=%22Localiza%20CL%22.%22Codreg%22%3D13"/>
        <s v="https://analytics.zoho.com/open-view/2395394000009042568?ZOHO_CRITERIA=%22Localiza%20CL%22.%22Codreg%22%3D14"/>
        <s v="https://analytics.zoho.com/open-view/2395394000009042568?ZOHO_CRITERIA=%22Localiza%20CL%22.%22Codreg%22%3D15"/>
        <s v="https://analytics.zoho.com/open-view/2395394000009042568?ZOHO_CRITERIA=%22Localiza%20CL%22.%22Codreg%22%3D16"/>
        <s v="https://analytics.zoho.com/open-view/2395394000007946692"/>
        <s v="https://analytics.zoho.com/open-view/2395394000009042688?ZOHO_CRITERIA=%22Localiza%20CL%22.%22Codreg%22%3D1"/>
        <s v="https://analytics.zoho.com/open-view/2395394000009042688?ZOHO_CRITERIA=%22Localiza%20CL%22.%22Codreg%22%3D2"/>
        <s v="https://analytics.zoho.com/open-view/2395394000009042688?ZOHO_CRITERIA=%22Localiza%20CL%22.%22Codreg%22%3D3"/>
        <s v="https://analytics.zoho.com/open-view/2395394000009042688?ZOHO_CRITERIA=%22Localiza%20CL%22.%22Codreg%22%3D4"/>
        <s v="https://analytics.zoho.com/open-view/2395394000009042688?ZOHO_CRITERIA=%22Localiza%20CL%22.%22Codreg%22%3D5"/>
        <s v="https://analytics.zoho.com/open-view/2395394000009042688?ZOHO_CRITERIA=%22Localiza%20CL%22.%22Codreg%22%3D6"/>
        <s v="https://analytics.zoho.com/open-view/2395394000009042688?ZOHO_CRITERIA=%22Localiza%20CL%22.%22Codreg%22%3D7"/>
        <s v="https://analytics.zoho.com/open-view/2395394000009042688?ZOHO_CRITERIA=%22Localiza%20CL%22.%22Codreg%22%3D8"/>
        <s v="https://analytics.zoho.com/open-view/2395394000009042688?ZOHO_CRITERIA=%22Localiza%20CL%22.%22Codreg%22%3D9"/>
        <s v="https://analytics.zoho.com/open-view/2395394000009042688?ZOHO_CRITERIA=%22Localiza%20CL%22.%22Codreg%22%3D10"/>
        <s v="https://analytics.zoho.com/open-view/2395394000009042688?ZOHO_CRITERIA=%22Localiza%20CL%22.%22Codreg%22%3D11"/>
        <s v="https://analytics.zoho.com/open-view/2395394000009042688?ZOHO_CRITERIA=%22Localiza%20CL%22.%22Codreg%22%3D12"/>
        <s v="https://analytics.zoho.com/open-view/2395394000009042688?ZOHO_CRITERIA=%22Localiza%20CL%22.%22Codreg%22%3D13"/>
        <s v="https://analytics.zoho.com/open-view/2395394000009042688?ZOHO_CRITERIA=%22Localiza%20CL%22.%22Codreg%22%3D14"/>
        <s v="https://analytics.zoho.com/open-view/2395394000009042688?ZOHO_CRITERIA=%22Localiza%20CL%22.%22Codreg%22%3D15"/>
        <s v="https://analytics.zoho.com/open-view/2395394000009042688?ZOHO_CRITERIA=%22Localiza%20CL%22.%22Codreg%22%3D16"/>
        <s v="https://analytics.zoho.com/open-view/2395394000009042786"/>
        <s v="https://analytics.zoho.com/open-view/2395394000007990413?ZOHO_CRITERIA=%22Localiza%20CL%22.%22Codreg%22%3D1"/>
        <s v="https://analytics.zoho.com/open-view/2395394000007990413?ZOHO_CRITERIA=%22Localiza%20CL%22.%22Codreg%22%3D2"/>
        <s v="https://analytics.zoho.com/open-view/2395394000007990413?ZOHO_CRITERIA=%22Localiza%20CL%22.%22Codreg%22%3D3"/>
        <s v="https://analytics.zoho.com/open-view/2395394000007990413?ZOHO_CRITERIA=%22Localiza%20CL%22.%22Codreg%22%3D4"/>
        <s v="https://analytics.zoho.com/open-view/2395394000007990413?ZOHO_CRITERIA=%22Localiza%20CL%22.%22Codreg%22%3D5"/>
        <s v="https://analytics.zoho.com/open-view/2395394000007990413?ZOHO_CRITERIA=%22Localiza%20CL%22.%22Codreg%22%3D6"/>
        <s v="https://analytics.zoho.com/open-view/2395394000007990413?ZOHO_CRITERIA=%22Localiza%20CL%22.%22Codreg%22%3D7"/>
        <s v="https://analytics.zoho.com/open-view/2395394000007990413?ZOHO_CRITERIA=%22Localiza%20CL%22.%22Codreg%22%3D8"/>
        <s v="https://analytics.zoho.com/open-view/2395394000007990413?ZOHO_CRITERIA=%22Localiza%20CL%22.%22Codreg%22%3D9"/>
        <s v="https://analytics.zoho.com/open-view/2395394000007990413?ZOHO_CRITERIA=%22Localiza%20CL%22.%22Codreg%22%3D10"/>
        <s v="https://analytics.zoho.com/open-view/2395394000007990413?ZOHO_CRITERIA=%22Localiza%20CL%22.%22Codreg%22%3D11"/>
        <s v="https://analytics.zoho.com/open-view/2395394000007990413?ZOHO_CRITERIA=%22Localiza%20CL%22.%22Codreg%22%3D12"/>
        <s v="https://analytics.zoho.com/open-view/2395394000007990413?ZOHO_CRITERIA=%22Localiza%20CL%22.%22Codreg%22%3D13"/>
        <s v="https://analytics.zoho.com/open-view/2395394000007990413?ZOHO_CRITERIA=%22Localiza%20CL%22.%22Codreg%22%3D14"/>
        <s v="https://analytics.zoho.com/open-view/2395394000007990413?ZOHO_CRITERIA=%22Localiza%20CL%22.%22Codreg%22%3D15"/>
        <s v="https://analytics.zoho.com/open-view/2395394000007990413?ZOHO_CRITERIA=%22Localiza%20CL%22.%22Codreg%22%3D16"/>
        <s v="https://analytics.zoho.com/open-view/2395394000007959800"/>
        <s v="https://analytics.zoho.com/open-view/2395394000009056027?ZOHO_CRITERIA=%22Localiza%20CL%22.%22Codreg%22%3D1"/>
        <s v="https://analytics.zoho.com/open-view/2395394000009056027?ZOHO_CRITERIA=%22Localiza%20CL%22.%22Codreg%22%3D2"/>
        <s v="https://analytics.zoho.com/open-view/2395394000009056027?ZOHO_CRITERIA=%22Localiza%20CL%22.%22Codreg%22%3D3"/>
        <s v="https://analytics.zoho.com/open-view/2395394000009056027?ZOHO_CRITERIA=%22Localiza%20CL%22.%22Codreg%22%3D4"/>
        <s v="https://analytics.zoho.com/open-view/2395394000009056027?ZOHO_CRITERIA=%22Localiza%20CL%22.%22Codreg%22%3D5"/>
        <s v="https://analytics.zoho.com/open-view/2395394000009056027?ZOHO_CRITERIA=%22Localiza%20CL%22.%22Codreg%22%3D6"/>
        <s v="https://analytics.zoho.com/open-view/2395394000009056027?ZOHO_CRITERIA=%22Localiza%20CL%22.%22Codreg%22%3D7"/>
        <s v="https://analytics.zoho.com/open-view/2395394000009056027?ZOHO_CRITERIA=%22Localiza%20CL%22.%22Codreg%22%3D8"/>
        <s v="https://analytics.zoho.com/open-view/2395394000009056027?ZOHO_CRITERIA=%22Localiza%20CL%22.%22Codreg%22%3D9"/>
        <s v="https://analytics.zoho.com/open-view/2395394000009056027?ZOHO_CRITERIA=%22Localiza%20CL%22.%22Codreg%22%3D10"/>
        <s v="https://analytics.zoho.com/open-view/2395394000009056027?ZOHO_CRITERIA=%22Localiza%20CL%22.%22Codreg%22%3D11"/>
        <s v="https://analytics.zoho.com/open-view/2395394000009056027?ZOHO_CRITERIA=%22Localiza%20CL%22.%22Codreg%22%3D12"/>
        <s v="https://analytics.zoho.com/open-view/2395394000009056027?ZOHO_CRITERIA=%22Localiza%20CL%22.%22Codreg%22%3D13"/>
        <s v="https://analytics.zoho.com/open-view/2395394000009056027?ZOHO_CRITERIA=%22Localiza%20CL%22.%22Codreg%22%3D14"/>
        <s v="https://analytics.zoho.com/open-view/2395394000009056027?ZOHO_CRITERIA=%22Localiza%20CL%22.%22Codreg%22%3D15"/>
        <s v="https://analytics.zoho.com/open-view/2395394000009056027?ZOHO_CRITERIA=%22Localiza%20CL%22.%22Codreg%22%3D16"/>
        <s v="https://analytics.zoho.com/open-view/2395394000007946934"/>
        <s v="https://analytics.zoho.com/open-view/2395394000009056168?ZOHO_CRITERIA=%22Localiza%20CL%22.%22Codreg%22%3D1"/>
        <s v="https://analytics.zoho.com/open-view/2395394000009056168?ZOHO_CRITERIA=%22Localiza%20CL%22.%22Codreg%22%3D2"/>
        <s v="https://analytics.zoho.com/open-view/2395394000009056168?ZOHO_CRITERIA=%22Localiza%20CL%22.%22Codreg%22%3D3"/>
        <s v="https://analytics.zoho.com/open-view/2395394000009056168?ZOHO_CRITERIA=%22Localiza%20CL%22.%22Codreg%22%3D4"/>
        <s v="https://analytics.zoho.com/open-view/2395394000009056168?ZOHO_CRITERIA=%22Localiza%20CL%22.%22Codreg%22%3D5"/>
        <s v="https://analytics.zoho.com/open-view/2395394000009056168?ZOHO_CRITERIA=%22Localiza%20CL%22.%22Codreg%22%3D6"/>
        <s v="https://analytics.zoho.com/open-view/2395394000009056168?ZOHO_CRITERIA=%22Localiza%20CL%22.%22Codreg%22%3D7"/>
        <s v="https://analytics.zoho.com/open-view/2395394000009056168?ZOHO_CRITERIA=%22Localiza%20CL%22.%22Codreg%22%3D8"/>
        <s v="https://analytics.zoho.com/open-view/2395394000009056168?ZOHO_CRITERIA=%22Localiza%20CL%22.%22Codreg%22%3D9"/>
        <s v="https://analytics.zoho.com/open-view/2395394000009056168?ZOHO_CRITERIA=%22Localiza%20CL%22.%22Codreg%22%3D10"/>
        <s v="https://analytics.zoho.com/open-view/2395394000009056168?ZOHO_CRITERIA=%22Localiza%20CL%22.%22Codreg%22%3D11"/>
        <s v="https://analytics.zoho.com/open-view/2395394000009056168?ZOHO_CRITERIA=%22Localiza%20CL%22.%22Codreg%22%3D12"/>
        <s v="https://analytics.zoho.com/open-view/2395394000009056168?ZOHO_CRITERIA=%22Localiza%20CL%22.%22Codreg%22%3D13"/>
        <s v="https://analytics.zoho.com/open-view/2395394000009056168?ZOHO_CRITERIA=%22Localiza%20CL%22.%22Codreg%22%3D14"/>
        <s v="https://analytics.zoho.com/open-view/2395394000009056168?ZOHO_CRITERIA=%22Localiza%20CL%22.%22Codreg%22%3D15"/>
        <s v="https://analytics.zoho.com/open-view/2395394000009056168?ZOHO_CRITERIA=%22Localiza%20CL%22.%22Codreg%22%3D16"/>
        <s v="https://public.flourish.studio/visualisation/6691988/"/>
        <s v="https://analytics.zoho.com/open-view/2395394000008038558"/>
        <s v="https://analytics.zoho.com/open-view/2395394000008435819?ZOHO_CRITERIA=%225.1%20Empresas_Tama%C3%B1o%22.%22Cod_Regi%C3%B3n%22%3D1"/>
        <s v="https://analytics.zoho.com/open-view/2395394000008435819?ZOHO_CRITERIA=%225.1%20Empresas_Tama%C3%B1o%22.%22Cod_Regi%C3%B3n%22%3D2"/>
        <s v="https://analytics.zoho.com/open-view/2395394000008435819?ZOHO_CRITERIA=%225.1%20Empresas_Tama%C3%B1o%22.%22Cod_Regi%C3%B3n%22%3D3"/>
        <s v="https://analytics.zoho.com/open-view/2395394000008435819?ZOHO_CRITERIA=%225.1%20Empresas_Tama%C3%B1o%22.%22Cod_Regi%C3%B3n%22%3D4"/>
        <s v="https://analytics.zoho.com/open-view/2395394000008435819?ZOHO_CRITERIA=%225.1%20Empresas_Tama%C3%B1o%22.%22Cod_Regi%C3%B3n%22%3D5"/>
        <s v="https://analytics.zoho.com/open-view/2395394000008435819?ZOHO_CRITERIA=%225.1%20Empresas_Tama%C3%B1o%22.%22Cod_Regi%C3%B3n%22%3D6"/>
        <s v="https://analytics.zoho.com/open-view/2395394000008435819?ZOHO_CRITERIA=%225.1%20Empresas_Tama%C3%B1o%22.%22Cod_Regi%C3%B3n%22%3D7"/>
        <s v="https://analytics.zoho.com/open-view/2395394000008435819?ZOHO_CRITERIA=%225.1%20Empresas_Tama%C3%B1o%22.%22Cod_Regi%C3%B3n%22%3D8"/>
        <s v="https://analytics.zoho.com/open-view/2395394000008435819?ZOHO_CRITERIA=%225.1%20Empresas_Tama%C3%B1o%22.%22Cod_Regi%C3%B3n%22%3D9"/>
        <s v="https://analytics.zoho.com/open-view/2395394000008435819?ZOHO_CRITERIA=%225.1%20Empresas_Tama%C3%B1o%22.%22Cod_Regi%C3%B3n%22%3D10"/>
        <s v="https://analytics.zoho.com/open-view/2395394000008435819?ZOHO_CRITERIA=%225.1%20Empresas_Tama%C3%B1o%22.%22Cod_Regi%C3%B3n%22%3D11"/>
        <s v="https://analytics.zoho.com/open-view/2395394000008435819?ZOHO_CRITERIA=%225.1%20Empresas_Tama%C3%B1o%22.%22Cod_Regi%C3%B3n%22%3D12"/>
        <s v="https://analytics.zoho.com/open-view/2395394000008435819?ZOHO_CRITERIA=%225.1%20Empresas_Tama%C3%B1o%22.%22Cod_Regi%C3%B3n%22%3D13"/>
        <s v="https://analytics.zoho.com/open-view/2395394000008435819?ZOHO_CRITERIA=%225.1%20Empresas_Tama%C3%B1o%22.%22Cod_Regi%C3%B3n%22%3D14"/>
        <s v="https://analytics.zoho.com/open-view/2395394000008435819?ZOHO_CRITERIA=%225.1%20Empresas_Tama%C3%B1o%22.%22Cod_Regi%C3%B3n%22%3D15"/>
        <s v="https://analytics.zoho.com/open-view/2395394000008435819?ZOHO_CRITERIA=%225.1%20Empresas_Tama%C3%B1o%22.%22Cod_Regi%C3%B3n%22%3D16"/>
        <s v="https://analytics.zoho.com/open-view/2395394000008435942"/>
        <s v="https://analytics.zoho.com/open-view/2395394000008038636?ZOHO_CRITERIA=%225.1%20Empresas_Tama%C3%B1o%22.%22Cod_Regi%C3%B3n%22%3D1"/>
        <s v="https://analytics.zoho.com/open-view/2395394000008038636?ZOHO_CRITERIA=%225.1%20Empresas_Tama%C3%B1o%22.%22Cod_Regi%C3%B3n%22%3D2"/>
        <s v="https://analytics.zoho.com/open-view/2395394000008038636?ZOHO_CRITERIA=%225.1%20Empresas_Tama%C3%B1o%22.%22Cod_Regi%C3%B3n%22%3D3"/>
        <s v="https://analytics.zoho.com/open-view/2395394000008038636?ZOHO_CRITERIA=%225.1%20Empresas_Tama%C3%B1o%22.%22Cod_Regi%C3%B3n%22%3D4"/>
        <s v="https://analytics.zoho.com/open-view/2395394000008038636?ZOHO_CRITERIA=%225.1%20Empresas_Tama%C3%B1o%22.%22Cod_Regi%C3%B3n%22%3D5"/>
        <s v="https://analytics.zoho.com/open-view/2395394000008038636?ZOHO_CRITERIA=%225.1%20Empresas_Tama%C3%B1o%22.%22Cod_Regi%C3%B3n%22%3D6"/>
        <s v="https://analytics.zoho.com/open-view/2395394000008038636?ZOHO_CRITERIA=%225.1%20Empresas_Tama%C3%B1o%22.%22Cod_Regi%C3%B3n%22%3D7"/>
        <s v="https://analytics.zoho.com/open-view/2395394000008038636?ZOHO_CRITERIA=%225.1%20Empresas_Tama%C3%B1o%22.%22Cod_Regi%C3%B3n%22%3D8"/>
        <s v="https://analytics.zoho.com/open-view/2395394000008038636?ZOHO_CRITERIA=%225.1%20Empresas_Tama%C3%B1o%22.%22Cod_Regi%C3%B3n%22%3D9"/>
        <s v="https://analytics.zoho.com/open-view/2395394000008038636?ZOHO_CRITERIA=%225.1%20Empresas_Tama%C3%B1o%22.%22Cod_Regi%C3%B3n%22%3D10"/>
        <s v="https://analytics.zoho.com/open-view/2395394000008038636?ZOHO_CRITERIA=%225.1%20Empresas_Tama%C3%B1o%22.%22Cod_Regi%C3%B3n%22%3D11"/>
        <s v="https://analytics.zoho.com/open-view/2395394000008038636?ZOHO_CRITERIA=%225.1%20Empresas_Tama%C3%B1o%22.%22Cod_Regi%C3%B3n%22%3D12"/>
        <s v="https://analytics.zoho.com/open-view/2395394000008038636?ZOHO_CRITERIA=%225.1%20Empresas_Tama%C3%B1o%22.%22Cod_Regi%C3%B3n%22%3D13"/>
        <s v="https://analytics.zoho.com/open-view/2395394000008038636?ZOHO_CRITERIA=%225.1%20Empresas_Tama%C3%B1o%22.%22Cod_Regi%C3%B3n%22%3D14"/>
        <s v="https://analytics.zoho.com/open-view/2395394000008038636?ZOHO_CRITERIA=%225.1%20Empresas_Tama%C3%B1o%22.%22Cod_Regi%C3%B3n%22%3D15"/>
        <s v="https://analytics.zoho.com/open-view/2395394000008038636?ZOHO_CRITERIA=%225.1%20Empresas_Tama%C3%B1o%22.%22Cod_Regi%C3%B3n%22%3D16"/>
        <s v="https://analytics.zoho.com/open-view/2395394000008438077"/>
        <s v="https://analytics.zoho.com/open-view/2395394000008039000?ZOHO_CRITERIA=%225.1%20Empresas_Tama%C3%B1o%22.%22Cod_Regi%C3%B3n%22%3D1"/>
        <s v="https://analytics.zoho.com/open-view/2395394000008039000?ZOHO_CRITERIA=%225.1%20Empresas_Tama%C3%B1o%22.%22Cod_Regi%C3%B3n%22%3D2"/>
        <s v="https://analytics.zoho.com/open-view/2395394000008039000?ZOHO_CRITERIA=%225.1%20Empresas_Tama%C3%B1o%22.%22Cod_Regi%C3%B3n%22%3D3"/>
        <s v="https://analytics.zoho.com/open-view/2395394000008039000?ZOHO_CRITERIA=%225.1%20Empresas_Tama%C3%B1o%22.%22Cod_Regi%C3%B3n%22%3D4"/>
        <s v="https://analytics.zoho.com/open-view/2395394000008039000?ZOHO_CRITERIA=%225.1%20Empresas_Tama%C3%B1o%22.%22Cod_Regi%C3%B3n%22%3D5"/>
        <s v="https://analytics.zoho.com/open-view/2395394000008039000?ZOHO_CRITERIA=%225.1%20Empresas_Tama%C3%B1o%22.%22Cod_Regi%C3%B3n%22%3D6"/>
        <s v="https://analytics.zoho.com/open-view/2395394000008039000?ZOHO_CRITERIA=%225.1%20Empresas_Tama%C3%B1o%22.%22Cod_Regi%C3%B3n%22%3D7"/>
        <s v="https://analytics.zoho.com/open-view/2395394000008039000?ZOHO_CRITERIA=%225.1%20Empresas_Tama%C3%B1o%22.%22Cod_Regi%C3%B3n%22%3D8"/>
        <s v="https://analytics.zoho.com/open-view/2395394000008039000?ZOHO_CRITERIA=%225.1%20Empresas_Tama%C3%B1o%22.%22Cod_Regi%C3%B3n%22%3D9"/>
        <s v="https://analytics.zoho.com/open-view/2395394000008039000?ZOHO_CRITERIA=%225.1%20Empresas_Tama%C3%B1o%22.%22Cod_Regi%C3%B3n%22%3D10"/>
        <s v="https://analytics.zoho.com/open-view/2395394000008039000?ZOHO_CRITERIA=%225.1%20Empresas_Tama%C3%B1o%22.%22Cod_Regi%C3%B3n%22%3D11"/>
        <s v="https://analytics.zoho.com/open-view/2395394000008039000?ZOHO_CRITERIA=%225.1%20Empresas_Tama%C3%B1o%22.%22Cod_Regi%C3%B3n%22%3D12"/>
        <s v="https://analytics.zoho.com/open-view/2395394000008039000?ZOHO_CRITERIA=%225.1%20Empresas_Tama%C3%B1o%22.%22Cod_Regi%C3%B3n%22%3D13"/>
        <s v="https://analytics.zoho.com/open-view/2395394000008039000?ZOHO_CRITERIA=%225.1%20Empresas_Tama%C3%B1o%22.%22Cod_Regi%C3%B3n%22%3D14"/>
        <s v="https://analytics.zoho.com/open-view/2395394000008039000?ZOHO_CRITERIA=%225.1%20Empresas_Tama%C3%B1o%22.%22Cod_Regi%C3%B3n%22%3D15"/>
        <s v="https://analytics.zoho.com/open-view/2395394000008039000?ZOHO_CRITERIA=%225.1%20Empresas_Tama%C3%B1o%22.%22Cod_Regi%C3%B3n%22%3D16"/>
        <s v="https://analytics.zoho.com/open-view/2395394000008043046"/>
        <s v="https://analytics.zoho.com/open-view/2395394000007900622"/>
        <s v="https://analytics.zoho.com/open-view/2395394000007906094"/>
        <s v="https://analytics.zoho.com/open-view/2395394000007972705"/>
        <s v="https://analytics.zoho.com/open-view/2395394000008027347"/>
        <s v="https://analytics.zoho.com/open-view/2395394000008532437"/>
        <s v="https://analytics.zoho.com/open-view/2395394000008438205?ZOHO_CRITERIA=%22Rubros_Todo%22.%22Id_Regi%C3%B3n%22%3D1"/>
        <s v="https://analytics.zoho.com/open-view/2395394000008438205?ZOHO_CRITERIA=%22Rubros_Todo%22.%22Id_Regi%C3%B3n%22%3D2"/>
        <s v="https://analytics.zoho.com/open-view/2395394000008438205?ZOHO_CRITERIA=%22Rubros_Todo%22.%22Id_Regi%C3%B3n%22%3D3"/>
        <s v="https://analytics.zoho.com/open-view/2395394000008438205?ZOHO_CRITERIA=%22Rubros_Todo%22.%22Id_Regi%C3%B3n%22%3D4"/>
        <s v="https://analytics.zoho.com/open-view/2395394000008438205?ZOHO_CRITERIA=%22Rubros_Todo%22.%22Id_Regi%C3%B3n%22%3D5"/>
        <s v="https://analytics.zoho.com/open-view/2395394000008438205?ZOHO_CRITERIA=%22Rubros_Todo%22.%22Id_Regi%C3%B3n%22%3D6"/>
        <s v="https://analytics.zoho.com/open-view/2395394000008438205?ZOHO_CRITERIA=%22Rubros_Todo%22.%22Id_Regi%C3%B3n%22%3D7"/>
        <s v="https://analytics.zoho.com/open-view/2395394000008438205?ZOHO_CRITERIA=%22Rubros_Todo%22.%22Id_Regi%C3%B3n%22%3D8"/>
        <s v="https://analytics.zoho.com/open-view/2395394000008438205?ZOHO_CRITERIA=%22Rubros_Todo%22.%22Id_Regi%C3%B3n%22%3D9"/>
        <s v="https://analytics.zoho.com/open-view/2395394000008438205?ZOHO_CRITERIA=%22Rubros_Todo%22.%22Id_Regi%C3%B3n%22%3D10"/>
        <s v="https://analytics.zoho.com/open-view/2395394000008438205?ZOHO_CRITERIA=%22Rubros_Todo%22.%22Id_Regi%C3%B3n%22%3D11"/>
        <s v="https://analytics.zoho.com/open-view/2395394000008438205?ZOHO_CRITERIA=%22Rubros_Todo%22.%22Id_Regi%C3%B3n%22%3D12"/>
        <s v="https://analytics.zoho.com/open-view/2395394000008438205?ZOHO_CRITERIA=%22Rubros_Todo%22.%22Id_Regi%C3%B3n%22%3D13"/>
        <s v="https://analytics.zoho.com/open-view/2395394000008438205?ZOHO_CRITERIA=%22Rubros_Todo%22.%22Id_Regi%C3%B3n%22%3D14"/>
        <s v="https://analytics.zoho.com/open-view/2395394000008438205?ZOHO_CRITERIA=%22Rubros_Todo%22.%22Id_Regi%C3%B3n%22%3D15"/>
        <s v="https://analytics.zoho.com/open-view/2395394000008438205?ZOHO_CRITERIA=%22Rubros_Todo%22.%22Id_Regi%C3%B3n%22%3D16"/>
        <s v="https://analytics.zoho.com/open-view/2395394000008025748"/>
        <s v="https://analytics.zoho.com/open-view/2395394000008034444"/>
        <s v="https://analytics.zoho.com/open-view/2395394000008389657?ZOHO_CRITERIA=%22Localiza%20CL%22.%22Codreg%22%20%3D%201"/>
        <s v="https://analytics.zoho.com/open-view/2395394000008389657?ZOHO_CRITERIA=%22Localiza%20CL%22.%22Codreg%22%20%3D%202"/>
        <s v="https://analytics.zoho.com/open-view/2395394000008389657?ZOHO_CRITERIA=%22Localiza%20CL%22.%22Codreg%22%20%3D%203"/>
        <s v="https://analytics.zoho.com/open-view/2395394000008389657?ZOHO_CRITERIA=%22Localiza%20CL%22.%22Codreg%22%20%3D%204"/>
        <s v="https://analytics.zoho.com/open-view/2395394000008389657?ZOHO_CRITERIA=%22Localiza%20CL%22.%22Codreg%22%20%3D%205"/>
        <s v="https://analytics.zoho.com/open-view/2395394000008389657?ZOHO_CRITERIA=%22Localiza%20CL%22.%22Codreg%22%20%3D%206"/>
        <s v="https://analytics.zoho.com/open-view/2395394000008389657?ZOHO_CRITERIA=%22Localiza%20CL%22.%22Codreg%22%20%3D%207"/>
        <s v="https://analytics.zoho.com/open-view/2395394000008389657?ZOHO_CRITERIA=%22Localiza%20CL%22.%22Codreg%22%20%3D%208"/>
        <s v="https://analytics.zoho.com/open-view/2395394000008389657?ZOHO_CRITERIA=%22Localiza%20CL%22.%22Codreg%22%20%3D%209"/>
        <s v="https://analytics.zoho.com/open-view/2395394000008389657?ZOHO_CRITERIA=%22Localiza%20CL%22.%22Codreg%22%20%3D%2010"/>
        <s v="https://analytics.zoho.com/open-view/2395394000008389657?ZOHO_CRITERIA=%22Localiza%20CL%22.%22Codreg%22%20%3D%2011"/>
        <s v="https://analytics.zoho.com/open-view/2395394000008389657?ZOHO_CRITERIA=%22Localiza%20CL%22.%22Codreg%22%20%3D%2012"/>
        <s v="https://analytics.zoho.com/open-view/2395394000008389657?ZOHO_CRITERIA=%22Localiza%20CL%22.%22Codreg%22%20%3D%2013"/>
        <s v="https://analytics.zoho.com/open-view/2395394000008389657?ZOHO_CRITERIA=%22Localiza%20CL%22.%22Codreg%22%20%3D%2014"/>
        <s v="https://analytics.zoho.com/open-view/2395394000008389657?ZOHO_CRITERIA=%22Localiza%20CL%22.%22Codreg%22%20%3D%2015"/>
        <s v="https://analytics.zoho.com/open-view/2395394000008389657?ZOHO_CRITERIA=%22Localiza%20CL%22.%22Codreg%22%20%3D%2016"/>
        <s v="https://analytics.zoho.com/open-view/2395394000008034280"/>
        <s v="https://public.flourish.studio/visualisation/7122409/"/>
        <s v="https://public.flourish.studio/visualisation/7125265/"/>
        <s v="https://public.flourish.studio/visualisation/7125253/"/>
        <s v="https://public.flourish.studio/visualisation/7125250/"/>
        <s v="https://public.flourish.studio/visualisation/7125239/"/>
        <s v="https://public.flourish.studio/visualisation/7125220/"/>
        <s v="https://public.flourish.studio/visualisation/7125190/"/>
        <s v="https://public.flourish.studio/visualisation/7125138/"/>
        <s v="https://public.flourish.studio/visualisation/7124803/"/>
        <s v="https://public.flourish.studio/visualisation/7124958/"/>
        <s v="https://public.flourish.studio/visualisation/7125030/"/>
        <s v="https://public.flourish.studio/visualisation/7125051/"/>
        <s v="https://public.flourish.studio/visualisation/7125092/"/>
        <s v="https://public.flourish.studio/visualisation/7125199/"/>
        <s v="https://public.flourish.studio/visualisation/7125004/"/>
        <s v="https://public.flourish.studio/visualisation/7125302/"/>
        <s v="https://public.flourish.studio/visualisation/7125115/"/>
        <s v="https://app.powerbi.com/view?r=eyJrIjoiYTU4N2U3YjktZjQ5OS00OGU4LThmYzItNDY4NGYxMzAyNjk2IiwidCI6IjhmYmFhNWJmLTJlY2MtNGRjOC1iNTZiLThmOTJlMzA3ZjA3NiIsImMiOjR9"/>
        <s v="https://app.powerbi.com/view?r=eyJrIjoiZDA2MGUzOWItMzM3Yi00NmUwLThlYzctZmI2YzdmYzBmNDA2IiwidCI6IjhmYmFhNWJmLTJlY2MtNGRjOC1iNTZiLThmOTJlMzA3ZjA3NiIsImMiOjR9"/>
        <s v="https://app.powerbi.com/view?r=eyJrIjoiYmEwNjFkOGUtMTAyNC00ZTM3LWI3OTItNTdhMjIzNzc5ODdkIiwidCI6IjhmYmFhNWJmLTJlY2MtNGRjOC1iNTZiLThmOTJlMzA3ZjA3NiIsImMiOjR9"/>
        <s v="https://app.powerbi.com/view?r=eyJrIjoiNmJkNDVkNTAtYjZlZC00M2EyLWIxYjEtY2I4YTAxYWYwNmRkIiwidCI6IjhmYmFhNWJmLTJlY2MtNGRjOC1iNTZiLThmOTJlMzA3ZjA3NiIsImMiOjR9"/>
        <s v="https://app.powerbi.com/view?r=eyJrIjoiOGI2NDMyOTYtMzdmNi00ZjNiLTliNTMtYWU2OTQ4ZDkxMDA3IiwidCI6IjhmYmFhNWJmLTJlY2MtNGRjOC1iNTZiLThmOTJlMzA3ZjA3NiIsImMiOjR9"/>
        <s v="https://app.powerbi.com/view?r=eyJrIjoiZTZjMGE0MjAtZjg0OS00MmU0LWI4ODItOTc4ZTYyYTQ0OGJjIiwidCI6IjhmYmFhNWJmLTJlY2MtNGRjOC1iNTZiLThmOTJlMzA3ZjA3NiIsImMiOjR9"/>
        <s v="https://app.powerbi.com/view?r=eyJrIjoiOTJkNmVmNzYtM2MxMy00NzkwLWIzMDEtMmUyMmE3Zjg3MTkxIiwidCI6IjhmYmFhNWJmLTJlY2MtNGRjOC1iNTZiLThmOTJlMzA3ZjA3NiIsImMiOjR9"/>
        <s v="https://app.powerbi.com/view?r=eyJrIjoiYzIxYmRlNzctOWNlNy00YWEzLWIyOWUtZDRmYzY5MjA1MmZlIiwidCI6IjhmYmFhNWJmLTJlY2MtNGRjOC1iNTZiLThmOTJlMzA3ZjA3NiIsImMiOjR9"/>
        <s v="https://app.powerbi.com/view?r=eyJrIjoiMGU1NjM0MjEtODEzMi00OWQ3LTg5NzgtMzRiMGVkYjJiYzgxIiwidCI6IjhmYmFhNWJmLTJlY2MtNGRjOC1iNTZiLThmOTJlMzA3ZjA3NiIsImMiOjR9"/>
        <s v="https://app.powerbi.com/view?r=eyJrIjoiZDRiOGFmYTAtOWIyYy00NDcyLWI0Y2ItNWYwMzczMjdhYTgwIiwidCI6IjhmYmFhNWJmLTJlY2MtNGRjOC1iNTZiLThmOTJlMzA3ZjA3NiIsImMiOjR9"/>
        <s v="https://app.powerbi.com/view?r=eyJrIjoiMmRlZmU2MWMtYmU1Zi00MGYzLThhYTUtZmRiYjczOTNjN2ZjIiwidCI6IjhmYmFhNWJmLTJlY2MtNGRjOC1iNTZiLThmOTJlMzA3ZjA3NiIsImMiOjR9"/>
        <s v="https://app.powerbi.com/view?r=eyJrIjoiNzcwNDhlNTgtODUxMy00OTAwLWE4N2YtYzUzNjNlYTRhZmQ0IiwidCI6IjhmYmFhNWJmLTJlY2MtNGRjOC1iNTZiLThmOTJlMzA3ZjA3NiIsImMiOjR9"/>
        <s v="https://app.powerbi.com/view?r=eyJrIjoiNmMzM2ViNTctYzkwMy00MDAwLTg3OGQtM2VhNTkxNmJhNjVjIiwidCI6IjhmYmFhNWJmLTJlY2MtNGRjOC1iNTZiLThmOTJlMzA3ZjA3NiIsImMiOjR9"/>
        <s v="https://app.powerbi.com/view?r=eyJrIjoiMGZhOWI5YTctNzI5Mi00YTRlLTlhOTctNjdiOTk0NTQ5OGRiIiwidCI6IjhmYmFhNWJmLTJlY2MtNGRjOC1iNTZiLThmOTJlMzA3ZjA3NiIsImMiOjR9"/>
        <s v="https://app.powerbi.com/view?r=eyJrIjoiYzRmMGQzMTMtYTU4ZS00MzEwLTk2ZjUtZDZmNDc2MDMzNmZjIiwidCI6IjhmYmFhNWJmLTJlY2MtNGRjOC1iNTZiLThmOTJlMzA3ZjA3NiIsImMiOjR9"/>
        <s v="https://app.powerbi.com/view?r=eyJrIjoiNzljMWVjMDMtY2VmMS00ZmE2LTkzMDgtOGFiMDljOTQ0NGY0IiwidCI6IjhmYmFhNWJmLTJlY2MtNGRjOC1iNTZiLThmOTJlMzA3ZjA3NiIsImMiOjR9"/>
        <s v="https://app.powerbi.com/view?r=eyJrIjoiNGI4NDk4MDQtMTIyZC00MDEzLWE1YjAtYzRhNDNlZWQwYWU0IiwidCI6IjhmYmFhNWJmLTJlY2MtNGRjOC1iNTZiLThmOTJlMzA3ZjA3NiIsImMiOjR9"/>
        <s v="https://app.powerbi.com/view?r=eyJrIjoiMTQ5YjMxMmItNDYyYS00NDIxLWEwNzktYTlmZGZiODhjMWViIiwidCI6IjhmYmFhNWJmLTJlY2MtNGRjOC1iNTZiLThmOTJlMzA3ZjA3NiIsImMiOjR9"/>
        <s v="https://app.powerbi.com/view?r=eyJrIjoiY2Q1ZjQxOTItNjU0MS00NDlmLWE1YmUtMGFlNWY5ZTA5ZWM2IiwidCI6IjhmYmFhNWJmLTJlY2MtNGRjOC1iNTZiLThmOTJlMzA3ZjA3NiIsImMiOjR9"/>
        <s v="https://app.powerbi.com/view?r=eyJrIjoiYjJhMDkxMjEtODNmNS00N2Y4LWE5ODctZWMzMWI1ODM2ZmQ4IiwidCI6IjhmYmFhNWJmLTJlY2MtNGRjOC1iNTZiLThmOTJlMzA3ZjA3NiIsImMiOjR9"/>
        <s v="https://app.powerbi.com/view?r=eyJrIjoiYWE4MGYxNmYtZTJmNi00OGE4LWFiMjItYzMwZjA5ZWI2MmQzIiwidCI6IjhmYmFhNWJmLTJlY2MtNGRjOC1iNTZiLThmOTJlMzA3ZjA3NiIsImMiOjR9"/>
        <s v="https://app.powerbi.com/view?r=eyJrIjoiNzM3N2E2MTYtMDAyMS00OGE4LWI4MDMtMDYwMjI5MzNkYjhiIiwidCI6IjhmYmFhNWJmLTJlY2MtNGRjOC1iNTZiLThmOTJlMzA3ZjA3NiIsImMiOjR9"/>
        <s v="https://app.powerbi.com/view?r=eyJrIjoiNjViZWFiZDctY2Y3OC00ZmNlLTliNWEtZGVhYmMxZDJmN2E4IiwidCI6IjhmYmFhNWJmLTJlY2MtNGRjOC1iNTZiLThmOTJlMzA3ZjA3NiIsImMiOjR9"/>
        <s v="https://app.powerbi.com/view?r=eyJrIjoiZWYwNWIxNWUtYjQ0Ny00ZmE5LWE1M2UtNzIxNTFkZDMyYTVjIiwidCI6IjhmYmFhNWJmLTJlY2MtNGRjOC1iNTZiLThmOTJlMzA3ZjA3NiIsImMiOjR9"/>
        <s v="https://app.powerbi.com/view?r=eyJrIjoiYWE4ODdhYzAtNTFmMS00YWQ5LTk5N2EtMTRkNWRmMjgyMjk5IiwidCI6IjhmYmFhNWJmLTJlY2MtNGRjOC1iNTZiLThmOTJlMzA3ZjA3NiIsImMiOjR9"/>
        <s v="https://app.powerbi.com/view?r=eyJrIjoiNDkxZDIzOTctMGFjYi00NTI0LWI3MWEtNTcyOTgxZmZjMjhlIiwidCI6IjhmYmFhNWJmLTJlY2MtNGRjOC1iNTZiLThmOTJlMzA3ZjA3NiIsImMiOjR9"/>
        <s v="https://app.powerbi.com/view?r=eyJrIjoiNGQzMWI4MTEtNDM5MC00NzBhLTlmOGItY2VkYWVmNjYzMGNhIiwidCI6IjhmYmFhNWJmLTJlY2MtNGRjOC1iNTZiLThmOTJlMzA3ZjA3NiIsImMiOjR9"/>
        <s v="https://app.powerbi.com/view?r=eyJrIjoiMjcyYzIwZGYtZmUwMy00OGJiLWEwODktZjczYTY3NjE3ODM4IiwidCI6IjhmYmFhNWJmLTJlY2MtNGRjOC1iNTZiLThmOTJlMzA3ZjA3NiIsImMiOjR9"/>
        <s v="https://app.powerbi.com/view?r=eyJrIjoiMWMxZmIxNDQtMTIzYi00NWQ5LThmN2QtNzJkNTVhZWZkYTIzIiwidCI6IjhmYmFhNWJmLTJlY2MtNGRjOC1iNTZiLThmOTJlMzA3ZjA3NiIsImMiOjR9"/>
        <s v="https://app.powerbi.com/view?r=eyJrIjoiYjdhYzkzMmItZmM2Yi00NzczLWE0ZDYtMzY3YmYyNWY4ZjM4IiwidCI6IjhmYmFhNWJmLTJlY2MtNGRjOC1iNTZiLThmOTJlMzA3ZjA3NiIsImMiOjR9"/>
        <s v="https://app.powerbi.com/view?r=eyJrIjoiMTJlNjA5ZjktMGIyMC00ZDc5LThjZDctN2Y4NDA5NTExMDY1IiwidCI6IjhmYmFhNWJmLTJlY2MtNGRjOC1iNTZiLThmOTJlMzA3ZjA3NiIsImMiOjR9"/>
        <s v="https://app.powerbi.com/view?r=eyJrIjoiZmFhNDBiZTktN2FmMC00YjI4LTgyN2MtZGQ5YjFlNGM2ZTRmIiwidCI6IjhmYmFhNWJmLTJlY2MtNGRjOC1iNTZiLThmOTJlMzA3ZjA3NiIsImMiOjR9"/>
        <s v="https://app.powerbi.com/view?r=eyJrIjoiN2JkNmMxYTYtMDE0ZC00NDM0LWIxZjctMWJhYmZhYTM0NmRjIiwidCI6IjhmYmFhNWJmLTJlY2MtNGRjOC1iNTZiLThmOTJlMzA3ZjA3NiIsImMiOjR9"/>
        <s v="https://app.powerbi.com/view?r=eyJrIjoiMzZjYWQwMDktMzUxNS00MTJlLThmYzUtNzFjMzA3MWM1Y2E5IiwidCI6IjhmYmFhNWJmLTJlY2MtNGRjOC1iNTZiLThmOTJlMzA3ZjA3NiIsImMiOjR9"/>
        <s v="https://app.powerbi.com/view?r=eyJrIjoiZjRhOTM0ODctZjQ3ZS00OTA2LTliZjctNmM3ZWJjODJlNDliIiwidCI6IjhmYmFhNWJmLTJlY2MtNGRjOC1iNTZiLThmOTJlMzA3ZjA3NiIsImMiOjR9"/>
        <s v="https://app.powerbi.com/view?r=eyJrIjoiYWRhNTI4ZmQtYWJhMS00MzllLWIxYWMtOGZlYmI5NjBiODBiIiwidCI6IjhmYmFhNWJmLTJlY2MtNGRjOC1iNTZiLThmOTJlMzA3ZjA3NiIsImMiOjR9"/>
        <s v="https://app.powerbi.com/view?r=eyJrIjoiZTE0YzU4OWUtOTBlOC00MzUzLTg4NDQtZDg2Y2FlMDg4ZGIzIiwidCI6IjhmYmFhNWJmLTJlY2MtNGRjOC1iNTZiLThmOTJlMzA3ZjA3NiIsImMiOjR9"/>
        <s v="https://app.powerbi.com/view?r=eyJrIjoiYWU1Mzg4NDItYTcxMy00M2Y4LTkzNjgtZTY2Y2FlOGEwZTNhIiwidCI6IjhmYmFhNWJmLTJlY2MtNGRjOC1iNTZiLThmOTJlMzA3ZjA3NiIsImMiOjR9"/>
        <s v="https://app.powerbi.com/view?r=eyJrIjoiNjBmZmYzZGEtMmFiZC00YTU2LTg5Y2UtMTIxMDc4NGIwZDFhIiwidCI6IjhmYmFhNWJmLTJlY2MtNGRjOC1iNTZiLThmOTJlMzA3ZjA3NiIsImMiOjR9"/>
        <s v="https://app.powerbi.com/view?r=eyJrIjoiYzAyMzExM2EtMGNjZi00ZmYxLThjYmUtYWViOWMyZmM3ZjI3IiwidCI6IjhmYmFhNWJmLTJlY2MtNGRjOC1iNTZiLThmOTJlMzA3ZjA3NiIsImMiOjR9"/>
        <s v="https://app.powerbi.com/view?r=eyJrIjoiMmVmMTNjNzUtYzUxZi00ZWVjLWExYzctZTgyNTJmNWZjMWI3IiwidCI6IjhmYmFhNWJmLTJlY2MtNGRjOC1iNTZiLThmOTJlMzA3ZjA3NiIsImMiOjR9"/>
        <s v="https://app.powerbi.com/view?r=eyJrIjoiOWU5N2QxMDgtYTcyZC00OTNkLThlNTctOWExYmZhYTRkOTM0IiwidCI6IjhmYmFhNWJmLTJlY2MtNGRjOC1iNTZiLThmOTJlMzA3ZjA3NiIsImMiOjR9"/>
        <s v="https://app.powerbi.com/view?r=eyJrIjoiNTkzNTNiZTgtZmFiNy00OGM4LTllNjQtNGNlYWE4YjY5NTc1IiwidCI6IjhmYmFhNWJmLTJlY2MtNGRjOC1iNTZiLThmOTJlMzA3ZjA3NiIsImMiOjR9"/>
        <s v="https://app.powerbi.com/view?r=eyJrIjoiY2FmMzQ5ZmMtY2ZiZC00ZGNiLWFjNjEtOTk2ZTY3NGI4OTAyIiwidCI6IjhmYmFhNWJmLTJlY2MtNGRjOC1iNTZiLThmOTJlMzA3ZjA3NiIsImMiOjR9"/>
        <s v="https://app.powerbi.com/view?r=eyJrIjoiZGYzYWVjYzYtNmZiOC00MTBlLTkxODUtNjJjNTQ5OWRiYmY4IiwidCI6IjhmYmFhNWJmLTJlY2MtNGRjOC1iNTZiLThmOTJlMzA3ZjA3NiIsImMiOjR9"/>
        <s v="https://app.powerbi.com/view?r=eyJrIjoiYzZjMjQ3MWYtNDBjNC00MGU0LThiZjAtZTdhOGFiOWRmY2MyIiwidCI6IjhmYmFhNWJmLTJlY2MtNGRjOC1iNTZiLThmOTJlMzA3ZjA3NiIsImMiOjR9"/>
        <s v="https://app.powerbi.com/view?r=eyJrIjoiODU0Y2U2NGYtYzQzOS00ZmJhLWE0MWQtNWM0MmU4ODBmZjRmIiwidCI6IjhmYmFhNWJmLTJlY2MtNGRjOC1iNTZiLThmOTJlMzA3ZjA3NiIsImMiOjR9"/>
        <s v="https://app.powerbi.com/view?r=eyJrIjoiM2UzOWE3YjAtYTk5NC00N2FlLTk2YWUtY2VmMGYzMmQxYjdlIiwidCI6IjhmYmFhNWJmLTJlY2MtNGRjOC1iNTZiLThmOTJlMzA3ZjA3NiIsImMiOjR9"/>
        <s v="https://app.powerbi.com/view?r=eyJrIjoiZGVkN2YxMjctMGZhZC00MGE1LTgzZWMtMjBlYjQxN2UzNTY0IiwidCI6IjhmYmFhNWJmLTJlY2MtNGRjOC1iNTZiLThmOTJlMzA3ZjA3NiIsImMiOjR9"/>
        <s v="https://app.powerbi.com/view?r=eyJrIjoiNGJjZDhiMWUtMzk3ZS00M2Y4LTk3ZDMtNzJiNTAxN2U4ZDk2IiwidCI6IjhmYmFhNWJmLTJlY2MtNGRjOC1iNTZiLThmOTJlMzA3ZjA3NiIsImMiOjR9"/>
        <s v="https://app.powerbi.com/view?r=eyJrIjoiNWEzMTMyZmYtMjA0MS00YjQxLTlhODAtNjY3MTBlOWJiNjg0IiwidCI6IjhmYmFhNWJmLTJlY2MtNGRjOC1iNTZiLThmOTJlMzA3ZjA3NiIsImMiOjR9"/>
        <s v="https://app.powerbi.com/view?r=eyJrIjoiYzkwYmY4NTMtYTBlMS00ODM5LThhYTktZjZmYWNmMzc1ODQxIiwidCI6IjhmYmFhNWJmLTJlY2MtNGRjOC1iNTZiLThmOTJlMzA3ZjA3NiIsImMiOjR9"/>
        <s v="https://app.powerbi.com/view?r=eyJrIjoiZWY4Y2NjYWQtYmY5Zi00MjlhLWE3MTEtNTQ1NjYwZjkzNzgyIiwidCI6IjhmYmFhNWJmLTJlY2MtNGRjOC1iNTZiLThmOTJlMzA3ZjA3NiIsImMiOjR9"/>
        <s v="https://app.powerbi.com/view?r=eyJrIjoiMWQ2ZGU5ZjMtZWIwZS00MDVjLWJmYmYtZWQxNWYwMWI3YjMxIiwidCI6IjhmYmFhNWJmLTJlY2MtNGRjOC1iNTZiLThmOTJlMzA3ZjA3NiIsImMiOjR9"/>
        <s v="https://app.powerbi.com/view?r=eyJrIjoiZTlhNjA2YzQtOTI5Ny00MDAxLWI0YzEtNzViYzgwNDZhY2ZlIiwidCI6IjhmYmFhNWJmLTJlY2MtNGRjOC1iNTZiLThmOTJlMzA3ZjA3NiIsImMiOjR9"/>
        <s v="https://app.powerbi.com/view?r=eyJrIjoiZmI4YzUwZWUtOTIyZi00ZDdkLTkyZDMtNDc5NzY3NDdlMzgzIiwidCI6IjhmYmFhNWJmLTJlY2MtNGRjOC1iNTZiLThmOTJlMzA3ZjA3NiIsImMiOjR9"/>
        <s v="https://app.powerbi.com/view?r=eyJrIjoiNzNjY2RiYmMtMjViYy00YjI3LTllYzktZmQwM2E0ZjkyOTI0IiwidCI6IjhmYmFhNWJmLTJlY2MtNGRjOC1iNTZiLThmOTJlMzA3ZjA3NiIsImMiOjR9"/>
        <s v="https://app.powerbi.com/view?r=eyJrIjoiNzdiMGUxMTAtMWEyZi00NzVkLTg5N2ItYzhkYTQzZWJjMWQ0IiwidCI6IjhmYmFhNWJmLTJlY2MtNGRjOC1iNTZiLThmOTJlMzA3ZjA3NiIsImMiOjR9"/>
        <s v="https://app.powerbi.com/view?r=eyJrIjoiYjI5YmYzYjAtYTk0Zi00MmFlLWFhM2MtNDljNTBlYjA5NWZiIiwidCI6IjhmYmFhNWJmLTJlY2MtNGRjOC1iNTZiLThmOTJlMzA3ZjA3NiIsImMiOjR9"/>
        <s v="https://app.powerbi.com/view?r=eyJrIjoiMmY5MGUzNWMtM2Q3Zi00YmRmLTg1MWQtNTMyNjkyYjIzZDIzIiwidCI6IjhmYmFhNWJmLTJlY2MtNGRjOC1iNTZiLThmOTJlMzA3ZjA3NiIsImMiOjR9"/>
        <s v="https://app.powerbi.com/view?r=eyJrIjoiOGViZjM0NDEtNzBjZC00YTUyLTk4N2EtYzZkM2NiNDRhNGRkIiwidCI6IjhmYmFhNWJmLTJlY2MtNGRjOC1iNTZiLThmOTJlMzA3ZjA3NiIsImMiOjR9"/>
        <s v="https://app.powerbi.com/view?r=eyJrIjoiYzY4N2NhZDQtZmZhMC00ODc3LTg3YWQtYmViY2NkMmUxZGE3IiwidCI6IjhmYmFhNWJmLTJlY2MtNGRjOC1iNTZiLThmOTJlMzA3ZjA3NiIsImMiOjR9"/>
        <s v="https://app.powerbi.com/view?r=eyJrIjoiNmRhZWE4NzktZThmMi00MjcyLThlZTYtMzIxODQzM2FlMWYxIiwidCI6IjhmYmFhNWJmLTJlY2MtNGRjOC1iNTZiLThmOTJlMzA3ZjA3NiIsImMiOjR9"/>
        <s v="https://app.powerbi.com/view?r=eyJrIjoiOWQwMzQ4NmUtMTRiOS00MWE5LWFiZDUtM2JlZTg5OGY3Njc3IiwidCI6IjhmYmFhNWJmLTJlY2MtNGRjOC1iNTZiLThmOTJlMzA3ZjA3NiIsImMiOjR9"/>
        <s v="https://app.powerbi.com/view?r=eyJrIjoiYmVmYjJhOWUtNTM1Mi00NTUwLWE1OGYtZjY0MTdlNzBmZjNjIiwidCI6IjhmYmFhNWJmLTJlY2MtNGRjOC1iNTZiLThmOTJlMzA3ZjA3NiIsImMiOjR9"/>
        <s v="https://analytics.zoho.com/open-view/2395394000008461061"/>
        <s v="https://analytics.zoho.com/open-view/2395394000008062255?ZOHO_CRITERIA=%22Directorio_Todo%22.%22Cod_Regi%C3%B3n%22%3D1"/>
        <s v="https://analytics.zoho.com/open-view/2395394000008062255?ZOHO_CRITERIA=%22Directorio_Todo%22.%22Cod_Regi%C3%B3n%22%3D2"/>
        <s v="https://analytics.zoho.com/open-view/2395394000008062255?ZOHO_CRITERIA=%22Directorio_Todo%22.%22Cod_Regi%C3%B3n%22%3D3"/>
        <s v="https://analytics.zoho.com/open-view/2395394000008062255?ZOHO_CRITERIA=%22Directorio_Todo%22.%22Cod_Regi%C3%B3n%22%3D4"/>
        <s v="https://analytics.zoho.com/open-view/2395394000008062255?ZOHO_CRITERIA=%22Directorio_Todo%22.%22Cod_Regi%C3%B3n%22%3D5"/>
        <s v="https://analytics.zoho.com/open-view/2395394000008062255?ZOHO_CRITERIA=%22Directorio_Todo%22.%22Cod_Regi%C3%B3n%22%3D6"/>
        <s v="https://analytics.zoho.com/open-view/2395394000008062255?ZOHO_CRITERIA=%22Directorio_Todo%22.%22Cod_Regi%C3%B3n%22%3D7"/>
        <s v="https://analytics.zoho.com/open-view/2395394000008062255?ZOHO_CRITERIA=%22Directorio_Todo%22.%22Cod_Regi%C3%B3n%22%3D8"/>
        <s v="https://analytics.zoho.com/open-view/2395394000008062255?ZOHO_CRITERIA=%22Directorio_Todo%22.%22Cod_Regi%C3%B3n%22%3D9"/>
        <s v="https://analytics.zoho.com/open-view/2395394000008062255?ZOHO_CRITERIA=%22Directorio_Todo%22.%22Cod_Regi%C3%B3n%22%3D10"/>
        <s v="https://analytics.zoho.com/open-view/2395394000008062255?ZOHO_CRITERIA=%22Directorio_Todo%22.%22Cod_Regi%C3%B3n%22%3D11"/>
        <s v="https://analytics.zoho.com/open-view/2395394000008062255?ZOHO_CRITERIA=%22Directorio_Todo%22.%22Cod_Regi%C3%B3n%22%3D12"/>
        <s v="https://analytics.zoho.com/open-view/2395394000008062255?ZOHO_CRITERIA=%22Directorio_Todo%22.%22Cod_Regi%C3%B3n%22%3D13"/>
        <s v="https://analytics.zoho.com/open-view/2395394000008062255?ZOHO_CRITERIA=%22Directorio_Todo%22.%22Cod_Regi%C3%B3n%22%3D14"/>
        <s v="https://analytics.zoho.com/open-view/2395394000008062255?ZOHO_CRITERIA=%22Directorio_Todo%22.%22Cod_Regi%C3%B3n%22%3D15"/>
        <s v="https://analytics.zoho.com/open-view/2395394000008062255?ZOHO_CRITERIA=%22Directorio_Todo%22.%22Cod_Regi%C3%B3n%22%3D16"/>
        <s v="https://analytics.zoho.com/open-view/2395394000008461297"/>
        <s v="https://analytics.zoho.com/open-view/2395394000008062434?ZOHO_CRITERIA=%22Directorio_Todo%22.%22Cod_Regi%C3%B3n%22%3D1"/>
        <s v="https://analytics.zoho.com/open-view/2395394000008062434?ZOHO_CRITERIA=%22Directorio_Todo%22.%22Cod_Regi%C3%B3n%22%3D2"/>
        <s v="https://analytics.zoho.com/open-view/2395394000008062434?ZOHO_CRITERIA=%22Directorio_Todo%22.%22Cod_Regi%C3%B3n%22%3D3"/>
        <s v="https://analytics.zoho.com/open-view/2395394000008062434?ZOHO_CRITERIA=%22Directorio_Todo%22.%22Cod_Regi%C3%B3n%22%3D4"/>
        <s v="https://analytics.zoho.com/open-view/2395394000008062434?ZOHO_CRITERIA=%22Directorio_Todo%22.%22Cod_Regi%C3%B3n%22%3D5"/>
        <s v="https://analytics.zoho.com/open-view/2395394000008062434?ZOHO_CRITERIA=%22Directorio_Todo%22.%22Cod_Regi%C3%B3n%22%3D6"/>
        <s v="https://analytics.zoho.com/open-view/2395394000008062434?ZOHO_CRITERIA=%22Directorio_Todo%22.%22Cod_Regi%C3%B3n%22%3D7"/>
        <s v="https://analytics.zoho.com/open-view/2395394000008062434?ZOHO_CRITERIA=%22Directorio_Todo%22.%22Cod_Regi%C3%B3n%22%3D8"/>
        <s v="https://analytics.zoho.com/open-view/2395394000008062434?ZOHO_CRITERIA=%22Directorio_Todo%22.%22Cod_Regi%C3%B3n%22%3D9"/>
        <s v="https://analytics.zoho.com/open-view/2395394000008062434?ZOHO_CRITERIA=%22Directorio_Todo%22.%22Cod_Regi%C3%B3n%22%3D10"/>
        <s v="https://analytics.zoho.com/open-view/2395394000008062434?ZOHO_CRITERIA=%22Directorio_Todo%22.%22Cod_Regi%C3%B3n%22%3D11"/>
        <s v="https://analytics.zoho.com/open-view/2395394000008062434?ZOHO_CRITERIA=%22Directorio_Todo%22.%22Cod_Regi%C3%B3n%22%3D12"/>
        <s v="https://analytics.zoho.com/open-view/2395394000008062434?ZOHO_CRITERIA=%22Directorio_Todo%22.%22Cod_Regi%C3%B3n%22%3D13"/>
        <s v="https://analytics.zoho.com/open-view/2395394000008062434?ZOHO_CRITERIA=%22Directorio_Todo%22.%22Cod_Regi%C3%B3n%22%3D14"/>
        <s v="https://analytics.zoho.com/open-view/2395394000008062434?ZOHO_CRITERIA=%22Directorio_Todo%22.%22Cod_Regi%C3%B3n%22%3D15"/>
        <s v="https://analytics.zoho.com/open-view/2395394000008062434?ZOHO_CRITERIA=%22Directorio_Todo%22.%22Cod_Regi%C3%B3n%22%3D16"/>
        <s v="https://analytics.zoho.com/open-view/2395394000008049492"/>
        <s v="https://analytics.zoho.com/open-view/2395394000008389806?ZOHO_CRITERIA=%22Localiza%20CL%22.%22Codreg%22%20%3D%201"/>
        <s v="https://analytics.zoho.com/open-view/2395394000008389806?ZOHO_CRITERIA=%22Localiza%20CL%22.%22Codreg%22%20%3D%202"/>
        <s v="https://analytics.zoho.com/open-view/2395394000008389806?ZOHO_CRITERIA=%22Localiza%20CL%22.%22Codreg%22%20%3D%203"/>
        <s v="https://analytics.zoho.com/open-view/2395394000008389806?ZOHO_CRITERIA=%22Localiza%20CL%22.%22Codreg%22%20%3D%204"/>
        <s v="https://analytics.zoho.com/open-view/2395394000008389806?ZOHO_CRITERIA=%22Localiza%20CL%22.%22Codreg%22%20%3D%205"/>
        <s v="https://analytics.zoho.com/open-view/2395394000008389806?ZOHO_CRITERIA=%22Localiza%20CL%22.%22Codreg%22%20%3D%206"/>
        <s v="https://analytics.zoho.com/open-view/2395394000008389806?ZOHO_CRITERIA=%22Localiza%20CL%22.%22Codreg%22%20%3D%207"/>
        <s v="https://analytics.zoho.com/open-view/2395394000008389806?ZOHO_CRITERIA=%22Localiza%20CL%22.%22Codreg%22%20%3D%208"/>
        <s v="https://analytics.zoho.com/open-view/2395394000008389806?ZOHO_CRITERIA=%22Localiza%20CL%22.%22Codreg%22%20%3D%209"/>
        <s v="https://analytics.zoho.com/open-view/2395394000008389806?ZOHO_CRITERIA=%22Localiza%20CL%22.%22Codreg%22%20%3D%2010"/>
        <s v="https://analytics.zoho.com/open-view/2395394000008389806?ZOHO_CRITERIA=%22Localiza%20CL%22.%22Codreg%22%20%3D%2011"/>
        <s v="https://analytics.zoho.com/open-view/2395394000008389806?ZOHO_CRITERIA=%22Localiza%20CL%22.%22Codreg%22%20%3D%2012"/>
        <s v="https://analytics.zoho.com/open-view/2395394000008389806?ZOHO_CRITERIA=%22Localiza%20CL%22.%22Codreg%22%20%3D%2013"/>
        <s v="https://analytics.zoho.com/open-view/2395394000008389806?ZOHO_CRITERIA=%22Localiza%20CL%22.%22Codreg%22%20%3D%2014"/>
        <s v="https://analytics.zoho.com/open-view/2395394000008389806?ZOHO_CRITERIA=%22Localiza%20CL%22.%22Codreg%22%20%3D%2015"/>
        <s v="https://analytics.zoho.com/open-view/2395394000008389806?ZOHO_CRITERIA=%22Localiza%20CL%22.%22Codreg%22%20%3D%2016"/>
        <s v="https://analytics.zoho.com/open-view/2395394000008049248"/>
        <s v="https://analytics.zoho.com/open-view/2395394000008049248?ZOHO_CRITERIA=%22Localiza%20CL%22.%22Codreg%22%20%3D%201"/>
        <s v="https://analytics.zoho.com/open-view/2395394000008049248?ZOHO_CRITERIA=%22Localiza%20CL%22.%22Codreg%22%20%3D%202"/>
        <s v="https://analytics.zoho.com/open-view/2395394000008049248?ZOHO_CRITERIA=%22Localiza%20CL%22.%22Codreg%22%20%3D%203"/>
        <s v="https://analytics.zoho.com/open-view/2395394000008049248?ZOHO_CRITERIA=%22Localiza%20CL%22.%22Codreg%22%20%3D%204"/>
        <s v="https://analytics.zoho.com/open-view/2395394000008049248?ZOHO_CRITERIA=%22Localiza%20CL%22.%22Codreg%22%20%3D%205"/>
        <s v="https://analytics.zoho.com/open-view/2395394000008049248?ZOHO_CRITERIA=%22Localiza%20CL%22.%22Codreg%22%20%3D%206"/>
        <s v="https://analytics.zoho.com/open-view/2395394000008049248?ZOHO_CRITERIA=%22Localiza%20CL%22.%22Codreg%22%20%3D%207"/>
        <s v="https://analytics.zoho.com/open-view/2395394000008049248?ZOHO_CRITERIA=%22Localiza%20CL%22.%22Codreg%22%20%3D%208"/>
        <s v="https://analytics.zoho.com/open-view/2395394000008049248?ZOHO_CRITERIA=%22Localiza%20CL%22.%22Codreg%22%20%3D%209"/>
        <s v="https://analytics.zoho.com/open-view/2395394000008049248?ZOHO_CRITERIA=%22Localiza%20CL%22.%22Codreg%22%20%3D%2010"/>
        <s v="https://analytics.zoho.com/open-view/2395394000008049248?ZOHO_CRITERIA=%22Localiza%20CL%22.%22Codreg%22%20%3D%2011"/>
        <s v="https://analytics.zoho.com/open-view/2395394000008049248?ZOHO_CRITERIA=%22Localiza%20CL%22.%22Codreg%22%20%3D%2012"/>
        <s v="https://analytics.zoho.com/open-view/2395394000008049248?ZOHO_CRITERIA=%22Localiza%20CL%22.%22Codreg%22%20%3D%2013"/>
        <s v="https://analytics.zoho.com/open-view/2395394000008049248?ZOHO_CRITERIA=%22Localiza%20CL%22.%22Codreg%22%20%3D%2014"/>
        <s v="https://analytics.zoho.com/open-view/2395394000008049248?ZOHO_CRITERIA=%22Localiza%20CL%22.%22Codreg%22%20%3D%2015"/>
        <s v="https://analytics.zoho.com/open-view/2395394000008049248?ZOHO_CRITERIA=%22Localiza%20CL%22.%22Codreg%22%20%3D%2016"/>
        <s v="https://analytics.zoho.com/open-view/2395394000008049343"/>
        <s v="https://analytics.zoho.com/open-view/2395394000008463151?ZOHO_CRITERIA=%22Localiza%20CL%22.%22Codreg%22%20%3D%201"/>
        <s v="https://analytics.zoho.com/open-view/2395394000008463151?ZOHO_CRITERIA=%22Localiza%20CL%22.%22Codreg%22%20%3D%202"/>
        <s v="https://analytics.zoho.com/open-view/2395394000008463151?ZOHO_CRITERIA=%22Localiza%20CL%22.%22Codreg%22%20%3D%203"/>
        <s v="https://analytics.zoho.com/open-view/2395394000008463151?ZOHO_CRITERIA=%22Localiza%20CL%22.%22Codreg%22%20%3D%204"/>
        <s v="https://analytics.zoho.com/open-view/2395394000008463151?ZOHO_CRITERIA=%22Localiza%20CL%22.%22Codreg%22%20%3D%205"/>
        <s v="https://analytics.zoho.com/open-view/2395394000008463151?ZOHO_CRITERIA=%22Localiza%20CL%22.%22Codreg%22%20%3D%206"/>
        <s v="https://analytics.zoho.com/open-view/2395394000008463151?ZOHO_CRITERIA=%22Localiza%20CL%22.%22Codreg%22%20%3D%207"/>
        <s v="https://analytics.zoho.com/open-view/2395394000008463151?ZOHO_CRITERIA=%22Localiza%20CL%22.%22Codreg%22%20%3D%208"/>
        <s v="https://analytics.zoho.com/open-view/2395394000008463151?ZOHO_CRITERIA=%22Localiza%20CL%22.%22Codreg%22%20%3D%209"/>
        <s v="https://analytics.zoho.com/open-view/2395394000008463151?ZOHO_CRITERIA=%22Localiza%20CL%22.%22Codreg%22%20%3D%2010"/>
        <s v="https://analytics.zoho.com/open-view/2395394000008463151?ZOHO_CRITERIA=%22Localiza%20CL%22.%22Codreg%22%20%3D%2011"/>
        <s v="https://analytics.zoho.com/open-view/2395394000008463151?ZOHO_CRITERIA=%22Localiza%20CL%22.%22Codreg%22%20%3D%2012"/>
        <s v="https://analytics.zoho.com/open-view/2395394000008463151?ZOHO_CRITERIA=%22Localiza%20CL%22.%22Codreg%22%20%3D%2013"/>
        <s v="https://analytics.zoho.com/open-view/2395394000008463151?ZOHO_CRITERIA=%22Localiza%20CL%22.%22Codreg%22%20%3D%2014"/>
        <s v="https://analytics.zoho.com/open-view/2395394000008463151?ZOHO_CRITERIA=%22Localiza%20CL%22.%22Codreg%22%20%3D%2015"/>
        <s v="https://analytics.zoho.com/open-view/2395394000008463151?ZOHO_CRITERIA=%22Localiza%20CL%22.%22Codreg%22%20%3D%2016"/>
        <s v="https://analytics.zoho.com/open-view/2395394000008046482"/>
        <s v="https://analytics.zoho.com/open-view/2395394000008464012?ZOHO_CRITERIA=%22Espacios_Culturales_Completo%201%22.%22C%C3%B3digo_Regi%C3%B3n%22%20%3D%201"/>
        <s v="https://analytics.zoho.com/open-view/2395394000008464012?ZOHO_CRITERIA=%22Espacios_Culturales_Completo%201%22.%22C%C3%B3digo_Regi%C3%B3n%22%20%3D%202"/>
        <s v="https://analytics.zoho.com/open-view/2395394000008464012?ZOHO_CRITERIA=%22Espacios_Culturales_Completo%201%22.%22C%C3%B3digo_Regi%C3%B3n%22%20%3D%203"/>
        <s v="https://analytics.zoho.com/open-view/2395394000008464012?ZOHO_CRITERIA=%22Espacios_Culturales_Completo%201%22.%22C%C3%B3digo_Regi%C3%B3n%22%20%3D%204"/>
        <s v="https://analytics.zoho.com/open-view/2395394000008464012?ZOHO_CRITERIA=%22Espacios_Culturales_Completo%201%22.%22C%C3%B3digo_Regi%C3%B3n%22%20%3D%205"/>
        <s v="https://analytics.zoho.com/open-view/2395394000008464012?ZOHO_CRITERIA=%22Espacios_Culturales_Completo%201%22.%22C%C3%B3digo_Regi%C3%B3n%22%20%3D%206"/>
        <s v="https://analytics.zoho.com/open-view/2395394000008464012?ZOHO_CRITERIA=%22Espacios_Culturales_Completo%201%22.%22C%C3%B3digo_Regi%C3%B3n%22%20%3D%207"/>
        <s v="https://analytics.zoho.com/open-view/2395394000008464012?ZOHO_CRITERIA=%22Espacios_Culturales_Completo%201%22.%22C%C3%B3digo_Regi%C3%B3n%22%20%3D%208"/>
        <s v="https://analytics.zoho.com/open-view/2395394000008464012?ZOHO_CRITERIA=%22Espacios_Culturales_Completo%201%22.%22C%C3%B3digo_Regi%C3%B3n%22%20%3D%209"/>
        <s v="https://analytics.zoho.com/open-view/2395394000008464012?ZOHO_CRITERIA=%22Espacios_Culturales_Completo%201%22.%22C%C3%B3digo_Regi%C3%B3n%22%20%3D%2010"/>
        <s v="https://analytics.zoho.com/open-view/2395394000008464012?ZOHO_CRITERIA=%22Espacios_Culturales_Completo%201%22.%22C%C3%B3digo_Regi%C3%B3n%22%20%3D%2011"/>
        <s v="https://analytics.zoho.com/open-view/2395394000008464012?ZOHO_CRITERIA=%22Espacios_Culturales_Completo%201%22.%22C%C3%B3digo_Regi%C3%B3n%22%20%3D%2012"/>
        <s v="https://analytics.zoho.com/open-view/2395394000008464012?ZOHO_CRITERIA=%22Espacios_Culturales_Completo%201%22.%22C%C3%B3digo_Regi%C3%B3n%22%20%3D%2013"/>
        <s v="https://analytics.zoho.com/open-view/2395394000008464012?ZOHO_CRITERIA=%22Espacios_Culturales_Completo%201%22.%22C%C3%B3digo_Regi%C3%B3n%22%20%3D%2014"/>
        <s v="https://analytics.zoho.com/open-view/2395394000008464012?ZOHO_CRITERIA=%22Espacios_Culturales_Completo%201%22.%22C%C3%B3digo_Regi%C3%B3n%22%20%3D%2015"/>
        <s v="https://analytics.zoho.com/open-view/2395394000008464012?ZOHO_CRITERIA=%22Espacios_Culturales_Completo%201%22.%22C%C3%B3digo_Regi%C3%B3n%22%20%3D%2016"/>
        <s v="https://analytics.zoho.com/open-view/2395394000008056809"/>
        <s v="https://analytics.zoho.com/open-view/2395394000008464140?ZOHO_CRITERIA=%22Espacios_Culturales_Completo%201%22.%22C%C3%B3digo_Regi%C3%B3n%22%20%3D%201"/>
        <s v="https://analytics.zoho.com/open-view/2395394000008464140?ZOHO_CRITERIA=%22Espacios_Culturales_Completo%201%22.%22C%C3%B3digo_Regi%C3%B3n%22%20%3D%202"/>
        <s v="https://analytics.zoho.com/open-view/2395394000008464140?ZOHO_CRITERIA=%22Espacios_Culturales_Completo%201%22.%22C%C3%B3digo_Regi%C3%B3n%22%20%3D%203"/>
        <s v="https://analytics.zoho.com/open-view/2395394000008464140?ZOHO_CRITERIA=%22Espacios_Culturales_Completo%201%22.%22C%C3%B3digo_Regi%C3%B3n%22%20%3D%204"/>
        <s v="https://analytics.zoho.com/open-view/2395394000008464140?ZOHO_CRITERIA=%22Espacios_Culturales_Completo%201%22.%22C%C3%B3digo_Regi%C3%B3n%22%20%3D%205"/>
        <s v="https://analytics.zoho.com/open-view/2395394000008464140?ZOHO_CRITERIA=%22Espacios_Culturales_Completo%201%22.%22C%C3%B3digo_Regi%C3%B3n%22%20%3D%206"/>
        <s v="https://analytics.zoho.com/open-view/2395394000008464140?ZOHO_CRITERIA=%22Espacios_Culturales_Completo%201%22.%22C%C3%B3digo_Regi%C3%B3n%22%20%3D%207"/>
        <s v="https://analytics.zoho.com/open-view/2395394000008464140?ZOHO_CRITERIA=%22Espacios_Culturales_Completo%201%22.%22C%C3%B3digo_Regi%C3%B3n%22%20%3D%208"/>
        <s v="https://analytics.zoho.com/open-view/2395394000008464140?ZOHO_CRITERIA=%22Espacios_Culturales_Completo%201%22.%22C%C3%B3digo_Regi%C3%B3n%22%20%3D%209"/>
        <s v="https://analytics.zoho.com/open-view/2395394000008464140?ZOHO_CRITERIA=%22Espacios_Culturales_Completo%201%22.%22C%C3%B3digo_Regi%C3%B3n%22%20%3D%2010"/>
        <s v="https://analytics.zoho.com/open-view/2395394000008464140?ZOHO_CRITERIA=%22Espacios_Culturales_Completo%201%22.%22C%C3%B3digo_Regi%C3%B3n%22%20%3D%2011"/>
        <s v="https://analytics.zoho.com/open-view/2395394000008464140?ZOHO_CRITERIA=%22Espacios_Culturales_Completo%201%22.%22C%C3%B3digo_Regi%C3%B3n%22%20%3D%2012"/>
        <s v="https://analytics.zoho.com/open-view/2395394000008464140?ZOHO_CRITERIA=%22Espacios_Culturales_Completo%201%22.%22C%C3%B3digo_Regi%C3%B3n%22%20%3D%2013"/>
        <s v="https://analytics.zoho.com/open-view/2395394000008464140?ZOHO_CRITERIA=%22Espacios_Culturales_Completo%201%22.%22C%C3%B3digo_Regi%C3%B3n%22%20%3D%2014"/>
        <s v="https://analytics.zoho.com/open-view/2395394000008464140?ZOHO_CRITERIA=%22Espacios_Culturales_Completo%201%22.%22C%C3%B3digo_Regi%C3%B3n%22%20%3D%2015"/>
        <s v="https://analytics.zoho.com/open-view/2395394000008464140?ZOHO_CRITERIA=%22Espacios_Culturales_Completo%201%22.%22C%C3%B3digo_Regi%C3%B3n%22%20%3D%2016"/>
        <s v="https://analytics.zoho.com/open-view/2395394000008056535"/>
        <s v="https://analytics.zoho.com/open-view/2395394000008464179?ZOHO_CRITERIA=%22Espacios_Culturales_Completo%201%22.%22C%C3%B3digo_Regi%C3%B3n%22%20%3D%201"/>
        <s v="https://analytics.zoho.com/open-view/2395394000008464179?ZOHO_CRITERIA=%22Espacios_Culturales_Completo%201%22.%22C%C3%B3digo_Regi%C3%B3n%22%20%3D%202"/>
        <s v="https://analytics.zoho.com/open-view/2395394000008464179?ZOHO_CRITERIA=%22Espacios_Culturales_Completo%201%22.%22C%C3%B3digo_Regi%C3%B3n%22%20%3D%203"/>
        <s v="https://analytics.zoho.com/open-view/2395394000008464179?ZOHO_CRITERIA=%22Espacios_Culturales_Completo%201%22.%22C%C3%B3digo_Regi%C3%B3n%22%20%3D%204"/>
        <s v="https://analytics.zoho.com/open-view/2395394000008464179?ZOHO_CRITERIA=%22Espacios_Culturales_Completo%201%22.%22C%C3%B3digo_Regi%C3%B3n%22%20%3D%205"/>
        <s v="https://analytics.zoho.com/open-view/2395394000008464179?ZOHO_CRITERIA=%22Espacios_Culturales_Completo%201%22.%22C%C3%B3digo_Regi%C3%B3n%22%20%3D%206"/>
        <s v="https://analytics.zoho.com/open-view/2395394000008464179?ZOHO_CRITERIA=%22Espacios_Culturales_Completo%201%22.%22C%C3%B3digo_Regi%C3%B3n%22%20%3D%207"/>
        <s v="https://analytics.zoho.com/open-view/2395394000008464179?ZOHO_CRITERIA=%22Espacios_Culturales_Completo%201%22.%22C%C3%B3digo_Regi%C3%B3n%22%20%3D%208"/>
        <s v="https://analytics.zoho.com/open-view/2395394000008464179?ZOHO_CRITERIA=%22Espacios_Culturales_Completo%201%22.%22C%C3%B3digo_Regi%C3%B3n%22%20%3D%209"/>
        <s v="https://analytics.zoho.com/open-view/2395394000008464179?ZOHO_CRITERIA=%22Espacios_Culturales_Completo%201%22.%22C%C3%B3digo_Regi%C3%B3n%22%20%3D%2010"/>
        <s v="https://analytics.zoho.com/open-view/2395394000008464179?ZOHO_CRITERIA=%22Espacios_Culturales_Completo%201%22.%22C%C3%B3digo_Regi%C3%B3n%22%20%3D%2011"/>
        <s v="https://analytics.zoho.com/open-view/2395394000008464179?ZOHO_CRITERIA=%22Espacios_Culturales_Completo%201%22.%22C%C3%B3digo_Regi%C3%B3n%22%20%3D%2012"/>
        <s v="https://analytics.zoho.com/open-view/2395394000008464179?ZOHO_CRITERIA=%22Espacios_Culturales_Completo%201%22.%22C%C3%B3digo_Regi%C3%B3n%22%20%3D%2013"/>
        <s v="https://analytics.zoho.com/open-view/2395394000008464179?ZOHO_CRITERIA=%22Espacios_Culturales_Completo%201%22.%22C%C3%B3digo_Regi%C3%B3n%22%20%3D%2014"/>
        <s v="https://analytics.zoho.com/open-view/2395394000008464179?ZOHO_CRITERIA=%22Espacios_Culturales_Completo%201%22.%22C%C3%B3digo_Regi%C3%B3n%22%20%3D%2015"/>
        <s v="https://analytics.zoho.com/open-view/2395394000008464179?ZOHO_CRITERIA=%22Espacios_Culturales_Completo%201%22.%22C%C3%B3digo_Regi%C3%B3n%22%20%3D%2016"/>
        <s v="https://analytics.zoho.com/open-view/2395394000008056334"/>
        <s v="https://analytics.zoho.com/open-view/2395394000008464286?ZOHO_CRITERIA=%22Espacios_Culturales_Completo%201%22.%22C%C3%B3digo_Regi%C3%B3n%22%20%3D%201"/>
        <s v="https://analytics.zoho.com/open-view/2395394000008464286?ZOHO_CRITERIA=%22Espacios_Culturales_Completo%201%22.%22C%C3%B3digo_Regi%C3%B3n%22%20%3D%202"/>
        <s v="https://analytics.zoho.com/open-view/2395394000008464286?ZOHO_CRITERIA=%22Espacios_Culturales_Completo%201%22.%22C%C3%B3digo_Regi%C3%B3n%22%20%3D%203"/>
        <s v="https://analytics.zoho.com/open-view/2395394000008464286?ZOHO_CRITERIA=%22Espacios_Culturales_Completo%201%22.%22C%C3%B3digo_Regi%C3%B3n%22%20%3D%204"/>
        <s v="https://analytics.zoho.com/open-view/2395394000008464286?ZOHO_CRITERIA=%22Espacios_Culturales_Completo%201%22.%22C%C3%B3digo_Regi%C3%B3n%22%20%3D%205"/>
        <s v="https://analytics.zoho.com/open-view/2395394000008464286?ZOHO_CRITERIA=%22Espacios_Culturales_Completo%201%22.%22C%C3%B3digo_Regi%C3%B3n%22%20%3D%206"/>
        <s v="https://analytics.zoho.com/open-view/2395394000008464286?ZOHO_CRITERIA=%22Espacios_Culturales_Completo%201%22.%22C%C3%B3digo_Regi%C3%B3n%22%20%3D%207"/>
        <s v="https://analytics.zoho.com/open-view/2395394000008464286?ZOHO_CRITERIA=%22Espacios_Culturales_Completo%201%22.%22C%C3%B3digo_Regi%C3%B3n%22%20%3D%208"/>
        <s v="https://analytics.zoho.com/open-view/2395394000008464286?ZOHO_CRITERIA=%22Espacios_Culturales_Completo%201%22.%22C%C3%B3digo_Regi%C3%B3n%22%20%3D%209"/>
        <s v="https://analytics.zoho.com/open-view/2395394000008464286?ZOHO_CRITERIA=%22Espacios_Culturales_Completo%201%22.%22C%C3%B3digo_Regi%C3%B3n%22%20%3D%2010"/>
        <s v="https://analytics.zoho.com/open-view/2395394000008464286?ZOHO_CRITERIA=%22Espacios_Culturales_Completo%201%22.%22C%C3%B3digo_Regi%C3%B3n%22%20%3D%2011"/>
        <s v="https://analytics.zoho.com/open-view/2395394000008464286?ZOHO_CRITERIA=%22Espacios_Culturales_Completo%201%22.%22C%C3%B3digo_Regi%C3%B3n%22%20%3D%2012"/>
        <s v="https://analytics.zoho.com/open-view/2395394000008464286?ZOHO_CRITERIA=%22Espacios_Culturales_Completo%201%22.%22C%C3%B3digo_Regi%C3%B3n%22%20%3D%2013"/>
        <s v="https://analytics.zoho.com/open-view/2395394000008464286?ZOHO_CRITERIA=%22Espacios_Culturales_Completo%201%22.%22C%C3%B3digo_Regi%C3%B3n%22%20%3D%2014"/>
        <s v="https://analytics.zoho.com/open-view/2395394000008464286?ZOHO_CRITERIA=%22Espacios_Culturales_Completo%201%22.%22C%C3%B3digo_Regi%C3%B3n%22%20%3D%2015"/>
        <s v="https://analytics.zoho.com/open-view/2395394000008464286?ZOHO_CRITERIA=%22Espacios_Culturales_Completo%201%22.%22C%C3%B3digo_Regi%C3%B3n%22%20%3D%2016"/>
        <s v="https://analytics.zoho.com/open-view/2395394000008056877"/>
        <s v="https://analytics.zoho.com/open-view/2395394000008464353?ZOHO_CRITERIA=%22Espacios_Culturales_Completo%201%22.%22C%C3%B3digo_Regi%C3%B3n%22%20%3D%201"/>
        <s v="https://analytics.zoho.com/open-view/2395394000008464353?ZOHO_CRITERIA=%22Espacios_Culturales_Completo%201%22.%22C%C3%B3digo_Regi%C3%B3n%22%20%3D%202"/>
        <s v="https://analytics.zoho.com/open-view/2395394000008464353?ZOHO_CRITERIA=%22Espacios_Culturales_Completo%201%22.%22C%C3%B3digo_Regi%C3%B3n%22%20%3D%203"/>
        <s v="https://analytics.zoho.com/open-view/2395394000008464353?ZOHO_CRITERIA=%22Espacios_Culturales_Completo%201%22.%22C%C3%B3digo_Regi%C3%B3n%22%20%3D%204"/>
        <s v="https://analytics.zoho.com/open-view/2395394000008464353?ZOHO_CRITERIA=%22Espacios_Culturales_Completo%201%22.%22C%C3%B3digo_Regi%C3%B3n%22%20%3D%205"/>
        <s v="https://analytics.zoho.com/open-view/2395394000008464353?ZOHO_CRITERIA=%22Espacios_Culturales_Completo%201%22.%22C%C3%B3digo_Regi%C3%B3n%22%20%3D%206"/>
        <s v="https://analytics.zoho.com/open-view/2395394000008464353?ZOHO_CRITERIA=%22Espacios_Culturales_Completo%201%22.%22C%C3%B3digo_Regi%C3%B3n%22%20%3D%207"/>
        <s v="https://analytics.zoho.com/open-view/2395394000008464353?ZOHO_CRITERIA=%22Espacios_Culturales_Completo%201%22.%22C%C3%B3digo_Regi%C3%B3n%22%20%3D%208"/>
        <s v="https://analytics.zoho.com/open-view/2395394000008464353?ZOHO_CRITERIA=%22Espacios_Culturales_Completo%201%22.%22C%C3%B3digo_Regi%C3%B3n%22%20%3D%209"/>
        <s v="https://analytics.zoho.com/open-view/2395394000008464353?ZOHO_CRITERIA=%22Espacios_Culturales_Completo%201%22.%22C%C3%B3digo_Regi%C3%B3n%22%20%3D%2010"/>
        <s v="https://analytics.zoho.com/open-view/2395394000008464353?ZOHO_CRITERIA=%22Espacios_Culturales_Completo%201%22.%22C%C3%B3digo_Regi%C3%B3n%22%20%3D%2011"/>
        <s v="https://analytics.zoho.com/open-view/2395394000008464353?ZOHO_CRITERIA=%22Espacios_Culturales_Completo%201%22.%22C%C3%B3digo_Regi%C3%B3n%22%20%3D%2012"/>
        <s v="https://analytics.zoho.com/open-view/2395394000008464353?ZOHO_CRITERIA=%22Espacios_Culturales_Completo%201%22.%22C%C3%B3digo_Regi%C3%B3n%22%20%3D%2013"/>
        <s v="https://analytics.zoho.com/open-view/2395394000008464353?ZOHO_CRITERIA=%22Espacios_Culturales_Completo%201%22.%22C%C3%B3digo_Regi%C3%B3n%22%20%3D%2014"/>
        <s v="https://analytics.zoho.com/open-view/2395394000008464353?ZOHO_CRITERIA=%22Espacios_Culturales_Completo%201%22.%22C%C3%B3digo_Regi%C3%B3n%22%20%3D%2015"/>
        <s v="https://analytics.zoho.com/open-view/2395394000008464353?ZOHO_CRITERIA=%22Espacios_Culturales_Completo%201%22.%22C%C3%B3digo_Regi%C3%B3n%22%20%3D%2016"/>
        <s v="https://analytics.zoho.com/open-view/2395394000008099175"/>
        <s v="https://analytics.zoho.com/open-view/2395394000008463005?ZOHO_CRITERIA=%22Localiza%20CL%22.%22Codreg%22%20%3D%201"/>
        <s v="https://analytics.zoho.com/open-view/2395394000008463005?ZOHO_CRITERIA=%22Localiza%20CL%22.%22Codreg%22%20%3D%202"/>
        <s v="https://analytics.zoho.com/open-view/2395394000008463005?ZOHO_CRITERIA=%22Localiza%20CL%22.%22Codreg%22%20%3D%203"/>
        <s v="https://analytics.zoho.com/open-view/2395394000008463005?ZOHO_CRITERIA=%22Localiza%20CL%22.%22Codreg%22%20%3D%204"/>
        <s v="https://analytics.zoho.com/open-view/2395394000008463005?ZOHO_CRITERIA=%22Localiza%20CL%22.%22Codreg%22%20%3D%205"/>
        <s v="https://analytics.zoho.com/open-view/2395394000008463005?ZOHO_CRITERIA=%22Localiza%20CL%22.%22Codreg%22%20%3D%206"/>
        <s v="https://analytics.zoho.com/open-view/2395394000008463005?ZOHO_CRITERIA=%22Localiza%20CL%22.%22Codreg%22%20%3D%207"/>
        <s v="https://analytics.zoho.com/open-view/2395394000008463005?ZOHO_CRITERIA=%22Localiza%20CL%22.%22Codreg%22%20%3D%208"/>
        <s v="https://analytics.zoho.com/open-view/2395394000008463005?ZOHO_CRITERIA=%22Localiza%20CL%22.%22Codreg%22%20%3D%209"/>
        <s v="https://analytics.zoho.com/open-view/2395394000008463005?ZOHO_CRITERIA=%22Localiza%20CL%22.%22Codreg%22%20%3D%2010"/>
        <s v="https://analytics.zoho.com/open-view/2395394000008463005?ZOHO_CRITERIA=%22Localiza%20CL%22.%22Codreg%22%20%3D%2011"/>
        <s v="https://analytics.zoho.com/open-view/2395394000008463005?ZOHO_CRITERIA=%22Localiza%20CL%22.%22Codreg%22%20%3D%2012"/>
        <s v="https://analytics.zoho.com/open-view/2395394000008463005?ZOHO_CRITERIA=%22Localiza%20CL%22.%22Codreg%22%20%3D%2013"/>
        <s v="https://analytics.zoho.com/open-view/2395394000008463005?ZOHO_CRITERIA=%22Localiza%20CL%22.%22Codreg%22%20%3D%2014"/>
        <s v="https://analytics.zoho.com/open-view/2395394000008463005?ZOHO_CRITERIA=%22Localiza%20CL%22.%22Codreg%22%20%3D%2015"/>
        <s v="https://analytics.zoho.com/open-view/2395394000008463005?ZOHO_CRITERIA=%22Localiza%20CL%22.%22Codreg%22%20%3D%2016"/>
        <s v="https://analytics.zoho.com/open-view/2395394000008099329"/>
        <s v="https://analytics.zoho.com/open-view/2395394000008099329?ZOHO_CRITERIA=%22Localiza%20CL%22.%22Codreg%22%20%3D%201"/>
        <s v="https://analytics.zoho.com/open-view/2395394000008099329?ZOHO_CRITERIA=%22Localiza%20CL%22.%22Codreg%22%20%3D%202"/>
        <s v="https://analytics.zoho.com/open-view/2395394000008099329?ZOHO_CRITERIA=%22Localiza%20CL%22.%22Codreg%22%20%3D%203"/>
        <s v="https://analytics.zoho.com/open-view/2395394000008099329?ZOHO_CRITERIA=%22Localiza%20CL%22.%22Codreg%22%20%3D%204"/>
        <s v="https://analytics.zoho.com/open-view/2395394000008099329?ZOHO_CRITERIA=%22Localiza%20CL%22.%22Codreg%22%20%3D%205"/>
        <s v="https://analytics.zoho.com/open-view/2395394000008099329?ZOHO_CRITERIA=%22Localiza%20CL%22.%22Codreg%22%20%3D%206"/>
        <s v="https://analytics.zoho.com/open-view/2395394000008099329?ZOHO_CRITERIA=%22Localiza%20CL%22.%22Codreg%22%20%3D%207"/>
        <s v="https://analytics.zoho.com/open-view/2395394000008099329?ZOHO_CRITERIA=%22Localiza%20CL%22.%22Codreg%22%20%3D%208"/>
        <s v="https://analytics.zoho.com/open-view/2395394000008099329?ZOHO_CRITERIA=%22Localiza%20CL%22.%22Codreg%22%20%3D%209"/>
        <s v="https://analytics.zoho.com/open-view/2395394000008099329?ZOHO_CRITERIA=%22Localiza%20CL%22.%22Codreg%22%20%3D%2010"/>
        <s v="https://analytics.zoho.com/open-view/2395394000008099329?ZOHO_CRITERIA=%22Localiza%20CL%22.%22Codreg%22%20%3D%2011"/>
        <s v="https://analytics.zoho.com/open-view/2395394000008099329?ZOHO_CRITERIA=%22Localiza%20CL%22.%22Codreg%22%20%3D%2012"/>
        <s v="https://analytics.zoho.com/open-view/2395394000008099329?ZOHO_CRITERIA=%22Localiza%20CL%22.%22Codreg%22%20%3D%2013"/>
        <s v="https://analytics.zoho.com/open-view/2395394000008099329?ZOHO_CRITERIA=%22Localiza%20CL%22.%22Codreg%22%20%3D%2014"/>
        <s v="https://analytics.zoho.com/open-view/2395394000008099329?ZOHO_CRITERIA=%22Localiza%20CL%22.%22Codreg%22%20%3D%2015"/>
        <s v="https://analytics.zoho.com/open-view/2395394000008099329?ZOHO_CRITERIA=%22Localiza%20CL%22.%22Codreg%22%20%3D%2016"/>
        <s v="https://analytics.zoho.com/open-view/2395394000008099475"/>
        <s v="https://analytics.zoho.com/open-view/2395394000008069848"/>
        <s v="https://analytics.zoho.com/open-view/2395394000008464535?ZOHO_CRITERIA=%22Localiza%20CL%22.%22Codreg%22%20%3D%201"/>
        <s v="https://analytics.zoho.com/open-view/2395394000008464535?ZOHO_CRITERIA=%22Localiza%20CL%22.%22Codreg%22%20%3D%202"/>
        <s v="https://analytics.zoho.com/open-view/2395394000008464535?ZOHO_CRITERIA=%22Localiza%20CL%22.%22Codreg%22%20%3D%203"/>
        <s v="https://analytics.zoho.com/open-view/2395394000008464535?ZOHO_CRITERIA=%22Localiza%20CL%22.%22Codreg%22%20%3D%204"/>
        <s v="https://analytics.zoho.com/open-view/2395394000008464535?ZOHO_CRITERIA=%22Localiza%20CL%22.%22Codreg%22%20%3D%205"/>
        <s v="https://analytics.zoho.com/open-view/2395394000008464535?ZOHO_CRITERIA=%22Localiza%20CL%22.%22Codreg%22%20%3D%206"/>
        <s v="https://analytics.zoho.com/open-view/2395394000008464535?ZOHO_CRITERIA=%22Localiza%20CL%22.%22Codreg%22%20%3D%207"/>
        <s v="https://analytics.zoho.com/open-view/2395394000008464535?ZOHO_CRITERIA=%22Localiza%20CL%22.%22Codreg%22%20%3D%208"/>
        <s v="https://analytics.zoho.com/open-view/2395394000008464535?ZOHO_CRITERIA=%22Localiza%20CL%22.%22Codreg%22%20%3D%209"/>
        <s v="https://analytics.zoho.com/open-view/2395394000008464535?ZOHO_CRITERIA=%22Localiza%20CL%22.%22Codreg%22%20%3D%2010"/>
        <s v="https://analytics.zoho.com/open-view/2395394000008464535?ZOHO_CRITERIA=%22Localiza%20CL%22.%22Codreg%22%20%3D%2011"/>
        <s v="https://analytics.zoho.com/open-view/2395394000008464535?ZOHO_CRITERIA=%22Localiza%20CL%22.%22Codreg%22%20%3D%2012"/>
        <s v="https://analytics.zoho.com/open-view/2395394000008464535?ZOHO_CRITERIA=%22Localiza%20CL%22.%22Codreg%22%20%3D%2013"/>
        <s v="https://analytics.zoho.com/open-view/2395394000008464535?ZOHO_CRITERIA=%22Localiza%20CL%22.%22Codreg%22%20%3D%2014"/>
        <s v="https://analytics.zoho.com/open-view/2395394000008464535?ZOHO_CRITERIA=%22Localiza%20CL%22.%22Codreg%22%20%3D%2015"/>
        <s v="https://analytics.zoho.com/open-view/2395394000008464535?ZOHO_CRITERIA=%22Localiza%20CL%22.%22Codreg%22%20%3D%2016"/>
        <s v="https://analytics.zoho.com/open-view/2395394000008230301"/>
        <s v="https://analytics.zoho.com/open-view/2395394000008516451?ZOHO_CRITERIA=%222.1%22.%22C%C3%B3digo%20Regi%C3%B3n%22%20%3D%201"/>
        <s v="https://analytics.zoho.com/open-view/2395394000008516451?ZOHO_CRITERIA=%222.1%22.%22C%C3%B3digo%20Regi%C3%B3n%22%20%3D%202"/>
        <s v="https://analytics.zoho.com/open-view/2395394000008516451?ZOHO_CRITERIA=%222.1%22.%22C%C3%B3digo%20Regi%C3%B3n%22%20%3D%203"/>
        <s v="https://analytics.zoho.com/open-view/2395394000008516451?ZOHO_CRITERIA=%222.1%22.%22C%C3%B3digo%20Regi%C3%B3n%22%20%3D%204"/>
        <s v="https://analytics.zoho.com/open-view/2395394000008516451?ZOHO_CRITERIA=%222.1%22.%22C%C3%B3digo%20Regi%C3%B3n%22%20%3D%205"/>
        <s v="https://analytics.zoho.com/open-view/2395394000008516451?ZOHO_CRITERIA=%222.1%22.%22C%C3%B3digo%20Regi%C3%B3n%22%20%3D%206"/>
        <s v="https://analytics.zoho.com/open-view/2395394000008516451?ZOHO_CRITERIA=%222.1%22.%22C%C3%B3digo%20Regi%C3%B3n%22%20%3D%207"/>
        <s v="https://analytics.zoho.com/open-view/2395394000008516451?ZOHO_CRITERIA=%222.1%22.%22C%C3%B3digo%20Regi%C3%B3n%22%20%3D%208"/>
        <s v="https://analytics.zoho.com/open-view/2395394000008516451?ZOHO_CRITERIA=%222.1%22.%22C%C3%B3digo%20Regi%C3%B3n%22%20%3D%209"/>
        <s v="https://analytics.zoho.com/open-view/2395394000008516451?ZOHO_CRITERIA=%222.1%22.%22C%C3%B3digo%20Regi%C3%B3n%22%20%3D%2010"/>
        <s v="https://analytics.zoho.com/open-view/2395394000008516451?ZOHO_CRITERIA=%222.1%22.%22C%C3%B3digo%20Regi%C3%B3n%22%20%3D%2011"/>
        <s v="https://analytics.zoho.com/open-view/2395394000008516451?ZOHO_CRITERIA=%222.1%22.%22C%C3%B3digo%20Regi%C3%B3n%22%20%3D%2012"/>
        <s v="https://analytics.zoho.com/open-view/2395394000008516451?ZOHO_CRITERIA=%222.1%22.%22C%C3%B3digo%20Regi%C3%B3n%22%20%3D%2013"/>
        <s v="https://analytics.zoho.com/open-view/2395394000008516451?ZOHO_CRITERIA=%222.1%22.%22C%C3%B3digo%20Regi%C3%B3n%22%20%3D%2014"/>
        <s v="https://analytics.zoho.com/open-view/2395394000008516451?ZOHO_CRITERIA=%222.1%22.%22C%C3%B3digo%20Regi%C3%B3n%22%20%3D%2015"/>
        <s v="https://analytics.zoho.com/open-view/2395394000008516451?ZOHO_CRITERIA=%222.1%22.%22C%C3%B3digo%20Regi%C3%B3n%22%20%3D%2016"/>
        <s v="https://analytics.zoho.com/open-view/2395394000008214196"/>
        <s v="https://analytics.zoho.com/open-view/2395394000008516065?ZOHO_CRITERIA=%222.1%22.%22C%C3%B3digo%20Regi%C3%B3n%22%20%3D%201"/>
        <s v="https://analytics.zoho.com/open-view/2395394000008516065?ZOHO_CRITERIA=%222.1%22.%22C%C3%B3digo%20Regi%C3%B3n%22%20%3D%202"/>
        <s v="https://analytics.zoho.com/open-view/2395394000008516065?ZOHO_CRITERIA=%222.1%22.%22C%C3%B3digo%20Regi%C3%B3n%22%20%3D%203"/>
        <s v="https://analytics.zoho.com/open-view/2395394000008516065?ZOHO_CRITERIA=%222.1%22.%22C%C3%B3digo%20Regi%C3%B3n%22%20%3D%204"/>
        <s v="https://analytics.zoho.com/open-view/2395394000008516065?ZOHO_CRITERIA=%222.1%22.%22C%C3%B3digo%20Regi%C3%B3n%22%20%3D%205"/>
        <s v="https://analytics.zoho.com/open-view/2395394000008516065?ZOHO_CRITERIA=%222.1%22.%22C%C3%B3digo%20Regi%C3%B3n%22%20%3D%206"/>
        <s v="https://analytics.zoho.com/open-view/2395394000008516065?ZOHO_CRITERIA=%222.1%22.%22C%C3%B3digo%20Regi%C3%B3n%22%20%3D%207"/>
        <s v="https://analytics.zoho.com/open-view/2395394000008516065?ZOHO_CRITERIA=%222.1%22.%22C%C3%B3digo%20Regi%C3%B3n%22%20%3D%208"/>
        <s v="https://analytics.zoho.com/open-view/2395394000008516065?ZOHO_CRITERIA=%222.1%22.%22C%C3%B3digo%20Regi%C3%B3n%22%20%3D%209"/>
        <s v="https://analytics.zoho.com/open-view/2395394000008516065?ZOHO_CRITERIA=%222.1%22.%22C%C3%B3digo%20Regi%C3%B3n%22%20%3D%2010"/>
        <s v="https://analytics.zoho.com/open-view/2395394000008516065?ZOHO_CRITERIA=%222.1%22.%22C%C3%B3digo%20Regi%C3%B3n%22%20%3D%2011"/>
        <s v="https://analytics.zoho.com/open-view/2395394000008516065?ZOHO_CRITERIA=%222.1%22.%22C%C3%B3digo%20Regi%C3%B3n%22%20%3D%2012"/>
        <s v="https://analytics.zoho.com/open-view/2395394000008516065?ZOHO_CRITERIA=%222.1%22.%22C%C3%B3digo%20Regi%C3%B3n%22%20%3D%2013"/>
        <s v="https://analytics.zoho.com/open-view/2395394000008516065?ZOHO_CRITERIA=%222.1%22.%22C%C3%B3digo%20Regi%C3%B3n%22%20%3D%2014"/>
        <s v="https://analytics.zoho.com/open-view/2395394000008516065?ZOHO_CRITERIA=%222.1%22.%22C%C3%B3digo%20Regi%C3%B3n%22%20%3D%2015"/>
        <s v="https://analytics.zoho.com/open-view/2395394000008516065?ZOHO_CRITERIA=%222.1%22.%22C%C3%B3digo%20Regi%C3%B3n%22%20%3D%2016"/>
        <s v="https://analytics.zoho.com/open-view/2395394000008214357"/>
        <s v="https://analytics.zoho.com/open-view/2395394000008516593?ZOHO_CRITERIA=%222.1%22.%22C%C3%B3digo%20Regi%C3%B3n%22%20%3D%201"/>
        <s v="https://analytics.zoho.com/open-view/2395394000008516593?ZOHO_CRITERIA=%222.1%22.%22C%C3%B3digo%20Regi%C3%B3n%22%20%3D%202"/>
        <s v="https://analytics.zoho.com/open-view/2395394000008516593?ZOHO_CRITERIA=%222.1%22.%22C%C3%B3digo%20Regi%C3%B3n%22%20%3D%203"/>
        <s v="https://analytics.zoho.com/open-view/2395394000008516593?ZOHO_CRITERIA=%222.1%22.%22C%C3%B3digo%20Regi%C3%B3n%22%20%3D%204"/>
        <s v="https://analytics.zoho.com/open-view/2395394000008516593?ZOHO_CRITERIA=%222.1%22.%22C%C3%B3digo%20Regi%C3%B3n%22%20%3D%205"/>
        <s v="https://analytics.zoho.com/open-view/2395394000008516593?ZOHO_CRITERIA=%222.1%22.%22C%C3%B3digo%20Regi%C3%B3n%22%20%3D%206"/>
        <s v="https://analytics.zoho.com/open-view/2395394000008516593?ZOHO_CRITERIA=%222.1%22.%22C%C3%B3digo%20Regi%C3%B3n%22%20%3D%207"/>
        <s v="https://analytics.zoho.com/open-view/2395394000008516593?ZOHO_CRITERIA=%222.1%22.%22C%C3%B3digo%20Regi%C3%B3n%22%20%3D%208"/>
        <s v="https://analytics.zoho.com/open-view/2395394000008516593?ZOHO_CRITERIA=%222.1%22.%22C%C3%B3digo%20Regi%C3%B3n%22%20%3D%209"/>
        <s v="https://analytics.zoho.com/open-view/2395394000008516593?ZOHO_CRITERIA=%222.1%22.%22C%C3%B3digo%20Regi%C3%B3n%22%20%3D%2010"/>
        <s v="https://analytics.zoho.com/open-view/2395394000008516593?ZOHO_CRITERIA=%222.1%22.%22C%C3%B3digo%20Regi%C3%B3n%22%20%3D%2011"/>
        <s v="https://analytics.zoho.com/open-view/2395394000008516593?ZOHO_CRITERIA=%222.1%22.%22C%C3%B3digo%20Regi%C3%B3n%22%20%3D%2012"/>
        <s v="https://analytics.zoho.com/open-view/2395394000008516593?ZOHO_CRITERIA=%222.1%22.%22C%C3%B3digo%20Regi%C3%B3n%22%20%3D%2013"/>
        <s v="https://analytics.zoho.com/open-view/2395394000008516593?ZOHO_CRITERIA=%222.1%22.%22C%C3%B3digo%20Regi%C3%B3n%22%20%3D%2014"/>
        <s v="https://analytics.zoho.com/open-view/2395394000008516593?ZOHO_CRITERIA=%222.1%22.%22C%C3%B3digo%20Regi%C3%B3n%22%20%3D%2015"/>
        <s v="https://analytics.zoho.com/open-view/2395394000008516593?ZOHO_CRITERIA=%222.1%22.%22C%C3%B3digo%20Regi%C3%B3n%22%20%3D%2016"/>
        <s v="https://analytics.zoho.com/open-view/2395394000008195644"/>
        <s v="https://analytics.zoho.com/open-view/2395394000008516001?ZOHO_CRITERIA=%2227.10%22.%22Id_Regi%C3%B3n%22%20%3D%201"/>
        <s v="https://analytics.zoho.com/open-view/2395394000008516001?ZOHO_CRITERIA=%2227.10%22.%22Id_Regi%C3%B3n%22%20%3D%202"/>
        <s v="https://analytics.zoho.com/open-view/2395394000008516001?ZOHO_CRITERIA=%2227.10%22.%22Id_Regi%C3%B3n%22%20%3D%203"/>
        <s v="https://analytics.zoho.com/open-view/2395394000008516001?ZOHO_CRITERIA=%2227.10%22.%22Id_Regi%C3%B3n%22%20%3D%204"/>
        <s v="https://analytics.zoho.com/open-view/2395394000008516001?ZOHO_CRITERIA=%2227.10%22.%22Id_Regi%C3%B3n%22%20%3D%205"/>
        <s v="https://analytics.zoho.com/open-view/2395394000008516001?ZOHO_CRITERIA=%2227.10%22.%22Id_Regi%C3%B3n%22%20%3D%206"/>
        <s v="https://analytics.zoho.com/open-view/2395394000008516001?ZOHO_CRITERIA=%2227.10%22.%22Id_Regi%C3%B3n%22%20%3D%207"/>
        <s v="https://analytics.zoho.com/open-view/2395394000008516001?ZOHO_CRITERIA=%2227.10%22.%22Id_Regi%C3%B3n%22%20%3D%208"/>
        <s v="https://analytics.zoho.com/open-view/2395394000008516001?ZOHO_CRITERIA=%2227.10%22.%22Id_Regi%C3%B3n%22%20%3D%209"/>
        <s v="https://analytics.zoho.com/open-view/2395394000008516001?ZOHO_CRITERIA=%2227.10%22.%22Id_Regi%C3%B3n%22%20%3D%2010"/>
        <s v="https://analytics.zoho.com/open-view/2395394000008516001?ZOHO_CRITERIA=%2227.10%22.%22Id_Regi%C3%B3n%22%20%3D%2011"/>
        <s v="https://analytics.zoho.com/open-view/2395394000008516001?ZOHO_CRITERIA=%2227.10%22.%22Id_Regi%C3%B3n%22%20%3D%2012"/>
        <s v="https://analytics.zoho.com/open-view/2395394000008516001?ZOHO_CRITERIA=%2227.10%22.%22Id_Regi%C3%B3n%22%20%3D%2013"/>
        <s v="https://analytics.zoho.com/open-view/2395394000008516001?ZOHO_CRITERIA=%2227.10%22.%22Id_Regi%C3%B3n%22%20%3D%2014"/>
        <s v="https://analytics.zoho.com/open-view/2395394000008516001?ZOHO_CRITERIA=%2227.10%22.%22Id_Regi%C3%B3n%22%20%3D%2015"/>
        <s v="https://analytics.zoho.com/open-view/2395394000008516001?ZOHO_CRITERIA=%2227.10%22.%22Id_Regi%C3%B3n%22%20%3D%2016"/>
        <s v="https://analytics.zoho.com/open-view/2395394000008214286"/>
        <s v="https://analytics.zoho.com/open-view/2395394000008516645?ZOHO_CRITERIA=%222.1%22.%22C%C3%B3digo%20Regi%C3%B3n%22%20%3D%201"/>
        <s v="https://analytics.zoho.com/open-view/2395394000008516645?ZOHO_CRITERIA=%222.1%22.%22C%C3%B3digo%20Regi%C3%B3n%22%20%3D%202"/>
        <s v="https://analytics.zoho.com/open-view/2395394000008516645?ZOHO_CRITERIA=%222.1%22.%22C%C3%B3digo%20Regi%C3%B3n%22%20%3D%203"/>
        <s v="https://analytics.zoho.com/open-view/2395394000008516645?ZOHO_CRITERIA=%222.1%22.%22C%C3%B3digo%20Regi%C3%B3n%22%20%3D%204"/>
        <s v="https://analytics.zoho.com/open-view/2395394000008516645?ZOHO_CRITERIA=%222.1%22.%22C%C3%B3digo%20Regi%C3%B3n%22%20%3D%205"/>
        <s v="https://analytics.zoho.com/open-view/2395394000008516645?ZOHO_CRITERIA=%222.1%22.%22C%C3%B3digo%20Regi%C3%B3n%22%20%3D%206"/>
        <s v="https://analytics.zoho.com/open-view/2395394000008516645?ZOHO_CRITERIA=%222.1%22.%22C%C3%B3digo%20Regi%C3%B3n%22%20%3D%207"/>
        <s v="https://analytics.zoho.com/open-view/2395394000008516645?ZOHO_CRITERIA=%222.1%22.%22C%C3%B3digo%20Regi%C3%B3n%22%20%3D%208"/>
        <s v="https://analytics.zoho.com/open-view/2395394000008516645?ZOHO_CRITERIA=%222.1%22.%22C%C3%B3digo%20Regi%C3%B3n%22%20%3D%209"/>
        <s v="https://analytics.zoho.com/open-view/2395394000008516645?ZOHO_CRITERIA=%222.1%22.%22C%C3%B3digo%20Regi%C3%B3n%22%20%3D%2010"/>
        <s v="https://analytics.zoho.com/open-view/2395394000008516645?ZOHO_CRITERIA=%222.1%22.%22C%C3%B3digo%20Regi%C3%B3n%22%20%3D%2011"/>
        <s v="https://analytics.zoho.com/open-view/2395394000008516645?ZOHO_CRITERIA=%222.1%22.%22C%C3%B3digo%20Regi%C3%B3n%22%20%3D%2012"/>
        <s v="https://analytics.zoho.com/open-view/2395394000008516645?ZOHO_CRITERIA=%222.1%22.%22C%C3%B3digo%20Regi%C3%B3n%22%20%3D%2013"/>
        <s v="https://analytics.zoho.com/open-view/2395394000008516645?ZOHO_CRITERIA=%222.1%22.%22C%C3%B3digo%20Regi%C3%B3n%22%20%3D%2014"/>
        <s v="https://analytics.zoho.com/open-view/2395394000008516645?ZOHO_CRITERIA=%222.1%22.%22C%C3%B3digo%20Regi%C3%B3n%22%20%3D%2015"/>
        <s v="https://analytics.zoho.com/open-view/2395394000008516645?ZOHO_CRITERIA=%222.1%22.%22C%C3%B3digo%20Regi%C3%B3n%22%20%3D%2016"/>
        <s v="https://analytics.zoho.com/open-view/2395394000008278466"/>
        <s v="https://analytics.zoho.com/open-view/2395394000008413090?ZOHO_CRITERIA=%228.3%20Licencias_conducir%22.%22Codreg%22%3D1"/>
        <s v="https://analytics.zoho.com/open-view/2395394000008413090?ZOHO_CRITERIA=%228.3%20Licencias_conducir%22.%22Codreg%22%3D2"/>
        <s v="https://analytics.zoho.com/open-view/2395394000008413090?ZOHO_CRITERIA=%228.3%20Licencias_conducir%22.%22Codreg%22%3D3"/>
        <s v="https://analytics.zoho.com/open-view/2395394000008413090?ZOHO_CRITERIA=%228.3%20Licencias_conducir%22.%22Codreg%22%3D4"/>
        <s v="https://analytics.zoho.com/open-view/2395394000008413090?ZOHO_CRITERIA=%228.3%20Licencias_conducir%22.%22Codreg%22%3D5"/>
        <s v="https://analytics.zoho.com/open-view/2395394000008413090?ZOHO_CRITERIA=%228.3%20Licencias_conducir%22.%22Codreg%22%3D6"/>
        <s v="https://analytics.zoho.com/open-view/2395394000008413090?ZOHO_CRITERIA=%228.3%20Licencias_conducir%22.%22Codreg%22%3D7"/>
        <s v="https://analytics.zoho.com/open-view/2395394000008413090?ZOHO_CRITERIA=%228.3%20Licencias_conducir%22.%22Codreg%22%3D8"/>
        <s v="https://analytics.zoho.com/open-view/2395394000008413090?ZOHO_CRITERIA=%228.3%20Licencias_conducir%22.%22Codreg%22%3D9"/>
        <s v="https://analytics.zoho.com/open-view/2395394000008413090?ZOHO_CRITERIA=%228.3%20Licencias_conducir%22.%22Codreg%22%3D10"/>
        <s v="https://analytics.zoho.com/open-view/2395394000008413090?ZOHO_CRITERIA=%228.3%20Licencias_conducir%22.%22Codreg%22%3D11"/>
        <s v="https://analytics.zoho.com/open-view/2395394000008413090?ZOHO_CRITERIA=%228.3%20Licencias_conducir%22.%22Codreg%22%3D12"/>
        <s v="https://analytics.zoho.com/open-view/2395394000008413090?ZOHO_CRITERIA=%228.3%20Licencias_conducir%22.%22Codreg%22%3D13"/>
        <s v="https://analytics.zoho.com/open-view/2395394000008413090?ZOHO_CRITERIA=%228.3%20Licencias_conducir%22.%22Codreg%22%3D14"/>
        <s v="https://analytics.zoho.com/open-view/2395394000008413090?ZOHO_CRITERIA=%228.3%20Licencias_conducir%22.%22Codreg%22%3D15"/>
        <s v="https://analytics.zoho.com/open-view/2395394000008413090?ZOHO_CRITERIA=%228.3%20Licencias_conducir%22.%22Codreg%22%3D16"/>
        <s v="https://analytics.zoho.com/open-view/2395394000008277077"/>
        <s v="https://analytics.zoho.com/open-view/2395394000008413133?ZOHO_CRITERIA=%228.1%20Permiso_circulaci%C3%B3n%22.%22Codreg%22%3D1"/>
        <s v="https://analytics.zoho.com/open-view/2395394000008413133?ZOHO_CRITERIA=%228.1%20Permiso_circulaci%C3%B3n%22.%22Codreg%22%3D2"/>
        <s v="https://analytics.zoho.com/open-view/2395394000008413133?ZOHO_CRITERIA=%228.1%20Permiso_circulaci%C3%B3n%22.%22Codreg%22%3D3"/>
        <s v="https://analytics.zoho.com/open-view/2395394000008413133?ZOHO_CRITERIA=%228.1%20Permiso_circulaci%C3%B3n%22.%22Codreg%22%3D4"/>
        <s v="https://analytics.zoho.com/open-view/2395394000008413133?ZOHO_CRITERIA=%228.1%20Permiso_circulaci%C3%B3n%22.%22Codreg%22%3D5"/>
        <s v="https://analytics.zoho.com/open-view/2395394000008413133?ZOHO_CRITERIA=%228.1%20Permiso_circulaci%C3%B3n%22.%22Codreg%22%3D6"/>
        <s v="https://analytics.zoho.com/open-view/2395394000008413133?ZOHO_CRITERIA=%228.1%20Permiso_circulaci%C3%B3n%22.%22Codreg%22%3D7"/>
        <s v="https://analytics.zoho.com/open-view/2395394000008413133?ZOHO_CRITERIA=%228.1%20Permiso_circulaci%C3%B3n%22.%22Codreg%22%3D8"/>
        <s v="https://analytics.zoho.com/open-view/2395394000008413133?ZOHO_CRITERIA=%228.1%20Permiso_circulaci%C3%B3n%22.%22Codreg%22%3D9"/>
        <s v="https://analytics.zoho.com/open-view/2395394000008413133?ZOHO_CRITERIA=%228.1%20Permiso_circulaci%C3%B3n%22.%22Codreg%22%3D10"/>
        <s v="https://analytics.zoho.com/open-view/2395394000008413133?ZOHO_CRITERIA=%228.1%20Permiso_circulaci%C3%B3n%22.%22Codreg%22%3D11"/>
        <s v="https://analytics.zoho.com/open-view/2395394000008413133?ZOHO_CRITERIA=%228.1%20Permiso_circulaci%C3%B3n%22.%22Codreg%22%3D12"/>
        <s v="https://analytics.zoho.com/open-view/2395394000008413133?ZOHO_CRITERIA=%228.1%20Permiso_circulaci%C3%B3n%22.%22Codreg%22%3D13"/>
        <s v="https://analytics.zoho.com/open-view/2395394000008413133?ZOHO_CRITERIA=%228.1%20Permiso_circulaci%C3%B3n%22.%22Codreg%22%3D14"/>
        <s v="https://analytics.zoho.com/open-view/2395394000008413133?ZOHO_CRITERIA=%228.1%20Permiso_circulaci%C3%B3n%22.%22Codreg%22%3D15"/>
        <s v="https://analytics.zoho.com/open-view/2395394000008413133?ZOHO_CRITERIA=%228.1%20Permiso_circulaci%C3%B3n%22.%22Codreg%22%3D16"/>
        <s v="https://analytics.zoho.com/open-view/2395394000008277863"/>
        <s v="https://analytics.zoho.com/open-view/2395394000008475578?ZOHO_CRITERIA=%228.3%20Licencias_conducir%22.%22Codreg%22%3D1"/>
        <s v="https://analytics.zoho.com/open-view/2395394000008475578?ZOHO_CRITERIA=%228.3%20Licencias_conducir%22.%22Codreg%22%3D2"/>
        <s v="https://analytics.zoho.com/open-view/2395394000008475578?ZOHO_CRITERIA=%228.3%20Licencias_conducir%22.%22Codreg%22%3D3"/>
        <s v="https://analytics.zoho.com/open-view/2395394000008475578?ZOHO_CRITERIA=%228.3%20Licencias_conducir%22.%22Codreg%22%3D4"/>
        <s v="https://analytics.zoho.com/open-view/2395394000008475578?ZOHO_CRITERIA=%228.3%20Licencias_conducir%22.%22Codreg%22%3D5"/>
        <s v="https://analytics.zoho.com/open-view/2395394000008475578?ZOHO_CRITERIA=%228.3%20Licencias_conducir%22.%22Codreg%22%3D6"/>
        <s v="https://analytics.zoho.com/open-view/2395394000008475578?ZOHO_CRITERIA=%228.3%20Licencias_conducir%22.%22Codreg%22%3D7"/>
        <s v="https://analytics.zoho.com/open-view/2395394000008475578?ZOHO_CRITERIA=%228.3%20Licencias_conducir%22.%22Codreg%22%3D8"/>
        <s v="https://analytics.zoho.com/open-view/2395394000008475578?ZOHO_CRITERIA=%228.3%20Licencias_conducir%22.%22Codreg%22%3D9"/>
        <s v="https://analytics.zoho.com/open-view/2395394000008475578?ZOHO_CRITERIA=%228.3%20Licencias_conducir%22.%22Codreg%22%3D10"/>
        <s v="https://analytics.zoho.com/open-view/2395394000008475578?ZOHO_CRITERIA=%228.3%20Licencias_conducir%22.%22Codreg%22%3D11"/>
        <s v="https://analytics.zoho.com/open-view/2395394000008475578?ZOHO_CRITERIA=%228.3%20Licencias_conducir%22.%22Codreg%22%3D12"/>
        <s v="https://analytics.zoho.com/open-view/2395394000008475578?ZOHO_CRITERIA=%228.3%20Licencias_conducir%22.%22Codreg%22%3D13"/>
        <s v="https://analytics.zoho.com/open-view/2395394000008475578?ZOHO_CRITERIA=%228.3%20Licencias_conducir%22.%22Codreg%22%3D14"/>
        <s v="https://analytics.zoho.com/open-view/2395394000008475578?ZOHO_CRITERIA=%228.3%20Licencias_conducir%22.%22Codreg%22%3D15"/>
        <s v="https://analytics.zoho.com/open-view/2395394000008475578?ZOHO_CRITERIA=%228.3%20Licencias_conducir%22.%22Codreg%22%3D16"/>
        <s v="https://analytics.zoho.com/open-view/2395394000008255577"/>
        <s v="https://analytics.zoho.com/open-view/2395394000008475310?ZOHO_CRITERIA=%228.1%20Permiso_circulaci%C3%B3n%22.%22Codreg%22%3D1"/>
        <s v="https://analytics.zoho.com/open-view/2395394000008475310?ZOHO_CRITERIA=%228.1%20Permiso_circulaci%C3%B3n%22.%22Codreg%22%3D2"/>
        <s v="https://analytics.zoho.com/open-view/2395394000008475310?ZOHO_CRITERIA=%228.1%20Permiso_circulaci%C3%B3n%22.%22Codreg%22%3D3"/>
        <s v="https://analytics.zoho.com/open-view/2395394000008475310?ZOHO_CRITERIA=%228.1%20Permiso_circulaci%C3%B3n%22.%22Codreg%22%3D4"/>
        <s v="https://analytics.zoho.com/open-view/2395394000008475310?ZOHO_CRITERIA=%228.1%20Permiso_circulaci%C3%B3n%22.%22Codreg%22%3D5"/>
        <s v="https://analytics.zoho.com/open-view/2395394000008475310?ZOHO_CRITERIA=%228.1%20Permiso_circulaci%C3%B3n%22.%22Codreg%22%3D6"/>
        <s v="https://analytics.zoho.com/open-view/2395394000008475310?ZOHO_CRITERIA=%228.1%20Permiso_circulaci%C3%B3n%22.%22Codreg%22%3D7"/>
        <s v="https://analytics.zoho.com/open-view/2395394000008475310?ZOHO_CRITERIA=%228.1%20Permiso_circulaci%C3%B3n%22.%22Codreg%22%3D8"/>
        <s v="https://analytics.zoho.com/open-view/2395394000008475310?ZOHO_CRITERIA=%228.1%20Permiso_circulaci%C3%B3n%22.%22Codreg%22%3D9"/>
        <s v="https://analytics.zoho.com/open-view/2395394000008475310?ZOHO_CRITERIA=%228.1%20Permiso_circulaci%C3%B3n%22.%22Codreg%22%3D10"/>
        <s v="https://analytics.zoho.com/open-view/2395394000008475310?ZOHO_CRITERIA=%228.1%20Permiso_circulaci%C3%B3n%22.%22Codreg%22%3D11"/>
        <s v="https://analytics.zoho.com/open-view/2395394000008475310?ZOHO_CRITERIA=%228.1%20Permiso_circulaci%C3%B3n%22.%22Codreg%22%3D12"/>
        <s v="https://analytics.zoho.com/open-view/2395394000008475310?ZOHO_CRITERIA=%228.1%20Permiso_circulaci%C3%B3n%22.%22Codreg%22%3D13"/>
        <s v="https://analytics.zoho.com/open-view/2395394000008475310?ZOHO_CRITERIA=%228.1%20Permiso_circulaci%C3%B3n%22.%22Codreg%22%3D14"/>
        <s v="https://analytics.zoho.com/open-view/2395394000008475310?ZOHO_CRITERIA=%228.1%20Permiso_circulaci%C3%B3n%22.%22Codreg%22%3D15"/>
        <s v="https://analytics.zoho.com/open-view/2395394000008475310?ZOHO_CRITERIA=%228.1%20Permiso_circulaci%C3%B3n%22.%22Codreg%22%3D16"/>
        <s v="https://analytics.zoho.com/open-view/2395394000008475464"/>
        <s v="https://analytics.zoho.com/open-view/2395394000008413167?ZOHO_CRITERIA=%228.3%20Licencias_conducir%22.%22Codreg%22%3D1"/>
        <s v="https://analytics.zoho.com/open-view/2395394000008413167?ZOHO_CRITERIA=%228.3%20Licencias_conducir%22.%22Codreg%22%3D2"/>
        <s v="https://analytics.zoho.com/open-view/2395394000008413167?ZOHO_CRITERIA=%228.3%20Licencias_conducir%22.%22Codreg%22%3D3"/>
        <s v="https://analytics.zoho.com/open-view/2395394000008413167?ZOHO_CRITERIA=%228.3%20Licencias_conducir%22.%22Codreg%22%3D4"/>
        <s v="https://analytics.zoho.com/open-view/2395394000008413167?ZOHO_CRITERIA=%228.3%20Licencias_conducir%22.%22Codreg%22%3D5"/>
        <s v="https://analytics.zoho.com/open-view/2395394000008413167?ZOHO_CRITERIA=%228.3%20Licencias_conducir%22.%22Codreg%22%3D6"/>
        <s v="https://analytics.zoho.com/open-view/2395394000008413167?ZOHO_CRITERIA=%228.3%20Licencias_conducir%22.%22Codreg%22%3D7"/>
        <s v="https://analytics.zoho.com/open-view/2395394000008413167?ZOHO_CRITERIA=%228.3%20Licencias_conducir%22.%22Codreg%22%3D8"/>
        <s v="https://analytics.zoho.com/open-view/2395394000008413167?ZOHO_CRITERIA=%228.3%20Licencias_conducir%22.%22Codreg%22%3D9"/>
        <s v="https://analytics.zoho.com/open-view/2395394000008413167?ZOHO_CRITERIA=%228.3%20Licencias_conducir%22.%22Codreg%22%3D10"/>
        <s v="https://analytics.zoho.com/open-view/2395394000008413167?ZOHO_CRITERIA=%228.3%20Licencias_conducir%22.%22Codreg%22%3D11"/>
        <s v="https://analytics.zoho.com/open-view/2395394000008413167?ZOHO_CRITERIA=%228.3%20Licencias_conducir%22.%22Codreg%22%3D12"/>
        <s v="https://analytics.zoho.com/open-view/2395394000008413167?ZOHO_CRITERIA=%228.3%20Licencias_conducir%22.%22Codreg%22%3D13"/>
        <s v="https://analytics.zoho.com/open-view/2395394000008413167?ZOHO_CRITERIA=%228.3%20Licencias_conducir%22.%22Codreg%22%3D14"/>
        <s v="https://analytics.zoho.com/open-view/2395394000008413167?ZOHO_CRITERIA=%228.3%20Licencias_conducir%22.%22Codreg%22%3D15"/>
        <s v="https://analytics.zoho.com/open-view/2395394000008413167?ZOHO_CRITERIA=%228.3%20Licencias_conducir%22.%22Codreg%22%3D16"/>
        <s v="https://analytics.zoho.com/open-view/2395394000008257880"/>
        <s v="https://analytics.zoho.com/open-view/2395394000008478582?ZOHO_CRITERIA=%2216%20Energ%C3%ADas%20Renovables%20y%20No%20Renovables%22.%22Cod_Regi%C3%B3n%22%20%3D%201"/>
        <s v="https://analytics.zoho.com/open-view/2395394000008478582?ZOHO_CRITERIA=%2216%20Energ%C3%ADas%20Renovables%20y%20No%20Renovables%22.%22Cod_Regi%C3%B3n%22%20%3D%202"/>
        <s v="https://analytics.zoho.com/open-view/2395394000008478582?ZOHO_CRITERIA=%2216%20Energ%C3%ADas%20Renovables%20y%20No%20Renovables%22.%22Cod_Regi%C3%B3n%22%20%3D%203"/>
        <s v="https://analytics.zoho.com/open-view/2395394000008478582?ZOHO_CRITERIA=%2216%20Energ%C3%ADas%20Renovables%20y%20No%20Renovables%22.%22Cod_Regi%C3%B3n%22%20%3D%204"/>
        <s v="https://analytics.zoho.com/open-view/2395394000008478582?ZOHO_CRITERIA=%2216%20Energ%C3%ADas%20Renovables%20y%20No%20Renovables%22.%22Cod_Regi%C3%B3n%22%20%3D%205"/>
        <s v="https://analytics.zoho.com/open-view/2395394000008478582?ZOHO_CRITERIA=%2216%20Energ%C3%ADas%20Renovables%20y%20No%20Renovables%22.%22Cod_Regi%C3%B3n%22%20%3D%206"/>
        <s v="https://analytics.zoho.com/open-view/2395394000008478582?ZOHO_CRITERIA=%2216%20Energ%C3%ADas%20Renovables%20y%20No%20Renovables%22.%22Cod_Regi%C3%B3n%22%20%3D%207"/>
        <s v="https://analytics.zoho.com/open-view/2395394000008478582?ZOHO_CRITERIA=%2216%20Energ%C3%ADas%20Renovables%20y%20No%20Renovables%22.%22Cod_Regi%C3%B3n%22%20%3D%208"/>
        <s v="https://analytics.zoho.com/open-view/2395394000008478582?ZOHO_CRITERIA=%2216%20Energ%C3%ADas%20Renovables%20y%20No%20Renovables%22.%22Cod_Regi%C3%B3n%22%20%3D%209"/>
        <s v="https://analytics.zoho.com/open-view/2395394000008478582?ZOHO_CRITERIA=%2216%20Energ%C3%ADas%20Renovables%20y%20No%20Renovables%22.%22Cod_Regi%C3%B3n%22%20%3D%2010"/>
        <s v="https://analytics.zoho.com/open-view/2395394000008478582?ZOHO_CRITERIA=%2216%20Energ%C3%ADas%20Renovables%20y%20No%20Renovables%22.%22Cod_Regi%C3%B3n%22%20%3D%2011"/>
        <s v="https://analytics.zoho.com/open-view/2395394000008478582?ZOHO_CRITERIA=%2216%20Energ%C3%ADas%20Renovables%20y%20No%20Renovables%22.%22Cod_Regi%C3%B3n%22%20%3D%2012"/>
        <s v="https://analytics.zoho.com/open-view/2395394000008478582?ZOHO_CRITERIA=%2216%20Energ%C3%ADas%20Renovables%20y%20No%20Renovables%22.%22Cod_Regi%C3%B3n%22%20%3D%2013"/>
        <s v="https://analytics.zoho.com/open-view/2395394000008478582?ZOHO_CRITERIA=%2216%20Energ%C3%ADas%20Renovables%20y%20No%20Renovables%22.%22Cod_Regi%C3%B3n%22%20%3D%2014"/>
        <s v="https://analytics.zoho.com/open-view/2395394000008478582?ZOHO_CRITERIA=%2216%20Energ%C3%ADas%20Renovables%20y%20No%20Renovables%22.%22Cod_Regi%C3%B3n%22%20%3D%2015"/>
        <s v="https://analytics.zoho.com/open-view/2395394000008478582?ZOHO_CRITERIA=%2216%20Energ%C3%ADas%20Renovables%20y%20No%20Renovables%22.%22Cod_Regi%C3%B3n%22%20%3D%2016"/>
        <s v="https://analytics.zoho.com/open-view/2395394000008280544"/>
        <s v="https://analytics.zoho.com/open-view/2395394000008280397"/>
        <s v="https://analytics.zoho.com/open-view/2395394000008478954"/>
        <s v="https://analytics.zoho.com/open-view/2395394000008492075?ZOHO_CRITERIA=%2216%20Energ%C3%ADas%20Renovables%20y%20No%20Renovables%22.%22Cod_Regi%C3%B3n%22%20%3D%201"/>
        <s v="https://analytics.zoho.com/open-view/2395394000008492075?ZOHO_CRITERIA=%2216%20Energ%C3%ADas%20Renovables%20y%20No%20Renovables%22.%22Cod_Regi%C3%B3n%22%20%3D%202"/>
        <s v="https://analytics.zoho.com/open-view/2395394000008492075?ZOHO_CRITERIA=%2216%20Energ%C3%ADas%20Renovables%20y%20No%20Renovables%22.%22Cod_Regi%C3%B3n%22%20%3D%203"/>
        <s v="https://analytics.zoho.com/open-view/2395394000008492075?ZOHO_CRITERIA=%2216%20Energ%C3%ADas%20Renovables%20y%20No%20Renovables%22.%22Cod_Regi%C3%B3n%22%20%3D%204"/>
        <s v="https://analytics.zoho.com/open-view/2395394000008492075?ZOHO_CRITERIA=%2216%20Energ%C3%ADas%20Renovables%20y%20No%20Renovables%22.%22Cod_Regi%C3%B3n%22%20%3D%205"/>
        <s v="https://analytics.zoho.com/open-view/2395394000008492075?ZOHO_CRITERIA=%2216%20Energ%C3%ADas%20Renovables%20y%20No%20Renovables%22.%22Cod_Regi%C3%B3n%22%20%3D%206"/>
        <s v="https://analytics.zoho.com/open-view/2395394000008492075?ZOHO_CRITERIA=%2216%20Energ%C3%ADas%20Renovables%20y%20No%20Renovables%22.%22Cod_Regi%C3%B3n%22%20%3D%207"/>
        <s v="https://analytics.zoho.com/open-view/2395394000008492075?ZOHO_CRITERIA=%2216%20Energ%C3%ADas%20Renovables%20y%20No%20Renovables%22.%22Cod_Regi%C3%B3n%22%20%3D%208"/>
        <s v="https://analytics.zoho.com/open-view/2395394000008492075?ZOHO_CRITERIA=%2216%20Energ%C3%ADas%20Renovables%20y%20No%20Renovables%22.%22Cod_Regi%C3%B3n%22%20%3D%209"/>
        <s v="https://analytics.zoho.com/open-view/2395394000008492075?ZOHO_CRITERIA=%2216%20Energ%C3%ADas%20Renovables%20y%20No%20Renovables%22.%22Cod_Regi%C3%B3n%22%20%3D%2010"/>
        <s v="https://analytics.zoho.com/open-view/2395394000008492075?ZOHO_CRITERIA=%2216%20Energ%C3%ADas%20Renovables%20y%20No%20Renovables%22.%22Cod_Regi%C3%B3n%22%20%3D%2011"/>
        <s v="https://analytics.zoho.com/open-view/2395394000008492075?ZOHO_CRITERIA=%2216%20Energ%C3%ADas%20Renovables%20y%20No%20Renovables%22.%22Cod_Regi%C3%B3n%22%20%3D%2012"/>
        <s v="https://analytics.zoho.com/open-view/2395394000008492075?ZOHO_CRITERIA=%2216%20Energ%C3%ADas%20Renovables%20y%20No%20Renovables%22.%22Cod_Regi%C3%B3n%22%20%3D%2013"/>
        <s v="https://analytics.zoho.com/open-view/2395394000008492075?ZOHO_CRITERIA=%2216%20Energ%C3%ADas%20Renovables%20y%20No%20Renovables%22.%22Cod_Regi%C3%B3n%22%20%3D%2014"/>
        <s v="https://analytics.zoho.com/open-view/2395394000008492075?ZOHO_CRITERIA=%2216%20Energ%C3%ADas%20Renovables%20y%20No%20Renovables%22.%22Cod_Regi%C3%B3n%22%20%3D%2015"/>
        <s v="https://analytics.zoho.com/open-view/2395394000008492075?ZOHO_CRITERIA=%2216%20Energ%C3%ADas%20Renovables%20y%20No%20Renovables%22.%22Cod_Regi%C3%B3n%22%20%3D%2016"/>
        <s v="https://analytics.zoho.com/open-view/2395394000008280219"/>
        <s v="https://analytics.zoho.com/open-view/2395394000008421316"/>
        <s v="https://analytics.zoho.com/open-view/2395394000008421106"/>
        <s v="https://analytics.zoho.com/open-view/2395394000008421956 "/>
        <s v="https://analytics.zoho.com/open-view/2395394000008516725?ZOHO_CRITERIA=%22Localiza%20CL%22.%22Codreg%22%20%3D%201"/>
        <s v="https://analytics.zoho.com/open-view/2395394000008516725?ZOHO_CRITERIA=%22Localiza%20CL%22.%22Codreg%22%20%3D%202"/>
        <s v="https://analytics.zoho.com/open-view/2395394000008516725?ZOHO_CRITERIA=%22Localiza%20CL%22.%22Codreg%22%20%3D%203"/>
        <s v="https://analytics.zoho.com/open-view/2395394000008516725?ZOHO_CRITERIA=%22Localiza%20CL%22.%22Codreg%22%20%3D%204"/>
        <s v="https://analytics.zoho.com/open-view/2395394000008516725?ZOHO_CRITERIA=%22Localiza%20CL%22.%22Codreg%22%20%3D%205"/>
        <s v="https://analytics.zoho.com/open-view/2395394000008516725?ZOHO_CRITERIA=%22Localiza%20CL%22.%22Codreg%22%20%3D%206"/>
        <s v="https://analytics.zoho.com/open-view/2395394000008516725?ZOHO_CRITERIA=%22Localiza%20CL%22.%22Codreg%22%20%3D%207"/>
        <s v="https://analytics.zoho.com/open-view/2395394000008516725?ZOHO_CRITERIA=%22Localiza%20CL%22.%22Codreg%22%20%3D%208"/>
        <s v="https://analytics.zoho.com/open-view/2395394000008516725?ZOHO_CRITERIA=%22Localiza%20CL%22.%22Codreg%22%20%3D%209"/>
        <s v="https://analytics.zoho.com/open-view/2395394000008516725?ZOHO_CRITERIA=%22Localiza%20CL%22.%22Codreg%22%20%3D%2010"/>
        <s v="https://analytics.zoho.com/open-view/2395394000008516725?ZOHO_CRITERIA=%22Localiza%20CL%22.%22Codreg%22%20%3D%2011"/>
        <s v="https://analytics.zoho.com/open-view/2395394000008516725?ZOHO_CRITERIA=%22Localiza%20CL%22.%22Codreg%22%20%3D%2012"/>
        <s v="https://analytics.zoho.com/open-view/2395394000008516725?ZOHO_CRITERIA=%22Localiza%20CL%22.%22Codreg%22%20%3D%2013"/>
        <s v="https://analytics.zoho.com/open-view/2395394000008516725?ZOHO_CRITERIA=%22Localiza%20CL%22.%22Codreg%22%20%3D%2014"/>
        <s v="https://analytics.zoho.com/open-view/2395394000008516725?ZOHO_CRITERIA=%22Localiza%20CL%22.%22Codreg%22%20%3D%2016"/>
        <s v="https://analytics.zoho.com/open-view/2395394000008421914"/>
        <s v="https://analytics.zoho.com/open-view/2395394000008410521?ZOHO_CRITERIA=%22Pa%C3%ADs_Todo%22.%22id_TipoProducto%22%3D7"/>
        <s v="https://analytics.zoho.com/open-view/2395394000008172059"/>
        <s v="https://analytics.zoho.com/open-view/2395394000008189310"/>
        <s v="https://analytics.zoho.com/open-view/2395394000008189214"/>
        <s v="https://analytics.zoho.com/open-view/2395394000008461682?ZOHO_CRITERIA=%221.1%20Lugar_Salida_Entrada%22.%22C%C3%B3digo%20Regi%C3%B3n%22%3D1"/>
        <s v="https://analytics.zoho.com/open-view/2395394000008461682?ZOHO_CRITERIA=%221.1%20Lugar_Salida_Entrada%22.%22C%C3%B3digo%20Regi%C3%B3n%22%3D2"/>
        <s v="https://analytics.zoho.com/open-view/2395394000008461682?ZOHO_CRITERIA=%221.1%20Lugar_Salida_Entrada%22.%22C%C3%B3digo%20Regi%C3%B3n%22%3D3"/>
        <s v="https://analytics.zoho.com/open-view/2395394000008461682?ZOHO_CRITERIA=%221.1%20Lugar_Salida_Entrada%22.%22C%C3%B3digo%20Regi%C3%B3n%22%3D4"/>
        <s v="https://analytics.zoho.com/open-view/2395394000008461682?ZOHO_CRITERIA=%221.1%20Lugar_Salida_Entrada%22.%22C%C3%B3digo%20Regi%C3%B3n%22%3D5"/>
        <s v="https://analytics.zoho.com/open-view/2395394000008461682?ZOHO_CRITERIA=%221.1%20Lugar_Salida_Entrada%22.%22C%C3%B3digo%20Regi%C3%B3n%22%3D6"/>
        <s v="https://analytics.zoho.com/open-view/2395394000008461682?ZOHO_CRITERIA=%221.1%20Lugar_Salida_Entrada%22.%22C%C3%B3digo%20Regi%C3%B3n%22%3D7"/>
        <s v="https://analytics.zoho.com/open-view/2395394000008461682?ZOHO_CRITERIA=%221.1%20Lugar_Salida_Entrada%22.%22C%C3%B3digo%20Regi%C3%B3n%22%3D8"/>
        <s v="https://analytics.zoho.com/open-view/2395394000008461682?ZOHO_CRITERIA=%221.1%20Lugar_Salida_Entrada%22.%22C%C3%B3digo%20Regi%C3%B3n%22%3D9"/>
        <s v="https://analytics.zoho.com/open-view/2395394000008461682?ZOHO_CRITERIA=%221.1%20Lugar_Salida_Entrada%22.%22C%C3%B3digo%20Regi%C3%B3n%22%3D10"/>
        <s v="https://analytics.zoho.com/open-view/2395394000008461682?ZOHO_CRITERIA=%221.1%20Lugar_Salida_Entrada%22.%22C%C3%B3digo%20Regi%C3%B3n%22%3D11"/>
        <s v="https://analytics.zoho.com/open-view/2395394000008461682?ZOHO_CRITERIA=%221.1%20Lugar_Salida_Entrada%22.%22C%C3%B3digo%20Regi%C3%B3n%22%3D12"/>
        <s v="https://analytics.zoho.com/open-view/2395394000008461682?ZOHO_CRITERIA=%221.1%20Lugar_Salida_Entrada%22.%22C%C3%B3digo%20Regi%C3%B3n%22%3D13"/>
        <s v="https://analytics.zoho.com/open-view/2395394000008461682?ZOHO_CRITERIA=%221.1%20Lugar_Salida_Entrada%22.%22C%C3%B3digo%20Regi%C3%B3n%22%3D14"/>
        <s v="https://analytics.zoho.com/open-view/2395394000008461682?ZOHO_CRITERIA=%221.1%20Lugar_Salida_Entrada%22.%22C%C3%B3digo%20Regi%C3%B3n%22%3D15"/>
        <s v="https://analytics.zoho.com/open-view/2395394000008461828"/>
        <s v="https://analytics.zoho.com/open-view/2395394000008189059?ZOHO_CRITERIA=%221.1%20Lugar_Salida_Entrada%22.%22C%C3%B3digo%20Regi%C3%B3n%22%3D1"/>
        <s v="https://analytics.zoho.com/open-view/2395394000008189059?ZOHO_CRITERIA=%221.1%20Lugar_Salida_Entrada%22.%22C%C3%B3digo%20Regi%C3%B3n%22%3D2"/>
        <s v="https://analytics.zoho.com/open-view/2395394000008189059?ZOHO_CRITERIA=%221.1%20Lugar_Salida_Entrada%22.%22C%C3%B3digo%20Regi%C3%B3n%22%3D3"/>
        <s v="https://analytics.zoho.com/open-view/2395394000008189059?ZOHO_CRITERIA=%221.1%20Lugar_Salida_Entrada%22.%22C%C3%B3digo%20Regi%C3%B3n%22%3D4"/>
        <s v="https://analytics.zoho.com/open-view/2395394000008189059?ZOHO_CRITERIA=%221.1%20Lugar_Salida_Entrada%22.%22C%C3%B3digo%20Regi%C3%B3n%22%3D5"/>
        <s v="https://analytics.zoho.com/open-view/2395394000008189059?ZOHO_CRITERIA=%221.1%20Lugar_Salida_Entrada%22.%22C%C3%B3digo%20Regi%C3%B3n%22%3D6"/>
        <s v="https://analytics.zoho.com/open-view/2395394000008189059?ZOHO_CRITERIA=%221.1%20Lugar_Salida_Entrada%22.%22C%C3%B3digo%20Regi%C3%B3n%22%3D7"/>
        <s v="https://analytics.zoho.com/open-view/2395394000008189059?ZOHO_CRITERIA=%221.1%20Lugar_Salida_Entrada%22.%22C%C3%B3digo%20Regi%C3%B3n%22%3D8"/>
        <s v="https://analytics.zoho.com/open-view/2395394000008189059?ZOHO_CRITERIA=%221.1%20Lugar_Salida_Entrada%22.%22C%C3%B3digo%20Regi%C3%B3n%22%3D9"/>
        <s v="https://analytics.zoho.com/open-view/2395394000008189059?ZOHO_CRITERIA=%221.1%20Lugar_Salida_Entrada%22.%22C%C3%B3digo%20Regi%C3%B3n%22%3D10"/>
        <s v="https://analytics.zoho.com/open-view/2395394000008189059?ZOHO_CRITERIA=%221.1%20Lugar_Salida_Entrada%22.%22C%C3%B3digo%20Regi%C3%B3n%22%3D11"/>
        <s v="https://analytics.zoho.com/open-view/2395394000008189059?ZOHO_CRITERIA=%221.1%20Lugar_Salida_Entrada%22.%22C%C3%B3digo%20Regi%C3%B3n%22%3D12"/>
        <s v="https://analytics.zoho.com/open-view/2395394000008189059?ZOHO_CRITERIA=%221.1%20Lugar_Salida_Entrada%22.%22C%C3%B3digo%20Regi%C3%B3n%22%3D13"/>
        <s v="https://analytics.zoho.com/open-view/2395394000008189059?ZOHO_CRITERIA=%221.1%20Lugar_Salida_Entrada%22.%22C%C3%B3digo%20Regi%C3%B3n%22%3D14"/>
        <s v="https://analytics.zoho.com/open-view/2395394000008189059?ZOHO_CRITERIA=%221.1%20Lugar_Salida_Entrada%22.%22C%C3%B3digo%20Regi%C3%B3n%22%3D15"/>
        <s v="https://analytics.zoho.com/open-view/2395394000008554040"/>
        <s v="https://analytics.zoho.com/open-view/2395394000008189846"/>
        <s v="https://analytics.zoho.com/open-view/2395394000008532260?ZOHO_CRITERIA=%221.1%20Lugar_Salida_Entrada%22.%22C%C3%B3digo%20Regi%C3%B3n%22%3D1"/>
        <s v="https://analytics.zoho.com/open-view/2395394000008532260?ZOHO_CRITERIA=%221.1%20Lugar_Salida_Entrada%22.%22C%C3%B3digo%20Regi%C3%B3n%22%3D2"/>
        <s v="https://analytics.zoho.com/open-view/2395394000008532260?ZOHO_CRITERIA=%221.1%20Lugar_Salida_Entrada%22.%22C%C3%B3digo%20Regi%C3%B3n%22%3D3"/>
        <s v="https://analytics.zoho.com/open-view/2395394000008532260?ZOHO_CRITERIA=%221.1%20Lugar_Salida_Entrada%22.%22C%C3%B3digo%20Regi%C3%B3n%22%3D4"/>
        <s v="https://analytics.zoho.com/open-view/2395394000008532260?ZOHO_CRITERIA=%221.1%20Lugar_Salida_Entrada%22.%22C%C3%B3digo%20Regi%C3%B3n%22%3D5"/>
        <s v="https://analytics.zoho.com/open-view/2395394000008532260?ZOHO_CRITERIA=%221.1%20Lugar_Salida_Entrada%22.%22C%C3%B3digo%20Regi%C3%B3n%22%3D6"/>
        <s v="https://analytics.zoho.com/open-view/2395394000008532260?ZOHO_CRITERIA=%221.1%20Lugar_Salida_Entrada%22.%22C%C3%B3digo%20Regi%C3%B3n%22%3D7"/>
        <s v="https://analytics.zoho.com/open-view/2395394000008532260?ZOHO_CRITERIA=%221.1%20Lugar_Salida_Entrada%22.%22C%C3%B3digo%20Regi%C3%B3n%22%3D8"/>
        <s v="https://analytics.zoho.com/open-view/2395394000008532260?ZOHO_CRITERIA=%221.1%20Lugar_Salida_Entrada%22.%22C%C3%B3digo%20Regi%C3%B3n%22%3D9"/>
        <s v="https://analytics.zoho.com/open-view/2395394000008532260?ZOHO_CRITERIA=%221.1%20Lugar_Salida_Entrada%22.%22C%C3%B3digo%20Regi%C3%B3n%22%3D10"/>
        <s v="https://analytics.zoho.com/open-view/2395394000008532260?ZOHO_CRITERIA=%221.1%20Lugar_Salida_Entrada%22.%22C%C3%B3digo%20Regi%C3%B3n%22%3D11"/>
        <s v="https://analytics.zoho.com/open-view/2395394000008532260?ZOHO_CRITERIA=%221.1%20Lugar_Salida_Entrada%22.%22C%C3%B3digo%20Regi%C3%B3n%22%3D12"/>
        <s v="https://analytics.zoho.com/open-view/2395394000008532260?ZOHO_CRITERIA=%221.1%20Lugar_Salida_Entrada%22.%22C%C3%B3digo%20Regi%C3%B3n%22%3D13"/>
        <s v="https://analytics.zoho.com/open-view/2395394000008532260?ZOHO_CRITERIA=%221.1%20Lugar_Salida_Entrada%22.%22C%C3%B3digo%20Regi%C3%B3n%22%3D14"/>
        <s v="https://analytics.zoho.com/open-view/2395394000008532260?ZOHO_CRITERIA=%221.1%20Lugar_Salida_Entrada%22.%22C%C3%B3digo%20Regi%C3%B3n%22%3D15"/>
        <s v="https://analytics.zoho.com/open-view/2395394000008083407"/>
        <s v="https://analytics.zoho.com/open-view/2395394000008464607?ZOHO_CRITERIA=%22Localiza%20CL%22.%22Codreg%22%20%3D%201"/>
        <s v="https://analytics.zoho.com/open-view/2395394000008464607?ZOHO_CRITERIA=%22Localiza%20CL%22.%22Codreg%22%20%3D%202"/>
        <s v="https://analytics.zoho.com/open-view/2395394000008464607?ZOHO_CRITERIA=%22Localiza%20CL%22.%22Codreg%22%20%3D%203"/>
        <s v="https://analytics.zoho.com/open-view/2395394000008464607?ZOHO_CRITERIA=%22Localiza%20CL%22.%22Codreg%22%20%3D%204"/>
        <s v="https://analytics.zoho.com/open-view/2395394000008464607?ZOHO_CRITERIA=%22Localiza%20CL%22.%22Codreg%22%20%3D%205"/>
        <s v="https://analytics.zoho.com/open-view/2395394000008464607?ZOHO_CRITERIA=%22Localiza%20CL%22.%22Codreg%22%20%3D%206"/>
        <s v="https://analytics.zoho.com/open-view/2395394000008464607?ZOHO_CRITERIA=%22Localiza%20CL%22.%22Codreg%22%20%3D%207"/>
        <s v="https://analytics.zoho.com/open-view/2395394000008464607?ZOHO_CRITERIA=%22Localiza%20CL%22.%22Codreg%22%20%3D%208"/>
        <s v="https://analytics.zoho.com/open-view/2395394000008464607?ZOHO_CRITERIA=%22Localiza%20CL%22.%22Codreg%22%20%3D%209"/>
        <s v="https://analytics.zoho.com/open-view/2395394000008464607?ZOHO_CRITERIA=%22Localiza%20CL%22.%22Codreg%22%20%3D%2010"/>
        <s v="https://analytics.zoho.com/open-view/2395394000008464607?ZOHO_CRITERIA=%22Localiza%20CL%22.%22Codreg%22%20%3D%2011"/>
        <s v="https://analytics.zoho.com/open-view/2395394000008464607?ZOHO_CRITERIA=%22Localiza%20CL%22.%22Codreg%22%20%3D%2012"/>
        <s v="https://analytics.zoho.com/open-view/2395394000008464607?ZOHO_CRITERIA=%22Localiza%20CL%22.%22Codreg%22%20%3D%2013"/>
        <s v="https://analytics.zoho.com/open-view/2395394000008464607?ZOHO_CRITERIA=%22Localiza%20CL%22.%22Codreg%22%20%3D%2014"/>
        <s v="https://analytics.zoho.com/open-view/2395394000008464607?ZOHO_CRITERIA=%22Localiza%20CL%22.%22Codreg%22%20%3D%2015"/>
        <s v="https://analytics.zoho.com/open-view/2395394000008464607?ZOHO_CRITERIA=%22Localiza%20CL%22.%22Codreg%22%20%3D%2016"/>
        <s v="https://analytics.zoho.com/open-view/2395394000008183410"/>
        <s v="https://analytics.zoho.com/open-view/2395394000008464727?ZOHO_CRITERIA=%22Localiza%20CL%22.%22Codreg%22%20%3D%201"/>
        <s v="https://analytics.zoho.com/open-view/2395394000008464727?ZOHO_CRITERIA=%22Localiza%20CL%22.%22Codreg%22%20%3D%202"/>
        <s v="https://analytics.zoho.com/open-view/2395394000008464727?ZOHO_CRITERIA=%22Localiza%20CL%22.%22Codreg%22%20%3D%203"/>
        <s v="https://analytics.zoho.com/open-view/2395394000008464727?ZOHO_CRITERIA=%22Localiza%20CL%22.%22Codreg%22%20%3D%204"/>
        <s v="https://analytics.zoho.com/open-view/2395394000008464727?ZOHO_CRITERIA=%22Localiza%20CL%22.%22Codreg%22%20%3D%205"/>
        <s v="https://analytics.zoho.com/open-view/2395394000008464727?ZOHO_CRITERIA=%22Localiza%20CL%22.%22Codreg%22%20%3D%206"/>
        <s v="https://analytics.zoho.com/open-view/2395394000008464727?ZOHO_CRITERIA=%22Localiza%20CL%22.%22Codreg%22%20%3D%207"/>
        <s v="https://analytics.zoho.com/open-view/2395394000008464727?ZOHO_CRITERIA=%22Localiza%20CL%22.%22Codreg%22%20%3D%208"/>
        <s v="https://analytics.zoho.com/open-view/2395394000008464727?ZOHO_CRITERIA=%22Localiza%20CL%22.%22Codreg%22%20%3D%209"/>
        <s v="https://analytics.zoho.com/open-view/2395394000008464727?ZOHO_CRITERIA=%22Localiza%20CL%22.%22Codreg%22%20%3D%2010"/>
        <s v="https://analytics.zoho.com/open-view/2395394000008464727?ZOHO_CRITERIA=%22Localiza%20CL%22.%22Codreg%22%20%3D%2011"/>
        <s v="https://analytics.zoho.com/open-view/2395394000008464727?ZOHO_CRITERIA=%22Localiza%20CL%22.%22Codreg%22%20%3D%2012"/>
        <s v="https://analytics.zoho.com/open-view/2395394000008464727?ZOHO_CRITERIA=%22Localiza%20CL%22.%22Codreg%22%20%3D%2013"/>
        <s v="https://analytics.zoho.com/open-view/2395394000008464727?ZOHO_CRITERIA=%22Localiza%20CL%22.%22Codreg%22%20%3D%2014"/>
        <s v="https://analytics.zoho.com/open-view/2395394000008464727?ZOHO_CRITERIA=%22Localiza%20CL%22.%22Codreg%22%20%3D%2015"/>
        <s v="https://analytics.zoho.com/open-view/2395394000008464727?ZOHO_CRITERIA=%22Localiza%20CL%22.%22Codreg%22%20%3D%2016"/>
        <s v="https://analytics.zoho.com/open-view/2395394000008069731"/>
        <s v="https://analytics.zoho.com/open-view/2395394000008478003?ZOHO_CRITERIA=%22Localiza%20CL%22.%22Codreg%22%20%3D%201"/>
        <s v="https://analytics.zoho.com/open-view/2395394000008478003?ZOHO_CRITERIA=%22Localiza%20CL%22.%22Codreg%22%20%3D%202"/>
        <s v="https://analytics.zoho.com/open-view/2395394000008478003?ZOHO_CRITERIA=%22Localiza%20CL%22.%22Codreg%22%20%3D%203"/>
        <s v="https://analytics.zoho.com/open-view/2395394000008478003?ZOHO_CRITERIA=%22Localiza%20CL%22.%22Codreg%22%20%3D%204"/>
        <s v="https://analytics.zoho.com/open-view/2395394000008478003?ZOHO_CRITERIA=%22Localiza%20CL%22.%22Codreg%22%20%3D%205"/>
        <s v="https://analytics.zoho.com/open-view/2395394000008478003?ZOHO_CRITERIA=%22Localiza%20CL%22.%22Codreg%22%20%3D%206"/>
        <s v="https://analytics.zoho.com/open-view/2395394000008478003?ZOHO_CRITERIA=%22Localiza%20CL%22.%22Codreg%22%20%3D%207"/>
        <s v="https://analytics.zoho.com/open-view/2395394000008478003?ZOHO_CRITERIA=%22Localiza%20CL%22.%22Codreg%22%20%3D%208"/>
        <s v="https://analytics.zoho.com/open-view/2395394000008478003?ZOHO_CRITERIA=%22Localiza%20CL%22.%22Codreg%22%20%3D%209"/>
        <s v="https://analytics.zoho.com/open-view/2395394000008478003?ZOHO_CRITERIA=%22Localiza%20CL%22.%22Codreg%22%20%3D%2010"/>
        <s v="https://analytics.zoho.com/open-view/2395394000008478003?ZOHO_CRITERIA=%22Localiza%20CL%22.%22Codreg%22%20%3D%2011"/>
        <s v="https://analytics.zoho.com/open-view/2395394000008478003?ZOHO_CRITERIA=%22Localiza%20CL%22.%22Codreg%22%20%3D%2012"/>
        <s v="https://analytics.zoho.com/open-view/2395394000008478003?ZOHO_CRITERIA=%22Localiza%20CL%22.%22Codreg%22%20%3D%2013"/>
        <s v="https://analytics.zoho.com/open-view/2395394000008478003?ZOHO_CRITERIA=%22Localiza%20CL%22.%22Codreg%22%20%3D%2014"/>
        <s v="https://analytics.zoho.com/open-view/2395394000008478003?ZOHO_CRITERIA=%22Localiza%20CL%22.%22Codreg%22%20%3D%2015"/>
        <s v="https://analytics.zoho.com/open-view/2395394000008478003?ZOHO_CRITERIA=%22Localiza%20CL%22.%22Codreg%22%20%3D%2016"/>
        <s v="https://analytics.zoho.com/open-view/2395394000007274123"/>
        <s v="https://analytics.zoho.com/open-view/2395394000007277131"/>
        <s v="https://analytics.zoho.com/open-view/2395394000008496666"/>
        <s v="https://analytics.zoho.com/open-view/2395394000008502284?ZOHO_CRITERIA=%22Localiza%20Chile%22.%22Codreg%22%3D1"/>
        <s v="https://analytics.zoho.com/open-view/2395394000008502284?ZOHO_CRITERIA=%22Localiza%20Chile%22.%22Codreg%22%3D2"/>
        <s v="https://analytics.zoho.com/open-view/2395394000008502284?ZOHO_CRITERIA=%22Localiza%20Chile%22.%22Codreg%22%3D3"/>
        <s v="https://analytics.zoho.com/open-view/2395394000008502284?ZOHO_CRITERIA=%22Localiza%20Chile%22.%22Codreg%22%3D4"/>
        <s v="https://analytics.zoho.com/open-view/2395394000008502284?ZOHO_CRITERIA=%22Localiza%20Chile%22.%22Codreg%22%3D5"/>
        <s v="https://analytics.zoho.com/open-view/2395394000008502284?ZOHO_CRITERIA=%22Localiza%20Chile%22.%22Codreg%22%3D6"/>
        <s v="https://analytics.zoho.com/open-view/2395394000008502284?ZOHO_CRITERIA=%22Localiza%20Chile%22.%22Codreg%22%3D7"/>
        <s v="https://analytics.zoho.com/open-view/2395394000008502284?ZOHO_CRITERIA=%22Localiza%20Chile%22.%22Codreg%22%3D8"/>
        <s v="https://analytics.zoho.com/open-view/2395394000008502284?ZOHO_CRITERIA=%22Localiza%20Chile%22.%22Codreg%22%3D9"/>
        <s v="https://analytics.zoho.com/open-view/2395394000008502284?ZOHO_CRITERIA=%22Localiza%20Chile%22.%22Codreg%22%3D10"/>
        <s v="https://analytics.zoho.com/open-view/2395394000008502284?ZOHO_CRITERIA=%22Localiza%20Chile%22.%22Codreg%22%3D11"/>
        <s v="https://analytics.zoho.com/open-view/2395394000008502284?ZOHO_CRITERIA=%22Localiza%20Chile%22.%22Codreg%22%3D12"/>
        <s v="https://analytics.zoho.com/open-view/2395394000008502284?ZOHO_CRITERIA=%22Localiza%20Chile%22.%22Codreg%22%3D13"/>
        <s v="https://analytics.zoho.com/open-view/2395394000008502284?ZOHO_CRITERIA=%22Localiza%20Chile%22.%22Codreg%22%3D14"/>
        <s v="https://analytics.zoho.com/open-view/2395394000008502284?ZOHO_CRITERIA=%22Localiza%20Chile%22.%22Codreg%22%3D15"/>
        <s v="https://analytics.zoho.com/open-view/2395394000008502284?ZOHO_CRITERIA=%22Localiza%20Chile%22.%22Codreg%22%3D16"/>
        <s v="https://analytics.zoho.com/open-view/2395394000008435350"/>
        <s v="https://analytics.zoho.com/open-view/2395394000008438417"/>
        <s v="https://analytics.zoho.com/open-view/2395394000008435500?ZOHO_CRITERIA=%22Conexi%C3%B3n_Internet_fija%22.%22Codreg%22%3D1"/>
        <s v="https://analytics.zoho.com/open-view/2395394000008435500?ZOHO_CRITERIA=%22Conexi%C3%B3n_Internet_fija%22.%22Codreg%22%3D2"/>
        <s v="https://analytics.zoho.com/open-view/2395394000008435500?ZOHO_CRITERIA=%22Conexi%C3%B3n_Internet_fija%22.%22Codreg%22%3D3"/>
        <s v="https://analytics.zoho.com/open-view/2395394000008435500?ZOHO_CRITERIA=%22Conexi%C3%B3n_Internet_fija%22.%22Codreg%22%3D4"/>
        <s v="https://analytics.zoho.com/open-view/2395394000008435500?ZOHO_CRITERIA=%22Conexi%C3%B3n_Internet_fija%22.%22Codreg%22%3D5"/>
        <s v="https://analytics.zoho.com/open-view/2395394000008435500?ZOHO_CRITERIA=%22Conexi%C3%B3n_Internet_fija%22.%22Codreg%22%3D6"/>
        <s v="https://analytics.zoho.com/open-view/2395394000008435500?ZOHO_CRITERIA=%22Conexi%C3%B3n_Internet_fija%22.%22Codreg%22%3D7"/>
        <s v="https://analytics.zoho.com/open-view/2395394000008435500?ZOHO_CRITERIA=%22Conexi%C3%B3n_Internet_fija%22.%22Codreg%22%3D8"/>
        <s v="https://analytics.zoho.com/open-view/2395394000008435500?ZOHO_CRITERIA=%22Conexi%C3%B3n_Internet_fija%22.%22Codreg%22%3D9"/>
        <s v="https://analytics.zoho.com/open-view/2395394000008435500?ZOHO_CRITERIA=%22Conexi%C3%B3n_Internet_fija%22.%22Codreg%22%3D10"/>
        <s v="https://analytics.zoho.com/open-view/2395394000008435500?ZOHO_CRITERIA=%22Conexi%C3%B3n_Internet_fija%22.%22Codreg%22%3D11"/>
        <s v="https://analytics.zoho.com/open-view/2395394000008435500?ZOHO_CRITERIA=%22Conexi%C3%B3n_Internet_fija%22.%22Codreg%22%3D12"/>
        <s v="https://analytics.zoho.com/open-view/2395394000008435500?ZOHO_CRITERIA=%22Conexi%C3%B3n_Internet_fija%22.%22Codreg%22%3D13"/>
        <s v="https://analytics.zoho.com/open-view/2395394000008435500?ZOHO_CRITERIA=%22Conexi%C3%B3n_Internet_fija%22.%22Codreg%22%3D14"/>
        <s v="https://analytics.zoho.com/open-view/2395394000008435500?ZOHO_CRITERIA=%22Conexi%C3%B3n_Internet_fija%22.%22Codreg%22%3D15"/>
        <s v="https://analytics.zoho.com/open-view/2395394000008435500?ZOHO_CRITERIA=%22Conexi%C3%B3n_Internet_fija%22.%22Codreg%22%3D16"/>
        <s v="https://analytics.zoho.com/open-view/2395394000008461424"/>
        <s v="https://analytics.zoho.com/open-view/2395394000008434853?ZOHO_CRITERIA=%22Televisi%C3%B3n_Pago%22.%22CodRegi%C3%B3n%22%3D1"/>
        <s v="https://analytics.zoho.com/open-view/2395394000008434853?ZOHO_CRITERIA=%22Televisi%C3%B3n_Pago%22.%22CodRegi%C3%B3n%22%3D2"/>
        <s v="https://analytics.zoho.com/open-view/2395394000008434853?ZOHO_CRITERIA=%22Televisi%C3%B3n_Pago%22.%22CodRegi%C3%B3n%22%3D3"/>
        <s v="https://analytics.zoho.com/open-view/2395394000008434853?ZOHO_CRITERIA=%22Televisi%C3%B3n_Pago%22.%22CodRegi%C3%B3n%22%3D4"/>
        <s v="https://analytics.zoho.com/open-view/2395394000008434853?ZOHO_CRITERIA=%22Televisi%C3%B3n_Pago%22.%22CodRegi%C3%B3n%22%3D5"/>
        <s v="https://analytics.zoho.com/open-view/2395394000008434853?ZOHO_CRITERIA=%22Televisi%C3%B3n_Pago%22.%22CodRegi%C3%B3n%22%3D6"/>
        <s v="https://analytics.zoho.com/open-view/2395394000008434853?ZOHO_CRITERIA=%22Televisi%C3%B3n_Pago%22.%22CodRegi%C3%B3n%22%3D7"/>
        <s v="https://analytics.zoho.com/open-view/2395394000008434853?ZOHO_CRITERIA=%22Televisi%C3%B3n_Pago%22.%22CodRegi%C3%B3n%22%3D8"/>
        <s v="https://analytics.zoho.com/open-view/2395394000008434853?ZOHO_CRITERIA=%22Televisi%C3%B3n_Pago%22.%22CodRegi%C3%B3n%22%3D9"/>
        <s v="https://analytics.zoho.com/open-view/2395394000008434853?ZOHO_CRITERIA=%22Televisi%C3%B3n_Pago%22.%22CodRegi%C3%B3n%22%3D10"/>
        <s v="https://analytics.zoho.com/open-view/2395394000008434853?ZOHO_CRITERIA=%22Televisi%C3%B3n_Pago%22.%22CodRegi%C3%B3n%22%3D11"/>
        <s v="https://analytics.zoho.com/open-view/2395394000008434853?ZOHO_CRITERIA=%22Televisi%C3%B3n_Pago%22.%22CodRegi%C3%B3n%22%3D12"/>
        <s v="https://analytics.zoho.com/open-view/2395394000008434853?ZOHO_CRITERIA=%22Televisi%C3%B3n_Pago%22.%22CodRegi%C3%B3n%22%3D13"/>
        <s v="https://analytics.zoho.com/open-view/2395394000008434853?ZOHO_CRITERIA=%22Televisi%C3%B3n_Pago%22.%22CodRegi%C3%B3n%22%3D14"/>
        <s v="https://analytics.zoho.com/open-view/2395394000008434853?ZOHO_CRITERIA=%22Televisi%C3%B3n_Pago%22.%22CodRegi%C3%B3n%22%3D15"/>
        <s v="https://analytics.zoho.com/open-view/2395394000008434853?ZOHO_CRITERIA=%22Televisi%C3%B3n_Pago%22.%22CodRegi%C3%B3n%22%3D16"/>
        <s v="https://analytics.zoho.com/open-view/2395394000008435117"/>
        <s v="https://analytics.zoho.com/open-view/2395394000008511008?ZOHO_CRITERIA=%22Televisi%C3%B3n_Pago%22.%22CodRegi%C3%B3n%22%3D1"/>
        <s v="https://analytics.zoho.com/open-view/2395394000008511008?ZOHO_CRITERIA=%22Televisi%C3%B3n_Pago%22.%22CodRegi%C3%B3n%22%3D2"/>
        <s v="https://analytics.zoho.com/open-view/2395394000008511008?ZOHO_CRITERIA=%22Televisi%C3%B3n_Pago%22.%22CodRegi%C3%B3n%22%3D3"/>
        <s v="https://analytics.zoho.com/open-view/2395394000008511008?ZOHO_CRITERIA=%22Televisi%C3%B3n_Pago%22.%22CodRegi%C3%B3n%22%3D4"/>
        <s v="https://analytics.zoho.com/open-view/2395394000008511008?ZOHO_CRITERIA=%22Televisi%C3%B3n_Pago%22.%22CodRegi%C3%B3n%22%3D5"/>
        <s v="https://analytics.zoho.com/open-view/2395394000008511008?ZOHO_CRITERIA=%22Televisi%C3%B3n_Pago%22.%22CodRegi%C3%B3n%22%3D6"/>
        <s v="https://analytics.zoho.com/open-view/2395394000008511008?ZOHO_CRITERIA=%22Televisi%C3%B3n_Pago%22.%22CodRegi%C3%B3n%22%3D7"/>
        <s v="https://analytics.zoho.com/open-view/2395394000008511008?ZOHO_CRITERIA=%22Televisi%C3%B3n_Pago%22.%22CodRegi%C3%B3n%22%3D8"/>
        <s v="https://analytics.zoho.com/open-view/2395394000008511008?ZOHO_CRITERIA=%22Televisi%C3%B3n_Pago%22.%22CodRegi%C3%B3n%22%3D9"/>
        <s v="https://analytics.zoho.com/open-view/2395394000008511008?ZOHO_CRITERIA=%22Televisi%C3%B3n_Pago%22.%22CodRegi%C3%B3n%22%3D10"/>
        <s v="https://analytics.zoho.com/open-view/2395394000008511008?ZOHO_CRITERIA=%22Televisi%C3%B3n_Pago%22.%22CodRegi%C3%B3n%22%3D11"/>
        <s v="https://analytics.zoho.com/open-view/2395394000008511008?ZOHO_CRITERIA=%22Televisi%C3%B3n_Pago%22.%22CodRegi%C3%B3n%22%3D12"/>
        <s v="https://analytics.zoho.com/open-view/2395394000008511008?ZOHO_CRITERIA=%22Televisi%C3%B3n_Pago%22.%22CodRegi%C3%B3n%22%3D13"/>
        <s v="https://analytics.zoho.com/open-view/2395394000008511008?ZOHO_CRITERIA=%22Televisi%C3%B3n_Pago%22.%22CodRegi%C3%B3n%22%3D14"/>
        <s v="https://analytics.zoho.com/open-view/2395394000008511008?ZOHO_CRITERIA=%22Televisi%C3%B3n_Pago%22.%22CodRegi%C3%B3n%22%3D15"/>
        <s v="https://analytics.zoho.com/open-view/2395394000008511008?ZOHO_CRITERIA=%22Televisi%C3%B3n_Pago%22.%22CodRegi%C3%B3n%22%3D16"/>
        <s v="https://analytics.zoho.com/open-view/2395394000008436309"/>
        <s v="https://analytics.zoho.com/open-view/2395394000008503085?ZOHO_CRITERIA=%22Pueblos%20Ind%C3%ADgenas%20Edad%22.%22id_Region%22%20%3D%201"/>
        <s v="https://analytics.zoho.com/open-view/2395394000008503085?ZOHO_CRITERIA=%22Pueblos%20Ind%C3%ADgenas%20Edad%22.%22id_Region%22%20%3D%202"/>
        <s v="https://analytics.zoho.com/open-view/2395394000008503085?ZOHO_CRITERIA=%22Pueblos%20Ind%C3%ADgenas%20Edad%22.%22id_Region%22%20%3D%203"/>
        <s v="https://analytics.zoho.com/open-view/2395394000008503085?ZOHO_CRITERIA=%22Pueblos%20Ind%C3%ADgenas%20Edad%22.%22id_Region%22%20%3D%204"/>
        <s v="https://analytics.zoho.com/open-view/2395394000008503085?ZOHO_CRITERIA=%22Pueblos%20Ind%C3%ADgenas%20Edad%22.%22id_Region%22%20%3D%205"/>
        <s v="https://analytics.zoho.com/open-view/2395394000008503085?ZOHO_CRITERIA=%22Pueblos%20Ind%C3%ADgenas%20Edad%22.%22id_Region%22%20%3D%206"/>
        <s v="https://analytics.zoho.com/open-view/2395394000008503085?ZOHO_CRITERIA=%22Pueblos%20Ind%C3%ADgenas%20Edad%22.%22id_Region%22%20%3D%207"/>
        <s v="https://analytics.zoho.com/open-view/2395394000008503085?ZOHO_CRITERIA=%22Pueblos%20Ind%C3%ADgenas%20Edad%22.%22id_Region%22%20%3D%208"/>
        <s v="https://analytics.zoho.com/open-view/2395394000008503085?ZOHO_CRITERIA=%22Pueblos%20Ind%C3%ADgenas%20Edad%22.%22id_Region%22%20%3D%209"/>
        <s v="https://analytics.zoho.com/open-view/2395394000008503085?ZOHO_CRITERIA=%22Pueblos%20Ind%C3%ADgenas%20Edad%22.%22id_Region%22%20%3D%2010"/>
        <s v="https://analytics.zoho.com/open-view/2395394000008503085?ZOHO_CRITERIA=%22Pueblos%20Ind%C3%ADgenas%20Edad%22.%22id_Region%22%20%3D%2011"/>
        <s v="https://analytics.zoho.com/open-view/2395394000008503085?ZOHO_CRITERIA=%22Pueblos%20Ind%C3%ADgenas%20Edad%22.%22id_Region%22%20%3D%2012"/>
        <s v="https://analytics.zoho.com/open-view/2395394000008503085?ZOHO_CRITERIA=%22Pueblos%20Ind%C3%ADgenas%20Edad%22.%22id_Region%22%20%3D%2013"/>
        <s v="https://analytics.zoho.com/open-view/2395394000008503085?ZOHO_CRITERIA=%22Pueblos%20Ind%C3%ADgenas%20Edad%22.%22id_Region%22%20%3D%2014"/>
        <s v="https://analytics.zoho.com/open-view/2395394000008503085?ZOHO_CRITERIA=%22Pueblos%20Ind%C3%ADgenas%20Edad%22.%22id_Region%22%20%3D%2015"/>
        <s v="https://analytics.zoho.com/open-view/2395394000008503085?ZOHO_CRITERIA=%22Pueblos%20Ind%C3%ADgenas%20Edad%22.%22id_Region%22%20%3D%2016"/>
        <s v="https://analytics.zoho.com/open-view/2395394000008436580"/>
        <s v="https://analytics.zoho.com/open-view/2395394000008503207?ZOHO_CRITERIA=%22Pueblos%20Ind%C3%ADgenas%20Edad%22.%22id_Region%22%20%3D%201"/>
        <s v="https://analytics.zoho.com/open-view/2395394000008503207?ZOHO_CRITERIA=%22Pueblos%20Ind%C3%ADgenas%20Edad%22.%22id_Region%22%20%3D%202"/>
        <s v="https://analytics.zoho.com/open-view/2395394000008503207?ZOHO_CRITERIA=%22Pueblos%20Ind%C3%ADgenas%20Edad%22.%22id_Region%22%20%3D%203"/>
        <s v="https://analytics.zoho.com/open-view/2395394000008503207?ZOHO_CRITERIA=%22Pueblos%20Ind%C3%ADgenas%20Edad%22.%22id_Region%22%20%3D%204"/>
        <s v="https://analytics.zoho.com/open-view/2395394000008503207?ZOHO_CRITERIA=%22Pueblos%20Ind%C3%ADgenas%20Edad%22.%22id_Region%22%20%3D%205"/>
        <s v="https://analytics.zoho.com/open-view/2395394000008503207?ZOHO_CRITERIA=%22Pueblos%20Ind%C3%ADgenas%20Edad%22.%22id_Region%22%20%3D%206"/>
        <s v="https://analytics.zoho.com/open-view/2395394000008503207?ZOHO_CRITERIA=%22Pueblos%20Ind%C3%ADgenas%20Edad%22.%22id_Region%22%20%3D%207"/>
        <s v="https://analytics.zoho.com/open-view/2395394000008503207?ZOHO_CRITERIA=%22Pueblos%20Ind%C3%ADgenas%20Edad%22.%22id_Region%22%20%3D%208"/>
        <s v="https://analytics.zoho.com/open-view/2395394000008503207?ZOHO_CRITERIA=%22Pueblos%20Ind%C3%ADgenas%20Edad%22.%22id_Region%22%20%3D%209"/>
        <s v="https://analytics.zoho.com/open-view/2395394000008503207?ZOHO_CRITERIA=%22Pueblos%20Ind%C3%ADgenas%20Edad%22.%22id_Region%22%20%3D%2010"/>
        <s v="https://analytics.zoho.com/open-view/2395394000008503207?ZOHO_CRITERIA=%22Pueblos%20Ind%C3%ADgenas%20Edad%22.%22id_Region%22%20%3D%2011"/>
        <s v="https://analytics.zoho.com/open-view/2395394000008503207?ZOHO_CRITERIA=%22Pueblos%20Ind%C3%ADgenas%20Edad%22.%22id_Region%22%20%3D%2012"/>
        <s v="https://analytics.zoho.com/open-view/2395394000008503207?ZOHO_CRITERIA=%22Pueblos%20Ind%C3%ADgenas%20Edad%22.%22id_Region%22%20%3D%2013"/>
        <s v="https://analytics.zoho.com/open-view/2395394000008503207?ZOHO_CRITERIA=%22Pueblos%20Ind%C3%ADgenas%20Edad%22.%22id_Region%22%20%3D%2014"/>
        <s v="https://analytics.zoho.com/open-view/2395394000008503207?ZOHO_CRITERIA=%22Pueblos%20Ind%C3%ADgenas%20Edad%22.%22id_Region%22%20%3D%2015"/>
        <s v="https://analytics.zoho.com/open-view/2395394000008503207?ZOHO_CRITERIA=%22Pueblos%20Ind%C3%ADgenas%20Edad%22.%22id_Region%22%20%3D%2016"/>
        <s v="https://analytics.zoho.com/open-view/2395394000008436794"/>
        <s v="https://analytics.zoho.com/open-view/2395394000008436989"/>
        <s v="https://analytics.zoho.com/open-view/2395394000008503341?ZOHO_CRITERIA=%22Pueblos%20Ind%C3%ADgenas%20Edad%22.%22id_Region%22%20%3D%201"/>
        <s v="https://analytics.zoho.com/open-view/2395394000008503341?ZOHO_CRITERIA=%22Pueblos%20Ind%C3%ADgenas%20Edad%22.%22id_Region%22%20%3D%202"/>
        <s v="https://analytics.zoho.com/open-view/2395394000008503341?ZOHO_CRITERIA=%22Pueblos%20Ind%C3%ADgenas%20Edad%22.%22id_Region%22%20%3D%203"/>
        <s v="https://analytics.zoho.com/open-view/2395394000008503341?ZOHO_CRITERIA=%22Pueblos%20Ind%C3%ADgenas%20Edad%22.%22id_Region%22%20%3D%204"/>
        <s v="https://analytics.zoho.com/open-view/2395394000008503341?ZOHO_CRITERIA=%22Pueblos%20Ind%C3%ADgenas%20Edad%22.%22id_Region%22%20%3D%205"/>
        <s v="https://analytics.zoho.com/open-view/2395394000008503341?ZOHO_CRITERIA=%22Pueblos%20Ind%C3%ADgenas%20Edad%22.%22id_Region%22%20%3D%206"/>
        <s v="https://analytics.zoho.com/open-view/2395394000008503341?ZOHO_CRITERIA=%22Pueblos%20Ind%C3%ADgenas%20Edad%22.%22id_Region%22%20%3D%207"/>
        <s v="https://analytics.zoho.com/open-view/2395394000008503341?ZOHO_CRITERIA=%22Pueblos%20Ind%C3%ADgenas%20Edad%22.%22id_Region%22%20%3D%208"/>
        <s v="https://analytics.zoho.com/open-view/2395394000008503341?ZOHO_CRITERIA=%22Pueblos%20Ind%C3%ADgenas%20Edad%22.%22id_Region%22%20%3D%209"/>
        <s v="https://analytics.zoho.com/open-view/2395394000008503341?ZOHO_CRITERIA=%22Pueblos%20Ind%C3%ADgenas%20Edad%22.%22id_Region%22%20%3D%2010"/>
        <s v="https://analytics.zoho.com/open-view/2395394000008503341?ZOHO_CRITERIA=%22Pueblos%20Ind%C3%ADgenas%20Edad%22.%22id_Region%22%20%3D%2011"/>
        <s v="https://analytics.zoho.com/open-view/2395394000008503341?ZOHO_CRITERIA=%22Pueblos%20Ind%C3%ADgenas%20Edad%22.%22id_Region%22%20%3D%2012"/>
        <s v="https://analytics.zoho.com/open-view/2395394000008503341?ZOHO_CRITERIA=%22Pueblos%20Ind%C3%ADgenas%20Edad%22.%22id_Region%22%20%3D%2013"/>
        <s v="https://analytics.zoho.com/open-view/2395394000008503341?ZOHO_CRITERIA=%22Pueblos%20Ind%C3%ADgenas%20Edad%22.%22id_Region%22%20%3D%2014"/>
        <s v="https://analytics.zoho.com/open-view/2395394000008503341?ZOHO_CRITERIA=%22Pueblos%20Ind%C3%ADgenas%20Edad%22.%22id_Region%22%20%3D%2015"/>
        <s v="https://analytics.zoho.com/open-view/2395394000008503341?ZOHO_CRITERIA=%22Pueblos%20Ind%C3%ADgenas%20Edad%22.%22id_Region%22%20%3D%2016"/>
        <s v="https://analytics.zoho.com/open-view/2395394000008439092"/>
        <s v="https://analytics.zoho.com/open-view/2395394000008503554?ZOHO_CRITERIA=%22Pueblos%20Ind%C3%ADgenas%20Sexo%22.%22id_Region%22%20%3D%201"/>
        <s v="https://analytics.zoho.com/open-view/2395394000008503554?ZOHO_CRITERIA=%22Pueblos%20Ind%C3%ADgenas%20Sexo%22.%22id_Region%22%20%3D%202"/>
        <s v="https://analytics.zoho.com/open-view/2395394000008503554?ZOHO_CRITERIA=%22Pueblos%20Ind%C3%ADgenas%20Sexo%22.%22id_Region%22%20%3D%203"/>
        <s v="https://analytics.zoho.com/open-view/2395394000008503554?ZOHO_CRITERIA=%22Pueblos%20Ind%C3%ADgenas%20Sexo%22.%22id_Region%22%20%3D%204"/>
        <s v="https://analytics.zoho.com/open-view/2395394000008503554?ZOHO_CRITERIA=%22Pueblos%20Ind%C3%ADgenas%20Sexo%22.%22id_Region%22%20%3D%205"/>
        <s v="https://analytics.zoho.com/open-view/2395394000008503554?ZOHO_CRITERIA=%22Pueblos%20Ind%C3%ADgenas%20Sexo%22.%22id_Region%22%20%3D%206"/>
        <s v="https://analytics.zoho.com/open-view/2395394000008503554?ZOHO_CRITERIA=%22Pueblos%20Ind%C3%ADgenas%20Sexo%22.%22id_Region%22%20%3D%207"/>
        <s v="https://analytics.zoho.com/open-view/2395394000008503554?ZOHO_CRITERIA=%22Pueblos%20Ind%C3%ADgenas%20Sexo%22.%22id_Region%22%20%3D%208"/>
        <s v="https://analytics.zoho.com/open-view/2395394000008503554?ZOHO_CRITERIA=%22Pueblos%20Ind%C3%ADgenas%20Sexo%22.%22id_Region%22%20%3D%209"/>
        <s v="https://analytics.zoho.com/open-view/2395394000008503554?ZOHO_CRITERIA=%22Pueblos%20Ind%C3%ADgenas%20Sexo%22.%22id_Region%22%20%3D%2010"/>
        <s v="https://analytics.zoho.com/open-view/2395394000008503554?ZOHO_CRITERIA=%22Pueblos%20Ind%C3%ADgenas%20Sexo%22.%22id_Region%22%20%3D%2011"/>
        <s v="https://analytics.zoho.com/open-view/2395394000008503554?ZOHO_CRITERIA=%22Pueblos%20Ind%C3%ADgenas%20Sexo%22.%22id_Region%22%20%3D%2012"/>
        <s v="https://analytics.zoho.com/open-view/2395394000008503554?ZOHO_CRITERIA=%22Pueblos%20Ind%C3%ADgenas%20Sexo%22.%22id_Region%22%20%3D%2013"/>
        <s v="https://analytics.zoho.com/open-view/2395394000008503554?ZOHO_CRITERIA=%22Pueblos%20Ind%C3%ADgenas%20Sexo%22.%22id_Region%22%20%3D%2014"/>
        <s v="https://analytics.zoho.com/open-view/2395394000008503554?ZOHO_CRITERIA=%22Pueblos%20Ind%C3%ADgenas%20Sexo%22.%22id_Region%22%20%3D%2015"/>
        <s v="https://analytics.zoho.com/open-view/2395394000008503554?ZOHO_CRITERIA=%22Pueblos%20Ind%C3%ADgenas%20Sexo%22.%22id_Region%22%20%3D%2016"/>
        <s v="https://analytics.zoho.com/open-view/2395394000008196724"/>
        <s v="https://analytics.zoho.com/open-view/2395394000008199603"/>
        <s v="https://analytics.zoho.com/open-view/2395394000008199783"/>
        <s v="https://analytics.zoho.com/open-view/2395394000008086091"/>
        <s v="https://analytics.zoho.com/open-view/2395394000009355612?ZOHO_CRITERIA=%22Consolidado_Estadisticas_Regionales_New%22.%22C%C3%B3digo%20regi%C3%B3n%22%20%3D%201"/>
        <s v="https://analytics.zoho.com/open-view/2395394000009355612?ZOHO_CRITERIA=%22Consolidado_Estadisticas_Regionales_New%22.%22C%C3%B3digo%20regi%C3%B3n%22%20%3D%202"/>
        <s v="https://analytics.zoho.com/open-view/2395394000009355612?ZOHO_CRITERIA=%22Consolidado_Estadisticas_Regionales_New%22.%22C%C3%B3digo%20regi%C3%B3n%22%20%3D%203"/>
        <s v="https://analytics.zoho.com/open-view/2395394000009355612?ZOHO_CRITERIA=%22Consolidado_Estadisticas_Regionales_New%22.%22C%C3%B3digo%20regi%C3%B3n%22%20%3D%204"/>
        <s v="https://analytics.zoho.com/open-view/2395394000008086867"/>
        <s v="https://analytics.zoho.com/open-view/2395394000009355686?ZOHO_CRITERIA=%22Consolidado_Estadisticas_Regionales_New%22.%22C%C3%B3digo%20regi%C3%B3n%22%20%3D%201"/>
        <s v="https://analytics.zoho.com/open-view/2395394000009355686?ZOHO_CRITERIA=%22Consolidado_Estadisticas_Regionales_New%22.%22C%C3%B3digo%20regi%C3%B3n%22%20%3D%202"/>
        <s v="https://analytics.zoho.com/open-view/2395394000009355686?ZOHO_CRITERIA=%22Consolidado_Estadisticas_Regionales_New%22.%22C%C3%B3digo%20regi%C3%B3n%22%20%3D%203"/>
        <s v="https://analytics.zoho.com/open-view/2395394000009355686?ZOHO_CRITERIA=%22Consolidado_Estadisticas_Regionales_New%22.%22C%C3%B3digo%20regi%C3%B3n%22%20%3D%204"/>
        <s v="https://analytics.zoho.com/open-view/2395394000009355686?ZOHO_CRITERIA=%22Consolidado_Estadisticas_Regionales_New%22.%22C%C3%B3digo%20regi%C3%B3n%22%20%3D%205"/>
        <s v="https://analytics.zoho.com/open-view/2395394000008087059"/>
        <s v="https://analytics.zoho.com/open-view/2395394000008087414"/>
        <s v="https://analytics.zoho.com/open-view/2395394000009355773"/>
        <s v="https://analytics.zoho.com/open-view/2395394000009355924?ZOHO_CRITERIA=%22Consolidado_Estadisticas_Regionales_New%22.%22C%C3%B3digo%20regi%C3%B3n%22%3D1"/>
        <s v="https://analytics.zoho.com/open-view/2395394000009355924?ZOHO_CRITERIA=%22Consolidado_Estadisticas_Regionales_New%22.%22C%C3%B3digo%20regi%C3%B3n%22%3D2"/>
        <s v="https://analytics.zoho.com/open-view/2395394000009355924?ZOHO_CRITERIA=%22Consolidado_Estadisticas_Regionales_New%22.%22C%C3%B3digo%20regi%C3%B3n%22%3D3"/>
        <s v="https://analytics.zoho.com/open-view/2395394000009355924?ZOHO_CRITERIA=%22Consolidado_Estadisticas_Regionales_New%22.%22C%C3%B3digo%20regi%C3%B3n%22%3D4"/>
        <s v="https://analytics.zoho.com/open-view/2395394000009355924?ZOHO_CRITERIA=%22Consolidado_Estadisticas_Regionales_New%22.%22C%C3%B3digo%20regi%C3%B3n%22%3D5"/>
        <s v="https://analytics.zoho.com/open-view/2395394000009355924?ZOHO_CRITERIA=%22Consolidado_Estadisticas_Regionales_New%22.%22C%C3%B3digo%20regi%C3%B3n%22%3D6"/>
        <s v="https://analytics.zoho.com/open-view/2395394000009355924?ZOHO_CRITERIA=%22Consolidado_Estadisticas_Regionales_New%22.%22C%C3%B3digo%20regi%C3%B3n%22%3D7"/>
        <s v="https://analytics.zoho.com/open-view/2395394000009355924?ZOHO_CRITERIA=%22Consolidado_Estadisticas_Regionales_New%22.%22C%C3%B3digo%20regi%C3%B3n%22%3D8"/>
        <s v="https://analytics.zoho.com/open-view/2395394000009355924?ZOHO_CRITERIA=%22Consolidado_Estadisticas_Regionales_New%22.%22C%C3%B3digo%20regi%C3%B3n%22%3D9"/>
        <s v="https://analytics.zoho.com/open-view/2395394000009355924?ZOHO_CRITERIA=%22Consolidado_Estadisticas_Regionales_New%22.%22C%C3%B3digo%20regi%C3%B3n%22%3D10"/>
        <s v="https://analytics.zoho.com/open-view/2395394000009355924?ZOHO_CRITERIA=%22Consolidado_Estadisticas_Regionales_New%22.%22C%C3%B3digo%20regi%C3%B3n%22%3D11"/>
        <s v="https://analytics.zoho.com/open-view/2395394000009355924?ZOHO_CRITERIA=%22Consolidado_Estadisticas_Regionales_New%22.%22C%C3%B3digo%20regi%C3%B3n%22%3D12"/>
        <s v="https://analytics.zoho.com/open-view/2395394000009355924?ZOHO_CRITERIA=%22Consolidado_Estadisticas_Regionales_New%22.%22C%C3%B3digo%20regi%C3%B3n%22%3D13"/>
        <s v="https://analytics.zoho.com/open-view/2395394000009355924?ZOHO_CRITERIA=%22Consolidado_Estadisticas_Regionales_New%22.%22C%C3%B3digo%20regi%C3%B3n%22%3D14"/>
        <s v="https://analytics.zoho.com/open-view/2395394000009355924?ZOHO_CRITERIA=%22Consolidado_Estadisticas_Regionales_New%22.%22C%C3%B3digo%20regi%C3%B3n%22%3D15"/>
        <s v="https://analytics.zoho.com/open-view/2395394000009355924?ZOHO_CRITERIA=%22Consolidado_Estadisticas_Regionales_New%22.%22C%C3%B3digo%20regi%C3%B3n%22%3D16"/>
        <s v="https://analytics.zoho.com/open-view/2395394000009369072"/>
        <s v="https://analytics.zoho.com/open-view/2395394000009369252?ZOHO_CRITERIA=%22Consolidado_Estadisticas_Regionales_New%22.%22C%C3%B3digo%20regi%C3%B3n%22%3D1"/>
        <s v="https://analytics.zoho.com/open-view/2395394000009369252?ZOHO_CRITERIA=%22Consolidado_Estadisticas_Regionales_New%22.%22C%C3%B3digo%20regi%C3%B3n%22%3D2"/>
        <s v="https://analytics.zoho.com/open-view/2395394000009369252?ZOHO_CRITERIA=%22Consolidado_Estadisticas_Regionales_New%22.%22C%C3%B3digo%20regi%C3%B3n%22%3D3"/>
        <s v="https://analytics.zoho.com/open-view/2395394000009369252?ZOHO_CRITERIA=%22Consolidado_Estadisticas_Regionales_New%22.%22C%C3%B3digo%20regi%C3%B3n%22%3D4"/>
        <s v="https://analytics.zoho.com/open-view/2395394000009369252?ZOHO_CRITERIA=%22Consolidado_Estadisticas_Regionales_New%22.%22C%C3%B3digo%20regi%C3%B3n%22%3D5"/>
        <s v="https://analytics.zoho.com/open-view/2395394000009369252?ZOHO_CRITERIA=%22Consolidado_Estadisticas_Regionales_New%22.%22C%C3%B3digo%20regi%C3%B3n%22%3D6"/>
        <s v="https://analytics.zoho.com/open-view/2395394000009369252?ZOHO_CRITERIA=%22Consolidado_Estadisticas_Regionales_New%22.%22C%C3%B3digo%20regi%C3%B3n%22%3D7"/>
        <s v="https://analytics.zoho.com/open-view/2395394000009369252?ZOHO_CRITERIA=%22Consolidado_Estadisticas_Regionales_New%22.%22C%C3%B3digo%20regi%C3%B3n%22%3D8"/>
        <s v="https://analytics.zoho.com/open-view/2395394000009369252?ZOHO_CRITERIA=%22Consolidado_Estadisticas_Regionales_New%22.%22C%C3%B3digo%20regi%C3%B3n%22%3D9"/>
        <s v="https://analytics.zoho.com/open-view/2395394000009369252?ZOHO_CRITERIA=%22Consolidado_Estadisticas_Regionales_New%22.%22C%C3%B3digo%20regi%C3%B3n%22%3D10"/>
        <s v="https://analytics.zoho.com/open-view/2395394000009369252?ZOHO_CRITERIA=%22Consolidado_Estadisticas_Regionales_New%22.%22C%C3%B3digo%20regi%C3%B3n%22%3D11"/>
        <s v="https://analytics.zoho.com/open-view/2395394000009369252?ZOHO_CRITERIA=%22Consolidado_Estadisticas_Regionales_New%22.%22C%C3%B3digo%20regi%C3%B3n%22%3D12"/>
        <s v="https://analytics.zoho.com/open-view/2395394000009369252?ZOHO_CRITERIA=%22Consolidado_Estadisticas_Regionales_New%22.%22C%C3%B3digo%20regi%C3%B3n%22%3D13"/>
        <s v="https://analytics.zoho.com/open-view/2395394000009369252?ZOHO_CRITERIA=%22Consolidado_Estadisticas_Regionales_New%22.%22C%C3%B3digo%20regi%C3%B3n%22%3D14"/>
        <s v="https://analytics.zoho.com/open-view/2395394000009369252?ZOHO_CRITERIA=%22Consolidado_Estadisticas_Regionales_New%22.%22C%C3%B3digo%20regi%C3%B3n%22%3D15"/>
        <s v="https://analytics.zoho.com/open-view/2395394000009369252?ZOHO_CRITERIA=%22Consolidado_Estadisticas_Regionales_New%22.%22C%C3%B3digo%20regi%C3%B3n%22%3D16"/>
        <s v="https://analytics.zoho.com/open-view/2395394000009355045"/>
        <s v="https://analytics.zoho.com/open-view/2395394000009355244"/>
        <s v="https://analytics.zoho.com/open-view/2395394000009355434"/>
        <s v="https://analytics.zoho.com/open-view/2395394000008183442"/>
        <s v="https://analytics.zoho.com/open-view/2395394000008478071?ZOHO_CRITERIA=%22Localiza%20CL%22.%22Codreg%22%20%3D%201"/>
        <s v="https://analytics.zoho.com/open-view/2395394000008478071?ZOHO_CRITERIA=%22Localiza%20CL%22.%22Codreg%22%20%3D%202"/>
        <s v="https://analytics.zoho.com/open-view/2395394000008478071?ZOHO_CRITERIA=%22Localiza%20CL%22.%22Codreg%22%20%3D%203"/>
        <s v="https://analytics.zoho.com/open-view/2395394000008478071?ZOHO_CRITERIA=%22Localiza%20CL%22.%22Codreg%22%20%3D%204"/>
        <s v="https://analytics.zoho.com/open-view/2395394000008478071?ZOHO_CRITERIA=%22Localiza%20CL%22.%22Codreg%22%20%3D%205"/>
        <s v="https://analytics.zoho.com/open-view/2395394000008478071?ZOHO_CRITERIA=%22Localiza%20CL%22.%22Codreg%22%20%3D%206"/>
        <s v="https://analytics.zoho.com/open-view/2395394000008478071?ZOHO_CRITERIA=%22Localiza%20CL%22.%22Codreg%22%20%3D%207"/>
        <s v="https://analytics.zoho.com/open-view/2395394000008478071?ZOHO_CRITERIA=%22Localiza%20CL%22.%22Codreg%22%20%3D%208"/>
        <s v="https://analytics.zoho.com/open-view/2395394000008478071?ZOHO_CRITERIA=%22Localiza%20CL%22.%22Codreg%22%20%3D%209"/>
        <s v="https://analytics.zoho.com/open-view/2395394000008478071?ZOHO_CRITERIA=%22Localiza%20CL%22.%22Codreg%22%20%3D%2010"/>
        <s v="https://analytics.zoho.com/open-view/2395394000008478071?ZOHO_CRITERIA=%22Localiza%20CL%22.%22Codreg%22%20%3D%2011"/>
        <s v="https://analytics.zoho.com/open-view/2395394000008478071?ZOHO_CRITERIA=%22Localiza%20CL%22.%22Codreg%22%20%3D%2012"/>
        <s v="https://analytics.zoho.com/open-view/2395394000008478071?ZOHO_CRITERIA=%22Localiza%20CL%22.%22Codreg%22%20%3D%2013"/>
        <s v="https://analytics.zoho.com/open-view/2395394000008478071?ZOHO_CRITERIA=%22Localiza%20CL%22.%22Codreg%22%20%3D%2014"/>
        <s v="https://analytics.zoho.com/open-view/2395394000008478071?ZOHO_CRITERIA=%22Localiza%20CL%22.%22Codreg%22%20%3D%2015"/>
        <s v="https://analytics.zoho.com/open-view/2395394000008478071?ZOHO_CRITERIA=%22Localiza%20CL%22.%22Codreg%22%20%3D%2016"/>
        <s v="https://analytics.zoho.com/open-view/2395394000008183474"/>
        <s v="https://analytics.zoho.com/open-view/2395394000008478183?ZOHO_CRITERIA=%22Localiza%20CL%22.%22Codreg%22%20%3D%201"/>
        <s v="https://analytics.zoho.com/open-view/2395394000008478183?ZOHO_CRITERIA=%22Localiza%20CL%22.%22Codreg%22%20%3D%202"/>
        <s v="https://analytics.zoho.com/open-view/2395394000008478183?ZOHO_CRITERIA=%22Localiza%20CL%22.%22Codreg%22%20%3D%203"/>
        <s v="https://analytics.zoho.com/open-view/2395394000008478183?ZOHO_CRITERIA=%22Localiza%20CL%22.%22Codreg%22%20%3D%204"/>
        <s v="https://analytics.zoho.com/open-view/2395394000008478183?ZOHO_CRITERIA=%22Localiza%20CL%22.%22Codreg%22%20%3D%205"/>
        <s v="https://analytics.zoho.com/open-view/2395394000008478183?ZOHO_CRITERIA=%22Localiza%20CL%22.%22Codreg%22%20%3D%206"/>
        <s v="https://analytics.zoho.com/open-view/2395394000008478183?ZOHO_CRITERIA=%22Localiza%20CL%22.%22Codreg%22%20%3D%207"/>
        <s v="https://analytics.zoho.com/open-view/2395394000008478183?ZOHO_CRITERIA=%22Localiza%20CL%22.%22Codreg%22%20%3D%208"/>
        <s v="https://analytics.zoho.com/open-view/2395394000008478183?ZOHO_CRITERIA=%22Localiza%20CL%22.%22Codreg%22%20%3D%209"/>
        <s v="https://analytics.zoho.com/open-view/2395394000008478183?ZOHO_CRITERIA=%22Localiza%20CL%22.%22Codreg%22%20%3D%2010"/>
        <s v="https://analytics.zoho.com/open-view/2395394000008478183?ZOHO_CRITERIA=%22Localiza%20CL%22.%22Codreg%22%20%3D%2011"/>
        <s v="https://analytics.zoho.com/open-view/2395394000008478183?ZOHO_CRITERIA=%22Localiza%20CL%22.%22Codreg%22%20%3D%2012"/>
        <s v="https://analytics.zoho.com/open-view/2395394000008478183?ZOHO_CRITERIA=%22Localiza%20CL%22.%22Codreg%22%20%3D%2013"/>
        <s v="https://analytics.zoho.com/open-view/2395394000008478183?ZOHO_CRITERIA=%22Localiza%20CL%22.%22Codreg%22%20%3D%2014"/>
        <s v="https://analytics.zoho.com/open-view/2395394000008478183?ZOHO_CRITERIA=%22Localiza%20CL%22.%22Codreg%22%20%3D%2015}"/>
        <s v="https://analytics.zoho.com/open-view/2395394000008478183?ZOHO_CRITERIA=%22Localiza%20CL%22.%22Codreg%22%20%3D%2016"/>
        <s v="https://analytics.zoho.com/open-view/2395394000008193854"/>
        <s v="https://analytics.zoho.com/open-view/2395394000008205248"/>
        <s v="https://analytics.zoho.com/open-view/2395394000008193221"/>
        <s v="https://analytics.zoho.com/open-view/2395394000008193416"/>
        <s v="https://analytics.zoho.com/open-view/2395394000008410521?ZOHO_CRITERIA=%22Pa%C3%ADs_Todo%22.%22id_TipoProducto%22%3D4"/>
        <s v="https://analytics.zoho.com/open-view/2395394000008742241"/>
        <s v="https://analytics.zoho.com/open-view/2395394000008742319?ZOHO_CRITERIA=%22Consolidado_Estadisticas_Regionales_New%22.%22C%C3%B3digo%20regi%C3%B3n%22%20%3D%205"/>
        <s v="https://analytics.zoho.com/open-view/2395394000008742319?ZOHO_CRITERIA=%22Consolidado_Estadisticas_Regionales_New%22.%22C%C3%B3digo%20regi%C3%B3n%22%20%3D%206"/>
        <s v="https://analytics.zoho.com/open-view/2395394000008742319?ZOHO_CRITERIA=%22Consolidado_Estadisticas_Regionales_New%22.%22C%C3%B3digo%20regi%C3%B3n%22%20%3D%208"/>
        <s v="https://analytics.zoho.com/open-view/2395394000008742319?ZOHO_CRITERIA=%22Consolidado_Estadisticas_Regionales_New%22.%22C%C3%B3digo%20regi%C3%B3n%22%20%3D%209"/>
        <s v="https://analytics.zoho.com/open-view/2395394000008742319?ZOHO_CRITERIA=%22Consolidado_Estadisticas_Regionales_New%22.%22C%C3%B3digo%20regi%C3%B3n%22%20%3D%2014"/>
        <s v="https://analytics.zoho.com/open-view/2395394000008715761"/>
        <s v="https://analytics.zoho.com/open-view/2395394000008715905?ZOHO_CRITERIA=%22Consolidado_Estadisticas_Regionales_New%22.%22C%C3%B3digo%20regi%C3%B3n%22%20%3D%201"/>
        <s v="https://analytics.zoho.com/open-view/2395394000008715905?ZOHO_CRITERIA=%22Consolidado_Estadisticas_Regionales_New%22.%22C%C3%B3digo%20regi%C3%B3n%22%20%3D%202"/>
        <s v="https://analytics.zoho.com/open-view/2395394000008715905?ZOHO_CRITERIA=%22Consolidado_Estadisticas_Regionales_New%22.%22C%C3%B3digo%20regi%C3%B3n%22%20%3D%203"/>
        <s v="https://analytics.zoho.com/open-view/2395394000008715905?ZOHO_CRITERIA=%22Consolidado_Estadisticas_Regionales_New%22.%22C%C3%B3digo%20regi%C3%B3n%22%20%3D%204"/>
        <s v="https://analytics.zoho.com/open-view/2395394000008715905?ZOHO_CRITERIA=%22Consolidado_Estadisticas_Regionales_New%22.%22C%C3%B3digo%20regi%C3%B3n%22%20%3D%205"/>
        <s v="https://analytics.zoho.com/open-view/2395394000008715905?ZOHO_CRITERIA=%22Consolidado_Estadisticas_Regionales_New%22.%22C%C3%B3digo%20regi%C3%B3n%22%20%3D%206"/>
        <s v="https://analytics.zoho.com/open-view/2395394000008715905?ZOHO_CRITERIA=%22Consolidado_Estadisticas_Regionales_New%22.%22C%C3%B3digo%20regi%C3%B3n%22%20%3D%207"/>
        <s v="https://analytics.zoho.com/open-view/2395394000008715905?ZOHO_CRITERIA=%22Consolidado_Estadisticas_Regionales_New%22.%22C%C3%B3digo%20regi%C3%B3n%22%20%3D%208"/>
        <s v="https://analytics.zoho.com/open-view/2395394000008715905?ZOHO_CRITERIA=%22Consolidado_Estadisticas_Regionales_New%22.%22C%C3%B3digo%20regi%C3%B3n%22%20%3D%209"/>
        <s v="https://analytics.zoho.com/open-view/2395394000008715905?ZOHO_CRITERIA=%22Consolidado_Estadisticas_Regionales_New%22.%22C%C3%B3digo%20regi%C3%B3n%22%20%3D%2010"/>
        <s v="https://analytics.zoho.com/open-view/2395394000008715905?ZOHO_CRITERIA=%22Consolidado_Estadisticas_Regionales_New%22.%22C%C3%B3digo%20regi%C3%B3n%22%20%3D%2011"/>
        <s v="https://analytics.zoho.com/open-view/2395394000008715905?ZOHO_CRITERIA=%22Consolidado_Estadisticas_Regionales_New%22.%22C%C3%B3digo%20regi%C3%B3n%22%20%3D%2012"/>
        <s v="https://analytics.zoho.com/open-view/2395394000008715905?ZOHO_CRITERIA=%22Consolidado_Estadisticas_Regionales_New%22.%22C%C3%B3digo%20regi%C3%B3n%22%20%3D%2013"/>
        <s v="https://analytics.zoho.com/open-view/2395394000008715905?ZOHO_CRITERIA=%22Consolidado_Estadisticas_Regionales_New%22.%22C%C3%B3digo%20regi%C3%B3n%22%20%3D%2014"/>
        <s v="https://analytics.zoho.com/open-view/2395394000008715905?ZOHO_CRITERIA=%22Consolidado_Estadisticas_Regionales_New%22.%22C%C3%B3digo%20regi%C3%B3n%22%20%3D%2015"/>
        <s v="https://analytics.zoho.com/open-view/2395394000008715905?ZOHO_CRITERIA=%22Consolidado_Estadisticas_Regionales_New%22.%22C%C3%B3digo%20regi%C3%B3n%22%20%3D%2016"/>
        <s v="https://analytics.zoho.com/open-view/2395394000008742076"/>
        <s v="https://analytics.zoho.com/open-view/2395394000008742160?ZOHO_CRITERIA=%22Consolidado_Estadisticas_Regionales_New%22.%22C%C3%B3digo%20regi%C3%B3n%22%20%3D%205"/>
        <s v="https://analytics.zoho.com/open-view/2395394000008742160?ZOHO_CRITERIA=%22Consolidado_Estadisticas_Regionales_New%22.%22C%C3%B3digo%20regi%C3%B3n%22%20%3D%206"/>
        <s v="https://analytics.zoho.com/open-view/2395394000008742160?ZOHO_CRITERIA=%22Consolidado_Estadisticas_Regionales_New%22.%22C%C3%B3digo%20regi%C3%B3n%22%20%3D%208"/>
        <s v="https://analytics.zoho.com/open-view/2395394000008742160?ZOHO_CRITERIA=%22Consolidado_Estadisticas_Regionales_New%22.%22C%C3%B3digo%20regi%C3%B3n%22%20%3D%2014"/>
        <s v="https://analytics.zoho.com/open-view/2395394000008741947"/>
        <s v="https://analytics.zoho.com/open-view/2395394000008741698"/>
        <s v="https://analytics.zoho.com/open-view/2395394000008741824?ZOHO_CRITERIA=%22Consolidado_Estadisticas_Regionales_New%22.%22C%C3%B3digo%20regi%C3%B3n%22%20%3D%205"/>
        <s v="https://analytics.zoho.com/open-view/2395394000008741824?ZOHO_CRITERIA=%22Consolidado_Estadisticas_Regionales_New%22.%22C%C3%B3digo%20regi%C3%B3n%22%20%3D%206"/>
        <s v="https://analytics.zoho.com/open-view/2395394000008741824?ZOHO_CRITERIA=%22Consolidado_Estadisticas_Regionales_New%22.%22C%C3%B3digo%20regi%C3%B3n%22%20%3D%208"/>
        <s v="https://analytics.zoho.com/open-view/2395394000008741354"/>
        <s v="https://analytics.zoho.com/open-view/2395394000008741527?ZOHO_CRITERIA=%22Consolidado_Estadisticas_Regionales_New%22.%22C%C3%B3digo%20regi%C3%B3n%22%20%3D%205"/>
        <s v="https://analytics.zoho.com/open-view/2395394000008741527?ZOHO_CRITERIA=%22Consolidado_Estadisticas_Regionales_New%22.%22C%C3%B3digo%20regi%C3%B3n%22%20%3D%208"/>
        <s v="https://analytics.zoho.com/open-view/2395394000008741527?ZOHO_CRITERIA=%22Consolidado_Estadisticas_Regionales_New%22.%22C%C3%B3digo%20regi%C3%B3n%22%20%3D%2013"/>
        <s v="https://analytics.zoho.com/open-view/2395394000008741527?ZOHO_CRITERIA=%22Consolidado_Estadisticas_Regionales_New%22.%22C%C3%B3digo%20regi%C3%B3n%22%20%3D%2016"/>
        <s v="https://analytics.zoho.com/open-view/2395394000008741045"/>
        <s v="https://analytics.zoho.com/open-view/2395394000008741200?ZOHO_CRITERIA=%22Consolidado_Estadisticas_Regionales_New%22.%22C%C3%B3digo%20regi%C3%B3n%22%20%3D%201"/>
        <s v="https://analytics.zoho.com/open-view/2395394000008741200?ZOHO_CRITERIA=%22Consolidado_Estadisticas_Regionales_New%22.%22C%C3%B3digo%20regi%C3%B3n%22%20%3D%202"/>
        <s v="https://analytics.zoho.com/open-view/2395394000008741200?ZOHO_CRITERIA=%22Consolidado_Estadisticas_Regionales_New%22.%22C%C3%B3digo%20regi%C3%B3n%22%20%3D%203"/>
        <s v="https://analytics.zoho.com/open-view/2395394000008741200?ZOHO_CRITERIA=%22Consolidado_Estadisticas_Regionales_New%22.%22C%C3%B3digo%20regi%C3%B3n%22%20%3D%204"/>
        <s v="https://analytics.zoho.com/open-view/2395394000008741200?ZOHO_CRITERIA=%22Consolidado_Estadisticas_Regionales_New%22.%22C%C3%B3digo%20regi%C3%B3n%22%20%3D%205"/>
        <s v="https://analytics.zoho.com/open-view/2395394000008741200?ZOHO_CRITERIA=%22Consolidado_Estadisticas_Regionales_New%22.%22C%C3%B3digo%20regi%C3%B3n%22%20%3D%206"/>
        <s v="https://analytics.zoho.com/open-view/2395394000008741200?ZOHO_CRITERIA=%22Consolidado_Estadisticas_Regionales_New%22.%22C%C3%B3digo%20regi%C3%B3n%22%20%3D%207"/>
        <s v="https://analytics.zoho.com/open-view/2395394000008741200?ZOHO_CRITERIA=%22Consolidado_Estadisticas_Regionales_New%22.%22C%C3%B3digo%20regi%C3%B3n%22%20%3D%208"/>
        <s v="https://analytics.zoho.com/open-view/2395394000008741200?ZOHO_CRITERIA=%22Consolidado_Estadisticas_Regionales_New%22.%22C%C3%B3digo%20regi%C3%B3n%22%20%3D%209"/>
        <s v="https://analytics.zoho.com/open-view/2395394000008741200?ZOHO_CRITERIA=%22Consolidado_Estadisticas_Regionales_New%22.%22C%C3%B3digo%20regi%C3%B3n%22%20%3D%2010"/>
        <s v="https://analytics.zoho.com/open-view/2395394000008741200?ZOHO_CRITERIA=%22Consolidado_Estadisticas_Regionales_New%22.%22C%C3%B3digo%20regi%C3%B3n%22%20%3D%2011"/>
        <s v="https://analytics.zoho.com/open-view/2395394000008741200?ZOHO_CRITERIA=%22Consolidado_Estadisticas_Regionales_New%22.%22C%C3%B3digo%20regi%C3%B3n%22%20%3D%2012"/>
        <s v="https://analytics.zoho.com/open-view/2395394000008741200?ZOHO_CRITERIA=%22Consolidado_Estadisticas_Regionales_New%22.%22C%C3%B3digo%20regi%C3%B3n%22%20%3D%2013"/>
        <s v="https://analytics.zoho.com/open-view/2395394000008741200?ZOHO_CRITERIA=%22Consolidado_Estadisticas_Regionales_New%22.%22C%C3%B3digo%20regi%C3%B3n%22%20%3D%2014"/>
        <s v="https://analytics.zoho.com/open-view/2395394000008741200?ZOHO_CRITERIA=%22Consolidado_Estadisticas_Regionales_New%22.%22C%C3%B3digo%20regi%C3%B3n%22%20%3D%2015"/>
        <s v="https://analytics.zoho.com/open-view/2395394000008741200?ZOHO_CRITERIA=%22Consolidado_Estadisticas_Regionales_New%22.%22C%C3%B3digo%20regi%C3%B3n%22%20%3D%2016"/>
        <s v="https://analytics.zoho.com/open-view/2395394000008744153"/>
        <s v="https://analytics.zoho.com/open-view/2395394000008744325?ZOHO_CRITERIA=%22Consolidado_Estadisticas_Regionales_New%22.%22C%C3%B3digo%20regi%C3%B3n%22%20%3D%201"/>
        <s v="https://analytics.zoho.com/open-view/2395394000008744325?ZOHO_CRITERIA=%22Consolidado_Estadisticas_Regionales_New%22.%22C%C3%B3digo%20regi%C3%B3n%22%20%3D%205"/>
        <s v="https://analytics.zoho.com/open-view/2395394000008744325?ZOHO_CRITERIA=%22Consolidado_Estadisticas_Regionales_New%22.%22C%C3%B3digo%20regi%C3%B3n%22%20%3D%208"/>
        <s v="https://analytics.zoho.com/open-view/2395394000008744684"/>
        <s v="https://analytics.zoho.com/open-view/2395394000008744885?ZOHO_CRITERIA=%22Consolidado_Estadisticas_Regionales_New%22.%22C%C3%B3digo%20regi%C3%B3n%22%20%3D%201"/>
        <s v="https://analytics.zoho.com/open-view/2395394000008744885?ZOHO_CRITERIA=%22Consolidado_Estadisticas_Regionales_New%22.%22C%C3%B3digo%20regi%C3%B3n%22%20%3D%202"/>
        <s v="https://analytics.zoho.com/open-view/2395394000008744885?ZOHO_CRITERIA=%22Consolidado_Estadisticas_Regionales_New%22.%22C%C3%B3digo%20regi%C3%B3n%22%20%3D%203"/>
        <s v="https://analytics.zoho.com/open-view/2395394000008744885?ZOHO_CRITERIA=%22Consolidado_Estadisticas_Regionales_New%22.%22C%C3%B3digo%20regi%C3%B3n%22%20%3D%204"/>
        <s v="https://analytics.zoho.com/open-view/2395394000008744885?ZOHO_CRITERIA=%22Consolidado_Estadisticas_Regionales_New%22.%22C%C3%B3digo%20regi%C3%B3n%22%20%3D%205"/>
        <s v="https://analytics.zoho.com/open-view/2395394000008744885?ZOHO_CRITERIA=%22Consolidado_Estadisticas_Regionales_New%22.%22C%C3%B3digo%20regi%C3%B3n%22%20%3D%206"/>
        <s v="https://analytics.zoho.com/open-view/2395394000008744885?ZOHO_CRITERIA=%22Consolidado_Estadisticas_Regionales_New%22.%22C%C3%B3digo%20regi%C3%B3n%22%20%3D%207"/>
        <s v="https://analytics.zoho.com/open-view/2395394000008744885?ZOHO_CRITERIA=%22Consolidado_Estadisticas_Regionales_New%22.%22C%C3%B3digo%20regi%C3%B3n%22%20%3D%208"/>
        <s v="https://analytics.zoho.com/open-view/2395394000008744885?ZOHO_CRITERIA=%22Consolidado_Estadisticas_Regionales_New%22.%22C%C3%B3digo%20regi%C3%B3n%22%20%3D%209"/>
        <s v="https://analytics.zoho.com/open-view/2395394000008744885?ZOHO_CRITERIA=%22Consolidado_Estadisticas_Regionales_New%22.%22C%C3%B3digo%20regi%C3%B3n%22%20%3D%2010"/>
        <s v="https://analytics.zoho.com/open-view/2395394000008744885?ZOHO_CRITERIA=%22Consolidado_Estadisticas_Regionales_New%22.%22C%C3%B3digo%20regi%C3%B3n%22%20%3D%2011"/>
        <s v="https://analytics.zoho.com/open-view/2395394000008744885?ZOHO_CRITERIA=%22Consolidado_Estadisticas_Regionales_New%22.%22C%C3%B3digo%20regi%C3%B3n%22%20%3D%2012"/>
        <s v="https://analytics.zoho.com/open-view/2395394000008744885?ZOHO_CRITERIA=%22Consolidado_Estadisticas_Regionales_New%22.%22C%C3%B3digo%20regi%C3%B3n%22%20%3D%2013"/>
        <s v="https://analytics.zoho.com/open-view/2395394000008744885?ZOHO_CRITERIA=%22Consolidado_Estadisticas_Regionales_New%22.%22C%C3%B3digo%20regi%C3%B3n%22%20%3D%2014"/>
        <s v="https://analytics.zoho.com/open-view/2395394000008744885?ZOHO_CRITERIA=%22Consolidado_Estadisticas_Regionales_New%22.%22C%C3%B3digo%20regi%C3%B3n%22%20%3D%2015"/>
        <s v="https://analytics.zoho.com/open-view/2395394000008744885?ZOHO_CRITERIA=%22Consolidado_Estadisticas_Regionales_New%22.%22C%C3%B3digo%20regi%C3%B3n%22%20%3D%2016"/>
        <s v="https://analytics.zoho.com/open-view/2395394000008745083"/>
        <s v="https://analytics.zoho.com/open-view/2395394000008745260?ZOHO_CRITERIA=%22Consolidado_Estadisticas_Regionales_New%22.%22C%C3%B3digo%20regi%C3%B3n%22%20%3D%201"/>
        <s v="https://analytics.zoho.com/open-view/2395394000008745260?ZOHO_CRITERIA=%22Consolidado_Estadisticas_Regionales_New%22.%22C%C3%B3digo%20regi%C3%B3n%22%20%3D%202"/>
        <s v="https://analytics.zoho.com/open-view/2395394000008745260?ZOHO_CRITERIA=%22Consolidado_Estadisticas_Regionales_New%22.%22C%C3%B3digo%20regi%C3%B3n%22%20%3D%203"/>
        <s v="https://analytics.zoho.com/open-view/2395394000008745260?ZOHO_CRITERIA=%22Consolidado_Estadisticas_Regionales_New%22.%22C%C3%B3digo%20regi%C3%B3n%22%20%3D%204"/>
        <s v="https://analytics.zoho.com/open-view/2395394000008745260?ZOHO_CRITERIA=%22Consolidado_Estadisticas_Regionales_New%22.%22C%C3%B3digo%20regi%C3%B3n%22%20%3D%206"/>
        <s v="https://analytics.zoho.com/open-view/2395394000008745260?ZOHO_CRITERIA=%22Consolidado_Estadisticas_Regionales_New%22.%22C%C3%B3digo%20regi%C3%B3n%22%20%3D%207"/>
        <s v="https://analytics.zoho.com/open-view/2395394000008745260?ZOHO_CRITERIA=%22Consolidado_Estadisticas_Regionales_New%22.%22C%C3%B3digo%20regi%C3%B3n%22%20%3D%208"/>
        <s v="https://analytics.zoho.com/open-view/2395394000008745260?ZOHO_CRITERIA=%22Consolidado_Estadisticas_Regionales_New%22.%22C%C3%B3digo%20regi%C3%B3n%22%20%3D%209"/>
        <s v="https://analytics.zoho.com/open-view/2395394000008745260?ZOHO_CRITERIA=%22Consolidado_Estadisticas_Regionales_New%22.%22C%C3%B3digo%20regi%C3%B3n%22%20%3D%2010"/>
        <s v="https://analytics.zoho.com/open-view/2395394000008745260?ZOHO_CRITERIA=%22Consolidado_Estadisticas_Regionales_New%22.%22C%C3%B3digo%20regi%C3%B3n%22%20%3D%2011"/>
        <s v="https://analytics.zoho.com/open-view/2395394000008745260?ZOHO_CRITERIA=%22Consolidado_Estadisticas_Regionales_New%22.%22C%C3%B3digo%20regi%C3%B3n%22%20%3D%2012"/>
        <s v="https://analytics.zoho.com/open-view/2395394000008745260?ZOHO_CRITERIA=%22Consolidado_Estadisticas_Regionales_New%22.%22C%C3%B3digo%20regi%C3%B3n%22%20%3D%2013"/>
        <s v="https://analytics.zoho.com/open-view/2395394000008745260?ZOHO_CRITERIA=%22Consolidado_Estadisticas_Regionales_New%22.%22C%C3%B3digo%20regi%C3%B3n%22%20%3D%2014"/>
        <s v="https://analytics.zoho.com/open-view/2395394000008745260?ZOHO_CRITERIA=%22Consolidado_Estadisticas_Regionales_New%22.%22C%C3%B3digo%20regi%C3%B3n%22%20%3D%2015"/>
        <s v="https://analytics.zoho.com/open-view/2395394000008745260?ZOHO_CRITERIA=%22Consolidado_Estadisticas_Regionales_New%22.%22C%C3%B3digo%20regi%C3%B3n%22%20%3D%2016"/>
        <s v="https://analytics.zoho.com/open-view/2395394000008745431"/>
        <s v="https://analytics.zoho.com/open-view/2395394000008745666?ZOHO_CRITERIA=%22Consolidado_Estadisticas_Regionales_New%22.%22C%C3%B3digo%20regi%C3%B3n%22%20%3D%201"/>
        <s v="https://analytics.zoho.com/open-view/2395394000008745666?ZOHO_CRITERIA=%22Consolidado_Estadisticas_Regionales_New%22.%22C%C3%B3digo%20regi%C3%B3n%22%20%3D%202"/>
        <s v="https://analytics.zoho.com/open-view/2395394000008745666?ZOHO_CRITERIA=%22Consolidado_Estadisticas_Regionales_New%22.%22C%C3%B3digo%20regi%C3%B3n%22%20%3D%203"/>
        <s v="https://analytics.zoho.com/open-view/2395394000008745666?ZOHO_CRITERIA=%22Consolidado_Estadisticas_Regionales_New%22.%22C%C3%B3digo%20regi%C3%B3n%22%20%3D%204"/>
        <s v="https://analytics.zoho.com/open-view/2395394000008745666?ZOHO_CRITERIA=%22Consolidado_Estadisticas_Regionales_New%22.%22C%C3%B3digo%20regi%C3%B3n%22%20%3D%205"/>
        <s v="https://analytics.zoho.com/open-view/2395394000008745666?ZOHO_CRITERIA=%22Consolidado_Estadisticas_Regionales_New%22.%22C%C3%B3digo%20regi%C3%B3n%22%20%3D%206"/>
        <s v="https://analytics.zoho.com/open-view/2395394000008745666?ZOHO_CRITERIA=%22Consolidado_Estadisticas_Regionales_New%22.%22C%C3%B3digo%20regi%C3%B3n%22%20%3D%207"/>
        <s v="https://analytics.zoho.com/open-view/2395394000008745666?ZOHO_CRITERIA=%22Consolidado_Estadisticas_Regionales_New%22.%22C%C3%B3digo%20regi%C3%B3n%22%20%3D%208"/>
        <s v="https://analytics.zoho.com/open-view/2395394000008745666?ZOHO_CRITERIA=%22Consolidado_Estadisticas_Regionales_New%22.%22C%C3%B3digo%20regi%C3%B3n%22%20%3D%209"/>
        <s v="https://analytics.zoho.com/open-view/2395394000008745666?ZOHO_CRITERIA=%22Consolidado_Estadisticas_Regionales_New%22.%22C%C3%B3digo%20regi%C3%B3n%22%20%3D%2010"/>
        <s v="https://analytics.zoho.com/open-view/2395394000008745666?ZOHO_CRITERIA=%22Consolidado_Estadisticas_Regionales_New%22.%22C%C3%B3digo%20regi%C3%B3n%22%20%3D%2011"/>
        <s v="https://analytics.zoho.com/open-view/2395394000008745666?ZOHO_CRITERIA=%22Consolidado_Estadisticas_Regionales_New%22.%22C%C3%B3digo%20regi%C3%B3n%22%20%3D%2012"/>
        <s v="https://analytics.zoho.com/open-view/2395394000008745666?ZOHO_CRITERIA=%22Consolidado_Estadisticas_Regionales_New%22.%22C%C3%B3digo%20regi%C3%B3n%22%20%3D%2013"/>
        <s v="https://analytics.zoho.com/open-view/2395394000008745666?ZOHO_CRITERIA=%22Consolidado_Estadisticas_Regionales_New%22.%22C%C3%B3digo%20regi%C3%B3n%22%20%3D%2014"/>
        <s v="https://analytics.zoho.com/open-view/2395394000008745666?ZOHO_CRITERIA=%22Consolidado_Estadisticas_Regionales_New%22.%22C%C3%B3digo%20regi%C3%B3n%22%20%3D%2015"/>
        <s v="https://analytics.zoho.com/open-view/2395394000008745666?ZOHO_CRITERIA=%22Consolidado_Estadisticas_Regionales_New%22.%22C%C3%B3digo%20regi%C3%B3n%22%20%3D%2016"/>
        <s v="https://analytics.zoho.com/open-view/2395394000008449873"/>
        <s v="https://analytics.zoho.com/open-view/2395394000009232951?ZOHO_CRITERIA=%22Localiza%20Chile%22.%22Codreg%22%3D1"/>
        <s v="https://analytics.zoho.com/open-view/2395394000009232951?ZOHO_CRITERIA=%22Localiza%20Chile%22.%22Codreg%22%3D2"/>
        <s v="https://analytics.zoho.com/open-view/2395394000009232951?ZOHO_CRITERIA=%22Localiza%20Chile%22.%22Codreg%22%3D3"/>
        <s v="https://analytics.zoho.com/open-view/2395394000009232951?ZOHO_CRITERIA=%22Localiza%20Chile%22.%22Codreg%22%3D4"/>
        <s v="https://analytics.zoho.com/open-view/2395394000009232951?ZOHO_CRITERIA=%22Localiza%20Chile%22.%22Codreg%22%3D5"/>
        <s v="https://analytics.zoho.com/open-view/2395394000009232951?ZOHO_CRITERIA=%22Localiza%20Chile%22.%22Codreg%22%3D6"/>
        <s v="https://analytics.zoho.com/open-view/2395394000009232951?ZOHO_CRITERIA=%22Localiza%20Chile%22.%22Codreg%22%3D7"/>
        <s v="https://analytics.zoho.com/open-view/2395394000009232951?ZOHO_CRITERIA=%22Localiza%20Chile%22.%22Codreg%22%3D8"/>
        <s v="https://analytics.zoho.com/open-view/2395394000009232951?ZOHO_CRITERIA=%22Localiza%20Chile%22.%22Codreg%22%3D9"/>
        <s v="https://analytics.zoho.com/open-view/2395394000009232951?ZOHO_CRITERIA=%22Localiza%20Chile%22.%22Codreg%22%3D10"/>
        <s v="https://analytics.zoho.com/open-view/2395394000009232951?ZOHO_CRITERIA=%22Localiza%20Chile%22.%22Codreg%22%3D11"/>
        <s v="https://analytics.zoho.com/open-view/2395394000009232951?ZOHO_CRITERIA=%22Localiza%20Chile%22.%22Codreg%22%3D12"/>
        <s v="https://analytics.zoho.com/open-view/2395394000009232951?ZOHO_CRITERIA=%22Localiza%20Chile%22.%22Codreg%22%3D13"/>
        <s v="https://analytics.zoho.com/open-view/2395394000009232951?ZOHO_CRITERIA=%22Localiza%20Chile%22.%22Codreg%22%3D14"/>
        <s v="https://analytics.zoho.com/open-view/2395394000009232951?ZOHO_CRITERIA=%22Localiza%20Chile%22.%22Codreg%22%3D15"/>
        <s v="https://analytics.zoho.com/open-view/2395394000009232951?ZOHO_CRITERIA=%22Localiza%20Chile%22.%22Codreg%22%3D16"/>
        <s v="https://analytics.zoho.com/open-view/2395394000009214303"/>
        <s v="https://analytics.zoho.com/open-view/2395394000009208859?ZOHO_CRITERIA=%22Localiza%20Chile%22.%22Codreg%22%3D1"/>
        <s v="https://analytics.zoho.com/open-view/2395394000009208859?ZOHO_CRITERIA=%22Localiza%20Chile%22.%22Codreg%22%3D2"/>
        <s v="https://analytics.zoho.com/open-view/2395394000009208859?ZOHO_CRITERIA=%22Localiza%20Chile%22.%22Codreg%22%3D3"/>
        <s v="https://analytics.zoho.com/open-view/2395394000009208859?ZOHO_CRITERIA=%22Localiza%20Chile%22.%22Codreg%22%3D4"/>
        <s v="https://analytics.zoho.com/open-view/2395394000009208859?ZOHO_CRITERIA=%22Localiza%20Chile%22.%22Codreg%22%3D5"/>
        <s v="https://analytics.zoho.com/open-view/2395394000009208859?ZOHO_CRITERIA=%22Localiza%20Chile%22.%22Codreg%22%3D6"/>
        <s v="https://analytics.zoho.com/open-view/2395394000009208859?ZOHO_CRITERIA=%22Localiza%20Chile%22.%22Codreg%22%3D7"/>
        <s v="https://analytics.zoho.com/open-view/2395394000009208859?ZOHO_CRITERIA=%22Localiza%20Chile%22.%22Codreg%22%3D8"/>
        <s v="https://analytics.zoho.com/open-view/2395394000009208859?ZOHO_CRITERIA=%22Localiza%20Chile%22.%22Codreg%22%3D9"/>
        <s v="https://analytics.zoho.com/open-view/2395394000009208859?ZOHO_CRITERIA=%22Localiza%20Chile%22.%22Codreg%22%3D10"/>
        <s v="https://analytics.zoho.com/open-view/2395394000009208859?ZOHO_CRITERIA=%22Localiza%20Chile%22.%22Codreg%22%3D11"/>
        <s v="https://analytics.zoho.com/open-view/2395394000009208859?ZOHO_CRITERIA=%22Localiza%20Chile%22.%22Codreg%22%3D12"/>
        <s v="https://analytics.zoho.com/open-view/2395394000009208859?ZOHO_CRITERIA=%22Localiza%20Chile%22.%22Codreg%22%3D13"/>
        <s v="https://analytics.zoho.com/open-view/2395394000009208859?ZOHO_CRITERIA=%22Localiza%20Chile%22.%22Codreg%22%3D14"/>
        <s v="https://analytics.zoho.com/open-view/2395394000009208859?ZOHO_CRITERIA=%22Localiza%20Chile%22.%22Codreg%22%3D15"/>
        <s v="https://analytics.zoho.com/open-view/2395394000009208859?ZOHO_CRITERIA=%22Localiza%20Chile%22.%22Codreg%22%3D16"/>
        <s v="https://analytics.zoho.com/open-view/2395394000008443177"/>
        <s v="https://analytics.zoho.com/open-view/2395394000008467312?ZOHO_CRITERIA=%22Localiza%20Chile%22.%22Codreg%22%3D1"/>
        <s v="https://analytics.zoho.com/open-view/2395394000008467312?ZOHO_CRITERIA=%22Localiza%20Chile%22.%22Codreg%22%3D2"/>
        <s v="https://analytics.zoho.com/open-view/2395394000008467312?ZOHO_CRITERIA=%22Localiza%20Chile%22.%22Codreg%22%3D3"/>
        <s v="https://analytics.zoho.com/open-view/2395394000008467312?ZOHO_CRITERIA=%22Localiza%20Chile%22.%22Codreg%22%3D4"/>
        <s v="https://analytics.zoho.com/open-view/2395394000008467312?ZOHO_CRITERIA=%22Localiza%20Chile%22.%22Codreg%22%3D5"/>
        <s v="https://analytics.zoho.com/open-view/2395394000008467312?ZOHO_CRITERIA=%22Localiza%20Chile%22.%22Codreg%22%3D6"/>
        <s v="https://analytics.zoho.com/open-view/2395394000008467312?ZOHO_CRITERIA=%22Localiza%20Chile%22.%22Codreg%22%3D7"/>
        <s v="https://analytics.zoho.com/open-view/2395394000008467312?ZOHO_CRITERIA=%22Localiza%20Chile%22.%22Codreg%22%3D8"/>
        <s v="https://analytics.zoho.com/open-view/2395394000008467312?ZOHO_CRITERIA=%22Localiza%20Chile%22.%22Codreg%22%3D9"/>
        <s v="https://analytics.zoho.com/open-view/2395394000008467312?ZOHO_CRITERIA=%22Localiza%20Chile%22.%22Codreg%22%3D10"/>
        <s v="https://analytics.zoho.com/open-view/2395394000008467312?ZOHO_CRITERIA=%22Localiza%20Chile%22.%22Codreg%22%3D11"/>
        <s v="https://analytics.zoho.com/open-view/2395394000008467312?ZOHO_CRITERIA=%22Localiza%20Chile%22.%22Codreg%22%3D12"/>
        <s v="https://analytics.zoho.com/open-view/2395394000008467312?ZOHO_CRITERIA=%22Localiza%20Chile%22.%22Codreg%22%3D13"/>
        <s v="https://analytics.zoho.com/open-view/2395394000008467312?ZOHO_CRITERIA=%22Localiza%20Chile%22.%22Codreg%22%3D14"/>
        <s v="https://analytics.zoho.com/open-view/2395394000008467312?ZOHO_CRITERIA=%22Localiza%20Chile%22.%22Codreg%22%3D15"/>
        <s v="https://analytics.zoho.com/open-view/2395394000008467312?ZOHO_CRITERIA=%22Localiza%20Chile%22.%22Codreg%22%3D16"/>
        <s v="https://analytics.zoho.com/open-view/2395394000008493041"/>
        <s v="https://analytics.zoho.com/open-view/2395394000008493398?ZOHO_CRITERIA=%22Localiza%20CL%22.%22Codreg%22%3D1"/>
        <s v="https://analytics.zoho.com/open-view/2395394000008493398?ZOHO_CRITERIA=%22Localiza%20CL%22.%22Codreg%22%3D2"/>
        <s v="https://analytics.zoho.com/open-view/2395394000008493398?ZOHO_CRITERIA=%22Localiza%20CL%22.%22Codreg%22%3D3"/>
        <s v="https://analytics.zoho.com/open-view/2395394000008493398?ZOHO_CRITERIA=%22Localiza%20CL%22.%22Codreg%22%3D4"/>
        <s v="https://analytics.zoho.com/open-view/2395394000008493398?ZOHO_CRITERIA=%22Localiza%20CL%22.%22Codreg%22%3D5"/>
        <s v="https://analytics.zoho.com/open-view/2395394000008493398?ZOHO_CRITERIA=%22Localiza%20CL%22.%22Codreg%22%3D6"/>
        <s v="https://analytics.zoho.com/open-view/2395394000008493398?ZOHO_CRITERIA=%22Localiza%20CL%22.%22Codreg%22%3D7"/>
        <s v="https://analytics.zoho.com/open-view/2395394000008493398?ZOHO_CRITERIA=%22Localiza%20CL%22.%22Codreg%22%3D8"/>
        <s v="https://analytics.zoho.com/open-view/2395394000008493398?ZOHO_CRITERIA=%22Localiza%20CL%22.%22Codreg%22%3D9"/>
        <s v="https://analytics.zoho.com/open-view/2395394000008493398?ZOHO_CRITERIA=%22Localiza%20CL%22.%22Codreg%22%3D10"/>
        <s v="https://analytics.zoho.com/open-view/2395394000008493398?ZOHO_CRITERIA=%22Localiza%20CL%22.%22Codreg%22%3D11"/>
        <s v="https://analytics.zoho.com/open-view/2395394000008493398?ZOHO_CRITERIA=%22Localiza%20CL%22.%22Codreg%22%3D12"/>
        <s v="https://analytics.zoho.com/open-view/2395394000008493398?ZOHO_CRITERIA=%22Localiza%20CL%22.%22Codreg%22%3D13"/>
        <s v="https://analytics.zoho.com/open-view/2395394000008493398?ZOHO_CRITERIA=%22Localiza%20CL%22.%22Codreg%22%3D14"/>
        <s v="https://analytics.zoho.com/open-view/2395394000008493398?ZOHO_CRITERIA=%22Localiza%20CL%22.%22Codreg%22%3D15"/>
        <s v="https://analytics.zoho.com/open-view/2395394000008493398?ZOHO_CRITERIA=%22Localiza%20CL%22.%22Codreg%22%3D16"/>
        <s v="https://analytics.zoho.com/open-view/2395394000008486718"/>
        <s v="https://analytics.zoho.com/open-view/2395394000008493571?ZOHO_CRITERIA=%22Localiza%20CL%22.%22Codreg%22%3D1"/>
        <s v="https://analytics.zoho.com/open-view/2395394000008493571?ZOHO_CRITERIA=%22Localiza%20CL%22.%22Codreg%22%3D2"/>
        <s v="https://analytics.zoho.com/open-view/2395394000008493571?ZOHO_CRITERIA=%22Localiza%20CL%22.%22Codreg%22%3D3"/>
        <s v="https://analytics.zoho.com/open-view/2395394000008493571?ZOHO_CRITERIA=%22Localiza%20CL%22.%22Codreg%22%3D4"/>
        <s v="https://analytics.zoho.com/open-view/2395394000008493571?ZOHO_CRITERIA=%22Localiza%20CL%22.%22Codreg%22%3D5"/>
        <s v="https://analytics.zoho.com/open-view/2395394000008493571?ZOHO_CRITERIA=%22Localiza%20CL%22.%22Codreg%22%3D6"/>
        <s v="https://analytics.zoho.com/open-view/2395394000008493571?ZOHO_CRITERIA=%22Localiza%20CL%22.%22Codreg%22%3D7"/>
        <s v="https://analytics.zoho.com/open-view/2395394000008493571?ZOHO_CRITERIA=%22Localiza%20CL%22.%22Codreg%22%3D8"/>
        <s v="https://analytics.zoho.com/open-view/2395394000008493571?ZOHO_CRITERIA=%22Localiza%20CL%22.%22Codreg%22%3D9"/>
        <s v="https://analytics.zoho.com/open-view/2395394000008493571?ZOHO_CRITERIA=%22Localiza%20CL%22.%22Codreg%22%3D10"/>
        <s v="https://analytics.zoho.com/open-view/2395394000008493571?ZOHO_CRITERIA=%22Localiza%20CL%22.%22Codreg%22%3D11"/>
        <s v="https://analytics.zoho.com/open-view/2395394000008493571?ZOHO_CRITERIA=%22Localiza%20CL%22.%22Codreg%22%3D12"/>
        <s v="https://analytics.zoho.com/open-view/2395394000008493571?ZOHO_CRITERIA=%22Localiza%20CL%22.%22Codreg%22%3D13"/>
        <s v="https://analytics.zoho.com/open-view/2395394000008493571?ZOHO_CRITERIA=%22Localiza%20CL%22.%22Codreg%22%3D14"/>
        <s v="https://analytics.zoho.com/open-view/2395394000008493571?ZOHO_CRITERIA=%22Localiza%20CL%22.%22Codreg%22%3D15"/>
        <s v="https://analytics.zoho.com/open-view/2395394000008493571?ZOHO_CRITERIA=%22Localiza%20CL%22.%22Codreg%22%3D16"/>
        <s v="https://analytics.zoho.com/open-view/2395394000008483613"/>
        <s v="https://analytics.zoho.com/open-view/2395394000008496266?ZOHO_CRITERIA=%22Localiza%20CL%22.%22Codreg%22%3D1"/>
        <s v="https://analytics.zoho.com/open-view/2395394000008496266?ZOHO_CRITERIA=%22Localiza%20CL%22.%22Codreg%22%3D2"/>
        <s v="https://analytics.zoho.com/open-view/2395394000008496266?ZOHO_CRITERIA=%22Localiza%20CL%22.%22Codreg%22%3D3"/>
        <s v="https://analytics.zoho.com/open-view/2395394000008496266?ZOHO_CRITERIA=%22Localiza%20CL%22.%22Codreg%22%3D4"/>
        <s v="https://analytics.zoho.com/open-view/2395394000008496266?ZOHO_CRITERIA=%22Localiza%20CL%22.%22Codreg%22%3D5"/>
        <s v="https://analytics.zoho.com/open-view/2395394000008496266?ZOHO_CRITERIA=%22Localiza%20CL%22.%22Codreg%22%3D6"/>
        <s v="https://analytics.zoho.com/open-view/2395394000008496266?ZOHO_CRITERIA=%22Localiza%20CL%22.%22Codreg%22%3D7"/>
        <s v="https://analytics.zoho.com/open-view/2395394000008496266?ZOHO_CRITERIA=%22Localiza%20CL%22.%22Codreg%22%3D8"/>
        <s v="https://analytics.zoho.com/open-view/2395394000008496266?ZOHO_CRITERIA=%22Localiza%20CL%22.%22Codreg%22%3D9"/>
        <s v="https://analytics.zoho.com/open-view/2395394000008496266?ZOHO_CRITERIA=%22Localiza%20CL%22.%22Codreg%22%3D10"/>
        <s v="https://analytics.zoho.com/open-view/2395394000008496266?ZOHO_CRITERIA=%22Localiza%20CL%22.%22Codreg%22%3D11"/>
        <s v="https://analytics.zoho.com/open-view/2395394000008496266?ZOHO_CRITERIA=%22Localiza%20CL%22.%22Codreg%22%3D12"/>
        <s v="https://analytics.zoho.com/open-view/2395394000008496266?ZOHO_CRITERIA=%22Localiza%20CL%22.%22Codreg%22%3D13"/>
        <s v="https://analytics.zoho.com/open-view/2395394000008496266?ZOHO_CRITERIA=%22Localiza%20CL%22.%22Codreg%22%3D14"/>
        <s v="https://analytics.zoho.com/open-view/2395394000008496266?ZOHO_CRITERIA=%22Localiza%20CL%22.%22Codreg%22%3D15"/>
        <s v="https://analytics.zoho.com/open-view/2395394000008496266?ZOHO_CRITERIA=%22Localiza%20CL%22.%22Codreg%22%3D16"/>
        <s v="https://app.powerbi.com/view?r=eyJrIjoiMTZjZmZhZjQtN2I5ZS00ZWFmLWFkZWMtMDlkMGYzOGZmNzk2IiwidCI6IjhmYmFhNWJmLTJlY2MtNGRjOC1iNTZiLThmOTJlMzA3ZjA3NiIsImMiOjR9"/>
        <s v="https://app.powerbi.com/view?r=eyJrIjoiMTFiMTI5YmQtYTU1Ni00MzI4LTk1NDUtMDRlYTM0NDAwYmJlIiwidCI6IjhmYmFhNWJmLTJlY2MtNGRjOC1iNTZiLThmOTJlMzA3ZjA3NiIsImMiOjR9"/>
        <s v="https://app.powerbi.com/view?r=eyJrIjoiNjg0OGI5NjEtNGNmMy00OGE4LWFlYzEtY2FmYWMxMjRhZmU5IiwidCI6IjhmYmFhNWJmLTJlY2MtNGRjOC1iNTZiLThmOTJlMzA3ZjA3NiIsImMiOjR9"/>
        <s v="https://analytics.zoho.com/open-view/2395394000008083041"/>
        <s v="https://analytics.zoho.com/open-view/2395394000008464571?ZOHO_CRITERIA=%22Localiza%20CL%22.%22Codreg%22%20%3D%201"/>
        <s v="https://analytics.zoho.com/open-view/2395394000008464571?ZOHO_CRITERIA=%22Localiza%20CL%22.%22Codreg%22%20%3D%202"/>
        <s v="https://analytics.zoho.com/open-view/2395394000008464571?ZOHO_CRITERIA=%22Localiza%20CL%22.%22Codreg%22%20%3D%203"/>
        <s v="https://analytics.zoho.com/open-view/2395394000008464571?ZOHO_CRITERIA=%22Localiza%20CL%22.%22Codreg%22%20%3D%204"/>
        <s v="https://analytics.zoho.com/open-view/2395394000008464571?ZOHO_CRITERIA=%22Localiza%20CL%22.%22Codreg%22%20%3D%205"/>
        <s v="https://analytics.zoho.com/open-view/2395394000008464571?ZOHO_CRITERIA=%22Localiza%20CL%22.%22Codreg%22%20%3D%206"/>
        <s v="https://analytics.zoho.com/open-view/2395394000008464571?ZOHO_CRITERIA=%22Localiza%20CL%22.%22Codreg%22%20%3D%207"/>
        <s v="https://analytics.zoho.com/open-view/2395394000008464571?ZOHO_CRITERIA=%22Localiza%20CL%22.%22Codreg%22%20%3D%208"/>
        <s v="https://analytics.zoho.com/open-view/2395394000008464571?ZOHO_CRITERIA=%22Localiza%20CL%22.%22Codreg%22%20%3D%209"/>
        <s v="https://analytics.zoho.com/open-view/2395394000008464571?ZOHO_CRITERIA=%22Localiza%20CL%22.%22Codreg%22%20%3D%2010"/>
        <s v="https://analytics.zoho.com/open-view/2395394000008464571?ZOHO_CRITERIA=%22Localiza%20CL%22.%22Codreg%22%20%3D%2011"/>
        <s v="https://analytics.zoho.com/open-view/2395394000008464571?ZOHO_CRITERIA=%22Localiza%20CL%22.%22Codreg%22%20%3D%2012"/>
        <s v="https://analytics.zoho.com/open-view/2395394000008464571?ZOHO_CRITERIA=%22Localiza%20CL%22.%22Codreg%22%20%3D%2013"/>
        <s v="https://analytics.zoho.com/open-view/2395394000008464571?ZOHO_CRITERIA=%22Localiza%20CL%22.%22Codreg%22%20%3D%2014"/>
        <s v="https://analytics.zoho.com/open-view/2395394000008464571?ZOHO_CRITERIA=%22Localiza%20CL%22.%22Codreg%22%20%3D%2015"/>
        <s v="https://analytics.zoho.com/open-view/2395394000008464571?ZOHO_CRITERIA=%22Localiza%20CL%22.%22Codreg%22%20%3D%2016"/>
        <s v="https://analytics.zoho.com/open-view/2395394000008083242"/>
        <s v="https://analytics.zoho.com/open-view/2395394000008771662?ZOHO_CRITERIA=%22Localiza%20CL%22.%22Codreg%22%20%3D%201"/>
        <s v="https://analytics.zoho.com/open-view/2395394000008771662?ZOHO_CRITERIA=%22Localiza%20CL%22.%22Codreg%22%20%3D%202"/>
        <s v="https://analytics.zoho.com/open-view/2395394000008771662?ZOHO_CRITERIA=%22Localiza%20CL%22.%22Codreg%22%20%3D%203"/>
        <s v="https://analytics.zoho.com/open-view/2395394000008771662?ZOHO_CRITERIA=%22Localiza%20CL%22.%22Codreg%22%20%3D%204"/>
        <s v="https://analytics.zoho.com/open-view/2395394000008771662?ZOHO_CRITERIA=%22Localiza%20CL%22.%22Codreg%22%20%3D%205"/>
        <s v="https://analytics.zoho.com/open-view/2395394000008771662?ZOHO_CRITERIA=%22Localiza%20CL%22.%22Codreg%22%20%3D%206"/>
        <s v="https://analytics.zoho.com/open-view/2395394000008771662?ZOHO_CRITERIA=%22Localiza%20CL%22.%22Codreg%22%20%3D%207"/>
        <s v="https://analytics.zoho.com/open-view/2395394000008771662?ZOHO_CRITERIA=%22Localiza%20CL%22.%22Codreg%22%20%3D%208"/>
        <s v="https://analytics.zoho.com/open-view/2395394000008771662?ZOHO_CRITERIA=%22Localiza%20CL%22.%22Codreg%22%20%3D%209"/>
        <s v="https://analytics.zoho.com/open-view/2395394000008771662?ZOHO_CRITERIA=%22Localiza%20CL%22.%22Codreg%22%20%3D%2010"/>
        <s v="https://analytics.zoho.com/open-view/2395394000008771662?ZOHO_CRITERIA=%22Localiza%20CL%22.%22Codreg%22%20%3D%2011"/>
        <s v="https://analytics.zoho.com/open-view/2395394000008771662?ZOHO_CRITERIA=%22Localiza%20CL%22.%22Codreg%22%20%3D%2012"/>
        <s v="https://analytics.zoho.com/open-view/2395394000008771662?ZOHO_CRITERIA=%22Localiza%20CL%22.%22Codreg%22%20%3D%2013"/>
        <s v="https://analytics.zoho.com/open-view/2395394000008771662?ZOHO_CRITERIA=%22Localiza%20CL%22.%22Codreg%22%20%3D%2014"/>
        <s v="https://analytics.zoho.com/open-view/2395394000008771662?ZOHO_CRITERIA=%22Localiza%20CL%22.%22Codreg%22%20%3D%2015"/>
        <s v="https://analytics.zoho.com/open-view/2395394000008771662?ZOHO_CRITERIA=%22Localiza%20CL%22.%22Codreg%22%20%3D%2016"/>
        <s v="https://analytics.zoho.com/open-view/2395394000008188638"/>
        <s v="https://analytics.zoho.com/open-view/2395394000008188953"/>
        <s v="https://analytics.zoho.com/open-view/2395394000008539404?ZOHO_CRITERIA=%22Uni%C3%B3n%202.11-2.12%22.%22C%C3%B3digo%20Regi%C3%B3n%22%20%3D%201"/>
        <s v="https://analytics.zoho.com/open-view/2395394000008539404?ZOHO_CRITERIA=%22Uni%C3%B3n%202.11-2.12%22.%22C%C3%B3digo%20Regi%C3%B3n%22%20%3D%202"/>
        <s v="https://analytics.zoho.com/open-view/2395394000008539404?ZOHO_CRITERIA=%22Uni%C3%B3n%202.11-2.12%22.%22C%C3%B3digo%20Regi%C3%B3n%22%20%3D%203"/>
        <s v="https://analytics.zoho.com/open-view/2395394000008539404?ZOHO_CRITERIA=%22Uni%C3%B3n%202.11-2.12%22.%22C%C3%B3digo%20Regi%C3%B3n%22%20%3D%204"/>
        <s v="https://analytics.zoho.com/open-view/2395394000008539404?ZOHO_CRITERIA=%22Uni%C3%B3n%202.11-2.12%22.%22C%C3%B3digo%20Regi%C3%B3n%22%20%3D%205"/>
        <s v="https://analytics.zoho.com/open-view/2395394000008539404?ZOHO_CRITERIA=%22Uni%C3%B3n%202.11-2.12%22.%22C%C3%B3digo%20Regi%C3%B3n%22%20%3D%206"/>
        <s v="https://analytics.zoho.com/open-view/2395394000008539404?ZOHO_CRITERIA=%22Uni%C3%B3n%202.11-2.12%22.%22C%C3%B3digo%20Regi%C3%B3n%22%20%3D%207"/>
        <s v="https://analytics.zoho.com/open-view/2395394000008539404?ZOHO_CRITERIA=%22Uni%C3%B3n%202.11-2.12%22.%22C%C3%B3digo%20Regi%C3%B3n%22%20%3D%208"/>
        <s v="https://analytics.zoho.com/open-view/2395394000008539404?ZOHO_CRITERIA=%22Uni%C3%B3n%202.11-2.12%22.%22C%C3%B3digo%20Regi%C3%B3n%22%20%3D%209"/>
        <s v="https://analytics.zoho.com/open-view/2395394000008539404?ZOHO_CRITERIA=%22Uni%C3%B3n%202.11-2.12%22.%22C%C3%B3digo%20Regi%C3%B3n%22%20%3D%2010"/>
        <s v="https://analytics.zoho.com/open-view/2395394000008539404?ZOHO_CRITERIA=%22Uni%C3%B3n%202.11-2.12%22.%22C%C3%B3digo%20Regi%C3%B3n%22%20%3D%2011"/>
        <s v="https://analytics.zoho.com/open-view/2395394000008539404?ZOHO_CRITERIA=%22Uni%C3%B3n%202.11-2.12%22.%22C%C3%B3digo%20Regi%C3%B3n%22%20%3D%2012"/>
        <s v="https://analytics.zoho.com/open-view/2395394000008539404?ZOHO_CRITERIA=%22Uni%C3%B3n%202.11-2.12%22.%22C%C3%B3digo%20Regi%C3%B3n%22%20%3D%2013"/>
        <s v="https://analytics.zoho.com/open-view/2395394000008539404?ZOHO_CRITERIA=%22Uni%C3%B3n%202.11-2.12%22.%22C%C3%B3digo%20Regi%C3%B3n%22%20%3D%2014"/>
        <s v="https://analytics.zoho.com/open-view/2395394000008539404?ZOHO_CRITERIA=%22Uni%C3%B3n%202.11-2.12%22.%22C%C3%B3digo%20Regi%C3%B3n%22%20%3D%2015"/>
        <s v="https://analytics.zoho.com/open-view/2395394000008539404?ZOHO_CRITERIA=%22Uni%C3%B3n%202.11-2.12%22.%22C%C3%B3digo%20Regi%C3%B3n%22%20%3D%2016"/>
        <s v="https://analytics.zoho.com/open-view/2395394000008188130"/>
        <s v="https://analytics.zoho.com/open-view/2395394000008188130?ZOHO_CRITERIA=%22Uni%C3%B3n%202.11-2.12%22.%22C%C3%B3digo%20Regi%C3%B3n%22%20%3D%201"/>
        <s v="https://analytics.zoho.com/open-view/2395394000008188130?ZOHO_CRITERIA=%22Uni%C3%B3n%202.11-2.12%22.%22C%C3%B3digo%20Regi%C3%B3n%22%20%3D%202"/>
        <s v="https://analytics.zoho.com/open-view/2395394000008188130?ZOHO_CRITERIA=%22Uni%C3%B3n%202.11-2.12%22.%22C%C3%B3digo%20Regi%C3%B3n%22%20%3D%203"/>
        <s v="https://analytics.zoho.com/open-view/2395394000008188130?ZOHO_CRITERIA=%22Uni%C3%B3n%202.11-2.12%22.%22C%C3%B3digo%20Regi%C3%B3n%22%20%3D%204"/>
        <s v="https://analytics.zoho.com/open-view/2395394000008188130?ZOHO_CRITERIA=%22Uni%C3%B3n%202.11-2.12%22.%22C%C3%B3digo%20Regi%C3%B3n%22%20%3D%205"/>
        <s v="https://analytics.zoho.com/open-view/2395394000008188130?ZOHO_CRITERIA=%22Uni%C3%B3n%202.11-2.12%22.%22C%C3%B3digo%20Regi%C3%B3n%22%20%3D%206"/>
        <s v="https://analytics.zoho.com/open-view/2395394000008188130?ZOHO_CRITERIA=%22Uni%C3%B3n%202.11-2.12%22.%22C%C3%B3digo%20Regi%C3%B3n%22%20%3D%207"/>
        <s v="https://analytics.zoho.com/open-view/2395394000008188130?ZOHO_CRITERIA=%22Uni%C3%B3n%202.11-2.12%22.%22C%C3%B3digo%20Regi%C3%B3n%22%20%3D%208"/>
        <s v="https://analytics.zoho.com/open-view/2395394000008188130?ZOHO_CRITERIA=%22Uni%C3%B3n%202.11-2.12%22.%22C%C3%B3digo%20Regi%C3%B3n%22%20%3D%209"/>
        <s v="https://analytics.zoho.com/open-view/2395394000008188130?ZOHO_CRITERIA=%22Uni%C3%B3n%202.11-2.12%22.%22C%C3%B3digo%20Regi%C3%B3n%22%20%3D%2010"/>
        <s v="https://analytics.zoho.com/open-view/2395394000008188130?ZOHO_CRITERIA=%22Uni%C3%B3n%202.11-2.12%22.%22C%C3%B3digo%20Regi%C3%B3n%22%20%3D%2011"/>
        <s v="https://analytics.zoho.com/open-view/2395394000008188130?ZOHO_CRITERIA=%22Uni%C3%B3n%202.11-2.12%22.%22C%C3%B3digo%20Regi%C3%B3n%22%20%3D%2012"/>
        <s v="https://analytics.zoho.com/open-view/2395394000008188130?ZOHO_CRITERIA=%22Uni%C3%B3n%202.11-2.12%22.%22C%C3%B3digo%20Regi%C3%B3n%22%20%3D%2013"/>
        <s v="https://analytics.zoho.com/open-view/2395394000008188130?ZOHO_CRITERIA=%22Uni%C3%B3n%202.11-2.12%22.%22C%C3%B3digo%20Regi%C3%B3n%22%20%3D%2014"/>
        <s v="https://analytics.zoho.com/open-view/2395394000008188130?ZOHO_CRITERIA=%22Uni%C3%B3n%202.11-2.12%22.%22C%C3%B3digo%20Regi%C3%B3n%22%20%3D%2015"/>
        <s v="https://analytics.zoho.com/open-view/2395394000008188130?ZOHO_CRITERIA=%22Uni%C3%B3n%202.11-2.12%22.%22C%C3%B3digo%20Regi%C3%B3n%22%20%3D%2016"/>
        <s v="https://analytics.zoho.com/open-view/2395394000008188039"/>
        <s v="https://analytics.zoho.com/open-view/2395394000008463254?ZOHO_CRITERIA=%22Uni%C3%B3n%202.11-2.12%22.%22C%C3%B3digo%20Regi%C3%B3n%22%20%3D%201"/>
        <s v="https://analytics.zoho.com/open-view/2395394000008463254?ZOHO_CRITERIA=%22Uni%C3%B3n%202.11-2.12%22.%22C%C3%B3digo%20Regi%C3%B3n%22%20%3D%202"/>
        <s v="https://analytics.zoho.com/open-view/2395394000008463254?ZOHO_CRITERIA=%22Uni%C3%B3n%202.11-2.12%22.%22C%C3%B3digo%20Regi%C3%B3n%22%20%3D%203"/>
        <s v="https://analytics.zoho.com/open-view/2395394000008463254?ZOHO_CRITERIA=%22Uni%C3%B3n%202.11-2.12%22.%22C%C3%B3digo%20Regi%C3%B3n%22%20%3D%204"/>
        <s v="https://analytics.zoho.com/open-view/2395394000008463254?ZOHO_CRITERIA=%22Uni%C3%B3n%202.11-2.12%22.%22C%C3%B3digo%20Regi%C3%B3n%22%20%3D%205"/>
        <s v="https://analytics.zoho.com/open-view/2395394000008463254?ZOHO_CRITERIA=%22Uni%C3%B3n%202.11-2.12%22.%22C%C3%B3digo%20Regi%C3%B3n%22%20%3D%206"/>
        <s v="https://analytics.zoho.com/open-view/2395394000008463254?ZOHO_CRITERIA=%22Uni%C3%B3n%202.11-2.12%22.%22C%C3%B3digo%20Regi%C3%B3n%22%20%3D%207"/>
        <s v="https://analytics.zoho.com/open-view/2395394000008463254?ZOHO_CRITERIA=%22Uni%C3%B3n%202.11-2.12%22.%22C%C3%B3digo%20Regi%C3%B3n%22%20%3D%208"/>
        <s v="https://analytics.zoho.com/open-view/2395394000008463254?ZOHO_CRITERIA=%22Uni%C3%B3n%202.11-2.12%22.%22C%C3%B3digo%20Regi%C3%B3n%22%20%3D%209"/>
        <s v="https://analytics.zoho.com/open-view/2395394000008463254?ZOHO_CRITERIA=%22Uni%C3%B3n%202.11-2.12%22.%22C%C3%B3digo%20Regi%C3%B3n%22%20%3D%2010"/>
        <s v="https://analytics.zoho.com/open-view/2395394000008463254?ZOHO_CRITERIA=%22Uni%C3%B3n%202.11-2.12%22.%22C%C3%B3digo%20Regi%C3%B3n%22%20%3D%2011"/>
        <s v="https://analytics.zoho.com/open-view/2395394000008463254?ZOHO_CRITERIA=%22Uni%C3%B3n%202.11-2.12%22.%22C%C3%B3digo%20Regi%C3%B3n%22%20%3D%2012"/>
        <s v="https://analytics.zoho.com/open-view/2395394000008463254?ZOHO_CRITERIA=%22Uni%C3%B3n%202.11-2.12%22.%22C%C3%B3digo%20Regi%C3%B3n%22%20%3D%2013"/>
        <s v="https://analytics.zoho.com/open-view/2395394000008463254?ZOHO_CRITERIA=%22Uni%C3%B3n%202.11-2.12%22.%22C%C3%B3digo%20Regi%C3%B3n%22%20%3D%2014"/>
        <s v="https://analytics.zoho.com/open-view/2395394000008463254?ZOHO_CRITERIA=%22Uni%C3%B3n%202.11-2.12%22.%22C%C3%B3digo%20Regi%C3%B3n%22%20%3D%2015"/>
        <s v="https://analytics.zoho.com/open-view/2395394000008463254?ZOHO_CRITERIA=%22Uni%C3%B3n%202.11-2.12%22.%22C%C3%B3digo%20Regi%C3%B3n%22%20%3D%2016"/>
        <s v="https://analytics.zoho.com/open-view/2395394000008188229"/>
        <s v="https://analytics.zoho.com/open-view/2395394000008463332?ZOHO_CRITERIA=%22Uni%C3%B3n%202.11-2.12%22.%22C%C3%B3digo%20Regi%C3%B3n%22%20%3D%201"/>
        <s v="https://analytics.zoho.com/open-view/2395394000008463332?ZOHO_CRITERIA=%22Uni%C3%B3n%202.11-2.12%22.%22C%C3%B3digo%20Regi%C3%B3n%22%20%3D%202"/>
        <s v="https://analytics.zoho.com/open-view/2395394000008463332?ZOHO_CRITERIA=%22Uni%C3%B3n%202.11-2.12%22.%22C%C3%B3digo%20Regi%C3%B3n%22%20%3D%203"/>
        <s v="https://analytics.zoho.com/open-view/2395394000008463332?ZOHO_CRITERIA=%22Uni%C3%B3n%202.11-2.12%22.%22C%C3%B3digo%20Regi%C3%B3n%22%20%3D%204"/>
        <s v="https://analytics.zoho.com/open-view/2395394000008463332?ZOHO_CRITERIA=%22Uni%C3%B3n%202.11-2.12%22.%22C%C3%B3digo%20Regi%C3%B3n%22%20%3D%205"/>
        <s v="https://analytics.zoho.com/open-view/2395394000008463332?ZOHO_CRITERIA=%22Uni%C3%B3n%202.11-2.12%22.%22C%C3%B3digo%20Regi%C3%B3n%22%20%3D%206"/>
        <s v="https://analytics.zoho.com/open-view/2395394000008463332?ZOHO_CRITERIA=%22Uni%C3%B3n%202.11-2.12%22.%22C%C3%B3digo%20Regi%C3%B3n%22%20%3D%207"/>
        <s v="https://analytics.zoho.com/open-view/2395394000008463332?ZOHO_CRITERIA=%22Uni%C3%B3n%202.11-2.12%22.%22C%C3%B3digo%20Regi%C3%B3n%22%20%3D%208"/>
        <s v="https://analytics.zoho.com/open-view/2395394000008463332?ZOHO_CRITERIA=%22Uni%C3%B3n%202.11-2.12%22.%22C%C3%B3digo%20Regi%C3%B3n%22%20%3D%209"/>
        <s v="https://analytics.zoho.com/open-view/2395394000008463332?ZOHO_CRITERIA=%22Uni%C3%B3n%202.11-2.12%22.%22C%C3%B3digo%20Regi%C3%B3n%22%20%3D%2010"/>
        <s v="https://analytics.zoho.com/open-view/2395394000008463332?ZOHO_CRITERIA=%22Uni%C3%B3n%202.11-2.12%22.%22C%C3%B3digo%20Regi%C3%B3n%22%20%3D%2011"/>
        <s v="https://analytics.zoho.com/open-view/2395394000008463332?ZOHO_CRITERIA=%22Uni%C3%B3n%202.11-2.12%22.%22C%C3%B3digo%20Regi%C3%B3n%22%20%3D%2012"/>
        <s v="https://analytics.zoho.com/open-view/2395394000008463332?ZOHO_CRITERIA=%22Uni%C3%B3n%202.11-2.12%22.%22C%C3%B3digo%20Regi%C3%B3n%22%20%3D%2013"/>
        <s v="https://analytics.zoho.com/open-view/2395394000008463332?ZOHO_CRITERIA=%22Uni%C3%B3n%202.11-2.12%22.%22C%C3%B3digo%20Regi%C3%B3n%22%20%3D%2014"/>
        <s v="https://analytics.zoho.com/open-view/2395394000008463332?ZOHO_CRITERIA=%22Uni%C3%B3n%202.11-2.12%22.%22C%C3%B3digo%20Regi%C3%B3n%22%20%3D%2015"/>
        <s v="https://analytics.zoho.com/open-view/2395394000008463332?ZOHO_CRITERIA=%22Uni%C3%B3n%202.11-2.12%22.%22C%C3%B3digo%20Regi%C3%B3n%22%20%3D%2016"/>
        <s v="https://analytics.zoho.com/open-view/2395394000008188448"/>
        <s v="https://analytics.zoho.com/open-view/2395394000008463071?ZOHO_CRITERIA=%22Uni%C3%B3n%202.11-2.12%22.%22C%C3%B3digo%20Regi%C3%B3n%22%20%3D%201"/>
        <s v="https://analytics.zoho.com/open-view/2395394000008463071?ZOHO_CRITERIA=%22Uni%C3%B3n%202.11-2.12%22.%22C%C3%B3digo%20Regi%C3%B3n%22%20%3D%202"/>
        <s v="https://analytics.zoho.com/open-view/2395394000008463071?ZOHO_CRITERIA=%22Uni%C3%B3n%202.11-2.12%22.%22C%C3%B3digo%20Regi%C3%B3n%22%20%3D%203"/>
        <s v="https://analytics.zoho.com/open-view/2395394000008463071?ZOHO_CRITERIA=%22Uni%C3%B3n%202.11-2.12%22.%22C%C3%B3digo%20Regi%C3%B3n%22%20%3D%204"/>
        <s v="https://analytics.zoho.com/open-view/2395394000008463071?ZOHO_CRITERIA=%22Uni%C3%B3n%202.11-2.12%22.%22C%C3%B3digo%20Regi%C3%B3n%22%20%3D%205"/>
        <s v="https://analytics.zoho.com/open-view/2395394000008463071?ZOHO_CRITERIA=%22Uni%C3%B3n%202.11-2.12%22.%22C%C3%B3digo%20Regi%C3%B3n%22%20%3D%206"/>
        <s v="https://analytics.zoho.com/open-view/2395394000008463071?ZOHO_CRITERIA=%22Uni%C3%B3n%202.11-2.12%22.%22C%C3%B3digo%20Regi%C3%B3n%22%20%3D%207"/>
        <s v="https://analytics.zoho.com/open-view/2395394000008463071?ZOHO_CRITERIA=%22Uni%C3%B3n%202.11-2.12%22.%22C%C3%B3digo%20Regi%C3%B3n%22%20%3D%208"/>
        <s v="https://analytics.zoho.com/open-view/2395394000008463071?ZOHO_CRITERIA=%22Uni%C3%B3n%202.11-2.12%22.%22C%C3%B3digo%20Regi%C3%B3n%22%20%3D%209"/>
        <s v="https://analytics.zoho.com/open-view/2395394000008463071?ZOHO_CRITERIA=%22Uni%C3%B3n%202.11-2.12%22.%22C%C3%B3digo%20Regi%C3%B3n%22%20%3D%2010"/>
        <s v="https://analytics.zoho.com/open-view/2395394000008463071?ZOHO_CRITERIA=%22Uni%C3%B3n%202.11-2.12%22.%22C%C3%B3digo%20Regi%C3%B3n%22%20%3D%2011"/>
        <s v="https://analytics.zoho.com/open-view/2395394000008463071?ZOHO_CRITERIA=%22Uni%C3%B3n%202.11-2.12%22.%22C%C3%B3digo%20Regi%C3%B3n%22%20%3D%2012"/>
        <s v="https://analytics.zoho.com/open-view/2395394000008463071?ZOHO_CRITERIA=%22Uni%C3%B3n%202.11-2.12%22.%22C%C3%B3digo%20Regi%C3%B3n%22%20%3D%2013"/>
        <s v="https://analytics.zoho.com/open-view/2395394000008463071?ZOHO_CRITERIA=%22Uni%C3%B3n%202.11-2.12%22.%22C%C3%B3digo%20Regi%C3%B3n%22%20%3D%2014"/>
        <s v="https://analytics.zoho.com/open-view/2395394000008463071?ZOHO_CRITERIA=%22Uni%C3%B3n%202.11-2.12%22.%22C%C3%B3digo%20Regi%C3%B3n%22%20%3D%2015"/>
        <s v="https://analytics.zoho.com/open-view/2395394000008463071?ZOHO_CRITERIA=%22Uni%C3%B3n%202.11-2.12%22.%22C%C3%B3digo%20Regi%C3%B3n%22%20%3D%2016"/>
        <s v="https://servidormapa.azurewebsites.net/gr10/Dinamica?q=Q1&amp;p=17-18&amp;idGlaciar=2923"/>
        <s v="https://servidormapa.azurewebsites.net/gr10/Dinamica?q=Q1&amp;p=18-19&amp;idGlaciar=2923"/>
        <s v="https://servidormapa.azurewebsites.net/gr10/Dinamica?q=Q1&amp;p=19-20&amp;idGlaciar=2923"/>
        <s v="https://servidormapa.azurewebsites.net/gr10/Dinamica?q=Q1&amp;p=20-21&amp;idGlaciar=2923"/>
        <s v="https://servidormapa.azurewebsites.net/gr10/Dinamica?q=Q2&amp;p=17-18&amp;idGlaciar=2923"/>
        <s v="https://servidormapa.azurewebsites.net/gr10/Dinamica?q=Q2&amp;p=18-19&amp;idGlaciar=2923"/>
        <s v="https://servidormapa.azurewebsites.net/gr10/Dinamica?q=Q2&amp;p=19-20&amp;idGlaciar=2923"/>
        <s v="https://analytics.zoho.com/open-view/2395394000008984479?ZOHO_CRITERIA=%22Glaciares%2010%20Final%22.%22idZonGlac%22%3D2923"/>
        <s v="https://sud-austral.github.io/Pdf2/Layout_Q1_17_18_Dinamica_R10/2923.pdf"/>
        <s v="https://sud-austral.github.io/Pdf2/Layout_Q1_18_19_Dinamica_R10/2923.pdf"/>
        <s v="https://sud-austral.github.io/Pdf2/Layout_Q1_19_20_Dinamica_R10/2923.pdf"/>
        <s v="https://sud-austral.github.io/Pdf2/Layout_Q1_20_21_Dinamica_R10/2923.pdf"/>
        <s v="https://sud-austral.github.io/Pdf2/Layout_Q2_17_18_Dinamica_R10/2923.pdf"/>
        <s v="https://sud-austral.github.io/Pdf2/Layout_Q2_18_19_Dinamica_R10/2923.pdf"/>
        <s v="https://sud-austral.github.io/Pdf2/Layout_Q2_19_20_Dinamica_R10/2923.pdf"/>
        <s v="https://servidormapa.azurewebsites.net/gr10/maxmin?idGlaciar=2923"/>
        <s v="https://analytics.zoho.com/open-view/2395394000008979469?ZOHO_CRITERIA=%22Glaciares%2010%20Final%22.%22idZonGlac%22%3D2923"/>
        <s v="https://sud-austral.github.io/Pdf2/Layout_Acumulaci%C3%B3n_Max_Min_Q1_Q2_R10/2923.pdf"/>
        <s v="https://servidormapa.azurewebsites.net/gr10/Dinamica?q=Q1&amp;p=17-18&amp;idGlaciar=3074"/>
        <s v="https://servidormapa.azurewebsites.net/gr10/Dinamica?q=Q1&amp;p=18-19&amp;idGlaciar=3074"/>
        <s v="https://servidormapa.azurewebsites.net/gr10/Dinamica?q=Q1&amp;p=19-20&amp;idGlaciar=3074"/>
        <s v="https://servidormapa.azurewebsites.net/gr10/Dinamica?q=Q1&amp;p=20-21&amp;idGlaciar=3074"/>
        <s v="https://servidormapa.azurewebsites.net/gr10/Dinamica?q=Q2&amp;p=17-18&amp;idGlaciar=3074"/>
        <s v="https://servidormapa.azurewebsites.net/gr10/Dinamica?q=Q2&amp;p=18-19&amp;idGlaciar=3074"/>
        <s v="https://servidormapa.azurewebsites.net/gr10/Dinamica?q=Q2&amp;p=19-20&amp;idGlaciar=3074"/>
        <s v="https://analytics.zoho.com/open-view/2395394000008984479?ZOHO_CRITERIA=%22Glaciares%2010%20Final%22.%22idZonGlac%22%3D3074"/>
        <s v="https://sud-austral.github.io/Pdf2/Layout_Q1_17_18_Dinamica_R10/3074.pdf"/>
        <s v="https://sud-austral.github.io/Pdf2/Layout_Q1_18_19_Dinamica_R10/3074.pdf"/>
        <s v="https://sud-austral.github.io/Pdf2/Layout_Q1_19_20_Dinamica_R10/3074.pdf"/>
        <s v="https://sud-austral.github.io/Pdf2/Layout_Q1_20_21_Dinamica_R10/3074.pdf"/>
        <s v="https://sud-austral.github.io/Pdf2/Layout_Q2_17_18_Dinamica_R10/3074.pdf"/>
        <s v="https://sud-austral.github.io/Pdf2/Layout_Q2_18_19_Dinamica_R10/3074.pdf"/>
        <s v="https://sud-austral.github.io/Pdf2/Layout_Q2_19_20_Dinamica_R10/3074.pdf"/>
        <s v="https://servidormapa.azurewebsites.net/gr10/maxmin?idGlaciar=3074"/>
        <s v="https://analytics.zoho.com/open-view/2395394000008979469?ZOHO_CRITERIA=%22Glaciares%2010%20Final%22.%22idZonGlac%22%3D3074"/>
        <s v="https://sud-austral.github.io/Pdf2/Layout_Acumulaci%C3%B3n_Max_Min_Q1_Q2_R10/3074.pdf"/>
        <s v="https://servidormapa.azurewebsites.net/gr10/Dinamica?q=Q1&amp;p=17-18&amp;idGlaciar=3104"/>
        <s v="https://servidormapa.azurewebsites.net/gr10/Dinamica?q=Q1&amp;p=18-19&amp;idGlaciar=3104"/>
        <s v="https://servidormapa.azurewebsites.net/gr10/Dinamica?q=Q1&amp;p=19-20&amp;idGlaciar=3104"/>
        <s v="https://servidormapa.azurewebsites.net/gr10/Dinamica?q=Q1&amp;p=20-21&amp;idGlaciar=3104"/>
        <s v="https://servidormapa.azurewebsites.net/gr10/Dinamica?q=Q2&amp;p=17-18&amp;idGlaciar=3104"/>
        <s v="https://servidormapa.azurewebsites.net/gr10/Dinamica?q=Q2&amp;p=18-19&amp;idGlaciar=3104"/>
        <s v="https://servidormapa.azurewebsites.net/gr10/Dinamica?q=Q2&amp;p=19-20&amp;idGlaciar=3104"/>
        <s v="https://analytics.zoho.com/open-view/2395394000008984479?ZOHO_CRITERIA=%22Glaciares%2010%20Final%22.%22idZonGlac%22%3D3104"/>
        <s v="https://sud-austral.github.io/Pdf2/Layout_Q1_17_18_Dinamica_R10/3104.pdf"/>
        <s v="https://sud-austral.github.io/Pdf2/Layout_Q1_18_19_Dinamica_R10/3104.pdf"/>
        <s v="https://sud-austral.github.io/Pdf2/Layout_Q1_19_20_Dinamica_R10/3104.pdf"/>
        <s v="https://sud-austral.github.io/Pdf2/Layout_Q1_20_21_Dinamica_R10/3104.pdf"/>
        <s v="https://sud-austral.github.io/Pdf2/Layout_Q2_17_18_Dinamica_R10/3104.pdf"/>
        <s v="https://sud-austral.github.io/Pdf2/Layout_Q2_18_19_Dinamica_R10/3104.pdf"/>
        <s v="https://sud-austral.github.io/Pdf2/Layout_Q2_19_20_Dinamica_R10/3104.pdf"/>
        <s v="https://servidormapa.azurewebsites.net/gr10/maxmin?idGlaciar=3104"/>
        <s v="https://analytics.zoho.com/open-view/2395394000008979469?ZOHO_CRITERIA=%22Glaciares%2010%20Final%22.%22idZonGlac%22%3D3104"/>
        <s v="https://sud-austral.github.io/Pdf2/Layout_Acumulaci%C3%B3n_Max_Min_Q1_Q2_R10/3104.pdf"/>
        <m u="1"/>
        <e v="#VALUE!" u="1"/>
        <s v="https://analytics.zoho.com/open-view/2395394000008386951?ZOHO_CRITERIA=%228.1%20Permiso_circulaci%C3%B3n%22.%22Codreg%22%3D4" u="1"/>
        <s v="https://analytics.zoho.com/open-view/2395394000008456616" u="1"/>
        <s v="https://analytics.zoho.com/open-view/2395394000004348834?ZOHO_CRITERIA=%22Hortaliza%20Consolidado%22.%22Categor%C3%ADa%20ID%22%3D100114001" u="1"/>
        <s v="https://analytics.zoho.com/open-view/2395394000008386951?ZOHO_CRITERIA=%228.1%20Permiso_circulaci%C3%B3n%22.%22Codreg%22%3D3" u="1"/>
        <s v="https://analytics.zoho.com/open-view/2395394000008299317" u="1"/>
        <s v="https://analytics.zoho.com/open-view/2395394000008456438?ZOHO_CRITERIA=%22Localiza%20Chile%22.%22Codreg%22%3D1" u="1"/>
        <s v="https://analytics.zoho.com/open-view/2395394000008386951?ZOHO_CRITERIA=%228.1%20Permiso_circulaci%C3%B3n%22.%22Codreg%22%3D2" u="1"/>
        <s v="https://analytics.zoho.com/open-view/2395394000007777467?ZOHO_CRITERIA=%22Trasposicion_4.10%22.%22Cod_regi%C3%B3n%22%20%3D%2012" u="1"/>
        <s v="https://analytics.zoho.com/open-view/2395394000008257083?ZOHO_CRITERIA=%22Trasposicion_4.10%22.%22Cod_regi%C3%B3n%22%20%3D%2012" u="1"/>
        <s v="https://analytics.zoho.com/open-view/2395394000008456438?ZOHO_CRITERIA=%22Localiza%20Chile%22.%22Codreg%22%3D2" u="1"/>
        <s v="https://analytics.zoho.com/open-view/2395394000008456438?ZOHO_CRITERIA=%22Localiza%20Chile%22.%22Codreg%22%3D3" u="1"/>
        <s v="https://analytics.zoho.com/open-view/2395394000007732994?ZOHO_CRITERIA=%22Localiza%20CL%22.%22Codreg%22%3D6" u="1"/>
        <s v="https://analytics.zoho.com/open-view/2395394000009042179?ZOHO_CRITERIA=%22Localiza%20CL%22.%22Codreg%22%3D6" u="1"/>
        <s v="https://analytics.zoho.com/open-view/2395394000008386951?ZOHO_CRITERIA=%228.1%20Permiso_circulaci%C3%B3n%22.%22Codreg%22%3D1" u="1"/>
        <s v="https://analytics.zoho.com/open-view/2395394000007166809" u="1"/>
        <s v="https://analytics.zoho.com/open-view/2395394000008456438?ZOHO_CRITERIA=%22Localiza%20Chile%22.%22Codreg%22%3D4" u="1"/>
        <s v="https://analytics.zoho.com/open-view/2395394000007777467?ZOHO_CRITERIA=%22Trasposicion_4.10%22.%22Cod_regi%C3%B3n%22%20%3D%205" u="1"/>
        <s v="https://analytics.zoho.com/open-view/2395394000008456438?ZOHO_CRITERIA=%22Localiza%20Chile%22.%22Codreg%22%3D5" u="1"/>
        <s v="https://analytics.zoho.com/open-view/2395394000008413133?ZOHO_CRITERIA=%228.1%20Permiso_circulaci%C3%B3n%22.%22Codreg%22%3D0" u="1"/>
        <s v="https://analytics.zoho.com/open-view/2395394000008475310?ZOHO_CRITERIA=%228.1%20Permiso_circulaci%C3%B3n%22.%22Codreg%22%3D0" u="1"/>
        <s v="https://analytics.zoho.com/open-view/2395394000008456438?ZOHO_CRITERIA=%22Localiza%20Chile%22.%22Codreg%22%3D6" u="1"/>
        <s v="https://analytics.zoho.com/open-view/2395394000008117468" u="1"/>
        <s v="https://analytics.zoho.com/open-view/2395394000008025390" u="1"/>
        <s v="https://analytics.zoho.com/open-view/2395394000008456438?ZOHO_CRITERIA=%22Localiza%20Chile%22.%22Codreg%22%3D7" u="1"/>
        <s v="https://analytics.zoho.com/open-view/2395394000008456438?ZOHO_CRITERIA=%22Localiza%20Chile%22.%22Codreg%22%3D10" u="1"/>
        <s v="https://analytics.zoho.com/open-view/2395394000008456438?ZOHO_CRITERIA=%22Localiza%20Chile%22.%22Codreg%22%3D8" u="1"/>
        <s v="https://analytics.zoho.com/open-view/2395394000008456438?ZOHO_CRITERIA=%22Localiza%20Chile%22.%22Codreg%22%3D9" u="1"/>
        <s v="https://analytics.zoho.com/open-view/2395394000008456438?ZOHO_CRITERIA=%22Localiza%20Chile%22.%22Codreg%22%3D14" u="1"/>
        <s v="https://analytics.zoho.com/open-view/2395394000007777467?ZOHO_CRITERIA=%22Trasposicion_4.10%22.%22Cod_regi%C3%B3n%22%20%3D%2013" u="1"/>
        <s v="https://analytics.zoho.com/open-view/2395394000000579068" u="1"/>
        <s v="https://analytics.zoho.com/open-view/2395394000007991542" u="1"/>
        <s v="https://analytics.zoho.com/open-view/2395394000007211567?ZOHO_CRITERIA=%22Localiza_CL_Poblacion%22.%22Codcom%22%3D1101" u="1"/>
        <s v="https://analytics.zoho.com/open-view/2395394000007211944?ZOHO_CRITERIA=%22Localiza_CL_Poblacion%22.%22Codcom%22%3D1101" u="1"/>
        <s v="https://analytics.zoho.com/open-view/2395394000007777467?ZOHO_CRITERIA=%22Trasposicion_4.10%22.%22Cod_regi%C3%B3n%22%20%3D%2014" u="1"/>
        <s v="https://analytics.zoho.com/open-view/2395394000008207486?ZOHO_CRITERIA=%224.6%22.%22C%C3%B3digo_Regi%C3%B3n%22%3D11" u="1"/>
        <s v="https://analytics.zoho.com/open-view/2395394000007732994?ZOHO_CRITERIA=%22Localiza%20CL%22.%22Codreg%22%3D7" u="1"/>
        <s v="https://analytics.zoho.com/open-view/2395394000007732994?ZOHO_CRITERIA=%22Localiza%20CL%22.%22Codreg%22%3D10" u="1"/>
        <s v="https://analytics.zoho.com/open-view/2395394000008296020?ZOHO_CRITERIA=%22Consolidado_Estadisticas_Regionales_New%22.%22C%C3%B3digo%20regi%C3%B3n%22%3D11" u="1"/>
        <s v="https://analytics.zoho.com/open-view/2395394000008299691?ZOHO_CRITERIA=%22Consolidado_Estadisticas_Regionales_New%22.%22C%C3%B3digo%20regi%C3%B3n%22%3D11" u="1"/>
        <s v="https://analytics.zoho.com/open-view/2395394000007777467?ZOHO_CRITERIA=%22Trasposicion_4.10%22.%22Cod_regi%C3%B3n%22%20%3D%206" u="1"/>
        <s v="https://analytics.zoho.com/open-view/2395394000003199680?ZOHO_CRITERIA=%22Fruta%20Consolidado%22.%22Categor%C3%ADa%20ID%22%3D100112025" u="1"/>
        <s v="https://analytics.zoho.com/open-view/2395394000008117468?ZOHO_CRITERIA=%22Localiza_CL_Poblacion%22.%22Codreg%22%3D13" u="1"/>
        <s v="https://analytics.zoho.com/open-view/2395394000008296020?ZOHO_CRITERIA=%22Consolidado_Estadisticas_Regionales_New%22.%22C%C3%B3digo%20regi%C3%B3n%22%3D13" u="1"/>
        <s v="https://analytics.zoho.com/open-view/2395394000008299691?ZOHO_CRITERIA=%22Consolidado_Estadisticas_Regionales_New%22.%22C%C3%B3digo%20regi%C3%B3n%22%3D13" u="1"/>
        <s v="https://analytics.zoho.com/open-view/2395394000008094339?ZOHO_CRITERIA=%22Consolidado_Estadisticas_Regionales_New%22.%22C%C3%B3digo%20regi%C3%B3n%22%20%3D%204" u="1"/>
        <s v="https://analytics.zoho.com/open-view/2395394000008760041?ZOHO_CRITERIA=%22Consolidado_Estadisticas_Regionales_New%22.%22C%C3%B3digo%20regi%C3%B3n%22%20%3D%204" u="1"/>
        <s v="https://analytics.zoho.com/open-view/2395394000008296020?ZOHO_CRITERIA=%22Consolidado_Estadisticas_Regionales_New%22.%22C%C3%B3digo%20regi%C3%B3n%22%3D15" u="1"/>
        <s v="https://analytics.zoho.com/open-view/2395394000008299691?ZOHO_CRITERIA=%22Consolidado_Estadisticas_Regionales_New%22.%22C%C3%B3digo%20regi%C3%B3n%22%3D15" u="1"/>
        <s v="https://analytics.zoho.com/open-view/2395394000007777467?ZOHO_CRITERIA=%22Trasposicion_4.10%22.%22Cod_regi%C3%B3n%22%20%3D%2015" u="1"/>
        <s v="https://analytics.zoho.com/open-view/2395394000008257083?ZOHO_CRITERIA=%22Trasposicion_4.10%22.%22Cod_regi%C3%B3n%22%20%3D%2015" u="1"/>
        <s v="https://analytics.zoho.com/open-view/2395394000008094339?ZOHO_CRITERIA=%22Consolidado_Estadisticas_Regionales_New%22.%22C%C3%B3digo%20regi%C3%B3n%22%20%3D%202" u="1"/>
        <s v="https://analytics.zoho.com/open-view/2395394000008760041?ZOHO_CRITERIA=%22Consolidado_Estadisticas_Regionales_New%22.%22C%C3%B3digo%20regi%C3%B3n%22%20%3D%202" u="1"/>
        <s v="https://analytics.zoho.com/open-view/2395394000007732994?ZOHO_CRITERIA=%22Localiza%20CL%22.%22Codreg%22%3D11" u="1"/>
        <s v="https://analytics.zoho.com/open-view/2395394000008335799" u="1"/>
        <s v="https://analytics.zoho.com/open-view/2395394000007806050" u="1"/>
        <s v="https://analytics.zoho.com/open-view/2395394000008386951?ZOHO_CRITERIA=%228.1%20Permiso_circulaci%C3%B3n%22.%22Codreg%22%3D10" u="1"/>
        <s v="https://analytics.zoho.com/open-view/2395394000008386951?ZOHO_CRITERIA=%228.1%20Permiso_circulaci%C3%B3n%22.%22Codreg%22%3D11" u="1"/>
        <s v="https://analytics.zoho.com/open-view/2395394000008457225?ZOHO_CRITERIA=%22Frecuencia%20Final%20Fecha%22.%22cod_region%22%3D10" u="1"/>
        <s v="https://analytics.zoho.com/open-view/2395394000008386951?ZOHO_CRITERIA=%228.1%20Permiso_circulaci%C3%B3n%22.%22Codreg%22%3D12" u="1"/>
        <s v="https://analytics.zoho.com/open-view/2395394000007777467?ZOHO_CRITERIA=%22Trasposicion_4.10%22.%22Cod_regi%C3%B3n%22%20%3D%2016" u="1"/>
        <s v="https://analytics.zoho.com/open-view/2395394000008457225?ZOHO_CRITERIA=%22Frecuencia%20Final%20Fecha%22.%22cod_region%22%3D11" u="1"/>
        <s v="https://analytics.zoho.com/open-view/2395394000008386951?ZOHO_CRITERIA=%228.1%20Permiso_circulaci%C3%B3n%22.%22Codreg%22%3D13" u="1"/>
        <s v="https://analytics.zoho.com/open-view/2395394000008457225?ZOHO_CRITERIA=%22Frecuencia%20Final%20Fecha%22.%22cod_region%22%3D12" u="1"/>
        <s v="https://analytics.zoho.com/open-view/2395394000008386951?ZOHO_CRITERIA=%228.1%20Permiso_circulaci%C3%B3n%22.%22Codreg%22%3D14" u="1"/>
        <s v="https://analytics.zoho.com/open-view/2395394000008457225?ZOHO_CRITERIA=%22Frecuencia%20Final%20Fecha%22.%22cod_region%22%3D13" u="1"/>
        <s v="https://analytics.zoho.com/open-view/2395394000008386951?ZOHO_CRITERIA=%228.1%20Permiso_circulaci%C3%B3n%22.%22Codreg%22%3D15" u="1"/>
        <s v="https://analytics.zoho.com/open-view/2395394000008457225?ZOHO_CRITERIA=%22Frecuencia%20Final%20Fecha%22.%22cod_region%22%3D14" u="1"/>
        <s v="https://analytics.zoho.com/open-view/2395394000008386951?ZOHO_CRITERIA=%228.1%20Permiso_circulaci%C3%B3n%22.%22Codreg%22%3D16" u="1"/>
        <s v="https://analytics.zoho.com/open-view/2395394000007732994?ZOHO_CRITERIA=%22Localiza%20CL%22.%22Codreg%22%3D12" u="1"/>
        <s v="https://analytics.zoho.com/open-view/2395394000008457225?ZOHO_CRITERIA=%22Frecuencia%20Final%20Fecha%22.%22cod_region%22%3D15" u="1"/>
        <s v="https://analytics.zoho.com/open-view/2395394000007732994?ZOHO_CRITERIA=%22Localiza%20CL%22.%22Codreg%22%3D8" u="1"/>
        <s v="https://analytics.zoho.com/open-view/2395394000008457225?ZOHO_CRITERIA=%22Frecuencia%20Final%20Fecha%22.%22cod_region%22%3D16" u="1"/>
        <s v="https://analytics.zoho.com/open-view/2395394000007777467?ZOHO_CRITERIA=%22Trasposicion_4.10%22.%22Cod_regi%C3%B3n%22%20%3D%207" u="1"/>
        <s v="https://analytics.zoho.com/open-view/2395394000008456438?ZOHO_CRITERIA=%22Localiza%20Chile%22.%22Codreg%22%3D11" u="1"/>
        <s v="https://analytics.zoho.com/open-view/2395394000007782905?ZOHO_CRITERIA=%2227.10%22.%22Id_Regi%C3%B3n%22%20%3D%2010" u="1"/>
        <s v="https://analytics.zoho.com/open-view/2395394000008456438?ZOHO_CRITERIA=%22Localiza%20Chile%22.%22Codreg%22%3D15" u="1"/>
        <s v="https://analytics.zoho.com/open-view/2395394000006789748?ZOHO_CRITERIA=%22Localiza%20CL%22.%22Codreg%22%3D13" u="1"/>
        <s v="https://analytics.zoho.com/open-view/2395394000007732994?ZOHO_CRITERIA=%22Localiza%20CL%22.%22Codreg%22%3D13" u="1"/>
        <s v="https://analytics.zoho.com/open-view/2395394000007782905?ZOHO_CRITERIA=%2227.10%22.%22Id_Regi%C3%B3n%22%20%3D%2011" u="1"/>
        <s v="https://analytics.zoho.com/open-view/2395394000008388979" u="1"/>
        <s v="https://analytics.zoho.com/open-view/2395394000008231090" u="1"/>
        <s v="https://analytics.zoho.com/open-view/2395394000007782905?ZOHO_CRITERIA=%2227.10%22.%22Id_Regi%C3%B3n%22%20%3D%2012" u="1"/>
        <s v="https://analytics.zoho.com/open-view/2395394000008457225?ZOHO_CRITERIA=%22Frecuencia%20Final%20Fecha%22.%22cod_region%22%3D9" u="1"/>
        <s v="https://analytics.zoho.com/open-view/2395394000007782905?ZOHO_CRITERIA=%2227.10%22.%22Id_Regi%C3%B3n%22%20%3D%2013" u="1"/>
        <s v="https://analytics.zoho.com/open-view/2395394000007806463" u="1"/>
        <s v="https://analytics.zoho.com/open-view/2395394000008457225?ZOHO_CRITERIA=%22Frecuencia%20Final%20Fecha%22.%22cod_region%22%3D8" u="1"/>
        <s v="https://analytics.zoho.com/open-view/2395394000008117468?ZOHO_CRITERIA=%22Localiza_CL_Poblacion%22.%22Codreg%22%3D1" u="1"/>
        <s v="https://analytics.zoho.com/open-view/2395394000007782905?ZOHO_CRITERIA=%2227.10%22.%22Id_Regi%C3%B3n%22%20%3D%2014" u="1"/>
        <s v="https://analytics.zoho.com/open-view/2395394000007732994?ZOHO_CRITERIA=%22Localiza%20CL%22.%22Codreg%22%3D1" u="1"/>
        <s v="https://analytics.zoho.com/open-view/2395394000008457225?ZOHO_CRITERIA=%22Frecuencia%20Final%20Fecha%22.%22cod_region%22%3D7" u="1"/>
        <s v="https://analytics.zoho.com/open-view/2395394000007732994?ZOHO_CRITERIA=%22Localiza%20CL%22.%22Codreg%22%3D14" u="1"/>
        <s v="https://analytics.zoho.com/open-view/2395394000008117468?ZOHO_CRITERIA=%22Localiza_CL_Poblacion%22.%22Codreg%22%3D3" u="1"/>
        <s v="https://analytics.zoho.com/open-view/2395394000007782905?ZOHO_CRITERIA=%2227.10%22.%22Id_Regi%C3%B3n%22%20%3D%2015" u="1"/>
        <s v="https://analytics.zoho.com/open-view/2395394000008516725?ZOHO_CRITERIA=%22Localiza%20CL%22.%22Codreg%22%20%3D%2015" u="1"/>
        <s v="https://analytics.zoho.com/open-view/2395394000007732994?ZOHO_CRITERIA=%22Localiza%20CL%22.%22Codreg%22%3D9" u="1"/>
        <s v="https://analytics.zoho.com/open-view/2395394000008457225?ZOHO_CRITERIA=%22Frecuencia%20Final%20Fecha%22.%22cod_region%22%3D6" u="1"/>
        <s v="https://analytics.zoho.com/open-view/2395394000008117468?ZOHO_CRITERIA=%22Localiza_CL_Poblacion%22.%22Codreg%22%3D14" u="1"/>
        <s v="https://analytics.zoho.com/open-view/2395394000007777467?ZOHO_CRITERIA=%22Trasposicion_4.10%22.%22Cod_regi%C3%B3n%22%20%3D%208" u="1"/>
        <s v="https://analytics.zoho.com/open-view/2395394000008117468?ZOHO_CRITERIA=%22Localiza_CL_Poblacion%22.%22Codreg%22%3D5" u="1"/>
        <s v="https://analytics.zoho.com/open-view/2395394000007782905?ZOHO_CRITERIA=%2227.10%22.%22Id_Regi%C3%B3n%22%20%3D%2016" u="1"/>
        <s v="https://app.powerbi.com/view?r=eyJrIjoiZWUwODhjMWEtNGI0OC00NjAyLWE0YTAtYzlhYmUxY2M1MTUxIiwidCI6IjhmYmFhNWJmLTJlY2MtNGRjOC1iNTZiLThmOTJlMzA3ZjA3NiIsImMiOjR9&amp;pageName=ReportSectiona65e1fe79648cd445a4d" u="1"/>
        <s v="https://analytics.zoho.com/open-view/2395394000008457225?ZOHO_CRITERIA=%22Frecuencia%20Final%20Fecha%22.%22cod_region%22%3D5" u="1"/>
        <s v="https://analytics.zoho.com/open-view/2395394000008117468?ZOHO_CRITERIA=%22Localiza_CL_Poblacion%22.%22Codreg%22%3D7" u="1"/>
        <s v="https://analytics.zoho.com/open-view/2395394000008117468?ZOHO_CRITERIA=%22Localiza_CL_Poblacion%22.%22Codreg%22%3D10" u="1"/>
        <s v="https://analytics.zoho.com/open-view/2395394000008457225?ZOHO_CRITERIA=%22Frecuencia%20Final%20Fecha%22.%22cod_region%22%3D4" u="1"/>
        <s v="https://analytics.zoho.com/open-view/2395394000008117468?ZOHO_CRITERIA=%22Localiza_CL_Poblacion%22.%22Codreg%22%3D9" u="1"/>
        <s v="PENDIENTE" u="1"/>
        <s v="https://analytics.zoho.com/open-view/2395394000007732994?ZOHO_CRITERIA=%22Localiza%20CL%22.%22Codreg%22%3D15" u="1"/>
        <s v="https://analytics.zoho.com/open-view/2395394000008643713?ZOHO_CRITERIA=%22Localiza%20CL%22.%22Codreg%22%3D15" u="1"/>
        <s v="https://analytics.zoho.com/open-view/2395394000008457225?ZOHO_CRITERIA=%22Frecuencia%20Final%20Fecha%22.%22cod_region%22%3D3" u="1"/>
        <s v="https://analytics.zoho.com/open-view/2395394000008457225?ZOHO_CRITERIA=%22Frecuencia%20Final%20Fecha%22.%22cod_region%22%3D2" u="1"/>
        <s v="https://analytics.zoho.com/open-view/2395394000008207486?ZOHO_CRITERIA=%224.6%22.%22C%C3%B3digo_Regi%C3%B3n%22%3D2" u="1"/>
        <s v="https://analytics.zoho.com/open-view/2395394000008296020?ZOHO_CRITERIA=%22Consolidado_Estadisticas_Regionales_New%22.%22C%C3%B3digo%20regi%C3%B3n%22%3D1" u="1"/>
        <s v="https://analytics.zoho.com/open-view/2395394000008299691?ZOHO_CRITERIA=%22Consolidado_Estadisticas_Regionales_New%22.%22C%C3%B3digo%20regi%C3%B3n%22%3D1" u="1"/>
        <s v="https://analytics.zoho.com/open-view/2395394000008457225?ZOHO_CRITERIA=%22Frecuencia%20Final%20Fecha%22.%22cod_region%22%3D1" u="1"/>
        <s v="https://analytics.zoho.com/open-view/2395394000006644987" u="1"/>
        <s v="https://analytics.zoho.com/open-view/2395394000008296020?ZOHO_CRITERIA=%22Consolidado_Estadisticas_Regionales_New%22.%22C%C3%B3digo%20regi%C3%B3n%22%3D2" u="1"/>
        <s v="https://analytics.zoho.com/open-view/2395394000008299691?ZOHO_CRITERIA=%22Consolidado_Estadisticas_Regionales_New%22.%22C%C3%B3digo%20regi%C3%B3n%22%3D2" u="1"/>
        <s v="https://analytics.zoho.com/open-view/2395394000007806315" u="1"/>
        <s v="https://analytics.zoho.com/open-view/2395394000008296020?ZOHO_CRITERIA=%22Consolidado_Estadisticas_Regionales_New%22.%22C%C3%B3digo%20regi%C3%B3n%22%3D3" u="1"/>
        <s v="https://analytics.zoho.com/open-view/2395394000008299691?ZOHO_CRITERIA=%22Consolidado_Estadisticas_Regionales_New%22.%22C%C3%B3digo%20regi%C3%B3n%22%3D3" u="1"/>
        <s v="https://analytics.zoho.com/open-view/2395394000007732994?ZOHO_CRITERIA=%22Localiza%20CL%22.%22Codreg%22%3D2" u="1"/>
        <s v="https://analytics.zoho.com/open-view/2395394000007732994?ZOHO_CRITERIA=%22Localiza%20CL%22.%22Codreg%22%3D16" u="1"/>
        <s v="https://analytics.zoho.com/open-view/2395394000007777467?ZOHO_CRITERIA=%22Trasposicion_4.10%22.%22Cod_regi%C3%B3n%22%20%3D%201" u="1"/>
        <s v="https://analytics.zoho.com/open-view/2395394000008257083?ZOHO_CRITERIA=%22Trasposicion_4.10%22.%22Cod_regi%C3%B3n%22%20%3D%201" u="1"/>
        <s v="https://analytics.zoho.com/open-view/2395394000008296020?ZOHO_CRITERIA=%22Consolidado_Estadisticas_Regionales_New%22.%22C%C3%B3digo%20regi%C3%B3n%22%3D4" u="1"/>
        <s v="https://analytics.zoho.com/open-view/2395394000008299691?ZOHO_CRITERIA=%22Consolidado_Estadisticas_Regionales_New%22.%22C%C3%B3digo%20regi%C3%B3n%22%3D4" u="1"/>
        <s v="https://analytics.zoho.com/open-view/2395394000007777467?ZOHO_CRITERIA=%22Trasposicion_4.10%22.%22Cod_regi%C3%B3n%22%20%3D%209" u="1"/>
        <s v="https://analytics.zoho.com/open-view/2395394000008296020?ZOHO_CRITERIA=%22Consolidado_Estadisticas_Regionales_New%22.%22C%C3%B3digo%20regi%C3%B3n%22%3D5" u="1"/>
        <s v="https://analytics.zoho.com/open-view/2395394000008299691?ZOHO_CRITERIA=%22Consolidado_Estadisticas_Regionales_New%22.%22C%C3%B3digo%20regi%C3%B3n%22%3D5" u="1"/>
        <s v="https://analytics.zoho.com/open-view/2395394000008378752?ZOHO_CRITERIA=%2216%20Energ%C3%ADas%20Renovables%20y%20No%20Renovables%22.%22Cod_Regi%C3%B3n%22%20%3D%200" u="1"/>
        <s v="https://analytics.zoho.com/open-view/2395394000008478582?ZOHO_CRITERIA=%2216%20Energ%C3%ADas%20Renovables%20y%20No%20Renovables%22.%22Cod_Regi%C3%B3n%22%20%3D%200" u="1"/>
        <s v="https://analytics.zoho.com/open-view/2395394000008492075?ZOHO_CRITERIA=%2216%20Energ%C3%ADas%20Renovables%20y%20No%20Renovables%22.%22Cod_Regi%C3%B3n%22%20%3D%200" u="1"/>
        <s v="https://analytics.zoho.com/open-view/2395394000008456438?ZOHO_CRITERIA=%22Localiza%20Chile%22.%22Codreg%22%3D12" u="1"/>
        <s v="https://analytics.zoho.com/open-view/2395394000008296020?ZOHO_CRITERIA=%22Consolidado_Estadisticas_Regionales_New%22.%22C%C3%B3digo%20regi%C3%B3n%22%3D6" u="1"/>
        <s v="https://analytics.zoho.com/open-view/2395394000008299691?ZOHO_CRITERIA=%22Consolidado_Estadisticas_Regionales_New%22.%22C%C3%B3digo%20regi%C3%B3n%22%3D6" u="1"/>
        <s v="https://analytics.zoho.com/open-view/2395394000008456438?ZOHO_CRITERIA=%22Localiza%20Chile%22.%22Codreg%22%3D16" u="1"/>
        <s v="https://analytics.zoho.com/open-view/2395394000008296020?ZOHO_CRITERIA=%22Consolidado_Estadisticas_Regionales_New%22.%22C%C3%B3digo%20regi%C3%B3n%22%3D7" u="1"/>
        <s v="https://analytics.zoho.com/open-view/2395394000008299691?ZOHO_CRITERIA=%22Consolidado_Estadisticas_Regionales_New%22.%22C%C3%B3digo%20regi%C3%B3n%22%3D7" u="1"/>
        <s v="https://infogram.com/incendios-2010-2020-1h1749vvopnyq6z?live" u="1"/>
        <s v="https://analytics.zoho.com/open-view/2395394000008296020?ZOHO_CRITERIA=%22Consolidado_Estadisticas_Regionales_New%22.%22C%C3%B3digo%20regi%C3%B3n%22%3D8" u="1"/>
        <s v="https://analytics.zoho.com/open-view/2395394000008299691?ZOHO_CRITERIA=%22Consolidado_Estadisticas_Regionales_New%22.%22C%C3%B3digo%20regi%C3%B3n%22%3D8" u="1"/>
        <s v="https://analytics.zoho.com/open-view/2395394000008296020?ZOHO_CRITERIA=%22Consolidado_Estadisticas_Regionales_New%22.%22C%C3%B3digo%20regi%C3%B3n%22%3D9" u="1"/>
        <s v="https://analytics.zoho.com/open-view/2395394000008299691?ZOHO_CRITERIA=%22Consolidado_Estadisticas_Regionales_New%22.%22C%C3%B3digo%20regi%C3%B3n%22%3D9" u="1"/>
        <s v="https://analytics.zoho.com/open-view/2395394000008516065?ZOHO_CRITERIA=%222.1%22.%22C%C3%B3digo%20Regi%C3%B3n%22%20%3D%200" u="1"/>
        <s v="https://analytics.zoho.com/open-view/2395394000008516451?ZOHO_CRITERIA=%222.1%22.%22C%C3%B3digo%20Regi%C3%B3n%22%20%3D%200" u="1"/>
        <s v="https://analytics.zoho.com/open-view/2395394000008516593?ZOHO_CRITERIA=%222.1%22.%22C%C3%B3digo%20Regi%C3%B3n%22%20%3D%200" u="1"/>
        <s v="https://analytics.zoho.com/open-view/2395394000008516645?ZOHO_CRITERIA=%222.1%22.%22C%C3%B3digo%20Regi%C3%B3n%22%20%3D%200" u="1"/>
        <s v="https://app.powerbi.com/view?r=eyJrIjoiMzMzOTNiMzAtNWQzYy00YWRjLWFkZjEtODJlNGU0ODlkZmNmIiwidCI6IjhmYmFhNWJmLTJlY2MtNGRjOC1iNTZiLThmOTJlMzA3ZjA3NiIsImMiOjR9&amp;pageName=ReportSection08bca2e0063b013060ea" u="1"/>
        <s v="https://analytics.zoho.com/open-view/2395394000007732994?ZOHO_CRITERIA=%22Localiza%20CL%22.%22Codreg%22%3D3" u="1"/>
        <s v="https://analytics.zoho.com/open-view/2395394000008207486?ZOHO_CRITERIA=%224.6%22.%22C%C3%B3digo_Regi%C3%B3n%22%3D12" u="1"/>
        <s v="https://analytics.zoho.com/open-view/2395394000008296020?ZOHO_CRITERIA=%22Consolidado_Estadisticas_Regionales_New%22.%22C%C3%B3digo%20regi%C3%B3n%22%3D10" u="1"/>
        <s v="https://analytics.zoho.com/open-view/2395394000008299691?ZOHO_CRITERIA=%22Consolidado_Estadisticas_Regionales_New%22.%22C%C3%B3digo%20regi%C3%B3n%22%3D10" u="1"/>
        <s v="https://analytics.zoho.com/open-view/2395394000007777467?ZOHO_CRITERIA=%22Trasposicion_4.10%22.%22Cod_regi%C3%B3n%22%20%3D%202" u="1"/>
        <s v="https://analytics.zoho.com/open-view/2395394000008257083?ZOHO_CRITERIA=%22Trasposicion_4.10%22.%22Cod_regi%C3%B3n%22%20%3D%202" u="1"/>
        <s v="https://app.powerbi.com/view?r=eyJrIjoiYTI3ZjVjZDMtZGI1My00ZmI2LWIzNTQtZTEzYTg0OTBiOTJhIiwidCI6IjhmYmFhNWJmLTJlY2MtNGRjOC1iNTZiLThmOTJlMzA3ZjA3NiIsImMiOjR9&amp;pageName=ReportSectiond48f98dfacc7e0670cf6" u="1"/>
        <s v="https://analytics.zoho.com/open-view/2395394000008117468?ZOHO_CRITERIA=%22Localiza_CL_Poblacion%22.%22Codreg%22%3D15" u="1"/>
        <s v="https://analytics.zoho.com/open-view/2395394000008296020?ZOHO_CRITERIA=%22Consolidado_Estadisticas_Regionales_New%22.%22C%C3%B3digo%20regi%C3%B3n%22%3D12" u="1"/>
        <s v="https://analytics.zoho.com/open-view/2395394000008299691?ZOHO_CRITERIA=%22Consolidado_Estadisticas_Regionales_New%22.%22C%C3%B3digo%20regi%C3%B3n%22%3D12" u="1"/>
        <s v="https://public.flourish.studio/visualisation/4642993/" u="1"/>
        <s v="https://analytics.zoho.com/open-view/2395394000008745260?ZOHO_CRITERIA=%22Consolidado_Estadisticas_Regionales_New%22.%22C%C3%B3digo%20regi%C3%B3n%22%20%3D%205" u="1"/>
        <s v="https://analytics.zoho.com/open-view/2395394000008760041?ZOHO_CRITERIA=%22Consolidado_Estadisticas_Regionales_New%22.%22C%C3%B3digo%20regi%C3%B3n%22%20%3D%205" u="1"/>
        <s v="https://analytics.zoho.com/open-view/2395394000008117468?ZOHO_CRITERIA=%22Localiza_CL_Poblacion%22.%22Codreg%22%3D11" u="1"/>
        <s v="https://analytics.zoho.com/open-view/2395394000008296020?ZOHO_CRITERIA=%22Consolidado_Estadisticas_Regionales_New%22.%22C%C3%B3digo%20regi%C3%B3n%22%3D14" u="1"/>
        <s v="https://analytics.zoho.com/open-view/2395394000008299691?ZOHO_CRITERIA=%22Consolidado_Estadisticas_Regionales_New%22.%22C%C3%B3digo%20regi%C3%B3n%22%3D14" u="1"/>
        <s v="https://analytics.zoho.com/open-view/2395394000008383927" u="1"/>
        <s v="https://analytics.zoho.com/open-view/2395394000008094339?ZOHO_CRITERIA=%22Consolidado_Estadisticas_Regionales_New%22.%22C%C3%B3digo%20regi%C3%B3n%22%20%3D%203" u="1"/>
        <s v="https://analytics.zoho.com/open-view/2395394000008760041?ZOHO_CRITERIA=%22Consolidado_Estadisticas_Regionales_New%22.%22C%C3%B3digo%20regi%C3%B3n%22%20%3D%203" u="1"/>
        <s v="https://analytics.zoho.com/open-view/2395394000008296020?ZOHO_CRITERIA=%22Consolidado_Estadisticas_Regionales_New%22.%22C%C3%B3digo%20regi%C3%B3n%22%3D16" u="1"/>
        <s v="https://analytics.zoho.com/open-view/2395394000008299691?ZOHO_CRITERIA=%22Consolidado_Estadisticas_Regionales_New%22.%22C%C3%B3digo%20regi%C3%B3n%22%3D16" u="1"/>
        <s v="https://analytics.zoho.com/open-view/2395394000008295693" u="1"/>
        <s v="https://analytics.zoho.com/open-view/2395394000008094339?ZOHO_CRITERIA=%22Consolidado_Estadisticas_Regionales_New%22.%22C%C3%B3digo%20regi%C3%B3n%22%20%3D%201" u="1"/>
        <s v="https://analytics.zoho.com/open-view/2395394000008760041?ZOHO_CRITERIA=%22Consolidado_Estadisticas_Regionales_New%22.%22C%C3%B3digo%20regi%C3%B3n%22%20%3D%201" u="1"/>
        <s v="https://analytics.zoho.com/open-view/2395394000008413090?ZOHO_CRITERIA=%228.3%20Licencias_conducir%22.%22Codreg%22%3D0" u="1"/>
        <s v="https://analytics.zoho.com/open-view/2395394000008413167?ZOHO_CRITERIA=%228.3%20Licencias_conducir%22.%22Codreg%22%3D0" u="1"/>
        <s v="https://analytics.zoho.com/open-view/2395394000008475578?ZOHO_CRITERIA=%228.3%20Licencias_conducir%22.%22Codreg%22%3D0" u="1"/>
        <s v="https://analytics.zoho.com/open-view/2395394000008464607?ZOHO_CRITERIA=%22Localiza%20CL%22.%22Codreg%22%20%3D%200" u="1"/>
        <s v="https://analytics.zoho.com/open-view/2395394000008464727?ZOHO_CRITERIA=%22Localiza%20CL%22.%22Codreg%22%20%3D%200" u="1"/>
        <s v="https://analytics.zoho.com/open-view/2395394000008478003?ZOHO_CRITERIA=%22Localiza%20CL%22.%22Codreg%22%20%3D%200" u="1"/>
        <s v="https://analytics.zoho.com/open-view/2395394000008516001?ZOHO_CRITERIA=%2227.10%22.%22Id_Regi%C3%B3n%22%20%3D%200" u="1"/>
        <s v="https://analytics.zoho.com/open-view/2395394000008516725?ZOHO_CRITERIA=%22Localiza%20CL%22.%22Codreg%22%20%3D%200" u="1"/>
        <s v="https://analytics.zoho.com/open-view/2395394000007782905?ZOHO_CRITERIA=%2227.10%22.%22Id_Regi%C3%B3n%22%20%3D%201" u="1"/>
        <s v="https://analytics.zoho.com/open-view/2395394000007782905?ZOHO_CRITERIA=%2227.10%22.%22Id_Regi%C3%B3n%22%20%3D%202" u="1"/>
        <s v="https://analytics.zoho.com/open-view/2395394000007782905?ZOHO_CRITERIA=%2227.10%22.%22Id_Regi%C3%B3n%22%20%3D%203" u="1"/>
        <s v="https://analytics.zoho.com/open-view/2395394000007782905?ZOHO_CRITERIA=%2227.10%22.%22Id_Regi%C3%B3n%22%20%3D%204" u="1"/>
        <s v="https://analytics.zoho.com/open-view/2395394000007782905?ZOHO_CRITERIA=%2227.10%22.%22Id_Regi%C3%B3n%22%20%3D%205" u="1"/>
        <s v="https://analytics.zoho.com/open-view/2395394000007782905?ZOHO_CRITERIA=%2227.10%22.%22Id_Regi%C3%B3n%22%20%3D%206" u="1"/>
        <s v="https://analytics.zoho.com/open-view/2395394000007782905?ZOHO_CRITERIA=%2227.10%22.%22Id_Regi%C3%B3n%22%20%3D%207" u="1"/>
        <s v="https://analytics.zoho.com/open-view/2395394000007782905?ZOHO_CRITERIA=%2227.10%22.%22Id_Regi%C3%B3n%22%20%3D%208" u="1"/>
        <s v="https://analytics.zoho.com/open-view/2395394000007782905?ZOHO_CRITERIA=%2227.10%22.%22Id_Regi%C3%B3n%22%20%3D%209" u="1"/>
        <s v="https://analytics.zoho.com/open-view/2395394000008189059?ZOHO_CRITERIA=%221.1%20Lugar_Salida_Entrada%22.%22C%C3%B3digo%20Regi%C3%B3n%22%3D0" u="1"/>
        <s v="https://analytics.zoho.com/open-view/2395394000007732994?ZOHO_CRITERIA=%22Localiza%20CL%22.%22Codreg%22%3D4" u="1"/>
        <s v="https://analytics.zoho.com/open-view/2395394000007777467?ZOHO_CRITERIA=%22Trasposicion_4.10%22.%22Cod_regi%C3%B3n%22%20%3D%203" u="1"/>
        <s v="https://analytics.zoho.com/open-view/2395394000008257083?ZOHO_CRITERIA=%22Trasposicion_4.10%22.%22Cod_regi%C3%B3n%22%20%3D%203" u="1"/>
        <s v="https://analytics.zoho.com/open-view/2395394000008456438?ZOHO_CRITERIA=%22Localiza%20Chile%22.%22Codreg%22%3D13" u="1"/>
        <s v="https://app.powerbi.com/view?r=eyJrIjoiMTBhYjVkMTQtNDA3MC00ZmI5LTljZDMtM2Q3MTgyNGM3ZWYxIiwidCI6IjhmYmFhNWJmLTJlY2MtNGRjOC1iNTZiLThmOTJlMzA3ZjA3NiIsImMiOjR9" u="1"/>
        <s v="https://app.powerbi.com/view?r=eyJrIjoiNjMzYThjMGUtNjRjNy00OTM5LTgxOGEtNTk0YzE5MWU3M2YxIiwidCI6IjhmYmFhNWJmLTJlY2MtNGRjOC1iNTZiLThmOTJlMzA3ZjA3NiIsImMiOjR9" u="1"/>
        <s v="https://app.powerbi.com/view?r=eyJrIjoiNzk5ZjYxMTUtMTIwZi00NWEwLTk4NzUtZWZmYmFlOTk2ODljIiwidCI6IjhmYmFhNWJmLTJlY2MtNGRjOC1iNTZiLThmOTJlMzA3ZjA3NiIsImMiOjR9" u="1"/>
        <s v="https://app.powerbi.com/view?r=eyJrIjoiOTYzMmNhMzUtZjhhZi00ZWU2LTgwMGQtZGJmMjk4MGE3YzE3IiwidCI6IjhmYmFhNWJmLTJlY2MtNGRjOC1iNTZiLThmOTJlMzA3ZjA3NiIsImMiOjR9" u="1"/>
        <s v="https://app.powerbi.com/view?r=eyJrIjoiZDhlM2ZjNDQtYjE2My00NmY3LWE5ZjktNjI2NGZkMDA0Njc3IiwidCI6IjhmYmFhNWJmLTJlY2MtNGRjOC1iNTZiLThmOTJlMzA3ZjA3NiIsImMiOjR9" u="1"/>
        <s v="https://app.powerbi.com/view?r=eyJrIjoiZmYzNzdjZDQtZGYyZS00MTVhLThmMDYtNjY2ZTA0YjIwOGM0IiwidCI6IjhmYmFhNWJmLTJlY2MtNGRjOC1iNTZiLThmOTJlMzA3ZjA3NiIsImMiOjR9" u="1"/>
        <s v="https://analytics.zoho.com/open-view/2395394000007777467?ZOHO_CRITERIA=%22Trasposicion_4.10%22.%22Cod_regi%C3%B3n%22%20%3D%2010" u="1"/>
        <s v="https://analytics.zoho.com/open-view/2395394000008117468?ZOHO_CRITERIA=%22Localiza_CL_Poblacion%22.%22Codreg%22%3D2" u="1"/>
        <s v="https://analytics.zoho.com/open-view/2395394000008386951?ZOHO_CRITERIA=%228.1%20Permiso_circulaci%C3%B3n%22.%22Codreg%22%3D9" u="1"/>
        <s v="https://analytics.zoho.com/open-view/2395394000007732994?ZOHO_CRITERIA=%22Localiza%20CL%22.%22Codreg%22%3D5" u="1"/>
        <s v="https://analytics.zoho.com/open-view/2395394000008117468?ZOHO_CRITERIA=%22Localiza_CL_Poblacion%22.%22Codreg%22%3D16" u="1"/>
        <s v="https://analytics.zoho.com/open-view/2395394000007777467?ZOHO_CRITERIA=%22Trasposicion_4.10%22.%22Cod_regi%C3%B3n%22%20%3D%204" u="1"/>
        <s v="https://analytics.zoho.com/open-view/2395394000008117468?ZOHO_CRITERIA=%22Localiza_CL_Poblacion%22.%22Codreg%22%3D4" u="1"/>
        <s v="https://analytics.zoho.com/open-view/2395394000008386951?ZOHO_CRITERIA=%228.1%20Permiso_circulaci%C3%B3n%22.%22Codreg%22%3D8" u="1"/>
        <s v="https://analytics.zoho.com/open-view/2395394000008117468?ZOHO_CRITERIA=%22Localiza_CL_Poblacion%22.%22Codreg%22%3D6" u="1"/>
        <s v="https://analytics.zoho.com/open-view/2395394000008117468?ZOHO_CRITERIA=%22Localiza_CL_Poblacion%22.%22Codreg%22%3D12" u="1"/>
        <s v="https://analytics.zoho.com/open-view/2395394000008386951?ZOHO_CRITERIA=%228.1%20Permiso_circulaci%C3%B3n%22.%22Codreg%22%3D7" u="1"/>
        <s v="https://analytics.zoho.com/open-view/2395394000008117468?ZOHO_CRITERIA=%22Localiza_CL_Poblacion%22.%22Codreg%22%3D8" u="1"/>
        <s v="https://analytics.zoho.com/open-view/2395394000008386951?ZOHO_CRITERIA=%228.1%20Permiso_circulaci%C3%B3n%22.%22Codreg%22%3D6" u="1"/>
        <s v="https://analytics.zoho.com/open-view/2395394000008161153" u="1"/>
        <s v="https://analytics.zoho.com/open-view/2395394000007777467?ZOHO_CRITERIA=%22Trasposicion_4.10%22.%22Cod_regi%C3%B3n%22%20%3D%2011" u="1"/>
        <s v="https://analytics.zoho.com/open-view/2395394000008257083?ZOHO_CRITERIA=%22Trasposicion_4.10%22.%22Cod_regi%C3%B3n%22%20%3D%2011" u="1"/>
        <s v="https://analytics.zoho.com/open-view/2395394000008386951?ZOHO_CRITERIA=%228.1%20Permiso_circulaci%C3%B3n%22.%22Codreg%22%3D5" u="1"/>
      </sharedItems>
    </cacheField>
    <cacheField name="Suscripcion" numFmtId="0">
      <sharedItems containsMixedTypes="1" containsNumber="1" containsInteger="1" minValue="0" maxValue="0"/>
    </cacheField>
    <cacheField name="Color" numFmtId="0">
      <sharedItems/>
    </cacheField>
    <cacheField name="id_grafico" numFmtId="0">
      <sharedItems/>
    </cacheField>
    <cacheField name="idterritorio" numFmtId="0">
      <sharedItems containsSemiMixedTypes="0" containsString="0" containsNumber="1" containsInteger="1" minValue="26200010" maxValue="99200016"/>
    </cacheField>
    <cacheField name="id_tema" numFmtId="0">
      <sharedItems/>
    </cacheField>
    <cacheField name="id_contenido" numFmtId="0">
      <sharedItems/>
    </cacheField>
    <cacheField name="idfiltro" numFmtId="0">
      <sharedItems/>
    </cacheField>
    <cacheField name="id_muestra" numFmtId="0">
      <sharedItems/>
    </cacheField>
  </cacheFields>
  <extLst>
    <ext xmlns:x14="http://schemas.microsoft.com/office/spreadsheetml/2009/9/main" uri="{725AE2AE-9491-48be-B2B4-4EB974FC3084}">
      <x14:pivotCacheDefinition pivotCacheId="5779027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67.338055902779" createdVersion="7" refreshedVersion="7" minRefreshableVersion="3" recordCount="1991" xr:uid="{8FBF8968-6F1D-4FB3-A103-E788B558106B}">
  <cacheSource type="worksheet">
    <worksheetSource ref="A11:U2002" sheet="Agencia"/>
  </cacheSource>
  <cacheFields count="21">
    <cacheField name="id" numFmtId="0">
      <sharedItems/>
    </cacheField>
    <cacheField name="idcoleccion" numFmtId="0">
      <sharedItems containsSemiMixedTypes="0" containsString="0" containsNumber="1" containsInteger="1" minValue="990" maxValue="990"/>
    </cacheField>
    <cacheField name="coleccion" numFmtId="0">
      <sharedItems/>
    </cacheField>
    <cacheField name="sector" numFmtId="0">
      <sharedItems/>
    </cacheField>
    <cacheField name="Filtro URL" numFmtId="0">
      <sharedItems containsSemiMixedTypes="0" containsString="0" containsNumber="1" containsInteger="1" minValue="0" maxValue="3104"/>
    </cacheField>
    <cacheField name="tema" numFmtId="0">
      <sharedItems containsBlank="1" count="168">
        <s v="Ingreso Promedio Regional"/>
        <s v="PSU"/>
        <s v="Violaciones"/>
        <s v="Ingreso Promedio Nacional"/>
        <s v="Ingreso por etnia"/>
        <s v="Indicadores de Calidad de Educación Municipal"/>
        <s v="Casos Activos "/>
        <s v="Exportaciones"/>
        <s v="Abuso sexual"/>
        <s v="Establecimientos Larga Estadía para Adultos Mayores (ELEAM)"/>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Dinámica de Cambio de Glaciares en temporada seca (Ene-Abr)"/>
        <s v="Dinámica de Cambio de Glaciares en temporada fria (May-Dic)"/>
        <s v="Dinámica de Cambio de Glaciares"/>
        <s v="Superficie de Glaciares"/>
        <s v="Evolución COVID-19" u="1"/>
        <m u="1"/>
        <s v="Emisiones de CO2 " u="1"/>
        <s v="Indicador de Participación y formación ciudadana" u="1"/>
        <s v="Atenciones" u="1"/>
        <s v="Superficie plantada" u="1"/>
        <s v="IPTs Locales (PRC, LU, PS)" u="1"/>
        <s v="Ingresos regionales" u="1"/>
        <s v="Casas de Acogida" u="1"/>
        <s v="Monitoreo de Glaciares"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Ingresos promedio" u="1"/>
        <s v="SIMCE Lectura 2° Medio" u="1"/>
        <s v="SIMCE Lectura 4° Básico" u="1"/>
        <s v="Emisiones y absorciones de CO2" u="1"/>
        <s v="Relación con el femicida" u="1"/>
        <s v="Pórticos Autopistas Interurbanas" u="1"/>
        <s v="SIMCE Matemáticas 2° Medio" u="1"/>
        <s v="Consultas Salud Mental" u="1"/>
        <s v="Ventas anuales" u="1"/>
        <s v="Casos activos COVID-19" u="1"/>
        <s v="Volumen de exportaciones" u="1"/>
        <s v="Volumen de importaciones" u="1"/>
        <s v="Propietarios" u="1"/>
        <s v="Evolución diaria" u="1"/>
        <s v="Pesca Industrial y Artesanal" u="1"/>
        <s v="Plan Regional de Desarrollo Urbano (PRDU)" u="1"/>
        <s v="Casos de VIF" u="1"/>
        <s v="Solicitudes autorizadas" u="1"/>
        <s v="Envases" u="1"/>
        <s v="Estado mantención" u="1"/>
        <s v="Ingresos por etnia" u="1"/>
        <s v="Evolución de incendios" u="1"/>
        <s v="Áreas Verdes Mantenidas por Habitante" u="1"/>
        <s v="Clima de Convivencia Escolar" u="1"/>
        <s v="otro" u="1"/>
        <s v="Centros de la Mujer" u="1"/>
        <s v="Edad" u="1"/>
        <s v="Delitos de Mayor Connotación Social" u="1"/>
        <s v="Potencia Neta" u="1"/>
        <s v="Emisiones por quema de combustible" u="1"/>
        <s v="Frecuencia de delitos" u="1"/>
        <s v="SIMCE Lectura 6° Básico" u="1"/>
        <s v="Sentencias por delitos de abuso sexual" u="1"/>
        <s v="Precios de hortalizas" u="1"/>
        <s v="Superficie de plantaciones afectadas por incendios" u="1"/>
        <s v="Autoestima Académica y Motivación Escolar" u="1"/>
        <s v="Absorciones de CO2" u="1"/>
        <s v="Emisiones netas de CO2" u="1"/>
        <s v="Denuncias" u="1"/>
        <s v="Producción Agrícola" u="1"/>
        <s v="Ubicación" u="1"/>
      </sharedItems>
    </cacheField>
    <cacheField name="contenido" numFmtId="0">
      <sharedItems containsBlank="1" count="96">
        <s v="Ingresos Históricos"/>
        <s v="Métricas de la Educación"/>
        <s v="Violencia Contra la Mujer"/>
        <s v="Gestión Municipal de Educación"/>
        <s v="COVID-19"/>
        <s v="Agricultura"/>
        <s v="Protección Adultos Mayores"/>
        <s v="Evaluación de Programas"/>
        <s v="Forestal"/>
        <s v="Cultura"/>
        <s v="Delincuencia"/>
        <s v="Territorio"/>
        <s v="Empresas"/>
        <s v="Energía"/>
        <s v="Mujer Salud"/>
        <s v="Programas de Salud"/>
        <s v="Vulnerabilidad"/>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Pesca y Acuicultura"/>
        <s v="Economía"/>
        <s v="Pobreza"/>
        <s v="Protección de Menores"/>
        <s v="Glaciares"/>
        <s v="Evolución COVID-19" u="1"/>
        <s v="Licencias de Conducir" u="1"/>
        <m u="1"/>
        <s v="Ingreso por etnia" u="1"/>
        <s v="Instrumentos de Planificación Territorial (IPT)" u="1"/>
        <s v="GEI" u="1"/>
        <s v="SIMCE" u="1"/>
        <s v="Permisos de circulación" u="1"/>
        <s v="Importaciones" u="1"/>
        <s v="Solicitudes edificación" u="1"/>
        <s v="Hábitos de vida saludable"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Pesca" u="1"/>
        <s v="Estadísticas vitales" u="1"/>
        <s v="Cáncer Cuello Cervicouterino" u="1"/>
        <s v="Trabajadores" u="1"/>
        <s v="Establecimientos de Apoyo" u="1"/>
        <s v="Población" u="1"/>
        <s v="Enfermedades de Transmisión Sexual" u="1"/>
        <s v="Violaciones" u="1"/>
        <s v="Infraestructura" u="1"/>
        <s v="Desembarque" u="1"/>
        <s v="Comercio" u="1"/>
        <s v="Precios" u="1"/>
        <s v="Incendios Forestales" u="1"/>
        <s v="Monitoreo" u="1"/>
        <s v="Abuso sexual" u="1"/>
        <s v="Manufacturas" u="1"/>
        <s v="Clima de Convivencia escolar" u="1"/>
        <s v="Salud Mental" u="1"/>
        <s v="Otro" u="1"/>
        <s v="Ventas" u="1"/>
        <s v="Participación y formación ciudadana" u="1"/>
        <s v="Gases de Efecto Invernadero (GEI)" u="1"/>
        <s v="Delitos de Mayor Connotación Social" u="1"/>
        <s v="Infraestructura Cultural" u="1"/>
        <s v="Autoestima y Motivación" u="1"/>
        <s v="Calidad de la Educación" u="1"/>
        <s v="Parque vehicular escolar" u="1"/>
        <s v="Atenciones de Salud Violencia de Género" u="1"/>
        <s v="Plantaciones" u="1"/>
        <s v="Métricas de Educación" u="1"/>
      </sharedItems>
    </cacheField>
    <cacheField name="escala" numFmtId="0">
      <sharedItems containsBlank="1" count="5">
        <s v="País"/>
        <s v="Región"/>
        <m u="1"/>
        <s v="Regional" u="1"/>
        <s v="Comunal" u="1"/>
      </sharedItems>
    </cacheField>
    <cacheField name="territorio" numFmtId="0">
      <sharedItems containsBlank="1" count="363">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s v="Pirque" u="1"/>
        <s v="Ollagüe" u="1"/>
        <s v="Peñaflor" u="1"/>
        <s v="Coihaique" u="1"/>
        <s v="Padre las Casas" u="1"/>
        <s v="Diego de Almagro" u="1"/>
        <m u="1"/>
        <s v="Aisén" u="1"/>
        <s v="Chanco" u="1"/>
        <s v="Doñihue" u="1"/>
        <s v="Llaillay" u="1"/>
        <s v="Torres del Paine" u="1"/>
        <s v="Cunco" u="1"/>
        <s v="Calbuco" u="1"/>
        <s v="Loncoche" u="1"/>
        <s v="Putaendo" u="1"/>
        <s v="Pichilemu" u="1"/>
        <s v="Calle Larga" u="1"/>
        <s v="San Gregorio" u="1"/>
        <s v="Olivar" u="1"/>
        <s v="Lautaro" u="1"/>
        <s v="Lago Ranco" u="1"/>
        <s v="Pudahuel" u="1"/>
        <s v="Treguaco" u="1"/>
        <s v="Río Ibáñez" u="1"/>
        <s v="Santa María" u="1"/>
        <s v="Tomé" u="1"/>
        <s v="Vallenar" u="1"/>
        <s v="Río Bueno" u="1"/>
        <s v="Illapel" u="1"/>
        <s v="Marchihue" u="1"/>
        <s v="Hijuelas" u="1"/>
        <s v="Purranque" u="1"/>
        <s v="Río Verde" u="1"/>
        <s v="Las Cabras" u="1"/>
        <s v="Gorbea" u="1"/>
        <s v="Osorno" u="1"/>
        <s v="Placilla" u="1"/>
        <s v="Tierra Amarilla" u="1"/>
        <s v="Parral" u="1"/>
        <s v="Freirina" u="1"/>
        <s v="La Unión" u="1"/>
        <s v="Rancagua" u="1"/>
        <s v="San Felipe" u="1"/>
        <s v="Constitución" u="1"/>
        <s v="Rauco" u="1"/>
        <s v="Antuco" u="1"/>
        <s v="El Carmen" u="1"/>
        <s v="Punitaqui" u="1"/>
        <s v="San Fabián" u="1"/>
        <s v="La Estrella" u="1"/>
        <s v="Pozo Almonte" u="1"/>
        <s v="Ancud" u="1"/>
        <s v="Caldera" u="1"/>
        <s v="Licantén" u="1"/>
        <s v="Santa Cruz" u="1"/>
        <s v="San Clemente" u="1"/>
        <s v="Pucón" u="1"/>
        <s v="Colina" u="1"/>
        <s v="Yumbel" u="1"/>
        <s v="Pelarco" u="1"/>
        <s v="Tucapel" u="1"/>
        <s v="Coltauco" u="1"/>
        <s v="La Ligua" u="1"/>
        <s v="Pitrufquén" u="1"/>
        <s v="Los Muermos" u="1"/>
        <s v="Máfil" u="1"/>
        <s v="Penco" u="1"/>
        <s v="Melipeuco" u="1"/>
        <s v="Paredones" u="1"/>
        <s v="Cerro Navia" u="1"/>
        <s v="Alto Hospicio" u="1"/>
        <s v="Juan Fernández" u="1"/>
        <s v="Nueva Imperial" u="1"/>
        <s v="Renca" u="1"/>
        <s v="Mulchén" u="1"/>
        <s v="Navidad" u="1"/>
        <s v="Guaitecas" u="1"/>
        <s v="Valparaíso" u="1"/>
        <s v="Chillán Viejo" u="1"/>
        <s v="Macul" u="1"/>
        <s v="Lumaco" u="1"/>
        <s v="Coronel" u="1"/>
        <s v="Cochrane" u="1"/>
        <s v="Hualaihué" u="1"/>
        <s v="Quilicura" u="1"/>
        <s v="Petorca" u="1"/>
        <s v="Puyehue" u="1"/>
        <s v="Chonchi" u="1"/>
        <s v="Hualañé" u="1"/>
        <s v="Chañaral" u="1"/>
        <s v="Paiguano" u="1"/>
        <s v="Providencia" u="1"/>
        <s v="Puerto Octay" u="1"/>
        <s v="Cañete" u="1"/>
        <s v="Casablanca" u="1"/>
        <s v="Lampa" u="1"/>
        <s v="Chillán" u="1"/>
        <s v="Los Lagos" u="1"/>
        <s v="Primavera" u="1"/>
        <s v="La Cisterna" u="1"/>
        <s v="Laguna Blanca" u="1"/>
        <s v="Temuco" u="1"/>
        <s v="Cabrero" u="1"/>
        <s v="Iquique" u="1"/>
        <s v="Mostazal" u="1"/>
        <s v="Mariquina" u="1"/>
        <s v="Lota" u="1"/>
        <s v="Tortel" u="1"/>
        <s v="Hualqui" u="1"/>
        <s v="Contulmo" u="1"/>
        <s v="Timaukel" u="1"/>
        <s v="Galvarino" u="1"/>
        <s v="Curacautín" u="1"/>
        <s v="Los Andes" u="1"/>
        <s v="San Rosendo" u="1"/>
        <s v="Curicó" u="1"/>
        <s v="Vicuña" u="1"/>
        <s v="La Cruz" u="1"/>
        <s v="Los Vilos" u="1"/>
        <s v="Cobquecura" u="1"/>
        <s v="Combarbalá" u="1"/>
        <s v="La Florida" u="1"/>
        <s v="San Rafael" u="1"/>
        <s v="Tirúa" u="1"/>
        <s v="Freire" u="1"/>
        <s v="El Monte" u="1"/>
        <s v="La Pintana" u="1"/>
        <s v="Pica" u="1"/>
        <s v="Tiltil" u="1"/>
        <s v="Coelemu" u="1"/>
        <s v="Valdivia" u="1"/>
        <s v="Pichidegua" u="1"/>
        <s v="María Elena" u="1"/>
        <s v="San Bernardo" u="1"/>
        <s v="Peumo" u="1"/>
        <s v="Molina" u="1"/>
        <s v="Quilaco" u="1"/>
        <s v="Saavedra" u="1"/>
        <s v="Quinta de Tilcoco" u="1"/>
        <s v="Lanco" u="1"/>
        <s v="Huasco" u="1"/>
        <s v="Curacaví" u="1"/>
        <s v="Dalcahue" u="1"/>
        <s v="Melipilla" u="1"/>
        <s v="Peñalolén" u="1"/>
        <s v="San Javier" u="1"/>
        <s v="Paine" u="1"/>
        <s v="Talagante" u="1"/>
        <s v="San Antonio" u="1"/>
        <s v="San Fernando" u="1"/>
        <s v="Viña del Mar" u="1"/>
        <s v="Teodoro Schmidt" u="1"/>
        <s v="Papudo" u="1"/>
        <s v="Chaitén" u="1"/>
        <s v="Cochamó" u="1"/>
        <s v="Nancagua" u="1"/>
        <s v="Taltal" u="1"/>
        <s v="Llanquihue" u="1"/>
        <s v="San Nicolás" u="1"/>
        <s v="San Pedro de la Paz" u="1"/>
        <s v="Huara" u="1"/>
        <s v="Renaico" u="1"/>
        <s v="Porvenir" u="1"/>
        <s v="Vitacura" u="1"/>
        <s v="Sierra Gorda" u="1"/>
        <s v="Isla de Pascua" u="1"/>
        <s v="Queilén" u="1"/>
        <s v="Lonquimay" u="1"/>
        <s v="Huechuraba" u="1"/>
        <s v="San Joaquín" u="1"/>
        <s v="Santa Juana" u="1"/>
        <s v="Estación Central" u="1"/>
        <s v="San Juan de La Costa" u="1"/>
        <s v="Catemu" u="1"/>
        <s v="Retiro" u="1"/>
        <s v="Ñiquén" u="1"/>
        <s v="Cabildo" u="1"/>
        <s v="Coihueco" u="1"/>
        <s v="Pumanque" u="1"/>
        <s v="Concepción" u="1"/>
        <s v="Lago Verde" u="1"/>
        <s v="Talcahuano" u="1"/>
        <s v="Lo Barnechea" u="1"/>
        <s v="Carahue" u="1"/>
        <s v="Colchane" u="1"/>
        <s v="Traiguén" u="1"/>
        <s v="Algarrobo" u="1"/>
        <s v="Cerrillos" u="1"/>
        <s v="Frutillar" u="1"/>
        <s v="Vilcún" u="1"/>
        <s v="Paillaco" u="1"/>
        <s v="Quirihue" u="1"/>
        <s v="Andacollo" u="1"/>
        <s v="Río Claro" u="1"/>
        <s v="Villarrica" u="1"/>
        <s v="Chiguayante" u="1"/>
        <s v="Puerto Montt" u="1"/>
        <s v="Bulnes" u="1"/>
        <s v="Quilleco" u="1"/>
        <s v="Cauquenes" u="1"/>
        <s v="Futaleufú" u="1"/>
        <s v="Vichuquén" u="1"/>
        <s v="Santo Domingo" u="1"/>
        <s v="Limache" u="1"/>
        <s v="Empedrado" u="1"/>
        <s v="Portezuelo" u="1"/>
        <s v="San Miguel" u="1"/>
        <s v="Purén" u="1"/>
        <s v="Coquimbo" u="1"/>
        <s v="Pelluhue" u="1"/>
        <s v="Rinconada" u="1"/>
        <s v="Villa Alemana" u="1"/>
        <s v="Pinto" u="1"/>
        <s v="Fresia" u="1"/>
        <s v="Pemuco" u="1"/>
        <s v="Curarrehue" u="1"/>
        <s v="Buin" u="1"/>
        <s v="Lebu" u="1"/>
        <s v="Camiña" u="1"/>
        <s v="Quellón" u="1"/>
        <s v="Romeral" u="1"/>
        <s v="Angol" u="1"/>
        <s v="Pencahue" u="1"/>
        <s v="Victoria" u="1"/>
        <s v="Quinta Normal" u="1"/>
        <s v="Rengo" u="1"/>
        <s v="Canela" u="1"/>
        <s v="Nogales" u="1"/>
        <s v="Conchalí" u="1"/>
        <s v="Cartagena" u="1"/>
        <s v="Antofagasta" u="1"/>
        <s v="Monte Patria" u="1"/>
        <s v="Alhué" u="1"/>
        <s v="Arica" u="1"/>
        <s v="Calera" u="1"/>
        <s v="Malloa" u="1"/>
        <s v="El Tabo" u="1"/>
        <s v="Florida" u="1"/>
        <s v="Hualpén" u="1"/>
        <s v="Perquenco" u="1"/>
        <s v="Salamanca" u="1"/>
        <s v="Mejillones" u="1"/>
        <s v="San Carlos" u="1"/>
        <s v="Curaco de Vélez" u="1"/>
        <s v="Negrete" u="1"/>
        <s v="Quillota" u="1"/>
        <s v="O'Higgins" u="1"/>
        <s v="Panquehue" u="1"/>
        <s v="Puerto Varas" u="1"/>
        <s v="Maule" u="1"/>
        <s v="Arauco" u="1"/>
        <s v="Longaví" u="1"/>
        <s v="Maullín" u="1"/>
        <s v="Olmué" u="1"/>
        <s v="Ñuñoa" u="1"/>
        <s v="Natales" u="1"/>
        <s v="Quilpué" u="1"/>
        <s v="Lo Prado" u="1"/>
        <s v="Palmilla" u="1"/>
        <s v="El Quisco" u="1"/>
        <s v="Puqueldón" u="1"/>
        <s v="Los Sauces" u="1"/>
        <s v="Río Hurtado" u="1"/>
        <s v="Pedro Aguirre Cerda" u="1"/>
        <s v="Laja" u="1"/>
        <s v="Colbún" u="1"/>
        <s v="Quillón" u="1"/>
        <s v="La Granja" u="1"/>
        <s v="San Pablo" u="1"/>
        <s v="San Ramón" u="1"/>
        <s v="San Ignacio" u="1"/>
        <s v="Ránquil" u="1"/>
        <s v="Tocopilla" u="1"/>
        <s v="Chile Chico" u="1"/>
        <s v="Quemchi" u="1"/>
        <s v="Quinchao" u="1"/>
        <s v="Chimbarongo" u="1"/>
        <s v="Putre" u="1"/>
        <s v="Concón" u="1"/>
        <s v="Ovalle" u="1"/>
        <s v="Palena" u="1"/>
        <s v="Toltén" u="1"/>
        <s v="Futrono" u="1"/>
        <s v="Collipulli" u="1"/>
        <s v="Los Alamos" u="1"/>
        <s v="Punta Arenas" u="1"/>
        <s v="Ercilla" u="1"/>
        <s v="Camarones" u="1"/>
        <s v="Curanilahue" u="1"/>
        <s v="San Vicente" u="1"/>
        <s v="Requínoa" u="1"/>
        <s v="Zapallar" u="1"/>
        <s v="Puchuncaví" u="1"/>
        <s v="Panguipulli" u="1"/>
        <s v="Calera de Tango" u="1"/>
        <s v="Cholchol" u="1"/>
        <s v="Villa Alegre" u="1"/>
        <s v="Sagrada Familia" u="1"/>
        <s v="Calama" u="1"/>
        <s v="Curepto" u="1"/>
        <s v="San Pedro" u="1"/>
        <s v="Copiapó" u="1"/>
        <s v="Santiago" u="1"/>
        <s v="Graneros" u="1"/>
        <s v="Litueche" u="1"/>
        <s v="Lo Espejo" u="1"/>
        <s v="Puente Alto" u="1"/>
        <s v="Río Negro" u="1"/>
        <s v="Isla de Maipo" u="1"/>
        <s v="Santa Bárbara" u="1"/>
        <s v="Cabo de Hornos" u="1"/>
        <s v="Maipú" u="1"/>
        <s v="Yungay" u="1"/>
        <s v="Recoleta" u="1"/>
        <s v="Los Angeles" u="1"/>
        <s v="Coinco" u="1"/>
        <s v="Chépica" u="1"/>
        <s v="La Reina" u="1"/>
        <s v="La Higuera" u="1"/>
        <s v="Las Condes" u="1"/>
        <s v="María Pinto" u="1"/>
        <s v="Padre Hurtado" u="1"/>
        <s v="Talca" u="1"/>
        <s v="Cisnes" u="1"/>
        <s v="General Lagos" u="1"/>
        <s v="Teno" u="1"/>
        <s v="Peralillo" u="1"/>
        <s v="San Esteban" u="1"/>
        <s v="San José de Maipo" u="1"/>
        <s v="San Pedro de Atacama" u="1"/>
        <s v="Lolol" u="1"/>
        <s v="Corral" u="1"/>
        <s v="Ninhue" u="1"/>
        <s v="Linares" u="1"/>
        <s v="Alto del Carmen" u="1"/>
        <s v="Codegua" u="1"/>
        <s v="Quintero" u="1"/>
        <s v="Alto Biobío" u="1"/>
        <s v="Castro" u="1"/>
        <s v="El Bosque" u="1"/>
        <s v="La Serena" u="1"/>
        <s v="Nacimiento" u="1"/>
        <s v="Machalí" u="1"/>
        <s v="Independencia" u="1"/>
        <s v="Yerbas Buenas" u="1"/>
      </sharedItems>
    </cacheField>
    <cacheField name="Filtro Integrado" numFmtId="0">
      <sharedItems containsBlank="1" count="31">
        <s v="Región"/>
        <s v="Ninguno"/>
        <s v="Región-Comuna"/>
        <s v="Comuna"/>
        <s v="Hortaliza"/>
        <s v="Fruta"/>
        <e v="#REF!"/>
        <s v="Tamaño empresa"/>
        <s v="Fecha"/>
        <s v="Categoría"/>
        <s v="Región-Servicio de Salud"/>
        <s v="Servicio de Salud"/>
        <s v="Región-Categoría"/>
        <s v="Región-Año"/>
        <s v="Año"/>
        <s v="Detalle"/>
        <s v="Tipo de Producto"/>
        <s v="Región-Fecha"/>
        <s v="País"/>
        <s v="Línea de Atención"/>
        <s v="Varios"/>
        <m u="1"/>
        <s v="Ministerio" u="1"/>
        <s v="Ruralidad" u="1"/>
        <s v="Región - Servicio de Salud" u="1"/>
        <s v="Comuna-Dependencia-Curso-Año-Establecimiento" u="1"/>
        <s v="Región-Dependencia-Año" u="1"/>
        <s v="Por definir" u="1"/>
        <s v="Clasificación" u="1"/>
        <s v="Dependencia-Curso-Año" u="1"/>
        <s v="Establecimiento" u="1"/>
      </sharedItems>
    </cacheField>
    <cacheField name="Muestra" numFmtId="0">
      <sharedItems containsBlank="1" count="274">
        <s v="Ingresos Promedio Mensual"/>
        <s v="Alumnos sobre 450 pts"/>
        <s v="Denuncias por violación por comuna"/>
        <s v="Ingreso Promedio Mensual"/>
        <s v="Alumnos por docente"/>
        <s v="Casos Activos por 1 millón de habitantes"/>
        <s v="Volumen fruta exportada"/>
        <s v="Sentencias dictadas por delito por región"/>
        <s v="ELEAM"/>
        <s v="Desempeño"/>
        <s v="Plantaciones Forestales"/>
        <s v="Precios diarios de hortalizas"/>
        <s v="Precios diarios de frutas"/>
        <s v="Espacios culturales"/>
        <s v="Delitos"/>
        <s v="Casos de VIF"/>
        <s v="Casos de VIF por región"/>
        <s v="Casos de VIF por comuna"/>
        <s v="Fruta producida"/>
        <s v="Destino de fruta producida"/>
        <s v="Superficie plantada"/>
        <s v="Estado de PRDU"/>
        <s v="Ventas anuales"/>
        <s v="Cantidad de Centros de la Mujer por región"/>
        <s v="Cantidad de ingresos efectivos de mujeres en Chile"/>
        <s v="Cantidad de salidas en Chile"/>
        <s v="Proporción de salidas en Chile"/>
        <s v="Valor de exportaciones"/>
        <s v="Capacidad instalada de generación"/>
        <s v="Producción agrícola"/>
        <s v="Volumen de importaciones"/>
        <s v="Casos de cáncer"/>
        <s v="Población en control"/>
        <s v="Cantidad de comunas según grado por región"/>
        <s v="Comunas con vulnerabilidad alta"/>
        <s v="Comunas con vulnerabilidad alta y moderada por región"/>
        <s v="Comunas con IPT"/>
        <s v="Población de Pueblos Indígenas"/>
        <s v="Defunciones"/>
        <s v="Nacimientos"/>
        <s v="Permisos de circulación anuales por región"/>
        <s v="Emisiones de CO2"/>
        <s v="Trabajadores "/>
        <s v="Trabajadores informados"/>
        <s v="Puntaje promedio"/>
        <s v="Puntaje promedio y máximo"/>
        <s v="Puntaje"/>
        <s v="Cantidad de víctimas por edad"/>
        <s v="Cantidad de víctimas por relación con el femicida "/>
        <s v="Cantidad de víctimas de femicidios en Chile"/>
        <s v="Cantidad de vehículos escolares por región"/>
        <s v="Fallecidos por 1 millón de habitantes"/>
        <s v="Superficie de edificación autorizada en Chile"/>
        <s v="Trabajadores dependientes informados"/>
        <s v="Renta neta informada"/>
        <s v="Empresas"/>
        <s v="Absorciones de CO2"/>
        <s v="Emisiones netas de CO2"/>
        <s v="Emisiones de CO2 equivalente"/>
        <s v="Emisiones y Absorciones de CO2 equivalente"/>
        <s v="Incendios"/>
        <s v="Causas de incendios"/>
        <s v="Candidatos electos"/>
        <s v="Cupos de elección popular"/>
        <s v="Empresas vigentes"/>
        <s v="Trabajadores"/>
        <s v="Ubicación"/>
        <s v="Predios Agrícolas"/>
        <s v="Establecimientos de Salud"/>
        <s v="Cantidad de atenciones por concepto de urgencia y región"/>
        <s v="Cantidad de atenciones por concepto de urgencia"/>
        <s v="Cantidad  de Licencias de Conducir profesionales por tipo"/>
        <s v="Permisos de circulación anuales por tipo de transporte"/>
        <s v="Cantidad  de Licencias de Conducir no profesionales"/>
        <s v="Permisos de circulación anuales de tipo de transporte colectivo"/>
        <s v="Cantidad de Licencias de Conducir por clase"/>
        <s v="Propietarios"/>
        <s v="Centrales de Energía Renovable No Convencional "/>
        <s v="Farmacias"/>
        <s v="Farmacias de Turno"/>
        <s v="Valor (USD) de Exportaciones"/>
        <s v="Valor (USD) de Exportaciones "/>
        <s v="Valor (USD) de Importaciones"/>
        <s v="Peso (kg) de Importaciones"/>
        <s v="Peso (kg) de Exportaciones"/>
        <s v="Peso (kg) de Exportaciones e Importaciones"/>
        <s v="Parques Urbanos"/>
        <s v="Plazas Públicas"/>
        <s v="Áreas Verdes Mantenidas"/>
        <s v="Población"/>
        <s v="Consultas"/>
        <s v="Conexiones de internet fija"/>
        <s v="Suscriptores a televisión de pago"/>
        <s v="Desocupación"/>
        <s v="Fuerza de trabajo"/>
        <s v="Índice de producción minera"/>
        <s v="Producción de cobre"/>
        <s v="Producción de cloruro de sodio"/>
        <s v="Producción de hierro"/>
        <s v="Número de pernoctaciones por fecha"/>
        <s v="Precio promedio de habitación ocupada por fecha"/>
        <s v="Desembarque industrial"/>
        <s v="Desembarque artesanal"/>
        <s v="Cosecha acuícola"/>
        <s v="Valor (USD) de Importaciones y Exportaciones"/>
        <s v="Índice de Producción Manufacturera"/>
        <s v="Supermercados con tres o más cajas instaladas"/>
        <s v="Índice de Elaboración de Productos Alimenticios"/>
        <s v="Índice de Fabricación de Productos Farmacéuticos"/>
        <s v="Índice de Fabricación de Sustancias y Productos Químicos"/>
        <s v="Pasada de vehículos por plazas de peajes y pórticos de autopistas interurbanas"/>
        <s v="Parque vehicular de taxis"/>
        <s v="Movimiento de Carga Portuaria"/>
        <s v="Superficie Autorizada Habitacional de Obras Nuevas"/>
        <s v="Viviendas Autorizadas"/>
        <s v="Superficie Autorizada No Habitacional de Ampliaciones"/>
        <s v="Casos Policiales"/>
        <s v="Detenciones y Denuncias"/>
        <s v="Pobreza"/>
        <s v="Pobreza y Pobreza Extrema"/>
        <s v="Pobreza Extrema"/>
        <s v="Ingresos y Egresos de NNA"/>
        <s v="Predios No Agrícolas Habitacionales"/>
        <s v="Propiedades Municipales"/>
        <s v="Complejo Glaciar COCHAMÓ-HUALAIHUÉ || Costeras entre Rio Puelo y Punta Trentelhue-/Rio Puelo Chico/Costeras Entre Punta Tentelhue y Rio Negro (Incluido)"/>
        <s v="Complejo Glaciar Volcán Calbuco"/>
        <s v="Complejo Glaciar Volcán Osorno"/>
        <s v="Variación de desocupados por fecha" u="1"/>
        <m u="1"/>
        <s v="Comuna" u="1"/>
        <s v="Producción agrícola por región" u="1"/>
        <s v="Proproción (%) de la población que tuvo Consultas Mentales" u="1"/>
        <s v="Casos de cáncer por comuna" u="1"/>
        <s v="Valor de exportaciones de Chile" u="1"/>
        <s v="Precios diarios de hortalizas por región" u="1"/>
        <s v="Cantidad de personas por comuna" u="1"/>
        <s v="Cantidad  de Establecimientos de Salud " u="1"/>
        <s v="Región" u="1"/>
        <s v="Puntaje promedio por tipo de establecimiento" u="1"/>
        <s v="Top 10 Propietarios con mayor capacidad instalada" u="1"/>
        <s v="Casos de cáncer por rango etáreo por región" u="1"/>
        <s v="Peso (kg) de Exportaciones e Importaciones por Región" u="1"/>
        <s v="Proporción y Cantidad  de Establecimientos de Salud " u="1"/>
        <s v="Número y porcentaje de variación de ingresos/ egresos de NNA" u="1"/>
        <s v="Producción de cobre por fecha" u="1"/>
        <s v="Ventas anuales por rubro en Chile" u="1"/>
        <s v="Población en control por rango etario" u="1"/>
        <s v="Superficie (m2)" u="1"/>
        <s v="Número de personas en el programa de salud cardiovascular" u="1"/>
        <s v="Índice de producción minera por fecha" u="1"/>
        <s v="Ubicación de espacios culturales por comuna" u="1"/>
        <s v="Fruta producida por tipo de envase utilizado en Chile" u="1"/>
        <s v="Cantidad suscriptores a televisión de pago por región y comuna" u="1"/>
        <s v="Cantidad de casos en Chile" u="1"/>
        <s v="Top 10 Comunas con más farmacias" u="1"/>
        <s v="Volumen de importaciones en Chile" u="1"/>
        <s v="Ingresos Promedio Mensual por región" u="1"/>
        <s v="Proporción alumnos sobre 450 pts PSU por comuna" u="1"/>
        <s v="Cantidad de empresas vigentes por comuna" u="1"/>
        <s v="Cantidad de Predios Agrícolas por Comuna" u="1"/>
        <s v="Candidatos electos por comuna" u="1"/>
        <s v="Cantidad  de Farmacias por Región" u="1"/>
        <s v="Cantidad de atenciones por región" u="1"/>
        <s v="Variación de Frecuencia de Casos Policiales de Homicidio" u="1"/>
        <s v="Valor de importaciones por fecha" u="1"/>
        <s v="Puntaje promedio y máximo por comuna" u="1"/>
        <s v="Cantidad de personas por región y comuna " u="1"/>
        <s v="Número de predios no agrícolas habitacionales" u="1"/>
        <s v="Capacidad instalada de generación por Tipo de Energía" u="1"/>
        <s v="Población en control por comuna" u="1"/>
        <s v="Emisiones de CO2 equivalente en Chile" u="1"/>
        <s v="Cantidad  de Farmacias de Turno por Comuna" u="1"/>
        <s v="Cantidad de espacios culturales por comuna" u="1"/>
        <s v="Capacidad instalada de generación por región" u="1"/>
        <s v="Valor (USD) de Exportaciones según Tipo de Producto" u="1"/>
        <s v="Cantidad de empresas por tamaño" u="1"/>
        <s v="Cupos de elección popular por comuna" u="1"/>
        <s v="Población en control por sexo en Chile" u="1"/>
        <s v="Producción de cloruro de sodio por fecha" u="1"/>
        <s v="Cantidad de conexiones de internet fija por comuna" u="1"/>
        <s v="Autoestima, Convivencia, Hábitos Salud y Participación" u="1"/>
        <s v="Tasa" u="1"/>
        <s v="Número de ingresos/egresos de NNA" u="1"/>
        <s v="Número de propiedades municipales" u="1"/>
        <s v="Puntaje promedio del indicador por comuna" u="1"/>
        <s v="Porcentaje de comunas con IPT local por región" u="1"/>
        <s v="Casos de cáncer por región" u="1"/>
        <s v="Ingreso Promedio Mensual en Chile" u="1"/>
        <s v="Superficie de glaciares por región" u="1"/>
        <s v="Emisiones de CO2 por tipo de combustible en Chile" u="1"/>
        <s v="Estado de PRDU por región" u="1"/>
        <s v="Precios diarios de frutas en Chile" u="1"/>
        <s v="Superficie Autorizada No Habitacional de Ampliaciones ICEF" u="1"/>
        <s v="Cantidad de personas por región por sexo" u="1"/>
        <s v="Ingresos Promedio Mensual (CLP/mes)" u="1"/>
        <s v="Trabajadores dependientes informados por sexo por región" u="1"/>
        <s v="Población controlada en Chile" u="1"/>
        <s v="Población en control en Chile" u="1"/>
        <s v="Puntaje promedio por establecimiento" u="1"/>
        <s v="Toneladas desembarcadas por tipo de pasca por región" u="1"/>
        <s v="Toneladas desembarcadas por tipo de pesca por región" u="1"/>
        <s v="Variación anual de emisiones de CO2" u="1"/>
        <s v="Variación anual de delitos por comuna" u="1"/>
        <s v="Población en control por sexo por región" u="1"/>
        <s v="Tasa de desocupación nacional por fecha" u="1"/>
        <s v="Valor de exportaciones por producto minero" u="1"/>
        <s v="Proporción emisiones con respecto al año anterior" u="1"/>
        <s v="Cantidad de personas por región y comuna" u="1"/>
        <s v="Emisiones de CO2 equivalente por gas en Chile" u="1"/>
        <s v="Variación de Frecuencia de Casos Policiales de Robo con Violencia o Intimidación" u="1"/>
        <s v="Defunciones anuales por comuna" u="1"/>
        <s v="Cantidad suscriptores a televisión de pago por comuna" u="1"/>
        <s v="Producción de hierro por fecha" u="1"/>
        <s v="Volumen fruta exportada en Chile" u="1"/>
        <s v="Valor de importaciones de alimentos por país de origen" u="1"/>
        <s v="Cantidad de espacios culturales por financiamiento por comuna" u="1"/>
        <s v="Superficie afectada por incendios forestales en Chile" u="1"/>
        <s v="Cantidad de Centrales de Energía Renovable No Convencional por Comuna" u="1"/>
        <s v="Valor de exportaciones acumuladas por país de destino" u="1"/>
        <s v="Relación entre Detenciones y Denuncias para Delitos de Homicidio y Violación" u="1"/>
        <s v="Puntaje promedio por comuna" u="1"/>
        <s v="Cantidad de trabajadores por comuna" u="1"/>
        <s v="Valor (USD) de Exportaciones de Productos del Mar" u="1"/>
        <s v="Pobreza de la Población Autodefinida como Indígena" u="1"/>
        <s v="Clima de Convivencia Escolar" u="1"/>
        <s v="Valor (USD) de Exportaciones por Región" u="1"/>
        <s v="Valor (USD) de Importaciones por Región" u="1"/>
        <s v="Cantidad de trabajadors dependientes informados" u="1"/>
        <s v="Superficie quemada por incendios forestales por región" u="1"/>
        <s v="Cantidad  de Farmacias de Turno por Región" u="1"/>
        <s v="Valor de exportaciones por región" u="1"/>
        <s v="Cantidad de fallecidos por 1 MM de habitantes" u="1"/>
        <s v="Variación anual de trabajadores " u="1"/>
        <s v="Variación de la fuerza de trabajo por fecha" u="1"/>
        <s v="Desembarque artesanal por fecha" u="1"/>
        <s v="Chile" u="1"/>
        <s v="Superficie plantada por región" u="1"/>
        <s v="Cantidad de Trabajadores informados por región" u="1"/>
        <s v="Población de Pueblos Originarios por sexo por región" u="1"/>
        <s v="Toneladas per cápita" u="1"/>
        <s v="Número de alumnos por docente en aula por comuna" u="1"/>
        <s v="Cantidad de Supermercados con tres o más cajas instaladas" u="1"/>
        <s v="Establecimiento" u="1"/>
        <s v="Nacimientos anuales por comuna" u="1"/>
        <s v="Cantidad de Parques Urbanos por Comuna" u="1"/>
        <s v="Cantidad de Plazas Públicas por Comuna" u="1"/>
        <s v="Volumen fruta exportada por región" u="1"/>
        <s v="Ventas anuales por rubro por región" u="1"/>
        <s v="Población en control por región" u="1"/>
        <s v="Casos Activos por 1 millón de habitantes por comuna" u="1"/>
        <s v="Puntaje por indicador por comuna" u="1"/>
        <s v="Promedio emisiones netas de CO2 en Chile" u="1"/>
        <s v="Autoestima Académica y Motivación Escolar" u="1"/>
        <s v="Cantidad  de Licencias de Conducir por clase" u="1"/>
        <s v="Precios diarios de hortalizas en Chile" u="1"/>
        <s v="Puntaje por dependencia de establecimientos por región" u="1"/>
        <s v="Cantidad de CO2 absorbido por región" u="1"/>
        <s v="Programas/Instituciones evaluadas en Chile" u="1"/>
        <s v="Grado de desempeño por programa o institución evaluada" u="1"/>
        <s v="Cosecha acuícola por fecha" u="1"/>
        <s v="Emisiones y absorciones por subsector en Chile" u="1"/>
        <s v="Valor de importaciones y exportaciones por fecha" u="1"/>
        <s v="Desembarque industrial por fecha" u="1"/>
        <s v="Cantidad de personas por rango etario" u="1"/>
        <s v="Destino de fruta producida por comuna" u="1"/>
        <s v="Número y Superficie de incendios por causa" u="1"/>
        <s v="Tasa Cada 100 mil habitantes" u="1"/>
        <s v="Cantidad de personas por pueblo indígena" u="1"/>
        <s v="Superficie de parques urbanos por comuna" u="1"/>
        <s v="Superficie de plazas públicas por comuna" u="1"/>
        <s v="Peso (kg) de Exportaciones por Región" u="1"/>
        <s v="Peso (kg) de Importaciones por Región" u="1"/>
        <s v="Superficie afectada por incendios en Chile" u="1"/>
        <s v="Cantidad de personas por pueblo indígena por región" u="1"/>
      </sharedItems>
    </cacheField>
    <cacheField name="temporalidad" numFmtId="0">
      <sharedItems/>
    </cacheField>
    <cacheField name="unidad_medida" numFmtId="0">
      <sharedItems/>
    </cacheField>
    <cacheField name="fuente" numFmtId="0">
      <sharedItems/>
    </cacheField>
    <cacheField name="titulo" numFmtId="0">
      <sharedItems longText="1"/>
    </cacheField>
    <cacheField name="descripcion_larga" numFmtId="0">
      <sharedItems longText="1"/>
    </cacheField>
    <cacheField name="visualizacion" numFmtId="0">
      <sharedItems/>
    </cacheField>
    <cacheField name="tag" numFmtId="0">
      <sharedItems longText="1"/>
    </cacheField>
    <cacheField name="url" numFmtId="0">
      <sharedItems/>
    </cacheField>
    <cacheField name="Suscripcion" numFmtId="0">
      <sharedItems containsMixedTypes="1" containsNumber="1" containsInteger="1" minValue="0" maxValue="100200300" count="53">
        <s v="300-R"/>
        <s v="100-R-1"/>
        <s v="100-R-2"/>
        <s v="100-R-3"/>
        <s v="100-R-4"/>
        <s v="100-R-5"/>
        <s v="100-R-6"/>
        <s v="100-R-7"/>
        <s v="100-R-8"/>
        <s v="100-R-9"/>
        <s v="100-R-10"/>
        <s v="100-R-11"/>
        <s v="100-R-12"/>
        <s v="200-R-13"/>
        <s v="100-R-14"/>
        <s v="100-R-15"/>
        <s v="100-R-16"/>
        <s v="300-C"/>
        <s v="100-C-1"/>
        <s v="100-C-2"/>
        <s v="100-C-3"/>
        <s v="100-C-4"/>
        <s v="100-C-5"/>
        <s v="100-C-6"/>
        <s v="100-C-7"/>
        <s v="100-C-8"/>
        <s v="100-C-9"/>
        <s v="100-C-10"/>
        <s v="100-C-12"/>
        <s v="200-C-13"/>
        <s v="100-C-14"/>
        <s v="100-C-15"/>
        <s v="100-C-16"/>
        <s v="100-C-11"/>
        <n v="0"/>
        <n v="104" u="1"/>
        <n v="108" u="1"/>
        <n v="112" u="1"/>
        <n v="116" u="1"/>
        <n v="103" u="1"/>
        <n v="107" u="1"/>
        <n v="300" u="1"/>
        <n v="100200300" u="1"/>
        <n v="111" u="1"/>
        <n v="200300" u="1"/>
        <n v="115" u="1"/>
        <n v="102" u="1"/>
        <n v="106" u="1"/>
        <n v="110" u="1"/>
        <n v="114" u="1"/>
        <n v="101" u="1"/>
        <n v="105" u="1"/>
        <n v="109" u="1"/>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
  <r>
    <x v="0"/>
    <n v="990"/>
    <x v="0"/>
    <x v="0"/>
    <n v="0"/>
    <x v="0"/>
    <x v="0"/>
    <x v="0"/>
    <x v="0"/>
    <s v="Región"/>
    <s v="Ingresos Promedio Mensual por región"/>
    <s v="Periodo 2006-2017"/>
    <s v="CLP/mes"/>
    <s v="Encuestas CASEN"/>
    <x v="0"/>
    <s v="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
    <s v="Gráfico de Evolución"/>
    <s v="Chile ingresos CASEN mensual promedio"/>
    <x v="0"/>
    <s v="300-R"/>
    <s v="#1774B9"/>
    <s v="990-0001"/>
    <n v="99100000"/>
    <s v="T-993"/>
    <s v="C-995"/>
    <s v="FI-992"/>
    <s v="M-992"/>
  </r>
  <r>
    <x v="1"/>
    <n v="990"/>
    <x v="0"/>
    <x v="0"/>
    <n v="1"/>
    <x v="0"/>
    <x v="0"/>
    <x v="1"/>
    <x v="1"/>
    <s v="Ninguno"/>
    <s v="Ingresos Promedio Mensual por región"/>
    <s v="Periodo 2006-2017"/>
    <s v="CLP/mes"/>
    <s v="Encuestas CASEN"/>
    <x v="1"/>
    <s v="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
    <s v="Gráfico de Evolución"/>
    <s v="Región de Tarapacá ingresos CASEN mensual promedio"/>
    <x v="1"/>
    <s v="100-R-1"/>
    <s v="#1774B9"/>
    <s v="990-0002"/>
    <n v="99200001"/>
    <s v="T-993"/>
    <s v="C-995"/>
    <s v="FI-993"/>
    <s v="M-992"/>
  </r>
  <r>
    <x v="2"/>
    <n v="990"/>
    <x v="0"/>
    <x v="0"/>
    <n v="2"/>
    <x v="0"/>
    <x v="0"/>
    <x v="1"/>
    <x v="2"/>
    <s v="Ninguno"/>
    <s v="Ingresos Promedio Mensual por región"/>
    <s v="Periodo 2006-2017"/>
    <s v="CLP/mes"/>
    <s v="Encuestas CASEN"/>
    <x v="2"/>
    <s v="La región de Antofagasta es la que posee el mayor ingreso promedio mensual en el año 2017, entre las 16 regiones del país, con una cifra de algo más de 380 mil CLP/mes. En relación a la estimación anterior, del año 2015, el ingreso aumenta en un 7,3%."/>
    <s v="Gráfico de Evolución"/>
    <s v="Región de Antofagasta ingresos CASEN mensual promedio"/>
    <x v="2"/>
    <s v="100-R-2"/>
    <s v="#1774B9"/>
    <s v="990-0003"/>
    <n v="99200002"/>
    <s v="T-993"/>
    <s v="C-995"/>
    <s v="FI-993"/>
    <s v="M-992"/>
  </r>
  <r>
    <x v="3"/>
    <n v="990"/>
    <x v="0"/>
    <x v="0"/>
    <n v="3"/>
    <x v="0"/>
    <x v="0"/>
    <x v="1"/>
    <x v="3"/>
    <s v="Ninguno"/>
    <s v="Ingresos Promedio Mensual por región"/>
    <s v="Periodo 2006-2017"/>
    <s v="CLP/mes"/>
    <s v="Encuestas CASEN"/>
    <x v="3"/>
    <s v="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
    <s v="Gráfico de Evolución"/>
    <s v="Región de Atacama ingresos CASEN mensual promedio"/>
    <x v="3"/>
    <s v="100-R-3"/>
    <s v="#1774B9"/>
    <s v="990-0004"/>
    <n v="99200003"/>
    <s v="T-993"/>
    <s v="C-995"/>
    <s v="FI-993"/>
    <s v="M-992"/>
  </r>
  <r>
    <x v="4"/>
    <n v="990"/>
    <x v="0"/>
    <x v="0"/>
    <n v="4"/>
    <x v="0"/>
    <x v="0"/>
    <x v="1"/>
    <x v="4"/>
    <s v="Ninguno"/>
    <s v="Ingresos Promedio Mensual por región"/>
    <s v="Periodo 2006-2017"/>
    <s v="CLP/mes"/>
    <s v="Encuestas CASEN"/>
    <x v="4"/>
    <s v="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
    <s v="Gráfico de Evolución"/>
    <s v="Región de Coquimbo ingresos CASEN mensual promedio"/>
    <x v="4"/>
    <s v="100-R-4"/>
    <s v="#1774B9"/>
    <s v="990-0005"/>
    <n v="99200004"/>
    <s v="T-993"/>
    <s v="C-995"/>
    <s v="FI-993"/>
    <s v="M-992"/>
  </r>
  <r>
    <x v="5"/>
    <n v="990"/>
    <x v="0"/>
    <x v="0"/>
    <n v="5"/>
    <x v="0"/>
    <x v="0"/>
    <x v="1"/>
    <x v="5"/>
    <s v="Ninguno"/>
    <s v="Ingresos Promedio Mensual por región"/>
    <s v="Periodo 2006-2017"/>
    <s v="CLP/mes"/>
    <s v="Encuestas CASEN"/>
    <x v="5"/>
    <s v="Según la evolución del ingreso promedio mensual en la Región de Valparaíso, con base en las encuestas CASEN, se observa que el año 2017 presenta un aumento del 13,2% con respecto al ingreso del 2015."/>
    <s v="Gráfico de Evolución"/>
    <s v="Región de Valparaíso ingresos CASEN mensual promedio"/>
    <x v="5"/>
    <s v="100-R-5"/>
    <s v="#1774B9"/>
    <s v="990-0006"/>
    <n v="99200005"/>
    <s v="T-993"/>
    <s v="C-995"/>
    <s v="FI-993"/>
    <s v="M-992"/>
  </r>
  <r>
    <x v="6"/>
    <n v="990"/>
    <x v="0"/>
    <x v="0"/>
    <n v="6"/>
    <x v="0"/>
    <x v="0"/>
    <x v="1"/>
    <x v="6"/>
    <s v="Ninguno"/>
    <s v="Ingresos Promedio Mensual por región"/>
    <s v="Periodo 2006-2017"/>
    <s v="CLP/mes"/>
    <s v="Encuestas CASEN"/>
    <x v="6"/>
    <s v="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
    <s v="Gráfico de Evolución"/>
    <s v="Región de O'Higgins ingresos CASEN mensual promedio"/>
    <x v="6"/>
    <s v="100-R-6"/>
    <s v="#1774B9"/>
    <s v="990-0007"/>
    <n v="99200006"/>
    <s v="T-993"/>
    <s v="C-995"/>
    <s v="FI-993"/>
    <s v="M-992"/>
  </r>
  <r>
    <x v="7"/>
    <n v="990"/>
    <x v="0"/>
    <x v="0"/>
    <n v="7"/>
    <x v="0"/>
    <x v="0"/>
    <x v="1"/>
    <x v="7"/>
    <s v="Ninguno"/>
    <s v="Ingresos Promedio Mensual por región"/>
    <s v="Periodo 2006-2017"/>
    <s v="CLP/mes"/>
    <s v="Encuestas CASEN"/>
    <x v="7"/>
    <s v="Según la evolución del ingreso promedio mensual en la Región de Maule, con base en las encuestas CASEN, se observa que el año 2017 presenta un aumento del 12,2% con respecto al ingreso del 2015."/>
    <s v="Gráfico de Evolución"/>
    <s v="Región de Maule ingresos CASEN mensual promedio"/>
    <x v="7"/>
    <s v="100-R-7"/>
    <s v="#1774B9"/>
    <s v="990-0008"/>
    <n v="99200007"/>
    <s v="T-993"/>
    <s v="C-995"/>
    <s v="FI-993"/>
    <s v="M-992"/>
  </r>
  <r>
    <x v="8"/>
    <n v="990"/>
    <x v="0"/>
    <x v="0"/>
    <n v="8"/>
    <x v="0"/>
    <x v="0"/>
    <x v="1"/>
    <x v="8"/>
    <s v="Ninguno"/>
    <s v="Ingresos Promedio Mensual por región"/>
    <s v="Periodo 2006-2017"/>
    <s v="CLP/mes"/>
    <s v="Encuestas CASEN"/>
    <x v="8"/>
    <s v="Según la evolución del ingreso promedio mensual en la Región del Biobío, con base en las encuestas CASEN, se observa que el año 2017 presenta un aumento del 13,9% con respecto al ingreso del 2015, llegando a un aproximado de 288 mil CLP/mes."/>
    <s v="Gráfico de Evolución"/>
    <s v="Región del Biobío ingresos CASEN mensual promedio"/>
    <x v="8"/>
    <s v="100-R-8"/>
    <s v="#1774B9"/>
    <s v="990-0009"/>
    <n v="99200008"/>
    <s v="T-993"/>
    <s v="C-995"/>
    <s v="FI-993"/>
    <s v="M-992"/>
  </r>
  <r>
    <x v="9"/>
    <n v="990"/>
    <x v="0"/>
    <x v="0"/>
    <n v="9"/>
    <x v="0"/>
    <x v="0"/>
    <x v="1"/>
    <x v="9"/>
    <s v="Ninguno"/>
    <s v="Ingresos Promedio Mensual por región"/>
    <s v="Periodo 2006-2017"/>
    <s v="CLP/mes"/>
    <s v="Encuestas CASEN"/>
    <x v="9"/>
    <s v="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
    <s v="Gráfico de Evolución"/>
    <s v="Región de La Araucanía ingresos CASEN mensual promedio"/>
    <x v="9"/>
    <s v="100-R-9"/>
    <s v="#1774B9"/>
    <s v="990-0010"/>
    <n v="99200009"/>
    <s v="T-993"/>
    <s v="C-995"/>
    <s v="FI-993"/>
    <s v="M-992"/>
  </r>
  <r>
    <x v="10"/>
    <n v="990"/>
    <x v="0"/>
    <x v="0"/>
    <n v="10"/>
    <x v="0"/>
    <x v="0"/>
    <x v="1"/>
    <x v="10"/>
    <s v="Ninguno"/>
    <s v="Ingresos Promedio Mensual por región"/>
    <s v="Periodo 2006-2017"/>
    <s v="CLP/mes"/>
    <s v="Encuestas CASEN"/>
    <x v="10"/>
    <s v="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
    <s v="Gráfico de Evolución"/>
    <s v="Región de Los Lagos ingresos CASEN mensual promedio"/>
    <x v="10"/>
    <s v="100-R-10"/>
    <s v="#1774B9"/>
    <s v="990-0011"/>
    <n v="99200010"/>
    <s v="T-993"/>
    <s v="C-995"/>
    <s v="FI-993"/>
    <s v="M-992"/>
  </r>
  <r>
    <x v="11"/>
    <n v="990"/>
    <x v="0"/>
    <x v="0"/>
    <n v="11"/>
    <x v="0"/>
    <x v="0"/>
    <x v="1"/>
    <x v="11"/>
    <s v="Ninguno"/>
    <s v="Ingresos Promedio Mensual por región"/>
    <s v="Periodo 2006-2017"/>
    <s v="CLP/mes"/>
    <s v="Encuestas CASEN"/>
    <x v="11"/>
    <s v="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
    <s v="Gráfico de Evolución"/>
    <s v="Región de Aysén ingresos CASEN mensual promedio"/>
    <x v="11"/>
    <s v="100-R-11"/>
    <s v="#1774B9"/>
    <s v="990-0012"/>
    <n v="99200011"/>
    <s v="T-993"/>
    <s v="C-995"/>
    <s v="FI-993"/>
    <s v="M-992"/>
  </r>
  <r>
    <x v="12"/>
    <n v="990"/>
    <x v="0"/>
    <x v="0"/>
    <n v="12"/>
    <x v="0"/>
    <x v="0"/>
    <x v="1"/>
    <x v="12"/>
    <s v="Ninguno"/>
    <s v="Ingresos Promedio Mensual por región"/>
    <s v="Periodo 2006-2017"/>
    <s v="CLP/mes"/>
    <s v="Encuestas CASEN"/>
    <x v="12"/>
    <s v="Según la evolución del ingreso promedio mensual en la Región de Magallanes, con base en las encuestas CASEN, se observa que el año 2017 presenta un aumento del 13% con respecto al ingreso del 2015, llegando a un aproximado de 379 mil CLP/mes."/>
    <s v="Gráfico de Evolución"/>
    <s v="Región de Magallanes ingresos CASEN mensual promedio"/>
    <x v="12"/>
    <s v="100-R-12"/>
    <s v="#1774B9"/>
    <s v="990-0013"/>
    <n v="99200012"/>
    <s v="T-993"/>
    <s v="C-995"/>
    <s v="FI-993"/>
    <s v="M-992"/>
  </r>
  <r>
    <x v="13"/>
    <n v="990"/>
    <x v="0"/>
    <x v="0"/>
    <n v="13"/>
    <x v="0"/>
    <x v="0"/>
    <x v="1"/>
    <x v="13"/>
    <s v="Ninguno"/>
    <s v="Ingresos Promedio Mensual por región"/>
    <s v="Periodo 2006-2017"/>
    <s v="CLP/mes"/>
    <s v="Encuestas CASEN"/>
    <x v="13"/>
    <s v="Según la evolución del ingreso promedio mensual en la Región Metropolitana, con base en las encuestas CASEN, se observa que el año 2017 presenta un aumento del 9,5% con respecto al ingreso del 2015, llegando a un aproximado de 346 mil CLP/mes."/>
    <s v="Gráfico de Evolución"/>
    <s v="Región Metropolitana ingresos CASEN mensual promedio"/>
    <x v="13"/>
    <s v="200-R-13"/>
    <s v="#1774B9"/>
    <s v="990-0014"/>
    <n v="99200013"/>
    <s v="T-993"/>
    <s v="C-995"/>
    <s v="FI-993"/>
    <s v="M-992"/>
  </r>
  <r>
    <x v="14"/>
    <n v="990"/>
    <x v="0"/>
    <x v="0"/>
    <n v="14"/>
    <x v="0"/>
    <x v="0"/>
    <x v="1"/>
    <x v="14"/>
    <s v="Ninguno"/>
    <s v="Ingresos Promedio Mensual por región"/>
    <s v="Periodo 2006-2017"/>
    <s v="CLP/mes"/>
    <s v="Encuestas CASEN"/>
    <x v="14"/>
    <s v="Según la evolución del ingreso promedio mensual en la Región de Los Ríos,con base en las encuestas CASEN, se observa que el año 2017 presenta un aumento del 12% con respecto al ingreso del 2015, llegando a un aproximado de 274 mil CLP/mes."/>
    <s v="Gráfico de Evolución"/>
    <s v="Región de Los Ríos ingresos CASEN mensual promedio"/>
    <x v="14"/>
    <s v="100-R-14"/>
    <s v="#1774B9"/>
    <s v="990-0015"/>
    <n v="99200014"/>
    <s v="T-993"/>
    <s v="C-995"/>
    <s v="FI-993"/>
    <s v="M-992"/>
  </r>
  <r>
    <x v="15"/>
    <n v="990"/>
    <x v="0"/>
    <x v="0"/>
    <n v="15"/>
    <x v="0"/>
    <x v="0"/>
    <x v="1"/>
    <x v="15"/>
    <s v="Ninguno"/>
    <s v="Ingresos Promedio Mensual por región"/>
    <s v="Periodo 2006-2017"/>
    <s v="CLP/mes"/>
    <s v="Encuestas CASEN"/>
    <x v="15"/>
    <s v="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
    <s v="Gráfico de Evolución"/>
    <s v="Región de Arica y Parinacota ingresos CASEN mensual promedio"/>
    <x v="15"/>
    <s v="100-R-15"/>
    <s v="#1774B9"/>
    <s v="990-0016"/>
    <n v="99200015"/>
    <s v="T-993"/>
    <s v="C-995"/>
    <s v="FI-993"/>
    <s v="M-992"/>
  </r>
  <r>
    <x v="16"/>
    <n v="990"/>
    <x v="0"/>
    <x v="0"/>
    <n v="16"/>
    <x v="0"/>
    <x v="0"/>
    <x v="1"/>
    <x v="16"/>
    <s v="Ninguno"/>
    <s v="Ingresos Promedio Mensual por región"/>
    <s v="Periodo 2006-2017"/>
    <s v="CLP/mes"/>
    <s v="Encuestas CASEN"/>
    <x v="16"/>
    <s v="Considerando la evolución del ingreso promedio mensual en la región de Los Lagos según las encuestas CASEN 2006-2017, se observa que esta región presenta el promedio más bajo a nivel nacional en el año 2017, llegando a 253 mil CLP/mes."/>
    <s v="Gráfico de Evolución"/>
    <s v="Región de Ñuble ingresos CASEN mensual promedio"/>
    <x v="16"/>
    <s v="100-R-16"/>
    <s v="#1774B9"/>
    <s v="990-0017"/>
    <n v="99200016"/>
    <s v="T-993"/>
    <s v="C-995"/>
    <s v="FI-993"/>
    <s v="M-992"/>
  </r>
  <r>
    <x v="17"/>
    <n v="990"/>
    <x v="0"/>
    <x v="1"/>
    <n v="0"/>
    <x v="1"/>
    <x v="1"/>
    <x v="0"/>
    <x v="0"/>
    <s v="Región-Comuna"/>
    <s v="Proporción alumnos sobre 450 pts PSU por comuna"/>
    <s v="Periodo 2001-2020"/>
    <s v="Porcentaje (%)"/>
    <s v="Sistema Nacional de Información Municipal"/>
    <x v="17"/>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x v="17"/>
    <s v="300-C"/>
    <s v="#1774B9"/>
    <s v="990-0018"/>
    <n v="99100000"/>
    <s v="T-1061"/>
    <s v="C-1019"/>
    <s v="FI-995"/>
    <s v="M-993"/>
  </r>
  <r>
    <x v="18"/>
    <n v="990"/>
    <x v="0"/>
    <x v="1"/>
    <n v="1"/>
    <x v="1"/>
    <x v="1"/>
    <x v="1"/>
    <x v="1"/>
    <s v="Comuna"/>
    <s v="Proporción alumnos sobre 450 pts PSU por comuna"/>
    <s v="Periodo 2001-2020"/>
    <s v="Porcentaje (%)"/>
    <s v="Sistema Nacional de Información Municipal"/>
    <x v="18"/>
    <s v="En la comuna de Iquique de la región de Tarapacá, a partir del año 2006, la proporción de alumnos de cuarto medio con más de 450 puntos en la PSU es mayor en los colegios Particulares en relación a los Municipales y Subvencionados."/>
    <s v="Gráfico de Evolución"/>
    <s v="Región de Tarapacá educación municipal PSU alumnos calidad colegios municipales"/>
    <x v="18"/>
    <s v="100-C-1"/>
    <s v="#1774B9"/>
    <s v="990-0019"/>
    <n v="99200001"/>
    <s v="T-1061"/>
    <s v="C-1019"/>
    <s v="FI-991"/>
    <s v="M-993"/>
  </r>
  <r>
    <x v="19"/>
    <n v="990"/>
    <x v="0"/>
    <x v="1"/>
    <n v="2"/>
    <x v="1"/>
    <x v="1"/>
    <x v="1"/>
    <x v="2"/>
    <s v="Comuna"/>
    <s v="Proporción alumnos sobre 450 pts PSU por comuna"/>
    <s v="Periodo 2001-2020"/>
    <s v="Porcentaje (%)"/>
    <s v="Sistema Nacional de Información Municipal"/>
    <x v="19"/>
    <s v="En la comuna de Antofagasta, la proporción de alumnos de cuarto medio con más de 450 puntos en la PSU es mayor en los colegios Particulares en relación a los Municipales y Subvencionados, durante todo el periodo 2001 - 2020."/>
    <s v="Gráfico de Evolución"/>
    <s v="Región de Antofagasta educación municipal PSU alumnos calidad colegios municipales"/>
    <x v="19"/>
    <s v="100-C-2"/>
    <s v="#1774B9"/>
    <s v="990-0020"/>
    <n v="99200002"/>
    <s v="T-1061"/>
    <s v="C-1019"/>
    <s v="FI-991"/>
    <s v="M-993"/>
  </r>
  <r>
    <x v="20"/>
    <n v="990"/>
    <x v="0"/>
    <x v="1"/>
    <n v="3"/>
    <x v="1"/>
    <x v="1"/>
    <x v="1"/>
    <x v="3"/>
    <s v="Comuna"/>
    <s v="Proporción alumnos sobre 450 pts PSU por comuna"/>
    <s v="Periodo 2001-2020"/>
    <s v="Porcentaje (%)"/>
    <s v="Sistema Nacional de Información Municipal"/>
    <x v="20"/>
    <s v="En la comuna de Copiapó de la región de Tarapacá, la proporción de alumnos de cuarto medio con más de 450 puntos en la PSU es mayor en los colegios Particulares, superando el promedio de 94,2% a partir del año 2008."/>
    <s v="Gráfico de Evolución"/>
    <s v="Región de Atacama educación municipal PSU alumnos calidad colegios municipales"/>
    <x v="20"/>
    <s v="100-C-3"/>
    <s v="#1774B9"/>
    <s v="990-0021"/>
    <n v="99200003"/>
    <s v="T-1061"/>
    <s v="C-1019"/>
    <s v="FI-991"/>
    <s v="M-993"/>
  </r>
  <r>
    <x v="21"/>
    <n v="990"/>
    <x v="0"/>
    <x v="1"/>
    <n v="4"/>
    <x v="1"/>
    <x v="1"/>
    <x v="1"/>
    <x v="4"/>
    <s v="Comuna"/>
    <s v="Proporción alumnos sobre 450 pts PSU por comuna"/>
    <s v="Periodo 2001-2020"/>
    <s v="Porcentaje (%)"/>
    <s v="Sistema Nacional de Información Municipal"/>
    <x v="21"/>
    <s v="En la comuna de Coquimbo, para el año 2008, el 96,2% de los alumnos de los colegios particulares obtuvo más de 450 puntos en la PSU. La comuna no registra información para los años del 2006 al 2017."/>
    <s v="Gráfico de Evolución"/>
    <s v="Región de Coquimbo educación municipal PSU alumnos calidad colegios municipales"/>
    <x v="21"/>
    <s v="100-C-4"/>
    <s v="#1774B9"/>
    <s v="990-0022"/>
    <n v="99200004"/>
    <s v="T-1061"/>
    <s v="C-1019"/>
    <s v="FI-991"/>
    <s v="M-993"/>
  </r>
  <r>
    <x v="22"/>
    <n v="990"/>
    <x v="0"/>
    <x v="1"/>
    <n v="5"/>
    <x v="1"/>
    <x v="1"/>
    <x v="1"/>
    <x v="5"/>
    <s v="Comuna"/>
    <s v="Proporción alumnos sobre 450 pts PSU por comuna"/>
    <s v="Periodo 2001-2020"/>
    <s v="Porcentaje (%)"/>
    <s v="Sistema Nacional de Información Municipal"/>
    <x v="22"/>
    <s v="En la comuna de Viña del Mar de la región de Valparaíso, la proporción de alumnos de cuarto medio con más de 450 puntos en la PSU es mayor en los colegios Particulares, en relación a los Subvencionados y Municipales, durante todo el periodo 2001 – 2020."/>
    <s v="Gráfico de Evolución"/>
    <s v="Región de Valparaíso educación municipal PSU alumnos calidad colegios municipales"/>
    <x v="22"/>
    <s v="100-C-5"/>
    <s v="#1774B9"/>
    <s v="990-0023"/>
    <n v="99200005"/>
    <s v="T-1061"/>
    <s v="C-1019"/>
    <s v="FI-991"/>
    <s v="M-993"/>
  </r>
  <r>
    <x v="23"/>
    <n v="990"/>
    <x v="0"/>
    <x v="1"/>
    <n v="6"/>
    <x v="1"/>
    <x v="1"/>
    <x v="1"/>
    <x v="6"/>
    <s v="Comuna"/>
    <s v="Proporción alumnos sobre 450 pts PSU por comuna"/>
    <s v="Periodo 2001-2020"/>
    <s v="Porcentaje (%)"/>
    <s v="Sistema Nacional de Información Municipal"/>
    <x v="23"/>
    <s v="Gráfico de evolución de la proporción de alumnos de cuarto medio con más de 450 puntos en la PSU, según dependencia de colegios en la comuna de Rancagua de la región de O'Higgins, en el periodo 2001- 2020. "/>
    <s v="Gráfico de Evolución"/>
    <s v="Región de O'Higgins educación municipal PSU alumnos calidad colegios municipales"/>
    <x v="23"/>
    <s v="100-C-6"/>
    <s v="#1774B9"/>
    <s v="990-0024"/>
    <n v="99200006"/>
    <s v="T-1061"/>
    <s v="C-1019"/>
    <s v="FI-991"/>
    <s v="M-993"/>
  </r>
  <r>
    <x v="24"/>
    <n v="990"/>
    <x v="0"/>
    <x v="1"/>
    <n v="7"/>
    <x v="1"/>
    <x v="1"/>
    <x v="1"/>
    <x v="7"/>
    <s v="Comuna"/>
    <s v="Proporción alumnos sobre 450 pts PSU por comuna"/>
    <s v="Periodo 2001-2020"/>
    <s v="Porcentaje (%)"/>
    <s v="Sistema Nacional de Información Municipal"/>
    <x v="24"/>
    <s v="En la comuna de Talca de la región del Maule, la proporción de alumnos de cuarto medio con más de 450 puntos en la PSU es mayor en los colegios Particulares, en relación a los Subvencionados y Municipales, durante todo el periodo 2001 – 2020."/>
    <s v="Gráfico de Evolución"/>
    <s v="Región de Maule educación municipal PSU alumnos calidad colegios municipales"/>
    <x v="24"/>
    <s v="100-C-7"/>
    <s v="#1774B9"/>
    <s v="990-0025"/>
    <n v="99200007"/>
    <s v="T-1061"/>
    <s v="C-1019"/>
    <s v="FI-991"/>
    <s v="M-993"/>
  </r>
  <r>
    <x v="25"/>
    <n v="990"/>
    <x v="0"/>
    <x v="1"/>
    <n v="8"/>
    <x v="1"/>
    <x v="1"/>
    <x v="1"/>
    <x v="8"/>
    <s v="Comuna"/>
    <s v="Proporción alumnos sobre 450 pts PSU por comuna"/>
    <s v="Periodo 2001-2020"/>
    <s v="Porcentaje (%)"/>
    <s v="Sistema Nacional de Información Municipal"/>
    <x v="25"/>
    <s v="En la comuna de Concepción de la región del Biobío, la proporción de alumnos de cuarto medio con más de 450 puntos en la PSU es mayor en los colegios Particulares, en relación a los Subvencionados y Municipales, durante todo el periodo 2001 – 2020."/>
    <s v="Gráfico de Evolución"/>
    <s v="Región del Biobío educación municipal PSU alumnos calidad colegios municipales"/>
    <x v="25"/>
    <s v="100-C-8"/>
    <s v="#1774B9"/>
    <s v="990-0026"/>
    <n v="99200008"/>
    <s v="T-1061"/>
    <s v="C-1019"/>
    <s v="FI-991"/>
    <s v="M-993"/>
  </r>
  <r>
    <x v="26"/>
    <n v="990"/>
    <x v="0"/>
    <x v="1"/>
    <n v="9"/>
    <x v="1"/>
    <x v="1"/>
    <x v="1"/>
    <x v="9"/>
    <s v="Comuna"/>
    <s v="Proporción alumnos sobre 450 pts PSU por comuna"/>
    <s v="Periodo 2001-2020"/>
    <s v="Porcentaje (%)"/>
    <s v="Sistema Nacional de Información Municipal"/>
    <x v="26"/>
    <s v="Gráfico de evolución de la proporción de alumnos de cuarto medio con más de 450 puntos en la PSU, según dependencia de colegios en la comuna de Temuco de la región de La Araucanía, en el periodo 2001- 2020. "/>
    <s v="Gráfico de Evolución"/>
    <s v="Región de La Araucanía educación municipal PSU alumnos calidad colegios municipales"/>
    <x v="26"/>
    <s v="100-C-9"/>
    <s v="#1774B9"/>
    <s v="990-0027"/>
    <n v="99200009"/>
    <s v="T-1061"/>
    <s v="C-1019"/>
    <s v="FI-991"/>
    <s v="M-993"/>
  </r>
  <r>
    <x v="27"/>
    <n v="990"/>
    <x v="0"/>
    <x v="1"/>
    <n v="10"/>
    <x v="1"/>
    <x v="1"/>
    <x v="1"/>
    <x v="10"/>
    <s v="Comuna"/>
    <s v="Proporción alumnos sobre 450 pts PSU por comuna"/>
    <s v="Periodo 2001-2020"/>
    <s v="Porcentaje (%)"/>
    <s v="Sistema Nacional de Información Municipal"/>
    <x v="27"/>
    <s v="En la comuna de Puerto Montt de la región de Los Lagos, la proporción de alumnos de cuarto medio con más de 450 puntos en la PSU es mayor en los colegios Particulares, superando el promedio de 92,9 % a partir del año 2007."/>
    <s v="Gráfico de Evolución"/>
    <s v="Región de Los Lagos educación municipal PSU alumnos calidad colegios municipales"/>
    <x v="27"/>
    <s v="100-C-10"/>
    <s v="#1774B9"/>
    <s v="990-0028"/>
    <n v="99200010"/>
    <s v="T-1061"/>
    <s v="C-1019"/>
    <s v="FI-991"/>
    <s v="M-993"/>
  </r>
  <r>
    <x v="28"/>
    <n v="990"/>
    <x v="0"/>
    <x v="1"/>
    <n v="12"/>
    <x v="1"/>
    <x v="1"/>
    <x v="1"/>
    <x v="12"/>
    <s v="Comuna"/>
    <s v="Proporción alumnos sobre 450 pts PSU por comuna"/>
    <s v="Periodo 2001-2020"/>
    <s v="Porcentaje (%)"/>
    <s v="Sistema Nacional de Información Municipal"/>
    <x v="28"/>
    <s v="Gráfico de evolución de la proporción de alumnos de cuarto medio con más de 450 puntos en la PSU, según dependencia de colegios en la comuna de Punta Arenas, en el periodo 2001- 2020, según datos del Sistema Nacional de Información Municipal."/>
    <s v="Gráfico de Evolución"/>
    <s v="Región de Magallanes educación municipal PSU alumnos calidad colegios municipales"/>
    <x v="28"/>
    <s v="100-C-12"/>
    <s v="#1774B9"/>
    <s v="990-0029"/>
    <n v="99200012"/>
    <s v="T-1061"/>
    <s v="C-1019"/>
    <s v="FI-991"/>
    <s v="M-993"/>
  </r>
  <r>
    <x v="29"/>
    <n v="990"/>
    <x v="0"/>
    <x v="1"/>
    <n v="13"/>
    <x v="1"/>
    <x v="1"/>
    <x v="1"/>
    <x v="13"/>
    <s v="Comuna"/>
    <s v="Proporción alumnos sobre 450 pts PSU por comuna"/>
    <s v="Periodo 2001-2020"/>
    <s v="Porcentaje (%)"/>
    <s v="Sistema Nacional de Información Municipal"/>
    <x v="29"/>
    <s v="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
    <s v="Gráfico de Evolución"/>
    <s v="Región Metropolitana educación municipal PSU alumnos calidad colegios municipales"/>
    <x v="29"/>
    <s v="200-C-13"/>
    <s v="#1774B9"/>
    <s v="990-0030"/>
    <n v="99200013"/>
    <s v="T-1061"/>
    <s v="C-1019"/>
    <s v="FI-991"/>
    <s v="M-993"/>
  </r>
  <r>
    <x v="30"/>
    <n v="990"/>
    <x v="0"/>
    <x v="1"/>
    <n v="14"/>
    <x v="1"/>
    <x v="1"/>
    <x v="1"/>
    <x v="14"/>
    <s v="Comuna"/>
    <s v="Proporción alumnos sobre 450 pts PSU por comuna"/>
    <s v="Periodo 2001-2020"/>
    <s v="Porcentaje (%)"/>
    <s v="Sistema Nacional de Información Municipal"/>
    <x v="30"/>
    <s v="Gráfico de evolución de la proporción de alumnos de cuarto medio con más de 450 puntos en la PSU, según dependencia de colegios, para el periodo 2001- 2020, en la comuna de Valdivia, región de Los Ríos. "/>
    <s v="Gráfico de Evolución"/>
    <s v="Región de Los Ríos educación municipal PSU alumnos calidad colegios municipales"/>
    <x v="30"/>
    <s v="100-C-14"/>
    <s v="#1774B9"/>
    <s v="990-0031"/>
    <n v="99200014"/>
    <s v="T-1061"/>
    <s v="C-1019"/>
    <s v="FI-991"/>
    <s v="M-993"/>
  </r>
  <r>
    <x v="31"/>
    <n v="990"/>
    <x v="0"/>
    <x v="1"/>
    <n v="15"/>
    <x v="1"/>
    <x v="1"/>
    <x v="1"/>
    <x v="15"/>
    <s v="Comuna"/>
    <s v="Proporción alumnos sobre 450 pts PSU por comuna"/>
    <s v="Periodo 2001-2020"/>
    <s v="Porcentaje (%)"/>
    <s v="Sistema Nacional de Información Municipal"/>
    <x v="31"/>
    <s v="Gráfico de evolución de la proporción de alumnos de cuarto medio con más de 450 puntos en la PSU, según dependencia de colegios en la comuna de Arica, para el periodo 2001- 2020. "/>
    <s v="Gráfico de Evolución"/>
    <s v="Región de Arica y Parinacota educación municipal PSU alumnos calidad colegios municipales"/>
    <x v="31"/>
    <s v="100-C-15"/>
    <s v="#1774B9"/>
    <s v="990-0032"/>
    <n v="99200015"/>
    <s v="T-1061"/>
    <s v="C-1019"/>
    <s v="FI-991"/>
    <s v="M-993"/>
  </r>
  <r>
    <x v="32"/>
    <n v="990"/>
    <x v="0"/>
    <x v="1"/>
    <n v="16"/>
    <x v="1"/>
    <x v="1"/>
    <x v="1"/>
    <x v="16"/>
    <s v="Comuna"/>
    <s v="Proporción alumnos sobre 450 pts PSU por comuna"/>
    <s v="Periodo 2001-2020"/>
    <s v="Porcentaje (%)"/>
    <s v="Sistema Nacional de Información Municipal"/>
    <x v="32"/>
    <s v="En la Comuna de Chillán de la región de Ñuble, la proporción de alumnos de cuarto medio con más de 450 puntos en la PSU es mayor en los colegios Particulares, en relación a los Subvencionados y Municipales, a partir del año 2004.    "/>
    <s v="Gráfico de Evolución"/>
    <s v="Región de Ñuble educación municipal PSU alumnos calidad colegios municipales"/>
    <x v="32"/>
    <s v="100-C-16"/>
    <s v="#1774B9"/>
    <s v="990-0033"/>
    <n v="99200016"/>
    <s v="T-1061"/>
    <s v="C-1019"/>
    <s v="FI-991"/>
    <s v="M-993"/>
  </r>
  <r>
    <x v="33"/>
    <n v="990"/>
    <x v="0"/>
    <x v="2"/>
    <n v="0"/>
    <x v="2"/>
    <x v="2"/>
    <x v="0"/>
    <x v="0"/>
    <s v="Región-Comuna"/>
    <s v="Denuncias por violación por comuna"/>
    <s v="Periodo 2008-2020"/>
    <s v="Número de Denuncias"/>
    <s v="Centro de Estudios y Análisis del Delito (CEAD) de la Subsecretaría de Prevención del Delito"/>
    <x v="33"/>
    <s v="A nivel nacional las comunas que presentan mayor frecuencia de denuncias por violación en el 2020 fueron Puento Alto y Santiago, ambas pertenecientes a la Región Metropolitana. "/>
    <s v="Gráfico de Evolución"/>
    <s v="Chile comunas violencia mujer violacion denuncias"/>
    <x v="33"/>
    <s v="300-C"/>
    <s v="#1774B9"/>
    <s v="990-0034"/>
    <n v="99100000"/>
    <s v="T-1028"/>
    <s v="C-996"/>
    <s v="FI-995"/>
    <s v="M-994"/>
  </r>
  <r>
    <x v="34"/>
    <n v="990"/>
    <x v="0"/>
    <x v="2"/>
    <n v="1"/>
    <x v="2"/>
    <x v="2"/>
    <x v="1"/>
    <x v="1"/>
    <s v="Comuna"/>
    <s v="Denuncias por violación por comuna"/>
    <s v="Periodo 2008-2020"/>
    <s v="Número de Denuncias"/>
    <s v="Centro de Estudios y Análisis del Delito (CEAD) de la Subsecretaría de Prevención del Delito"/>
    <x v="34"/>
    <s v="Las comunas de la región de Tarapacá que presentan mayor frecuencia de denuncias por violación el año 2020, son Iquique y Alto Hospicio."/>
    <s v="Gráfico de Evolución"/>
    <s v="Región de Tarapacá comunas violencia mujer violación denuncias"/>
    <x v="34"/>
    <s v="100-C-1"/>
    <s v="#1774B9"/>
    <s v="990-0035"/>
    <n v="99200001"/>
    <s v="T-1028"/>
    <s v="C-996"/>
    <s v="FI-991"/>
    <s v="M-994"/>
  </r>
  <r>
    <x v="35"/>
    <n v="990"/>
    <x v="0"/>
    <x v="2"/>
    <n v="2"/>
    <x v="2"/>
    <x v="2"/>
    <x v="1"/>
    <x v="2"/>
    <s v="Comuna"/>
    <s v="Denuncias por violación por comuna"/>
    <s v="Periodo 2008-2020"/>
    <s v="Número de Denuncias"/>
    <s v="Centro de Estudios y Análisis del Delito (CEAD) de la Subsecretaría de Prevención del Delito"/>
    <x v="35"/>
    <s v="Las comunas de la región de Antofagasta que presentan mayor frecuencia de denuncias por violación el año 2020, son Antofagasta y Calama."/>
    <s v="Gráfico de Evolución"/>
    <s v="Región de Antofagasta comunas violencia mujer violación denuncias"/>
    <x v="35"/>
    <s v="100-C-2"/>
    <s v="#1774B9"/>
    <s v="990-0036"/>
    <n v="99200002"/>
    <s v="T-1028"/>
    <s v="C-996"/>
    <s v="FI-991"/>
    <s v="M-994"/>
  </r>
  <r>
    <x v="36"/>
    <n v="990"/>
    <x v="0"/>
    <x v="2"/>
    <n v="3"/>
    <x v="2"/>
    <x v="2"/>
    <x v="1"/>
    <x v="3"/>
    <s v="Comuna"/>
    <s v="Denuncias por violación por comuna"/>
    <s v="Periodo 2008-2020"/>
    <s v="Número de Denuncias"/>
    <s v="Centro de Estudios y Análisis del Delito (CEAD) de la Subsecretaría de Prevención del Delito"/>
    <x v="36"/>
    <s v="Las comunas de la región de Atacama que presentan mayor frecuencia de denuncias por violación el año 2020, son Copiapó y Vallenar."/>
    <s v="Gráfico de Evolución"/>
    <s v="Región de Atacama comunas violencia mujer violación denuncias"/>
    <x v="36"/>
    <s v="100-C-3"/>
    <s v="#1774B9"/>
    <s v="990-0037"/>
    <n v="99200003"/>
    <s v="T-1028"/>
    <s v="C-996"/>
    <s v="FI-991"/>
    <s v="M-994"/>
  </r>
  <r>
    <x v="37"/>
    <n v="990"/>
    <x v="0"/>
    <x v="2"/>
    <n v="4"/>
    <x v="2"/>
    <x v="2"/>
    <x v="1"/>
    <x v="4"/>
    <s v="Comuna"/>
    <s v="Denuncias por violación por comuna"/>
    <s v="Periodo 2008-2020"/>
    <s v="Número de Denuncias"/>
    <s v="Centro de Estudios y Análisis del Delito (CEAD) de la Subsecretaría de Prevención del Delito"/>
    <x v="37"/>
    <s v="Las comunas de la región de Coquimbo que presentan mayor frecuencia de denuncias por violación el año 2020, son Coquimbo y La Serena."/>
    <s v="Gráfico de Evolución"/>
    <s v="Región de Coquimbo comunas violencia mujer violación denuncias"/>
    <x v="37"/>
    <s v="100-C-4"/>
    <s v="#1774B9"/>
    <s v="990-0038"/>
    <n v="99200004"/>
    <s v="T-1028"/>
    <s v="C-996"/>
    <s v="FI-991"/>
    <s v="M-994"/>
  </r>
  <r>
    <x v="38"/>
    <n v="990"/>
    <x v="0"/>
    <x v="2"/>
    <n v="5"/>
    <x v="2"/>
    <x v="2"/>
    <x v="1"/>
    <x v="5"/>
    <s v="Comuna"/>
    <s v="Denuncias por violación por comuna"/>
    <s v="Periodo 2008-2020"/>
    <s v="Número de Denuncias"/>
    <s v="Centro de Estudios y Análisis del Delito (CEAD) de la Subsecretaría de Prevención del Delito"/>
    <x v="38"/>
    <s v="Las comunas de la región de Valparaíso que presentan mayor frecuencia de denuncias por violación el año 2020, son: Valparaíso y Viña del Mar."/>
    <s v="Gráfico de Evolución"/>
    <s v="Región de Valparaíso comunas violencia mujer violación denuncias"/>
    <x v="38"/>
    <s v="100-C-5"/>
    <s v="#1774B9"/>
    <s v="990-0039"/>
    <n v="99200005"/>
    <s v="T-1028"/>
    <s v="C-996"/>
    <s v="FI-991"/>
    <s v="M-994"/>
  </r>
  <r>
    <x v="39"/>
    <n v="990"/>
    <x v="0"/>
    <x v="2"/>
    <n v="6"/>
    <x v="2"/>
    <x v="2"/>
    <x v="1"/>
    <x v="6"/>
    <s v="Comuna"/>
    <s v="Denuncias por violación por comuna"/>
    <s v="Periodo 2008-2020"/>
    <s v="Número de Denuncias"/>
    <s v="Centro de Estudios y Análisis del Delito (CEAD) de la Subsecretaría de Prevención del Delito"/>
    <x v="39"/>
    <s v="Las comunas de la región de O'Higgins que presentan mayor frecuencia de denuncias por violación el año 2020, son Rancagua y San Fernando."/>
    <s v="Gráfico de Evolución"/>
    <s v="Región de O'Higgins comunas violencia mujer violación denuncias"/>
    <x v="39"/>
    <s v="100-C-6"/>
    <s v="#1774B9"/>
    <s v="990-0040"/>
    <n v="99200006"/>
    <s v="T-1028"/>
    <s v="C-996"/>
    <s v="FI-991"/>
    <s v="M-994"/>
  </r>
  <r>
    <x v="40"/>
    <n v="990"/>
    <x v="0"/>
    <x v="2"/>
    <n v="7"/>
    <x v="2"/>
    <x v="2"/>
    <x v="1"/>
    <x v="7"/>
    <s v="Comuna"/>
    <s v="Denuncias por violación por comuna"/>
    <s v="Periodo 2008-2020"/>
    <s v="Número de Denuncias"/>
    <s v="Centro de Estudios y Análisis del Delito (CEAD) de la Subsecretaría de Prevención del Delito"/>
    <x v="40"/>
    <s v="Las comunas de la región del Maule que presentan mayor frecuencia de denuncias por violación el año 2020, son Talca y Curicó."/>
    <s v="Gráfico de Evolución"/>
    <s v="Región de Maule comunas violencia mujer violación denuncias"/>
    <x v="40"/>
    <s v="100-C-7"/>
    <s v="#1774B9"/>
    <s v="990-0041"/>
    <n v="99200007"/>
    <s v="T-1028"/>
    <s v="C-996"/>
    <s v="FI-991"/>
    <s v="M-994"/>
  </r>
  <r>
    <x v="41"/>
    <n v="990"/>
    <x v="0"/>
    <x v="2"/>
    <n v="8"/>
    <x v="2"/>
    <x v="2"/>
    <x v="1"/>
    <x v="8"/>
    <s v="Comuna"/>
    <s v="Denuncias por violación por comuna"/>
    <s v="Periodo 2008-2020"/>
    <s v="Número de Denuncias"/>
    <s v="Centro de Estudios y Análisis del Delito (CEAD) de la Subsecretaría de Prevención del Delito"/>
    <x v="41"/>
    <s v="Las comunas de la región del Biobío que presentan mayor frecuencia de denuncias por violación el año 2020, son Concepción y Los Ángeles."/>
    <s v="Gráfico de Evolución"/>
    <s v="Región del Biobío comunas violencia mujer violación denuncias"/>
    <x v="41"/>
    <s v="100-C-8"/>
    <s v="#1774B9"/>
    <s v="990-0042"/>
    <n v="99200008"/>
    <s v="T-1028"/>
    <s v="C-996"/>
    <s v="FI-991"/>
    <s v="M-994"/>
  </r>
  <r>
    <x v="42"/>
    <n v="990"/>
    <x v="0"/>
    <x v="2"/>
    <n v="9"/>
    <x v="2"/>
    <x v="2"/>
    <x v="1"/>
    <x v="9"/>
    <s v="Comuna"/>
    <s v="Denuncias por violación por comuna"/>
    <s v="Periodo 2008-2020"/>
    <s v="Número de Denuncias"/>
    <s v="Centro de Estudios y Análisis del Delito (CEAD) de la Subsecretaría de Prevención del Delito"/>
    <x v="42"/>
    <s v="Las comunas de la región de La Araucanía que presentan mayor frecuencia de denuncias por violación el año 2020, son Temuco y Villarrica."/>
    <s v="Gráfico de Evolución"/>
    <s v="Región de La Araucanía comunas violencia mujer violación denuncias"/>
    <x v="42"/>
    <s v="100-C-9"/>
    <s v="#1774B9"/>
    <s v="990-0043"/>
    <n v="99200009"/>
    <s v="T-1028"/>
    <s v="C-996"/>
    <s v="FI-991"/>
    <s v="M-994"/>
  </r>
  <r>
    <x v="43"/>
    <n v="990"/>
    <x v="0"/>
    <x v="2"/>
    <n v="10"/>
    <x v="2"/>
    <x v="2"/>
    <x v="1"/>
    <x v="10"/>
    <s v="Comuna"/>
    <s v="Denuncias por violación por comuna"/>
    <s v="Periodo 2008-2020"/>
    <s v="Número de Denuncias"/>
    <s v="Centro de Estudios y Análisis del Delito (CEAD) de la Subsecretaría de Prevención del Delito"/>
    <x v="43"/>
    <s v="Las comunas de la región de Los Lagos que presentan mayor frecuencia de denuncias por violación el año 2020, son Puerto Montt y Osorno."/>
    <s v="Gráfico de Evolución"/>
    <s v="Región de Los Lagos comunas violencia mujer violación denuncias"/>
    <x v="43"/>
    <s v="100-C-10"/>
    <s v="#1774B9"/>
    <s v="990-0044"/>
    <n v="99200010"/>
    <s v="T-1028"/>
    <s v="C-996"/>
    <s v="FI-991"/>
    <s v="M-994"/>
  </r>
  <r>
    <x v="44"/>
    <n v="990"/>
    <x v="0"/>
    <x v="2"/>
    <n v="11"/>
    <x v="2"/>
    <x v="2"/>
    <x v="1"/>
    <x v="11"/>
    <s v="Comuna"/>
    <s v="Denuncias por violación por comuna"/>
    <s v="Periodo 2008-2020"/>
    <s v="Número de Denuncias"/>
    <s v="Centro de Estudios y Análisis del Delito (CEAD) de la Subsecretaría de Prevención del Delito"/>
    <x v="44"/>
    <s v="Las comunas de la región de Aysén que presentan mayor frecuencia de denuncias por violación el año 2020, son Coyhaique y Aysén."/>
    <s v="Gráfico de Evolución"/>
    <s v="Región de Aysén comunas violencia mujer violación denuncias"/>
    <x v="44"/>
    <s v="100-C-11"/>
    <s v="#1774B9"/>
    <s v="990-0045"/>
    <n v="99200011"/>
    <s v="T-1028"/>
    <s v="C-996"/>
    <s v="FI-991"/>
    <s v="M-994"/>
  </r>
  <r>
    <x v="45"/>
    <n v="990"/>
    <x v="0"/>
    <x v="2"/>
    <n v="12"/>
    <x v="2"/>
    <x v="2"/>
    <x v="1"/>
    <x v="12"/>
    <s v="Comuna"/>
    <s v="Denuncias por violación por comuna"/>
    <s v="Periodo 2008-2020"/>
    <s v="Número de Denuncias"/>
    <s v="Centro de Estudios y Análisis del Delito (CEAD) de la Subsecretaría de Prevención del Delito"/>
    <x v="45"/>
    <s v="Las comunas de la región de Magallanes que presentan mayor frecuencia de denuncias por violación el año 2020, son Punta Arenas y Natales."/>
    <s v="Gráfico de Evolución"/>
    <s v="Región de Magallanes comunas violencia mujer violación denuncias"/>
    <x v="45"/>
    <s v="100-C-12"/>
    <s v="#1774B9"/>
    <s v="990-0046"/>
    <n v="99200012"/>
    <s v="T-1028"/>
    <s v="C-996"/>
    <s v="FI-991"/>
    <s v="M-994"/>
  </r>
  <r>
    <x v="46"/>
    <n v="990"/>
    <x v="0"/>
    <x v="2"/>
    <n v="13"/>
    <x v="2"/>
    <x v="2"/>
    <x v="1"/>
    <x v="13"/>
    <s v="Comuna"/>
    <s v="Denuncias por violación por comuna"/>
    <s v="Periodo 2008-2020"/>
    <s v="Número de Denuncias"/>
    <s v="Centro de Estudios y Análisis del Delito (CEAD) de la Subsecretaría de Prevención del Delito"/>
    <x v="46"/>
    <s v="Las comunas de la región Metropolitana que presentan mayor frecuencia de denuncias por violación el año 2020, son: Puente Alto, La Florida, San Bernardo, Maipú y Santiago."/>
    <s v="Gráfico de Evolución"/>
    <s v="Región Metropolitana comunas violencia mujer violación denuncias"/>
    <x v="46"/>
    <s v="200-C-13"/>
    <s v="#1774B9"/>
    <s v="990-0047"/>
    <n v="99200013"/>
    <s v="T-1028"/>
    <s v="C-996"/>
    <s v="FI-991"/>
    <s v="M-994"/>
  </r>
  <r>
    <x v="47"/>
    <n v="990"/>
    <x v="0"/>
    <x v="2"/>
    <n v="14"/>
    <x v="2"/>
    <x v="2"/>
    <x v="1"/>
    <x v="14"/>
    <s v="Comuna"/>
    <s v="Denuncias por violación por comuna"/>
    <s v="Periodo 2008-2020"/>
    <s v="Número de Denuncias"/>
    <s v="Centro de Estudios y Análisis del Delito (CEAD) de la Subsecretaría de Prevención del Delito"/>
    <x v="47"/>
    <s v="Las comunas de la región de Los Ríos que presentan mayor frecuencia de denuncias por violación el año 2020, son Valdivia y Río Bueno."/>
    <s v="Gráfico de Evolución"/>
    <s v="Región de Los Ríos comunas violencia mujer violación denuncias"/>
    <x v="47"/>
    <s v="100-C-14"/>
    <s v="#1774B9"/>
    <s v="990-0048"/>
    <n v="99200014"/>
    <s v="T-1028"/>
    <s v="C-996"/>
    <s v="FI-991"/>
    <s v="M-994"/>
  </r>
  <r>
    <x v="48"/>
    <n v="990"/>
    <x v="0"/>
    <x v="2"/>
    <n v="15"/>
    <x v="2"/>
    <x v="2"/>
    <x v="1"/>
    <x v="15"/>
    <s v="Comuna"/>
    <s v="Denuncias por violación por comuna"/>
    <s v="Periodo 2008-2020"/>
    <s v="Número de Denuncias"/>
    <s v="Centro de Estudios y Análisis del Delito (CEAD) de la Subsecretaría de Prevención del Delito"/>
    <x v="48"/>
    <s v="La comuna de la región de Arica y Parinacota que presentan mayor frecuencia de denuncias por violación el año 2020, es Arica."/>
    <s v="Gráfico de Evolución"/>
    <s v="Región de Arica y Parinacota comunas violencia mujer violación denuncias"/>
    <x v="48"/>
    <s v="100-C-15"/>
    <s v="#1774B9"/>
    <s v="990-0049"/>
    <n v="99200015"/>
    <s v="T-1028"/>
    <s v="C-996"/>
    <s v="FI-991"/>
    <s v="M-994"/>
  </r>
  <r>
    <x v="49"/>
    <n v="990"/>
    <x v="0"/>
    <x v="2"/>
    <n v="16"/>
    <x v="2"/>
    <x v="2"/>
    <x v="1"/>
    <x v="16"/>
    <s v="Comuna"/>
    <s v="Denuncias por violación por comuna"/>
    <s v="Periodo 2008-2020"/>
    <s v="Número de Denuncias"/>
    <s v="Centro de Estudios y Análisis del Delito (CEAD) de la Subsecretaría de Prevención del Delito"/>
    <x v="49"/>
    <s v="Las comunas de la región de Ñuble que presentan mayor frecuencia de denuncias por violación el año 2020, son Chillán y San Carlos."/>
    <s v="Gráfico de Evolución"/>
    <s v="Región de Ñuble comunas violencia mujer violación denuncias"/>
    <x v="49"/>
    <s v="100-C-16"/>
    <s v="#1774B9"/>
    <s v="990-0050"/>
    <n v="99200016"/>
    <s v="T-1028"/>
    <s v="C-996"/>
    <s v="FI-991"/>
    <s v="M-994"/>
  </r>
  <r>
    <x v="50"/>
    <n v="990"/>
    <x v="0"/>
    <x v="0"/>
    <n v="0"/>
    <x v="3"/>
    <x v="0"/>
    <x v="0"/>
    <x v="0"/>
    <s v="Comuna"/>
    <s v="Ingreso Promedio Mensual en Chile"/>
    <s v="Periodo 2006-2017"/>
    <s v="CLP/mes"/>
    <s v="Encuestas CASEN"/>
    <x v="50"/>
    <s v="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
    <s v="Gráfico de Evolución"/>
    <s v="Chile CASEN ingresos promedio mensual nacional"/>
    <x v="50"/>
    <n v="0"/>
    <s v="#1774B9"/>
    <s v="990-0051"/>
    <n v="99100000"/>
    <s v="T-994"/>
    <s v="C-995"/>
    <s v="FI-991"/>
    <s v="M-995"/>
  </r>
  <r>
    <x v="51"/>
    <n v="990"/>
    <x v="0"/>
    <x v="0"/>
    <n v="0"/>
    <x v="4"/>
    <x v="0"/>
    <x v="0"/>
    <x v="0"/>
    <s v="Región"/>
    <s v="Ingresos Promedio Mensual por región"/>
    <s v="Periodo 2006-2017"/>
    <s v="CLP/mes"/>
    <s v="Encuestas CASEN"/>
    <x v="51"/>
    <s v="La población de la etnia Mapuche se distribuye en las 16 regiones del país en distintas proporciones. Las regiones donde las personas de este grupo étnico logran mayores ingresos mensuales, en promedio, son las de Arica y Parinacota y Magallanes."/>
    <s v="Gráfico de Evolución"/>
    <s v="Chile CASEN ingresos promedio mensual etnia región mapuche alacalufe atacameño aymara coya diaguita pascuense quechua"/>
    <x v="51"/>
    <s v="300-C"/>
    <s v="#1774B9"/>
    <s v="990-0052"/>
    <n v="99100000"/>
    <s v="T-1029"/>
    <s v="C-995"/>
    <s v="FI-992"/>
    <s v="M-992"/>
  </r>
  <r>
    <x v="52"/>
    <n v="990"/>
    <x v="0"/>
    <x v="0"/>
    <n v="1"/>
    <x v="4"/>
    <x v="0"/>
    <x v="1"/>
    <x v="1"/>
    <s v="Región"/>
    <s v="Ingresos Promedio Mensual por región"/>
    <s v="Periodo 2006-2017"/>
    <s v="CLP/mes"/>
    <s v="Encuestas CASEN"/>
    <x v="52"/>
    <s v="Considerando la evolución de ingreso promedio mensual en la región de Tarapacá, según las encuestas CASEN del periodo 2006-2017, se observa que en el año 2017 las etnias con promedio más altos de ingresos son los Atacameños y Coya con un sueldo promedio de 570 mil CLP/mes."/>
    <s v="Gráfico de Evolución"/>
    <s v="Región de Tarapacá CASEN ingresos promedio mensual etnia región mapuche alacalufe atacameño aymara coya diaguita pascuense quechua"/>
    <x v="52"/>
    <s v="100-C-1"/>
    <s v="#1774B9"/>
    <s v="990-0053"/>
    <n v="99200001"/>
    <s v="T-1029"/>
    <s v="C-995"/>
    <s v="FI-992"/>
    <s v="M-992"/>
  </r>
  <r>
    <x v="53"/>
    <n v="990"/>
    <x v="0"/>
    <x v="0"/>
    <n v="2"/>
    <x v="4"/>
    <x v="0"/>
    <x v="1"/>
    <x v="2"/>
    <s v="Región"/>
    <s v="Ingresos Promedio Mensual por región"/>
    <s v="Periodo 2006-2017"/>
    <s v="CLP/mes"/>
    <s v="Encuestas CASEN"/>
    <x v="53"/>
    <s v="Considerando la evolución de ingreso promedio mensual en la región de Antofagasta, según las encuestas CASEN del periodo 2006-2017, se observa que en el año 2017 la etnia con promedio más altos de ingresos es la Diaguita con un sueldo promedio de 460 mil CLP/mes."/>
    <s v="Gráfico de Evolución"/>
    <s v="Región de Antofagasta CASEN ingresos promedio mensual etnia región mapuche alacalufe atacameño aymara coya diaguita pascuense quechua"/>
    <x v="53"/>
    <s v="100-C-2"/>
    <s v="#1774B9"/>
    <s v="990-0054"/>
    <n v="99200002"/>
    <s v="T-1029"/>
    <s v="C-995"/>
    <s v="FI-992"/>
    <s v="M-992"/>
  </r>
  <r>
    <x v="54"/>
    <n v="990"/>
    <x v="0"/>
    <x v="0"/>
    <n v="3"/>
    <x v="4"/>
    <x v="0"/>
    <x v="1"/>
    <x v="3"/>
    <s v="Región"/>
    <s v="Ingresos Promedio Mensual por región"/>
    <s v="Periodo 2006-2017"/>
    <s v="CLP/mes"/>
    <s v="Encuestas CASEN"/>
    <x v="54"/>
    <s v="Considerando la evolución de ingreso promedio mensual en la región de Atacama, según las encuestas CASEN del periodo 2006-2017, se observa que el año 2011 muestra el promedio más alto del periodo para las etnias Pascuense y Yagan con un sueldo aproximado de 500 mil CLP/mes. "/>
    <s v="Gráfico de Evolución"/>
    <s v="Región de Atacama CASEN ingresos promedio mensual etnia región mapuche alacalufe atacameño aymara coya diaguita pascuense quechua"/>
    <x v="54"/>
    <s v="100-C-3"/>
    <s v="#1774B9"/>
    <s v="990-0055"/>
    <n v="99200003"/>
    <s v="T-1029"/>
    <s v="C-995"/>
    <s v="FI-992"/>
    <s v="M-992"/>
  </r>
  <r>
    <x v="55"/>
    <n v="990"/>
    <x v="0"/>
    <x v="0"/>
    <n v="4"/>
    <x v="4"/>
    <x v="0"/>
    <x v="1"/>
    <x v="4"/>
    <s v="Región"/>
    <s v="Ingresos Promedio Mensual por región"/>
    <s v="Periodo 2006-2017"/>
    <s v="CLP/mes"/>
    <s v="Encuestas CASEN"/>
    <x v="55"/>
    <s v="Considerando la evolución de ingreso promedio mensual en la región de Coquimbo, según las encuestas CASEN del periodo 2006-2017, se observa que el año 2015 muestra el promedio más alto del periodo para la etnia Atacameños con un sueldo aproximado de 400 mil CLP/mes. "/>
    <s v="Gráfico de Evolución"/>
    <s v="Región de Coquimbo CASEN ingresos promedio mensual etnia región mapuche alacalufe atacameño aymara coya diaguita pascuense quechua"/>
    <x v="55"/>
    <s v="100-C-4"/>
    <s v="#1774B9"/>
    <s v="990-0056"/>
    <n v="99200004"/>
    <s v="T-1029"/>
    <s v="C-995"/>
    <s v="FI-992"/>
    <s v="M-992"/>
  </r>
  <r>
    <x v="56"/>
    <n v="990"/>
    <x v="0"/>
    <x v="0"/>
    <n v="5"/>
    <x v="4"/>
    <x v="0"/>
    <x v="1"/>
    <x v="5"/>
    <s v="Región"/>
    <s v="Ingresos Promedio Mensual por región"/>
    <s v="Periodo 2006-2017"/>
    <s v="CLP/mes"/>
    <s v="Encuestas CASEN"/>
    <x v="56"/>
    <s v="Considerando la evolución de ingreso promedio mensual en la región de Valparaíso, según las encuestas CASEN del periodo 2006-2017, se observa que en el año 2017 la etnia con promedio más altos de ingresos es la Aymara con un sueldo promedio de 350 mil CLP/mes."/>
    <s v="Gráfico de Evolución"/>
    <s v="Región de Valparaíso CASEN ingresos promedio mensual etnia región mapuche alacalufe atacameño aymara coya diaguita pascuense quechua"/>
    <x v="56"/>
    <s v="100-C-5"/>
    <s v="#1774B9"/>
    <s v="990-0057"/>
    <n v="99200005"/>
    <s v="T-1029"/>
    <s v="C-995"/>
    <s v="FI-992"/>
    <s v="M-992"/>
  </r>
  <r>
    <x v="57"/>
    <n v="990"/>
    <x v="0"/>
    <x v="0"/>
    <n v="6"/>
    <x v="4"/>
    <x v="0"/>
    <x v="1"/>
    <x v="6"/>
    <s v="Región"/>
    <s v="Ingresos Promedio Mensual por región"/>
    <s v="Periodo 2006-2017"/>
    <s v="CLP/mes"/>
    <s v="Encuestas CASEN"/>
    <x v="57"/>
    <s v="Considerando la evolución de ingreso promedio mensual en la región de O'Higgins, según las encuestas CASEN del periodo 2006-2017, se observa que en el año 2017 la etnia con promedio más altos de ingresos es la Aymara con un sueldo promedio de 500 mil CLP/mes."/>
    <s v="Gráfico de Evolución"/>
    <s v="Región de O'Higgins CASEN ingresos promedio mensual etnia región mapuche alacalufe atacameño aymara coya diaguita pascuense quechua"/>
    <x v="57"/>
    <s v="100-C-6"/>
    <s v="#1774B9"/>
    <s v="990-0058"/>
    <n v="99200006"/>
    <s v="T-1029"/>
    <s v="C-995"/>
    <s v="FI-992"/>
    <s v="M-992"/>
  </r>
  <r>
    <x v="58"/>
    <n v="990"/>
    <x v="0"/>
    <x v="0"/>
    <n v="7"/>
    <x v="4"/>
    <x v="0"/>
    <x v="1"/>
    <x v="7"/>
    <s v="Región"/>
    <s v="Ingresos Promedio Mensual por región"/>
    <s v="Periodo 2006-2017"/>
    <s v="CLP/mes"/>
    <s v="Encuestas CASEN"/>
    <x v="58"/>
    <s v="Gráfico que muestra la evolución del ingreso promedio mensual por etnia en la región de Maule, según las encuestas CASEN del periodo 2006-2017."/>
    <s v="Gráfico de Evolución"/>
    <s v="Región de Maule CASEN ingresos promedio mensual etnia región mapuche alacalufe atacameño aymara coya diaguita pascuense quechua"/>
    <x v="58"/>
    <s v="100-C-7"/>
    <s v="#1774B9"/>
    <s v="990-0059"/>
    <n v="99200007"/>
    <s v="T-1029"/>
    <s v="C-995"/>
    <s v="FI-992"/>
    <s v="M-992"/>
  </r>
  <r>
    <x v="59"/>
    <n v="990"/>
    <x v="0"/>
    <x v="0"/>
    <n v="8"/>
    <x v="4"/>
    <x v="0"/>
    <x v="1"/>
    <x v="8"/>
    <s v="Región"/>
    <s v="Ingresos Promedio Mensual por región"/>
    <s v="Periodo 2006-2017"/>
    <s v="CLP/mes"/>
    <s v="Encuestas CASEN"/>
    <x v="59"/>
    <s v="Gráfico que muestra la evolución del ingreso promedio mensual por etnia en la región del Biobío, según las encuestas CASEN del periodo 2006-2017."/>
    <s v="Gráfico de Evolución"/>
    <s v="Región del Biobío CASEN ingresos promedio mensual etnia región mapuche alacalufe atacameño aymara coya diaguita pascuense quechua"/>
    <x v="59"/>
    <s v="100-C-8"/>
    <s v="#1774B9"/>
    <s v="990-0060"/>
    <n v="99200008"/>
    <s v="T-1029"/>
    <s v="C-995"/>
    <s v="FI-992"/>
    <s v="M-992"/>
  </r>
  <r>
    <x v="60"/>
    <n v="990"/>
    <x v="0"/>
    <x v="0"/>
    <n v="9"/>
    <x v="4"/>
    <x v="0"/>
    <x v="1"/>
    <x v="9"/>
    <s v="Región"/>
    <s v="Ingresos Promedio Mensual por región"/>
    <s v="Periodo 2006-2017"/>
    <s v="CLP/mes"/>
    <s v="Encuestas CASEN"/>
    <x v="60"/>
    <s v="Considerando la evolución de ingreso promedio mensual en la región de La Araucanía, según las encuestas CASEN del periodo 2006-2017, se observa que en el año 2017 la etnia con promedio más altos de ingresos es la Diaguita con un sueldo promedio de 330 mil CLP/mes."/>
    <s v="Gráfico de Evolución"/>
    <s v="Región de La Araucanía CASEN ingresos promedio mensual etnia región mapuche alacalufe atacameño aymara coya diaguita pascuense quechua"/>
    <x v="60"/>
    <s v="100-C-9"/>
    <s v="#1774B9"/>
    <s v="990-0061"/>
    <n v="99200009"/>
    <s v="T-1029"/>
    <s v="C-995"/>
    <s v="FI-992"/>
    <s v="M-992"/>
  </r>
  <r>
    <x v="61"/>
    <n v="990"/>
    <x v="0"/>
    <x v="0"/>
    <n v="10"/>
    <x v="4"/>
    <x v="0"/>
    <x v="1"/>
    <x v="10"/>
    <s v="Región"/>
    <s v="Ingresos Promedio Mensual por región"/>
    <s v="Periodo 2006-2017"/>
    <s v="CLP/mes"/>
    <s v="Encuestas CASEN"/>
    <x v="61"/>
    <s v="Considerando la evolución de ingreso promedio mensual en la región de Los Lagos, según las encuestas CASEN del periodo 2006-2017, se observa que el año 2015 muestra el promedio más alto del periodo para la etnia Quechua con un sueldo aproximado de 330 mil CLP/mes. "/>
    <s v="Gráfico de Evolución"/>
    <s v="Región de Los Lagos CASEN ingresos promedio mensual etnia región mapuche alacalufe atacameño aymara coya diaguita pascuense quechua"/>
    <x v="61"/>
    <s v="100-C-10"/>
    <s v="#1774B9"/>
    <s v="990-0062"/>
    <n v="99200010"/>
    <s v="T-1029"/>
    <s v="C-995"/>
    <s v="FI-992"/>
    <s v="M-992"/>
  </r>
  <r>
    <x v="62"/>
    <n v="990"/>
    <x v="0"/>
    <x v="0"/>
    <n v="11"/>
    <x v="4"/>
    <x v="0"/>
    <x v="1"/>
    <x v="11"/>
    <s v="Región"/>
    <s v="Ingresos Promedio Mensual por región"/>
    <s v="Periodo 2006-2017"/>
    <s v="CLP/mes"/>
    <s v="Encuestas CASEN"/>
    <x v="62"/>
    <s v="Considerando la evolución de ingreso promedio mensual en la región de Aysén, según las encuestas CASEN del periodo 2006-2017, se observa que en el año 2017 la etnia con promedio más altos de ingresos es la Alacalufe con un sueldo promedio de 617 mil CLP/mes."/>
    <s v="Gráfico de Evolución"/>
    <s v="Región de Aysén CASEN ingresos promedio mensual etnia región mapuche alacalufe atacameño aymara coya diaguita pascuense quechua"/>
    <x v="62"/>
    <s v="100-C-11"/>
    <s v="#1774B9"/>
    <s v="990-0063"/>
    <n v="99200011"/>
    <s v="T-1029"/>
    <s v="C-995"/>
    <s v="FI-992"/>
    <s v="M-992"/>
  </r>
  <r>
    <x v="63"/>
    <n v="990"/>
    <x v="0"/>
    <x v="0"/>
    <n v="12"/>
    <x v="4"/>
    <x v="0"/>
    <x v="1"/>
    <x v="12"/>
    <s v="Región"/>
    <s v="Ingresos Promedio Mensual por región"/>
    <s v="Periodo 2006-2017"/>
    <s v="CLP/mes"/>
    <s v="Encuestas CASEN"/>
    <x v="63"/>
    <s v="Considerando la evolución de ingreso promedio mensual en la región de Magallanes, según las encuestas CASEN del periodo 2006-2017, se observa que en el año 2017 la etnia con promedio más altos de ingresos es la Yagan con un sueldo promedio de 430 mil CLP/mes."/>
    <s v="Gráfico de Evolución"/>
    <s v="Región de Magallanes CASEN ingresos promedio mensual etnia región mapuche alacalufe atacameño aymara coya diaguita pascuense quechua"/>
    <x v="63"/>
    <s v="100-C-12"/>
    <s v="#1774B9"/>
    <s v="990-0064"/>
    <n v="99200012"/>
    <s v="T-1029"/>
    <s v="C-995"/>
    <s v="FI-992"/>
    <s v="M-992"/>
  </r>
  <r>
    <x v="64"/>
    <n v="990"/>
    <x v="0"/>
    <x v="0"/>
    <n v="13"/>
    <x v="4"/>
    <x v="0"/>
    <x v="1"/>
    <x v="13"/>
    <s v="Región"/>
    <s v="Ingresos Promedio Mensual por región"/>
    <s v="Periodo 2006-2017"/>
    <s v="CLP/mes"/>
    <s v="Encuestas CASEN"/>
    <x v="64"/>
    <s v="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
    <s v="Gráfico de Evolución"/>
    <s v="Región Metropolitana CASEN ingresos promedio mensual etnia región mapuche alacalufe atacameño aymara coya diaguita pascuense quechua"/>
    <x v="64"/>
    <s v="200-C-13"/>
    <s v="#1774B9"/>
    <s v="990-0065"/>
    <n v="99200013"/>
    <s v="T-1029"/>
    <s v="C-995"/>
    <s v="FI-992"/>
    <s v="M-992"/>
  </r>
  <r>
    <x v="65"/>
    <n v="990"/>
    <x v="0"/>
    <x v="0"/>
    <n v="14"/>
    <x v="4"/>
    <x v="0"/>
    <x v="1"/>
    <x v="14"/>
    <s v="Región"/>
    <s v="Ingresos Promedio Mensual por región"/>
    <s v="Periodo 2006-2017"/>
    <s v="CLP/mes"/>
    <s v="Encuestas CASEN"/>
    <x v="65"/>
    <s v="Gráfico que muestra la evolución del ingreso promedio mensual por etnia en la región de Los Ríos, según las encuestas CASEN del periodo 2006-2017."/>
    <s v="Gráfico de Evolución"/>
    <s v="Región de Los Ríos CASEN ingresos promedio mensual etnia región mapuche alacalufe atacameño aymara coya diaguita pascuense quechua"/>
    <x v="65"/>
    <s v="100-C-14"/>
    <s v="#1774B9"/>
    <s v="990-0066"/>
    <n v="99200014"/>
    <s v="T-1029"/>
    <s v="C-995"/>
    <s v="FI-992"/>
    <s v="M-992"/>
  </r>
  <r>
    <x v="66"/>
    <n v="990"/>
    <x v="0"/>
    <x v="0"/>
    <n v="15"/>
    <x v="4"/>
    <x v="0"/>
    <x v="1"/>
    <x v="15"/>
    <s v="Región"/>
    <s v="Ingresos Promedio Mensual por región"/>
    <s v="Periodo 2006-2017"/>
    <s v="CLP/mes"/>
    <s v="Encuestas CASEN"/>
    <x v="66"/>
    <s v="Considerando la evolución de ingreso promedio mensual en la región de Arica y Parinacota, según las encuestas CASEN del periodo 2006-2017, se observa que en el año 2017 la etnia con promedio más bajo de ingresos es la Coya con un sueldo promedio de 195 mil CLP/mes."/>
    <s v="Gráfico de Evolución"/>
    <s v="Región de Arica y Parinacota CASEN ingresos promedio mensual etnia región mapuche alacalufe atacameño aymara coya diaguita pascuense quechua"/>
    <x v="66"/>
    <s v="100-C-15"/>
    <s v="#1774B9"/>
    <s v="990-0067"/>
    <n v="99200015"/>
    <s v="T-1029"/>
    <s v="C-995"/>
    <s v="FI-992"/>
    <s v="M-992"/>
  </r>
  <r>
    <x v="67"/>
    <n v="990"/>
    <x v="0"/>
    <x v="0"/>
    <n v="16"/>
    <x v="4"/>
    <x v="0"/>
    <x v="1"/>
    <x v="16"/>
    <s v="Región"/>
    <s v="Ingresos Promedio Mensual por región"/>
    <s v="Periodo 2006-2017"/>
    <s v="CLP/mes"/>
    <s v="Encuestas CASEN"/>
    <x v="67"/>
    <s v="Gráfico que muestra la evolución del ingreso promedio mensual por etnia en la región de Ñuble, según las encuestas CASEN del periodo 2006-2017."/>
    <s v="Gráfico de Evolución"/>
    <s v="Región de Ñuble CASEN ingresos promedio mensual etnia región mapuche alacalufe atacameño aymara coya diaguita pascuense quechua"/>
    <x v="67"/>
    <s v="100-C-16"/>
    <s v="#1774B9"/>
    <s v="990-0068"/>
    <n v="99200016"/>
    <s v="T-1029"/>
    <s v="C-995"/>
    <s v="FI-992"/>
    <s v="M-992"/>
  </r>
  <r>
    <x v="68"/>
    <n v="990"/>
    <x v="0"/>
    <x v="3"/>
    <n v="0"/>
    <x v="5"/>
    <x v="3"/>
    <x v="0"/>
    <x v="0"/>
    <s v="Región"/>
    <s v="Número de alumnos por docente en aula por comuna"/>
    <s v="Periodo 2019-2020"/>
    <s v="Número de Alumnos"/>
    <s v="Sistema Nacional de Información Municipal"/>
    <x v="68"/>
    <s v="Ranking de Comunas: Número de Alumnos por Docente en Aula del año 2019 y 2020 y su variación porcentual para los Colegios Municipales"/>
    <s v="Ranking"/>
    <s v="Chile educación municipal alumnos calidad educación colegios municipales docentes aula"/>
    <x v="68"/>
    <s v="300-C"/>
    <s v="#1774B9"/>
    <s v="990-0069"/>
    <n v="99100000"/>
    <s v="T-992"/>
    <s v="C-1020"/>
    <s v="FI-992"/>
    <s v="M-996"/>
  </r>
  <r>
    <x v="69"/>
    <n v="990"/>
    <x v="0"/>
    <x v="3"/>
    <n v="1"/>
    <x v="5"/>
    <x v="3"/>
    <x v="1"/>
    <x v="1"/>
    <s v="Ninguno"/>
    <s v="Número de alumnos por docente en aula por comuna"/>
    <s v="Periodo 2019-2020"/>
    <s v="Número de Alumnos"/>
    <s v="Sistema Nacional de Información Municipal"/>
    <x v="69"/>
    <s v="En la región de Tarapacá, las comunas de Alto Hospicio, Iquique y Camiña presentan una variación negativa en la cantidad de Alumnos por Docente en Aula (disminuye la cantidad de alumnos por docente), con -0,5%, -0,7% y -9,0%, respectivamente, entre los años 2019 y 2020. "/>
    <s v="Ranking"/>
    <s v="Región de Tarapacá educación municipal alumnos calidad educación colegios municipales docentes aula"/>
    <x v="69"/>
    <s v="100-C-1"/>
    <s v="#1774B9"/>
    <s v="990-0070"/>
    <n v="99200001"/>
    <s v="T-992"/>
    <s v="C-1020"/>
    <s v="FI-993"/>
    <s v="M-996"/>
  </r>
  <r>
    <x v="70"/>
    <n v="990"/>
    <x v="0"/>
    <x v="3"/>
    <n v="2"/>
    <x v="5"/>
    <x v="3"/>
    <x v="1"/>
    <x v="2"/>
    <s v="Ninguno"/>
    <s v="Número de alumnos por docente en aula por comuna"/>
    <s v="Periodo 2019-2020"/>
    <s v="Número de Alumnos"/>
    <s v="Sistema Nacional de Información Municipal"/>
    <x v="70"/>
    <s v="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
    <s v="Ranking"/>
    <s v="Región de Antofagasta educación municipal alumnos calidad educación colegios municipales docentes aula"/>
    <x v="70"/>
    <s v="100-C-2"/>
    <s v="#1774B9"/>
    <s v="990-0071"/>
    <n v="99200002"/>
    <s v="T-992"/>
    <s v="C-1020"/>
    <s v="FI-993"/>
    <s v="M-996"/>
  </r>
  <r>
    <x v="71"/>
    <n v="990"/>
    <x v="0"/>
    <x v="3"/>
    <n v="3"/>
    <x v="5"/>
    <x v="3"/>
    <x v="1"/>
    <x v="3"/>
    <s v="Ninguno"/>
    <s v="Número de alumnos por docente en aula por comuna"/>
    <s v="Periodo 2019-2020"/>
    <s v="Número de Alumnos"/>
    <s v="Sistema Nacional de Información Municipal"/>
    <x v="71"/>
    <s v="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
    <s v="Ranking"/>
    <s v="Región de Atacama educación municipal alumnos calidad educación colegios municipales docentes aula"/>
    <x v="71"/>
    <s v="100-C-3"/>
    <s v="#1774B9"/>
    <s v="990-0072"/>
    <n v="99200003"/>
    <s v="T-992"/>
    <s v="C-1020"/>
    <s v="FI-993"/>
    <s v="M-996"/>
  </r>
  <r>
    <x v="72"/>
    <n v="990"/>
    <x v="0"/>
    <x v="3"/>
    <n v="4"/>
    <x v="5"/>
    <x v="3"/>
    <x v="1"/>
    <x v="4"/>
    <s v="Ninguno"/>
    <s v="Número de alumnos por docente en aula por comuna"/>
    <s v="Periodo 2019-2020"/>
    <s v="Número de Alumnos"/>
    <s v="Sistema Nacional de Información Municipal"/>
    <x v="72"/>
    <s v="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
    <s v="Ranking"/>
    <s v="Región de Coquimbo educación municipal alumnos calidad educación colegios municipales docentes aula"/>
    <x v="72"/>
    <s v="100-C-4"/>
    <s v="#1774B9"/>
    <s v="990-0073"/>
    <n v="99200004"/>
    <s v="T-992"/>
    <s v="C-1020"/>
    <s v="FI-993"/>
    <s v="M-996"/>
  </r>
  <r>
    <x v="73"/>
    <n v="990"/>
    <x v="0"/>
    <x v="3"/>
    <n v="5"/>
    <x v="5"/>
    <x v="3"/>
    <x v="1"/>
    <x v="5"/>
    <s v="Ninguno"/>
    <s v="Número de alumnos por docente en aula por comuna"/>
    <s v="Periodo 2019-2020"/>
    <s v="Número de Alumnos"/>
    <s v="Sistema Nacional de Información Municipal"/>
    <x v="73"/>
    <s v="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
    <s v="Ranking"/>
    <s v="Región de Valparaíso educación municipal alumnos calidad educación colegios municipales docentes aula"/>
    <x v="73"/>
    <s v="100-C-5"/>
    <s v="#1774B9"/>
    <s v="990-0074"/>
    <n v="99200005"/>
    <s v="T-992"/>
    <s v="C-1020"/>
    <s v="FI-993"/>
    <s v="M-996"/>
  </r>
  <r>
    <x v="74"/>
    <n v="990"/>
    <x v="0"/>
    <x v="3"/>
    <n v="6"/>
    <x v="5"/>
    <x v="3"/>
    <x v="1"/>
    <x v="6"/>
    <s v="Ninguno"/>
    <s v="Número de alumnos por docente en aula por comuna"/>
    <s v="Periodo 2019-2020"/>
    <s v="Número de Alumnos"/>
    <s v="Sistema Nacional de Información Municipal"/>
    <x v="74"/>
    <s v="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
    <s v="Ranking"/>
    <s v="Región de O'Higgins educación municipal alumnos calidad educación colegios municipales docentes aula"/>
    <x v="74"/>
    <s v="100-C-6"/>
    <s v="#1774B9"/>
    <s v="990-0075"/>
    <n v="99200006"/>
    <s v="T-992"/>
    <s v="C-1020"/>
    <s v="FI-993"/>
    <s v="M-996"/>
  </r>
  <r>
    <x v="75"/>
    <n v="990"/>
    <x v="0"/>
    <x v="3"/>
    <n v="7"/>
    <x v="5"/>
    <x v="3"/>
    <x v="1"/>
    <x v="7"/>
    <s v="Ninguno"/>
    <s v="Número de alumnos por docente en aula por comuna"/>
    <s v="Periodo 2019-2020"/>
    <s v="Número de Alumnos"/>
    <s v="Sistema Nacional de Información Municipal"/>
    <x v="75"/>
    <s v="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
    <s v="Ranking"/>
    <s v="Región de Maule educación municipal alumnos calidad educación colegios municipales docentes aula"/>
    <x v="75"/>
    <s v="100-C-7"/>
    <s v="#1774B9"/>
    <s v="990-0076"/>
    <n v="99200007"/>
    <s v="T-992"/>
    <s v="C-1020"/>
    <s v="FI-993"/>
    <s v="M-996"/>
  </r>
  <r>
    <x v="76"/>
    <n v="990"/>
    <x v="0"/>
    <x v="3"/>
    <n v="8"/>
    <x v="5"/>
    <x v="3"/>
    <x v="1"/>
    <x v="8"/>
    <s v="Ninguno"/>
    <s v="Número de alumnos por docente en aula por comuna"/>
    <s v="Periodo 2019-2020"/>
    <s v="Número de Alumnos"/>
    <s v="Sistema Nacional de Información Municipal"/>
    <x v="76"/>
    <s v="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
    <s v="Ranking"/>
    <s v="Región del Biobío educación municipal alumnos calidad educación colegios municipales docentes aula"/>
    <x v="76"/>
    <s v="100-C-8"/>
    <s v="#1774B9"/>
    <s v="990-0077"/>
    <n v="99200008"/>
    <s v="T-992"/>
    <s v="C-1020"/>
    <s v="FI-993"/>
    <s v="M-996"/>
  </r>
  <r>
    <x v="77"/>
    <n v="990"/>
    <x v="0"/>
    <x v="3"/>
    <n v="9"/>
    <x v="5"/>
    <x v="3"/>
    <x v="1"/>
    <x v="9"/>
    <s v="Ninguno"/>
    <s v="Número de alumnos por docente en aula por comuna"/>
    <s v="Periodo 2019-2020"/>
    <s v="Número de Alumnos"/>
    <s v="Sistema Nacional de Información Municipal"/>
    <x v="77"/>
    <s v="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
    <s v="Ranking"/>
    <s v="Región de La Araucanía educación municipal alumnos calidad educación colegios municipales docentes aula"/>
    <x v="77"/>
    <s v="100-C-9"/>
    <s v="#1774B9"/>
    <s v="990-0078"/>
    <n v="99200009"/>
    <s v="T-992"/>
    <s v="C-1020"/>
    <s v="FI-993"/>
    <s v="M-996"/>
  </r>
  <r>
    <x v="78"/>
    <n v="990"/>
    <x v="0"/>
    <x v="3"/>
    <n v="10"/>
    <x v="5"/>
    <x v="3"/>
    <x v="1"/>
    <x v="10"/>
    <s v="Ninguno"/>
    <s v="Número de alumnos por docente en aula por comuna"/>
    <s v="Periodo 2019-2020"/>
    <s v="Número de Alumnos"/>
    <s v="Sistema Nacional de Información Municipal"/>
    <x v="78"/>
    <s v="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
    <s v="Ranking"/>
    <s v="Región de Los Lagos educación municipal alumnos calidad educación colegios municipales docentes aula"/>
    <x v="78"/>
    <s v="100-C-10"/>
    <s v="#1774B9"/>
    <s v="990-0079"/>
    <n v="99200010"/>
    <s v="T-992"/>
    <s v="C-1020"/>
    <s v="FI-993"/>
    <s v="M-996"/>
  </r>
  <r>
    <x v="79"/>
    <n v="990"/>
    <x v="0"/>
    <x v="3"/>
    <n v="11"/>
    <x v="5"/>
    <x v="3"/>
    <x v="1"/>
    <x v="11"/>
    <s v="Ninguno"/>
    <s v="Número de alumnos por docente en aula por comuna"/>
    <s v="Periodo 2019-2020"/>
    <s v="Número de Alumnos"/>
    <s v="Sistema Nacional de Información Municipal"/>
    <x v="79"/>
    <s v="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
    <s v="Ranking"/>
    <s v="Región de Aysén educación municipal alumnos calidad educación colegios municipales docentes aula"/>
    <x v="79"/>
    <s v="100-C-11"/>
    <s v="#1774B9"/>
    <s v="990-0080"/>
    <n v="99200011"/>
    <s v="T-992"/>
    <s v="C-1020"/>
    <s v="FI-993"/>
    <s v="M-996"/>
  </r>
  <r>
    <x v="80"/>
    <n v="990"/>
    <x v="0"/>
    <x v="3"/>
    <n v="12"/>
    <x v="5"/>
    <x v="3"/>
    <x v="1"/>
    <x v="12"/>
    <s v="Ninguno"/>
    <s v="Número de alumnos por docente en aula por comuna"/>
    <s v="Periodo 2019-2020"/>
    <s v="Número de Alumnos"/>
    <s v="Sistema Nacional de Información Municipal"/>
    <x v="80"/>
    <s v="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
    <s v="Ranking"/>
    <s v="Región de Magallanes educación municipal alumnos calidad educación colegios municipales docentes aula"/>
    <x v="80"/>
    <s v="100-C-12"/>
    <s v="#1774B9"/>
    <s v="990-0081"/>
    <n v="99200012"/>
    <s v="T-992"/>
    <s v="C-1020"/>
    <s v="FI-993"/>
    <s v="M-996"/>
  </r>
  <r>
    <x v="81"/>
    <n v="990"/>
    <x v="0"/>
    <x v="3"/>
    <n v="13"/>
    <x v="5"/>
    <x v="3"/>
    <x v="1"/>
    <x v="13"/>
    <s v="Ninguno"/>
    <s v="Número de alumnos por docente en aula por comuna"/>
    <s v="Periodo 2019-2020"/>
    <s v="Número de Alumnos"/>
    <s v="Sistema Nacional de Información Municipal"/>
    <x v="81"/>
    <s v="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
    <s v="Ranking"/>
    <s v="Región Metropolitana educación municipal alumnos calidad educación colegios municipales docentes aula"/>
    <x v="81"/>
    <s v="200-C-13"/>
    <s v="#1774B9"/>
    <s v="990-0082"/>
    <n v="99200013"/>
    <s v="T-992"/>
    <s v="C-1020"/>
    <s v="FI-993"/>
    <s v="M-996"/>
  </r>
  <r>
    <x v="82"/>
    <n v="990"/>
    <x v="0"/>
    <x v="3"/>
    <n v="14"/>
    <x v="5"/>
    <x v="3"/>
    <x v="1"/>
    <x v="14"/>
    <s v="Ninguno"/>
    <s v="Número de alumnos por docente en aula por comuna"/>
    <s v="Periodo 2019-2020"/>
    <s v="Número de Alumnos"/>
    <s v="Sistema Nacional de Información Municipal"/>
    <x v="82"/>
    <s v="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
    <s v="Ranking"/>
    <s v="Región de Los Ríos educación municipal alumnos calidad educación colegios municipales docentes aula"/>
    <x v="82"/>
    <s v="100-C-14"/>
    <s v="#1774B9"/>
    <s v="990-0083"/>
    <n v="99200014"/>
    <s v="T-992"/>
    <s v="C-1020"/>
    <s v="FI-993"/>
    <s v="M-996"/>
  </r>
  <r>
    <x v="83"/>
    <n v="990"/>
    <x v="0"/>
    <x v="3"/>
    <n v="16"/>
    <x v="5"/>
    <x v="3"/>
    <x v="1"/>
    <x v="16"/>
    <s v="Ninguno"/>
    <s v="Número de alumnos por docente en aula por comuna"/>
    <s v="Periodo 2019-2020"/>
    <s v="Número de Alumnos"/>
    <s v="Sistema Nacional de Información Municipal"/>
    <x v="83"/>
    <s v="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
    <s v="Ranking"/>
    <s v="Región de Ñuble educación municipal alumnos calidad educación colegios municipales docentes aula"/>
    <x v="83"/>
    <s v="100-C-16"/>
    <s v="#1774B9"/>
    <s v="990-0084"/>
    <n v="99200016"/>
    <s v="T-992"/>
    <s v="C-1020"/>
    <s v="FI-993"/>
    <s v="M-996"/>
  </r>
  <r>
    <x v="84"/>
    <n v="990"/>
    <x v="0"/>
    <x v="4"/>
    <n v="0"/>
    <x v="6"/>
    <x v="4"/>
    <x v="0"/>
    <x v="0"/>
    <s v="Comuna"/>
    <s v="Casos Activos por 1 millón de habitantes por comuna"/>
    <s v="Periodo 2020-2021"/>
    <s v="Número de Casos"/>
    <s v="Ministerio de Ciencia, Tecnología, Conocimiento e Innovación"/>
    <x v="84"/>
    <s v="Gráfico que muestra la evolución de los casos activos de COVID-19 por millón de habitantes a nivel nacional con detalle regional y comunal, durante el periodo 2020-2021."/>
    <s v="Gráfico de Evolución"/>
    <s v="Chile COVID-19 regional comunal región comuna casos activos fallecidos recuperados"/>
    <x v="84"/>
    <s v="300-C"/>
    <s v="#1774B9"/>
    <s v="990-0085"/>
    <n v="99100000"/>
    <e v="#N/A"/>
    <s v="C-991"/>
    <s v="FI-991"/>
    <s v="M-997"/>
  </r>
  <r>
    <x v="85"/>
    <n v="990"/>
    <x v="0"/>
    <x v="4"/>
    <n v="1"/>
    <x v="6"/>
    <x v="4"/>
    <x v="1"/>
    <x v="1"/>
    <s v="Comuna"/>
    <s v="Casos Activos por 1 millón de habitantes por comuna"/>
    <s v="Periodo 2020-2021"/>
    <s v="Número de Casos"/>
    <s v="Ministerio de Ciencia, Tecnología, Conocimiento e Innovación"/>
    <x v="85"/>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x v="85"/>
    <s v="100-C-1"/>
    <s v="#1774B9"/>
    <s v="990-0086"/>
    <n v="99200001"/>
    <e v="#N/A"/>
    <s v="C-991"/>
    <s v="FI-991"/>
    <s v="M-997"/>
  </r>
  <r>
    <x v="86"/>
    <n v="990"/>
    <x v="0"/>
    <x v="4"/>
    <n v="2"/>
    <x v="6"/>
    <x v="4"/>
    <x v="1"/>
    <x v="2"/>
    <s v="Comuna"/>
    <s v="Casos Activos por 1 millón de habitantes por comuna"/>
    <s v="Periodo 2020-2021"/>
    <s v="Número de Casos"/>
    <s v="Ministerio de Ciencia, Tecnología, Conocimiento e Innovación"/>
    <x v="86"/>
    <s v="Gráfico que muestra la evolución de los casos activos de COVID-19 por millón de habitantes en la región de Antogasta  con detalle comunal, durante el periodo 2020-2021."/>
    <s v="Gráfico de Evolución"/>
    <s v="Región de Antofagasta COVID-19 regional comunal comuna casos activos fallecidos recuperados"/>
    <x v="86"/>
    <s v="100-C-2"/>
    <s v="#1774B9"/>
    <s v="990-0087"/>
    <n v="99200002"/>
    <e v="#N/A"/>
    <s v="C-991"/>
    <s v="FI-991"/>
    <s v="M-997"/>
  </r>
  <r>
    <x v="87"/>
    <n v="990"/>
    <x v="0"/>
    <x v="4"/>
    <n v="3"/>
    <x v="6"/>
    <x v="4"/>
    <x v="1"/>
    <x v="3"/>
    <s v="Comuna"/>
    <s v="Casos Activos por 1 millón de habitantes por comuna"/>
    <s v="Periodo 2020-2021"/>
    <s v="Número de Casos"/>
    <s v="Ministerio de Ciencia, Tecnología, Conocimiento e Innovación"/>
    <x v="87"/>
    <s v="Gráfico que muestra la evolución de los casos activos de COVID-19 por millón de habitantes, con detalle comunal, en la región de Atacama, durante el periodo 2020-2021. "/>
    <s v="Gráfico de Evolución"/>
    <s v="Región de Atacama COVID-19 regional comunal comuna casos activos fallecidos recuperados"/>
    <x v="87"/>
    <s v="100-C-3"/>
    <s v="#1774B9"/>
    <s v="990-0088"/>
    <n v="99200003"/>
    <e v="#N/A"/>
    <s v="C-991"/>
    <s v="FI-991"/>
    <s v="M-997"/>
  </r>
  <r>
    <x v="88"/>
    <n v="990"/>
    <x v="0"/>
    <x v="4"/>
    <n v="4"/>
    <x v="6"/>
    <x v="4"/>
    <x v="1"/>
    <x v="4"/>
    <s v="Comuna"/>
    <s v="Casos Activos por 1 millón de habitantes por comuna"/>
    <s v="Periodo 2020-2021"/>
    <s v="Número de Casos"/>
    <s v="Ministerio de Ciencia, Tecnología, Conocimiento e Innovación"/>
    <x v="88"/>
    <s v="En la comuna de Coquimbo se observa una mayor cantidad de casos activos por COVID-19 en los meses de mayo y junio del año 2021, superando los 2.000 casos por millón de habitantes, presentando la baja más importante en el mes de Noviembre 2020."/>
    <s v="Gráfico de Evolución"/>
    <s v="Región de Coquimbo COVID-19 regional comunal comuna casos activos fallecidos recuperados"/>
    <x v="88"/>
    <s v="100-C-4"/>
    <s v="#1774B9"/>
    <s v="990-0089"/>
    <n v="99200004"/>
    <e v="#N/A"/>
    <s v="C-991"/>
    <s v="FI-991"/>
    <s v="M-997"/>
  </r>
  <r>
    <x v="89"/>
    <n v="990"/>
    <x v="0"/>
    <x v="4"/>
    <n v="5"/>
    <x v="6"/>
    <x v="4"/>
    <x v="1"/>
    <x v="5"/>
    <s v="Comuna"/>
    <s v="Casos Activos por 1 millón de habitantes por comuna"/>
    <s v="Periodo 2020-2021"/>
    <s v="Número de Casos"/>
    <s v="Ministerio de Ciencia, Tecnología, Conocimiento e Innovación"/>
    <x v="89"/>
    <s v="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
    <s v="Gráfico de Evolución"/>
    <s v="Región de Valparaíso COVID-19 regional comunal comuna casos activos fallecidos recuperados"/>
    <x v="89"/>
    <s v="100-C-5"/>
    <s v="#1774B9"/>
    <s v="990-0090"/>
    <n v="99200005"/>
    <e v="#N/A"/>
    <s v="C-991"/>
    <s v="FI-991"/>
    <s v="M-997"/>
  </r>
  <r>
    <x v="90"/>
    <n v="990"/>
    <x v="0"/>
    <x v="4"/>
    <n v="6"/>
    <x v="6"/>
    <x v="4"/>
    <x v="1"/>
    <x v="6"/>
    <s v="Comuna"/>
    <s v="Casos Activos por 1 millón de habitantes por comuna"/>
    <s v="Periodo 2020-2021"/>
    <s v="Número de Casos"/>
    <s v="Ministerio de Ciencia, Tecnología, Conocimiento e Innovación"/>
    <x v="90"/>
    <s v="Gráfico que muestra la evolución de los casos activos de COVID-19 por millón de habitantes, con detalle comunal, en la región de O´Higgins, durante el periodo 2020-2021. "/>
    <s v="Gráfico de Evolución"/>
    <s v="Región de O'Higgins COVID-19 regional comunal comuna casos activos fallecidos recuperados"/>
    <x v="90"/>
    <s v="100-C-6"/>
    <s v="#1774B9"/>
    <s v="990-0091"/>
    <n v="99200006"/>
    <e v="#N/A"/>
    <s v="C-991"/>
    <s v="FI-991"/>
    <s v="M-997"/>
  </r>
  <r>
    <x v="91"/>
    <n v="990"/>
    <x v="0"/>
    <x v="4"/>
    <n v="7"/>
    <x v="6"/>
    <x v="4"/>
    <x v="1"/>
    <x v="7"/>
    <s v="Comuna"/>
    <s v="Casos Activos por 1 millón de habitantes por comuna"/>
    <s v="Periodo 2020-2021"/>
    <s v="Número de Casos"/>
    <s v="Ministerio de Ciencia, Tecnología, Conocimiento e Innovación"/>
    <x v="91"/>
    <s v="Gráfico que muestra la evolución de los casos activos de COVID-19 por millón de habitantes, con detalle comunal, en la región de Maule, durante el periodo 2020-2021. "/>
    <s v="Gráfico de Evolución"/>
    <s v="Región de Maule COVID-19 regional comunal comuna casos activos fallecidos recuperados"/>
    <x v="91"/>
    <s v="100-C-7"/>
    <s v="#1774B9"/>
    <s v="990-0092"/>
    <n v="99200007"/>
    <e v="#N/A"/>
    <s v="C-991"/>
    <s v="FI-991"/>
    <s v="M-997"/>
  </r>
  <r>
    <x v="92"/>
    <n v="990"/>
    <x v="0"/>
    <x v="4"/>
    <n v="8"/>
    <x v="6"/>
    <x v="4"/>
    <x v="1"/>
    <x v="8"/>
    <s v="Comuna"/>
    <s v="Casos Activos por 1 millón de habitantes por comuna"/>
    <s v="Periodo 2020-2021"/>
    <s v="Número de Casos"/>
    <s v="Ministerio de Ciencia, Tecnología, Conocimiento e Innovación"/>
    <x v="92"/>
    <s v="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
    <s v="Gráfico de Evolución"/>
    <s v="Región del Biobío COVID-19 regional comunal comuna casos activos fallecidos recuperados"/>
    <x v="92"/>
    <s v="100-C-8"/>
    <s v="#1774B9"/>
    <s v="990-0093"/>
    <n v="99200008"/>
    <e v="#N/A"/>
    <s v="C-991"/>
    <s v="FI-991"/>
    <s v="M-997"/>
  </r>
  <r>
    <x v="93"/>
    <n v="990"/>
    <x v="0"/>
    <x v="4"/>
    <n v="9"/>
    <x v="6"/>
    <x v="4"/>
    <x v="1"/>
    <x v="9"/>
    <s v="Comuna"/>
    <s v="Casos Activos por 1 millón de habitantes por comuna"/>
    <s v="Periodo 2020-2021"/>
    <s v="Número de Casos"/>
    <s v="Ministerio de Ciencia, Tecnología, Conocimiento e Innovación"/>
    <x v="93"/>
    <s v="Gráfico que muestra la evolución de los casos activos de COVID-19 por millón de habitantes, con detalle comunal, en la región de La Araucania, durante el periodo 2020-2021. "/>
    <s v="Gráfico de Evolución"/>
    <s v="Región de La Araucanía COVID-19 regional comunal comuna casos activos fallecidos recuperados"/>
    <x v="93"/>
    <s v="100-C-9"/>
    <s v="#1774B9"/>
    <s v="990-0094"/>
    <n v="99200009"/>
    <e v="#N/A"/>
    <s v="C-991"/>
    <s v="FI-991"/>
    <s v="M-997"/>
  </r>
  <r>
    <x v="94"/>
    <n v="990"/>
    <x v="0"/>
    <x v="4"/>
    <n v="10"/>
    <x v="6"/>
    <x v="4"/>
    <x v="1"/>
    <x v="10"/>
    <s v="Comuna"/>
    <s v="Casos Activos por 1 millón de habitantes por comuna"/>
    <s v="Periodo 2020-2021"/>
    <s v="Número de Casos"/>
    <s v="Ministerio de Ciencia, Tecnología, Conocimiento e Innovación"/>
    <x v="94"/>
    <s v="Gráfico que muestra la evolución de los casos activos de COVID-19 por millón de habitantes, con detalle comunal, en la región de Los Lagos, durante el periodo 2020-2021. "/>
    <s v="Gráfico de Evolución"/>
    <s v="Región de Los Lagos COVID-19 regional comunal comuna casos activos fallecidos recuperados"/>
    <x v="94"/>
    <s v="100-C-10"/>
    <s v="#1774B9"/>
    <s v="990-0095"/>
    <n v="99200010"/>
    <e v="#N/A"/>
    <s v="C-991"/>
    <s v="FI-991"/>
    <s v="M-997"/>
  </r>
  <r>
    <x v="95"/>
    <n v="990"/>
    <x v="0"/>
    <x v="4"/>
    <n v="11"/>
    <x v="6"/>
    <x v="4"/>
    <x v="1"/>
    <x v="11"/>
    <s v="Comuna"/>
    <s v="Casos Activos por 1 millón de habitantes por comuna"/>
    <s v="Periodo 2020-2021"/>
    <s v="Número de Casos"/>
    <s v="Ministerio de Ciencia, Tecnología, Conocimiento e Innovación"/>
    <x v="95"/>
    <s v="Gráfico que muestra la evolución de los casos activos de COVID-19 por millón de habitantes, con detalle comunal, en la región de Aysén, durante el periodo 2020-2021. "/>
    <s v="Gráfico de Evolución"/>
    <s v="Región de Aysén COVID-19 regional comunal comuna casos activos fallecidos recuperados"/>
    <x v="95"/>
    <s v="100-C-11"/>
    <s v="#1774B9"/>
    <s v="990-0096"/>
    <n v="99200011"/>
    <e v="#N/A"/>
    <s v="C-991"/>
    <s v="FI-991"/>
    <s v="M-997"/>
  </r>
  <r>
    <x v="96"/>
    <n v="990"/>
    <x v="0"/>
    <x v="4"/>
    <n v="12"/>
    <x v="6"/>
    <x v="4"/>
    <x v="1"/>
    <x v="12"/>
    <s v="Comuna"/>
    <s v="Casos Activos por 1 millón de habitantes por comuna"/>
    <s v="Periodo 2020-2021"/>
    <s v="Número de Casos"/>
    <s v="Ministerio de Ciencia, Tecnología, Conocimiento e Innovación"/>
    <x v="96"/>
    <s v="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
    <s v="Gráfico de Evolución"/>
    <s v="Región de Magallanes COVID-19 regional comunal comuna casos activos fallecidos recuperados"/>
    <x v="96"/>
    <s v="100-C-12"/>
    <s v="#1774B9"/>
    <s v="990-0097"/>
    <n v="99200012"/>
    <e v="#N/A"/>
    <s v="C-991"/>
    <s v="FI-991"/>
    <s v="M-997"/>
  </r>
  <r>
    <x v="97"/>
    <n v="990"/>
    <x v="0"/>
    <x v="4"/>
    <n v="13"/>
    <x v="6"/>
    <x v="4"/>
    <x v="1"/>
    <x v="13"/>
    <s v="Comuna"/>
    <s v="Casos Activos por 1 millón de habitantes por comuna"/>
    <s v="Periodo 2020-2021"/>
    <s v="Número de Casos"/>
    <s v="Ministerio de Ciencia, Tecnología, Conocimiento e Innovación"/>
    <x v="97"/>
    <s v="Gráfico que muestra la evolución de casos activos de COVID-19 por millón de habitantes, región Metropolina, con detalle comunal durante el periodo 2020-2021.  "/>
    <s v="Gráfico de Evolución"/>
    <s v="Región Metropolitana COVID-19 regional comunal comuna casos activos fallecidos recuperados"/>
    <x v="97"/>
    <s v="200-C-13"/>
    <s v="#1774B9"/>
    <s v="990-0098"/>
    <n v="99200013"/>
    <e v="#N/A"/>
    <s v="C-991"/>
    <s v="FI-991"/>
    <s v="M-997"/>
  </r>
  <r>
    <x v="98"/>
    <n v="990"/>
    <x v="0"/>
    <x v="4"/>
    <n v="14"/>
    <x v="6"/>
    <x v="4"/>
    <x v="1"/>
    <x v="14"/>
    <s v="Comuna"/>
    <s v="Casos Activos por 1 millón de habitantes por comuna"/>
    <s v="Periodo 2020-2021"/>
    <s v="Número de Casos"/>
    <s v="Ministerio de Ciencia, Tecnología, Conocimiento e Innovación"/>
    <x v="98"/>
    <s v="Gráfico que muestra la evolución de casos activos de COVID-19 por millón de habitantes, Región De Los Ríos con detalle comunal durante el periodo 2020-2021.  "/>
    <s v="Gráfico de Evolución"/>
    <s v="Región de Los Ríos COVID-19 regional comunal comuna casos activos fallecidos recuperados"/>
    <x v="98"/>
    <s v="100-C-14"/>
    <s v="#1774B9"/>
    <s v="990-0099"/>
    <n v="99200014"/>
    <e v="#N/A"/>
    <s v="C-991"/>
    <s v="FI-991"/>
    <s v="M-997"/>
  </r>
  <r>
    <x v="99"/>
    <n v="990"/>
    <x v="0"/>
    <x v="4"/>
    <n v="15"/>
    <x v="6"/>
    <x v="4"/>
    <x v="1"/>
    <x v="15"/>
    <s v="Comuna"/>
    <s v="Casos Activos por 1 millón de habitantes por comuna"/>
    <s v="Periodo 2020-2021"/>
    <s v="Número de Casos"/>
    <s v="Ministerio de Ciencia, Tecnología, Conocimiento e Innovación"/>
    <x v="99"/>
    <s v="Gráfico que muestra la evolución de casos activos de COVID-19 por millón de habitantes, región de Arica y Parinacota, con detalle comunal durante el periodo 2020-2021.  "/>
    <s v="Gráfico de Evolución"/>
    <s v="Región de Arica y Parinacota COVID-19 regional comunal comuna casos activos fallecidos recuperados"/>
    <x v="99"/>
    <s v="100-C-15"/>
    <s v="#1774B9"/>
    <s v="990-0100"/>
    <n v="99200015"/>
    <e v="#N/A"/>
    <s v="C-991"/>
    <s v="FI-991"/>
    <s v="M-997"/>
  </r>
  <r>
    <x v="100"/>
    <n v="990"/>
    <x v="0"/>
    <x v="4"/>
    <n v="16"/>
    <x v="6"/>
    <x v="4"/>
    <x v="1"/>
    <x v="16"/>
    <s v="Comuna"/>
    <s v="Casos Activos por 1 millón de habitantes por comuna"/>
    <s v="Periodo 2020-2021"/>
    <s v="Número de Casos"/>
    <s v="Ministerio de Ciencia, Tecnología, Conocimiento e Innovación"/>
    <x v="100"/>
    <s v="Gráfico que muestra la evolución de casos activos de COVID-19 por millón de habitantes, región de Ñuble, con detalle comunal durante el periodo 2020-2021.  "/>
    <s v="Gráfico de Evolución"/>
    <s v="Región de Ñuble COVID-19 regional comunal comuna casos activos fallecidos recuperados"/>
    <x v="100"/>
    <s v="100-C-16"/>
    <s v="#1774B9"/>
    <s v="990-0101"/>
    <n v="99200016"/>
    <e v="#N/A"/>
    <s v="C-991"/>
    <s v="FI-991"/>
    <s v="M-997"/>
  </r>
  <r>
    <x v="101"/>
    <n v="990"/>
    <x v="0"/>
    <x v="5"/>
    <n v="0"/>
    <x v="7"/>
    <x v="5"/>
    <x v="0"/>
    <x v="0"/>
    <s v="Región"/>
    <s v="Volumen fruta exportada por región"/>
    <s v="Periodo 2012-2020"/>
    <s v="Toneladas"/>
    <s v="Servicio Nacional de Aduanas"/>
    <x v="101"/>
    <s v="La manzana es la fruta que más exportó Chile, durante el periodo 2012 – 2020, con un volumen de 7.943.218 ton. En segundo lugar quedó la uva, con un volumen de 7.410.345 ton durante el mismo periodo."/>
    <s v="Nube de palabras"/>
    <s v="Chile fruta toneladas volumen exportaciones"/>
    <x v="101"/>
    <n v="0"/>
    <s v="#1774B9"/>
    <s v="990-0102"/>
    <n v="99100000"/>
    <s v="T-1031"/>
    <s v="C-997"/>
    <s v="FI-992"/>
    <s v="M-998"/>
  </r>
  <r>
    <x v="102"/>
    <n v="990"/>
    <x v="0"/>
    <x v="5"/>
    <n v="0"/>
    <x v="7"/>
    <x v="5"/>
    <x v="0"/>
    <x v="0"/>
    <s v="Ninguno"/>
    <s v="Volumen fruta exportada en Chile"/>
    <s v="Periodo 2012-2020"/>
    <s v="Toneladas"/>
    <s v="Servicio Nacional de Aduanas"/>
    <x v="102"/>
    <s v="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
    <s v="Mapa de calor"/>
    <s v="Chile fruta toneladas volumen acumulado exportaciones país destino"/>
    <x v="102"/>
    <n v="0"/>
    <s v="#1774B9"/>
    <s v="990-0103"/>
    <n v="99100000"/>
    <s v="T-1031"/>
    <s v="C-997"/>
    <s v="FI-993"/>
    <s v="M-999"/>
  </r>
  <r>
    <x v="103"/>
    <n v="990"/>
    <x v="0"/>
    <x v="2"/>
    <n v="0"/>
    <x v="8"/>
    <x v="2"/>
    <x v="0"/>
    <x v="0"/>
    <s v="Región"/>
    <s v="Sentencias dictadas por delito por región"/>
    <s v="Periodo 2013-2019"/>
    <s v="Número de Sentencias"/>
    <s v="Poder Judicial"/>
    <x v="103"/>
    <s v="A nivel nacional, en el periodo comprendido entre los años 2013 y 2019, el delito de Abuso Sexual que más sentencias acumula, es el calificado como Abuso sexual con contacto de menor de 14 de años seguido por los delitos calificados como Abuso sexual sin contacto."/>
    <s v="Gráfico de Evolución"/>
    <s v="Chile violencia mujer abuso sexual sentencia menor juzgado"/>
    <x v="103"/>
    <s v="300-R"/>
    <s v="#1774B9"/>
    <s v="990-0104"/>
    <n v="99100000"/>
    <s v="T-1032"/>
    <s v="C-996"/>
    <s v="FI-992"/>
    <s v="M-1000"/>
  </r>
  <r>
    <x v="104"/>
    <n v="990"/>
    <x v="0"/>
    <x v="2"/>
    <n v="1"/>
    <x v="8"/>
    <x v="2"/>
    <x v="1"/>
    <x v="1"/>
    <s v="Ninguno"/>
    <s v="Sentencias dictadas por delito por región"/>
    <s v="Periodo 2013-2019"/>
    <s v="Número de Sentencias"/>
    <s v="Poder Judicial"/>
    <x v="104"/>
    <s v="El delito de Abuso Sexual que más sentencias acumula, en el periodo comprendido entre los años 2013 – 2019, en la región de Tarapacá, es el calificado como Abuso sexual con contacto de menor de 14 de años, el que supera las 150 sentencia cada año."/>
    <s v="Gráfico de Evolución"/>
    <s v="Región de Tarapacá violencia mujer abuso sexual sentencia menor juzgado"/>
    <x v="104"/>
    <s v="100-R-1"/>
    <s v="#1774B9"/>
    <s v="990-0105"/>
    <n v="99200001"/>
    <s v="T-1032"/>
    <s v="C-996"/>
    <s v="FI-993"/>
    <s v="M-1000"/>
  </r>
  <r>
    <x v="105"/>
    <n v="990"/>
    <x v="0"/>
    <x v="2"/>
    <n v="2"/>
    <x v="8"/>
    <x v="2"/>
    <x v="1"/>
    <x v="2"/>
    <s v="Ninguno"/>
    <s v="Sentencias dictadas por delito por región"/>
    <s v="Periodo 2013-2019"/>
    <s v="Número de Sentencias"/>
    <s v="Poder Judicial"/>
    <x v="105"/>
    <s v="En la región de Antofagasta, los tres delitos de Abuso Sexual que más sentencias acumulan el periodo comprendido entre los años 2013 - 2019 son: Abuso Sexual con contacto de menor de 14 años, Abuso Sexual sin contacto y Abuso Sexual de mayor de 14 (Con circunstancia de Violación)."/>
    <s v="Gráfico de Evolución"/>
    <s v="Región de Antofagasta violencia mujer abuso sexual sentencia menor juzgado"/>
    <x v="105"/>
    <s v="100-R-2"/>
    <s v="#1774B9"/>
    <s v="990-0106"/>
    <n v="99200002"/>
    <s v="T-1032"/>
    <s v="C-996"/>
    <s v="FI-993"/>
    <s v="M-1000"/>
  </r>
  <r>
    <x v="106"/>
    <n v="990"/>
    <x v="0"/>
    <x v="2"/>
    <n v="3"/>
    <x v="8"/>
    <x v="2"/>
    <x v="1"/>
    <x v="3"/>
    <s v="Ninguno"/>
    <s v="Sentencias dictadas por delito por región"/>
    <s v="Periodo 2013-2019"/>
    <s v="Número de Sentencias"/>
    <s v="Poder Judicial"/>
    <x v="106"/>
    <s v="El delito de Abuso Sexual que más sentencias acumula, en el periodo comprendido entre los años 2013 – 2019, en la región de Atacama, es el calificado como Abuso sexual con contacto de menor de 14 de años. El año 2019 supero los 990 casos."/>
    <s v="Gráfico de Evolución"/>
    <s v="Región de Atacama violencia mujer abuso sexual sentencia menor juzgado"/>
    <x v="106"/>
    <s v="100-R-3"/>
    <s v="#1774B9"/>
    <s v="990-0107"/>
    <n v="99200003"/>
    <s v="T-1032"/>
    <s v="C-996"/>
    <s v="FI-993"/>
    <s v="M-1000"/>
  </r>
  <r>
    <x v="107"/>
    <n v="990"/>
    <x v="0"/>
    <x v="2"/>
    <n v="4"/>
    <x v="8"/>
    <x v="2"/>
    <x v="1"/>
    <x v="4"/>
    <s v="Ninguno"/>
    <s v="Sentencias dictadas por delito por región"/>
    <s v="Periodo 2013-2019"/>
    <s v="Número de Sentencias"/>
    <s v="Poder Judicial"/>
    <x v="107"/>
    <s v="El delito de Abuso Sexual que más sentencias acumula, en el periodo comprendido entre los años 2013 – 2019, en la región de Coquimbo, es el calificado como Abuso sexual con contacto de menor de 14 de años. El año 2019 tiene el mayor número del periodo superando los 1.210 casos."/>
    <s v="Gráfico de Evolución"/>
    <s v="Región de Coquimbo violencia mujer abuso sexual sentencia menor juzgado"/>
    <x v="107"/>
    <s v="100-R-4"/>
    <s v="#1774B9"/>
    <s v="990-0108"/>
    <n v="99200004"/>
    <s v="T-1032"/>
    <s v="C-996"/>
    <s v="FI-993"/>
    <s v="M-1000"/>
  </r>
  <r>
    <x v="108"/>
    <n v="990"/>
    <x v="0"/>
    <x v="2"/>
    <n v="5"/>
    <x v="8"/>
    <x v="2"/>
    <x v="1"/>
    <x v="5"/>
    <s v="Ninguno"/>
    <s v="Sentencias dictadas por delito por región"/>
    <s v="Periodo 2013-2019"/>
    <s v="Número de Sentencias"/>
    <s v="Poder Judicial"/>
    <x v="108"/>
    <s v="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Valparaíso violencia mujer abuso sexual sentencia menor juzgado"/>
    <x v="108"/>
    <s v="100-R-5"/>
    <s v="#1774B9"/>
    <s v="990-0109"/>
    <n v="99200005"/>
    <s v="T-1032"/>
    <s v="C-996"/>
    <s v="FI-993"/>
    <s v="M-1000"/>
  </r>
  <r>
    <x v="109"/>
    <n v="990"/>
    <x v="0"/>
    <x v="2"/>
    <n v="6"/>
    <x v="8"/>
    <x v="2"/>
    <x v="1"/>
    <x v="6"/>
    <s v="Ninguno"/>
    <s v="Sentencias dictadas por delito por región"/>
    <s v="Periodo 2013-2019"/>
    <s v="Número de Sentencias"/>
    <s v="Poder Judicial"/>
    <x v="109"/>
    <s v="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
    <s v="Gráfico de Evolución"/>
    <s v="Región de O'Higgins violencia mujer abuso sexual sentencia menor juzgado"/>
    <x v="109"/>
    <s v="100-R-6"/>
    <s v="#1774B9"/>
    <s v="990-0110"/>
    <n v="99200006"/>
    <s v="T-1032"/>
    <s v="C-996"/>
    <s v="FI-993"/>
    <s v="M-1000"/>
  </r>
  <r>
    <x v="110"/>
    <n v="990"/>
    <x v="0"/>
    <x v="2"/>
    <n v="7"/>
    <x v="8"/>
    <x v="2"/>
    <x v="1"/>
    <x v="7"/>
    <s v="Ninguno"/>
    <s v="Sentencias dictadas por delito por región"/>
    <s v="Periodo 2013-2019"/>
    <s v="Número de Sentencias"/>
    <s v="Poder Judicial"/>
    <x v="110"/>
    <s v="En la región del Mau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ule violencia mujer abuso sexual sentencia menor juzgado"/>
    <x v="110"/>
    <s v="100-R-7"/>
    <s v="#1774B9"/>
    <s v="990-0111"/>
    <n v="99200007"/>
    <s v="T-1032"/>
    <s v="C-996"/>
    <s v="FI-993"/>
    <s v="M-1000"/>
  </r>
  <r>
    <x v="111"/>
    <n v="990"/>
    <x v="0"/>
    <x v="2"/>
    <n v="8"/>
    <x v="8"/>
    <x v="2"/>
    <x v="1"/>
    <x v="8"/>
    <s v="Ninguno"/>
    <s v="Sentencias dictadas por delito por región"/>
    <s v="Periodo 2013-2019"/>
    <s v="Número de Sentencias"/>
    <s v="Poder Judicial"/>
    <x v="111"/>
    <s v="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
    <s v="Gráfico de Evolución"/>
    <s v="Región del Biobío violencia mujer abuso sexual sentencia menor juzgado"/>
    <x v="111"/>
    <s v="100-R-8"/>
    <s v="#1774B9"/>
    <s v="990-0112"/>
    <n v="99200008"/>
    <s v="T-1032"/>
    <s v="C-996"/>
    <s v="FI-993"/>
    <s v="M-1000"/>
  </r>
  <r>
    <x v="112"/>
    <n v="990"/>
    <x v="0"/>
    <x v="2"/>
    <n v="9"/>
    <x v="8"/>
    <x v="2"/>
    <x v="1"/>
    <x v="9"/>
    <s v="Ninguno"/>
    <s v="Sentencias dictadas por delito por región"/>
    <s v="Periodo 2013-2019"/>
    <s v="Número de Sentencias"/>
    <s v="Poder Judicial"/>
    <x v="112"/>
    <s v="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La Araucanía violencia mujer abuso sexual sentencia menor juzgado"/>
    <x v="112"/>
    <s v="100-R-9"/>
    <s v="#1774B9"/>
    <s v="990-0113"/>
    <n v="99200009"/>
    <s v="T-1032"/>
    <s v="C-996"/>
    <s v="FI-993"/>
    <s v="M-1000"/>
  </r>
  <r>
    <x v="113"/>
    <n v="990"/>
    <x v="0"/>
    <x v="2"/>
    <n v="10"/>
    <x v="8"/>
    <x v="2"/>
    <x v="1"/>
    <x v="10"/>
    <s v="Ninguno"/>
    <s v="Sentencias dictadas por delito por región"/>
    <s v="Periodo 2013-2019"/>
    <s v="Número de Sentencias"/>
    <s v="Poder Judicial"/>
    <x v="113"/>
    <s v="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
    <s v="Gráfico de Evolución"/>
    <s v="Región de Los Lagos violencia mujer abuso sexual sentencia menor juzgado"/>
    <x v="113"/>
    <s v="100-R-10"/>
    <s v="#1774B9"/>
    <s v="990-0114"/>
    <n v="99200010"/>
    <s v="T-1032"/>
    <s v="C-996"/>
    <s v="FI-993"/>
    <s v="M-1000"/>
  </r>
  <r>
    <x v="114"/>
    <n v="990"/>
    <x v="0"/>
    <x v="2"/>
    <n v="11"/>
    <x v="8"/>
    <x v="2"/>
    <x v="1"/>
    <x v="11"/>
    <s v="Ninguno"/>
    <s v="Sentencias dictadas por delito por región"/>
    <s v="Periodo 2013-2019"/>
    <s v="Número de Sentencias"/>
    <s v="Poder Judicial"/>
    <x v="114"/>
    <s v="El delito de Abuso Sexual que más sentencias acumula, en el periodo comprendido entre los años 2013 – 2019, en la región de Aysén, es el calificado como Abuso sexual con contacto de menor de 14 de años. El año 2018 registra el mayor número de sentencias superando los 250 casos."/>
    <s v="Gráfico de Evolución"/>
    <s v="Región de Aysén violencia mujer abuso sexual sentencia menor juzgado"/>
    <x v="114"/>
    <s v="100-R-11"/>
    <s v="#1774B9"/>
    <s v="990-0115"/>
    <n v="99200011"/>
    <s v="T-1032"/>
    <s v="C-996"/>
    <s v="FI-993"/>
    <s v="M-1000"/>
  </r>
  <r>
    <x v="115"/>
    <n v="990"/>
    <x v="0"/>
    <x v="2"/>
    <n v="12"/>
    <x v="8"/>
    <x v="2"/>
    <x v="1"/>
    <x v="12"/>
    <s v="Ninguno"/>
    <s v="Sentencias dictadas por delito por región"/>
    <s v="Periodo 2013-2019"/>
    <s v="Número de Sentencias"/>
    <s v="Poder Judicial"/>
    <x v="115"/>
    <s v="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gallanes violencia mujer abuso sexual sentencia menor juzgado"/>
    <x v="115"/>
    <s v="100-R-12"/>
    <s v="#1774B9"/>
    <s v="990-0116"/>
    <n v="99200012"/>
    <s v="T-1032"/>
    <s v="C-996"/>
    <s v="FI-993"/>
    <s v="M-1000"/>
  </r>
  <r>
    <x v="116"/>
    <n v="990"/>
    <x v="0"/>
    <x v="2"/>
    <n v="13"/>
    <x v="8"/>
    <x v="2"/>
    <x v="1"/>
    <x v="13"/>
    <s v="Ninguno"/>
    <s v="Sentencias dictadas por delito por región"/>
    <s v="Periodo 2013-2019"/>
    <s v="Número de Sentencias"/>
    <s v="Poder Judicial"/>
    <x v="116"/>
    <s v="El delito de Abuso Sexual que más sentencias acumula, en el periodo comprendido entre los años 2013 – 2019, en la región Metropolitana, es el calificado como Abuso sexual con contacto de menor de 14 de años, el que supera las 34.000 sentencia cada año."/>
    <s v="Gráfico de Evolución"/>
    <s v="Región Metropolitana violencia mujer abuso sexual sentencia menor juzgado"/>
    <x v="116"/>
    <s v="200-R-13"/>
    <s v="#1774B9"/>
    <s v="990-0117"/>
    <n v="99200013"/>
    <s v="T-1032"/>
    <s v="C-996"/>
    <s v="FI-993"/>
    <s v="M-1000"/>
  </r>
  <r>
    <x v="117"/>
    <n v="990"/>
    <x v="0"/>
    <x v="2"/>
    <n v="14"/>
    <x v="8"/>
    <x v="2"/>
    <x v="1"/>
    <x v="14"/>
    <s v="Ninguno"/>
    <s v="Sentencias dictadas por delito por región"/>
    <s v="Periodo 2013-2019"/>
    <s v="Número de Sentencias"/>
    <s v="Poder Judicial"/>
    <x v="117"/>
    <s v="En la región de Los Ríos, el año 2019 presenta la menor cantidad de sentencias en delitos de Abuso Sexual, para el periodo comprendido entre los años 2013 - 2019."/>
    <s v="Gráfico de Evolución"/>
    <s v="Región de Los Ríos violencia mujer abuso sexual sentencia menor juzgado"/>
    <x v="117"/>
    <s v="100-R-14"/>
    <s v="#1774B9"/>
    <s v="990-0118"/>
    <n v="99200014"/>
    <s v="T-1032"/>
    <s v="C-996"/>
    <s v="FI-993"/>
    <s v="M-1000"/>
  </r>
  <r>
    <x v="118"/>
    <n v="990"/>
    <x v="0"/>
    <x v="2"/>
    <n v="15"/>
    <x v="8"/>
    <x v="2"/>
    <x v="1"/>
    <x v="15"/>
    <s v="Ninguno"/>
    <s v="Sentencias dictadas por delito por región"/>
    <s v="Periodo 2013-2019"/>
    <s v="Número de Sentencias"/>
    <s v="Poder Judicial"/>
    <x v="118"/>
    <s v="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
    <s v="Gráfico de Evolución"/>
    <s v="Región de Arica y Parinacota violencia mujer abuso sexual sentencia menor juzgado"/>
    <x v="118"/>
    <s v="100-R-15"/>
    <s v="#1774B9"/>
    <s v="990-0119"/>
    <n v="99200015"/>
    <s v="T-1032"/>
    <s v="C-996"/>
    <s v="FI-993"/>
    <s v="M-1000"/>
  </r>
  <r>
    <x v="119"/>
    <n v="990"/>
    <x v="0"/>
    <x v="2"/>
    <n v="16"/>
    <x v="8"/>
    <x v="2"/>
    <x v="1"/>
    <x v="16"/>
    <s v="Ninguno"/>
    <s v="Sentencias dictadas por delito por región"/>
    <s v="Periodo 2013-2019"/>
    <s v="Número de Sentencias"/>
    <s v="Poder Judicial"/>
    <x v="119"/>
    <s v="En la región de Ñub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Ñuble violencia mujer abuso sexual sentencia menor juzgado"/>
    <x v="119"/>
    <s v="100-R-16"/>
    <s v="#1774B9"/>
    <s v="990-0120"/>
    <n v="99200016"/>
    <s v="T-1032"/>
    <s v="C-996"/>
    <s v="FI-993"/>
    <s v="M-1000"/>
  </r>
  <r>
    <x v="120"/>
    <n v="990"/>
    <x v="0"/>
    <x v="6"/>
    <n v="0"/>
    <x v="9"/>
    <x v="6"/>
    <x v="0"/>
    <x v="0"/>
    <s v="Ninguno"/>
    <s v="ELEAM"/>
    <s v="Periodo 2020-2021"/>
    <s v="Número y Porcentaje"/>
    <s v="Servicio Nacional del Adulto Mayor (SENAMA)"/>
    <x v="120"/>
    <s v="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
    <s v="Dashboard"/>
    <s v="Chile ELEAM establecimientos larga estadía adulto mayores autorizados cupos número distribución región comuna"/>
    <x v="120"/>
    <n v="0"/>
    <s v="#1774B9"/>
    <s v="990-0121"/>
    <n v="99100000"/>
    <e v="#N/A"/>
    <e v="#N/A"/>
    <s v="FI-993"/>
    <e v="#N/A"/>
  </r>
  <r>
    <x v="121"/>
    <n v="990"/>
    <x v="0"/>
    <x v="6"/>
    <n v="0"/>
    <x v="10"/>
    <x v="7"/>
    <x v="0"/>
    <x v="0"/>
    <s v="Ninguno"/>
    <s v="ELEAM"/>
    <s v="Periodo 2020-2021"/>
    <s v="Número y Porcentaje"/>
    <s v="Dirección de Presupuestos (DIPRES)"/>
    <x v="121"/>
    <s v="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
    <s v="Dashboard"/>
    <s v="Chile programas desempeño gobierno servicio evaluación instituciones público ministerio"/>
    <x v="121"/>
    <n v="0"/>
    <s v="#1774B9"/>
    <s v="990-0122"/>
    <n v="99100000"/>
    <s v="T-995"/>
    <s v="C-1006"/>
    <s v="FI-993"/>
    <e v="#N/A"/>
  </r>
  <r>
    <x v="122"/>
    <n v="990"/>
    <x v="0"/>
    <x v="5"/>
    <n v="0"/>
    <x v="11"/>
    <x v="8"/>
    <x v="0"/>
    <x v="0"/>
    <s v="Ninguno"/>
    <s v="Superficie afectada por incendios en Chile"/>
    <s v="Periodo 2010-2020"/>
    <s v="Hectáreas"/>
    <s v="Corporación Nacional Forestal (CONAF)"/>
    <x v="122"/>
    <s v="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
    <s v="Gráfico animado"/>
    <s v="Chile incendios plantaciones forestales superficie hectáreas comuna"/>
    <x v="122"/>
    <n v="0"/>
    <s v="#1774B9"/>
    <s v="990-0123"/>
    <n v="99100000"/>
    <s v="T-1046"/>
    <s v="C-1007"/>
    <s v="FI-993"/>
    <s v="M-1002"/>
  </r>
  <r>
    <x v="123"/>
    <n v="990"/>
    <x v="0"/>
    <x v="5"/>
    <n v="0"/>
    <x v="12"/>
    <x v="5"/>
    <x v="0"/>
    <x v="0"/>
    <s v="Hortaliza"/>
    <s v="Precios diarios de hortalizas en Chile"/>
    <s v="Año 2021"/>
    <s v="CLP/Kg"/>
    <s v="Oficina de Estudios y Políticas Agrarias (ODEPA)"/>
    <x v="123"/>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x v="123"/>
    <s v="300-R"/>
    <s v="#1774B9"/>
    <s v="990-0124"/>
    <n v="99100000"/>
    <s v="T-1033"/>
    <s v="C-997"/>
    <s v="FI-997"/>
    <s v="M-1003"/>
  </r>
  <r>
    <x v="124"/>
    <n v="990"/>
    <x v="0"/>
    <x v="5"/>
    <n v="4"/>
    <x v="12"/>
    <x v="5"/>
    <x v="1"/>
    <x v="4"/>
    <s v="Hortaliza"/>
    <s v="Precios diarios de hortalizas por región"/>
    <s v="Año 2021"/>
    <s v="CLP/Kg"/>
    <s v="Oficina de Estudios y Políticas Agrarias (ODEPA)"/>
    <x v="124"/>
    <s v="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
    <s v="Gráfico"/>
    <s v="Región de Coquimbo hortaliza precio diario pesos kilo mercado mayorista terminal"/>
    <x v="124"/>
    <s v="100-R-4"/>
    <s v="#1774B9"/>
    <s v="990-0125"/>
    <n v="99200004"/>
    <s v="T-1033"/>
    <s v="C-997"/>
    <s v="FI-997"/>
    <s v="M-1004"/>
  </r>
  <r>
    <x v="125"/>
    <n v="990"/>
    <x v="0"/>
    <x v="5"/>
    <n v="5"/>
    <x v="12"/>
    <x v="5"/>
    <x v="1"/>
    <x v="5"/>
    <s v="Hortaliza"/>
    <s v="Precios diarios de hortalizas por región"/>
    <s v="Año 2021"/>
    <s v="CLP/Kg"/>
    <s v="Oficina de Estudios y Políticas Agrarias (ODEPA)"/>
    <x v="125"/>
    <s v="Gráfico con la evolución de precios diarios, durante el año 2021, para las principales hortalizas (betarraga, brócoli, cebolla, choclo, espinaca, lechuga, papa, tomate, zanahoria y zapallo) en el mercado mayorista Femacal de La Calera en la Región de Valparaíso."/>
    <s v="Gráfico"/>
    <s v="Región de Valparaíso hortaliza precio diario pesos kilo mercado mayorista terminal"/>
    <x v="125"/>
    <s v="100-R-5"/>
    <s v="#1774B9"/>
    <s v="990-0126"/>
    <n v="99200005"/>
    <s v="T-1033"/>
    <s v="C-997"/>
    <s v="FI-997"/>
    <s v="M-1004"/>
  </r>
  <r>
    <x v="126"/>
    <n v="990"/>
    <x v="0"/>
    <x v="5"/>
    <n v="7"/>
    <x v="12"/>
    <x v="5"/>
    <x v="1"/>
    <x v="7"/>
    <s v="Hortaliza"/>
    <s v="Precios diarios de hortalizas por región"/>
    <s v="Año 2021"/>
    <s v="CLP/Kg"/>
    <s v="Oficina de Estudios y Políticas Agrarias (ODEPA)"/>
    <x v="126"/>
    <s v="Gráfico con la evolución de precios diarios, durante el año 2021, para las principales hortalizas (betarraga, brócoli, cebolla, choclo, espinaca, lechuga, papa, tomate, zanahoria y zapallo) en el mercado mayorista Macroferia Regional de Talca en la Región de Maule."/>
    <s v="Gráfico"/>
    <s v="Región de Maule hortaliza precio diario pesos kilo mercado mayorista terminal"/>
    <x v="126"/>
    <s v="100-R-7"/>
    <s v="#1774B9"/>
    <s v="990-0127"/>
    <n v="99200007"/>
    <s v="T-1033"/>
    <s v="C-997"/>
    <s v="FI-997"/>
    <s v="M-1004"/>
  </r>
  <r>
    <x v="127"/>
    <n v="990"/>
    <x v="0"/>
    <x v="5"/>
    <n v="8"/>
    <x v="12"/>
    <x v="5"/>
    <x v="1"/>
    <x v="8"/>
    <s v="Hortaliza"/>
    <s v="Precios diarios de hortalizas por región"/>
    <s v="Año 2021"/>
    <s v="CLP/Kg"/>
    <s v="Oficina de Estudios y Políticas Agrarias (ODEPA)"/>
    <x v="127"/>
    <s v="Gráfico con la evolución de precios diarios, durante el año 2021, para las principales hortalizas (betarraga, brócoli, cebolla, choclo, espinaca, lechuga, papa, tomate, zanahoria y zapallo) en el mercado mayorista Vega Monumental de Concepción en la Región del Biobío."/>
    <s v="Gráfico"/>
    <s v="Región del Biobío hortaliza precio diario pesos kilo mercado mayorista terminal"/>
    <x v="127"/>
    <s v="100-R-8"/>
    <s v="#1774B9"/>
    <s v="990-0128"/>
    <n v="99200008"/>
    <s v="T-1033"/>
    <s v="C-997"/>
    <s v="FI-997"/>
    <s v="M-1004"/>
  </r>
  <r>
    <x v="128"/>
    <n v="990"/>
    <x v="0"/>
    <x v="5"/>
    <n v="9"/>
    <x v="12"/>
    <x v="5"/>
    <x v="1"/>
    <x v="9"/>
    <s v="Hortaliza"/>
    <s v="Precios diarios de hortalizas por región"/>
    <s v="Año 2021"/>
    <s v="CLP/Kg"/>
    <s v="Oficina de Estudios y Políticas Agrarias (ODEPA)"/>
    <x v="128"/>
    <s v="Gráfico con la evolución de precios diarios, durante el año 2021, para las principales hortalizas (betarraga, brócoli, cebolla, choclo, espinaca, lechuga, papa, tomate, zanahoria y zapallo) en el mercado mayorista Vega Modelo de Temuco en la Región de La Araucanía."/>
    <s v="Gráfico"/>
    <s v="Región de La Araucanía hortaliza precio diario pesos kilo mercado mayorista terminal"/>
    <x v="128"/>
    <s v="100-R-9"/>
    <s v="#1774B9"/>
    <s v="990-0129"/>
    <n v="99200009"/>
    <s v="T-1033"/>
    <s v="C-997"/>
    <s v="FI-997"/>
    <s v="M-1004"/>
  </r>
  <r>
    <x v="129"/>
    <n v="990"/>
    <x v="0"/>
    <x v="5"/>
    <n v="10"/>
    <x v="12"/>
    <x v="5"/>
    <x v="1"/>
    <x v="10"/>
    <s v="Hortaliza"/>
    <s v="Precios diarios de hortalizas por región"/>
    <s v="Año 2021"/>
    <s v="CLP/Kg"/>
    <s v="Oficina de Estudios y Políticas Agrarias (ODEPA)"/>
    <x v="129"/>
    <s v="Gráfico con la evolución de precios diarios, durante el año 2021, para las principales hortalizas (betarraga, brócoli, cebolla, choclo, espinaca, lechuga, papa, tomate, zanahoria y zapallo) en el mercado mayorista Feria Lagunitas de Puerto Montt en la Región de Los Lagos."/>
    <s v="Gráfico"/>
    <s v="Región de Los Lagos hortaliza precio diario pesos kilo mercado mayorista terminal"/>
    <x v="129"/>
    <s v="100-R-10"/>
    <s v="#1774B9"/>
    <s v="990-0130"/>
    <n v="99200010"/>
    <s v="T-1033"/>
    <s v="C-997"/>
    <s v="FI-997"/>
    <s v="M-1004"/>
  </r>
  <r>
    <x v="130"/>
    <n v="990"/>
    <x v="0"/>
    <x v="5"/>
    <n v="13"/>
    <x v="12"/>
    <x v="5"/>
    <x v="1"/>
    <x v="13"/>
    <s v="Hortaliza"/>
    <s v="Precios diarios de hortalizas por región"/>
    <s v="Año 2021"/>
    <s v="CLP/Kg"/>
    <s v="Oficina de Estudios y Políticas Agrarias (ODEPA)"/>
    <x v="130"/>
    <s v="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
    <s v="Gráfico"/>
    <s v="Región Metropolitana hortaliza precio diario pesos kilo mercado mayorista terminal"/>
    <x v="130"/>
    <s v="200-R-13"/>
    <s v="#1774B9"/>
    <s v="990-0131"/>
    <n v="99200013"/>
    <s v="T-1033"/>
    <s v="C-997"/>
    <s v="FI-997"/>
    <s v="M-1004"/>
  </r>
  <r>
    <x v="131"/>
    <n v="990"/>
    <x v="0"/>
    <x v="5"/>
    <n v="15"/>
    <x v="12"/>
    <x v="5"/>
    <x v="1"/>
    <x v="15"/>
    <s v="Hortaliza"/>
    <s v="Precios diarios de hortalizas por región"/>
    <s v="Año 2021"/>
    <s v="CLP/Kg"/>
    <s v="Oficina de Estudios y Políticas Agrarias (ODEPA)"/>
    <x v="131"/>
    <s v="Gráfico con la evolución de precios diarios, durante el año 2021, para las principales hortalizas (betarraga, brócoli, cebolla, choclo, espinaca, lechuga, papa, tomate, zanahoria y zapallo) en el mercado mayorista Agrícola del Norte S.A. en la Región de Arica y Parinacota."/>
    <s v="Gráfico"/>
    <s v="Región de Arica y Parinacota hortaliza precio diario pesos kilo mercado mayorista terminal"/>
    <x v="131"/>
    <s v="100-R-15"/>
    <s v="#1774B9"/>
    <s v="990-0132"/>
    <n v="99200015"/>
    <s v="T-1033"/>
    <s v="C-997"/>
    <s v="FI-997"/>
    <s v="M-1004"/>
  </r>
  <r>
    <x v="132"/>
    <n v="990"/>
    <x v="0"/>
    <x v="5"/>
    <n v="16"/>
    <x v="12"/>
    <x v="5"/>
    <x v="1"/>
    <x v="16"/>
    <s v="Hortaliza"/>
    <s v="Precios diarios de hortalizas por región"/>
    <s v="Año 2021"/>
    <s v="CLP/Kg"/>
    <s v="Oficina de Estudios y Políticas Agrarias (ODEPA)"/>
    <x v="132"/>
    <s v="Gráfico con la evolución de precios diarios, durante el año 2021, para las principales hortalizas (betarraga, brócoli, cebolla, choclo, espinaca, lechuga, papa, tomate, zanahoria y zapallo) en el mercado mayorista Terminal Hortofrutícola Agro Chillán en la Región de Ñuble."/>
    <s v="Gráfico"/>
    <s v="Región de Ñuble hortaliza precio diario pesos kilo mercado mayorista terminal"/>
    <x v="132"/>
    <s v="100-R-16"/>
    <s v="#1774B9"/>
    <s v="990-0133"/>
    <n v="99200016"/>
    <s v="T-1033"/>
    <s v="C-997"/>
    <s v="FI-997"/>
    <s v="M-1004"/>
  </r>
  <r>
    <x v="133"/>
    <n v="990"/>
    <x v="0"/>
    <x v="5"/>
    <n v="0"/>
    <x v="12"/>
    <x v="5"/>
    <x v="0"/>
    <x v="0"/>
    <s v="Fruta"/>
    <s v="Precios diarios de frutas en Chile"/>
    <s v="Año 2021"/>
    <s v="CLP/Kg"/>
    <s v="Oficina de Estudios y Políticas Agrarias (ODEPA)"/>
    <x v="133"/>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x v="133"/>
    <s v="300-R"/>
    <s v="#1774B9"/>
    <s v="990-0134"/>
    <n v="99100000"/>
    <s v="T-1033"/>
    <s v="C-997"/>
    <s v="FI-998"/>
    <s v="M-1005"/>
  </r>
  <r>
    <x v="134"/>
    <n v="990"/>
    <x v="0"/>
    <x v="5"/>
    <n v="4"/>
    <x v="12"/>
    <x v="5"/>
    <x v="1"/>
    <x v="4"/>
    <s v="Fruta"/>
    <s v="Precios diarios de frutas en Chile"/>
    <s v="Año 2021"/>
    <s v="CLP/Kg"/>
    <s v="Oficina de Estudios y Políticas Agrarias (ODEPA)"/>
    <x v="134"/>
    <s v="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
    <s v="Gráfico"/>
    <s v="Región de Coquimbo fruta precio diario pesos kilo mercado mayorista terminal"/>
    <x v="134"/>
    <s v="100-R-4"/>
    <s v="#1774B9"/>
    <s v="990-0135"/>
    <n v="99200004"/>
    <s v="T-1033"/>
    <s v="C-997"/>
    <s v="FI-998"/>
    <s v="M-1005"/>
  </r>
  <r>
    <x v="135"/>
    <n v="990"/>
    <x v="0"/>
    <x v="5"/>
    <n v="5"/>
    <x v="12"/>
    <x v="5"/>
    <x v="1"/>
    <x v="5"/>
    <s v="Fruta"/>
    <s v="Precios diarios de frutas en Chile"/>
    <s v="Año 2021"/>
    <s v="CLP/Kg"/>
    <s v="Oficina de Estudios y Políticas Agrarias (ODEPA)"/>
    <x v="135"/>
    <s v="Gráfico con la evolución de precios diarios, durante el año 2021, para las principales frutas (frutilla, kiwi, limón, manzana, naranja, palta, pera, plátano, pomelo y uva) en el mercado mayorista Femacal de La Calera en la Región de Valparaíso."/>
    <s v="Gráfico"/>
    <s v="Región de Valparaíso fruta precio diario pesos kilo mercado mayorista terminal"/>
    <x v="135"/>
    <s v="100-R-5"/>
    <s v="#1774B9"/>
    <s v="990-0136"/>
    <n v="99200005"/>
    <s v="T-1033"/>
    <s v="C-997"/>
    <s v="FI-998"/>
    <s v="M-1005"/>
  </r>
  <r>
    <x v="136"/>
    <n v="990"/>
    <x v="0"/>
    <x v="5"/>
    <n v="7"/>
    <x v="12"/>
    <x v="5"/>
    <x v="1"/>
    <x v="7"/>
    <s v="Fruta"/>
    <s v="Precios diarios de frutas en Chile"/>
    <s v="Año 2021"/>
    <s v="CLP/Kg"/>
    <s v="Oficina de Estudios y Políticas Agrarias (ODEPA)"/>
    <x v="136"/>
    <s v="Gráfico con la evolución de precios diarios, durante el año 2021, para las principales frutas (frutilla, kiwi, limón, manzana, naranja, palta, pera, plátano, pomelo y uva) en el mercado mayorista Macroferia Regional de Talca en la Región de Maule."/>
    <s v="Gráfico"/>
    <s v="Región de Maule fruta precio diario pesos kilo mercado mayorista terminal"/>
    <x v="136"/>
    <s v="100-R-7"/>
    <s v="#1774B9"/>
    <s v="990-0137"/>
    <n v="99200007"/>
    <s v="T-1033"/>
    <s v="C-997"/>
    <s v="FI-998"/>
    <s v="M-1005"/>
  </r>
  <r>
    <x v="137"/>
    <n v="990"/>
    <x v="0"/>
    <x v="5"/>
    <n v="8"/>
    <x v="12"/>
    <x v="5"/>
    <x v="1"/>
    <x v="8"/>
    <s v="Fruta"/>
    <s v="Precios diarios de frutas en Chile"/>
    <s v="Año 2021"/>
    <s v="CLP/Kg"/>
    <s v="Oficina de Estudios y Políticas Agrarias (ODEPA)"/>
    <x v="137"/>
    <s v="Gráfico con la evolución de precios diarios, durante el año 2021, para las principales frutas (frutilla, kiwi, limón, manzana, naranja, palta, pera, plátano, pomelo y uva) en el mercado mayorista Vega Monumental de Concepción en la Región del Biobío."/>
    <s v="Gráfico"/>
    <s v="Región del Biobío fruta precio diario pesos kilo mercado mayorista terminal"/>
    <x v="137"/>
    <s v="100-R-8"/>
    <s v="#1774B9"/>
    <s v="990-0138"/>
    <n v="99200008"/>
    <s v="T-1033"/>
    <s v="C-997"/>
    <s v="FI-998"/>
    <s v="M-1005"/>
  </r>
  <r>
    <x v="138"/>
    <n v="990"/>
    <x v="0"/>
    <x v="5"/>
    <n v="9"/>
    <x v="12"/>
    <x v="5"/>
    <x v="1"/>
    <x v="9"/>
    <s v="Fruta"/>
    <s v="Precios diarios de frutas en Chile"/>
    <s v="Año 2021"/>
    <s v="CLP/Kg"/>
    <s v="Oficina de Estudios y Políticas Agrarias (ODEPA)"/>
    <x v="138"/>
    <s v="Gráfico con la evolución de precios diarios, durante el año 2021, para las principales frutas (frutilla, kiwi, limón, manzana, naranja, palta, pera, plátano, pomelo y uva) en el mercado mayorista Vega Modelo de Temuco en la Región de La Araucanía."/>
    <s v="Gráfico"/>
    <s v="Región de La Araucanía fruta precio diario pesos kilo mercado mayorista terminal"/>
    <x v="138"/>
    <s v="100-R-9"/>
    <s v="#1774B9"/>
    <s v="990-0139"/>
    <n v="99200009"/>
    <s v="T-1033"/>
    <s v="C-997"/>
    <s v="FI-998"/>
    <s v="M-1005"/>
  </r>
  <r>
    <x v="139"/>
    <n v="990"/>
    <x v="0"/>
    <x v="5"/>
    <n v="10"/>
    <x v="12"/>
    <x v="5"/>
    <x v="1"/>
    <x v="10"/>
    <s v="Fruta"/>
    <s v="Precios diarios de frutas en Chile"/>
    <s v="Año 2021"/>
    <s v="CLP/Kg"/>
    <s v="Oficina de Estudios y Políticas Agrarias (ODEPA)"/>
    <x v="139"/>
    <s v="Gráfico con la evolución de precios diarios, durante el año 2021, para las principales frutas (frutilla, kiwi, limón, manzana, naranja, palta, pera, plátano, pomelo y uva) en el mercado mayorista Feria Lagunitas de Puerto Montt en la Región de Los Lagos."/>
    <s v="Gráfico"/>
    <s v="Región de Los Lagos fruta precio diario pesos kilo mercado mayorista terminal"/>
    <x v="139"/>
    <s v="100-R-10"/>
    <s v="#1774B9"/>
    <s v="990-0140"/>
    <n v="99200010"/>
    <s v="T-1033"/>
    <s v="C-997"/>
    <s v="FI-998"/>
    <s v="M-1005"/>
  </r>
  <r>
    <x v="140"/>
    <n v="990"/>
    <x v="0"/>
    <x v="5"/>
    <n v="13"/>
    <x v="12"/>
    <x v="5"/>
    <x v="1"/>
    <x v="13"/>
    <s v="Fruta"/>
    <s v="Precios diarios de frutas en Chile"/>
    <s v="Año 2021"/>
    <s v="CLP/Kg"/>
    <s v="Oficina de Estudios y Políticas Agrarias (ODEPA)"/>
    <x v="140"/>
    <s v="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
    <s v="Gráfico"/>
    <s v="Región Metropolitana fruta precio diario pesos kilo mercado mayorista terminal"/>
    <x v="140"/>
    <s v="200-R-13"/>
    <s v="#1774B9"/>
    <s v="990-0141"/>
    <n v="99200013"/>
    <s v="T-1033"/>
    <s v="C-997"/>
    <s v="FI-998"/>
    <s v="M-1005"/>
  </r>
  <r>
    <x v="141"/>
    <n v="990"/>
    <x v="0"/>
    <x v="5"/>
    <n v="15"/>
    <x v="12"/>
    <x v="5"/>
    <x v="1"/>
    <x v="15"/>
    <s v="Fruta"/>
    <s v="Precios diarios de frutas en Chile"/>
    <s v="Año 2021"/>
    <s v="CLP/Kg"/>
    <s v="Oficina de Estudios y Políticas Agrarias (ODEPA)"/>
    <x v="141"/>
    <s v="Gráfico con la evolución de precios diarios, durante el año 2021, para las principales frutas (frutilla, kiwi, limón, manzana, naranja, palta, pera, plátano, pomelo y uva) en el mercado mayorista Agrícola del Norte S.A. en la Región de Arica y Parinacota."/>
    <s v="Gráfico"/>
    <s v="Región de Arica y Parinacota fruta precio diario pesos kilo mercado mayorista terminal"/>
    <x v="141"/>
    <s v="100-R-15"/>
    <s v="#1774B9"/>
    <s v="990-0142"/>
    <n v="99200015"/>
    <s v="T-1033"/>
    <s v="C-997"/>
    <s v="FI-998"/>
    <s v="M-1005"/>
  </r>
  <r>
    <x v="142"/>
    <n v="990"/>
    <x v="0"/>
    <x v="5"/>
    <n v="16"/>
    <x v="12"/>
    <x v="5"/>
    <x v="1"/>
    <x v="16"/>
    <s v="Fruta"/>
    <s v="Precios diarios de frutas en Chile"/>
    <s v="Año 2021"/>
    <s v="CLP/Kg"/>
    <s v="Oficina de Estudios y Políticas Agrarias (ODEPA)"/>
    <x v="142"/>
    <s v="Gráfico con la evolución de precios diarios, durante el año 2021, para las principales frutas (frutilla, kiwi, limón, manzana, naranja, palta, pera, plátano, pomelo y uva) en el mercado mayorista Terminal Hortofrutícola Agro Chillán en la Región de Ñuble."/>
    <s v="Gráfico"/>
    <s v="Región de Ñuble fruta precio diario pesos kilo mercado mayorista terminal"/>
    <x v="142"/>
    <s v="100-R-16"/>
    <s v="#1774B9"/>
    <s v="990-0143"/>
    <n v="99200016"/>
    <s v="T-1033"/>
    <s v="C-997"/>
    <s v="FI-998"/>
    <s v="M-1005"/>
  </r>
  <r>
    <x v="143"/>
    <n v="990"/>
    <x v="0"/>
    <x v="7"/>
    <n v="0"/>
    <x v="13"/>
    <x v="9"/>
    <x v="0"/>
    <x v="0"/>
    <s v="Región"/>
    <s v="Cantidad de espacios culturales por comuna"/>
    <s v="Año 2021"/>
    <s v="Número de espacios culturales"/>
    <s v="Observatorio Cultural"/>
    <x v="143"/>
    <s v="Existen 332 comunas que tienen algún tipo de espacio cultural en el país. La comuna que cuenta con la mayor cantidad de espacios culturales es Santiago, con 54 espacios públicos y 40 privados."/>
    <s v="Gráfico"/>
    <s v="Chile espacio cultural titularidad privada pública cultura"/>
    <x v="143"/>
    <s v="300-C"/>
    <s v="#1774B9"/>
    <s v="990-0144"/>
    <n v="99100000"/>
    <s v="T-996"/>
    <s v="C-1008"/>
    <s v="FI-992"/>
    <s v="M-1006"/>
  </r>
  <r>
    <x v="144"/>
    <n v="990"/>
    <x v="0"/>
    <x v="7"/>
    <n v="1"/>
    <x v="13"/>
    <x v="9"/>
    <x v="1"/>
    <x v="1"/>
    <s v="Comuna"/>
    <s v="Cantidad de espacios culturales por comuna"/>
    <s v="Año 2021"/>
    <s v="Número de espacios culturales"/>
    <s v="Observatorio Cultural"/>
    <x v="144"/>
    <s v="La Región de Tarapacá cuenta con 57 espacios culturales tanto Público como Privados, destacando la comuna de Iquique con 20 espacios públicos y 7 privados."/>
    <s v="Gráfico"/>
    <s v="Región de Tarapacá espacio cultural titularidad privada pública cultura"/>
    <x v="144"/>
    <s v="100-C-1"/>
    <s v="#1774B9"/>
    <s v="990-0145"/>
    <n v="99200001"/>
    <s v="T-996"/>
    <s v="C-1008"/>
    <s v="FI-991"/>
    <s v="M-1006"/>
  </r>
  <r>
    <x v="145"/>
    <n v="990"/>
    <x v="0"/>
    <x v="7"/>
    <n v="2"/>
    <x v="13"/>
    <x v="9"/>
    <x v="1"/>
    <x v="2"/>
    <s v="Comuna"/>
    <s v="Cantidad de espacios culturales por comuna"/>
    <s v="Año 2021"/>
    <s v="Número de espacios culturales"/>
    <s v="Observatorio Cultural"/>
    <x v="145"/>
    <s v="La Región de Antofagasta presenta 62 espacios culturales, 34 son de titularidad pública y 26 de titularidad privada, la mayoría de ellos se encuentran en la comuna de Antofagasta, seguidos por Calama."/>
    <s v="Gráfico"/>
    <s v="Región de Antofagasta espacio cultural titularidad privada pública cultura"/>
    <x v="145"/>
    <s v="100-C-2"/>
    <s v="#1774B9"/>
    <s v="990-0146"/>
    <n v="99200002"/>
    <s v="T-996"/>
    <s v="C-1008"/>
    <s v="FI-991"/>
    <s v="M-1006"/>
  </r>
  <r>
    <x v="146"/>
    <n v="990"/>
    <x v="0"/>
    <x v="7"/>
    <n v="3"/>
    <x v="13"/>
    <x v="9"/>
    <x v="1"/>
    <x v="3"/>
    <s v="Comuna"/>
    <s v="Cantidad de espacios culturales por comuna"/>
    <s v="Año 2021"/>
    <s v="Número de espacios culturales"/>
    <s v="Observatorio Cultural"/>
    <x v="146"/>
    <s v="La Región de Atacama cuenta con 51 espacios culturales tanto Público como Privados, destacando la comuna de Copiapó con 8 espacios públicos y 2 privados."/>
    <s v="Gráfico"/>
    <s v="Región de Atacama espacio cultural titularidad privada pública cultura"/>
    <x v="146"/>
    <s v="100-C-3"/>
    <s v="#1774B9"/>
    <s v="990-0147"/>
    <n v="99200003"/>
    <s v="T-996"/>
    <s v="C-1008"/>
    <s v="FI-991"/>
    <s v="M-1006"/>
  </r>
  <r>
    <x v="147"/>
    <n v="990"/>
    <x v="0"/>
    <x v="7"/>
    <n v="4"/>
    <x v="13"/>
    <x v="9"/>
    <x v="1"/>
    <x v="4"/>
    <s v="Comuna"/>
    <s v="Cantidad de espacios culturales por comuna"/>
    <s v="Año 2021"/>
    <s v="Número de espacios culturales"/>
    <s v="Observatorio Cultural"/>
    <x v="147"/>
    <s v="La Región de Coquimbo presenta 120 espacios culturales, 97 son de titularidad pública y 21 de titularidad privada, la mayoría de ellos se encuentran en la comuna de Coquimbo y La Serena."/>
    <s v="Gráfico"/>
    <s v="Región de Coquimbo espacio cultural titularidad privada pública cultura"/>
    <x v="147"/>
    <s v="100-C-4"/>
    <s v="#1774B9"/>
    <s v="990-0148"/>
    <n v="99200004"/>
    <s v="T-996"/>
    <s v="C-1008"/>
    <s v="FI-991"/>
    <s v="M-1006"/>
  </r>
  <r>
    <x v="148"/>
    <n v="990"/>
    <x v="0"/>
    <x v="7"/>
    <n v="5"/>
    <x v="13"/>
    <x v="9"/>
    <x v="1"/>
    <x v="5"/>
    <s v="Comuna"/>
    <s v="Cantidad de espacios culturales por comuna"/>
    <s v="Año 2021"/>
    <s v="Número de espacios culturales"/>
    <s v="Observatorio Cultural"/>
    <x v="148"/>
    <s v="La Región de Valparaíso presenta diversos espacios culturales, destacando la comuna de Valparaíso con 26 espacios de titularidad pública y 34 de titularidad privada y Viña del Mar con 12 espacios de titularidad público y 20 de titularidad privada."/>
    <s v="Gráfico"/>
    <s v="Región de Valparaíso espacio cultural titularidad privada pública cultura"/>
    <x v="148"/>
    <s v="100-C-5"/>
    <s v="#1774B9"/>
    <s v="990-0149"/>
    <n v="99200005"/>
    <s v="T-996"/>
    <s v="C-1008"/>
    <s v="FI-991"/>
    <s v="M-1006"/>
  </r>
  <r>
    <x v="149"/>
    <n v="990"/>
    <x v="0"/>
    <x v="7"/>
    <n v="6"/>
    <x v="13"/>
    <x v="9"/>
    <x v="1"/>
    <x v="6"/>
    <s v="Comuna"/>
    <s v="Cantidad de espacios culturales por comuna"/>
    <s v="Año 2021"/>
    <s v="Número de espacios culturales"/>
    <s v="Observatorio Cultural"/>
    <x v="149"/>
    <s v="La Región de O'Higgins cuenta con 206 espacios culturales tanto Público como Privados, destacando la comuna de Rancagua con 11 espacios públicos y 9 privados."/>
    <s v="Gráfico"/>
    <s v="Región de O'Higgins espacio cultural titularidad privada pública cultura"/>
    <x v="149"/>
    <s v="100-C-6"/>
    <s v="#1774B9"/>
    <s v="990-0150"/>
    <n v="99200006"/>
    <s v="T-996"/>
    <s v="C-1008"/>
    <s v="FI-991"/>
    <s v="M-1006"/>
  </r>
  <r>
    <x v="150"/>
    <n v="990"/>
    <x v="0"/>
    <x v="7"/>
    <n v="7"/>
    <x v="13"/>
    <x v="9"/>
    <x v="1"/>
    <x v="7"/>
    <s v="Comuna"/>
    <s v="Cantidad de espacios culturales por comuna"/>
    <s v="Año 2021"/>
    <s v="Número de espacios culturales"/>
    <s v="Observatorio Cultural"/>
    <x v="150"/>
    <s v="La Región de Maule cuenta con 169 espacios culturales tanto Público como Privados, destacando la comuna de Talca con 20 espacios de titularidad pública y 15 de titularidad privada."/>
    <s v="Gráfico"/>
    <s v="Región de Maule espacio cultural titularidad privada pública cultura"/>
    <x v="150"/>
    <s v="100-C-7"/>
    <s v="#1774B9"/>
    <s v="990-0151"/>
    <n v="99200007"/>
    <s v="T-996"/>
    <s v="C-1008"/>
    <s v="FI-991"/>
    <s v="M-1006"/>
  </r>
  <r>
    <x v="151"/>
    <n v="990"/>
    <x v="0"/>
    <x v="7"/>
    <n v="8"/>
    <x v="13"/>
    <x v="9"/>
    <x v="1"/>
    <x v="8"/>
    <s v="Comuna"/>
    <s v="Cantidad de espacios culturales por comuna"/>
    <s v="Año 2021"/>
    <s v="Número de espacios culturales"/>
    <s v="Observatorio Cultural"/>
    <x v="151"/>
    <s v="La Región de Biobío presenta 163 espacios culturales en el año 2021, la comuna que tiene mayor cantidad de espacios de titularidad pública es Lota con 9 espacios y de titularidad privada es Concepción con 21 espacios."/>
    <s v="Gráfico"/>
    <s v="Región del Biobío espacio cultural titularidad privada pública cultura"/>
    <x v="151"/>
    <s v="100-C-8"/>
    <s v="#1774B9"/>
    <s v="990-0152"/>
    <n v="99200008"/>
    <s v="T-996"/>
    <s v="C-1008"/>
    <s v="FI-991"/>
    <s v="M-1006"/>
  </r>
  <r>
    <x v="152"/>
    <n v="990"/>
    <x v="0"/>
    <x v="7"/>
    <n v="9"/>
    <x v="13"/>
    <x v="9"/>
    <x v="1"/>
    <x v="9"/>
    <s v="Comuna"/>
    <s v="Cantidad de espacios culturales por comuna"/>
    <s v="Año 2021"/>
    <s v="Número de espacios culturales"/>
    <s v="Observatorio Cultural"/>
    <x v="152"/>
    <s v="En la Región de La Araucanía se destaca la comuna de Temuco, en donde se encuentran 16 espacios culturales de titularidad pública y 8 espacios culturales de titularidad privada."/>
    <s v="Gráfico"/>
    <s v="Región de La Araucanía espacio cultural titularidad privada pública cultura"/>
    <x v="152"/>
    <s v="100-C-9"/>
    <s v="#1774B9"/>
    <s v="990-0153"/>
    <n v="99200009"/>
    <s v="T-996"/>
    <s v="C-1008"/>
    <s v="FI-991"/>
    <s v="M-1006"/>
  </r>
  <r>
    <x v="153"/>
    <n v="990"/>
    <x v="0"/>
    <x v="7"/>
    <n v="10"/>
    <x v="13"/>
    <x v="9"/>
    <x v="1"/>
    <x v="10"/>
    <s v="Comuna"/>
    <s v="Cantidad de espacios culturales por comuna"/>
    <s v="Año 2021"/>
    <s v="Número de espacios culturales"/>
    <s v="Observatorio Cultural"/>
    <x v="153"/>
    <s v="La Región de Los Lagos cuenta con 153 espacios culturales, de ellos 126 son de titularidad pública y 24 de titularidad privada. Las comunas que presentan la mayor cantidad son Osorno y Puerto Montt."/>
    <s v="Gráfico"/>
    <s v="Región de Los Lagos espacio cultural titularidad privada pública cultura"/>
    <x v="153"/>
    <s v="100-C-10"/>
    <s v="#1774B9"/>
    <s v="990-0154"/>
    <n v="99200010"/>
    <s v="T-996"/>
    <s v="C-1008"/>
    <s v="FI-991"/>
    <s v="M-1006"/>
  </r>
  <r>
    <x v="154"/>
    <n v="990"/>
    <x v="0"/>
    <x v="7"/>
    <n v="11"/>
    <x v="13"/>
    <x v="9"/>
    <x v="1"/>
    <x v="11"/>
    <s v="Comuna"/>
    <s v="Cantidad de espacios culturales por comuna"/>
    <s v="Año 2021"/>
    <s v="Número de espacios culturales"/>
    <s v="Observatorio Cultural"/>
    <x v="154"/>
    <s v="La Región de Aysén cuenta con 83 espacios culturales, de los cuales 70 son de titularidad pública y 13 de titularidad privada, la comuna con más espacios es Coihaique."/>
    <s v="Gráfico"/>
    <s v="Región de Aysén espacio cultural titularidad privada pública cultura"/>
    <x v="154"/>
    <s v="100-C-11"/>
    <s v="#1774B9"/>
    <s v="990-0155"/>
    <n v="99200011"/>
    <s v="T-996"/>
    <s v="C-1008"/>
    <s v="FI-991"/>
    <s v="M-1006"/>
  </r>
  <r>
    <x v="155"/>
    <n v="990"/>
    <x v="0"/>
    <x v="7"/>
    <n v="12"/>
    <x v="13"/>
    <x v="9"/>
    <x v="1"/>
    <x v="12"/>
    <s v="Comuna"/>
    <s v="Cantidad de espacios culturales por comuna"/>
    <s v="Año 2021"/>
    <s v="Número de espacios culturales"/>
    <s v="Observatorio Cultural"/>
    <x v="155"/>
    <s v="La Región de Magallanes presenta 63 espacios culturales en el año 2021, la comuna que tiene mayor cantidad de espacios culturales es Punta Arenas con 46 espacios públicos y 17 espacios privados."/>
    <s v="Gráfico"/>
    <s v="Región de Magallanes espacio cultural titularidad privada pública cultura"/>
    <x v="155"/>
    <s v="100-C-12"/>
    <s v="#1774B9"/>
    <s v="990-0156"/>
    <n v="99200012"/>
    <s v="T-996"/>
    <s v="C-1008"/>
    <s v="FI-991"/>
    <s v="M-1006"/>
  </r>
  <r>
    <x v="156"/>
    <n v="990"/>
    <x v="0"/>
    <x v="7"/>
    <n v="13"/>
    <x v="13"/>
    <x v="9"/>
    <x v="1"/>
    <x v="13"/>
    <s v="Comuna"/>
    <s v="Cantidad de espacios culturales por comuna"/>
    <s v="Año 2021"/>
    <s v="Número de espacios culturales"/>
    <s v="Observatorio Cultural"/>
    <x v="156"/>
    <s v="La región Metropolitana cuenta con 397 espacios culturales, de ellos 220 son de titularidad pública y 151 de titularidad privada, las comunas que presentan la mayor cantidad son Santiago y Providencia."/>
    <s v="Gráfico"/>
    <s v="Región Metropolitana espacio cultural titularidad privada pública cultura"/>
    <x v="156"/>
    <s v="200-C-13"/>
    <s v="#1774B9"/>
    <s v="990-0157"/>
    <n v="99200013"/>
    <s v="T-996"/>
    <s v="C-1008"/>
    <s v="FI-991"/>
    <s v="M-1006"/>
  </r>
  <r>
    <x v="157"/>
    <n v="990"/>
    <x v="0"/>
    <x v="7"/>
    <n v="14"/>
    <x v="13"/>
    <x v="9"/>
    <x v="1"/>
    <x v="14"/>
    <s v="Comuna"/>
    <s v="Cantidad de espacios culturales por comuna"/>
    <s v="Año 2021"/>
    <s v="Número de espacios culturales"/>
    <s v="Observatorio Cultural"/>
    <x v="157"/>
    <s v="La Región de Los Ríos presenta 77 espacios culturales en el año 2021, destaca la comuna de Valdivia con 8 espacios de titularidad pública y 17 espacios de titularidad privada."/>
    <s v="Gráfico"/>
    <s v="Región de Los Ríos espacio cultural titularidad privada pública cultura"/>
    <x v="157"/>
    <s v="100-C-14"/>
    <s v="#1774B9"/>
    <s v="990-0158"/>
    <n v="99200014"/>
    <s v="T-996"/>
    <s v="C-1008"/>
    <s v="FI-991"/>
    <s v="M-1006"/>
  </r>
  <r>
    <x v="158"/>
    <n v="990"/>
    <x v="0"/>
    <x v="7"/>
    <n v="15"/>
    <x v="13"/>
    <x v="9"/>
    <x v="1"/>
    <x v="15"/>
    <s v="Comuna"/>
    <s v="Cantidad de espacios culturales por comuna"/>
    <s v="Año 2021"/>
    <s v="Número de espacios culturales"/>
    <s v="Observatorio Cultural"/>
    <x v="158"/>
    <s v="La Región de Arica y Parinacota cuenta con 34 espacios culturales en el año 2021, de los cuales 23 son públicos ubicados en las 4 comunas de la región y 11 son privados ubicados solo en la comuna de Arica."/>
    <s v="Gráfico"/>
    <s v="Región de Arica y Parinacota espacio cultural titularidad privada pública cultura"/>
    <x v="158"/>
    <s v="100-C-15"/>
    <s v="#1774B9"/>
    <s v="990-0159"/>
    <n v="99200015"/>
    <s v="T-996"/>
    <s v="C-1008"/>
    <s v="FI-991"/>
    <s v="M-1006"/>
  </r>
  <r>
    <x v="159"/>
    <n v="990"/>
    <x v="0"/>
    <x v="7"/>
    <n v="16"/>
    <x v="13"/>
    <x v="9"/>
    <x v="1"/>
    <x v="16"/>
    <s v="Comuna"/>
    <s v="Cantidad de espacios culturales por comuna"/>
    <s v="Año 2021"/>
    <s v="Número de espacios culturales"/>
    <s v="Observatorio Cultural"/>
    <x v="159"/>
    <s v="La Región de Ñuble cuenta con 86 espacios culturales de los cuales 69 son de titularidad pública y 12 de titularidad privada, estando la mayoría en la comuna de Chillán."/>
    <s v="Gráfico"/>
    <s v="Región de Ñuble espacio cultural titularidad privada pública cultura"/>
    <x v="159"/>
    <s v="100-C-16"/>
    <s v="#1774B9"/>
    <s v="990-0160"/>
    <n v="99200016"/>
    <s v="T-996"/>
    <s v="C-1008"/>
    <s v="FI-991"/>
    <s v="M-1006"/>
  </r>
  <r>
    <x v="160"/>
    <n v="990"/>
    <x v="0"/>
    <x v="6"/>
    <n v="0"/>
    <x v="14"/>
    <x v="10"/>
    <x v="0"/>
    <x v="0"/>
    <s v="Región"/>
    <s v="Variación anual de delitos por comuna"/>
    <s v="Periodo 2008-2020"/>
    <s v="Porcentaje (%)"/>
    <s v="Centro de Estudios y Análisis del Delito (CEAD) de la Subsecretaría de Prevención del Delito"/>
    <x v="160"/>
    <s v="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
    <s v="Dashboard"/>
    <s v="Chile delitos mayor connotación social variación anual frecuencia"/>
    <x v="160"/>
    <s v="300-C"/>
    <s v="#1774B9"/>
    <s v="990-0161"/>
    <n v="99100000"/>
    <s v="T-1062"/>
    <s v="C-998"/>
    <s v="FI-992"/>
    <s v="M-1007"/>
  </r>
  <r>
    <x v="161"/>
    <n v="990"/>
    <x v="0"/>
    <x v="6"/>
    <n v="1"/>
    <x v="14"/>
    <x v="10"/>
    <x v="1"/>
    <x v="1"/>
    <s v="Comuna"/>
    <s v="Variación anual de delitos por comuna"/>
    <s v="Periodo 2008-2020"/>
    <s v="Porcentaje (%)"/>
    <s v="Centro de Estudios y Análisis del Delito (CEAD) de la Subsecretaría de Prevención del Delito"/>
    <x v="161"/>
    <s v="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
    <s v="Dashboard"/>
    <s v="Región de Tarapacá delitos mayor connotación social variación anual frecuencia"/>
    <x v="161"/>
    <s v="100-C-1"/>
    <s v="#1774B9"/>
    <s v="990-0162"/>
    <n v="99200001"/>
    <s v="T-1062"/>
    <s v="C-998"/>
    <s v="FI-991"/>
    <s v="M-1007"/>
  </r>
  <r>
    <x v="162"/>
    <n v="990"/>
    <x v="0"/>
    <x v="6"/>
    <n v="2"/>
    <x v="14"/>
    <x v="10"/>
    <x v="1"/>
    <x v="2"/>
    <s v="Comuna"/>
    <s v="Variación anual de delitos por comuna"/>
    <s v="Periodo 2008-2020"/>
    <s v="Porcentaje (%)"/>
    <s v="Centro de Estudios y Análisis del Delito (CEAD) de la Subsecretaría de Prevención del Delito"/>
    <x v="162"/>
    <s v="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
    <s v="Dashboard"/>
    <s v="Región de Antofagasta delitos mayor connotación social variación anual frecuencia"/>
    <x v="162"/>
    <s v="100-C-2"/>
    <s v="#1774B9"/>
    <s v="990-0163"/>
    <n v="99200002"/>
    <s v="T-1062"/>
    <s v="C-998"/>
    <s v="FI-991"/>
    <s v="M-1007"/>
  </r>
  <r>
    <x v="163"/>
    <n v="990"/>
    <x v="0"/>
    <x v="6"/>
    <n v="3"/>
    <x v="14"/>
    <x v="10"/>
    <x v="1"/>
    <x v="3"/>
    <s v="Comuna"/>
    <s v="Variación anual de delitos por comuna"/>
    <s v="Periodo 2008-2020"/>
    <s v="Porcentaje (%)"/>
    <s v="Centro de Estudios y Análisis del Delito (CEAD) de la Subsecretaría de Prevención del Delito"/>
    <x v="163"/>
    <s v="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
    <s v="Dashboard"/>
    <s v="Región de Atacama delitos mayor connotación social variación anual frecuencia"/>
    <x v="163"/>
    <s v="100-C-3"/>
    <s v="#1774B9"/>
    <s v="990-0164"/>
    <n v="99200003"/>
    <s v="T-1062"/>
    <s v="C-998"/>
    <s v="FI-991"/>
    <s v="M-1007"/>
  </r>
  <r>
    <x v="164"/>
    <n v="990"/>
    <x v="0"/>
    <x v="6"/>
    <n v="4"/>
    <x v="14"/>
    <x v="10"/>
    <x v="1"/>
    <x v="4"/>
    <s v="Comuna"/>
    <s v="Variación anual de delitos por comuna"/>
    <s v="Periodo 2008-2020"/>
    <s v="Porcentaje (%)"/>
    <s v="Centro de Estudios y Análisis del Delito (CEAD) de la Subsecretaría de Prevención del Delito"/>
    <x v="164"/>
    <s v="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
    <s v="Dashboard"/>
    <s v="Región de Coquimbo delitos mayor connotación social variación anual frecuencia"/>
    <x v="164"/>
    <s v="100-C-4"/>
    <s v="#1774B9"/>
    <s v="990-0165"/>
    <n v="99200004"/>
    <s v="T-1062"/>
    <s v="C-998"/>
    <s v="FI-991"/>
    <s v="M-1007"/>
  </r>
  <r>
    <x v="165"/>
    <n v="990"/>
    <x v="0"/>
    <x v="6"/>
    <n v="5"/>
    <x v="14"/>
    <x v="10"/>
    <x v="1"/>
    <x v="5"/>
    <s v="Comuna"/>
    <s v="Variación anual de delitos por comuna"/>
    <s v="Periodo 2008-2020"/>
    <s v="Porcentaje (%)"/>
    <s v="Centro de Estudios y Análisis del Delito (CEAD) de la Subsecretaría de Prevención del Delito"/>
    <x v="165"/>
    <s v="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
    <s v="Dashboard"/>
    <s v="Región de Valparaíso delitos mayor connotación social variación anual frecuencia"/>
    <x v="165"/>
    <s v="100-C-5"/>
    <s v="#1774B9"/>
    <s v="990-0166"/>
    <n v="99200005"/>
    <s v="T-1062"/>
    <s v="C-998"/>
    <s v="FI-991"/>
    <s v="M-1007"/>
  </r>
  <r>
    <x v="166"/>
    <n v="990"/>
    <x v="0"/>
    <x v="6"/>
    <n v="6"/>
    <x v="14"/>
    <x v="10"/>
    <x v="1"/>
    <x v="6"/>
    <s v="Comuna"/>
    <s v="Variación anual de delitos por comuna"/>
    <s v="Periodo 2008-2020"/>
    <s v="Porcentaje (%)"/>
    <s v="Centro de Estudios y Análisis del Delito (CEAD) de la Subsecretaría de Prevención del Delito"/>
    <x v="166"/>
    <s v="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
    <s v="Dashboard"/>
    <s v="Región de O'Higgins delitos mayor connotación social variación anual frecuencia"/>
    <x v="166"/>
    <s v="100-C-6"/>
    <s v="#1774B9"/>
    <s v="990-0167"/>
    <n v="99200006"/>
    <s v="T-1062"/>
    <s v="C-998"/>
    <s v="FI-991"/>
    <s v="M-1007"/>
  </r>
  <r>
    <x v="167"/>
    <n v="990"/>
    <x v="0"/>
    <x v="6"/>
    <n v="7"/>
    <x v="14"/>
    <x v="10"/>
    <x v="1"/>
    <x v="7"/>
    <s v="Comuna"/>
    <s v="Variación anual de delitos por comuna"/>
    <s v="Periodo 2008-2020"/>
    <s v="Porcentaje (%)"/>
    <s v="Centro de Estudios y Análisis del Delito (CEAD) de la Subsecretaría de Prevención del Delito"/>
    <x v="167"/>
    <s v="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
    <s v="Dashboard"/>
    <s v="Región de Maule delitos mayor connotación social variación anual frecuencia"/>
    <x v="167"/>
    <s v="100-C-7"/>
    <s v="#1774B9"/>
    <s v="990-0168"/>
    <n v="99200007"/>
    <s v="T-1062"/>
    <s v="C-998"/>
    <s v="FI-991"/>
    <s v="M-1007"/>
  </r>
  <r>
    <x v="168"/>
    <n v="990"/>
    <x v="0"/>
    <x v="6"/>
    <n v="8"/>
    <x v="14"/>
    <x v="10"/>
    <x v="1"/>
    <x v="8"/>
    <s v="Comuna"/>
    <s v="Variación anual de delitos por comuna"/>
    <s v="Periodo 2008-2020"/>
    <s v="Porcentaje (%)"/>
    <s v="Centro de Estudios y Análisis del Delito (CEAD) de la Subsecretaría de Prevención del Delito"/>
    <x v="168"/>
    <s v="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
    <s v="Dashboard"/>
    <s v="Región del Biobío delitos mayor connotación social variación anual frecuencia"/>
    <x v="168"/>
    <s v="100-C-8"/>
    <s v="#1774B9"/>
    <s v="990-0169"/>
    <n v="99200008"/>
    <s v="T-1062"/>
    <s v="C-998"/>
    <s v="FI-991"/>
    <s v="M-1007"/>
  </r>
  <r>
    <x v="169"/>
    <n v="990"/>
    <x v="0"/>
    <x v="6"/>
    <n v="9"/>
    <x v="14"/>
    <x v="10"/>
    <x v="1"/>
    <x v="9"/>
    <s v="Comuna"/>
    <s v="Variación anual de delitos por comuna"/>
    <s v="Periodo 2008-2020"/>
    <s v="Porcentaje (%)"/>
    <s v="Centro de Estudios y Análisis del Delito (CEAD) de la Subsecretaría de Prevención del Delito"/>
    <x v="169"/>
    <s v="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
    <s v="Dashboard"/>
    <s v="Región de La Araucanía delitos mayor connotación social variación anual frecuencia"/>
    <x v="169"/>
    <s v="100-C-9"/>
    <s v="#1774B9"/>
    <s v="990-0170"/>
    <n v="99200009"/>
    <s v="T-1062"/>
    <s v="C-998"/>
    <s v="FI-991"/>
    <s v="M-1007"/>
  </r>
  <r>
    <x v="170"/>
    <n v="990"/>
    <x v="0"/>
    <x v="6"/>
    <n v="10"/>
    <x v="14"/>
    <x v="10"/>
    <x v="1"/>
    <x v="10"/>
    <s v="Comuna"/>
    <s v="Variación anual de delitos por comuna"/>
    <s v="Periodo 2008-2020"/>
    <s v="Porcentaje (%)"/>
    <s v="Centro de Estudios y Análisis del Delito (CEAD) de la Subsecretaría de Prevención del Delito"/>
    <x v="170"/>
    <s v="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
    <s v="Dashboard"/>
    <s v="Región de Los Lagos delitos mayor connotación social variación anual frecuencia"/>
    <x v="170"/>
    <s v="100-C-10"/>
    <s v="#1774B9"/>
    <s v="990-0171"/>
    <n v="99200010"/>
    <s v="T-1062"/>
    <s v="C-998"/>
    <s v="FI-991"/>
    <s v="M-1007"/>
  </r>
  <r>
    <x v="171"/>
    <n v="990"/>
    <x v="0"/>
    <x v="6"/>
    <n v="11"/>
    <x v="14"/>
    <x v="10"/>
    <x v="1"/>
    <x v="11"/>
    <s v="Comuna"/>
    <s v="Variación anual de delitos por comuna"/>
    <s v="Periodo 2008-2020"/>
    <s v="Porcentaje (%)"/>
    <s v="Centro de Estudios y Análisis del Delito (CEAD) de la Subsecretaría de Prevención del Delito"/>
    <x v="171"/>
    <s v="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
    <s v="Dashboard"/>
    <s v="Región de Aysén delitos mayor connotación social variación anual frecuencia"/>
    <x v="171"/>
    <s v="100-C-11"/>
    <s v="#1774B9"/>
    <s v="990-0172"/>
    <n v="99200011"/>
    <s v="T-1062"/>
    <s v="C-998"/>
    <s v="FI-991"/>
    <s v="M-1007"/>
  </r>
  <r>
    <x v="172"/>
    <n v="990"/>
    <x v="0"/>
    <x v="6"/>
    <n v="12"/>
    <x v="14"/>
    <x v="10"/>
    <x v="1"/>
    <x v="12"/>
    <s v="Comuna"/>
    <s v="Variación anual de delitos por comuna"/>
    <s v="Periodo 2008-2020"/>
    <s v="Porcentaje (%)"/>
    <s v="Centro de Estudios y Análisis del Delito (CEAD) de la Subsecretaría de Prevención del Delito"/>
    <x v="172"/>
    <s v="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
    <s v="Dashboard"/>
    <s v="Región de Magallanes delitos mayor connotación social variación anual frecuencia"/>
    <x v="172"/>
    <s v="100-C-12"/>
    <s v="#1774B9"/>
    <s v="990-0173"/>
    <n v="99200012"/>
    <s v="T-1062"/>
    <s v="C-998"/>
    <s v="FI-991"/>
    <s v="M-1007"/>
  </r>
  <r>
    <x v="173"/>
    <n v="990"/>
    <x v="0"/>
    <x v="6"/>
    <n v="13"/>
    <x v="14"/>
    <x v="10"/>
    <x v="1"/>
    <x v="13"/>
    <s v="Comuna"/>
    <s v="Variación anual de delitos por comuna"/>
    <s v="Periodo 2008-2020"/>
    <s v="Porcentaje (%)"/>
    <s v="Centro de Estudios y Análisis del Delito (CEAD) de la Subsecretaría de Prevención del Delito"/>
    <x v="173"/>
    <s v="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
    <s v="Dashboard"/>
    <s v="Región Metropolitana delitos mayor connotación social variación anual frecuencia"/>
    <x v="173"/>
    <s v="200-C-13"/>
    <s v="#1774B9"/>
    <s v="990-0174"/>
    <n v="99200013"/>
    <s v="T-1062"/>
    <s v="C-998"/>
    <s v="FI-991"/>
    <s v="M-1007"/>
  </r>
  <r>
    <x v="174"/>
    <n v="990"/>
    <x v="0"/>
    <x v="6"/>
    <n v="14"/>
    <x v="14"/>
    <x v="10"/>
    <x v="1"/>
    <x v="14"/>
    <s v="Comuna"/>
    <s v="Variación anual de delitos por comuna"/>
    <s v="Periodo 2008-2020"/>
    <s v="Porcentaje (%)"/>
    <s v="Centro de Estudios y Análisis del Delito (CEAD) de la Subsecretaría de Prevención del Delito"/>
    <x v="174"/>
    <s v="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
    <s v="Dashboard"/>
    <s v="Región de Los Ríos delitos mayor connotación social variación anual frecuencia"/>
    <x v="174"/>
    <s v="100-C-14"/>
    <s v="#1774B9"/>
    <s v="990-0175"/>
    <n v="99200014"/>
    <s v="T-1062"/>
    <s v="C-998"/>
    <s v="FI-991"/>
    <s v="M-1007"/>
  </r>
  <r>
    <x v="175"/>
    <n v="990"/>
    <x v="0"/>
    <x v="6"/>
    <n v="15"/>
    <x v="14"/>
    <x v="10"/>
    <x v="1"/>
    <x v="15"/>
    <s v="Comuna"/>
    <s v="Variación anual de delitos por comuna"/>
    <s v="Periodo 2008-2020"/>
    <s v="Porcentaje (%)"/>
    <s v="Centro de Estudios y Análisis del Delito (CEAD) de la Subsecretaría de Prevención del Delito"/>
    <x v="175"/>
    <s v="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
    <s v="Dashboard"/>
    <s v="Región de Arica y Parinacota delitos mayor connotación social variación anual frecuencia"/>
    <x v="175"/>
    <s v="100-C-15"/>
    <s v="#1774B9"/>
    <s v="990-0176"/>
    <n v="99200015"/>
    <s v="T-1062"/>
    <s v="C-998"/>
    <s v="FI-991"/>
    <s v="M-1007"/>
  </r>
  <r>
    <x v="176"/>
    <n v="990"/>
    <x v="0"/>
    <x v="6"/>
    <n v="16"/>
    <x v="14"/>
    <x v="10"/>
    <x v="1"/>
    <x v="16"/>
    <s v="Comuna"/>
    <s v="Variación anual de delitos por comuna"/>
    <s v="Periodo 2008-2020"/>
    <s v="Porcentaje (%)"/>
    <s v="Centro de Estudios y Análisis del Delito (CEAD) de la Subsecretaría de Prevención del Delito"/>
    <x v="176"/>
    <s v="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
    <s v="Dashboard"/>
    <s v="Región de Ñuble delitos mayor connotación social variación anual frecuencia"/>
    <x v="176"/>
    <s v="100-C-16"/>
    <s v="#1774B9"/>
    <s v="990-0177"/>
    <n v="99200016"/>
    <s v="T-1062"/>
    <s v="C-998"/>
    <s v="FI-991"/>
    <s v="M-1007"/>
  </r>
  <r>
    <x v="177"/>
    <n v="990"/>
    <x v="0"/>
    <x v="2"/>
    <n v="0"/>
    <x v="15"/>
    <x v="2"/>
    <x v="0"/>
    <x v="0"/>
    <s v="Ninguno"/>
    <s v="Casos de VIF"/>
    <s v="Periodo 2019-2021"/>
    <s v="Número de Casos"/>
    <s v="Fiscalía Nacional"/>
    <x v="177"/>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x v="177"/>
    <n v="0"/>
    <s v="#1774B9"/>
    <s v="990-0178"/>
    <n v="99100000"/>
    <s v="T-1034"/>
    <s v="C-996"/>
    <s v="FI-993"/>
    <s v="M-1008"/>
  </r>
  <r>
    <x v="178"/>
    <n v="990"/>
    <x v="0"/>
    <x v="2"/>
    <n v="0"/>
    <x v="15"/>
    <x v="2"/>
    <x v="0"/>
    <x v="0"/>
    <s v="Región"/>
    <s v="Casos de VIF por región"/>
    <s v="Periodo 2019-2021"/>
    <s v="Número de Casos"/>
    <s v="Fiscalía Nacional"/>
    <x v="178"/>
    <s v="Chile, en el tercer trimestre del año 2019, registró la mayor cantidad de casos de Violencia Intrafamiliar (VIF) presentados ante la fiscalía nacional, con 72.904 casos: 55.509 víctimas eran mujeres y 17.070 víctimas eran  hombres."/>
    <s v="Gráfico de Evolución"/>
    <s v="Chile violencia intrafamiliar VIF casos fiscalía mujeres hombres año regional"/>
    <x v="178"/>
    <s v="300-R"/>
    <s v="#1774B9"/>
    <s v="990-0179"/>
    <n v="99100000"/>
    <s v="T-1034"/>
    <s v="C-996"/>
    <s v="FI-992"/>
    <s v="M-1009"/>
  </r>
  <r>
    <x v="179"/>
    <n v="990"/>
    <x v="0"/>
    <x v="2"/>
    <n v="1"/>
    <x v="15"/>
    <x v="2"/>
    <x v="1"/>
    <x v="1"/>
    <s v="Ninguno"/>
    <s v="Casos de VIF por región"/>
    <s v="Periodo 2019-2021"/>
    <s v="Número de Casos"/>
    <s v="Fiscalía Nacional"/>
    <x v="179"/>
    <s v="La región de Taracapá, en el tercer trimestre del año 2020, registró la mayor cantidad de casos de Violencia Intrafamiliar (VIF) presentados ante la fiscalía nacional, con 1.682 casos: 1.310 víctimas eran mujeres y 372 víctimas eran  hombres."/>
    <s v="Gráfico de Evolución"/>
    <s v="Región de Tarapacá violencia intrafamiliar VIF casos fiscalía mujeres hombres año regional"/>
    <x v="179"/>
    <s v="100-R-1"/>
    <s v="#1774B9"/>
    <s v="990-0180"/>
    <n v="99200001"/>
    <s v="T-1034"/>
    <s v="C-996"/>
    <s v="FI-993"/>
    <s v="M-1009"/>
  </r>
  <r>
    <x v="180"/>
    <n v="990"/>
    <x v="0"/>
    <x v="2"/>
    <n v="2"/>
    <x v="15"/>
    <x v="2"/>
    <x v="1"/>
    <x v="2"/>
    <s v="Ninguno"/>
    <s v="Casos de VIF por región"/>
    <s v="Periodo 2019-2021"/>
    <s v="Número de Casos"/>
    <s v="Fiscalía Nacional"/>
    <x v="180"/>
    <s v="La región de Antofagasta, en el cuarto trimestre del año 2020, registró la mayor cantidad de casos de Violencia Intrafamiliar (VIF) presentados ante la fiscalía nacional, con 2.637 casos: 1.956 víctimas eran mujeres y  681 víctimas eran  hombres."/>
    <s v="Gráfico de Evolución"/>
    <s v="Región de Antofagasta violencia intrafamiliar VIF casos fiscalía mujeres hombres año regional"/>
    <x v="180"/>
    <s v="100-R-2"/>
    <s v="#1774B9"/>
    <s v="990-0181"/>
    <n v="99200002"/>
    <s v="T-1034"/>
    <s v="C-996"/>
    <s v="FI-993"/>
    <s v="M-1009"/>
  </r>
  <r>
    <x v="181"/>
    <n v="990"/>
    <x v="0"/>
    <x v="2"/>
    <n v="3"/>
    <x v="15"/>
    <x v="2"/>
    <x v="1"/>
    <x v="3"/>
    <s v="Ninguno"/>
    <s v="Casos de VIF por región"/>
    <s v="Periodo 2019-2021"/>
    <s v="Número de Casos"/>
    <s v="Fiscalía Nacional"/>
    <x v="181"/>
    <s v="La región de Atacama, en el tercer trimestre del año 2020, registró la mayor cantidad de casos de Violencia Intrafamiliar (VIF) presentados ante la fiscalía nacional, con 1.456 casos:  1.123 víctimas eran mujeres y en 333 víctimas eran  hombres."/>
    <s v="Gráfico de Evolución"/>
    <s v="Región de Atacama violencia intrafamiliar VIF casos fiscalía mujeres hombres año regional"/>
    <x v="181"/>
    <s v="100-R-3"/>
    <s v="#1774B9"/>
    <s v="990-0182"/>
    <n v="99200003"/>
    <s v="T-1034"/>
    <s v="C-996"/>
    <s v="FI-993"/>
    <s v="M-1009"/>
  </r>
  <r>
    <x v="182"/>
    <n v="990"/>
    <x v="0"/>
    <x v="2"/>
    <n v="4"/>
    <x v="15"/>
    <x v="2"/>
    <x v="1"/>
    <x v="4"/>
    <s v="Ninguno"/>
    <s v="Casos de VIF por región"/>
    <s v="Periodo 2019-2021"/>
    <s v="Número de Casos"/>
    <s v="Fiscalía Nacional"/>
    <x v="182"/>
    <s v="La región de Coquimbo, en el cuarto trimestre del año 2020, registró la mayor cantidad de casos de Violencia Intrafamiliar (VIF) presentados ante la fiscalía nacional, con 2.868 casos: 2.182 víctimas eran mujeres y 686 víctimas eran  hombres."/>
    <s v="Gráfico de Evolución"/>
    <s v="Región de Coquimbo violencia intrafamiliar VIF casos fiscalía mujeres hombres año regional"/>
    <x v="182"/>
    <s v="100-R-4"/>
    <s v="#1774B9"/>
    <s v="990-0183"/>
    <n v="99200004"/>
    <s v="T-1034"/>
    <s v="C-996"/>
    <s v="FI-993"/>
    <s v="M-1009"/>
  </r>
  <r>
    <x v="183"/>
    <n v="990"/>
    <x v="0"/>
    <x v="2"/>
    <n v="5"/>
    <x v="15"/>
    <x v="2"/>
    <x v="1"/>
    <x v="5"/>
    <s v="Ninguno"/>
    <s v="Casos de VIF por región"/>
    <s v="Periodo 2019-2021"/>
    <s v="Número de Casos"/>
    <s v="Fiscalía Nacional"/>
    <x v="183"/>
    <s v="La región de Valparaíso, en el tercer trimestre del año 2019, registró la mayor cantidad de casos de Violencia Intrafamiliar (VIF) presentados ante la fiscalía nacional, con 7.268 casos: 5.562 víctimas eran mujeres y 1.706 víctimas eran  hombres."/>
    <s v="Gráfico de Evolución"/>
    <s v="Región de Valparaíso violencia intrafamiliar VIF casos fiscalía mujeres hombres año regional"/>
    <x v="183"/>
    <s v="100-R-5"/>
    <s v="#1774B9"/>
    <s v="990-0184"/>
    <n v="99200005"/>
    <s v="T-1034"/>
    <s v="C-996"/>
    <s v="FI-993"/>
    <s v="M-1009"/>
  </r>
  <r>
    <x v="184"/>
    <n v="990"/>
    <x v="0"/>
    <x v="2"/>
    <n v="6"/>
    <x v="15"/>
    <x v="2"/>
    <x v="1"/>
    <x v="6"/>
    <s v="Ninguno"/>
    <s v="Casos de VIF por región"/>
    <s v="Periodo 2019-2021"/>
    <s v="Número de Casos"/>
    <s v="Fiscalía Nacional"/>
    <x v="184"/>
    <s v="La región de O'Higgins, en el tercer trimestre del año 2019, registró la mayor cantidad de casos de Violencia Intrafamiliar (VIF) presentados ante la fiscalía nacional, con 4.850 casos: 3.628 víctimas eran mujeres y 1.222 víctimas eran  hombres."/>
    <s v="Gráfico de Evolución"/>
    <s v="Región de O'Higgins violencia intrafamiliar VIF casos fiscalía mujeres hombres año regional"/>
    <x v="184"/>
    <s v="100-R-6"/>
    <s v="#1774B9"/>
    <s v="990-0185"/>
    <n v="99200006"/>
    <s v="T-1034"/>
    <s v="C-996"/>
    <s v="FI-993"/>
    <s v="M-1009"/>
  </r>
  <r>
    <x v="185"/>
    <n v="990"/>
    <x v="0"/>
    <x v="2"/>
    <n v="7"/>
    <x v="15"/>
    <x v="2"/>
    <x v="1"/>
    <x v="7"/>
    <s v="Ninguno"/>
    <s v="Casos de VIF por región"/>
    <s v="Periodo 2019-2021"/>
    <s v="Número de Casos"/>
    <s v="Fiscalía Nacional"/>
    <x v="185"/>
    <s v="La región del Maule, en el tercer trimestre del año 2020, registró la mayor cantidad de casos de Violencia Intrafamiliar (VIF) presentados ante la fiscalía nacional, con 4.269 casos: 3.334 víctimas eran mujeres y 935 víctimas eran  hombres."/>
    <s v="Gráfico de Evolución"/>
    <s v="Región de Maule violencia intrafamiliar VIF casos fiscalía mujeres hombres año regional"/>
    <x v="185"/>
    <s v="100-R-7"/>
    <s v="#1774B9"/>
    <s v="990-0186"/>
    <n v="99200007"/>
    <s v="T-1034"/>
    <s v="C-996"/>
    <s v="FI-993"/>
    <s v="M-1009"/>
  </r>
  <r>
    <x v="186"/>
    <n v="990"/>
    <x v="0"/>
    <x v="2"/>
    <n v="8"/>
    <x v="15"/>
    <x v="2"/>
    <x v="1"/>
    <x v="8"/>
    <s v="Ninguno"/>
    <s v="Casos de VIF por región"/>
    <s v="Periodo 2019-2021"/>
    <s v="Número de Casos"/>
    <s v="Fiscalía Nacional"/>
    <x v="186"/>
    <s v="La región del Biobío, en el cuarto trimestre del año 2019, registró la mayor cantidad de casos de Violencia Intrafamiliar (VIF) presentados ante la fiscalía nacional, con 4.963 casos: 3.857 víctimas eran mujeres y 1.106 víctimas eran  hombres."/>
    <s v="Gráfico de Evolución"/>
    <s v="Región del Biobío violencia intrafamiliar VIF casos fiscalía mujeres hombres año regional"/>
    <x v="186"/>
    <s v="100-R-8"/>
    <s v="#1774B9"/>
    <s v="990-0187"/>
    <n v="99200008"/>
    <s v="T-1034"/>
    <s v="C-996"/>
    <s v="FI-993"/>
    <s v="M-1009"/>
  </r>
  <r>
    <x v="187"/>
    <n v="990"/>
    <x v="0"/>
    <x v="2"/>
    <n v="9"/>
    <x v="15"/>
    <x v="2"/>
    <x v="1"/>
    <x v="9"/>
    <s v="Ninguno"/>
    <s v="Casos de VIF por región"/>
    <s v="Periodo 2019-2021"/>
    <s v="Número de Casos"/>
    <s v="Fiscalía Nacional"/>
    <x v="187"/>
    <s v="La región de La Araucanía en el tercer trimestre del año 2020, registró la mayor cantidad de casos de Violencia Intrafamiliar (VIF) presentados ante la fiscalía nacional, con 3.889 casos: 2.902 víctimas eran mujeres y 987 víctimas eran  hombres."/>
    <s v="Gráfico de Evolución"/>
    <s v="Región de La Araucanía violencia intrafamiliar VIF casos fiscalía mujeres hombres año regional"/>
    <x v="187"/>
    <s v="100-R-9"/>
    <s v="#1774B9"/>
    <s v="990-0188"/>
    <n v="99200009"/>
    <s v="T-1034"/>
    <s v="C-996"/>
    <s v="FI-993"/>
    <s v="M-1009"/>
  </r>
  <r>
    <x v="188"/>
    <n v="990"/>
    <x v="0"/>
    <x v="2"/>
    <n v="10"/>
    <x v="15"/>
    <x v="2"/>
    <x v="1"/>
    <x v="10"/>
    <s v="Ninguno"/>
    <s v="Casos de VIF por región"/>
    <s v="Periodo 2019-2021"/>
    <s v="Número de Casos"/>
    <s v="Fiscalía Nacional"/>
    <x v="188"/>
    <s v="La región de Los Lagos, en el tercer trimestre del año 2020, registró la mayor cantidad de casos de Violencia Intrafamiliar (VIF) presentados ante la fiscalía nacional, con 3.870 casos: 3.020 víctimas eran mujeres y 850 víctimas eran  hombres."/>
    <s v="Gráfico de Evolución"/>
    <s v="Región de Los Lagos violencia intrafamiliar VIF casos fiscalía mujeres hombres año regional"/>
    <x v="188"/>
    <s v="100-R-10"/>
    <s v="#1774B9"/>
    <s v="990-0189"/>
    <n v="99200010"/>
    <s v="T-1034"/>
    <s v="C-996"/>
    <s v="FI-993"/>
    <s v="M-1009"/>
  </r>
  <r>
    <x v="189"/>
    <n v="990"/>
    <x v="0"/>
    <x v="2"/>
    <n v="11"/>
    <x v="15"/>
    <x v="2"/>
    <x v="1"/>
    <x v="11"/>
    <s v="Ninguno"/>
    <s v="Casos de VIF por región"/>
    <s v="Periodo 2019-2021"/>
    <s v="Número de Casos"/>
    <s v="Fiscalía Nacional"/>
    <x v="189"/>
    <s v="La región de Aysén, en el cuarto trimestre del año 2019, registró la mayor cantidad de casos de Violencia Intrafamiliar (VIF) presentados ante la fiscalía nacional, con 508 casos: 395 víctimas eran mujeres y 113 víctimas eran  hombres."/>
    <s v="Gráfico de Evolución"/>
    <s v="Región de Aysén violencia intrafamiliar VIF casos fiscalía mujeres hombres año regional"/>
    <x v="189"/>
    <s v="100-R-11"/>
    <s v="#1774B9"/>
    <s v="990-0190"/>
    <n v="99200011"/>
    <s v="T-1034"/>
    <s v="C-996"/>
    <s v="FI-993"/>
    <s v="M-1009"/>
  </r>
  <r>
    <x v="190"/>
    <n v="990"/>
    <x v="0"/>
    <x v="2"/>
    <n v="12"/>
    <x v="15"/>
    <x v="2"/>
    <x v="1"/>
    <x v="12"/>
    <s v="Ninguno"/>
    <s v="Casos de VIF por región"/>
    <s v="Periodo 2019-2021"/>
    <s v="Número de Casos"/>
    <s v="Fiscalía Nacional"/>
    <x v="190"/>
    <s v="La región de Magallanes, en el tercer trimestre del año 2020, registró la mayor cantidad de casos de Violencia Intrafamiliar (VIF) presentados ante la fiscalía nacional, con 605 casos: 486 víctimas eran mujeres y 119 víctimas eran  hombres."/>
    <s v="Gráfico de Evolución"/>
    <s v="Región de Magallanes violencia intrafamiliar VIF casos fiscalía mujeres hombres año regional"/>
    <x v="190"/>
    <s v="100-R-12"/>
    <s v="#1774B9"/>
    <s v="990-0191"/>
    <n v="99200012"/>
    <s v="T-1034"/>
    <s v="C-996"/>
    <s v="FI-993"/>
    <s v="M-1009"/>
  </r>
  <r>
    <x v="191"/>
    <n v="990"/>
    <x v="0"/>
    <x v="2"/>
    <n v="13"/>
    <x v="15"/>
    <x v="2"/>
    <x v="1"/>
    <x v="13"/>
    <s v="Ninguno"/>
    <s v="Casos de VIF por región"/>
    <s v="Periodo 2019-2021"/>
    <s v="Número de Casos"/>
    <s v="Fiscalía Nacional"/>
    <x v="191"/>
    <s v="La región Metropolitana, en el tercer trimestre del año 2019, registró la mayor cantidad de casos de Violencia Intrafamiliar (VIF) presentados ante la fiscalía nacional, con 30.487 casos: 22.883 víctimas eran mujeres y 7.604 víctimas eran  hombres."/>
    <s v="Gráfico de Evolución"/>
    <s v="Región Metropolitana violencia intrafamiliar VIF casos fiscalía mujeres hombres año regional"/>
    <x v="191"/>
    <s v="200-R-13"/>
    <s v="#1774B9"/>
    <s v="990-0192"/>
    <n v="99200013"/>
    <s v="T-1034"/>
    <s v="C-996"/>
    <s v="FI-993"/>
    <s v="M-1009"/>
  </r>
  <r>
    <x v="192"/>
    <n v="990"/>
    <x v="0"/>
    <x v="2"/>
    <n v="14"/>
    <x v="15"/>
    <x v="2"/>
    <x v="1"/>
    <x v="14"/>
    <s v="Ninguno"/>
    <s v="Casos de VIF por región"/>
    <s v="Periodo 2019-2021"/>
    <s v="Número de Casos"/>
    <s v="Fiscalía Nacional"/>
    <x v="192"/>
    <s v="La región de Los Ríos, en el cuarto trimestre del año 2020, registró la mayor cantidad de casos de Violencia Intrafamiliar (VIF) presentados ante la fiscalía nacional, con 1.614 casos: 1.208 víctimas eran mujeres y 406 víctimas eran  hombres."/>
    <s v="Gráfico de Evolución"/>
    <s v="Región de Los Ríos violencia intrafamiliar VIF casos fiscalía mujeres hombres año regional"/>
    <x v="192"/>
    <s v="100-R-14"/>
    <s v="#1774B9"/>
    <s v="990-0193"/>
    <n v="99200014"/>
    <s v="T-1034"/>
    <s v="C-996"/>
    <s v="FI-993"/>
    <s v="M-1009"/>
  </r>
  <r>
    <x v="193"/>
    <n v="990"/>
    <x v="0"/>
    <x v="2"/>
    <n v="15"/>
    <x v="15"/>
    <x v="2"/>
    <x v="1"/>
    <x v="15"/>
    <s v="Ninguno"/>
    <s v="Casos de VIF por región"/>
    <s v="Periodo 2019-2021"/>
    <s v="Número de Casos"/>
    <s v="Fiscalía Nacional"/>
    <x v="193"/>
    <s v="La región de Arica y Parinacota, en el cuarto trimestre del año 2020, registró la mayor cantidad de casos de Violencia Intrafamiliar (VIF) presentados ante la fiscalía nacional, con 1.208 casos: 913 víctimas eran mujeres y 295 víctimas eran  hombres."/>
    <s v="Gráfico de Evolución"/>
    <s v="Región de Arica y Parinacota violencia intrafamiliar VIF casos fiscalía mujeres hombres año regional"/>
    <x v="193"/>
    <s v="100-R-15"/>
    <s v="#1774B9"/>
    <s v="990-0194"/>
    <n v="99200015"/>
    <s v="T-1034"/>
    <s v="C-996"/>
    <s v="FI-993"/>
    <s v="M-1009"/>
  </r>
  <r>
    <x v="194"/>
    <n v="990"/>
    <x v="0"/>
    <x v="2"/>
    <n v="16"/>
    <x v="15"/>
    <x v="2"/>
    <x v="1"/>
    <x v="16"/>
    <s v="Ninguno"/>
    <s v="Casos de VIF por región"/>
    <s v="Periodo 2019-2021"/>
    <s v="Número de Casos"/>
    <s v="Fiscalía Nacional"/>
    <x v="194"/>
    <s v="La región del Ñuble, en el tercer trimestre del año 2020, registró la mayor cantidad de casos de Violencia Intrafamiliar (VIF) presentados ante la fiscalía nacional, con 1.691 casos: 1.305 víctimas eran mujeres y 386 víctimas eran  hombres."/>
    <s v="Gráfico de Evolución"/>
    <s v="Región de Ñuble violencia intrafamiliar VIF casos fiscalía mujeres hombres año regional"/>
    <x v="194"/>
    <s v="100-R-16"/>
    <s v="#1774B9"/>
    <s v="990-0195"/>
    <n v="99200016"/>
    <s v="T-1034"/>
    <s v="C-996"/>
    <s v="FI-993"/>
    <s v="M-1009"/>
  </r>
  <r>
    <x v="195"/>
    <n v="990"/>
    <x v="0"/>
    <x v="2"/>
    <n v="0"/>
    <x v="15"/>
    <x v="2"/>
    <x v="0"/>
    <x v="0"/>
    <s v="Región"/>
    <s v="Casos de VIF por comuna"/>
    <s v="Periodo 2020-2021"/>
    <s v="Número de Denuncias"/>
    <s v="Centro de Estudios y Análisis del Delito (CEAD) de la Subsecretaría de Prevención del Delito"/>
    <x v="195"/>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x v="195"/>
    <s v="300-C"/>
    <s v="#1774B9"/>
    <s v="990-0196"/>
    <n v="99100000"/>
    <s v="T-1034"/>
    <s v="C-996"/>
    <s v="FI-992"/>
    <s v="M-1010"/>
  </r>
  <r>
    <x v="196"/>
    <n v="990"/>
    <x v="0"/>
    <x v="2"/>
    <n v="1"/>
    <x v="15"/>
    <x v="2"/>
    <x v="1"/>
    <x v="1"/>
    <s v="Ninguno"/>
    <s v="Casos de VIF por comuna"/>
    <s v="Periodo 2020-2021"/>
    <s v="Número de Denuncias"/>
    <s v="Centro de Estudios y Análisis del Delito (CEAD) de la Subsecretaría de Prevención del Delito"/>
    <x v="196"/>
    <s v="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
    <s v="Mapa de calor"/>
    <s v="Región de Tarapacá comunal VIF violencia intrafamiliar denuncias CEAD mujer"/>
    <x v="196"/>
    <s v="100-C-1"/>
    <s v="#1774B9"/>
    <s v="990-0197"/>
    <n v="99200001"/>
    <s v="T-1034"/>
    <s v="C-996"/>
    <s v="FI-993"/>
    <s v="M-1010"/>
  </r>
  <r>
    <x v="197"/>
    <n v="990"/>
    <x v="0"/>
    <x v="2"/>
    <n v="2"/>
    <x v="15"/>
    <x v="2"/>
    <x v="1"/>
    <x v="2"/>
    <s v="Ninguno"/>
    <s v="Casos de VIF por comuna"/>
    <s v="Periodo 2020-2021"/>
    <s v="Número de Denuncias"/>
    <s v="Centro de Estudios y Análisis del Delito (CEAD) de la Subsecretaría de Prevención del Delito"/>
    <x v="197"/>
    <s v="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
    <s v="Mapa de calor"/>
    <s v="Región de Antofagasta comunal VIF violencia intrafamiliar denuncias CEAD mujer"/>
    <x v="197"/>
    <s v="100-C-2"/>
    <s v="#1774B9"/>
    <s v="990-0198"/>
    <n v="99200002"/>
    <s v="T-1034"/>
    <s v="C-996"/>
    <s v="FI-993"/>
    <s v="M-1010"/>
  </r>
  <r>
    <x v="198"/>
    <n v="990"/>
    <x v="0"/>
    <x v="2"/>
    <n v="3"/>
    <x v="15"/>
    <x v="2"/>
    <x v="1"/>
    <x v="3"/>
    <s v="Ninguno"/>
    <s v="Casos de VIF por comuna"/>
    <s v="Periodo 2020-2021"/>
    <s v="Número de Denuncias"/>
    <s v="Centro de Estudios y Análisis del Delito (CEAD) de la Subsecretaría de Prevención del Delito"/>
    <x v="198"/>
    <s v="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
    <s v="Mapa de calor"/>
    <s v="Región de Atacama comunal VIF violencia intrafamiliar denuncias CEAD mujer"/>
    <x v="198"/>
    <s v="100-C-3"/>
    <s v="#1774B9"/>
    <s v="990-0199"/>
    <n v="99200003"/>
    <s v="T-1034"/>
    <s v="C-996"/>
    <s v="FI-993"/>
    <s v="M-1010"/>
  </r>
  <r>
    <x v="199"/>
    <n v="990"/>
    <x v="0"/>
    <x v="2"/>
    <n v="4"/>
    <x v="15"/>
    <x v="2"/>
    <x v="1"/>
    <x v="4"/>
    <s v="Ninguno"/>
    <s v="Casos de VIF por comuna"/>
    <s v="Periodo 2020-2021"/>
    <s v="Número de Denuncias"/>
    <s v="Centro de Estudios y Análisis del Delito (CEAD) de la Subsecretaría de Prevención del Delito"/>
    <x v="199"/>
    <s v="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
    <s v="Mapa de calor"/>
    <s v="Región de Coquimbo comunal VIF violencia intrafamiliar denuncias CEAD mujer"/>
    <x v="199"/>
    <s v="100-C-4"/>
    <s v="#1774B9"/>
    <s v="990-0200"/>
    <n v="99200004"/>
    <s v="T-1034"/>
    <s v="C-996"/>
    <s v="FI-993"/>
    <s v="M-1010"/>
  </r>
  <r>
    <x v="200"/>
    <n v="990"/>
    <x v="0"/>
    <x v="2"/>
    <n v="5"/>
    <x v="15"/>
    <x v="2"/>
    <x v="1"/>
    <x v="5"/>
    <s v="Ninguno"/>
    <s v="Casos de VIF por comuna"/>
    <s v="Periodo 2020-2021"/>
    <s v="Número de Denuncias"/>
    <s v="Centro de Estudios y Análisis del Delito (CEAD) de la Subsecretaría de Prevención del Delito"/>
    <x v="200"/>
    <s v="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
    <s v="Mapa de calor"/>
    <s v="Región de Valparaíso comunal VIF violencia intrafamiliar denuncias CEAD mujer"/>
    <x v="200"/>
    <s v="100-C-5"/>
    <s v="#1774B9"/>
    <s v="990-0201"/>
    <n v="99200005"/>
    <s v="T-1034"/>
    <s v="C-996"/>
    <s v="FI-993"/>
    <s v="M-1010"/>
  </r>
  <r>
    <x v="201"/>
    <n v="990"/>
    <x v="0"/>
    <x v="2"/>
    <n v="6"/>
    <x v="15"/>
    <x v="2"/>
    <x v="1"/>
    <x v="6"/>
    <s v="Ninguno"/>
    <s v="Casos de VIF por comuna"/>
    <s v="Periodo 2020-2021"/>
    <s v="Número de Denuncias"/>
    <s v="Centro de Estudios y Análisis del Delito (CEAD) de la Subsecretaría de Prevención del Delito"/>
    <x v="201"/>
    <s v="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
    <s v="Mapa de calor"/>
    <s v="Región de O'Higgins comunal VIF violencia intrafamiliar denuncias CEAD mujer"/>
    <x v="201"/>
    <s v="100-C-6"/>
    <s v="#1774B9"/>
    <s v="990-0202"/>
    <n v="99200006"/>
    <s v="T-1034"/>
    <s v="C-996"/>
    <s v="FI-993"/>
    <s v="M-1010"/>
  </r>
  <r>
    <x v="202"/>
    <n v="990"/>
    <x v="0"/>
    <x v="2"/>
    <n v="7"/>
    <x v="15"/>
    <x v="2"/>
    <x v="1"/>
    <x v="7"/>
    <s v="Ninguno"/>
    <s v="Casos de VIF por comuna"/>
    <s v="Periodo 2020-2021"/>
    <s v="Número de Denuncias"/>
    <s v="Centro de Estudios y Análisis del Delito (CEAD) de la Subsecretaría de Prevención del Delito"/>
    <x v="202"/>
    <s v="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
    <s v="Mapa de calor"/>
    <s v="Región de Maule comunal VIF violencia intrafamiliar denuncias CEAD mujer"/>
    <x v="202"/>
    <s v="100-C-7"/>
    <s v="#1774B9"/>
    <s v="990-0203"/>
    <n v="99200007"/>
    <s v="T-1034"/>
    <s v="C-996"/>
    <s v="FI-993"/>
    <s v="M-1010"/>
  </r>
  <r>
    <x v="203"/>
    <n v="990"/>
    <x v="0"/>
    <x v="2"/>
    <n v="8"/>
    <x v="15"/>
    <x v="2"/>
    <x v="1"/>
    <x v="8"/>
    <s v="Ninguno"/>
    <s v="Casos de VIF por comuna"/>
    <s v="Periodo 2020-2021"/>
    <s v="Número de Denuncias"/>
    <s v="Centro de Estudios y Análisis del Delito (CEAD) de la Subsecretaría de Prevención del Delito"/>
    <x v="203"/>
    <s v="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
    <s v="Mapa de calor"/>
    <s v="Región del Biobío comunal VIF violencia intrafamiliar denuncias CEAD mujer"/>
    <x v="203"/>
    <s v="100-C-8"/>
    <s v="#1774B9"/>
    <s v="990-0204"/>
    <n v="99200008"/>
    <s v="T-1034"/>
    <s v="C-996"/>
    <s v="FI-993"/>
    <s v="M-1010"/>
  </r>
  <r>
    <x v="204"/>
    <n v="990"/>
    <x v="0"/>
    <x v="2"/>
    <n v="9"/>
    <x v="15"/>
    <x v="2"/>
    <x v="1"/>
    <x v="9"/>
    <s v="Ninguno"/>
    <s v="Casos de VIF por comuna"/>
    <s v="Periodo 2020-2021"/>
    <s v="Número de Denuncias"/>
    <s v="Centro de Estudios y Análisis del Delito (CEAD) de la Subsecretaría de Prevención del Delito"/>
    <x v="204"/>
    <s v="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
    <s v="Mapa de calor"/>
    <s v="Región de La Araucanía comunal VIF violencia intrafamiliar denuncias CEAD mujer"/>
    <x v="204"/>
    <s v="100-C-9"/>
    <s v="#1774B9"/>
    <s v="990-0205"/>
    <n v="99200009"/>
    <s v="T-1034"/>
    <s v="C-996"/>
    <s v="FI-993"/>
    <s v="M-1010"/>
  </r>
  <r>
    <x v="205"/>
    <n v="990"/>
    <x v="0"/>
    <x v="2"/>
    <n v="10"/>
    <x v="15"/>
    <x v="2"/>
    <x v="1"/>
    <x v="10"/>
    <s v="Ninguno"/>
    <s v="Casos de VIF por comuna"/>
    <s v="Periodo 2020-2021"/>
    <s v="Número de Denuncias"/>
    <s v="Centro de Estudios y Análisis del Delito (CEAD) de la Subsecretaría de Prevención del Delito"/>
    <x v="205"/>
    <s v="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
    <s v="Mapa de calor"/>
    <s v="Región de Los Lagos comunal VIF violencia intrafamiliar denuncias CEAD mujer"/>
    <x v="205"/>
    <s v="100-C-10"/>
    <s v="#1774B9"/>
    <s v="990-0206"/>
    <n v="99200010"/>
    <s v="T-1034"/>
    <s v="C-996"/>
    <s v="FI-993"/>
    <s v="M-1010"/>
  </r>
  <r>
    <x v="206"/>
    <n v="990"/>
    <x v="0"/>
    <x v="2"/>
    <n v="11"/>
    <x v="15"/>
    <x v="2"/>
    <x v="1"/>
    <x v="11"/>
    <s v="Ninguno"/>
    <s v="Casos de VIF por comuna"/>
    <s v="Periodo 2020-2021"/>
    <s v="Número de Denuncias"/>
    <s v="Centro de Estudios y Análisis del Delito (CEAD) de la Subsecretaría de Prevención del Delito"/>
    <x v="206"/>
    <s v="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
    <s v="Mapa de calor"/>
    <s v="Región de Aysén comunal VIF violencia intrafamiliar denuncias CEAD mujer"/>
    <x v="206"/>
    <s v="100-C-11"/>
    <s v="#1774B9"/>
    <s v="990-0207"/>
    <n v="99200011"/>
    <s v="T-1034"/>
    <s v="C-996"/>
    <s v="FI-993"/>
    <s v="M-1010"/>
  </r>
  <r>
    <x v="207"/>
    <n v="990"/>
    <x v="0"/>
    <x v="2"/>
    <n v="12"/>
    <x v="15"/>
    <x v="2"/>
    <x v="1"/>
    <x v="12"/>
    <s v="Ninguno"/>
    <s v="Casos de VIF por comuna"/>
    <s v="Periodo 2020-2021"/>
    <s v="Número de Denuncias"/>
    <s v="Centro de Estudios y Análisis del Delito (CEAD) de la Subsecretaría de Prevención del Delito"/>
    <x v="207"/>
    <s v="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
    <s v="Mapa de calor"/>
    <s v="Región de Magallanes comunal VIF violencia intrafamiliar denuncias CEAD mujer"/>
    <x v="207"/>
    <s v="100-C-12"/>
    <s v="#1774B9"/>
    <s v="990-0208"/>
    <n v="99200012"/>
    <s v="T-1034"/>
    <s v="C-996"/>
    <s v="FI-993"/>
    <s v="M-1010"/>
  </r>
  <r>
    <x v="208"/>
    <n v="990"/>
    <x v="0"/>
    <x v="2"/>
    <n v="13"/>
    <x v="15"/>
    <x v="2"/>
    <x v="1"/>
    <x v="13"/>
    <s v="Ninguno"/>
    <s v="Casos de VIF por comuna"/>
    <s v="Periodo 2020-2021"/>
    <s v="Número de Denuncias"/>
    <s v="Centro de Estudios y Análisis del Delito (CEAD) de la Subsecretaría de Prevención del Delito"/>
    <x v="208"/>
    <s v="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
    <s v="Mapa de calor"/>
    <s v="Región Metropolitana comunal VIF violencia intrafamiliar denuncias CEAD mujer"/>
    <x v="208"/>
    <s v="200-C-13"/>
    <s v="#1774B9"/>
    <s v="990-0209"/>
    <n v="99200013"/>
    <s v="T-1034"/>
    <s v="C-996"/>
    <s v="FI-993"/>
    <s v="M-1010"/>
  </r>
  <r>
    <x v="209"/>
    <n v="990"/>
    <x v="0"/>
    <x v="2"/>
    <n v="14"/>
    <x v="15"/>
    <x v="2"/>
    <x v="1"/>
    <x v="14"/>
    <s v="Ninguno"/>
    <s v="Casos de VIF por comuna"/>
    <s v="Periodo 2020-2021"/>
    <s v="Número de Denuncias"/>
    <s v="Centro de Estudios y Análisis del Delito (CEAD) de la Subsecretaría de Prevención del Delito"/>
    <x v="209"/>
    <s v="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
    <s v="Mapa de calor"/>
    <s v="Región de Los Ríos comunal VIF violencia intrafamiliar denuncias CEAD mujer"/>
    <x v="209"/>
    <s v="100-C-14"/>
    <s v="#1774B9"/>
    <s v="990-0210"/>
    <n v="99200014"/>
    <s v="T-1034"/>
    <s v="C-996"/>
    <s v="FI-993"/>
    <s v="M-1010"/>
  </r>
  <r>
    <x v="210"/>
    <n v="990"/>
    <x v="0"/>
    <x v="2"/>
    <n v="15"/>
    <x v="15"/>
    <x v="2"/>
    <x v="1"/>
    <x v="15"/>
    <s v="Ninguno"/>
    <s v="Casos de VIF por comuna"/>
    <s v="Periodo 2020-2021"/>
    <s v="Número de Denuncias"/>
    <s v="Centro de Estudios y Análisis del Delito (CEAD) de la Subsecretaría de Prevención del Delito"/>
    <x v="210"/>
    <s v="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
    <s v="Mapa de calor"/>
    <s v="Región de Arica y Parinacota comunal VIF violencia intrafamiliar denuncias CEAD mujer"/>
    <x v="210"/>
    <s v="100-C-15"/>
    <s v="#1774B9"/>
    <s v="990-0211"/>
    <n v="99200015"/>
    <s v="T-1034"/>
    <s v="C-996"/>
    <s v="FI-993"/>
    <s v="M-1010"/>
  </r>
  <r>
    <x v="211"/>
    <n v="990"/>
    <x v="0"/>
    <x v="2"/>
    <n v="16"/>
    <x v="15"/>
    <x v="2"/>
    <x v="1"/>
    <x v="16"/>
    <s v="Ninguno"/>
    <s v="Casos de VIF por comuna"/>
    <s v="Periodo 2020-2021"/>
    <s v="Número de Denuncias"/>
    <s v="Centro de Estudios y Análisis del Delito (CEAD) de la Subsecretaría de Prevención del Delito"/>
    <x v="211"/>
    <s v="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
    <s v="Mapa de calor"/>
    <s v="Región de Ñuble comunal VIF violencia intrafamiliar denuncias CEAD mujer"/>
    <x v="211"/>
    <s v="100-C-16"/>
    <s v="#1774B9"/>
    <s v="990-0212"/>
    <n v="99200016"/>
    <s v="T-1034"/>
    <s v="C-996"/>
    <s v="FI-993"/>
    <s v="M-1010"/>
  </r>
  <r>
    <x v="212"/>
    <n v="990"/>
    <x v="0"/>
    <x v="5"/>
    <n v="0"/>
    <x v="16"/>
    <x v="5"/>
    <x v="0"/>
    <x v="0"/>
    <s v="Ninguno"/>
    <s v="Fruta producida por tipo de envase utilizado en Chile"/>
    <s v="Periodo 2018-2020"/>
    <s v="Toneladas"/>
    <s v="Oficina de Estudios y Políticas Agrarias (ODEPA)"/>
    <x v="212"/>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x v="212"/>
    <n v="0"/>
    <s v="#1774B9"/>
    <s v="990-0213"/>
    <n v="99100000"/>
    <s v="T-1035"/>
    <s v="C-997"/>
    <s v="FI-993"/>
    <s v="M-1011"/>
  </r>
  <r>
    <x v="213"/>
    <n v="990"/>
    <x v="0"/>
    <x v="5"/>
    <n v="0"/>
    <x v="7"/>
    <x v="5"/>
    <x v="0"/>
    <x v="0"/>
    <s v="Comuna"/>
    <s v="Destino de fruta producida por comuna"/>
    <s v="Periodo 2018-2020"/>
    <s v="Toneladas"/>
    <s v="Oficina de Estudios y Políticas Agrarias (ODEPA)"/>
    <x v="213"/>
    <s v="A nivel nacional, durante el periodo 2018-2020, se produjeron 1.074.750 ton de fruta. La mayor cantidad se destinó a Europa, específicamente un 25,9, seguido de Centro y Norte América con un 25,6%. Por su parte, un 23,5% fue destinado al mercado interno."/>
    <s v="Gráfico "/>
    <s v="Chile fruta producción tonelada europa américa asia continente destino interno externo"/>
    <x v="213"/>
    <s v="300-C"/>
    <s v="#1774B9"/>
    <s v="990-0214"/>
    <n v="99100000"/>
    <s v="T-1031"/>
    <s v="C-997"/>
    <s v="FI-991"/>
    <s v="M-1012"/>
  </r>
  <r>
    <x v="214"/>
    <n v="990"/>
    <x v="0"/>
    <x v="5"/>
    <n v="1"/>
    <x v="7"/>
    <x v="5"/>
    <x v="1"/>
    <x v="1"/>
    <s v="Comuna"/>
    <s v="Destino de fruta producida por comuna"/>
    <s v="Periodo 2018-2020"/>
    <s v="Toneladas"/>
    <s v="Oficina de Estudios y Políticas Agrarias (ODEPA)"/>
    <x v="214"/>
    <s v="En la Región de Tarapacá, durante el periodo 2018-2020, se produjeron 1.186 ton de fruta, siendo la totalidad de ella destinada al mercado interno."/>
    <s v="Gráfico "/>
    <s v="Región de Tarapacá fruta producción tonelada europa américa asia continente destino interno externo"/>
    <x v="214"/>
    <s v="100-C-1"/>
    <s v="#1774B9"/>
    <s v="990-0215"/>
    <n v="99200001"/>
    <s v="T-1031"/>
    <s v="C-997"/>
    <s v="FI-991"/>
    <s v="M-1012"/>
  </r>
  <r>
    <x v="215"/>
    <n v="990"/>
    <x v="0"/>
    <x v="5"/>
    <n v="3"/>
    <x v="7"/>
    <x v="5"/>
    <x v="1"/>
    <x v="3"/>
    <s v="Comuna"/>
    <s v="Destino de fruta producida por comuna"/>
    <s v="Periodo 2018-2020"/>
    <s v="Toneladas"/>
    <s v="Oficina de Estudios y Políticas Agrarias (ODEPA)"/>
    <x v="215"/>
    <s v="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
    <s v="Gráfico "/>
    <s v="Región de Atacama fruta producción tonelada europa américa asia continente destino interno externo"/>
    <x v="215"/>
    <s v="100-C-3"/>
    <s v="#1774B9"/>
    <s v="990-0216"/>
    <n v="99200003"/>
    <s v="T-1031"/>
    <s v="C-997"/>
    <s v="FI-991"/>
    <s v="M-1012"/>
  </r>
  <r>
    <x v="216"/>
    <n v="990"/>
    <x v="0"/>
    <x v="5"/>
    <n v="4"/>
    <x v="7"/>
    <x v="5"/>
    <x v="1"/>
    <x v="4"/>
    <s v="Comuna"/>
    <s v="Destino de fruta producida por comuna"/>
    <s v="Periodo 2018-2020"/>
    <s v="Toneladas"/>
    <s v="Oficina de Estudios y Políticas Agrarias (ODEPA)"/>
    <x v="216"/>
    <s v="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
    <s v="Gráfico "/>
    <s v="Región de Coquimbo fruta producción tonelada europa américa asia continente destino interno externo"/>
    <x v="216"/>
    <s v="100-C-4"/>
    <s v="#1774B9"/>
    <s v="990-0217"/>
    <n v="99200004"/>
    <s v="T-1031"/>
    <s v="C-997"/>
    <s v="FI-991"/>
    <s v="M-1012"/>
  </r>
  <r>
    <x v="217"/>
    <n v="990"/>
    <x v="0"/>
    <x v="5"/>
    <n v="5"/>
    <x v="7"/>
    <x v="5"/>
    <x v="1"/>
    <x v="5"/>
    <s v="Comuna"/>
    <s v="Destino de fruta producida por comuna"/>
    <s v="Periodo 2018-2020"/>
    <s v="Toneladas"/>
    <s v="Oficina de Estudios y Políticas Agrarias (ODEPA)"/>
    <x v="217"/>
    <s v="En la Región de Valparaíso, durante el periodo 2018-2020, se produjeron 130.475 ton de fruta. La mayor cantidad se destinó a Asia, específicamente un 30,2%, seguido de Europa con un 28,5%. Por su parte, un 23,5% fue destinado al mercado interno."/>
    <s v="Gráfico "/>
    <s v="Región de Valparaíso fruta producción tonelada europa américa asia continente destino interno externo"/>
    <x v="217"/>
    <s v="100-C-5"/>
    <s v="#1774B9"/>
    <s v="990-0218"/>
    <n v="99200005"/>
    <s v="T-1031"/>
    <s v="C-997"/>
    <s v="FI-991"/>
    <s v="M-1012"/>
  </r>
  <r>
    <x v="218"/>
    <n v="990"/>
    <x v="0"/>
    <x v="5"/>
    <n v="6"/>
    <x v="7"/>
    <x v="5"/>
    <x v="1"/>
    <x v="6"/>
    <s v="Comuna"/>
    <s v="Destino de fruta producida por comuna"/>
    <s v="Periodo 2018-2020"/>
    <s v="Toneladas"/>
    <s v="Oficina de Estudios y Políticas Agrarias (ODEPA)"/>
    <x v="218"/>
    <s v="En la Región de O'Higgins, durante el periodo 2018-2020, se produjeron 339.942 ton de fruta. La mayor cantidad se destinó a Centro y Norte América, específicamente un 39,1%, seguido de Sudamérica con un 37%. Por su parte, un 14,1% fue destindo al mercado interno."/>
    <s v="Gráfico "/>
    <s v="Región de O'Higgins fruta producción tonelada europa américa asia continente destino interno externo"/>
    <x v="218"/>
    <s v="100-C-6"/>
    <s v="#1774B9"/>
    <s v="990-0219"/>
    <n v="99200006"/>
    <s v="T-1031"/>
    <s v="C-997"/>
    <s v="FI-991"/>
    <s v="M-1012"/>
  </r>
  <r>
    <x v="219"/>
    <n v="990"/>
    <x v="0"/>
    <x v="5"/>
    <n v="7"/>
    <x v="7"/>
    <x v="5"/>
    <x v="1"/>
    <x v="7"/>
    <s v="Comuna"/>
    <s v="Destino de fruta producida por comuna"/>
    <s v="Periodo 2018-2020"/>
    <s v="Toneladas"/>
    <s v="Oficina de Estudios y Políticas Agrarias (ODEPA)"/>
    <x v="219"/>
    <s v="En la Región de Maule, durante el periodo 2018-2020, se produjeron 201.180 ton de fruta. La mayor cantidad se destinó a Europa, específicamente un 45,5%, seguido de Centro y Norte América con un 33,8%. Por su parte, un 14.9% fue destinado al mercado interno."/>
    <s v="Gráfico "/>
    <s v="Región de Maule fruta producción tonelada europa américa asia continente destino interno externo"/>
    <x v="219"/>
    <s v="100-C-7"/>
    <s v="#1774B9"/>
    <s v="990-0220"/>
    <n v="99200007"/>
    <s v="T-1031"/>
    <s v="C-997"/>
    <s v="FI-991"/>
    <s v="M-1012"/>
  </r>
  <r>
    <x v="220"/>
    <n v="990"/>
    <x v="0"/>
    <x v="5"/>
    <n v="8"/>
    <x v="7"/>
    <x v="5"/>
    <x v="1"/>
    <x v="8"/>
    <s v="Comuna"/>
    <s v="Destino de fruta producida por comuna"/>
    <s v="Periodo 2018-2020"/>
    <s v="Toneladas"/>
    <s v="Oficina de Estudios y Políticas Agrarias (ODEPA)"/>
    <x v="220"/>
    <s v="En la Región de Biobío, durante el periodo 2018-2020, se produjeron 4.504 ton de fruta. La mayor cantidad se destinó a Europa, específicamente un 49,6%, seguido de Asia con un 32,4%. Por su parte, el 18% restante fue destinado al mercado interno."/>
    <s v="Gráfico "/>
    <s v="Región del Biobío fruta producción tonelada europa américa asia continente destino interno externo"/>
    <x v="220"/>
    <s v="100-C-8"/>
    <s v="#1774B9"/>
    <s v="990-0221"/>
    <n v="99200008"/>
    <s v="T-1031"/>
    <s v="C-997"/>
    <s v="FI-991"/>
    <s v="M-1012"/>
  </r>
  <r>
    <x v="221"/>
    <n v="990"/>
    <x v="0"/>
    <x v="5"/>
    <n v="9"/>
    <x v="7"/>
    <x v="5"/>
    <x v="1"/>
    <x v="9"/>
    <s v="Comuna"/>
    <s v="Destino de fruta producida por comuna"/>
    <s v="Periodo 2018-2020"/>
    <s v="Toneladas"/>
    <s v="Oficina de Estudios y Políticas Agrarias (ODEPA)"/>
    <x v="221"/>
    <s v="En la Región de La Araucanía, durante el periodo 2018-2020, se produjeron 9.913 ton de fruta. La mayor cantidad se destinó al mercado interno, específicamente un 87,1%. Por su parte, el 12.9% restante fue destinado a Europa."/>
    <s v="Gráfico "/>
    <s v="Región de La Araucanía fruta producción tonelada europa américa asia continente destino interno externo"/>
    <x v="221"/>
    <s v="100-C-9"/>
    <s v="#1774B9"/>
    <s v="990-0222"/>
    <n v="99200009"/>
    <s v="T-1031"/>
    <s v="C-997"/>
    <s v="FI-991"/>
    <s v="M-1012"/>
  </r>
  <r>
    <x v="222"/>
    <n v="990"/>
    <x v="0"/>
    <x v="5"/>
    <n v="10"/>
    <x v="7"/>
    <x v="5"/>
    <x v="1"/>
    <x v="10"/>
    <s v="Comuna"/>
    <s v="Destino de fruta producida por comuna"/>
    <s v="Periodo 2018-2020"/>
    <s v="Toneladas"/>
    <s v="Oficina de Estudios y Políticas Agrarias (ODEPA)"/>
    <x v="222"/>
    <s v="En la Región de Los Lagos, durante el periodo 2018-2020, se produjeron 4,998 ton de fruta. La mayor cantidad se destinó a Centro y Norte América, específicamente un 95%. Por su parte, el 5% restante fue destinado al mercado interno. "/>
    <s v="Gráfico "/>
    <s v="Región de Los Lagos fruta producción tonelada europa américa asia continente destino interno externo"/>
    <x v="222"/>
    <s v="100-C-10"/>
    <s v="#1774B9"/>
    <s v="990-0223"/>
    <n v="99200010"/>
    <s v="T-1031"/>
    <s v="C-997"/>
    <s v="FI-991"/>
    <s v="M-1012"/>
  </r>
  <r>
    <x v="223"/>
    <n v="990"/>
    <x v="0"/>
    <x v="5"/>
    <n v="13"/>
    <x v="7"/>
    <x v="5"/>
    <x v="1"/>
    <x v="13"/>
    <s v="Comuna"/>
    <s v="Destino de fruta producida por comuna"/>
    <s v="Periodo 2018-2020"/>
    <s v="Toneladas"/>
    <s v="Oficina de Estudios y Políticas Agrarias (ODEPA)"/>
    <x v="223"/>
    <s v="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
    <s v="Gráfico "/>
    <s v="Región Metropolitana fruta producción tonelada europa américa asia continente destino interno externo"/>
    <x v="223"/>
    <s v="200-C-13"/>
    <s v="#1774B9"/>
    <s v="990-0224"/>
    <n v="99200013"/>
    <s v="T-1031"/>
    <s v="C-997"/>
    <s v="FI-991"/>
    <s v="M-1012"/>
  </r>
  <r>
    <x v="224"/>
    <n v="990"/>
    <x v="0"/>
    <x v="5"/>
    <n v="14"/>
    <x v="7"/>
    <x v="5"/>
    <x v="1"/>
    <x v="14"/>
    <s v="Comuna"/>
    <s v="Destino de fruta producida por comuna"/>
    <s v="Periodo 2018-2020"/>
    <s v="Toneladas"/>
    <s v="Oficina de Estudios y Políticas Agrarias (ODEPA)"/>
    <x v="224"/>
    <s v="En la Región de Los Ríos, durante el periodo 2018-2020, se produjeron 24.783 ton de fruta. La mayor cantidad se destinó a Europa, específicamente un 92%. Por su parte, el 8% restante fue destinado al mercado interno."/>
    <s v="Gráfico "/>
    <s v="Región de Los Ríos fruta producción tonelada europa américa asia continente destino interno externo"/>
    <x v="224"/>
    <s v="100-C-14"/>
    <s v="#1774B9"/>
    <s v="990-0225"/>
    <n v="99200014"/>
    <s v="T-1031"/>
    <s v="C-997"/>
    <s v="FI-991"/>
    <s v="M-1012"/>
  </r>
  <r>
    <x v="225"/>
    <n v="990"/>
    <x v="0"/>
    <x v="5"/>
    <n v="15"/>
    <x v="7"/>
    <x v="5"/>
    <x v="1"/>
    <x v="15"/>
    <s v="Comuna"/>
    <s v="Destino de fruta producida por comuna"/>
    <s v="Periodo 2018-2020"/>
    <s v="Toneladas"/>
    <s v="Oficina de Estudios y Políticas Agrarias (ODEPA)"/>
    <x v="225"/>
    <s v="En la Región de Arica y Parinacota, durante el periodo 2018-2020, se produjeron 6,823 ton de fruta, siendo la totalidad de ella destinada al mercado interno."/>
    <s v="Gráfico "/>
    <s v="Región de Arica y Parinacota fruta producción tonelada europa américa asia continente destino interno externo"/>
    <x v="225"/>
    <s v="100-C-15"/>
    <s v="#1774B9"/>
    <s v="990-0226"/>
    <n v="99200015"/>
    <s v="T-1031"/>
    <s v="C-997"/>
    <s v="FI-991"/>
    <s v="M-1012"/>
  </r>
  <r>
    <x v="226"/>
    <n v="990"/>
    <x v="0"/>
    <x v="5"/>
    <n v="16"/>
    <x v="7"/>
    <x v="5"/>
    <x v="1"/>
    <x v="16"/>
    <s v="Comuna"/>
    <s v="Destino de fruta producida por comuna"/>
    <s v="Periodo 2018-2020"/>
    <s v="Toneladas"/>
    <s v="Oficina de Estudios y Políticas Agrarias (ODEPA)"/>
    <x v="226"/>
    <s v="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
    <s v="Gráfico "/>
    <s v="Región de Ñuble fruta producción tonelada europa américa asia continente destino interno externo"/>
    <x v="226"/>
    <s v="100-C-16"/>
    <s v="#1774B9"/>
    <s v="990-0227"/>
    <n v="99200016"/>
    <s v="T-1031"/>
    <s v="C-997"/>
    <s v="FI-991"/>
    <s v="M-1012"/>
  </r>
  <r>
    <x v="227"/>
    <n v="990"/>
    <x v="0"/>
    <x v="5"/>
    <n v="0"/>
    <x v="17"/>
    <x v="5"/>
    <x v="0"/>
    <x v="0"/>
    <s v="Ninguno"/>
    <s v="Superficie plantada por región"/>
    <s v="Periodo 2010-2019"/>
    <s v="Hectáreas"/>
    <s v="Oficina de Estudios y Políticas Agrarias (ODEPA)"/>
    <x v="227"/>
    <s v="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
    <s v="Gráfico de Evolución"/>
    <s v="Chile plantación lechuga hortalizas superficie hectáreas"/>
    <x v="227"/>
    <s v="300-R"/>
    <s v="#1774B9"/>
    <s v="990-0228"/>
    <n v="99100000"/>
    <s v="T-1036"/>
    <s v="C-997"/>
    <s v="FI-993"/>
    <s v="M-1013"/>
  </r>
  <r>
    <x v="228"/>
    <n v="990"/>
    <x v="0"/>
    <x v="5"/>
    <n v="3"/>
    <x v="17"/>
    <x v="5"/>
    <x v="1"/>
    <x v="3"/>
    <s v="Ninguno"/>
    <s v="Superficie plantada por región"/>
    <s v="Periodo 2010-2019"/>
    <s v="Hectáreas"/>
    <s v="Oficina de Estudios y Políticas Agrarias (ODEPA)"/>
    <x v="228"/>
    <s v="En la región de Atacama, durante el periodo 2010-2019, la superficie plantada de lechuga alcanzó su máximo el año 2018, con 52 ha. Por su parte, el mínimo de superficie plantada ocurrió el año 2016, con solo 18 ha plantadas a nivel regional. "/>
    <s v="Gráfico de Evolución"/>
    <s v="Región de Atacama plantación lechuga hortalizas superficie hectáreas"/>
    <x v="228"/>
    <s v="100-R-3"/>
    <s v="#1774B9"/>
    <s v="990-0229"/>
    <n v="99200003"/>
    <s v="T-1036"/>
    <s v="C-997"/>
    <s v="FI-993"/>
    <s v="M-1013"/>
  </r>
  <r>
    <x v="229"/>
    <n v="990"/>
    <x v="0"/>
    <x v="5"/>
    <n v="4"/>
    <x v="17"/>
    <x v="5"/>
    <x v="1"/>
    <x v="4"/>
    <s v="Ninguno"/>
    <s v="Superficie plantada por región"/>
    <s v="Periodo 2010-2019"/>
    <s v="Hectáreas"/>
    <s v="Oficina de Estudios y Políticas Agrarias (ODEPA)"/>
    <x v="229"/>
    <s v="En la región de Coquimbo, durante el periodo 2010-2019, la superficie plantada de lechuga alcanzó su máximo el año 2018, con 2.619 ha. Por su parte, el mínimo de superficie plantada ocurrió el año 2016, con solo 1.415 ha plantadas a nivel regional. "/>
    <s v="Gráfico de Evolución"/>
    <s v="Región de Coquimbo plantación lechuga hortalizas superficie hectáreas"/>
    <x v="229"/>
    <s v="100-R-4"/>
    <s v="#1774B9"/>
    <s v="990-0230"/>
    <n v="99200004"/>
    <s v="T-1036"/>
    <s v="C-997"/>
    <s v="FI-993"/>
    <s v="M-1013"/>
  </r>
  <r>
    <x v="230"/>
    <n v="990"/>
    <x v="0"/>
    <x v="5"/>
    <n v="5"/>
    <x v="17"/>
    <x v="5"/>
    <x v="1"/>
    <x v="5"/>
    <s v="Ninguno"/>
    <s v="Superficie plantada por región"/>
    <s v="Periodo 2010-2019"/>
    <s v="Hectáreas"/>
    <s v="Oficina de Estudios y Políticas Agrarias (ODEPA)"/>
    <x v="230"/>
    <s v="En la región de Valparaíso, durante el periodo 2010-2019, la superficie plantada de lechuga alcanzó su máximo el año 2016, con 1.441 ha. Por su parte, el mínimo de superficie plantada ocurrió el año 2012, con solo 820 ha plantadas a nivel regional. "/>
    <s v="Gráfico de Evolución"/>
    <s v="Región de Valparaíso plantación lechuga hortalizas superficie hectáreas"/>
    <x v="230"/>
    <s v="100-R-5"/>
    <s v="#1774B9"/>
    <s v="990-0231"/>
    <n v="99200005"/>
    <s v="T-1036"/>
    <s v="C-997"/>
    <s v="FI-993"/>
    <s v="M-1013"/>
  </r>
  <r>
    <x v="231"/>
    <n v="990"/>
    <x v="0"/>
    <x v="5"/>
    <n v="6"/>
    <x v="17"/>
    <x v="5"/>
    <x v="1"/>
    <x v="6"/>
    <s v="Ninguno"/>
    <s v="Superficie plantada por región"/>
    <s v="Periodo 2010-2019"/>
    <s v="Hectáreas"/>
    <s v="Oficina de Estudios y Políticas Agrarias (ODEPA)"/>
    <x v="231"/>
    <s v="En la región de O'Higgins, durante el periodo 2010-2019, la superficie plantada de lechuga alcanzó su máximo el año 2018, con 152 ha. Por su parte, el mínimo de superficie plantada ocurrió el año 2015, con solo 83 ha plantadas a nivel regional. "/>
    <s v="Gráfico de Evolución"/>
    <s v="Región de O'Higgins plantación lechuga hortalizas superficie hectáreas"/>
    <x v="231"/>
    <s v="100-R-6"/>
    <s v="#1774B9"/>
    <s v="990-0232"/>
    <n v="99200006"/>
    <s v="T-1036"/>
    <s v="C-997"/>
    <s v="FI-993"/>
    <s v="M-1013"/>
  </r>
  <r>
    <x v="232"/>
    <n v="990"/>
    <x v="0"/>
    <x v="5"/>
    <n v="7"/>
    <x v="17"/>
    <x v="5"/>
    <x v="1"/>
    <x v="7"/>
    <s v="Ninguno"/>
    <s v="Superficie plantada por región"/>
    <s v="Periodo 2010-2019"/>
    <s v="Hectáreas"/>
    <s v="Oficina de Estudios y Políticas Agrarias (ODEPA)"/>
    <x v="232"/>
    <s v="En la región de Maule, durante el periodo 2010-2019, la superficie plantada de lechuga alcanzó su máximo el año 2019, con 600 ha. Por su parte, el mínimo de superficie plantada ocurrió el año 2011, con solo 402 ha plantadas a nivel regional. "/>
    <s v="Gráfico de Evolución"/>
    <s v="Región de Maule plantación lechuga hortalizas superficie hectáreas"/>
    <x v="232"/>
    <s v="100-R-7"/>
    <s v="#1774B9"/>
    <s v="990-0233"/>
    <n v="99200007"/>
    <s v="T-1036"/>
    <s v="C-997"/>
    <s v="FI-993"/>
    <s v="M-1013"/>
  </r>
  <r>
    <x v="233"/>
    <n v="990"/>
    <x v="0"/>
    <x v="5"/>
    <n v="8"/>
    <x v="17"/>
    <x v="5"/>
    <x v="1"/>
    <x v="8"/>
    <s v="Ninguno"/>
    <s v="Superficie plantada por región"/>
    <s v="Periodo 2010-2019"/>
    <s v="Hectáreas"/>
    <s v="Oficina de Estudios y Políticas Agrarias (ODEPA)"/>
    <x v="233"/>
    <s v="En la región del Biobío, durante el periodo 2010-2019, la superficie plantada de lechuga alcanzó su máximo el año 2016, con 202 ha. Por su parte, el mínimo de superficie plantada ocurrió el año 2010, con solo 90 ha plantadas a nivel regional. "/>
    <s v="Gráfico de Evolución"/>
    <s v="Región del Biobío plantación lechuga hortalizas superficie hectáreas"/>
    <x v="233"/>
    <s v="100-R-8"/>
    <s v="#1774B9"/>
    <s v="990-0234"/>
    <n v="99200008"/>
    <s v="T-1036"/>
    <s v="C-997"/>
    <s v="FI-993"/>
    <s v="M-1013"/>
  </r>
  <r>
    <x v="234"/>
    <n v="990"/>
    <x v="0"/>
    <x v="5"/>
    <n v="9"/>
    <x v="17"/>
    <x v="5"/>
    <x v="1"/>
    <x v="9"/>
    <s v="Ninguno"/>
    <s v="Superficie plantada por región"/>
    <s v="Periodo 2010-2019"/>
    <s v="Hectáreas"/>
    <s v="Oficina de Estudios y Políticas Agrarias (ODEPA)"/>
    <x v="234"/>
    <s v="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
    <s v="Gráfico de Evolución"/>
    <s v="Región de La Araucanía plantación lechuga hortalizas superficie hectáreas"/>
    <x v="234"/>
    <s v="100-R-9"/>
    <s v="#1774B9"/>
    <s v="990-0235"/>
    <n v="99200009"/>
    <s v="T-1036"/>
    <s v="C-997"/>
    <s v="FI-993"/>
    <s v="M-1013"/>
  </r>
  <r>
    <x v="235"/>
    <n v="990"/>
    <x v="0"/>
    <x v="5"/>
    <n v="13"/>
    <x v="17"/>
    <x v="5"/>
    <x v="1"/>
    <x v="13"/>
    <s v="Ninguno"/>
    <s v="Superficie plantada por región"/>
    <s v="Periodo 2010-2019"/>
    <s v="Hectáreas"/>
    <s v="Oficina de Estudios y Políticas Agrarias (ODEPA)"/>
    <x v="235"/>
    <s v="En la región Metropolitana, durante el periodo 2010-2019, la superficie plantada de lechuga alcanzó su máximo el año 2010, con 3.364 ha. Por su parte, el mínimo de superficie plantada ocurrió el año 2015, con solo 1.739 ha plantadas a nivel regional. "/>
    <s v="Gráfico de Evolución"/>
    <s v="Región Metropolitana plantación lechuga hortalizas superficie hectáreas"/>
    <x v="235"/>
    <s v="200-R-13"/>
    <s v="#1774B9"/>
    <s v="990-0236"/>
    <n v="99200013"/>
    <s v="T-1036"/>
    <s v="C-997"/>
    <s v="FI-993"/>
    <s v="M-1013"/>
  </r>
  <r>
    <x v="236"/>
    <n v="990"/>
    <x v="0"/>
    <x v="5"/>
    <n v="15"/>
    <x v="17"/>
    <x v="5"/>
    <x v="1"/>
    <x v="15"/>
    <s v="Ninguno"/>
    <s v="Superficie plantada por región"/>
    <s v="Periodo 2010-2019"/>
    <s v="Hectáreas"/>
    <s v="Oficina de Estudios y Políticas Agrarias (ODEPA)"/>
    <x v="236"/>
    <s v="En la región de Arica y Parinacota, durante el periodo 2010-2019, la superficie plantada de lechuga alcanzó su máximo el año 2018, con 101 ha. Por su parte, el mínimo de superficie plantada ocurrió el año 2011, con solo 40 ha plantadas a nivel regional. "/>
    <s v="Gráfico de Evolución"/>
    <s v="Región de Arica y Parinacota plantación lechuga hortalizas superficie hectáreas"/>
    <x v="236"/>
    <s v="100-R-15"/>
    <s v="#1774B9"/>
    <s v="990-0237"/>
    <n v="99200015"/>
    <s v="T-1036"/>
    <s v="C-997"/>
    <s v="FI-993"/>
    <s v="M-1013"/>
  </r>
  <r>
    <x v="237"/>
    <n v="990"/>
    <x v="0"/>
    <x v="5"/>
    <n v="16"/>
    <x v="17"/>
    <x v="5"/>
    <x v="1"/>
    <x v="16"/>
    <s v="Ninguno"/>
    <s v="Superficie plantada por región"/>
    <s v="Periodo 2010-2019"/>
    <s v="Hectáreas"/>
    <s v="Oficina de Estudios y Políticas Agrarias (ODEPA)"/>
    <x v="237"/>
    <s v="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
    <s v="Gráfico de Evolución"/>
    <s v="Región de Ñuble plantación lechuga hortalizas superficie hectáreas"/>
    <x v="237"/>
    <s v="100-R-16"/>
    <s v="#1774B9"/>
    <s v="990-0238"/>
    <n v="99200016"/>
    <s v="T-1036"/>
    <s v="C-997"/>
    <s v="FI-993"/>
    <s v="M-1013"/>
  </r>
  <r>
    <x v="238"/>
    <n v="990"/>
    <x v="0"/>
    <x v="8"/>
    <n v="0"/>
    <x v="18"/>
    <x v="11"/>
    <x v="0"/>
    <x v="0"/>
    <s v="Región"/>
    <s v="Estado de PRDU por región"/>
    <s v="Año 2020"/>
    <s v="Estado"/>
    <s v="Observatorio Urbano - Ministerio de Vivienda y Urbanismo (MINVU)"/>
    <x v="238"/>
    <s v="Según los datos recopilados, sólo 4 de las 16 regiones de Chile poseen un PRDU vigente, las cuales son Arica y Parinacota, Coquimbo, Antofagasta y O'Higgins, siendo Arica y Parinacota la que posee el PRDU más nuevo que data del año 2014."/>
    <s v="Dashboard"/>
    <s v="Chile plan regional desarrollo urbano PRDU MINVU estado vigente inactivo formulación conflicto"/>
    <x v="238"/>
    <n v="0"/>
    <s v="#1774B9"/>
    <s v="990-0239"/>
    <n v="99100000"/>
    <s v="T-1037"/>
    <s v="C-999"/>
    <s v="FI-992"/>
    <s v="M-1014"/>
  </r>
  <r>
    <x v="239"/>
    <n v="990"/>
    <x v="0"/>
    <x v="7"/>
    <n v="0"/>
    <x v="19"/>
    <x v="9"/>
    <x v="0"/>
    <x v="0"/>
    <s v="Comuna"/>
    <s v="Cantidad de espacios culturales por comuna"/>
    <s v="Año 2021"/>
    <s v="Número de espacios culturales"/>
    <s v="Observatorio Cultural"/>
    <x v="239"/>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x v="239"/>
    <s v="300-C"/>
    <s v="#1774B9"/>
    <s v="990-0240"/>
    <n v="99100000"/>
    <s v="T-997"/>
    <s v="C-1008"/>
    <s v="FI-991"/>
    <s v="M-1006"/>
  </r>
  <r>
    <x v="240"/>
    <n v="990"/>
    <x v="0"/>
    <x v="7"/>
    <n v="1"/>
    <x v="19"/>
    <x v="9"/>
    <x v="1"/>
    <x v="1"/>
    <s v="Comuna"/>
    <s v="Cantidad de espacios culturales por comuna"/>
    <s v="Año 2021"/>
    <s v="Número de espacios culturales"/>
    <s v="Observatorio Cultural"/>
    <x v="240"/>
    <s v="La Región de Tarapacá presenta 57 espacios culturales en el año 2021, 25 espacios informan tener acceso para discapacitados y 32 no lo poseen."/>
    <s v="Gráfico"/>
    <s v="Región de Tarapacá espacio cultural acceso discapacitados discapacidad cultura"/>
    <x v="240"/>
    <s v="100-C-1"/>
    <s v="#1774B9"/>
    <s v="990-0241"/>
    <n v="99200001"/>
    <s v="T-997"/>
    <s v="C-1008"/>
    <s v="FI-991"/>
    <s v="M-1006"/>
  </r>
  <r>
    <x v="241"/>
    <n v="990"/>
    <x v="0"/>
    <x v="7"/>
    <n v="2"/>
    <x v="19"/>
    <x v="9"/>
    <x v="1"/>
    <x v="2"/>
    <s v="Comuna"/>
    <s v="Cantidad de espacios culturales por comuna"/>
    <s v="Año 2021"/>
    <s v="Número de espacios culturales"/>
    <s v="Observatorio Cultural"/>
    <x v="241"/>
    <s v="La Región de Antofagasta presenta 62 espacios culturales en el año 2021, 40 espacios informan tener acceso para discapacitados y 21 no lo poseen."/>
    <s v="Gráfico"/>
    <s v="Región de Antofagasta espacio cultural acceso discapacitados discapacidad cultura"/>
    <x v="241"/>
    <s v="100-C-2"/>
    <s v="#1774B9"/>
    <s v="990-0242"/>
    <n v="99200002"/>
    <s v="T-997"/>
    <s v="C-1008"/>
    <s v="FI-991"/>
    <s v="M-1006"/>
  </r>
  <r>
    <x v="242"/>
    <n v="990"/>
    <x v="0"/>
    <x v="7"/>
    <n v="3"/>
    <x v="19"/>
    <x v="9"/>
    <x v="1"/>
    <x v="3"/>
    <s v="Comuna"/>
    <s v="Cantidad de espacios culturales por comuna"/>
    <s v="Año 2021"/>
    <s v="Número de espacios culturales"/>
    <s v="Observatorio Cultural"/>
    <x v="242"/>
    <s v="La Región de Atacama presenta 51 espacios culturales en el año 2021, 33 espacios informan tener acceso para discapacitados y 16 no lo poseen."/>
    <s v="Gráfico"/>
    <s v="Región de Atacama espacio cultural acceso discapacitados discapacidad cultura"/>
    <x v="242"/>
    <s v="100-C-3"/>
    <s v="#1774B9"/>
    <s v="990-0243"/>
    <n v="99200003"/>
    <s v="T-997"/>
    <s v="C-1008"/>
    <s v="FI-991"/>
    <s v="M-1006"/>
  </r>
  <r>
    <x v="243"/>
    <n v="990"/>
    <x v="0"/>
    <x v="7"/>
    <n v="4"/>
    <x v="19"/>
    <x v="9"/>
    <x v="1"/>
    <x v="4"/>
    <s v="Comuna"/>
    <s v="Cantidad de espacios culturales por comuna"/>
    <s v="Año 2021"/>
    <s v="Número de espacios culturales"/>
    <s v="Observatorio Cultural"/>
    <x v="243"/>
    <s v="La Región de Coquimbo presenta 120 espacios culturales en el año 2021, 79 espacios informan tener acceso para discapacitados y 35 no lo poseen."/>
    <s v="Gráfico"/>
    <s v="Región de Coquimbo espacio cultural acceso discapacitados discapacidad cultura"/>
    <x v="243"/>
    <s v="100-C-4"/>
    <s v="#1774B9"/>
    <s v="990-0244"/>
    <n v="99200004"/>
    <s v="T-997"/>
    <s v="C-1008"/>
    <s v="FI-991"/>
    <s v="M-1006"/>
  </r>
  <r>
    <x v="244"/>
    <n v="990"/>
    <x v="0"/>
    <x v="7"/>
    <n v="5"/>
    <x v="19"/>
    <x v="9"/>
    <x v="1"/>
    <x v="5"/>
    <s v="Comuna"/>
    <s v="Cantidad de espacios culturales por comuna"/>
    <s v="Año 2021"/>
    <s v="Número de espacios culturales"/>
    <s v="Observatorio Cultural"/>
    <x v="244"/>
    <s v="La Región de Valparaíso cuenta con 324 espacios culturales en el año 2021, 143 espacios informan tener acceso para discapacitados y 133 no los poseen."/>
    <s v="Gráfico"/>
    <s v="Región de Valparaíso espacio cultural acceso discapacitados discapacidad cultura"/>
    <x v="244"/>
    <s v="100-C-5"/>
    <s v="#1774B9"/>
    <s v="990-0245"/>
    <n v="99200005"/>
    <s v="T-997"/>
    <s v="C-1008"/>
    <s v="FI-991"/>
    <s v="M-1006"/>
  </r>
  <r>
    <x v="245"/>
    <n v="990"/>
    <x v="0"/>
    <x v="7"/>
    <n v="6"/>
    <x v="19"/>
    <x v="9"/>
    <x v="1"/>
    <x v="6"/>
    <s v="Comuna"/>
    <s v="Cantidad de espacios culturales por comuna"/>
    <s v="Año 2021"/>
    <s v="Número de espacios culturales"/>
    <s v="Observatorio Cultural"/>
    <x v="245"/>
    <s v="La Región de O'Higgins cuenta con 206 espacios culturales de los cuales 116 tienen acceso para discapacitados y 51 no lo tienen, mientras que 39 de ellos no presentan información."/>
    <s v="Gráfico"/>
    <s v="Región de O'Higgins espacio cultural acceso discapacitados discapacidad cultura"/>
    <x v="245"/>
    <s v="100-C-6"/>
    <s v="#1774B9"/>
    <s v="990-0246"/>
    <n v="99200006"/>
    <s v="T-997"/>
    <s v="C-1008"/>
    <s v="FI-991"/>
    <s v="M-1006"/>
  </r>
  <r>
    <x v="246"/>
    <n v="990"/>
    <x v="0"/>
    <x v="7"/>
    <n v="7"/>
    <x v="19"/>
    <x v="9"/>
    <x v="1"/>
    <x v="7"/>
    <s v="Comuna"/>
    <s v="Cantidad de espacios culturales por comuna"/>
    <s v="Año 2021"/>
    <s v="Número de espacios culturales"/>
    <s v="Observatorio Cultural"/>
    <x v="246"/>
    <s v="La Región de Maule cuenta con 84 espacios culturales con acceso para discapacitados del total de espacios de la región. La comuna de Talca tiene 35 espacios culturales en total y de ellos sólo 17 presentan acceso para discapacitados."/>
    <s v="Gráfico"/>
    <s v="Región de Maule espacio cultural acceso discapacitados discapacidad cultura"/>
    <x v="246"/>
    <s v="100-C-7"/>
    <s v="#1774B9"/>
    <s v="990-0247"/>
    <n v="99200007"/>
    <s v="T-997"/>
    <s v="C-1008"/>
    <s v="FI-991"/>
    <s v="M-1006"/>
  </r>
  <r>
    <x v="247"/>
    <n v="990"/>
    <x v="0"/>
    <x v="7"/>
    <n v="8"/>
    <x v="19"/>
    <x v="9"/>
    <x v="1"/>
    <x v="8"/>
    <s v="Comuna"/>
    <s v="Cantidad de espacios culturales por comuna"/>
    <s v="Año 2021"/>
    <s v="Número de espacios culturales"/>
    <s v="Observatorio Cultural"/>
    <x v="247"/>
    <s v="En la Región de Biobío se pueden encontrar 77 espacios culturales con acceso para discapacitados, de los cuales 19 se encuentran en la comuna de Concepción."/>
    <s v="Gráfico"/>
    <s v="Región del Biobío espacio cultural acceso discapacitados discapacidad cultura"/>
    <x v="247"/>
    <s v="100-C-8"/>
    <s v="#1774B9"/>
    <s v="990-0248"/>
    <n v="99200008"/>
    <s v="T-997"/>
    <s v="C-1008"/>
    <s v="FI-991"/>
    <s v="M-1006"/>
  </r>
  <r>
    <x v="248"/>
    <n v="990"/>
    <x v="0"/>
    <x v="7"/>
    <n v="9"/>
    <x v="19"/>
    <x v="9"/>
    <x v="1"/>
    <x v="9"/>
    <s v="Comuna"/>
    <s v="Cantidad de espacios culturales por comuna"/>
    <s v="Año 2021"/>
    <s v="Número de espacios culturales"/>
    <s v="Observatorio Cultural"/>
    <x v="248"/>
    <s v="En la Región de La Araucanía se pueden encontrar 66 espacios culturales con acceso para discapacitados, de los cuales 14 se encuentran en la comuna de Temuco."/>
    <s v="Gráfico"/>
    <s v="Región de La Araucanía espacio cultural acceso discapacitados discapacidad cultura"/>
    <x v="248"/>
    <s v="100-C-9"/>
    <s v="#1774B9"/>
    <s v="990-0249"/>
    <n v="99200009"/>
    <s v="T-997"/>
    <s v="C-1008"/>
    <s v="FI-991"/>
    <s v="M-1006"/>
  </r>
  <r>
    <x v="249"/>
    <n v="990"/>
    <x v="0"/>
    <x v="7"/>
    <n v="10"/>
    <x v="19"/>
    <x v="9"/>
    <x v="1"/>
    <x v="10"/>
    <s v="Comuna"/>
    <s v="Cantidad de espacios culturales por comuna"/>
    <s v="Año 2021"/>
    <s v="Número de espacios culturales"/>
    <s v="Observatorio Cultural"/>
    <x v="249"/>
    <s v="La Región de Los Lagos cuenta con 153 espacios culturales, de los cuales 84 tienen acceso para discapacitados y 48 no lo tienen"/>
    <s v="Gráfico"/>
    <s v="Región de Los Lagos espacio cultural acceso discapacitados discapacidad cultura"/>
    <x v="249"/>
    <s v="100-C-10"/>
    <s v="#1774B9"/>
    <s v="990-0250"/>
    <n v="99200010"/>
    <s v="T-997"/>
    <s v="C-1008"/>
    <s v="FI-991"/>
    <s v="M-1006"/>
  </r>
  <r>
    <x v="250"/>
    <n v="990"/>
    <x v="0"/>
    <x v="7"/>
    <n v="11"/>
    <x v="19"/>
    <x v="9"/>
    <x v="1"/>
    <x v="11"/>
    <s v="Comuna"/>
    <s v="Cantidad de espacios culturales por comuna"/>
    <s v="Año 2021"/>
    <s v="Número de espacios culturales"/>
    <s v="Observatorio Cultural"/>
    <x v="250"/>
    <s v="La Región de Aysén cuenta con 83 espacios culturales de ellos 45 cuentan con acceso para discapacitados, la comuna de Coyhaique cuenta con 12 espacios con dicho acceso."/>
    <s v="Gráfico"/>
    <s v="Región de Aysén espacio cultural acceso discapacitados discapacidad cultura"/>
    <x v="250"/>
    <s v="100-C-11"/>
    <s v="#1774B9"/>
    <s v="990-0251"/>
    <n v="99200011"/>
    <s v="T-997"/>
    <s v="C-1008"/>
    <s v="FI-991"/>
    <s v="M-1006"/>
  </r>
  <r>
    <x v="251"/>
    <n v="990"/>
    <x v="0"/>
    <x v="7"/>
    <n v="12"/>
    <x v="19"/>
    <x v="9"/>
    <x v="1"/>
    <x v="12"/>
    <s v="Comuna"/>
    <s v="Cantidad de espacios culturales por comuna"/>
    <s v="Año 2021"/>
    <s v="Número de espacios culturales"/>
    <s v="Observatorio Cultural"/>
    <x v="251"/>
    <s v="En la Región de Magallanes existen 63 espacios culturales en total, de ellos 45 presenta acceso para discapacitados, encontrando 16 de ellos en la comuna de Punta Arenas."/>
    <s v="Gráfico"/>
    <s v="Región de Magallanes espacio cultural acceso discapacitados discapacidad cultura"/>
    <x v="251"/>
    <s v="100-C-12"/>
    <s v="#1774B9"/>
    <s v="990-0252"/>
    <n v="99200012"/>
    <s v="T-997"/>
    <s v="C-1008"/>
    <s v="FI-991"/>
    <s v="M-1006"/>
  </r>
  <r>
    <x v="252"/>
    <n v="990"/>
    <x v="0"/>
    <x v="7"/>
    <n v="13"/>
    <x v="19"/>
    <x v="9"/>
    <x v="1"/>
    <x v="13"/>
    <s v="Comuna"/>
    <s v="Cantidad de espacios culturales por comuna"/>
    <s v="Año 2021"/>
    <s v="Número de espacios culturales"/>
    <s v="Observatorio Cultural"/>
    <x v="252"/>
    <s v="La región Metropolitana es la que posee más espacios culturales con acceso para discapacitados, con 250 espacios de 397 que tiene en total la región, destacando las comunas de Santiago, Providencia y Las Condes."/>
    <s v="Gráfico"/>
    <s v="Región Metropolitana espacio cultural acceso discapacitados discapacidad cultura"/>
    <x v="252"/>
    <s v="200-C-13"/>
    <s v="#1774B9"/>
    <s v="990-0253"/>
    <n v="99200013"/>
    <s v="T-997"/>
    <s v="C-1008"/>
    <s v="FI-991"/>
    <s v="M-1006"/>
  </r>
  <r>
    <x v="253"/>
    <n v="990"/>
    <x v="0"/>
    <x v="7"/>
    <n v="14"/>
    <x v="19"/>
    <x v="9"/>
    <x v="1"/>
    <x v="14"/>
    <s v="Comuna"/>
    <s v="Cantidad de espacios culturales por comuna"/>
    <s v="Año 2021"/>
    <s v="Número de espacios culturales"/>
    <s v="Observatorio Cultural"/>
    <x v="253"/>
    <s v="La Región de Los Ríos cuenta con 77 espacios culturales, de los cuales 27 tienen acceso para discapacitados y 15 no lo tienen"/>
    <s v="Gráfico"/>
    <s v="Región de Los Ríos espacio cultural acceso discapacitados discapacidad cultura"/>
    <x v="253"/>
    <s v="100-C-14"/>
    <s v="#1774B9"/>
    <s v="990-0254"/>
    <n v="99200014"/>
    <s v="T-997"/>
    <s v="C-1008"/>
    <s v="FI-991"/>
    <s v="M-1006"/>
  </r>
  <r>
    <x v="254"/>
    <n v="990"/>
    <x v="0"/>
    <x v="7"/>
    <n v="15"/>
    <x v="19"/>
    <x v="9"/>
    <x v="1"/>
    <x v="15"/>
    <s v="Comuna"/>
    <s v="Cantidad de espacios culturales por comuna"/>
    <s v="Año 2021"/>
    <s v="Número de espacios culturales"/>
    <s v="Observatorio Cultural"/>
    <x v="254"/>
    <s v="La Región de Arica y Parinacota cuenta con 34 espacios culturales de los cuales 22 cuentan con acceso para discapacitados, estando 21 de ellos en la comuna de Arica."/>
    <s v="Gráfico"/>
    <s v="Región de Arica y Parinacota espacio cultural acceso discapacitados discapacidad cultura"/>
    <x v="254"/>
    <s v="100-C-15"/>
    <s v="#1774B9"/>
    <s v="990-0255"/>
    <n v="99200015"/>
    <s v="T-997"/>
    <s v="C-1008"/>
    <s v="FI-991"/>
    <s v="M-1006"/>
  </r>
  <r>
    <x v="255"/>
    <n v="990"/>
    <x v="0"/>
    <x v="7"/>
    <n v="16"/>
    <x v="19"/>
    <x v="9"/>
    <x v="1"/>
    <x v="16"/>
    <s v="Comuna"/>
    <s v="Cantidad de espacios culturales por comuna"/>
    <s v="Año 2021"/>
    <s v="Número de espacios culturales"/>
    <s v="Observatorio Cultural"/>
    <x v="255"/>
    <s v="La Región de Ñuble cuenta con 45 espacios culturales con acceso para discapacitados del total de espacios de la región, 10 de ellos se encuentran en la comuna de Chillán."/>
    <s v="Gráfico"/>
    <s v="Región de Ñuble espacio cultural acceso discapacitados discapacidad cultura"/>
    <x v="255"/>
    <s v="100-C-16"/>
    <s v="#1774B9"/>
    <s v="990-0256"/>
    <n v="99200016"/>
    <s v="T-997"/>
    <s v="C-1008"/>
    <s v="FI-991"/>
    <s v="M-1006"/>
  </r>
  <r>
    <x v="256"/>
    <n v="990"/>
    <x v="0"/>
    <x v="9"/>
    <n v="0"/>
    <x v="20"/>
    <x v="12"/>
    <x v="0"/>
    <x v="0"/>
    <s v="Región"/>
    <s v="Ventas anuales por rubro por región"/>
    <s v="Año 2019"/>
    <s v="UF"/>
    <s v="Servicio de Impuestos Internos (SII)"/>
    <x v="256"/>
    <s v="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
    <s v="Gráfico"/>
    <s v="Chile empresas ventas estimadas rubro sector economía"/>
    <x v="256"/>
    <s v="300-R"/>
    <s v="#1774B9"/>
    <s v="990-0257"/>
    <n v="99100000"/>
    <s v="T-1038"/>
    <s v="C-993"/>
    <s v="FI-992"/>
    <s v="M-1015"/>
  </r>
  <r>
    <x v="257"/>
    <n v="990"/>
    <x v="0"/>
    <x v="9"/>
    <n v="1"/>
    <x v="20"/>
    <x v="12"/>
    <x v="1"/>
    <x v="1"/>
    <s v="Ninguno"/>
    <s v="Ventas anuales por rubro por región"/>
    <s v="Año 2019"/>
    <s v="UF"/>
    <s v="Servicio de Impuestos Internos (SII)"/>
    <x v="257"/>
    <s v="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
    <s v="Gráfico"/>
    <s v="Región de Tarapacá empresas ventas estimadas rubro sector economía"/>
    <x v="257"/>
    <s v="100-R-1"/>
    <s v="#1774B9"/>
    <s v="990-0258"/>
    <n v="99200001"/>
    <s v="T-1038"/>
    <s v="C-993"/>
    <s v="FI-993"/>
    <s v="M-1015"/>
  </r>
  <r>
    <x v="258"/>
    <n v="990"/>
    <x v="0"/>
    <x v="9"/>
    <n v="2"/>
    <x v="20"/>
    <x v="12"/>
    <x v="1"/>
    <x v="2"/>
    <s v="Ninguno"/>
    <s v="Ventas anuales por rubro por región"/>
    <s v="Año 2019"/>
    <s v="UF"/>
    <s v="Servicio de Impuestos Internos (SII)"/>
    <x v="258"/>
    <s v="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Antofagasta empresas ventas estimadas rubro sector economía"/>
    <x v="258"/>
    <s v="100-R-2"/>
    <s v="#1774B9"/>
    <s v="990-0259"/>
    <n v="99200002"/>
    <s v="T-1038"/>
    <s v="C-993"/>
    <s v="FI-993"/>
    <s v="M-1015"/>
  </r>
  <r>
    <x v="259"/>
    <n v="990"/>
    <x v="0"/>
    <x v="9"/>
    <n v="3"/>
    <x v="20"/>
    <x v="12"/>
    <x v="1"/>
    <x v="3"/>
    <s v="Ninguno"/>
    <s v="Ventas anuales por rubro por región"/>
    <s v="Año 2019"/>
    <s v="UF"/>
    <s v="Servicio de Impuestos Internos (SII)"/>
    <x v="259"/>
    <s v="El rubro económico que cuenta con el mayor porcentaje de ventas anuales en UF es el B - explotación de minas y canteras, con un 24% de las ventas totales en la Región de Atacama."/>
    <s v="Gráfico"/>
    <s v="Región de Atacama empresas ventas estimadas rubro sector economía"/>
    <x v="259"/>
    <s v="100-R-3"/>
    <s v="#1774B9"/>
    <s v="990-0260"/>
    <n v="99200003"/>
    <s v="T-1038"/>
    <s v="C-993"/>
    <s v="FI-993"/>
    <s v="M-1015"/>
  </r>
  <r>
    <x v="260"/>
    <n v="990"/>
    <x v="0"/>
    <x v="9"/>
    <n v="4"/>
    <x v="20"/>
    <x v="12"/>
    <x v="1"/>
    <x v="4"/>
    <s v="Ninguno"/>
    <s v="Ventas anuales por rubro por región"/>
    <s v="Año 2019"/>
    <s v="UF"/>
    <s v="Servicio de Impuestos Internos (SII)"/>
    <x v="260"/>
    <s v="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Coquimbo empresas ventas estimadas rubro sector economía"/>
    <x v="260"/>
    <s v="100-R-4"/>
    <s v="#1774B9"/>
    <s v="990-0261"/>
    <n v="99200004"/>
    <s v="T-1038"/>
    <s v="C-993"/>
    <s v="FI-993"/>
    <s v="M-1015"/>
  </r>
  <r>
    <x v="261"/>
    <n v="990"/>
    <x v="0"/>
    <x v="9"/>
    <n v="5"/>
    <x v="20"/>
    <x v="12"/>
    <x v="1"/>
    <x v="5"/>
    <s v="Ninguno"/>
    <s v="Ventas anuales por rubro por región"/>
    <s v="Año 2019"/>
    <s v="UF"/>
    <s v="Servicio de Impuestos Internos (SII)"/>
    <x v="261"/>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x v="261"/>
    <s v="100-R-5"/>
    <s v="#1774B9"/>
    <s v="990-0262"/>
    <n v="99200005"/>
    <s v="T-1038"/>
    <s v="C-993"/>
    <s v="FI-993"/>
    <s v="M-1015"/>
  </r>
  <r>
    <x v="262"/>
    <n v="990"/>
    <x v="0"/>
    <x v="9"/>
    <n v="6"/>
    <x v="20"/>
    <x v="12"/>
    <x v="1"/>
    <x v="6"/>
    <s v="Ninguno"/>
    <s v="Ventas anuales por rubro por región"/>
    <s v="Año 2019"/>
    <s v="UF"/>
    <s v="Servicio de Impuestos Internos (SII)"/>
    <x v="262"/>
    <s v="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
    <s v="Gráfico"/>
    <s v="Región de O'Higgins empresas ventas estimadas rubro sector economía"/>
    <x v="262"/>
    <s v="100-R-6"/>
    <s v="#1774B9"/>
    <s v="990-0263"/>
    <n v="99200006"/>
    <s v="T-1038"/>
    <s v="C-993"/>
    <s v="FI-993"/>
    <s v="M-1015"/>
  </r>
  <r>
    <x v="263"/>
    <n v="990"/>
    <x v="0"/>
    <x v="9"/>
    <n v="7"/>
    <x v="20"/>
    <x v="12"/>
    <x v="1"/>
    <x v="7"/>
    <s v="Ninguno"/>
    <s v="Ventas anuales por rubro por región"/>
    <s v="Año 2019"/>
    <s v="UF"/>
    <s v="Servicio de Impuestos Internos (SII)"/>
    <x v="263"/>
    <s v="El rubro económico que cuenta con el mayor porcentaje de ventas anuales en UF es el G - Comercio al por mayor y al menor; reparación de vehículos automotores y motocicletas, con un 28% de las ventas totales en la Región de Maule."/>
    <s v="Gráfico"/>
    <s v="Región de Maule empresas ventas estimadas rubro sector economía"/>
    <x v="263"/>
    <s v="100-R-7"/>
    <s v="#1774B9"/>
    <s v="990-0264"/>
    <n v="99200007"/>
    <s v="T-1038"/>
    <s v="C-993"/>
    <s v="FI-993"/>
    <s v="M-1015"/>
  </r>
  <r>
    <x v="264"/>
    <n v="990"/>
    <x v="0"/>
    <x v="9"/>
    <n v="8"/>
    <x v="20"/>
    <x v="12"/>
    <x v="1"/>
    <x v="8"/>
    <s v="Ninguno"/>
    <s v="Ventas anuales por rubro por región"/>
    <s v="Año 2019"/>
    <s v="UF"/>
    <s v="Servicio de Impuestos Internos (SII)"/>
    <x v="264"/>
    <s v="En la región del Biobío, el rubro económico con mayor cantidad de ventas anuales en UF en el año 2019 es G - Comercio al por mayor y al menor; reparación de vehículos automotores y motocicletas, con un 28% del total regional, seguido por C - Industria manufacturera con un 22%."/>
    <s v="Gráfico"/>
    <s v="Región del Biobío empresas ventas estimadas rubro sector economía"/>
    <x v="264"/>
    <s v="100-R-8"/>
    <s v="#1774B9"/>
    <s v="990-0265"/>
    <n v="99200008"/>
    <s v="T-1038"/>
    <s v="C-993"/>
    <s v="FI-993"/>
    <s v="M-1015"/>
  </r>
  <r>
    <x v="265"/>
    <n v="990"/>
    <x v="0"/>
    <x v="9"/>
    <n v="9"/>
    <x v="20"/>
    <x v="12"/>
    <x v="1"/>
    <x v="9"/>
    <s v="Ninguno"/>
    <s v="Ventas anuales por rubro por región"/>
    <s v="Año 2019"/>
    <s v="UF"/>
    <s v="Servicio de Impuestos Internos (SII)"/>
    <x v="265"/>
    <s v="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
    <s v="Gráfico"/>
    <s v="Región de La Araucanía empresas ventas estimadas rubro sector economía"/>
    <x v="265"/>
    <s v="100-R-9"/>
    <s v="#1774B9"/>
    <s v="990-0266"/>
    <n v="99200009"/>
    <s v="T-1038"/>
    <s v="C-993"/>
    <s v="FI-993"/>
    <s v="M-1015"/>
  </r>
  <r>
    <x v="266"/>
    <n v="990"/>
    <x v="0"/>
    <x v="9"/>
    <n v="10"/>
    <x v="20"/>
    <x v="12"/>
    <x v="1"/>
    <x v="10"/>
    <s v="Ninguno"/>
    <s v="Ventas anuales por rubro por región"/>
    <s v="Año 2019"/>
    <s v="UF"/>
    <s v="Servicio de Impuestos Internos (SII)"/>
    <x v="266"/>
    <s v="El rubro económico que cuenta con el mayor porcentaje de ventas anuales en UF es el A - Agricultura, ganadería, silvicultura y pesca, con un 47% de las ventas totales en la Región de Los Lagos."/>
    <s v="Gráfico"/>
    <s v="Región de Los Lagos empresas ventas estimadas rubro sector economía"/>
    <x v="266"/>
    <s v="100-R-10"/>
    <s v="#1774B9"/>
    <s v="990-0267"/>
    <n v="99200010"/>
    <s v="T-1038"/>
    <s v="C-993"/>
    <s v="FI-993"/>
    <s v="M-1015"/>
  </r>
  <r>
    <x v="267"/>
    <n v="990"/>
    <x v="0"/>
    <x v="9"/>
    <n v="11"/>
    <x v="20"/>
    <x v="12"/>
    <x v="1"/>
    <x v="11"/>
    <s v="Ninguno"/>
    <s v="Ventas anuales por rubro por región"/>
    <s v="Año 2019"/>
    <s v="UF"/>
    <s v="Servicio de Impuestos Internos (SII)"/>
    <x v="267"/>
    <s v="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
    <s v="Gráfico"/>
    <s v="Región de Aysén empresas ventas estimadas rubro sector economía"/>
    <x v="267"/>
    <s v="100-R-11"/>
    <s v="#1774B9"/>
    <s v="990-0268"/>
    <n v="99200011"/>
    <s v="T-1038"/>
    <s v="C-993"/>
    <s v="FI-993"/>
    <s v="M-1015"/>
  </r>
  <r>
    <x v="268"/>
    <n v="990"/>
    <x v="0"/>
    <x v="9"/>
    <n v="12"/>
    <x v="20"/>
    <x v="12"/>
    <x v="1"/>
    <x v="12"/>
    <s v="Ninguno"/>
    <s v="Ventas anuales por rubro por región"/>
    <s v="Año 2019"/>
    <s v="UF"/>
    <s v="Servicio de Impuestos Internos (SII)"/>
    <x v="268"/>
    <s v="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
    <s v="Gráfico"/>
    <s v="Región de Magallanes empresas ventas estimadas rubro sector economía"/>
    <x v="268"/>
    <s v="100-R-12"/>
    <s v="#1774B9"/>
    <s v="990-0269"/>
    <n v="99200012"/>
    <s v="T-1038"/>
    <s v="C-993"/>
    <s v="FI-993"/>
    <s v="M-1015"/>
  </r>
  <r>
    <x v="269"/>
    <n v="990"/>
    <x v="0"/>
    <x v="9"/>
    <n v="13"/>
    <x v="20"/>
    <x v="12"/>
    <x v="1"/>
    <x v="13"/>
    <s v="Ninguno"/>
    <s v="Ventas anuales por rubro por región"/>
    <s v="Año 2019"/>
    <s v="UF"/>
    <s v="Servicio de Impuestos Internos (SII)"/>
    <x v="269"/>
    <s v="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
    <s v="Gráfico"/>
    <s v="Región Metropolitana empresas ventas estimadas rubro sector economía"/>
    <x v="269"/>
    <s v="200-R-13"/>
    <s v="#1774B9"/>
    <s v="990-0270"/>
    <n v="99200013"/>
    <s v="T-1038"/>
    <s v="C-993"/>
    <s v="FI-993"/>
    <s v="M-1015"/>
  </r>
  <r>
    <x v="270"/>
    <n v="990"/>
    <x v="0"/>
    <x v="9"/>
    <n v="14"/>
    <x v="20"/>
    <x v="12"/>
    <x v="1"/>
    <x v="14"/>
    <s v="Ninguno"/>
    <s v="Ventas anuales por rubro por región"/>
    <s v="Año 2019"/>
    <s v="UF"/>
    <s v="Servicio de Impuestos Internos (SII)"/>
    <x v="270"/>
    <s v="El rubro económico que cuenta con el mayor porcentaje de ventas anuales en UF es el A - Agricultura, ganadería, silvicultura y pesca, con un 24% de las ventas totales en la Región de Los Ríos."/>
    <s v="Gráfico"/>
    <s v="Región de Los Ríos empresas ventas estimadas rubro sector economía"/>
    <x v="270"/>
    <s v="100-R-14"/>
    <s v="#1774B9"/>
    <s v="990-0271"/>
    <n v="99200014"/>
    <s v="T-1038"/>
    <s v="C-993"/>
    <s v="FI-993"/>
    <s v="M-1015"/>
  </r>
  <r>
    <x v="271"/>
    <n v="990"/>
    <x v="0"/>
    <x v="9"/>
    <n v="15"/>
    <x v="20"/>
    <x v="12"/>
    <x v="1"/>
    <x v="15"/>
    <s v="Ninguno"/>
    <s v="Ventas anuales por rubro por región"/>
    <s v="Año 2019"/>
    <s v="UF"/>
    <s v="Servicio de Impuestos Internos (SII)"/>
    <x v="271"/>
    <s v="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
    <s v="Gráfico"/>
    <s v="Región de Arica y Parinacota empresas ventas estimadas rubro sector economía"/>
    <x v="271"/>
    <s v="100-R-15"/>
    <s v="#1774B9"/>
    <s v="990-0272"/>
    <n v="99200015"/>
    <s v="T-1038"/>
    <s v="C-993"/>
    <s v="FI-993"/>
    <s v="M-1015"/>
  </r>
  <r>
    <x v="272"/>
    <n v="990"/>
    <x v="0"/>
    <x v="9"/>
    <n v="16"/>
    <x v="20"/>
    <x v="12"/>
    <x v="1"/>
    <x v="16"/>
    <s v="Ninguno"/>
    <s v="Ventas anuales por rubro por región"/>
    <s v="Año 2019"/>
    <s v="UF"/>
    <s v="Servicio de Impuestos Internos (SII)"/>
    <x v="272"/>
    <s v="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
    <s v="Gráfico"/>
    <s v="Región de Ñuble empresas ventas estimadas rubro sector economía"/>
    <x v="272"/>
    <s v="100-R-16"/>
    <s v="#1774B9"/>
    <s v="990-0273"/>
    <n v="99200016"/>
    <s v="T-1038"/>
    <s v="C-993"/>
    <s v="FI-993"/>
    <s v="M-1015"/>
  </r>
  <r>
    <x v="273"/>
    <n v="990"/>
    <x v="0"/>
    <x v="2"/>
    <n v="0"/>
    <x v="21"/>
    <x v="2"/>
    <x v="0"/>
    <x v="0"/>
    <s v="Ninguno"/>
    <s v="Cantidad de Centros de la Mujer por región"/>
    <s v="Año 2021"/>
    <s v="Número de Centros de la Mujer"/>
    <s v="Servicio Nacional de la Mujer y Equidad de Género (SERNAMEG)"/>
    <x v="273"/>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x v="273"/>
    <n v="0"/>
    <s v="#1774B9"/>
    <s v="990-0274"/>
    <n v="99100000"/>
    <s v="T-1039"/>
    <s v="C-996"/>
    <s v="FI-993"/>
    <s v="M-1016"/>
  </r>
  <r>
    <x v="274"/>
    <n v="990"/>
    <x v="0"/>
    <x v="2"/>
    <n v="0"/>
    <x v="21"/>
    <x v="2"/>
    <x v="0"/>
    <x v="0"/>
    <s v="Ninguno"/>
    <s v="Cantidad de ingresos efectivos de mujeres en Chile"/>
    <s v="Periodo 2014-2019"/>
    <s v="Número de Mujeres"/>
    <s v="Servicio Nacional de la Mujer y Equidad de Género (SERNAMEG)"/>
    <x v="274"/>
    <s v="La cantidad de mujeres ingresadas a Centros de la Mujer disminuyen a partir del año 2014. El año 2018 se registra la menor disminución, con una variación de -11% en relación al año anterior, que equivale al ingreso de 17.059 mujeres."/>
    <s v="Gráfico de Evolución"/>
    <s v="Chile centros mujer violencia género mujeres ingresos cantidad"/>
    <x v="274"/>
    <n v="0"/>
    <s v="#1774B9"/>
    <s v="990-0275"/>
    <n v="99100000"/>
    <s v="T-1039"/>
    <s v="C-996"/>
    <s v="FI-993"/>
    <s v="M-1017"/>
  </r>
  <r>
    <x v="275"/>
    <n v="990"/>
    <x v="0"/>
    <x v="2"/>
    <n v="0"/>
    <x v="21"/>
    <x v="2"/>
    <x v="0"/>
    <x v="0"/>
    <s v="Ninguno"/>
    <s v="Cantidad de salidas en Chile"/>
    <s v="Periodo 2014-2019"/>
    <s v="Número de salidas"/>
    <s v="Servicio Nacional de la Mujer y Equidad de Género (SERNAMEG)"/>
    <x v="275"/>
    <s v="La cantidad de salidas desde Casas de Acogida disminuyen a partir del año 2015. El año 2018 se registra la menor disminución, con una variación de -18,1% en relación al año anterior."/>
    <s v="Gráfico de Evolución"/>
    <s v="Chile casas acogida violencia género mujeres salidas establecimientos"/>
    <x v="275"/>
    <n v="0"/>
    <s v="#1774B9"/>
    <s v="990-0276"/>
    <n v="99100000"/>
    <s v="T-1039"/>
    <s v="C-996"/>
    <s v="FI-993"/>
    <s v="M-1018"/>
  </r>
  <r>
    <x v="276"/>
    <n v="990"/>
    <x v="0"/>
    <x v="2"/>
    <n v="0"/>
    <x v="21"/>
    <x v="2"/>
    <x v="0"/>
    <x v="0"/>
    <s v="Ninguno"/>
    <s v="Proporción de salidas en Chile"/>
    <s v="Periodo 2014-2019"/>
    <s v="Número de salidas"/>
    <s v="Servicio Nacional de la Mujer y Equidad de Género (SERNAMEG)"/>
    <x v="276"/>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x v="276"/>
    <n v="0"/>
    <s v="#1774B9"/>
    <s v="990-0277"/>
    <n v="99100000"/>
    <s v="T-1039"/>
    <s v="C-996"/>
    <s v="FI-993"/>
    <s v="M-1019"/>
  </r>
  <r>
    <x v="277"/>
    <n v="990"/>
    <x v="0"/>
    <x v="5"/>
    <n v="0"/>
    <x v="7"/>
    <x v="5"/>
    <x v="0"/>
    <x v="0"/>
    <s v="Región"/>
    <s v="Valor de exportaciones por región"/>
    <s v="Periodo 2012-2020"/>
    <s v="USD"/>
    <s v="Servicio Nacional de Aduanas"/>
    <x v="277"/>
    <s v="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
    <s v="Gráfico de Evolución"/>
    <s v="Chile valor exportaciones dólar frutas región origen"/>
    <x v="277"/>
    <s v="300-R"/>
    <s v="#1774B9"/>
    <s v="990-0278"/>
    <n v="99100000"/>
    <s v="T-1031"/>
    <s v="C-997"/>
    <s v="FI-992"/>
    <s v="M-1021"/>
  </r>
  <r>
    <x v="278"/>
    <n v="990"/>
    <x v="0"/>
    <x v="5"/>
    <n v="1"/>
    <x v="7"/>
    <x v="5"/>
    <x v="1"/>
    <x v="1"/>
    <s v="Ninguno"/>
    <s v="Valor de exportaciones por región"/>
    <s v="Periodo 2012-2020"/>
    <s v="USD"/>
    <s v="Servicio Nacional de Aduanas"/>
    <x v="278"/>
    <s v="La fruta más exportada desde la Región de Tarapacá, durante el periodo 2012-2020, es la uva, alcanzando su máximo valor de exportación el año 2013, equivalente a 7.666.197 USD."/>
    <s v="Gráfico de Evolución"/>
    <s v="Región de Tarapacá valor exportaciones dólar frutas región origen"/>
    <x v="278"/>
    <s v="100-R-1"/>
    <s v="#1774B9"/>
    <s v="990-0279"/>
    <n v="99200001"/>
    <s v="T-1031"/>
    <s v="C-997"/>
    <s v="FI-993"/>
    <s v="M-1021"/>
  </r>
  <r>
    <x v="279"/>
    <n v="990"/>
    <x v="0"/>
    <x v="5"/>
    <n v="2"/>
    <x v="7"/>
    <x v="5"/>
    <x v="1"/>
    <x v="2"/>
    <s v="Ninguno"/>
    <s v="Valor de exportaciones por región"/>
    <s v="Periodo 2012-2020"/>
    <s v="USD"/>
    <s v="Servicio Nacional de Aduanas"/>
    <x v="279"/>
    <s v="La fruta más exportada desde la Región de Antofagasta, durante el periodo 2012-2020, es la uva, alcanzando su máximo valor de exportación el año 2018, equivalente a 1.338.745 USD."/>
    <s v="Gráfico de Evolución"/>
    <s v="Región de Antofagasta valor exportaciones dólar frutas región origen"/>
    <x v="279"/>
    <s v="100-R-2"/>
    <s v="#1774B9"/>
    <s v="990-0280"/>
    <n v="99200002"/>
    <s v="T-1031"/>
    <s v="C-997"/>
    <s v="FI-993"/>
    <s v="M-1021"/>
  </r>
  <r>
    <x v="280"/>
    <n v="990"/>
    <x v="0"/>
    <x v="5"/>
    <n v="3"/>
    <x v="7"/>
    <x v="5"/>
    <x v="1"/>
    <x v="3"/>
    <s v="Ninguno"/>
    <s v="Valor de exportaciones por región"/>
    <s v="Periodo 2012-2020"/>
    <s v="USD"/>
    <s v="Servicio Nacional de Aduanas"/>
    <x v="280"/>
    <s v="La fruta más exportada desde la Región de Atacama, durante el periodo 2012-2020, es la mandarina, alcanzando su máximo valor de exportación el año 2015, equivalentes a 228.230.066 USD."/>
    <s v="Gráfico de Evolución"/>
    <s v="Región de Atacama valor exportaciones dólar frutas región origen"/>
    <x v="280"/>
    <s v="100-R-3"/>
    <s v="#1774B9"/>
    <s v="990-0281"/>
    <n v="99200003"/>
    <s v="T-1031"/>
    <s v="C-997"/>
    <s v="FI-993"/>
    <s v="M-1021"/>
  </r>
  <r>
    <x v="281"/>
    <n v="990"/>
    <x v="0"/>
    <x v="5"/>
    <n v="4"/>
    <x v="7"/>
    <x v="5"/>
    <x v="1"/>
    <x v="4"/>
    <s v="Ninguno"/>
    <s v="Valor de exportaciones por región"/>
    <s v="Periodo 2012-2020"/>
    <s v="USD"/>
    <s v="Servicio Nacional de Aduanas"/>
    <x v="281"/>
    <s v="La fruta más exportada desde la Región de Coquimbo, durante el periodo 2012-2020, es la uva, alcanzando su máximo valor de exportación el año 2014, equivalentes a 412.786.476 USD."/>
    <s v="Gráfico de Evolución"/>
    <s v="Región de Coquimbo valor exportaciones dólar frutas región origen"/>
    <x v="281"/>
    <s v="100-R-4"/>
    <s v="#1774B9"/>
    <s v="990-0282"/>
    <n v="99200004"/>
    <s v="T-1031"/>
    <s v="C-997"/>
    <s v="FI-993"/>
    <s v="M-1021"/>
  </r>
  <r>
    <x v="282"/>
    <n v="990"/>
    <x v="0"/>
    <x v="5"/>
    <n v="5"/>
    <x v="7"/>
    <x v="5"/>
    <x v="1"/>
    <x v="5"/>
    <s v="Ninguno"/>
    <s v="Valor de exportaciones por región"/>
    <s v="Periodo 2012-2020"/>
    <s v="USD"/>
    <s v="Servicio Nacional de Aduanas"/>
    <x v="282"/>
    <s v="La fruta más exportada desde la Región de Valparaíso, durante el periodo 2012-2020, es la uva, alcanzando su máximo valor de exportación el año 2014, equivalentes a 553.402.145 USD."/>
    <s v="Gráfico de Evolución"/>
    <s v="Región de Valparaíso valor exportaciones dólar frutas región origen"/>
    <x v="282"/>
    <s v="100-R-5"/>
    <s v="#1774B9"/>
    <s v="990-0283"/>
    <n v="99200005"/>
    <s v="T-1031"/>
    <s v="C-997"/>
    <s v="FI-993"/>
    <s v="M-1021"/>
  </r>
  <r>
    <x v="283"/>
    <n v="990"/>
    <x v="0"/>
    <x v="5"/>
    <n v="6"/>
    <x v="7"/>
    <x v="5"/>
    <x v="1"/>
    <x v="6"/>
    <s v="Ninguno"/>
    <s v="Valor de exportaciones por región"/>
    <s v="Periodo 2012-2020"/>
    <s v="USD"/>
    <s v="Servicio Nacional de Aduanas"/>
    <x v="283"/>
    <s v="La fruta más exportada desde la Región de O'Higgins, durante el periodo 2012-2020, es la cereza, alcanzando su máximo valor de exportación el año 2019, equivalentes a 1.128.590.971 USD."/>
    <s v="Gráfico de Evolución"/>
    <s v="Región de O'Higgins valor exportaciones dólar frutas región origen"/>
    <x v="283"/>
    <s v="100-R-6"/>
    <s v="#1774B9"/>
    <s v="990-0284"/>
    <n v="99200006"/>
    <s v="T-1031"/>
    <s v="C-997"/>
    <s v="FI-993"/>
    <s v="M-1021"/>
  </r>
  <r>
    <x v="284"/>
    <n v="990"/>
    <x v="0"/>
    <x v="5"/>
    <n v="7"/>
    <x v="7"/>
    <x v="5"/>
    <x v="1"/>
    <x v="7"/>
    <s v="Ninguno"/>
    <s v="Valor de exportaciones por región"/>
    <s v="Periodo 2012-2020"/>
    <s v="USD"/>
    <s v="Servicio Nacional de Aduanas"/>
    <x v="284"/>
    <s v="La fruta más exportada desde la Región de Maule, durante el periodo 2012-2020, es la manzana, alcanzando su máximo valor de exportación el año 2014, equivalentes a 478.548.714 USD."/>
    <s v="Gráfico de Evolución"/>
    <s v="Región de Maule valor exportaciones dólar frutas región origen"/>
    <x v="284"/>
    <s v="100-R-7"/>
    <s v="#1774B9"/>
    <s v="990-0285"/>
    <n v="99200007"/>
    <s v="T-1031"/>
    <s v="C-997"/>
    <s v="FI-993"/>
    <s v="M-1021"/>
  </r>
  <r>
    <x v="285"/>
    <n v="990"/>
    <x v="0"/>
    <x v="5"/>
    <n v="8"/>
    <x v="7"/>
    <x v="5"/>
    <x v="1"/>
    <x v="8"/>
    <s v="Ninguno"/>
    <s v="Valor de exportaciones por región"/>
    <s v="Periodo 2012-2020"/>
    <s v="USD"/>
    <s v="Servicio Nacional de Aduanas"/>
    <x v="285"/>
    <s v="La fruta más exportada desde la Región de Biobío, durante el periodo 2012-2020, es el arándano, alcanzando su máximo valor de exportación el año 2018, equivalentes a 141.092.639 USD."/>
    <s v="Gráfico de Evolución"/>
    <s v="Región del Biobío valor exportaciones dólar frutas región origen"/>
    <x v="285"/>
    <s v="100-R-8"/>
    <s v="#1774B9"/>
    <s v="990-0286"/>
    <n v="99200008"/>
    <s v="T-1031"/>
    <s v="C-997"/>
    <s v="FI-993"/>
    <s v="M-1021"/>
  </r>
  <r>
    <x v="286"/>
    <n v="990"/>
    <x v="0"/>
    <x v="5"/>
    <n v="9"/>
    <x v="7"/>
    <x v="5"/>
    <x v="1"/>
    <x v="9"/>
    <s v="Ninguno"/>
    <s v="Valor de exportaciones por región"/>
    <s v="Periodo 2012-2020"/>
    <s v="USD"/>
    <s v="Servicio Nacional de Aduanas"/>
    <x v="286"/>
    <s v="La fruta más exportada desde la Región de La Araucanía, durante el periodo 2012-2020, es la manzana, alcanzando su máximo valor de exportación el año 2014, equivalentes a 77.051.940 USD."/>
    <s v="Gráfico de Evolución"/>
    <s v="Región de La Araucanía valor exportaciones dólar frutas región origen"/>
    <x v="286"/>
    <s v="100-R-9"/>
    <s v="#1774B9"/>
    <s v="990-0287"/>
    <n v="99200009"/>
    <s v="T-1031"/>
    <s v="C-997"/>
    <s v="FI-993"/>
    <s v="M-1021"/>
  </r>
  <r>
    <x v="287"/>
    <n v="990"/>
    <x v="0"/>
    <x v="5"/>
    <n v="10"/>
    <x v="7"/>
    <x v="5"/>
    <x v="1"/>
    <x v="10"/>
    <s v="Ninguno"/>
    <s v="Valor de exportaciones por región"/>
    <s v="Periodo 2012-2020"/>
    <s v="USD"/>
    <s v="Servicio Nacional de Aduanas"/>
    <x v="287"/>
    <s v="La fruta más exportada desde la Región de Los Lagos, durante el periodo 2012-2020, es el arándano, alcanzando su máximo valor de exportación el año 2014, equivalentes a 39.414.028 USD."/>
    <s v="Gráfico de Evolución"/>
    <s v="Región de Los Lagos valor exportaciones dólar frutas región origen"/>
    <x v="287"/>
    <s v="100-R-10"/>
    <s v="#1774B9"/>
    <s v="990-0288"/>
    <n v="99200010"/>
    <s v="T-1031"/>
    <s v="C-997"/>
    <s v="FI-993"/>
    <s v="M-1021"/>
  </r>
  <r>
    <x v="288"/>
    <n v="990"/>
    <x v="0"/>
    <x v="5"/>
    <n v="11"/>
    <x v="7"/>
    <x v="5"/>
    <x v="1"/>
    <x v="11"/>
    <s v="Ninguno"/>
    <s v="Valor de exportaciones por región"/>
    <s v="Periodo 2012-2020"/>
    <s v="USD"/>
    <s v="Servicio Nacional de Aduanas"/>
    <x v="288"/>
    <s v="La fruta más exportada desde la Región de Aysén, durante el periodo 2012-2020, es la cereza, alcanzando su máximo valor de exportación el año 2019, equivalentes a 4.534.177 USD."/>
    <s v="Gráfico de Evolución"/>
    <s v="Región de Aysén valor exportaciones dólar frutas región origen"/>
    <x v="288"/>
    <s v="100-R-11"/>
    <s v="#1774B9"/>
    <s v="990-0289"/>
    <n v="99200011"/>
    <s v="T-1031"/>
    <s v="C-997"/>
    <s v="FI-993"/>
    <s v="M-1021"/>
  </r>
  <r>
    <x v="289"/>
    <n v="990"/>
    <x v="0"/>
    <x v="5"/>
    <n v="12"/>
    <x v="7"/>
    <x v="5"/>
    <x v="1"/>
    <x v="12"/>
    <s v="Ninguno"/>
    <s v="Valor de exportaciones por región"/>
    <s v="Periodo 2012-2020"/>
    <s v="USD"/>
    <s v="Servicio Nacional de Aduanas"/>
    <x v="289"/>
    <s v="La fruta más exportada desde la Región de Magallanes, durante el periodo 2012-2020, es la nuez, alcanzando su máximo valor de exportación el año 2016, equivalentes a 82.500 USD."/>
    <s v="Gráfico de Evolución"/>
    <s v="Región de Magallanes valor exportaciones dólar frutas región origen"/>
    <x v="289"/>
    <s v="100-R-12"/>
    <s v="#1774B9"/>
    <s v="990-0290"/>
    <n v="99200012"/>
    <s v="T-1031"/>
    <s v="C-997"/>
    <s v="FI-993"/>
    <s v="M-1021"/>
  </r>
  <r>
    <x v="290"/>
    <n v="990"/>
    <x v="0"/>
    <x v="5"/>
    <n v="13"/>
    <x v="7"/>
    <x v="5"/>
    <x v="1"/>
    <x v="13"/>
    <s v="Ninguno"/>
    <s v="Valor de exportaciones por región"/>
    <s v="Periodo 2012-2020"/>
    <s v="USD"/>
    <s v="Servicio Nacional de Aduanas"/>
    <x v="290"/>
    <s v="La fruta más exportada desde la Región de Metropolitana, durante el periodo 2012-2020, es la uva, alcanzando su máximo valor de exportación el año 2013, equivalentes a 332.274.928 USD."/>
    <s v="Gráfico de Evolución"/>
    <s v="Región Metropolitana valor exportaciones dólar frutas región origen"/>
    <x v="290"/>
    <s v="200-R-13"/>
    <s v="#1774B9"/>
    <s v="990-0291"/>
    <n v="99200013"/>
    <s v="T-1031"/>
    <s v="C-997"/>
    <s v="FI-993"/>
    <s v="M-1021"/>
  </r>
  <r>
    <x v="291"/>
    <n v="990"/>
    <x v="0"/>
    <x v="5"/>
    <n v="14"/>
    <x v="7"/>
    <x v="5"/>
    <x v="1"/>
    <x v="14"/>
    <s v="Ninguno"/>
    <s v="Valor de exportaciones por región"/>
    <s v="Periodo 2012-2020"/>
    <s v="USD"/>
    <s v="Servicio Nacional de Aduanas"/>
    <x v="291"/>
    <s v="La fruta más exportada desde la Región de Los Ríos, durante el periodo 2012-2020, es el arándano, alcanzando su máximo valor de exportación el año 2020, equivalentes a 56.962.267 USD."/>
    <s v="Gráfico de Evolución"/>
    <s v="Región de Los Ríos valor exportaciones dólar frutas región origen"/>
    <x v="291"/>
    <s v="100-R-14"/>
    <s v="#1774B9"/>
    <s v="990-0292"/>
    <n v="99200014"/>
    <s v="T-1031"/>
    <s v="C-997"/>
    <s v="FI-993"/>
    <s v="M-1021"/>
  </r>
  <r>
    <x v="292"/>
    <n v="990"/>
    <x v="0"/>
    <x v="5"/>
    <n v="15"/>
    <x v="7"/>
    <x v="5"/>
    <x v="1"/>
    <x v="15"/>
    <s v="Ninguno"/>
    <s v="Valor de exportaciones por región"/>
    <s v="Periodo 2012-2020"/>
    <s v="USD"/>
    <s v="Servicio Nacional de Aduanas"/>
    <x v="292"/>
    <s v="La fruta más exportada desde la Región de Arica y Parinacota, durante el periodo 2012-2020, es la nuez, alcanzando su máximo valor de exportación el año 2019, equivalentes a 1.128.109 USD."/>
    <s v="Gráfico de Evolución"/>
    <s v="Región de Arica y Parinacota valor exportaciones dólar frutas región origen"/>
    <x v="292"/>
    <s v="100-R-15"/>
    <s v="#1774B9"/>
    <s v="990-0293"/>
    <n v="99200015"/>
    <s v="T-1031"/>
    <s v="C-997"/>
    <s v="FI-993"/>
    <s v="M-1021"/>
  </r>
  <r>
    <x v="293"/>
    <n v="990"/>
    <x v="0"/>
    <x v="5"/>
    <n v="16"/>
    <x v="7"/>
    <x v="5"/>
    <x v="1"/>
    <x v="16"/>
    <s v="Ninguno"/>
    <s v="Valor de exportaciones por región"/>
    <s v="Periodo 2012-2020"/>
    <s v="USD"/>
    <s v="Servicio Nacional de Aduanas"/>
    <x v="293"/>
    <s v="La fruta más exportada desde la Región de Ñuble, durante el periodo 2012-2020, es el arándano, alcanzando su máximo valor de exportación el año 2020, equivalentes a 67.323.677 USD."/>
    <s v="Gráfico de Evolución"/>
    <s v="Región de Ñuble valor exportaciones dólar frutas región origen"/>
    <x v="293"/>
    <s v="100-R-16"/>
    <s v="#1774B9"/>
    <s v="990-0294"/>
    <n v="99200016"/>
    <s v="T-1031"/>
    <s v="C-997"/>
    <s v="FI-993"/>
    <s v="M-1021"/>
  </r>
  <r>
    <x v="294"/>
    <n v="990"/>
    <x v="0"/>
    <x v="5"/>
    <n v="0"/>
    <x v="7"/>
    <x v="5"/>
    <x v="0"/>
    <x v="0"/>
    <s v="Ninguno"/>
    <s v="Valor de exportaciones de Chile"/>
    <s v="Periodo 2012-2020"/>
    <s v="USD"/>
    <s v="Servicio Nacional de Aduanas"/>
    <x v="294"/>
    <s v="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x v="294"/>
    <n v="0"/>
    <s v="#1774B9"/>
    <s v="990-0295"/>
    <n v="99100000"/>
    <s v="T-1031"/>
    <s v="C-997"/>
    <s v="FI-993"/>
    <s v="M-1022"/>
  </r>
  <r>
    <x v="295"/>
    <n v="990"/>
    <x v="0"/>
    <x v="10"/>
    <n v="0"/>
    <x v="22"/>
    <x v="13"/>
    <x v="0"/>
    <x v="0"/>
    <s v="Región"/>
    <s v="Capacidad instalada de generación por región"/>
    <s v="Año 2021"/>
    <s v="MW"/>
    <s v="Comisión Nacional de Energía (CNE)"/>
    <x v="295"/>
    <s v="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
    <s v="Gráfico"/>
    <s v="Chile energía capacidad instalada MW central eléctrica renovable regional potencia neta"/>
    <x v="295"/>
    <s v="300-R"/>
    <s v="#1774B9"/>
    <s v="990-0296"/>
    <n v="99100000"/>
    <s v="T-1041"/>
    <s v="C-1000"/>
    <s v="FI-992"/>
    <s v="M-1023"/>
  </r>
  <r>
    <x v="296"/>
    <n v="990"/>
    <x v="0"/>
    <x v="10"/>
    <n v="1"/>
    <x v="22"/>
    <x v="13"/>
    <x v="1"/>
    <x v="1"/>
    <s v="Ninguno"/>
    <s v="Capacidad instalada de generación por región"/>
    <s v="Año 2021"/>
    <s v="MW"/>
    <s v="Comisión Nacional de Energía (CNE)"/>
    <x v="296"/>
    <s v="La capacidad instalada en Mw para el año 2021 en la Región de Tarapacá se compone en un 77,9% de centrales de energía renovable y en un 22,1% de centrales de energía no renovable."/>
    <s v="Gráfico"/>
    <s v="Región de Tarapacá energía capacidad instalada MW central eléctrica renovable regional potencia neta"/>
    <x v="296"/>
    <s v="100-R-1"/>
    <s v="#1774B9"/>
    <s v="990-0297"/>
    <n v="99200001"/>
    <s v="T-1041"/>
    <s v="C-1000"/>
    <s v="FI-993"/>
    <s v="M-1023"/>
  </r>
  <r>
    <x v="297"/>
    <n v="990"/>
    <x v="0"/>
    <x v="10"/>
    <n v="2"/>
    <x v="22"/>
    <x v="13"/>
    <x v="1"/>
    <x v="2"/>
    <s v="Ninguno"/>
    <s v="Capacidad instalada de generación por región"/>
    <s v="Año 2021"/>
    <s v="MW"/>
    <s v="Comisión Nacional de Energía (CNE)"/>
    <x v="297"/>
    <s v="La capacidad instalada en Mw para el año 2021 en la Región de Antofagasta se compone en un 25,9% de centrales de energía renovable y en un 74,1% de centrales de energía no renovable."/>
    <s v="Gráfico"/>
    <s v="Región de Antofagasta energía capacidad instalada MW central eléctrica renovable regional potencia neta"/>
    <x v="297"/>
    <s v="100-R-2"/>
    <s v="#1774B9"/>
    <s v="990-0298"/>
    <n v="99200002"/>
    <s v="T-1041"/>
    <s v="C-1000"/>
    <s v="FI-993"/>
    <s v="M-1023"/>
  </r>
  <r>
    <x v="298"/>
    <n v="990"/>
    <x v="0"/>
    <x v="10"/>
    <n v="3"/>
    <x v="22"/>
    <x v="13"/>
    <x v="1"/>
    <x v="3"/>
    <s v="Ninguno"/>
    <s v="Capacidad instalada de generación por región"/>
    <s v="Año 2021"/>
    <s v="MW"/>
    <s v="Comisión Nacional de Energía (CNE)"/>
    <x v="298"/>
    <s v="La capacidad instalada en Mw para el año 2021 en la Región de Atacama se compone en un 56% de centrales de energía renovable y en un 44% de centrales de energía no renovable."/>
    <s v="Gráfico"/>
    <s v="Región de Atacama energía capacidad instalada MW central eléctrica renovable regional potencia neta"/>
    <x v="298"/>
    <s v="100-R-3"/>
    <s v="#1774B9"/>
    <s v="990-0299"/>
    <n v="99200003"/>
    <s v="T-1041"/>
    <s v="C-1000"/>
    <s v="FI-993"/>
    <s v="M-1023"/>
  </r>
  <r>
    <x v="299"/>
    <n v="990"/>
    <x v="0"/>
    <x v="10"/>
    <n v="4"/>
    <x v="22"/>
    <x v="13"/>
    <x v="1"/>
    <x v="4"/>
    <s v="Ninguno"/>
    <s v="Capacidad instalada de generación por región"/>
    <s v="Año 2021"/>
    <s v="MW"/>
    <s v="Comisión Nacional de Energía (CNE)"/>
    <x v="299"/>
    <s v="La capacidad instalada en Mw para el año 2021 en la Región de Coquimbo se compone en un 71,8% de centrales de energía renovable y en un 28,2% de centrales de energía no renovable."/>
    <s v="Gráfico"/>
    <s v="Región de Coquimbo energía capacidad instalada MW central eléctrica renovable regional potencia neta"/>
    <x v="299"/>
    <s v="100-R-4"/>
    <s v="#1774B9"/>
    <s v="990-0300"/>
    <n v="99200004"/>
    <s v="T-1041"/>
    <s v="C-1000"/>
    <s v="FI-993"/>
    <s v="M-1023"/>
  </r>
  <r>
    <x v="300"/>
    <n v="990"/>
    <x v="0"/>
    <x v="10"/>
    <n v="5"/>
    <x v="22"/>
    <x v="13"/>
    <x v="1"/>
    <x v="5"/>
    <s v="Ninguno"/>
    <s v="Capacidad instalada de generación por región"/>
    <s v="Año 2021"/>
    <s v="MW"/>
    <s v="Comisión Nacional de Energía (CNE)"/>
    <x v="300"/>
    <s v="La capacidad instalada en Mw para el año 2021 en la Región de Valparaíso se compone en un 11,6% de centrales de energía renovable y en un 88,4% de centrales de energía no renovable."/>
    <s v="Gráfico"/>
    <s v="Región de Valparaíso energía capacidad instalada MW central eléctrica renovable regional potencia neta"/>
    <x v="300"/>
    <s v="100-R-5"/>
    <s v="#1774B9"/>
    <s v="990-0301"/>
    <n v="99200005"/>
    <s v="T-1041"/>
    <s v="C-1000"/>
    <s v="FI-993"/>
    <s v="M-1023"/>
  </r>
  <r>
    <x v="301"/>
    <n v="990"/>
    <x v="0"/>
    <x v="10"/>
    <n v="6"/>
    <x v="22"/>
    <x v="13"/>
    <x v="1"/>
    <x v="6"/>
    <s v="Ninguno"/>
    <s v="Capacidad instalada de generación por región"/>
    <s v="Año 2021"/>
    <s v="MW"/>
    <s v="Comisión Nacional de Energía (CNE)"/>
    <x v="301"/>
    <s v="La capacidad instalada en Mw para el año 2021 en la Región de O'Higgins se compone en un 81,8% de centrales de energía renovable y en un 18,2% de centrales de energía no renovable."/>
    <s v="Gráfico"/>
    <s v="Región de O'Higgins energía capacidad instalada MW central eléctrica renovable regional potencia neta"/>
    <x v="301"/>
    <s v="100-R-6"/>
    <s v="#1774B9"/>
    <s v="990-0302"/>
    <n v="99200006"/>
    <s v="T-1041"/>
    <s v="C-1000"/>
    <s v="FI-993"/>
    <s v="M-1023"/>
  </r>
  <r>
    <x v="302"/>
    <n v="990"/>
    <x v="0"/>
    <x v="10"/>
    <n v="7"/>
    <x v="22"/>
    <x v="13"/>
    <x v="1"/>
    <x v="7"/>
    <s v="Ninguno"/>
    <s v="Capacidad instalada de generación por región"/>
    <s v="Año 2021"/>
    <s v="MW"/>
    <s v="Comisión Nacional de Energía (CNE)"/>
    <x v="302"/>
    <s v="La capacidad instalada en Mw para el año 2021 en la Región de Maule se compone en un 92,4% de centrales de energía renovable y en un 7,6% de centrales de energía no renovable."/>
    <s v="Gráfico"/>
    <s v="Región de Maule energía capacidad instalada MW central eléctrica renovable regional potencia neta"/>
    <x v="302"/>
    <s v="100-R-7"/>
    <s v="#1774B9"/>
    <s v="990-0303"/>
    <n v="99200007"/>
    <s v="T-1041"/>
    <s v="C-1000"/>
    <s v="FI-993"/>
    <s v="M-1023"/>
  </r>
  <r>
    <x v="303"/>
    <n v="990"/>
    <x v="0"/>
    <x v="10"/>
    <n v="8"/>
    <x v="22"/>
    <x v="13"/>
    <x v="1"/>
    <x v="8"/>
    <s v="Ninguno"/>
    <s v="Capacidad instalada de generación por región"/>
    <s v="Año 2021"/>
    <s v="MW"/>
    <s v="Comisión Nacional de Energía (CNE)"/>
    <x v="303"/>
    <s v="La capacidad instalada en Mw para el año 2021 en la Región del Biobío se compone en un 77,6% de centrales de energía renovable y en un 32,4% de centrales de energía no renovable."/>
    <s v="Gráfico"/>
    <s v="Región del Biobío energía capacidad instalada MW central eléctrica renovable regional potencia neta"/>
    <x v="303"/>
    <s v="100-R-8"/>
    <s v="#1774B9"/>
    <s v="990-0304"/>
    <n v="99200008"/>
    <s v="T-1041"/>
    <s v="C-1000"/>
    <s v="FI-993"/>
    <s v="M-1023"/>
  </r>
  <r>
    <x v="304"/>
    <n v="990"/>
    <x v="0"/>
    <x v="10"/>
    <n v="9"/>
    <x v="22"/>
    <x v="13"/>
    <x v="1"/>
    <x v="9"/>
    <s v="Ninguno"/>
    <s v="Capacidad instalada de generación por región"/>
    <s v="Año 2021"/>
    <s v="MW"/>
    <s v="Comisión Nacional de Energía (CNE)"/>
    <x v="304"/>
    <s v="La capacidad instalada en Mw para el año 2021 en la Región de La Araucanía se compone en un 97,3% de centrales de energía renovable y en un 2,7% de centrales de energía no renovable."/>
    <s v="Gráfico"/>
    <s v="Región de La Araucanía energía capacidad instalada MW central eléctrica renovable regional potencia neta"/>
    <x v="304"/>
    <s v="100-R-9"/>
    <s v="#1774B9"/>
    <s v="990-0305"/>
    <n v="99200009"/>
    <s v="T-1041"/>
    <s v="C-1000"/>
    <s v="FI-993"/>
    <s v="M-1023"/>
  </r>
  <r>
    <x v="305"/>
    <n v="990"/>
    <x v="0"/>
    <x v="10"/>
    <n v="10"/>
    <x v="22"/>
    <x v="13"/>
    <x v="1"/>
    <x v="10"/>
    <s v="Ninguno"/>
    <s v="Capacidad instalada de generación por región"/>
    <s v="Año 2021"/>
    <s v="MW"/>
    <s v="Comisión Nacional de Energía (CNE)"/>
    <x v="305"/>
    <s v="La capacidad instalada en Mw para el año 2021 en la Región de Los Lagos se compone en un 71,2% de centrales de energía renovable y en un 28,8% de centrales de energía no renovable."/>
    <s v="Gráfico"/>
    <s v="Región de Los Lagos energía capacidad instalada MW central eléctrica renovable regional potencia neta"/>
    <x v="305"/>
    <s v="100-R-10"/>
    <s v="#1774B9"/>
    <s v="990-0306"/>
    <n v="99200010"/>
    <s v="T-1041"/>
    <s v="C-1000"/>
    <s v="FI-993"/>
    <s v="M-1023"/>
  </r>
  <r>
    <x v="306"/>
    <n v="990"/>
    <x v="0"/>
    <x v="10"/>
    <n v="11"/>
    <x v="22"/>
    <x v="13"/>
    <x v="1"/>
    <x v="11"/>
    <s v="Ninguno"/>
    <s v="Capacidad instalada de generación por región"/>
    <s v="Año 2021"/>
    <s v="MW"/>
    <s v="Comisión Nacional de Energía (CNE)"/>
    <x v="306"/>
    <s v="La capacidad instalada en Mw para el año 2021 en la Región de Aysén se compone en un 42% de centrales de energía renovable y en un 58% de centrales de energía no renovable."/>
    <s v="Gráfico"/>
    <s v="Región de Aysén energía capacidad instalada MW central eléctrica renovable regional potencia neta"/>
    <x v="306"/>
    <s v="100-R-11"/>
    <s v="#1774B9"/>
    <s v="990-0307"/>
    <n v="99200011"/>
    <s v="T-1041"/>
    <s v="C-1000"/>
    <s v="FI-993"/>
    <s v="M-1023"/>
  </r>
  <r>
    <x v="307"/>
    <n v="990"/>
    <x v="0"/>
    <x v="10"/>
    <n v="12"/>
    <x v="22"/>
    <x v="13"/>
    <x v="1"/>
    <x v="12"/>
    <s v="Ninguno"/>
    <s v="Capacidad instalada de generación por región"/>
    <s v="Año 2021"/>
    <s v="MW"/>
    <s v="Comisión Nacional de Energía (CNE)"/>
    <x v="307"/>
    <s v="La capacidad instalada en Mw para el año 2021 en la Región de Magallanes se compone en un 2,4% de centrales de energía renovable y en un 97,6% de centrales de energía no renovable."/>
    <s v="Gráfico"/>
    <s v="Región de Magallanes energía capacidad instalada MW central eléctrica renovable regional potencia neta"/>
    <x v="307"/>
    <s v="100-R-12"/>
    <s v="#1774B9"/>
    <s v="990-0308"/>
    <n v="99200012"/>
    <s v="T-1041"/>
    <s v="C-1000"/>
    <s v="FI-993"/>
    <s v="M-1023"/>
  </r>
  <r>
    <x v="308"/>
    <n v="990"/>
    <x v="0"/>
    <x v="10"/>
    <n v="13"/>
    <x v="22"/>
    <x v="13"/>
    <x v="1"/>
    <x v="13"/>
    <s v="Ninguno"/>
    <s v="Capacidad instalada de generación por región"/>
    <s v="Año 2021"/>
    <s v="MW"/>
    <s v="Comisión Nacional de Energía (CNE)"/>
    <x v="308"/>
    <s v="La capacidad instalada en Mw para el año 2021 en la Región Metropolitana se compone en un 59,1% de centrales de energía renovable y en un 40,9% de centrales de energía no renovable."/>
    <s v="Gráfico"/>
    <s v="Región Metropolitana energía capacidad instalada MW central eléctrica renovable regional potencia neta"/>
    <x v="308"/>
    <s v="200-R-13"/>
    <s v="#1774B9"/>
    <s v="990-0309"/>
    <n v="99200013"/>
    <s v="T-1041"/>
    <s v="C-1000"/>
    <s v="FI-993"/>
    <s v="M-1023"/>
  </r>
  <r>
    <x v="309"/>
    <n v="990"/>
    <x v="0"/>
    <x v="10"/>
    <n v="14"/>
    <x v="22"/>
    <x v="13"/>
    <x v="1"/>
    <x v="14"/>
    <s v="Ninguno"/>
    <s v="Capacidad instalada de generación por región"/>
    <s v="Año 2021"/>
    <s v="MW"/>
    <s v="Comisión Nacional de Energía (CNE)"/>
    <x v="309"/>
    <s v="La capacidad instalada en Mw para el año 2021 en la Región de Los Ríos se compone en un 63,6% de centrales de energía renovable y en un 36,4% de centrales de energía no renovable."/>
    <s v="Gráfico"/>
    <s v="Región de Los Ríos energía capacidad instalada MW central eléctrica renovable regional potencia neta"/>
    <x v="309"/>
    <s v="100-R-14"/>
    <s v="#1774B9"/>
    <s v="990-0310"/>
    <n v="99200014"/>
    <s v="T-1041"/>
    <s v="C-1000"/>
    <s v="FI-993"/>
    <s v="M-1023"/>
  </r>
  <r>
    <x v="310"/>
    <n v="990"/>
    <x v="0"/>
    <x v="10"/>
    <n v="15"/>
    <x v="22"/>
    <x v="13"/>
    <x v="1"/>
    <x v="15"/>
    <s v="Ninguno"/>
    <s v="Capacidad instalada de generación por región"/>
    <s v="Año 2021"/>
    <s v="MW"/>
    <s v="Comisión Nacional de Energía (CNE)"/>
    <x v="310"/>
    <s v="La capacidad instalada en Mw para el año 2021 en la Región de Arica y Parinacota se compone en un 59,6% de centrales de energía renovable y en un 40,4% de centrales de energía no renovable."/>
    <s v="Gráfico"/>
    <s v="Región de Arica y Parinacota energía capacidad instalada MW central eléctrica renovable regional potencia neta"/>
    <x v="310"/>
    <s v="100-R-15"/>
    <s v="#1774B9"/>
    <s v="990-0311"/>
    <n v="99200015"/>
    <s v="T-1041"/>
    <s v="C-1000"/>
    <s v="FI-993"/>
    <s v="M-1023"/>
  </r>
  <r>
    <x v="311"/>
    <n v="990"/>
    <x v="0"/>
    <x v="10"/>
    <n v="16"/>
    <x v="22"/>
    <x v="13"/>
    <x v="1"/>
    <x v="16"/>
    <s v="Ninguno"/>
    <s v="Capacidad instalada de generación por región"/>
    <s v="Año 2021"/>
    <s v="MW"/>
    <s v="Comisión Nacional de Energía (CNE)"/>
    <x v="311"/>
    <s v="La capacidad instalada en Mw para el año 2021 en la Región de Ñuble se compone en un 90,8% de centrales de energía renovable y en un 9,2% de centrales de energía no renovable."/>
    <s v="Gráfico"/>
    <s v="Región de Ñuble energía capacidad instalada MW central eléctrica renovable regional potencia neta"/>
    <x v="311"/>
    <s v="100-R-16"/>
    <s v="#1774B9"/>
    <s v="990-0312"/>
    <n v="99200016"/>
    <s v="T-1041"/>
    <s v="C-1000"/>
    <s v="FI-993"/>
    <s v="M-1023"/>
  </r>
  <r>
    <x v="312"/>
    <n v="990"/>
    <x v="0"/>
    <x v="5"/>
    <n v="0"/>
    <x v="16"/>
    <x v="5"/>
    <x v="0"/>
    <x v="0"/>
    <s v="Región"/>
    <s v="Producción agrícola por región"/>
    <s v="Periodo 1979-2020"/>
    <s v="Toneladas"/>
    <s v="Oficina de Estudios y Políticas Agrarias (ODEPA)"/>
    <x v="312"/>
    <s v="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
    <s v="Gráfico de Evolución"/>
    <s v="Chile cultivos producción agrícola agricultura regional"/>
    <x v="312"/>
    <s v="300-R"/>
    <s v="#1774B9"/>
    <s v="990-0313"/>
    <n v="99100000"/>
    <s v="T-1035"/>
    <s v="C-997"/>
    <s v="FI-992"/>
    <s v="M-1024"/>
  </r>
  <r>
    <x v="313"/>
    <n v="990"/>
    <x v="0"/>
    <x v="5"/>
    <n v="4"/>
    <x v="16"/>
    <x v="5"/>
    <x v="1"/>
    <x v="4"/>
    <s v="Región"/>
    <s v="Producción agrícola por región"/>
    <s v="Periodo 1979-2020"/>
    <s v="Toneladas"/>
    <s v="Oficina de Estudios y Políticas Agrarias (ODEPA)"/>
    <x v="313"/>
    <s v="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
    <s v="Gráfico de Evolución"/>
    <s v="Región de Coquimbo cultivos producción agrícola agricultura regional"/>
    <x v="313"/>
    <s v="100-R-4"/>
    <s v="#1774B9"/>
    <s v="990-0314"/>
    <n v="99200004"/>
    <s v="T-1035"/>
    <s v="C-997"/>
    <s v="FI-992"/>
    <s v="M-1024"/>
  </r>
  <r>
    <x v="314"/>
    <n v="990"/>
    <x v="0"/>
    <x v="5"/>
    <n v="5"/>
    <x v="16"/>
    <x v="5"/>
    <x v="1"/>
    <x v="5"/>
    <s v="Región"/>
    <s v="Producción agrícola por región"/>
    <s v="Periodo 1979-2020"/>
    <s v="Toneladas"/>
    <s v="Oficina de Estudios y Políticas Agrarias (ODEPA)"/>
    <x v="314"/>
    <s v="La producción agrícola en la región de Valparaíso ha tenido variaciones durante las 40 temporadas registradas. El máximo de producción se alcanzó en la temporada 1986/87 con 73.067 ton. Desde el año 2013 se verifica una caída significativa, descendiendo hasta las 3.877 ton."/>
    <s v="Gráfico de Evolución"/>
    <s v="Región de Valparaíso cultivos producción agrícola agricultura regional"/>
    <x v="314"/>
    <s v="100-R-5"/>
    <s v="#1774B9"/>
    <s v="990-0315"/>
    <n v="99200005"/>
    <s v="T-1035"/>
    <s v="C-997"/>
    <s v="FI-992"/>
    <s v="M-1024"/>
  </r>
  <r>
    <x v="315"/>
    <n v="990"/>
    <x v="0"/>
    <x v="5"/>
    <n v="6"/>
    <x v="16"/>
    <x v="5"/>
    <x v="1"/>
    <x v="6"/>
    <s v="Región"/>
    <s v="Producción agrícola por región"/>
    <s v="Periodo 1979-2020"/>
    <s v="Toneladas"/>
    <s v="Oficina de Estudios y Políticas Agrarias (ODEPA)"/>
    <x v="315"/>
    <s v="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
    <s v="Gráfico de Evolución"/>
    <s v="Región de O'Higgins cultivos producción agrícola agricultura regional"/>
    <x v="315"/>
    <s v="100-R-6"/>
    <s v="#1774B9"/>
    <s v="990-0316"/>
    <n v="99200006"/>
    <s v="T-1035"/>
    <s v="C-997"/>
    <s v="FI-992"/>
    <s v="M-1024"/>
  </r>
  <r>
    <x v="316"/>
    <n v="990"/>
    <x v="0"/>
    <x v="5"/>
    <n v="7"/>
    <x v="16"/>
    <x v="5"/>
    <x v="1"/>
    <x v="7"/>
    <s v="Región"/>
    <s v="Producción agrícola por región"/>
    <s v="Periodo 1979-2020"/>
    <s v="Toneladas"/>
    <s v="Oficina de Estudios y Políticas Agrarias (ODEPA)"/>
    <x v="316"/>
    <s v="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
    <s v="Gráfico de Evolución"/>
    <s v="Región de Maule cultivos producción agrícola agricultura regional"/>
    <x v="316"/>
    <s v="100-R-7"/>
    <s v="#1774B9"/>
    <s v="990-0317"/>
    <n v="99200007"/>
    <s v="T-1035"/>
    <s v="C-997"/>
    <s v="FI-992"/>
    <s v="M-1024"/>
  </r>
  <r>
    <x v="317"/>
    <n v="990"/>
    <x v="0"/>
    <x v="5"/>
    <n v="8"/>
    <x v="16"/>
    <x v="5"/>
    <x v="1"/>
    <x v="8"/>
    <s v="Región"/>
    <s v="Producción agrícola por región"/>
    <s v="Periodo 1979-2020"/>
    <s v="Toneladas"/>
    <s v="Oficina de Estudios y Políticas Agrarias (ODEPA)"/>
    <x v="317"/>
    <s v="La producción agrícola en la región del Biobío tuvo una tendencia al alza durante 32 temporadas. El máximo de producción se alcanzó en la temporada 2012/13 con 2.494.698 ton. En el año 2016, se verifica una rápida caída, descendiendo hasta las 772.897 ton en el año 2020."/>
    <s v="Gráfico de Evolución"/>
    <s v="Región del Biobío cultivos producción agrícola agricultura regional"/>
    <x v="317"/>
    <s v="100-R-8"/>
    <s v="#1774B9"/>
    <s v="990-0318"/>
    <n v="99200008"/>
    <s v="T-1035"/>
    <s v="C-997"/>
    <s v="FI-992"/>
    <s v="M-1024"/>
  </r>
  <r>
    <x v="318"/>
    <n v="990"/>
    <x v="0"/>
    <x v="5"/>
    <n v="9"/>
    <x v="16"/>
    <x v="5"/>
    <x v="1"/>
    <x v="9"/>
    <s v="Región"/>
    <s v="Producción agrícola por región"/>
    <s v="Periodo 1979-2020"/>
    <s v="Toneladas"/>
    <s v="Oficina de Estudios y Políticas Agrarias (ODEPA)"/>
    <x v="318"/>
    <s v="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
    <s v="Gráfico de Evolución"/>
    <s v="Región de La Araucanía cultivos producción agrícola agricultura regional"/>
    <x v="318"/>
    <s v="100-R-9"/>
    <s v="#1774B9"/>
    <s v="990-0319"/>
    <n v="99200009"/>
    <s v="T-1035"/>
    <s v="C-997"/>
    <s v="FI-992"/>
    <s v="M-1024"/>
  </r>
  <r>
    <x v="319"/>
    <n v="990"/>
    <x v="0"/>
    <x v="5"/>
    <n v="10"/>
    <x v="16"/>
    <x v="5"/>
    <x v="1"/>
    <x v="10"/>
    <s v="Región"/>
    <s v="Producción agrícola por región"/>
    <s v="Periodo 1979-2020"/>
    <s v="Toneladas"/>
    <s v="Oficina de Estudios y Políticas Agrarias (ODEPA)"/>
    <x v="319"/>
    <s v="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
    <s v="Gráfico de Evolución"/>
    <s v="Región de Los Lagos cultivos producción agrícola agricultura regional"/>
    <x v="319"/>
    <s v="100-R-10"/>
    <s v="#1774B9"/>
    <s v="990-0320"/>
    <n v="99200010"/>
    <s v="T-1035"/>
    <s v="C-997"/>
    <s v="FI-992"/>
    <s v="M-1024"/>
  </r>
  <r>
    <x v="320"/>
    <n v="990"/>
    <x v="0"/>
    <x v="5"/>
    <n v="13"/>
    <x v="16"/>
    <x v="5"/>
    <x v="1"/>
    <x v="13"/>
    <s v="Región"/>
    <s v="Producción agrícola por región"/>
    <s v="Periodo 1979-2020"/>
    <s v="Toneladas"/>
    <s v="Oficina de Estudios y Políticas Agrarias (ODEPA)"/>
    <x v="320"/>
    <s v="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
    <s v="Gráfico de Evolución"/>
    <s v="Región Metropolitana cultivos producción agrícola agricultura regional"/>
    <x v="320"/>
    <s v="200-R-13"/>
    <s v="#1774B9"/>
    <s v="990-0321"/>
    <n v="99200013"/>
    <s v="T-1035"/>
    <s v="C-997"/>
    <s v="FI-992"/>
    <s v="M-1024"/>
  </r>
  <r>
    <x v="321"/>
    <n v="990"/>
    <x v="0"/>
    <x v="5"/>
    <n v="14"/>
    <x v="16"/>
    <x v="5"/>
    <x v="1"/>
    <x v="14"/>
    <s v="Región"/>
    <s v="Producción agrícola por región"/>
    <s v="Periodo 1979-2020"/>
    <s v="Toneladas"/>
    <s v="Oficina de Estudios y Políticas Agrarias (ODEPA)"/>
    <x v="321"/>
    <s v="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
    <s v="Gráfico de Evolución"/>
    <s v="Región de Los Ríos cultivos producción agrícola agricultura regional"/>
    <x v="321"/>
    <s v="100-R-14"/>
    <s v="#1774B9"/>
    <s v="990-0322"/>
    <n v="99200014"/>
    <s v="T-1035"/>
    <s v="C-997"/>
    <s v="FI-992"/>
    <s v="M-1024"/>
  </r>
  <r>
    <x v="322"/>
    <n v="990"/>
    <x v="0"/>
    <x v="5"/>
    <n v="16"/>
    <x v="16"/>
    <x v="5"/>
    <x v="1"/>
    <x v="16"/>
    <s v="Región"/>
    <s v="Producción agrícola por región"/>
    <s v="Periodo 1979-2020"/>
    <s v="Toneladas"/>
    <s v="Oficina de Estudios y Políticas Agrarias (ODEPA)"/>
    <x v="322"/>
    <s v="La producción agrícola en la región de Ñuble alcanzó su máximo de producción en la temporada 2017/18 con 1.576.401 ton. En el año 2020, se verifica una producción de 1.241.979 ton. Cabe destacar que no existen datos previo a la existencia de la región."/>
    <s v="Gráfico de Evolución"/>
    <s v="Región de Ñuble cultivos producción agrícola agricultura regional"/>
    <x v="322"/>
    <s v="100-R-16"/>
    <s v="#1774B9"/>
    <s v="990-0323"/>
    <n v="99200016"/>
    <s v="T-1035"/>
    <s v="C-997"/>
    <s v="FI-992"/>
    <s v="M-1024"/>
  </r>
  <r>
    <x v="323"/>
    <n v="990"/>
    <x v="0"/>
    <x v="5"/>
    <n v="0"/>
    <x v="23"/>
    <x v="5"/>
    <x v="0"/>
    <x v="0"/>
    <s v="Ninguno"/>
    <s v="Volumen de importaciones en Chile"/>
    <s v="Periodo 2012-2020"/>
    <s v="Toneladas"/>
    <s v="Servicio Nacional de Aduanas"/>
    <x v="323"/>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x v="323"/>
    <n v="0"/>
    <s v="#1774B9"/>
    <s v="990-0324"/>
    <n v="99100000"/>
    <s v="T-1042"/>
    <s v="C-997"/>
    <s v="FI-993"/>
    <s v="M-1025"/>
  </r>
  <r>
    <x v="324"/>
    <n v="990"/>
    <x v="0"/>
    <x v="5"/>
    <n v="0"/>
    <x v="23"/>
    <x v="5"/>
    <x v="0"/>
    <x v="0"/>
    <s v="Ninguno"/>
    <s v="Volumen de importaciones en Chile"/>
    <s v="Periodo 2012-2020"/>
    <s v="Toneladas"/>
    <s v="Servicio Nacional de Aduanas"/>
    <x v="324"/>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x v="324"/>
    <n v="0"/>
    <s v="#1774B9"/>
    <s v="990-0325"/>
    <n v="99100000"/>
    <s v="T-1042"/>
    <s v="C-997"/>
    <s v="FI-993"/>
    <s v="M-1025"/>
  </r>
  <r>
    <x v="325"/>
    <n v="990"/>
    <x v="0"/>
    <x v="2"/>
    <n v="0"/>
    <x v="24"/>
    <x v="14"/>
    <x v="0"/>
    <x v="0"/>
    <s v="Ninguno"/>
    <s v="Cantidad de casos en Chile"/>
    <s v="Periodo 2011-2018"/>
    <s v="Número de Casos"/>
    <s v="Departamento de Estadísticas e Información de la Salud (DEIS) - Ministerio de Salud"/>
    <x v="325"/>
    <s v="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x v="325"/>
    <n v="0"/>
    <s v="#1774B9"/>
    <s v="990-0326"/>
    <n v="99100000"/>
    <s v="T-999"/>
    <s v="C-1009"/>
    <s v="FI-993"/>
    <s v="M-1026"/>
  </r>
  <r>
    <x v="326"/>
    <n v="990"/>
    <x v="0"/>
    <x v="4"/>
    <n v="0"/>
    <x v="25"/>
    <x v="15"/>
    <x v="0"/>
    <x v="0"/>
    <s v="Región"/>
    <s v="Población en control por sexo en Chile"/>
    <s v="Periodo 2011-2018"/>
    <s v="Número de Casos"/>
    <s v="Departamento de Estadísticas e Información de la Salud (DEIS) - Ministerio de Salud"/>
    <x v="326"/>
    <s v="A nivel nacional, los casos confirmados de VIH/SIDA de acuerdo al Programa de VIH/SIDA, fueron en aumento durante el periodo 2012-2018, marcándose una diferencia en la cantidad de casos de acuerdo al sexo, siendo los hombres los que presentaron más de la mitad de casos."/>
    <s v="Gráfico de Evolución"/>
    <s v="Chile VIH SIDA enfermedad transmisión sexual casos población control programa sexo hombre mujer"/>
    <x v="326"/>
    <s v="300-R"/>
    <s v="#1774B9"/>
    <s v="990-0327"/>
    <n v="99100000"/>
    <s v="T-1000"/>
    <s v="C-1010"/>
    <s v="FI-992"/>
    <s v="M-1027"/>
  </r>
  <r>
    <x v="327"/>
    <n v="990"/>
    <x v="0"/>
    <x v="4"/>
    <n v="1"/>
    <x v="25"/>
    <x v="15"/>
    <x v="1"/>
    <x v="1"/>
    <s v="Ninguno"/>
    <s v="Población en control por sexo por región"/>
    <s v="Periodo 2011-2018"/>
    <s v="Número de Casos"/>
    <s v="Departamento de Estadísticas e Información de la Salud (DEIS) - Ministerio de Salud"/>
    <x v="327"/>
    <s v="En la región de Tarapacá, para el año 2012 la población en control en el programa VIH/SIDA fue de 289 hombres y 84 mujeres, mientras que para el año 2018 fue de 548 hombres y 164 mujeres."/>
    <s v="Gráfico de Evolución"/>
    <s v="Región de Tarapacá VIH SIDA enfermedad transmisión sexual casos población control programa sexo hombre mujer"/>
    <x v="327"/>
    <s v="100-R-1"/>
    <s v="#1774B9"/>
    <s v="990-0328"/>
    <n v="99200001"/>
    <s v="T-1000"/>
    <s v="C-1010"/>
    <s v="FI-993"/>
    <s v="M-1028"/>
  </r>
  <r>
    <x v="328"/>
    <n v="990"/>
    <x v="0"/>
    <x v="4"/>
    <n v="2"/>
    <x v="25"/>
    <x v="15"/>
    <x v="1"/>
    <x v="2"/>
    <s v="Ninguno"/>
    <s v="Población en control por sexo por región"/>
    <s v="Periodo 2011-2018"/>
    <s v="Número de Casos"/>
    <s v="Departamento de Estadísticas e Información de la Salud (DEIS) - Ministerio de Salud"/>
    <x v="328"/>
    <s v="En la región de Antofagasta, para el año 2012 la población en control en el programa VIH/SIDA fue de 459 hombres y 122 mujeres, mientras que para el año 2018 fue de 963 hombres y 245 mujeres."/>
    <s v="Gráfico de Evolución"/>
    <s v="Región de Antofagasta VIH SIDA enfermedad transmisión sexual casos población control programa sexo hombre mujer"/>
    <x v="328"/>
    <s v="100-R-2"/>
    <s v="#1774B9"/>
    <s v="990-0329"/>
    <n v="99200002"/>
    <s v="T-1000"/>
    <s v="C-1010"/>
    <s v="FI-993"/>
    <s v="M-1028"/>
  </r>
  <r>
    <x v="329"/>
    <n v="990"/>
    <x v="0"/>
    <x v="4"/>
    <n v="3"/>
    <x v="25"/>
    <x v="15"/>
    <x v="1"/>
    <x v="3"/>
    <s v="Ninguno"/>
    <s v="Población en control por sexo por región"/>
    <s v="Periodo 2011-2018"/>
    <s v="Número de Casos"/>
    <s v="Departamento de Estadísticas e Información de la Salud (DEIS) - Ministerio de Salud"/>
    <x v="329"/>
    <s v="En la región de Atacama, para el año 2012 la población en control en el programa VIH/SIDA fue de 183 hombres y 68 mujeres, mientras que para el año 2018 fue de 363 hombres y 128 mujeres."/>
    <s v="Gráfico de Evolución"/>
    <s v="Región de Atacama VIH SIDA enfermedad transmisión sexual casos población control programa sexo hombre mujer"/>
    <x v="329"/>
    <s v="100-R-3"/>
    <s v="#1774B9"/>
    <s v="990-0330"/>
    <n v="99200003"/>
    <s v="T-1000"/>
    <s v="C-1010"/>
    <s v="FI-993"/>
    <s v="M-1028"/>
  </r>
  <r>
    <x v="330"/>
    <n v="990"/>
    <x v="0"/>
    <x v="4"/>
    <n v="4"/>
    <x v="25"/>
    <x v="15"/>
    <x v="1"/>
    <x v="4"/>
    <s v="Ninguno"/>
    <s v="Población en control por sexo por región"/>
    <s v="Periodo 2011-2018"/>
    <s v="Número de Casos"/>
    <s v="Departamento de Estadísticas e Información de la Salud (DEIS) - Ministerio de Salud"/>
    <x v="330"/>
    <s v="En la región de Coquimbo, para el año 2012 la población en control en el programa VIH/SIDA fue de 528 hombres y 173 mujeres, mientras que para el año 2018 fue de 1.173 hombres y 334 mujeres."/>
    <s v="Gráfico de Evolución"/>
    <s v="Región de Coquimbo VIH SIDA enfermedad transmisión sexual casos población control programa sexo hombre mujer"/>
    <x v="330"/>
    <s v="100-R-4"/>
    <s v="#1774B9"/>
    <s v="990-0331"/>
    <n v="99200004"/>
    <s v="T-1000"/>
    <s v="C-1010"/>
    <s v="FI-993"/>
    <s v="M-1028"/>
  </r>
  <r>
    <x v="331"/>
    <n v="990"/>
    <x v="0"/>
    <x v="4"/>
    <n v="5"/>
    <x v="25"/>
    <x v="15"/>
    <x v="1"/>
    <x v="5"/>
    <s v="Ninguno"/>
    <s v="Población en control por sexo por región"/>
    <s v="Periodo 2011-2018"/>
    <s v="Número de Casos"/>
    <s v="Departamento de Estadísticas e Información de la Salud (DEIS) - Ministerio de Salud"/>
    <x v="331"/>
    <s v="En la región de Valparaíso, para el año 2012 la población en control en el programa VIH/SIDA fue de 2.227 hombres y 632 mujeres, mientras que para el año 2018 fue de 2.745 hombres y 592 mujeres."/>
    <s v="Gráfico de Evolución"/>
    <s v="Región de Valparaíso VIH SIDA enfermedad transmisión sexual casos población control programa sexo hombre mujer"/>
    <x v="331"/>
    <s v="100-R-5"/>
    <s v="#1774B9"/>
    <s v="990-0332"/>
    <n v="99200005"/>
    <s v="T-1000"/>
    <s v="C-1010"/>
    <s v="FI-993"/>
    <s v="M-1028"/>
  </r>
  <r>
    <x v="332"/>
    <n v="990"/>
    <x v="0"/>
    <x v="4"/>
    <n v="6"/>
    <x v="25"/>
    <x v="15"/>
    <x v="1"/>
    <x v="6"/>
    <s v="Ninguno"/>
    <s v="Población en control por sexo por región"/>
    <s v="Periodo 2011-2018"/>
    <s v="Número de Casos"/>
    <s v="Departamento de Estadísticas e Información de la Salud (DEIS) - Ministerio de Salud"/>
    <x v="332"/>
    <s v="En la región de O'Higgins, para el año 2012 la población en control en el programa VIH/SIDA fue de 334 hombres y 102 mujeres, mientras que para el año 2018 fue de 854 hombres y 222 mujeres."/>
    <s v="Gráfico de Evolución"/>
    <s v="Región de O'Higgins VIH SIDA enfermedad transmisión sexual casos población control programa sexo hombre mujer"/>
    <x v="332"/>
    <s v="100-R-6"/>
    <s v="#1774B9"/>
    <s v="990-0333"/>
    <n v="99200006"/>
    <s v="T-1000"/>
    <s v="C-1010"/>
    <s v="FI-993"/>
    <s v="M-1028"/>
  </r>
  <r>
    <x v="333"/>
    <n v="990"/>
    <x v="0"/>
    <x v="4"/>
    <n v="7"/>
    <x v="25"/>
    <x v="15"/>
    <x v="1"/>
    <x v="7"/>
    <s v="Ninguno"/>
    <s v="Población en control por sexo por región"/>
    <s v="Periodo 2011-2018"/>
    <s v="Número de Casos"/>
    <s v="Departamento de Estadísticas e Información de la Salud (DEIS) - Ministerio de Salud"/>
    <x v="333"/>
    <s v="En la región del Maule, para el año 2012 la población en control en el programa VIH/SIDA fue de 358 hombres y 147 mujeres, mientras que para el año 2018 fue de 883 hombres y 319 mujeres."/>
    <s v="Gráfico de Evolución"/>
    <s v="Región de Maule VIH SIDA enfermedad transmisión sexual casos población control programa sexo hombre mujer"/>
    <x v="333"/>
    <s v="100-R-7"/>
    <s v="#1774B9"/>
    <s v="990-0334"/>
    <n v="99200007"/>
    <s v="T-1000"/>
    <s v="C-1010"/>
    <s v="FI-993"/>
    <s v="M-1028"/>
  </r>
  <r>
    <x v="334"/>
    <n v="990"/>
    <x v="0"/>
    <x v="4"/>
    <n v="8"/>
    <x v="25"/>
    <x v="15"/>
    <x v="1"/>
    <x v="8"/>
    <s v="Ninguno"/>
    <s v="Población en control por sexo por región"/>
    <s v="Periodo 2011-2018"/>
    <s v="Número de Casos"/>
    <s v="Departamento de Estadísticas e Información de la Salud (DEIS) - Ministerio de Salud"/>
    <x v="334"/>
    <s v="En la región del Biobío, para el año 2012 la población en control en el programa VIH/SIDA fue de 830 hombres y 146 mujeres, mientras que para el año 2018 fue de 1.950 hombres y 326 mujeres."/>
    <s v="Gráfico de Evolución"/>
    <s v="Región del Biobío VIH SIDA enfermedad transmisión sexual casos población control programa sexo hombre mujer"/>
    <x v="334"/>
    <s v="100-R-8"/>
    <s v="#1774B9"/>
    <s v="990-0335"/>
    <n v="99200008"/>
    <s v="T-1000"/>
    <s v="C-1010"/>
    <s v="FI-993"/>
    <s v="M-1028"/>
  </r>
  <r>
    <x v="335"/>
    <n v="990"/>
    <x v="0"/>
    <x v="4"/>
    <n v="9"/>
    <x v="25"/>
    <x v="15"/>
    <x v="1"/>
    <x v="9"/>
    <s v="Ninguno"/>
    <s v="Población en control por sexo por región"/>
    <s v="Periodo 2011-2018"/>
    <s v="Número de Casos"/>
    <s v="Departamento de Estadísticas e Información de la Salud (DEIS) - Ministerio de Salud"/>
    <x v="335"/>
    <s v="En la región de La Araucanía, para el año 2012 la población en control en el programa VIH/SIDA fue de 289 hombres y 84 mujeres, mientras que para el año 2018 fue de 548 hombres y 164 mujeres."/>
    <s v="Gráfico de Evolución"/>
    <s v="Región de La Araucanía VIH SIDA enfermedad transmisión sexual casos población control programa sexo hombre mujer"/>
    <x v="335"/>
    <s v="100-R-9"/>
    <s v="#1774B9"/>
    <s v="990-0336"/>
    <n v="99200009"/>
    <s v="T-1000"/>
    <s v="C-1010"/>
    <s v="FI-993"/>
    <s v="M-1028"/>
  </r>
  <r>
    <x v="336"/>
    <n v="990"/>
    <x v="0"/>
    <x v="4"/>
    <n v="10"/>
    <x v="25"/>
    <x v="15"/>
    <x v="1"/>
    <x v="10"/>
    <s v="Ninguno"/>
    <s v="Población en control por sexo por región"/>
    <s v="Periodo 2011-2018"/>
    <s v="Número de Casos"/>
    <s v="Departamento de Estadísticas e Información de la Salud (DEIS) - Ministerio de Salud"/>
    <x v="336"/>
    <s v="En la región de Los Lagos, para el año 2012 la población en control en el programa VIH/SIDA fue de 560 hombres y 116 mujeres, mientras que para el año 2018 fue de 1.223 hombres y 317 mujeres."/>
    <s v="Gráfico de Evolución"/>
    <s v="Región de Los Lagos VIH SIDA enfermedad transmisión sexual casos población control programa sexo hombre mujer"/>
    <x v="336"/>
    <s v="100-R-10"/>
    <s v="#1774B9"/>
    <s v="990-0337"/>
    <n v="99200010"/>
    <s v="T-1000"/>
    <s v="C-1010"/>
    <s v="FI-993"/>
    <s v="M-1028"/>
  </r>
  <r>
    <x v="337"/>
    <n v="990"/>
    <x v="0"/>
    <x v="4"/>
    <n v="11"/>
    <x v="25"/>
    <x v="15"/>
    <x v="1"/>
    <x v="11"/>
    <s v="Ninguno"/>
    <s v="Población en control por sexo por región"/>
    <s v="Periodo 2011-2018"/>
    <s v="Número de Casos"/>
    <s v="Departamento de Estadísticas e Información de la Salud (DEIS) - Ministerio de Salud"/>
    <x v="337"/>
    <s v="En la región de Aysén, para el año 2012 la población en control en el programa VIH/SIDA fue de 7 hombres y 1 mujeres, mientras que para el año 2018 fue de 83 hombres y 32 mujeres."/>
    <s v="Gráfico de Evolución"/>
    <s v="Región de Aysén VIH SIDA enfermedad transmisión sexual casos población control programa sexo hombre mujer"/>
    <x v="337"/>
    <s v="100-R-11"/>
    <s v="#1774B9"/>
    <s v="990-0338"/>
    <n v="99200011"/>
    <s v="T-1000"/>
    <s v="C-1010"/>
    <s v="FI-993"/>
    <s v="M-1028"/>
  </r>
  <r>
    <x v="338"/>
    <n v="990"/>
    <x v="0"/>
    <x v="4"/>
    <n v="12"/>
    <x v="25"/>
    <x v="15"/>
    <x v="1"/>
    <x v="12"/>
    <s v="Ninguno"/>
    <s v="Población en control por sexo por región"/>
    <s v="Periodo 2011-2018"/>
    <s v="Número de Casos"/>
    <s v="Departamento de Estadísticas e Información de la Salud (DEIS) - Ministerio de Salud"/>
    <x v="338"/>
    <s v="En la región de Magallanes, para el año 2012 la población en control en el programa VIH/SIDA fue de 120 hombres y 25 mujeres, mientras que para el año 2018 fue de 34 hombres y 2 mujeres."/>
    <s v="Gráfico de Evolución"/>
    <s v="Región de Magallanes VIH SIDA enfermedad transmisión sexual casos población control programa sexo hombre mujer"/>
    <x v="338"/>
    <s v="100-R-12"/>
    <s v="#1774B9"/>
    <s v="990-0339"/>
    <n v="99200012"/>
    <s v="T-1000"/>
    <s v="C-1010"/>
    <s v="FI-993"/>
    <s v="M-1028"/>
  </r>
  <r>
    <x v="339"/>
    <n v="990"/>
    <x v="0"/>
    <x v="4"/>
    <n v="13"/>
    <x v="25"/>
    <x v="15"/>
    <x v="1"/>
    <x v="13"/>
    <s v="Ninguno"/>
    <s v="Población en control por sexo por región"/>
    <s v="Periodo 2011-2018"/>
    <s v="Número de Casos"/>
    <s v="Departamento de Estadísticas e Información de la Salud (DEIS) - Ministerio de Salud"/>
    <x v="339"/>
    <s v="En la región Metropolitana, para el año 2012 la población en control en el programa VIH/SIDA fue de 8.057 hombres y 1.117 mujeres, mientras que para el año 2018 fue de 16.660 hombres y 2.601 mujeres."/>
    <s v="Gráfico de Evolución"/>
    <s v="Región Metropolitana VIH SIDA enfermedad transmisión sexual casos población control programa sexo hombre mujer"/>
    <x v="339"/>
    <s v="200-R-13"/>
    <s v="#1774B9"/>
    <s v="990-0340"/>
    <n v="99200013"/>
    <s v="T-1000"/>
    <s v="C-1010"/>
    <s v="FI-993"/>
    <s v="M-1028"/>
  </r>
  <r>
    <x v="340"/>
    <n v="990"/>
    <x v="0"/>
    <x v="4"/>
    <n v="14"/>
    <x v="25"/>
    <x v="15"/>
    <x v="1"/>
    <x v="14"/>
    <s v="Ninguno"/>
    <s v="Población en control por sexo por región"/>
    <s v="Periodo 2011-2018"/>
    <s v="Número de Casos"/>
    <s v="Departamento de Estadísticas e Información de la Salud (DEIS) - Ministerio de Salud"/>
    <x v="340"/>
    <s v="En la región de Los Ríos, para el año 2012 la población en control en el programa VIH/SIDA fue de 211 hombres y 64 mujeres, mientras que para el año 2018 fue de 412 hombres y 109 mujeres."/>
    <s v="Gráfico de Evolución"/>
    <s v="Región de Los Ríos VIH SIDA enfermedad transmisión sexual casos población control programa sexo hombre mujer"/>
    <x v="340"/>
    <s v="100-R-14"/>
    <s v="#1774B9"/>
    <s v="990-0341"/>
    <n v="99200014"/>
    <s v="T-1000"/>
    <s v="C-1010"/>
    <s v="FI-993"/>
    <s v="M-1028"/>
  </r>
  <r>
    <x v="341"/>
    <n v="990"/>
    <x v="0"/>
    <x v="4"/>
    <n v="15"/>
    <x v="25"/>
    <x v="15"/>
    <x v="1"/>
    <x v="15"/>
    <s v="Ninguno"/>
    <s v="Población en control por sexo por región"/>
    <s v="Periodo 2011-2018"/>
    <s v="Número de Casos"/>
    <s v="Departamento de Estadísticas e Información de la Salud (DEIS) - Ministerio de Salud"/>
    <x v="341"/>
    <s v="En la región de Arica y Parinacota, para el año 2012 la población en control en el programa VIH/SIDA fue de 373 hombres y 135 mujeres, mientras que para el año 2018 fue de 701 hombres y 242 mujeres."/>
    <s v="Gráfico de Evolución"/>
    <s v="Región de Arica y Parinacota VIH SIDA enfermedad transmisión sexual casos población control programa sexo hombre mujer"/>
    <x v="341"/>
    <s v="100-R-15"/>
    <s v="#1774B9"/>
    <s v="990-0342"/>
    <n v="99200015"/>
    <s v="T-1000"/>
    <s v="C-1010"/>
    <s v="FI-993"/>
    <s v="M-1028"/>
  </r>
  <r>
    <x v="342"/>
    <n v="990"/>
    <x v="0"/>
    <x v="4"/>
    <n v="16"/>
    <x v="25"/>
    <x v="15"/>
    <x v="1"/>
    <x v="16"/>
    <s v="Ninguno"/>
    <s v="Población en control por sexo por región"/>
    <s v="Periodo 2011-2018"/>
    <s v="Número de Casos"/>
    <s v="Departamento de Estadísticas e Información de la Salud (DEIS) - Ministerio de Salud"/>
    <x v="342"/>
    <s v="En la región de Ñuble, para el año 2012 la población en control en el programa VIH/SIDA fue de 139 hombres y 27 mujeres, mientras que para el año 2018 fue de 304 hombres y 67 mujeres."/>
    <s v="Gráfico de Evolución"/>
    <s v="Región de Ñuble VIH SIDA enfermedad transmisión sexual casos población control programa sexo hombre mujer"/>
    <x v="342"/>
    <s v="100-R-16"/>
    <s v="#1774B9"/>
    <s v="990-0343"/>
    <n v="99200016"/>
    <s v="T-1000"/>
    <s v="C-1010"/>
    <s v="FI-993"/>
    <s v="M-1028"/>
  </r>
  <r>
    <x v="343"/>
    <n v="990"/>
    <x v="0"/>
    <x v="11"/>
    <n v="0"/>
    <x v="26"/>
    <x v="16"/>
    <x v="0"/>
    <x v="0"/>
    <s v="Ninguno"/>
    <s v="Cantidad de comunas según grado por región"/>
    <s v="Año 2020"/>
    <s v="Número de comunas"/>
    <s v="Elaboración propia con datos de CONAF/SUD-Austral, CASEN, CENSO 2017."/>
    <x v="343"/>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x v="343"/>
    <s v="300-R"/>
    <s v="#1774B9"/>
    <s v="990-0344"/>
    <n v="99100000"/>
    <s v="T-1001"/>
    <s v="C-992"/>
    <s v="FI-993"/>
    <s v="M-1029"/>
  </r>
  <r>
    <x v="344"/>
    <n v="990"/>
    <x v="0"/>
    <x v="11"/>
    <n v="1"/>
    <x v="26"/>
    <x v="16"/>
    <x v="1"/>
    <x v="1"/>
    <s v="Ninguno"/>
    <s v="Cantidad de comunas según grado por región"/>
    <s v="Año 2020"/>
    <s v="Número de comunas"/>
    <s v="Elaboración propia con datos de CONAF/SUD-Austral, CASEN, CENSO 2017."/>
    <x v="34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
    <s v="Gráfico"/>
    <s v="Región de Tarapacá cambio climático vulnerabilidad índice cantidad comunas"/>
    <x v="344"/>
    <s v="100-R-1"/>
    <s v="#1774B9"/>
    <s v="990-0345"/>
    <n v="99200001"/>
    <s v="T-1001"/>
    <s v="C-992"/>
    <s v="FI-993"/>
    <s v="M-1029"/>
  </r>
  <r>
    <x v="345"/>
    <n v="990"/>
    <x v="0"/>
    <x v="11"/>
    <n v="2"/>
    <x v="26"/>
    <x v="16"/>
    <x v="1"/>
    <x v="2"/>
    <s v="Ninguno"/>
    <s v="Cantidad de comunas según grado por región"/>
    <s v="Año 2020"/>
    <s v="Número de comunas"/>
    <s v="Elaboración propia con datos de CONAF/SUD-Austral, CASEN, CENSO 2017."/>
    <x v="345"/>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
    <s v="Gráfico"/>
    <s v="Región de Antofagasta cambio climático vulnerabilidad índice cantidad comunas"/>
    <x v="345"/>
    <s v="100-R-2"/>
    <s v="#1774B9"/>
    <s v="990-0346"/>
    <n v="99200002"/>
    <s v="T-1001"/>
    <s v="C-992"/>
    <s v="FI-993"/>
    <s v="M-1029"/>
  </r>
  <r>
    <x v="346"/>
    <n v="990"/>
    <x v="0"/>
    <x v="11"/>
    <n v="3"/>
    <x v="26"/>
    <x v="16"/>
    <x v="1"/>
    <x v="3"/>
    <s v="Ninguno"/>
    <s v="Cantidad de comunas según grado por región"/>
    <s v="Año 2020"/>
    <s v="Número de comunas"/>
    <s v="Elaboración propia con datos de CONAF/SUD-Austral, CASEN, CENSO 2017."/>
    <x v="346"/>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
    <s v="Gráfico"/>
    <s v="Región de Atacama cambio climático vulnerabilidad índice cantidad comunas"/>
    <x v="346"/>
    <s v="100-R-3"/>
    <s v="#1774B9"/>
    <s v="990-0347"/>
    <n v="99200003"/>
    <s v="T-1001"/>
    <s v="C-992"/>
    <s v="FI-993"/>
    <s v="M-1029"/>
  </r>
  <r>
    <x v="347"/>
    <n v="990"/>
    <x v="0"/>
    <x v="11"/>
    <n v="4"/>
    <x v="26"/>
    <x v="16"/>
    <x v="1"/>
    <x v="4"/>
    <s v="Ninguno"/>
    <s v="Cantidad de comunas según grado por región"/>
    <s v="Año 2020"/>
    <s v="Número de comunas"/>
    <s v="Elaboración propia con datos de CONAF/SUD-Austral, CASEN, CENSO 2017."/>
    <x v="347"/>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
    <s v="Gráfico"/>
    <s v="Región de Coquimbo cambio climático vulnerabilidad índice cantidad comunas"/>
    <x v="347"/>
    <s v="100-R-4"/>
    <s v="#1774B9"/>
    <s v="990-0348"/>
    <n v="99200004"/>
    <s v="T-1001"/>
    <s v="C-992"/>
    <s v="FI-993"/>
    <s v="M-1029"/>
  </r>
  <r>
    <x v="348"/>
    <n v="990"/>
    <x v="0"/>
    <x v="11"/>
    <n v="5"/>
    <x v="26"/>
    <x v="16"/>
    <x v="1"/>
    <x v="5"/>
    <s v="Ninguno"/>
    <s v="Cantidad de comunas según grado por región"/>
    <s v="Año 2020"/>
    <s v="Número de comunas"/>
    <s v="Elaboración propia con datos de CONAF/SUD-Austral, CASEN, CENSO 2017."/>
    <x v="348"/>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
    <s v="Gráfico"/>
    <s v="Región de Valparaíso cambio climático vulnerabilidad índice cantidad comunas"/>
    <x v="348"/>
    <s v="100-R-5"/>
    <s v="#1774B9"/>
    <s v="990-0349"/>
    <n v="99200005"/>
    <s v="T-1001"/>
    <s v="C-992"/>
    <s v="FI-993"/>
    <s v="M-1029"/>
  </r>
  <r>
    <x v="349"/>
    <n v="990"/>
    <x v="0"/>
    <x v="11"/>
    <n v="6"/>
    <x v="26"/>
    <x v="16"/>
    <x v="1"/>
    <x v="6"/>
    <s v="Ninguno"/>
    <s v="Cantidad de comunas según grado por región"/>
    <s v="Año 2020"/>
    <s v="Número de comunas"/>
    <s v="Elaboración propia con datos de CONAF/SUD-Austral, CASEN, CENSO 2017."/>
    <x v="349"/>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
    <s v="Gráfico"/>
    <s v="Región de O'Higgins cambio climático vulnerabilidad índice cantidad comunas"/>
    <x v="349"/>
    <s v="100-R-6"/>
    <s v="#1774B9"/>
    <s v="990-0350"/>
    <n v="99200006"/>
    <s v="T-1001"/>
    <s v="C-992"/>
    <s v="FI-993"/>
    <s v="M-1029"/>
  </r>
  <r>
    <x v="350"/>
    <n v="990"/>
    <x v="0"/>
    <x v="11"/>
    <n v="7"/>
    <x v="26"/>
    <x v="16"/>
    <x v="1"/>
    <x v="7"/>
    <s v="Ninguno"/>
    <s v="Cantidad de comunas según grado por región"/>
    <s v="Año 2020"/>
    <s v="Número de comunas"/>
    <s v="Elaboración propia con datos de CONAF/SUD-Austral, CASEN, CENSO 2017."/>
    <x v="35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
    <s v="Gráfico"/>
    <s v="Región de Maule cambio climático vulnerabilidad índice cantidad comunas"/>
    <x v="350"/>
    <s v="100-R-7"/>
    <s v="#1774B9"/>
    <s v="990-0351"/>
    <n v="99200007"/>
    <s v="T-1001"/>
    <s v="C-992"/>
    <s v="FI-993"/>
    <s v="M-1029"/>
  </r>
  <r>
    <x v="351"/>
    <n v="990"/>
    <x v="0"/>
    <x v="11"/>
    <n v="8"/>
    <x v="26"/>
    <x v="16"/>
    <x v="1"/>
    <x v="8"/>
    <s v="Ninguno"/>
    <s v="Cantidad de comunas según grado por región"/>
    <s v="Año 2020"/>
    <s v="Número de comunas"/>
    <s v="Elaboración propia con datos de CONAF/SUD-Austral, CASEN, CENSO 2017."/>
    <x v="35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
    <s v="Gráfico"/>
    <s v="Región del Biobío cambio climático vulnerabilidad índice cantidad comunas"/>
    <x v="351"/>
    <s v="100-R-8"/>
    <s v="#1774B9"/>
    <s v="990-0352"/>
    <n v="99200008"/>
    <s v="T-1001"/>
    <s v="C-992"/>
    <s v="FI-993"/>
    <s v="M-1029"/>
  </r>
  <r>
    <x v="352"/>
    <n v="990"/>
    <x v="0"/>
    <x v="11"/>
    <n v="9"/>
    <x v="26"/>
    <x v="16"/>
    <x v="1"/>
    <x v="9"/>
    <s v="Ninguno"/>
    <s v="Cantidad de comunas según grado por región"/>
    <s v="Año 2020"/>
    <s v="Número de comunas"/>
    <s v="Elaboración propia con datos de CONAF/SUD-Austral, CASEN, CENSO 2017."/>
    <x v="352"/>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
    <s v="Gráfico"/>
    <s v="Región de La Araucanía cambio climático vulnerabilidad índice cantidad comunas"/>
    <x v="352"/>
    <s v="100-R-9"/>
    <s v="#1774B9"/>
    <s v="990-0353"/>
    <n v="99200009"/>
    <s v="T-1001"/>
    <s v="C-992"/>
    <s v="FI-993"/>
    <s v="M-1029"/>
  </r>
  <r>
    <x v="353"/>
    <n v="990"/>
    <x v="0"/>
    <x v="11"/>
    <n v="10"/>
    <x v="26"/>
    <x v="16"/>
    <x v="1"/>
    <x v="10"/>
    <s v="Ninguno"/>
    <s v="Cantidad de comunas según grado por región"/>
    <s v="Año 2020"/>
    <s v="Número de comunas"/>
    <s v="Elaboración propia con datos de CONAF/SUD-Austral, CASEN, CENSO 2017."/>
    <x v="353"/>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
    <s v="Gráfico"/>
    <s v="Región de Los Lagos cambio climático vulnerabilidad índice cantidad comunas"/>
    <x v="353"/>
    <s v="100-R-10"/>
    <s v="#1774B9"/>
    <s v="990-0354"/>
    <n v="99200010"/>
    <s v="T-1001"/>
    <s v="C-992"/>
    <s v="FI-993"/>
    <s v="M-1029"/>
  </r>
  <r>
    <x v="354"/>
    <n v="990"/>
    <x v="0"/>
    <x v="11"/>
    <n v="11"/>
    <x v="26"/>
    <x v="16"/>
    <x v="1"/>
    <x v="11"/>
    <s v="Ninguno"/>
    <s v="Cantidad de comunas según grado por región"/>
    <s v="Año 2020"/>
    <s v="Número de comunas"/>
    <s v="Elaboración propia con datos de CONAF/SUD-Austral, CASEN, CENSO 2017."/>
    <x v="35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
    <s v="Gráfico"/>
    <s v="Región de Aysén cambio climático vulnerabilidad índice cantidad comunas"/>
    <x v="354"/>
    <s v="100-R-11"/>
    <s v="#1774B9"/>
    <s v="990-0355"/>
    <n v="99200011"/>
    <s v="T-1001"/>
    <s v="C-992"/>
    <s v="FI-993"/>
    <s v="M-1029"/>
  </r>
  <r>
    <x v="355"/>
    <n v="990"/>
    <x v="0"/>
    <x v="11"/>
    <n v="12"/>
    <x v="26"/>
    <x v="16"/>
    <x v="1"/>
    <x v="12"/>
    <s v="Ninguno"/>
    <s v="Cantidad de comunas según grado por región"/>
    <s v="Año 2020"/>
    <s v="Número de comunas"/>
    <s v="Elaboración propia con datos de CONAF/SUD-Austral, CASEN, CENSO 2017."/>
    <x v="355"/>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
    <s v="Gráfico"/>
    <s v="Región de Magallanes cambio climático vulnerabilidad índice cantidad comunas"/>
    <x v="355"/>
    <s v="100-R-12"/>
    <s v="#1774B9"/>
    <s v="990-0356"/>
    <n v="99200012"/>
    <s v="T-1001"/>
    <s v="C-992"/>
    <s v="FI-993"/>
    <s v="M-1029"/>
  </r>
  <r>
    <x v="356"/>
    <n v="990"/>
    <x v="0"/>
    <x v="11"/>
    <n v="13"/>
    <x v="26"/>
    <x v="16"/>
    <x v="1"/>
    <x v="13"/>
    <s v="Ninguno"/>
    <s v="Cantidad de comunas según grado por región"/>
    <s v="Año 2020"/>
    <s v="Número de comunas"/>
    <s v="Elaboración propia con datos de CONAF/SUD-Austral, CASEN, CENSO 2017."/>
    <x v="356"/>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
    <s v="Gráfico"/>
    <s v="Región Metropolitana cambio climático vulnerabilidad índice cantidad comunas"/>
    <x v="356"/>
    <s v="200-R-13"/>
    <s v="#1774B9"/>
    <s v="990-0357"/>
    <n v="99200013"/>
    <s v="T-1001"/>
    <s v="C-992"/>
    <s v="FI-993"/>
    <s v="M-1029"/>
  </r>
  <r>
    <x v="357"/>
    <n v="990"/>
    <x v="0"/>
    <x v="11"/>
    <n v="14"/>
    <x v="26"/>
    <x v="16"/>
    <x v="1"/>
    <x v="14"/>
    <s v="Ninguno"/>
    <s v="Cantidad de comunas según grado por región"/>
    <s v="Año 2020"/>
    <s v="Número de comunas"/>
    <s v="Elaboración propia con datos de CONAF/SUD-Austral, CASEN, CENSO 2017."/>
    <x v="357"/>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
    <s v="Gráfico"/>
    <s v="Región de Los Ríos cambio climático vulnerabilidad índice cantidad comunas"/>
    <x v="357"/>
    <s v="100-R-14"/>
    <s v="#1774B9"/>
    <s v="990-0358"/>
    <n v="99200014"/>
    <s v="T-1001"/>
    <s v="C-992"/>
    <s v="FI-993"/>
    <s v="M-1029"/>
  </r>
  <r>
    <x v="358"/>
    <n v="990"/>
    <x v="0"/>
    <x v="11"/>
    <n v="15"/>
    <x v="26"/>
    <x v="16"/>
    <x v="1"/>
    <x v="15"/>
    <s v="Ninguno"/>
    <s v="Cantidad de comunas según grado por región"/>
    <s v="Año 2020"/>
    <s v="Número de comunas"/>
    <s v="Elaboración propia con datos de CONAF/SUD-Austral, CASEN, CENSO 2017."/>
    <x v="358"/>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
    <s v="Gráfico"/>
    <s v="Región de Arica y Parinacota cambio climático vulnerabilidad índice cantidad comunas"/>
    <x v="358"/>
    <s v="100-R-15"/>
    <s v="#1774B9"/>
    <s v="990-0359"/>
    <n v="99200015"/>
    <s v="T-1001"/>
    <s v="C-992"/>
    <s v="FI-993"/>
    <s v="M-1029"/>
  </r>
  <r>
    <x v="359"/>
    <n v="990"/>
    <x v="0"/>
    <x v="11"/>
    <n v="16"/>
    <x v="26"/>
    <x v="16"/>
    <x v="1"/>
    <x v="16"/>
    <s v="Ninguno"/>
    <s v="Cantidad de comunas según grado por región"/>
    <s v="Año 2020"/>
    <s v="Número de comunas"/>
    <s v="Elaboración propia con datos de CONAF/SUD-Austral, CASEN, CENSO 2017."/>
    <x v="359"/>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
    <s v="Gráfico"/>
    <s v="Región de Ñuble cambio climático vulnerabilidad índice cantidad comunas"/>
    <x v="359"/>
    <s v="100-R-16"/>
    <s v="#1774B9"/>
    <s v="990-0360"/>
    <n v="99200016"/>
    <s v="T-1001"/>
    <s v="C-992"/>
    <s v="FI-993"/>
    <s v="M-1029"/>
  </r>
  <r>
    <x v="360"/>
    <n v="990"/>
    <x v="0"/>
    <x v="11"/>
    <n v="0"/>
    <x v="26"/>
    <x v="16"/>
    <x v="0"/>
    <x v="0"/>
    <s v="Ninguno"/>
    <s v="Comunas con vulnerabilidad alta"/>
    <s v="Año 2020"/>
    <s v="Número de comunas"/>
    <s v="Elaboración propia con datos de CONAF/SUD-Austral, CASEN, CENSO 2017."/>
    <x v="36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
    <s v="Mapa de calor"/>
    <s v="Chile cambio climático vulnerabilidad índice comunas alta"/>
    <x v="360"/>
    <n v="0"/>
    <s v="#1774B9"/>
    <s v="990-0361"/>
    <n v="99100000"/>
    <s v="T-1001"/>
    <s v="C-992"/>
    <s v="FI-993"/>
    <s v="M-1030"/>
  </r>
  <r>
    <x v="361"/>
    <n v="990"/>
    <x v="0"/>
    <x v="11"/>
    <n v="0"/>
    <x v="26"/>
    <x v="16"/>
    <x v="0"/>
    <x v="0"/>
    <s v="Ninguno"/>
    <s v="Comunas con vulnerabilidad alta y moderada por región"/>
    <s v="Año 2020"/>
    <s v="Número de comunas"/>
    <s v="Elaboración propia con datos de CONAF/SUD-Austral, CASEN, CENSO 2017."/>
    <x v="36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x v="361"/>
    <n v="0"/>
    <s v="#1774B9"/>
    <s v="990-0362"/>
    <n v="99100000"/>
    <s v="T-1001"/>
    <s v="C-992"/>
    <s v="FI-993"/>
    <s v="M-1031"/>
  </r>
  <r>
    <x v="362"/>
    <n v="990"/>
    <x v="0"/>
    <x v="8"/>
    <n v="0"/>
    <x v="18"/>
    <x v="11"/>
    <x v="0"/>
    <x v="0"/>
    <s v="Región"/>
    <s v="Porcentaje de comunas con IPT local por región"/>
    <s v="Año 2020"/>
    <s v="Porcentaje (%)"/>
    <s v="Observatorio Urbano - Ministerio de Vivienda y Urbanismo (MINVU)"/>
    <x v="362"/>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x v="362"/>
    <n v="0"/>
    <s v="#1774B9"/>
    <s v="990-0363"/>
    <n v="99100000"/>
    <s v="T-1037"/>
    <s v="C-999"/>
    <s v="FI-992"/>
    <s v="M-1033"/>
  </r>
  <r>
    <x v="363"/>
    <n v="990"/>
    <x v="0"/>
    <x v="6"/>
    <n v="0"/>
    <x v="27"/>
    <x v="17"/>
    <x v="0"/>
    <x v="0"/>
    <s v="Región"/>
    <s v="Población de Pueblos Originarios por sexo por región"/>
    <s v="Año 2017"/>
    <s v="Número de personas"/>
    <s v="Instituto Nacional de Estadísticas (INE)"/>
    <x v="363"/>
    <s v="En Chile para el año 2017 el pueblo indígena con mayor cantidad de personas fue el pueblo Mapuche con 861.241 hombres y 883.906 mujeres, mientras que la población indígena con menor cantidad de personas fue el pueblo Yagán o Yámana con 864 hombres y 736 mujeres.  "/>
    <s v="Gráfico"/>
    <s v="Chile población pueblos originarios indígenas etnia sexo mujer hombre"/>
    <x v="363"/>
    <n v="0"/>
    <s v="#1774B9"/>
    <s v="990-0364"/>
    <n v="99100000"/>
    <s v="T-1004"/>
    <s v="C-1012"/>
    <s v="FI-992"/>
    <s v="M-1034"/>
  </r>
  <r>
    <x v="364"/>
    <n v="990"/>
    <x v="0"/>
    <x v="6"/>
    <n v="0"/>
    <x v="28"/>
    <x v="18"/>
    <x v="0"/>
    <x v="0"/>
    <s v="Comuna"/>
    <s v="Defunciones anuales por comuna"/>
    <s v="Periodo 2010-2021"/>
    <s v="Número de personas"/>
    <s v="Servicio de Registro Civil de Chile"/>
    <x v="364"/>
    <s v="A nivel nacional, las defunciones presentan un incremento constante desde el año 2012 en adelante, sin embargo, el año 2020 aumentan significativamente más que los años anteriores."/>
    <s v="Dashboard"/>
    <s v="Chile defunciones población cantidad número demografía"/>
    <x v="364"/>
    <s v="300-C"/>
    <s v="#1774B9"/>
    <s v="990-0365"/>
    <n v="99100000"/>
    <s v="T-1005"/>
    <s v="C-1002"/>
    <s v="FI-991"/>
    <s v="M-1035"/>
  </r>
  <r>
    <x v="365"/>
    <n v="990"/>
    <x v="0"/>
    <x v="6"/>
    <n v="1"/>
    <x v="28"/>
    <x v="18"/>
    <x v="1"/>
    <x v="1"/>
    <s v="Comuna"/>
    <s v="Defunciones anuales por comuna"/>
    <s v="Periodo 2010-2021"/>
    <s v="Número de personas"/>
    <s v="Servicio de Registro Civil de Chile"/>
    <x v="365"/>
    <s v="En la región de Tarapacá se observa que el año 2010 presenta la menor cantidad de defunciones anuales con 1.254. El año 2019 existe un alza, llegando a 1.521, lo que se ve incrementado el año 2020."/>
    <s v="Dashboard"/>
    <s v="Región de Tarapacá defunciones población cantidad número demografía"/>
    <x v="365"/>
    <s v="100-C-1"/>
    <s v="#1774B9"/>
    <s v="990-0366"/>
    <n v="99200001"/>
    <s v="T-1005"/>
    <s v="C-1002"/>
    <s v="FI-991"/>
    <s v="M-1035"/>
  </r>
  <r>
    <x v="366"/>
    <n v="990"/>
    <x v="0"/>
    <x v="6"/>
    <n v="2"/>
    <x v="28"/>
    <x v="18"/>
    <x v="1"/>
    <x v="2"/>
    <s v="Comuna"/>
    <s v="Defunciones anuales por comuna"/>
    <s v="Periodo 2010-2021"/>
    <s v="Número de personas"/>
    <s v="Servicio de Registro Civil de Chile"/>
    <x v="366"/>
    <s v="En la región de Antofagasta se observa desde el año 2015 un incremento constante, siendo el año 2020 el que presenta un mayor aumento con 3.690 defunciones. "/>
    <s v="Dashboard"/>
    <s v="Región de Antofagasta defunciones población cantidad número demografía"/>
    <x v="366"/>
    <s v="100-C-2"/>
    <s v="#1774B9"/>
    <s v="990-0367"/>
    <n v="99200002"/>
    <s v="T-1005"/>
    <s v="C-1002"/>
    <s v="FI-991"/>
    <s v="M-1035"/>
  </r>
  <r>
    <x v="367"/>
    <n v="990"/>
    <x v="0"/>
    <x v="6"/>
    <n v="3"/>
    <x v="28"/>
    <x v="18"/>
    <x v="1"/>
    <x v="3"/>
    <s v="Comuna"/>
    <s v="Defunciones anuales por comuna"/>
    <s v="Periodo 2010-2021"/>
    <s v="Número de personas"/>
    <s v="Servicio de Registro Civil de Chile"/>
    <x v="367"/>
    <s v="En la región de Atacama se observa que el año 2010 presenta la menor cantidad de defunciones anuales con 1.380 casos, presentando un alza en los años siguientes. En tanto el año 2020, presenta la mayor alza con 1.633 defunciones."/>
    <s v="Dashboard"/>
    <s v="Región de Atacama defunciones población cantidad número demografía"/>
    <x v="367"/>
    <s v="100-C-3"/>
    <s v="#1774B9"/>
    <s v="990-0368"/>
    <n v="99200003"/>
    <s v="T-1005"/>
    <s v="C-1002"/>
    <s v="FI-991"/>
    <s v="M-1035"/>
  </r>
  <r>
    <x v="368"/>
    <n v="990"/>
    <x v="0"/>
    <x v="6"/>
    <n v="4"/>
    <x v="28"/>
    <x v="18"/>
    <x v="1"/>
    <x v="4"/>
    <s v="Comuna"/>
    <s v="Defunciones anuales por comuna"/>
    <s v="Periodo 2010-2021"/>
    <s v="Número de personas"/>
    <s v="Servicio de Registro Civil de Chile"/>
    <x v="368"/>
    <s v="En la región de Coquimbo se observa desde el año 2011 un incremento constante, siendo el año 2020 el que presenta un mayor aumento con 4.781 defunciones. "/>
    <s v="Dashboard"/>
    <s v="Región de Coquimbo defunciones población cantidad número demografía"/>
    <x v="368"/>
    <s v="100-C-4"/>
    <s v="#1774B9"/>
    <s v="990-0369"/>
    <n v="99200004"/>
    <s v="T-1005"/>
    <s v="C-1002"/>
    <s v="FI-991"/>
    <s v="M-1035"/>
  </r>
  <r>
    <x v="369"/>
    <n v="990"/>
    <x v="0"/>
    <x v="6"/>
    <n v="5"/>
    <x v="28"/>
    <x v="18"/>
    <x v="1"/>
    <x v="5"/>
    <s v="Comuna"/>
    <s v="Defunciones anuales por comuna"/>
    <s v="Periodo 2010-2021"/>
    <s v="Número de personas"/>
    <s v="Servicio de Registro Civil de Chile"/>
    <x v="369"/>
    <s v="En la región de Coquimbo se observa desde el año 2011 un incremento constante, siendo el año 2020 el que presenta un mayor aumento con 14.576 defunciones."/>
    <s v="Dashboard"/>
    <s v="Región de Valparaíso defunciones población cantidad número demografía"/>
    <x v="369"/>
    <s v="100-C-5"/>
    <s v="#1774B9"/>
    <s v="990-0370"/>
    <n v="99200005"/>
    <s v="T-1005"/>
    <s v="C-1002"/>
    <s v="FI-991"/>
    <s v="M-1035"/>
  </r>
  <r>
    <x v="370"/>
    <n v="990"/>
    <x v="0"/>
    <x v="6"/>
    <n v="6"/>
    <x v="28"/>
    <x v="18"/>
    <x v="1"/>
    <x v="6"/>
    <s v="Comuna"/>
    <s v="Defunciones anuales por comuna"/>
    <s v="Periodo 2010-2021"/>
    <s v="Número de personas"/>
    <s v="Servicio de Registro Civil de Chile"/>
    <x v="370"/>
    <s v="En la región de O'Higgins se observa que el año 2011 presenta la menor cantidad de defunciones anuales con 4.739 casos, presentando un alza en los años siguientes. En tanto el año 2020, presenta la mayor alza con 6.425 defunciones."/>
    <s v="Dashboard"/>
    <s v="Región de O'Higgins defunciones población cantidad número demografía"/>
    <x v="370"/>
    <s v="100-C-6"/>
    <s v="#1774B9"/>
    <s v="990-0371"/>
    <n v="99200006"/>
    <s v="T-1005"/>
    <s v="C-1002"/>
    <s v="FI-991"/>
    <s v="M-1035"/>
  </r>
  <r>
    <x v="371"/>
    <n v="990"/>
    <x v="0"/>
    <x v="6"/>
    <n v="7"/>
    <x v="28"/>
    <x v="18"/>
    <x v="1"/>
    <x v="7"/>
    <s v="Comuna"/>
    <s v="Defunciones anuales por comuna"/>
    <s v="Periodo 2010-2021"/>
    <s v="Número de personas"/>
    <s v="Servicio de Registro Civil de Chile"/>
    <x v="371"/>
    <s v="En la región de Maule se observa que el año 2011 presenta la menor cantidad de defunciones anuales con 5.810 casos, presentando un alza en los años siguientes. En tanto el año 2020, presenta la mayor alza con 7.496 defunciones."/>
    <s v="Dashboard"/>
    <s v="Región de Maule defunciones población cantidad número demografía"/>
    <x v="371"/>
    <s v="100-C-7"/>
    <s v="#1774B9"/>
    <s v="990-0372"/>
    <n v="99200007"/>
    <s v="T-1005"/>
    <s v="C-1002"/>
    <s v="FI-991"/>
    <s v="M-1035"/>
  </r>
  <r>
    <x v="372"/>
    <n v="990"/>
    <x v="0"/>
    <x v="6"/>
    <n v="8"/>
    <x v="28"/>
    <x v="18"/>
    <x v="1"/>
    <x v="8"/>
    <s v="Comuna"/>
    <s v="Defunciones anuales por comuna"/>
    <s v="Periodo 2010-2021"/>
    <s v="Número de personas"/>
    <s v="Servicio de Registro Civil de Chile"/>
    <x v="372"/>
    <s v="En la región de Biobío se observa desde el año 2011 un incremento constante, siendo el año 2020 el que presenta un mayor aumento con 11.020 defunciones. "/>
    <s v="Dashboard"/>
    <s v="Región del Biobío defunciones población cantidad número demografía"/>
    <x v="372"/>
    <s v="100-C-8"/>
    <s v="#1774B9"/>
    <s v="990-0373"/>
    <n v="99200008"/>
    <s v="T-1005"/>
    <s v="C-1002"/>
    <s v="FI-991"/>
    <s v="M-1035"/>
  </r>
  <r>
    <x v="373"/>
    <n v="990"/>
    <x v="0"/>
    <x v="6"/>
    <n v="9"/>
    <x v="28"/>
    <x v="18"/>
    <x v="1"/>
    <x v="9"/>
    <s v="Comuna"/>
    <s v="Defunciones anuales por comuna"/>
    <s v="Periodo 2010-2021"/>
    <s v="Número de personas"/>
    <s v="Servicio de Registro Civil de Chile"/>
    <x v="373"/>
    <s v="En la región de La Araucanía se observa que el año 2011 presenta la menor cantidad de defunciones anuales con 5.808 casos, presentando un alza en los años siguientes. El año 2019 presenta 6.854 defunciones, en tanto el año 2020, presenta la mayor alza con 7.128 defunciones."/>
    <s v="Dashboard"/>
    <s v="Región de La Araucanía defunciones población cantidad número demografía"/>
    <x v="373"/>
    <s v="100-C-9"/>
    <s v="#1774B9"/>
    <s v="990-0374"/>
    <n v="99200009"/>
    <s v="T-1005"/>
    <s v="C-1002"/>
    <s v="FI-991"/>
    <s v="M-1035"/>
  </r>
  <r>
    <x v="374"/>
    <n v="990"/>
    <x v="0"/>
    <x v="6"/>
    <n v="10"/>
    <x v="28"/>
    <x v="18"/>
    <x v="1"/>
    <x v="10"/>
    <s v="Comuna"/>
    <s v="Defunciones anuales por comuna"/>
    <s v="Periodo 2010-2021"/>
    <s v="Número de personas"/>
    <s v="Servicio de Registro Civil de Chile"/>
    <x v="374"/>
    <s v="El gráfico muestra la evolución, en el periodo 2010-2021, de la cantidad de defunciones anuales en la región de Los Lagos, información regional y comunal, según información de Servicio de registro Civil de Chile."/>
    <s v="Dashboard"/>
    <s v="Región de Los Lagos defunciones población cantidad número demografía"/>
    <x v="374"/>
    <s v="100-C-10"/>
    <s v="#1774B9"/>
    <s v="990-0375"/>
    <n v="99200010"/>
    <s v="T-1005"/>
    <s v="C-1002"/>
    <s v="FI-991"/>
    <s v="M-1035"/>
  </r>
  <r>
    <x v="375"/>
    <n v="990"/>
    <x v="0"/>
    <x v="6"/>
    <n v="11"/>
    <x v="28"/>
    <x v="18"/>
    <x v="1"/>
    <x v="11"/>
    <s v="Comuna"/>
    <s v="Defunciones anuales por comuna"/>
    <s v="Periodo 2010-2021"/>
    <s v="Número de personas"/>
    <s v="Servicio de Registro Civil de Chile"/>
    <x v="375"/>
    <s v="En la región de La Aysén se observa que el año 2016 presenta la menor cantidad de defunciones anuales con 470 casos. El año 2019 presenta 533 defunciones, en tanto el año 2020, presenta la mayor alza con 593."/>
    <s v="Dashboard"/>
    <s v="Región de Aysén defunciones población cantidad número demografía"/>
    <x v="375"/>
    <s v="100-C-11"/>
    <s v="#1774B9"/>
    <s v="990-0376"/>
    <n v="99200011"/>
    <s v="T-1005"/>
    <s v="C-1002"/>
    <s v="FI-991"/>
    <s v="M-1035"/>
  </r>
  <r>
    <x v="376"/>
    <n v="990"/>
    <x v="0"/>
    <x v="6"/>
    <n v="12"/>
    <x v="28"/>
    <x v="18"/>
    <x v="1"/>
    <x v="12"/>
    <s v="Comuna"/>
    <s v="Defunciones anuales por comuna"/>
    <s v="Periodo 2010-2021"/>
    <s v="Número de personas"/>
    <s v="Servicio de Registro Civil de Chile"/>
    <x v="376"/>
    <s v="En la región de Magallanes se observa que el año 2015 presenta 1.023 defunciones, presentando un alza en los años siguientes. En tanto el año 2020, presenta la mayor alza con 1.268 defunciones."/>
    <s v="Dashboard"/>
    <s v="Región de Magallanes defunciones población cantidad número demografía"/>
    <x v="376"/>
    <s v="100-C-12"/>
    <s v="#1774B9"/>
    <s v="990-0377"/>
    <n v="99200012"/>
    <s v="T-1005"/>
    <s v="C-1002"/>
    <s v="FI-991"/>
    <s v="M-1035"/>
  </r>
  <r>
    <x v="377"/>
    <n v="990"/>
    <x v="0"/>
    <x v="6"/>
    <n v="13"/>
    <x v="28"/>
    <x v="18"/>
    <x v="1"/>
    <x v="13"/>
    <s v="Comuna"/>
    <s v="Defunciones anuales por comuna"/>
    <s v="Periodo 2010-2021"/>
    <s v="Número de personas"/>
    <s v="Servicio de Registro Civil de Chile"/>
    <x v="377"/>
    <s v="En la región Metropolitana, el año 2011 presenta 36.874 defunciones anuales, en los años siguientes se observa un alza continua, llegando al año 2019 con 42.183. En tanto el año 2020 presenta la mayor alza del periodo con 51.970 defunciones."/>
    <s v="Dashboard"/>
    <s v="Región Metropolitana defunciones población cantidad número demografía"/>
    <x v="377"/>
    <s v="200-C-13"/>
    <s v="#1774B9"/>
    <s v="990-0378"/>
    <n v="99200013"/>
    <s v="T-1005"/>
    <s v="C-1002"/>
    <s v="FI-991"/>
    <s v="M-1035"/>
  </r>
  <r>
    <x v="378"/>
    <n v="990"/>
    <x v="0"/>
    <x v="6"/>
    <n v="14"/>
    <x v="28"/>
    <x v="18"/>
    <x v="1"/>
    <x v="14"/>
    <s v="Comuna"/>
    <s v="Defunciones anuales por comuna"/>
    <s v="Periodo 2010-2021"/>
    <s v="Número de personas"/>
    <s v="Servicio de Registro Civil de Chile"/>
    <x v="378"/>
    <s v="El gráfico muestra la evolución, en el periodo 2010-2021, de la cantidad de defunciones anuales en la región de Los Ríos, información regional y comunal, según información de Servicio de Registro Civil de Chile."/>
    <s v="Dashboard"/>
    <s v="Región de Los Ríos defunciones población cantidad número demografía"/>
    <x v="378"/>
    <s v="100-C-14"/>
    <s v="#1774B9"/>
    <s v="990-0379"/>
    <n v="99200014"/>
    <s v="T-1005"/>
    <s v="C-1002"/>
    <s v="FI-991"/>
    <s v="M-1035"/>
  </r>
  <r>
    <x v="379"/>
    <n v="990"/>
    <x v="0"/>
    <x v="6"/>
    <n v="15"/>
    <x v="28"/>
    <x v="18"/>
    <x v="1"/>
    <x v="15"/>
    <s v="Comuna"/>
    <s v="Defunciones anuales por comuna"/>
    <s v="Periodo 2010-2021"/>
    <s v="Número de personas"/>
    <s v="Servicio de Registro Civil de Chile"/>
    <x v="379"/>
    <s v="El gráfico muestra la evolución, en el periodo 2010-2021, de la cantidad de defunciones anuales en la región de Arica y Parinacota, información regional y comunal, según información de Servicio de Registro Civil de Chile."/>
    <s v="Dashboard"/>
    <s v="Región de Arica y Parinacota defunciones población cantidad número demografía"/>
    <x v="379"/>
    <s v="100-C-15"/>
    <s v="#1774B9"/>
    <s v="990-0380"/>
    <n v="99200015"/>
    <s v="T-1005"/>
    <s v="C-1002"/>
    <s v="FI-991"/>
    <s v="M-1035"/>
  </r>
  <r>
    <x v="380"/>
    <n v="990"/>
    <x v="0"/>
    <x v="6"/>
    <n v="16"/>
    <x v="28"/>
    <x v="18"/>
    <x v="1"/>
    <x v="16"/>
    <s v="Comuna"/>
    <s v="Defunciones anuales por comuna"/>
    <s v="Periodo 2010-2021"/>
    <s v="Número de personas"/>
    <s v="Servicio de Registro Civil de Chile"/>
    <x v="380"/>
    <s v="El gráfico muestra la evolución, en el periodo 2010-2021, de la cantidad de defunciones anuales en la región de Ñuble, información regional y comunal, según información de Servicio de Registro Civil de Chile."/>
    <s v="Dashboard"/>
    <s v="Región de Ñuble defunciones población cantidad número demografía"/>
    <x v="380"/>
    <s v="100-C-16"/>
    <s v="#1774B9"/>
    <s v="990-0381"/>
    <n v="99200016"/>
    <s v="T-1005"/>
    <s v="C-1002"/>
    <s v="FI-991"/>
    <s v="M-1035"/>
  </r>
  <r>
    <x v="381"/>
    <n v="990"/>
    <x v="0"/>
    <x v="6"/>
    <n v="0"/>
    <x v="29"/>
    <x v="18"/>
    <x v="0"/>
    <x v="0"/>
    <s v="Comuna"/>
    <s v="Nacimientos anuales por comuna"/>
    <s v="Periodo 2010-2021"/>
    <s v="Número de personas"/>
    <s v="Servicio de Registro Civil de Chile"/>
    <x v="381"/>
    <s v="A nivel nacional, en el periodo 2010-2021, se observa que el año 2014 presenta la mayor cantidad de nacimientos con 252.177, presentando una baja para los años siguientes, llegando a 194.981 nacimientos el año 2020"/>
    <s v="Dashboard"/>
    <s v="Chile nacimientos población cantidad número demografía"/>
    <x v="381"/>
    <s v="300-C"/>
    <s v="#1774B9"/>
    <s v="990-0382"/>
    <n v="99100000"/>
    <s v="T-1006"/>
    <s v="C-1002"/>
    <s v="FI-991"/>
    <s v="M-1036"/>
  </r>
  <r>
    <x v="382"/>
    <n v="990"/>
    <x v="0"/>
    <x v="6"/>
    <n v="1"/>
    <x v="29"/>
    <x v="18"/>
    <x v="1"/>
    <x v="1"/>
    <s v="Comuna"/>
    <s v="Nacimientos anuales por comuna"/>
    <s v="Periodo 2010-2021"/>
    <s v="Número de personas"/>
    <s v="Servicio de Registro Civil de Chile"/>
    <x v="382"/>
    <s v="Se observa que desde el año 2015 se presenta una disminución constante de los nacimientos en la región de Tarapacá, pasando de 5.729 nacimientos el año 2015 a 4.668 en el año 2020."/>
    <s v="Dashboard"/>
    <s v="Región de Tarapacá nacimientos población cantidad número demografía"/>
    <x v="382"/>
    <s v="100-C-1"/>
    <s v="#1774B9"/>
    <s v="990-0383"/>
    <n v="99200001"/>
    <s v="T-1006"/>
    <s v="C-1002"/>
    <s v="FI-991"/>
    <s v="M-1036"/>
  </r>
  <r>
    <x v="383"/>
    <n v="990"/>
    <x v="0"/>
    <x v="6"/>
    <n v="2"/>
    <x v="29"/>
    <x v="18"/>
    <x v="1"/>
    <x v="2"/>
    <s v="Comuna"/>
    <s v="Nacimientos anuales por comuna"/>
    <s v="Periodo 2010-2021"/>
    <s v="Número de personas"/>
    <s v="Servicio de Registro Civil de Chile"/>
    <x v="383"/>
    <s v="La región de Antofagasta, presenta la mayor cantidad de nacimientos el año 2014 con 10.117, luego de este año se observa una disminución constante de los nacimientos. En el año 2020 llegan a ser 7.394 nacimientos a nivel regional."/>
    <s v="Dashboard"/>
    <s v="Región de Antofagasta nacimientos población cantidad número demografía"/>
    <x v="383"/>
    <s v="100-C-2"/>
    <s v="#1774B9"/>
    <s v="990-0384"/>
    <n v="99200002"/>
    <s v="T-1006"/>
    <s v="C-1002"/>
    <s v="FI-991"/>
    <s v="M-1036"/>
  </r>
  <r>
    <x v="384"/>
    <n v="990"/>
    <x v="0"/>
    <x v="6"/>
    <n v="3"/>
    <x v="29"/>
    <x v="18"/>
    <x v="1"/>
    <x v="3"/>
    <s v="Comuna"/>
    <s v="Nacimientos anuales por comuna"/>
    <s v="Periodo 2010-2021"/>
    <s v="Número de personas"/>
    <s v="Servicio de Registro Civil de Chile"/>
    <x v="384"/>
    <s v="La región de Atacama, presenta la mayor cantidad de nacimientos el año 2014 con 4.894, luego de este año se observa una disminución constante de los nacimientos. En el año 2020 llegan a ser 3.198 nacimientos a nivel regional."/>
    <s v="Dashboard"/>
    <s v="Región de Atacama nacimientos población cantidad número demografía"/>
    <x v="384"/>
    <s v="100-C-3"/>
    <s v="#1774B9"/>
    <s v="990-0385"/>
    <n v="99200003"/>
    <s v="T-1006"/>
    <s v="C-1002"/>
    <s v="FI-991"/>
    <s v="M-1036"/>
  </r>
  <r>
    <x v="385"/>
    <n v="990"/>
    <x v="0"/>
    <x v="6"/>
    <n v="4"/>
    <x v="29"/>
    <x v="18"/>
    <x v="1"/>
    <x v="4"/>
    <s v="Comuna"/>
    <s v="Nacimientos anuales por comuna"/>
    <s v="Periodo 2010-2021"/>
    <s v="Número de personas"/>
    <s v="Servicio de Registro Civil de Chile"/>
    <x v="385"/>
    <s v="El gráfico presenta la evolución, en el periodo 2010-2021, de la cantidad de nacimientos anuales, en la región de Coquimbo, a escala regional y comunal, según datos de Servicio de Registro Civil de Chile."/>
    <s v="Dashboard"/>
    <s v="Región de Coquimbo nacimientos población cantidad número demografía"/>
    <x v="385"/>
    <s v="100-C-4"/>
    <s v="#1774B9"/>
    <s v="990-0386"/>
    <n v="99200004"/>
    <s v="T-1006"/>
    <s v="C-1002"/>
    <s v="FI-991"/>
    <s v="M-1036"/>
  </r>
  <r>
    <x v="386"/>
    <n v="990"/>
    <x v="0"/>
    <x v="6"/>
    <n v="5"/>
    <x v="29"/>
    <x v="18"/>
    <x v="1"/>
    <x v="5"/>
    <s v="Comuna"/>
    <s v="Nacimientos anuales por comuna"/>
    <s v="Periodo 2010-2021"/>
    <s v="Número de personas"/>
    <s v="Servicio de Registro Civil de Chile"/>
    <x v="386"/>
    <s v="El gráfico presenta la evolución, en el periodo 2010-2021, de la cantidad de nacimientos anuales, en la región de Valparaíso, a escala regional y comunal, según datos de Servicio de Registro Civil de Chile."/>
    <s v="Dashboard"/>
    <s v="Región de Valparaíso nacimientos población cantidad número demografía"/>
    <x v="386"/>
    <s v="100-C-5"/>
    <s v="#1774B9"/>
    <s v="990-0387"/>
    <n v="99200005"/>
    <s v="T-1006"/>
    <s v="C-1002"/>
    <s v="FI-991"/>
    <s v="M-1036"/>
  </r>
  <r>
    <x v="387"/>
    <n v="990"/>
    <x v="0"/>
    <x v="6"/>
    <n v="6"/>
    <x v="29"/>
    <x v="18"/>
    <x v="1"/>
    <x v="6"/>
    <s v="Comuna"/>
    <s v="Nacimientos anuales por comuna"/>
    <s v="Periodo 2010-2021"/>
    <s v="Número de personas"/>
    <s v="Servicio de Registro Civil de Chile"/>
    <x v="387"/>
    <s v="La región de O'Higgins, en el periodo 2010-2011, el año 2010 presenta la mayor cantidad de nacimiento llegando a 12.332 casos. En tanto el año 2020 se observa una disminución en referencia al resto de los años con 10.198 nacimientos"/>
    <s v="Dashboard"/>
    <s v="Región de O'Higgins nacimientos población cantidad número demografía"/>
    <x v="387"/>
    <s v="100-C-6"/>
    <s v="#1774B9"/>
    <s v="990-0388"/>
    <n v="99200006"/>
    <s v="T-1006"/>
    <s v="C-1002"/>
    <s v="FI-991"/>
    <s v="M-1036"/>
  </r>
  <r>
    <x v="388"/>
    <n v="990"/>
    <x v="0"/>
    <x v="6"/>
    <n v="7"/>
    <x v="29"/>
    <x v="18"/>
    <x v="1"/>
    <x v="7"/>
    <s v="Comuna"/>
    <s v="Nacimientos anuales por comuna"/>
    <s v="Periodo 2010-2021"/>
    <s v="Número de personas"/>
    <s v="Servicio de Registro Civil de Chile"/>
    <x v="388"/>
    <s v="El gráfico presenta la evolución, en el periodo 2010-2021, de la cantidad de nacimientos anuales, en la región de Maule, a escala regional y comunal, según datos de Servicio de Registro Civil de Chile."/>
    <s v="Dashboard"/>
    <s v="Región de Maule nacimientos población cantidad número demografía"/>
    <x v="388"/>
    <s v="100-C-7"/>
    <s v="#1774B9"/>
    <s v="990-0389"/>
    <n v="99200007"/>
    <s v="T-1006"/>
    <s v="C-1002"/>
    <s v="FI-991"/>
    <s v="M-1036"/>
  </r>
  <r>
    <x v="389"/>
    <n v="990"/>
    <x v="0"/>
    <x v="6"/>
    <n v="8"/>
    <x v="29"/>
    <x v="18"/>
    <x v="1"/>
    <x v="8"/>
    <s v="Comuna"/>
    <s v="Nacimientos anuales por comuna"/>
    <s v="Periodo 2010-2021"/>
    <s v="Número de personas"/>
    <s v="Servicio de Registro Civil de Chile"/>
    <x v="389"/>
    <s v="La región de Biobío, presenta la mayor cantidad de nacimientos el año 2014 con 22.120, luego de este año se observa una disminución constante de los nacimientos. En el año 2020 llegan a ser 16.428 nacimientos a nivel regional."/>
    <s v="Dashboard"/>
    <s v="Región del Biobío nacimientos población cantidad número demografía"/>
    <x v="389"/>
    <s v="100-C-8"/>
    <s v="#1774B9"/>
    <s v="990-0390"/>
    <n v="99200008"/>
    <s v="T-1006"/>
    <s v="C-1002"/>
    <s v="FI-991"/>
    <s v="M-1036"/>
  </r>
  <r>
    <x v="390"/>
    <n v="990"/>
    <x v="0"/>
    <x v="6"/>
    <n v="9"/>
    <x v="29"/>
    <x v="18"/>
    <x v="1"/>
    <x v="9"/>
    <s v="Comuna"/>
    <s v="Nacimientos anuales por comuna"/>
    <s v="Periodo 2010-2021"/>
    <s v="Número de personas"/>
    <s v="Servicio de Registro Civil de Chile"/>
    <x v="390"/>
    <s v="La región de La Araucanía, presenta la mayor cantidad de nacimientos el año 2014 con 13.485, luego de este año se observa una disminución constante de los nacimientos. Siendo el año 2020 el año con menor cantidad llegando a 10.231 nacimientos a nivel regional."/>
    <s v="Dashboard"/>
    <s v="Región de La Araucanía nacimientos población cantidad número demografía"/>
    <x v="390"/>
    <s v="100-C-9"/>
    <s v="#1774B9"/>
    <s v="990-0391"/>
    <n v="99200009"/>
    <s v="T-1006"/>
    <s v="C-1002"/>
    <s v="FI-991"/>
    <s v="M-1036"/>
  </r>
  <r>
    <x v="391"/>
    <n v="990"/>
    <x v="0"/>
    <x v="6"/>
    <n v="10"/>
    <x v="29"/>
    <x v="18"/>
    <x v="1"/>
    <x v="10"/>
    <s v="Comuna"/>
    <s v="Nacimientos anuales por comuna"/>
    <s v="Periodo 2010-2021"/>
    <s v="Número de personas"/>
    <s v="Servicio de Registro Civil de Chile"/>
    <x v="391"/>
    <s v="El gráfico presenta la evolución, en el periodo 2010-2021, de la cantidad de nacimientos anuales, en la región de Los Lagos, a escala regional y comunal, según datos de Servicio de Registro Civil de Chile."/>
    <s v="Dashboard"/>
    <s v="Región de Los Lagos nacimientos población cantidad número demografía"/>
    <x v="391"/>
    <s v="100-C-10"/>
    <s v="#1774B9"/>
    <s v="990-0392"/>
    <n v="99200010"/>
    <s v="T-1006"/>
    <s v="C-1002"/>
    <s v="FI-991"/>
    <s v="M-1036"/>
  </r>
  <r>
    <x v="392"/>
    <n v="990"/>
    <x v="0"/>
    <x v="6"/>
    <n v="11"/>
    <x v="29"/>
    <x v="18"/>
    <x v="1"/>
    <x v="11"/>
    <s v="Comuna"/>
    <s v="Nacimientos anuales por comuna"/>
    <s v="Periodo 2010-2021"/>
    <s v="Número de personas"/>
    <s v="Servicio de Registro Civil de Chile"/>
    <x v="392"/>
    <s v="El gráfico presenta la evolución, en el periodo 2010-2021, de la cantidad de nacimientos anuales, en la región de Aysén, a escala regional y comunal, según datos de Servicio de Registro Civil de Chile."/>
    <s v="Dashboard"/>
    <s v="Región de Aysén nacimientos población cantidad número demografía"/>
    <x v="392"/>
    <s v="100-C-11"/>
    <s v="#1774B9"/>
    <s v="990-0393"/>
    <n v="99200011"/>
    <s v="T-1006"/>
    <s v="C-1002"/>
    <s v="FI-991"/>
    <s v="M-1036"/>
  </r>
  <r>
    <x v="393"/>
    <n v="990"/>
    <x v="0"/>
    <x v="6"/>
    <n v="12"/>
    <x v="29"/>
    <x v="18"/>
    <x v="1"/>
    <x v="12"/>
    <s v="Comuna"/>
    <s v="Nacimientos anuales por comuna"/>
    <s v="Periodo 2010-2021"/>
    <s v="Número de personas"/>
    <s v="Servicio de Registro Civil de Chile"/>
    <x v="393"/>
    <s v="La región de Magallanes, el año 2014 presenta 20180 nacimientos, luego se observa una disminución constante año a año.  Siendo el año 2020 el año con menor cantidad llegando a 1.610 nacimientos a nivel regional."/>
    <s v="Dashboard"/>
    <s v="Región de Magallanes nacimientos población cantidad número demografía"/>
    <x v="393"/>
    <s v="100-C-12"/>
    <s v="#1774B9"/>
    <s v="990-0394"/>
    <n v="99200012"/>
    <s v="T-1006"/>
    <s v="C-1002"/>
    <s v="FI-991"/>
    <s v="M-1036"/>
  </r>
  <r>
    <x v="394"/>
    <n v="990"/>
    <x v="0"/>
    <x v="6"/>
    <n v="13"/>
    <x v="29"/>
    <x v="18"/>
    <x v="1"/>
    <x v="13"/>
    <s v="Comuna"/>
    <s v="Nacimientos anuales por comuna"/>
    <s v="Periodo 2010-2021"/>
    <s v="Número de personas"/>
    <s v="Servicio de Registro Civil de Chile"/>
    <x v="394"/>
    <s v="La región Metropolitana, se observa que al año con mayor cantidad de nacimientos es el año 2014 con 105.083. En tanto el año 2020 es el que presenta la menor cantidad llegando a 82.733 nacimientos a nivel regional."/>
    <s v="Dashboard"/>
    <s v="Región Metropolitana nacimientos población cantidad número demografía"/>
    <x v="394"/>
    <s v="200-C-13"/>
    <s v="#1774B9"/>
    <s v="990-0395"/>
    <n v="99200013"/>
    <s v="T-1006"/>
    <s v="C-1002"/>
    <s v="FI-991"/>
    <s v="M-1036"/>
  </r>
  <r>
    <x v="395"/>
    <n v="990"/>
    <x v="0"/>
    <x v="6"/>
    <n v="14"/>
    <x v="29"/>
    <x v="18"/>
    <x v="1"/>
    <x v="14"/>
    <s v="Comuna"/>
    <s v="Nacimientos anuales por comuna"/>
    <s v="Periodo 2010-2021"/>
    <s v="Número de personas"/>
    <s v="Servicio de Registro Civil de Chile"/>
    <x v="395"/>
    <s v="El gráfico presenta la evolución, en el periodo 2010-2021, de la cantidad de nacimientos anuales, en la región de Los Ríos, a escala regional y comunal, según datos de Servicio de Registro Civil de Chile."/>
    <s v="Dashboard"/>
    <s v="Región de Los Ríos nacimientos población cantidad número demografía"/>
    <x v="395"/>
    <s v="100-C-14"/>
    <s v="#1774B9"/>
    <s v="990-0396"/>
    <n v="99200014"/>
    <s v="T-1006"/>
    <s v="C-1002"/>
    <s v="FI-991"/>
    <s v="M-1036"/>
  </r>
  <r>
    <x v="396"/>
    <n v="990"/>
    <x v="0"/>
    <x v="6"/>
    <n v="15"/>
    <x v="29"/>
    <x v="18"/>
    <x v="1"/>
    <x v="15"/>
    <s v="Comuna"/>
    <s v="Nacimientos anuales por comuna"/>
    <s v="Periodo 2010-2021"/>
    <s v="Número de personas"/>
    <s v="Servicio de Registro Civil de Chile"/>
    <x v="396"/>
    <s v="La región de Arica y Parinacota, el año 2014 presenta 3.549 nacimientos, luego se observa una disminución constante año a año.  Siendo el año 2020 el año con menor cantidad llegando a 2.845 nacimientos a nivel regional."/>
    <s v="Dashboard"/>
    <s v="Región de Arica y Parinacota nacimientos población cantidad número demografía"/>
    <x v="396"/>
    <s v="100-C-15"/>
    <s v="#1774B9"/>
    <s v="990-0397"/>
    <n v="99200015"/>
    <s v="T-1006"/>
    <s v="C-1002"/>
    <s v="FI-991"/>
    <s v="M-1036"/>
  </r>
  <r>
    <x v="397"/>
    <n v="990"/>
    <x v="0"/>
    <x v="6"/>
    <n v="16"/>
    <x v="29"/>
    <x v="18"/>
    <x v="1"/>
    <x v="16"/>
    <s v="Comuna"/>
    <s v="Nacimientos anuales por comuna"/>
    <s v="Periodo 2010-2021"/>
    <s v="Número de personas"/>
    <s v="Servicio de Registro Civil de Chile"/>
    <x v="397"/>
    <s v="El gráfico presenta la evolución, en el periodo 2010-2021, de la cantidad de nacimientos anuales, en la región de Ñuble, a escala regional y comunal, según datos de Servicio de Registro Civil de Chile."/>
    <s v="Dashboard"/>
    <s v="Región de Ñuble nacimientos población cantidad número demografía"/>
    <x v="397"/>
    <s v="100-C-16"/>
    <s v="#1774B9"/>
    <s v="990-0398"/>
    <n v="99200016"/>
    <s v="T-1006"/>
    <s v="C-1002"/>
    <s v="FI-991"/>
    <s v="M-1036"/>
  </r>
  <r>
    <x v="398"/>
    <n v="990"/>
    <x v="0"/>
    <x v="12"/>
    <n v="0"/>
    <x v="30"/>
    <x v="19"/>
    <x v="0"/>
    <x v="0"/>
    <s v="Región"/>
    <s v="Permisos de circulación anuales por región"/>
    <s v="Periodo 2008-2019"/>
    <s v="Número de permisos de circulación"/>
    <s v="Instituto Nacional de Estadísticas (INE)"/>
    <x v="398"/>
    <s v="Durante todo el periodo 2008 - 2020, los vehículos de la categoría &quot;Automóvil y Station wagon&quot; fueron los que tuvieron mayor cantidad de permisos de circulación a nivel nacional, siendo 3.560.396 para el año 2018 y de 3.720.395 para el año 2019.   "/>
    <s v="Nube de palabras"/>
    <s v="Chile permiso circulación cantidad número regional tipo vehículo"/>
    <x v="398"/>
    <n v="0"/>
    <s v="#1774B9"/>
    <s v="990-0399"/>
    <n v="99100000"/>
    <s v="T-1007"/>
    <s v="C-1017"/>
    <s v="FI-992"/>
    <s v="M-1037"/>
  </r>
  <r>
    <x v="399"/>
    <n v="990"/>
    <x v="0"/>
    <x v="11"/>
    <n v="0"/>
    <x v="31"/>
    <x v="20"/>
    <x v="0"/>
    <x v="0"/>
    <e v="#REF!"/>
    <s v="Emisiones de CO2 por tipo de combustible en Chile"/>
    <s v="Periodo 1990-2019"/>
    <s v="Toneladas"/>
    <s v="Our World In Data"/>
    <x v="39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x v="399"/>
    <n v="0"/>
    <s v="#1774B9"/>
    <s v="990-0400"/>
    <n v="99100000"/>
    <e v="#N/A"/>
    <s v="C-1004"/>
    <e v="#REF!"/>
    <s v="M-1038"/>
  </r>
  <r>
    <x v="400"/>
    <n v="990"/>
    <x v="0"/>
    <x v="11"/>
    <n v="0"/>
    <x v="31"/>
    <x v="20"/>
    <x v="0"/>
    <x v="0"/>
    <s v="Ninguno"/>
    <s v="Variación anual de emisiones de CO2"/>
    <s v="Periodo 1990-2019"/>
    <s v="Porcentaje (%)"/>
    <s v="Our World In Data"/>
    <x v="400"/>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x v="400"/>
    <n v="0"/>
    <s v="#1774B9"/>
    <s v="990-0401"/>
    <n v="99100000"/>
    <e v="#N/A"/>
    <s v="C-1004"/>
    <s v="FI-993"/>
    <s v="M-1039"/>
  </r>
  <r>
    <x v="401"/>
    <n v="990"/>
    <x v="0"/>
    <x v="11"/>
    <n v="0"/>
    <x v="31"/>
    <x v="20"/>
    <x v="0"/>
    <x v="0"/>
    <s v="Ninguno"/>
    <s v="Toneladas per cápita"/>
    <s v="Periodo 1990-2019"/>
    <s v="Toneladas"/>
    <s v="Elaboración propia basada en Our World In Data"/>
    <x v="401"/>
    <s v="Dada la predicción para el año 2025, las emisiones per cápita de CO2 por quema de petróleo serán de 4,1 (t), mientras que para el gas serán de 0,6 (t) y para el carbón de 1 (t)."/>
    <s v="Gráfico de Evolución"/>
    <s v="Chile GEI emisiones CO2 per cápita combustibles petróleo gas carbón"/>
    <x v="401"/>
    <n v="0"/>
    <s v="#1774B9"/>
    <s v="990-0402"/>
    <n v="99100000"/>
    <e v="#N/A"/>
    <s v="C-1004"/>
    <s v="FI-993"/>
    <s v="M-1040"/>
  </r>
  <r>
    <x v="402"/>
    <n v="990"/>
    <x v="0"/>
    <x v="11"/>
    <n v="0"/>
    <x v="31"/>
    <x v="20"/>
    <x v="0"/>
    <x v="0"/>
    <s v="Ninguno"/>
    <s v="Proporción emisiones con respecto al año anterior"/>
    <s v="Periodo 1990-2019"/>
    <s v="Porcentaje (%)"/>
    <s v="Our World In Data"/>
    <x v="402"/>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x v="402"/>
    <n v="0"/>
    <s v="#1774B9"/>
    <s v="990-0403"/>
    <n v="99100000"/>
    <e v="#N/A"/>
    <s v="C-1004"/>
    <s v="FI-993"/>
    <s v="M-1041"/>
  </r>
  <r>
    <x v="403"/>
    <n v="990"/>
    <x v="0"/>
    <x v="9"/>
    <n v="0"/>
    <x v="32"/>
    <x v="12"/>
    <x v="0"/>
    <x v="0"/>
    <s v="Tamaño empresa"/>
    <s v="Variación anual de trabajadores "/>
    <s v="Periodo 2005-2019"/>
    <s v="Personas"/>
    <s v="Servicio de Impuestos Internos (SII)"/>
    <x v="403"/>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x v="403"/>
    <n v="0"/>
    <s v="#1774B9"/>
    <s v="990-0404"/>
    <n v="99100000"/>
    <s v="T-1009"/>
    <s v="C-993"/>
    <s v="FI-1000"/>
    <s v="M-1042"/>
  </r>
  <r>
    <x v="404"/>
    <n v="990"/>
    <x v="0"/>
    <x v="9"/>
    <n v="0"/>
    <x v="33"/>
    <x v="12"/>
    <x v="0"/>
    <x v="0"/>
    <s v="Región"/>
    <s v="Cantidad de Trabajadores informados por región"/>
    <s v="Periodo 2005-2019"/>
    <s v="Personas"/>
    <s v="Servicio de Impuestos Internos (SII)"/>
    <x v="404"/>
    <s v="Gráfico que muestra la evolución del número de trabajadores informados por tipo de contrato a nivel nacional, en el periodo 2005-2019, según lo informado por el Servicio de Impuestos Internos (SII)."/>
    <s v="Gráfico de Evolución"/>
    <s v="Chile regional trabajadores dependientes informados honorarios anual sii"/>
    <x v="404"/>
    <s v="300-R"/>
    <s v="#1774B9"/>
    <s v="990-0405"/>
    <n v="99100000"/>
    <s v="T-1010"/>
    <s v="C-993"/>
    <s v="FI-992"/>
    <s v="M-1043"/>
  </r>
  <r>
    <x v="405"/>
    <n v="990"/>
    <x v="0"/>
    <x v="9"/>
    <n v="1"/>
    <x v="33"/>
    <x v="12"/>
    <x v="1"/>
    <x v="1"/>
    <s v="Ninguno"/>
    <s v="Cantidad de Trabajadores informados por región"/>
    <s v="Periodo 2005-2019"/>
    <s v="Personas"/>
    <s v="Servicio de Impuestos Internos (SII)"/>
    <x v="405"/>
    <s v="En la región de Tarapacá, los trabajadores dependientes superan a los de honorarios con una diferencia de 121.070 trabajadores en el año 2019."/>
    <s v="Gráfico de Evolución"/>
    <s v="Región de Tarapacá regional trabajadores dependientes informados honorarios anual sii"/>
    <x v="405"/>
    <s v="100-R-1"/>
    <s v="#1774B9"/>
    <s v="990-0406"/>
    <n v="99200001"/>
    <s v="T-1010"/>
    <s v="C-993"/>
    <s v="FI-993"/>
    <s v="M-1043"/>
  </r>
  <r>
    <x v="406"/>
    <n v="990"/>
    <x v="0"/>
    <x v="9"/>
    <n v="2"/>
    <x v="33"/>
    <x v="12"/>
    <x v="1"/>
    <x v="2"/>
    <s v="Ninguno"/>
    <s v="Cantidad de Trabajadores informados por región"/>
    <s v="Periodo 2005-2019"/>
    <s v="Personas"/>
    <s v="Servicio de Impuestos Internos (SII)"/>
    <x v="406"/>
    <s v="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
    <s v="Gráfico de Evolución"/>
    <s v="Región de Antofagasta regional trabajadores dependientes informados honorarios anual sii"/>
    <x v="406"/>
    <s v="100-R-2"/>
    <s v="#1774B9"/>
    <s v="990-0407"/>
    <n v="99200002"/>
    <s v="T-1010"/>
    <s v="C-993"/>
    <s v="FI-993"/>
    <s v="M-1043"/>
  </r>
  <r>
    <x v="407"/>
    <n v="990"/>
    <x v="0"/>
    <x v="9"/>
    <n v="3"/>
    <x v="33"/>
    <x v="12"/>
    <x v="1"/>
    <x v="3"/>
    <s v="Ninguno"/>
    <s v="Cantidad de Trabajadores informados por región"/>
    <s v="Periodo 2005-2019"/>
    <s v="Personas"/>
    <s v="Servicio de Impuestos Internos (SII)"/>
    <x v="407"/>
    <s v="En la región de Atacama, los trabajadores dependientes superan a los de honorarios, presentándose el año 2019 una diferencia de 125.976 trabajadores entre ambos grupos."/>
    <s v="Gráfico de Evolución"/>
    <s v="Región de Atacama regional trabajadores dependientes informados honorarios anual sii"/>
    <x v="407"/>
    <s v="100-R-3"/>
    <s v="#1774B9"/>
    <s v="990-0408"/>
    <n v="99200003"/>
    <s v="T-1010"/>
    <s v="C-993"/>
    <s v="FI-993"/>
    <s v="M-1043"/>
  </r>
  <r>
    <x v="408"/>
    <n v="990"/>
    <x v="0"/>
    <x v="9"/>
    <n v="4"/>
    <x v="33"/>
    <x v="12"/>
    <x v="1"/>
    <x v="4"/>
    <s v="Ninguno"/>
    <s v="Cantidad de Trabajadores informados por región"/>
    <s v="Periodo 2005-2019"/>
    <s v="Personas"/>
    <s v="Servicio de Impuestos Internos (SII)"/>
    <x v="408"/>
    <s v="En la región de Coquimbo, los trabajadores dependientes superan a los de honorarios, presentándose el año 2019 una diferencia de 273.872 trabajadores entre ambos grupos."/>
    <s v="Gráfico de Evolución"/>
    <s v="Región de Coquimbo regional trabajadores dependientes informados honorarios anual sii"/>
    <x v="408"/>
    <s v="100-R-4"/>
    <s v="#1774B9"/>
    <s v="990-0409"/>
    <n v="99200004"/>
    <s v="T-1010"/>
    <s v="C-993"/>
    <s v="FI-993"/>
    <s v="M-1043"/>
  </r>
  <r>
    <x v="409"/>
    <n v="990"/>
    <x v="0"/>
    <x v="9"/>
    <n v="5"/>
    <x v="33"/>
    <x v="12"/>
    <x v="1"/>
    <x v="5"/>
    <s v="Ninguno"/>
    <s v="Cantidad de Trabajadores informados por región"/>
    <s v="Periodo 2005-2019"/>
    <s v="Personas"/>
    <s v="Servicio de Impuestos Internos (SII)"/>
    <x v="409"/>
    <s v="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
    <s v="Gráfico de Evolución"/>
    <s v="Región de Valparaíso regional trabajadores dependientes informados honorarios anual sii"/>
    <x v="409"/>
    <s v="100-R-5"/>
    <s v="#1774B9"/>
    <s v="990-0410"/>
    <n v="99200005"/>
    <s v="T-1010"/>
    <s v="C-993"/>
    <s v="FI-993"/>
    <s v="M-1043"/>
  </r>
  <r>
    <x v="410"/>
    <n v="990"/>
    <x v="0"/>
    <x v="9"/>
    <n v="6"/>
    <x v="33"/>
    <x v="12"/>
    <x v="1"/>
    <x v="6"/>
    <s v="Ninguno"/>
    <s v="Cantidad de Trabajadores informados por región"/>
    <s v="Periodo 2005-2019"/>
    <s v="Personas"/>
    <s v="Servicio de Impuestos Internos (SII)"/>
    <x v="410"/>
    <s v="En la región de O'Higgins, los trabajadores dependientes superan a los de honorarios, presentándose el año 2019 una diferencia de 713.182 trabajadores entre ambos grupos."/>
    <s v="Gráfico de Evolución"/>
    <s v="Región de O'Higgins regional trabajadores dependientes informados honorarios anual sii"/>
    <x v="410"/>
    <s v="100-R-6"/>
    <s v="#1774B9"/>
    <s v="990-0411"/>
    <n v="99200006"/>
    <s v="T-1010"/>
    <s v="C-993"/>
    <s v="FI-993"/>
    <s v="M-1043"/>
  </r>
  <r>
    <x v="411"/>
    <n v="990"/>
    <x v="0"/>
    <x v="9"/>
    <n v="7"/>
    <x v="33"/>
    <x v="12"/>
    <x v="1"/>
    <x v="7"/>
    <s v="Ninguno"/>
    <s v="Cantidad de Trabajadores informados por región"/>
    <s v="Periodo 2005-2019"/>
    <s v="Personas"/>
    <s v="Servicio de Impuestos Internos (SII)"/>
    <x v="411"/>
    <s v="En la región de Maule, los trabajadores dependientes informados superaron en más de 370.000 a los trabajadores a honorarios informados en el año 2005. Se observa que esta brecha tiende a aumentar cada año, alcanzando en el año 2019 una diferencia de más de 677.000 trabajadores."/>
    <s v="Gráfico de Evolución"/>
    <s v="Región de Maule regional trabajadores dependientes informados honorarios anual sii"/>
    <x v="411"/>
    <s v="100-R-7"/>
    <s v="#1774B9"/>
    <s v="990-0412"/>
    <n v="99200007"/>
    <s v="T-1010"/>
    <s v="C-993"/>
    <s v="FI-993"/>
    <s v="M-1043"/>
  </r>
  <r>
    <x v="412"/>
    <n v="990"/>
    <x v="0"/>
    <x v="9"/>
    <n v="8"/>
    <x v="33"/>
    <x v="12"/>
    <x v="1"/>
    <x v="8"/>
    <s v="Ninguno"/>
    <s v="Cantidad de Trabajadores informados por región"/>
    <s v="Periodo 2005-2019"/>
    <s v="Personas"/>
    <s v="Servicio de Impuestos Internos (SII)"/>
    <x v="412"/>
    <s v="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
    <s v="Gráfico de Evolución"/>
    <s v="Región del Biobío regional trabajadores dependientes informados honorarios anual sii"/>
    <x v="412"/>
    <s v="100-R-8"/>
    <s v="#1774B9"/>
    <s v="990-0413"/>
    <n v="99200008"/>
    <s v="T-1010"/>
    <s v="C-993"/>
    <s v="FI-993"/>
    <s v="M-1043"/>
  </r>
  <r>
    <x v="413"/>
    <n v="990"/>
    <x v="0"/>
    <x v="9"/>
    <n v="9"/>
    <x v="33"/>
    <x v="12"/>
    <x v="1"/>
    <x v="9"/>
    <s v="Ninguno"/>
    <s v="Cantidad de Trabajadores informados por región"/>
    <s v="Periodo 2005-2019"/>
    <s v="Personas"/>
    <s v="Servicio de Impuestos Internos (SII)"/>
    <x v="413"/>
    <s v="En la región de La Araucanía, los trabajadores dependientes superan a los de honorarios, presentándose el año 2019 una diferencia de 353.692 trabajadores entre ambos grupos."/>
    <s v="Gráfico de Evolución"/>
    <s v="Región de La Araucanía regional trabajadores dependientes informados honorarios anual sii"/>
    <x v="413"/>
    <s v="100-R-9"/>
    <s v="#1774B9"/>
    <s v="990-0414"/>
    <n v="99200009"/>
    <s v="T-1010"/>
    <s v="C-993"/>
    <s v="FI-993"/>
    <s v="M-1043"/>
  </r>
  <r>
    <x v="414"/>
    <n v="990"/>
    <x v="0"/>
    <x v="9"/>
    <n v="10"/>
    <x v="33"/>
    <x v="12"/>
    <x v="1"/>
    <x v="10"/>
    <s v="Ninguno"/>
    <s v="Cantidad de Trabajadores informados por región"/>
    <s v="Periodo 2005-2019"/>
    <s v="Personas"/>
    <s v="Servicio de Impuestos Internos (SII)"/>
    <x v="414"/>
    <s v="En la región de Los Lagos, los trabajadores dependientes superan a los de honorarios, presentándose el año 2019 una diferencia de 483.566 trabajadores entre ambos grupos."/>
    <s v="Gráfico de Evolución"/>
    <s v="Región de Los Lagos regional trabajadores dependientes informados honorarios anual sii"/>
    <x v="414"/>
    <s v="100-R-10"/>
    <s v="#1774B9"/>
    <s v="990-0415"/>
    <n v="99200010"/>
    <s v="T-1010"/>
    <s v="C-993"/>
    <s v="FI-993"/>
    <s v="M-1043"/>
  </r>
  <r>
    <x v="415"/>
    <n v="990"/>
    <x v="0"/>
    <x v="9"/>
    <n v="11"/>
    <x v="33"/>
    <x v="12"/>
    <x v="1"/>
    <x v="11"/>
    <s v="Ninguno"/>
    <s v="Cantidad de Trabajadores informados por región"/>
    <s v="Periodo 2005-2019"/>
    <s v="Personas"/>
    <s v="Servicio de Impuestos Internos (SII)"/>
    <x v="415"/>
    <s v="En la región de Aysén, los trabajadores dependientes informados superaron en más de 28.000 a los trabajadores a honorarios informados en el año 2005. Se observa que esta brecha tiende a aumentar cada año, alcanzando en el año 2019 una diferencia de más de 27.000 trabajadores."/>
    <s v="Gráfico de Evolución"/>
    <s v="Región de Aysén regional trabajadores dependientes informados honorarios anual sii"/>
    <x v="415"/>
    <s v="100-R-11"/>
    <s v="#1774B9"/>
    <s v="990-0416"/>
    <n v="99200011"/>
    <s v="T-1010"/>
    <s v="C-993"/>
    <s v="FI-993"/>
    <s v="M-1043"/>
  </r>
  <r>
    <x v="416"/>
    <n v="990"/>
    <x v="0"/>
    <x v="9"/>
    <n v="12"/>
    <x v="33"/>
    <x v="12"/>
    <x v="1"/>
    <x v="12"/>
    <s v="Ninguno"/>
    <s v="Cantidad de Trabajadores informados por región"/>
    <s v="Periodo 2005-2019"/>
    <s v="Personas"/>
    <s v="Servicio de Impuestos Internos (SII)"/>
    <x v="416"/>
    <s v="En la región de Magallanes, la menor diferencia entre los trabajadores dependientes y a honorarios se presenta el año 2005 con 64.906 personas, en tanto que la mayor diferencia se presenta el año 2019 con 92.626 personas."/>
    <s v="Gráfico de Evolución"/>
    <s v="Región de Magallanes regional trabajadores dependientes informados honorarios anual sii"/>
    <x v="416"/>
    <s v="100-R-12"/>
    <s v="#1774B9"/>
    <s v="990-0417"/>
    <n v="99200012"/>
    <s v="T-1010"/>
    <s v="C-993"/>
    <s v="FI-993"/>
    <s v="M-1043"/>
  </r>
  <r>
    <x v="417"/>
    <n v="990"/>
    <x v="0"/>
    <x v="9"/>
    <n v="13"/>
    <x v="33"/>
    <x v="12"/>
    <x v="1"/>
    <x v="13"/>
    <s v="Ninguno"/>
    <s v="Cantidad de Trabajadores informados por región"/>
    <s v="Periodo 2005-2019"/>
    <s v="Personas"/>
    <s v="Servicio de Impuestos Internos (SII)"/>
    <x v="417"/>
    <s v="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
    <s v="Gráfico de Evolución"/>
    <s v="Región Metropolitana regional trabajadores dependientes informados honorarios anual sii"/>
    <x v="417"/>
    <s v="200-R-13"/>
    <s v="#1774B9"/>
    <s v="990-0418"/>
    <n v="99200013"/>
    <s v="T-1010"/>
    <s v="C-993"/>
    <s v="FI-993"/>
    <s v="M-1043"/>
  </r>
  <r>
    <x v="418"/>
    <n v="990"/>
    <x v="0"/>
    <x v="9"/>
    <n v="14"/>
    <x v="33"/>
    <x v="12"/>
    <x v="1"/>
    <x v="14"/>
    <s v="Ninguno"/>
    <s v="Cantidad de Trabajadores informados por región"/>
    <s v="Periodo 2005-2019"/>
    <s v="Personas"/>
    <s v="Servicio de Impuestos Internos (SII)"/>
    <x v="418"/>
    <s v="En la región de Los Ríos, los trabajadores dependientes superan a los de honorarios, presentándose el año 2019 una diferencia de 108.586 trabajadores entre ambos grupos."/>
    <s v="Gráfico de Evolución"/>
    <s v="Región de Los Ríos regional trabajadores dependientes informados honorarios anual sii"/>
    <x v="418"/>
    <s v="100-R-14"/>
    <s v="#1774B9"/>
    <s v="990-0419"/>
    <n v="99200014"/>
    <s v="T-1010"/>
    <s v="C-993"/>
    <s v="FI-993"/>
    <s v="M-1043"/>
  </r>
  <r>
    <x v="419"/>
    <n v="990"/>
    <x v="0"/>
    <x v="9"/>
    <n v="15"/>
    <x v="33"/>
    <x v="12"/>
    <x v="1"/>
    <x v="15"/>
    <s v="Ninguno"/>
    <s v="Cantidad de Trabajadores informados por región"/>
    <s v="Periodo 2005-2019"/>
    <s v="Personas"/>
    <s v="Servicio de Impuestos Internos (SII)"/>
    <x v="419"/>
    <s v="En la región de Arica y Parinacota, la menor diferencia entre los trabajadores dependientes y a honorarios se presenta el año 2005 con 47.086 personas, en tanto que la mayor diferencia se presenta el año 2019 con 62.662 personas."/>
    <s v="Gráfico de Evolución"/>
    <s v="Región de Arica y Parinacota regional trabajadores dependientes informados honorarios anual sii"/>
    <x v="419"/>
    <s v="100-R-15"/>
    <s v="#1774B9"/>
    <s v="990-0420"/>
    <n v="99200015"/>
    <s v="T-1010"/>
    <s v="C-993"/>
    <s v="FI-993"/>
    <s v="M-1043"/>
  </r>
  <r>
    <x v="420"/>
    <n v="990"/>
    <x v="0"/>
    <x v="9"/>
    <n v="16"/>
    <x v="33"/>
    <x v="12"/>
    <x v="1"/>
    <x v="16"/>
    <s v="Ninguno"/>
    <s v="Cantidad de Trabajadores informados por región"/>
    <s v="Periodo 2005-2019"/>
    <s v="Personas"/>
    <s v="Servicio de Impuestos Internos (SII)"/>
    <x v="420"/>
    <s v="En la región de Ñuble, los trabajadores dependientes superan a los de honorarios, presentándose el año 2019 una diferencia de 209.178 trabajadores entre ambos grupos."/>
    <s v="Gráfico de Evolución"/>
    <s v="Región de Ñuble regional trabajadores dependientes informados honorarios anual sii"/>
    <x v="420"/>
    <s v="100-R-16"/>
    <s v="#1774B9"/>
    <s v="990-0421"/>
    <n v="99200016"/>
    <s v="T-1010"/>
    <s v="C-993"/>
    <s v="FI-993"/>
    <s v="M-1043"/>
  </r>
  <r>
    <x v="421"/>
    <n v="990"/>
    <x v="0"/>
    <x v="1"/>
    <n v="0"/>
    <x v="34"/>
    <x v="1"/>
    <x v="0"/>
    <x v="0"/>
    <s v="Región-Comuna"/>
    <s v="Puntaje promedio por tipo de establecimiento"/>
    <s v="Periodo 2015 - 2018"/>
    <s v="Puntaje"/>
    <s v="Agencia de Calidad de la Educación"/>
    <x v="421"/>
    <s v="El puntaje promedio obtenido por los colegios Particulares, en la prueba SIMCE de lectura tomada a los alumnos de 4° Básico, es sobre los 130 puntos, superando por más de 30 puntos a los colegios de otras dependencias del país, en los años 2015, 2016, 2017 y 2018."/>
    <s v="Gráfico de Evolución"/>
    <s v="Chile SIMCE básica cuarto educación puntaje lectura municipal subvencionado corporación lenguaje particular"/>
    <x v="421"/>
    <s v="300-C"/>
    <s v="#1774B9"/>
    <s v="990-0422"/>
    <n v="99100000"/>
    <s v="T-1043"/>
    <s v="C-1019"/>
    <s v="FI-995"/>
    <s v="M-1044"/>
  </r>
  <r>
    <x v="422"/>
    <n v="990"/>
    <x v="0"/>
    <x v="1"/>
    <n v="1"/>
    <x v="34"/>
    <x v="1"/>
    <x v="1"/>
    <x v="1"/>
    <s v="Comuna"/>
    <s v="Puntaje promedio por tipo de establecimiento"/>
    <s v="Periodo 2015 - 2018"/>
    <s v="Puntaje"/>
    <s v="Agencia de Calidad de la Educación"/>
    <x v="422"/>
    <s v="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
    <s v="Gráfico de Evolución"/>
    <s v="Región de Tarapacá SIMCE básica cuarto educación puntaje lectura municipal subvencionado corporación lenguaje particular"/>
    <x v="422"/>
    <s v="100-C-1"/>
    <s v="#1774B9"/>
    <s v="990-0423"/>
    <n v="99200001"/>
    <s v="T-1043"/>
    <s v="C-1019"/>
    <s v="FI-991"/>
    <s v="M-1044"/>
  </r>
  <r>
    <x v="423"/>
    <n v="990"/>
    <x v="0"/>
    <x v="1"/>
    <n v="2"/>
    <x v="34"/>
    <x v="1"/>
    <x v="1"/>
    <x v="2"/>
    <s v="Comuna"/>
    <s v="Puntaje promedio por tipo de establecimiento"/>
    <s v="Periodo 2015 - 2018"/>
    <s v="Puntaje"/>
    <s v="Agencia de Calidad de la Educación"/>
    <x v="423"/>
    <s v="En la región de Antofagasta, en la prueba SIMCE de lectura rendida por los alumnos de 4° Básicos, desde los años 2015 al 2018, el puntaje promedio obtenido por los colegios Subvencionados, es mayor que los colegios de otras dependencias."/>
    <s v="Gráfico de Evolución"/>
    <s v="Región de Antofagasta SIMCE básica cuarto educación puntaje lectura municipal subvencionado corporación lenguaje particular"/>
    <x v="423"/>
    <s v="100-C-2"/>
    <s v="#1774B9"/>
    <s v="990-0424"/>
    <n v="99200002"/>
    <s v="T-1043"/>
    <s v="C-1019"/>
    <s v="FI-991"/>
    <s v="M-1044"/>
  </r>
  <r>
    <x v="424"/>
    <n v="990"/>
    <x v="0"/>
    <x v="1"/>
    <n v="3"/>
    <x v="34"/>
    <x v="1"/>
    <x v="1"/>
    <x v="3"/>
    <s v="Comuna"/>
    <s v="Puntaje promedio por tipo de establecimiento"/>
    <s v="Periodo 2015 - 2018"/>
    <s v="Puntaje"/>
    <s v="Agencia de Calidad de la Educación"/>
    <x v="424"/>
    <s v="En la región de Atacama, en la prueba SIMCE de lectura rendida por los alumnos de 4° Básicos, desde los años 2015 al 2018, el puntaje promedio obtenido por los colegios particulares, es mayor que los colegios de otras dependencias, con un promedio aproximado de 153 puntos."/>
    <s v="Gráfico de Evolución"/>
    <s v="Región de Atacama SIMCE básica cuarto educación puntaje lectura municipal subvencionado corporación lenguaje particular"/>
    <x v="424"/>
    <s v="100-C-3"/>
    <s v="#1774B9"/>
    <s v="990-0425"/>
    <n v="99200003"/>
    <s v="T-1043"/>
    <s v="C-1019"/>
    <s v="FI-991"/>
    <s v="M-1044"/>
  </r>
  <r>
    <x v="425"/>
    <n v="990"/>
    <x v="0"/>
    <x v="1"/>
    <n v="4"/>
    <x v="34"/>
    <x v="1"/>
    <x v="1"/>
    <x v="4"/>
    <s v="Comuna"/>
    <s v="Puntaje promedio por tipo de establecimiento"/>
    <s v="Periodo 2015 - 2018"/>
    <s v="Puntaje"/>
    <s v="Agencia de Calidad de la Educación"/>
    <x v="425"/>
    <s v="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
    <s v="Gráfico de Evolución"/>
    <s v="Región de Coquimbo SIMCE básica cuarto educación puntaje lectura municipal subvencionado corporación lenguaje particular"/>
    <x v="425"/>
    <s v="100-C-4"/>
    <s v="#1774B9"/>
    <s v="990-0426"/>
    <n v="99200004"/>
    <s v="T-1043"/>
    <s v="C-1019"/>
    <s v="FI-991"/>
    <s v="M-1044"/>
  </r>
  <r>
    <x v="426"/>
    <n v="990"/>
    <x v="0"/>
    <x v="1"/>
    <n v="5"/>
    <x v="34"/>
    <x v="1"/>
    <x v="1"/>
    <x v="5"/>
    <s v="Comuna"/>
    <s v="Puntaje promedio por tipo de establecimiento"/>
    <s v="Periodo 2015 - 2018"/>
    <s v="Puntaje"/>
    <s v="Agencia de Calidad de la Educación"/>
    <x v="426"/>
    <s v="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
    <s v="Gráfico de Evolución"/>
    <s v="Región de Valparaíso SIMCE básica cuarto educación puntaje lectura municipal subvencionado corporación lenguaje particular"/>
    <x v="426"/>
    <s v="100-C-5"/>
    <s v="#1774B9"/>
    <s v="990-0427"/>
    <n v="99200005"/>
    <s v="T-1043"/>
    <s v="C-1019"/>
    <s v="FI-991"/>
    <s v="M-1044"/>
  </r>
  <r>
    <x v="427"/>
    <n v="990"/>
    <x v="0"/>
    <x v="1"/>
    <n v="6"/>
    <x v="34"/>
    <x v="1"/>
    <x v="1"/>
    <x v="6"/>
    <s v="Comuna"/>
    <s v="Puntaje promedio por tipo de establecimiento"/>
    <s v="Periodo 2015 - 2018"/>
    <s v="Puntaje"/>
    <s v="Agencia de Calidad de la Educación"/>
    <x v="427"/>
    <s v="En la región de O'Higgins, el puntaje obtenido por los colegios Particulares, en la prueba SIMCE de lectura tomada a los alumnos de 4° Básico, desde el año 2015 al 2018, es superiores a los colegios de otras dependencias, con un promedio sobre los 140 puntos. "/>
    <s v="Gráfico de Evolución"/>
    <s v="Región de O'Higgins SIMCE básica cuarto educación puntaje lectura municipal subvencionado corporación lenguaje particular"/>
    <x v="427"/>
    <s v="100-C-6"/>
    <s v="#1774B9"/>
    <s v="990-0428"/>
    <n v="99200006"/>
    <s v="T-1043"/>
    <s v="C-1019"/>
    <s v="FI-991"/>
    <s v="M-1044"/>
  </r>
  <r>
    <x v="428"/>
    <n v="990"/>
    <x v="0"/>
    <x v="1"/>
    <n v="7"/>
    <x v="34"/>
    <x v="1"/>
    <x v="1"/>
    <x v="7"/>
    <s v="Comuna"/>
    <s v="Puntaje promedio por tipo de establecimiento"/>
    <s v="Periodo 2015 - 2018"/>
    <s v="Puntaje"/>
    <s v="Agencia de Calidad de la Educación"/>
    <x v="428"/>
    <s v="En la región de Maule, el puntaje obtenido por los colegios Particulares, en la prueba SIMCE de lectura tomada a los alumnos de 4° Básico, desde el año 2015 al 2018, es superiores al puntaje de los colegios de otras dependencias, con un promedio sobre los 145 puntos."/>
    <s v="Gráfico de Evolución"/>
    <s v="Región de Maule SIMCE básica cuarto educación puntaje lectura municipal subvencionado corporación lenguaje particular"/>
    <x v="428"/>
    <s v="100-C-7"/>
    <s v="#1774B9"/>
    <s v="990-0429"/>
    <n v="99200007"/>
    <s v="T-1043"/>
    <s v="C-1019"/>
    <s v="FI-991"/>
    <s v="M-1044"/>
  </r>
  <r>
    <x v="429"/>
    <n v="990"/>
    <x v="0"/>
    <x v="1"/>
    <n v="8"/>
    <x v="34"/>
    <x v="1"/>
    <x v="1"/>
    <x v="8"/>
    <s v="Comuna"/>
    <s v="Puntaje promedio por tipo de establecimiento"/>
    <s v="Periodo 2015 - 2018"/>
    <s v="Puntaje"/>
    <s v="Agencia de Calidad de la Educación"/>
    <x v="429"/>
    <s v="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
    <s v="Gráfico de Evolución"/>
    <s v="Región del Biobío SIMCE básica cuarto educación puntaje lectura municipal subvencionado corporación lenguaje particular"/>
    <x v="429"/>
    <s v="100-C-8"/>
    <s v="#1774B9"/>
    <s v="990-0430"/>
    <n v="99200008"/>
    <s v="T-1043"/>
    <s v="C-1019"/>
    <s v="FI-991"/>
    <s v="M-1044"/>
  </r>
  <r>
    <x v="430"/>
    <n v="990"/>
    <x v="0"/>
    <x v="1"/>
    <n v="9"/>
    <x v="34"/>
    <x v="1"/>
    <x v="1"/>
    <x v="9"/>
    <s v="Comuna"/>
    <s v="Puntaje promedio por tipo de establecimiento"/>
    <s v="Periodo 2015 - 2018"/>
    <s v="Puntaje"/>
    <s v="Agencia de Calidad de la Educación"/>
    <x v="430"/>
    <s v="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
    <s v="Gráfico de Evolución"/>
    <s v="Región de La Araucanía SIMCE básica cuarto educación puntaje lectura municipal subvencionado corporación lenguaje particular"/>
    <x v="430"/>
    <s v="100-C-9"/>
    <s v="#1774B9"/>
    <s v="990-0431"/>
    <n v="99200009"/>
    <s v="T-1043"/>
    <s v="C-1019"/>
    <s v="FI-991"/>
    <s v="M-1044"/>
  </r>
  <r>
    <x v="431"/>
    <n v="990"/>
    <x v="0"/>
    <x v="1"/>
    <n v="10"/>
    <x v="34"/>
    <x v="1"/>
    <x v="1"/>
    <x v="10"/>
    <s v="Comuna"/>
    <s v="Puntaje promedio por tipo de establecimiento"/>
    <s v="Periodo 2015 - 2018"/>
    <s v="Puntaje"/>
    <s v="Agencia de Calidad de la Educación"/>
    <x v="431"/>
    <s v="En la región de Los Lagos, el puntaje promedio obtenido por los colegios Particulares, en la prueba SIMCE de lectura tomada a los alumnos de 4° Básico, desde el año 2015 al 2018, es sobre los 140 puntos, seguidos por los colegios Subvencionados con puntaje aproximado de 93 puntos."/>
    <s v="Gráfico de Evolución"/>
    <s v="Región de Los Lagos SIMCE básica cuarto educación puntaje lectura municipal subvencionado corporación lenguaje particular"/>
    <x v="431"/>
    <s v="100-C-10"/>
    <s v="#1774B9"/>
    <s v="990-0432"/>
    <n v="99200010"/>
    <s v="T-1043"/>
    <s v="C-1019"/>
    <s v="FI-991"/>
    <s v="M-1044"/>
  </r>
  <r>
    <x v="432"/>
    <n v="990"/>
    <x v="0"/>
    <x v="1"/>
    <n v="11"/>
    <x v="34"/>
    <x v="1"/>
    <x v="1"/>
    <x v="11"/>
    <s v="Comuna"/>
    <s v="Puntaje promedio por tipo de establecimiento"/>
    <s v="Periodo 2015 - 2018"/>
    <s v="Puntaje"/>
    <s v="Agencia de Calidad de la Educación"/>
    <x v="432"/>
    <s v="En la región de Aysén, el puntaje promedio obtenido por los colegios Subvencionados, en la prueba SIMCE de lectura tomada a los alumnos de 4° Básico, desde el año 2015 al 2018, es sobre los 105 puntos, superando por 20 puntos a los colegios Municipales. "/>
    <s v="Gráfico de Evolución"/>
    <s v="Región de Aysén SIMCE básica cuarto educación puntaje lectura municipal subvencionado corporación lenguaje particular"/>
    <x v="432"/>
    <s v="100-C-11"/>
    <s v="#1774B9"/>
    <s v="990-0433"/>
    <n v="99200011"/>
    <s v="T-1043"/>
    <s v="C-1019"/>
    <s v="FI-991"/>
    <s v="M-1044"/>
  </r>
  <r>
    <x v="433"/>
    <n v="990"/>
    <x v="0"/>
    <x v="1"/>
    <n v="12"/>
    <x v="34"/>
    <x v="1"/>
    <x v="1"/>
    <x v="12"/>
    <s v="Comuna"/>
    <s v="Puntaje promedio por tipo de establecimiento"/>
    <s v="Periodo 2015 - 2018"/>
    <s v="Puntaje"/>
    <s v="Agencia de Calidad de la Educación"/>
    <x v="433"/>
    <s v="En la región de Magallanes, el puntaje promedio obtenido por los colegios Particulares, en la prueba SIMCE de lectura tomada a los alumnos de 4° Básico, desde el año 2015 al 2018, es sobre los 130 puntos, seguidos por los colegios Subvencionados con puntaje aproximado de 120 puntos."/>
    <s v="Gráfico de Evolución"/>
    <s v="Región de Magallanes SIMCE básica cuarto educación puntaje lectura municipal subvencionado corporación lenguaje particular"/>
    <x v="433"/>
    <s v="100-C-12"/>
    <s v="#1774B9"/>
    <s v="990-0434"/>
    <n v="99200012"/>
    <s v="T-1043"/>
    <s v="C-1019"/>
    <s v="FI-991"/>
    <s v="M-1044"/>
  </r>
  <r>
    <x v="434"/>
    <n v="990"/>
    <x v="0"/>
    <x v="1"/>
    <n v="13"/>
    <x v="34"/>
    <x v="1"/>
    <x v="1"/>
    <x v="13"/>
    <s v="Comuna"/>
    <s v="Puntaje promedio por tipo de establecimiento"/>
    <s v="Periodo 2015 - 2018"/>
    <s v="Puntaje"/>
    <s v="Agencia de Calidad de la Educación"/>
    <x v="434"/>
    <s v="En la región Metropolitana, el puntaje promedio obtenido por los colegios Particulares, en la prueba SIMCE de lectura tomada a los alumnos de 4° Básico, desde el año 2015 al 2018, es superior al puntaje obtenidos por colegios de otras dependencias."/>
    <s v="Gráfico de Evolución"/>
    <s v="Región Metropolitana SIMCE básica cuarto educación puntaje lectura municipal subvencionado corporación lenguaje particular"/>
    <x v="434"/>
    <s v="200-C-13"/>
    <s v="#1774B9"/>
    <s v="990-0435"/>
    <n v="99200013"/>
    <s v="T-1043"/>
    <s v="C-1019"/>
    <s v="FI-991"/>
    <s v="M-1044"/>
  </r>
  <r>
    <x v="435"/>
    <n v="990"/>
    <x v="0"/>
    <x v="1"/>
    <n v="14"/>
    <x v="34"/>
    <x v="1"/>
    <x v="1"/>
    <x v="14"/>
    <s v="Comuna"/>
    <s v="Puntaje promedio por tipo de establecimiento"/>
    <s v="Periodo 2015 - 2018"/>
    <s v="Puntaje"/>
    <s v="Agencia de Calidad de la Educación"/>
    <x v="435"/>
    <s v="En la región de Los Ríos, el puntaje promedio obtenido por los colegios Particulares, en la prueba SIMCE de lectura tomada a los alumnos de 4° Básico, supera por más de 50 puntos a los colegios de otras dependencias del país, en los años 2015, 2016, 2017 y 2018."/>
    <s v="Gráfico de Evolución"/>
    <s v="Región de Los Ríos SIMCE básica cuarto educación puntaje lectura municipal subvencionado corporación lenguaje particular"/>
    <x v="435"/>
    <s v="100-C-14"/>
    <s v="#1774B9"/>
    <s v="990-0436"/>
    <n v="99200014"/>
    <s v="T-1043"/>
    <s v="C-1019"/>
    <s v="FI-991"/>
    <s v="M-1044"/>
  </r>
  <r>
    <x v="436"/>
    <n v="990"/>
    <x v="0"/>
    <x v="1"/>
    <n v="15"/>
    <x v="34"/>
    <x v="1"/>
    <x v="1"/>
    <x v="15"/>
    <s v="Comuna"/>
    <s v="Puntaje promedio por tipo de establecimiento"/>
    <s v="Periodo 2015 - 2018"/>
    <s v="Puntaje"/>
    <s v="Agencia de Calidad de la Educación"/>
    <x v="436"/>
    <s v="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
    <s v="Gráfico de Evolución"/>
    <s v="Región de Arica y Parinacota SIMCE básica cuarto educación puntaje lectura municipal subvencionado corporación lenguaje particular"/>
    <x v="436"/>
    <s v="100-C-15"/>
    <s v="#1774B9"/>
    <s v="990-0437"/>
    <n v="99200015"/>
    <s v="T-1043"/>
    <s v="C-1019"/>
    <s v="FI-991"/>
    <s v="M-1044"/>
  </r>
  <r>
    <x v="437"/>
    <n v="990"/>
    <x v="0"/>
    <x v="1"/>
    <n v="16"/>
    <x v="34"/>
    <x v="1"/>
    <x v="1"/>
    <x v="16"/>
    <s v="Comuna"/>
    <s v="Puntaje promedio por tipo de establecimiento"/>
    <s v="Periodo 2015 - 2018"/>
    <s v="Puntaje"/>
    <s v="Agencia de Calidad de la Educación"/>
    <x v="437"/>
    <s v="En la región de Ñuble, el puntaje promedio obtenido por los colegios Particulares, en la prueba SIMCE de lectura tomada a los alumnos de 4° Básico, desde el año 2015 al 2018, es de 150 puntos."/>
    <s v="Gráfico de Evolución"/>
    <s v="Región de Ñuble SIMCE básica cuarto educación puntaje lectura municipal subvencionado corporación lenguaje particular"/>
    <x v="437"/>
    <s v="100-C-16"/>
    <s v="#1774B9"/>
    <s v="990-0438"/>
    <n v="99200016"/>
    <s v="T-1043"/>
    <s v="C-1019"/>
    <s v="FI-991"/>
    <s v="M-1044"/>
  </r>
  <r>
    <x v="438"/>
    <n v="990"/>
    <x v="0"/>
    <x v="1"/>
    <n v="0"/>
    <x v="34"/>
    <x v="1"/>
    <x v="0"/>
    <x v="0"/>
    <s v="Región-Comuna"/>
    <s v="Puntaje promedio por comuna"/>
    <s v="Periodo 2015 - 2018"/>
    <s v="Puntaje"/>
    <s v="Agencia de Calidad de la Educación"/>
    <x v="438"/>
    <s v="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
    <s v="Gráfico de Evolución"/>
    <s v="Chile SIMCE básica sexto educación puntaje lectura rural urbano lenguaje"/>
    <x v="438"/>
    <s v="300-C"/>
    <s v="#1774B9"/>
    <s v="990-0439"/>
    <n v="99100000"/>
    <s v="T-1043"/>
    <s v="C-1019"/>
    <s v="FI-995"/>
    <s v="M-1045"/>
  </r>
  <r>
    <x v="439"/>
    <n v="990"/>
    <x v="0"/>
    <x v="1"/>
    <n v="1"/>
    <x v="34"/>
    <x v="1"/>
    <x v="1"/>
    <x v="1"/>
    <s v="Comuna"/>
    <s v="Puntaje promedio por comuna"/>
    <s v="Periodo 2015 - 2018"/>
    <s v="Puntaje"/>
    <s v="Agencia de Calidad de la Educación"/>
    <x v="439"/>
    <s v="La región de Tarapacá, en la prueba SIMCE de lectura rendida por los alumnos de 6° Básico, desde el año 2015 al 2018, el puntaje promedio obtenido por los colegios de área urbana es mayor al obtenido por los colegios de áreas rurales, por mas de 60 puntos."/>
    <s v="Gráfico de Evolución"/>
    <s v="Región de Tarapacá SIMCE básica sexto educación puntaje lectura rural urbano lenguaje"/>
    <x v="439"/>
    <s v="100-C-1"/>
    <s v="#1774B9"/>
    <s v="990-0440"/>
    <n v="99200001"/>
    <s v="T-1043"/>
    <s v="C-1019"/>
    <s v="FI-991"/>
    <s v="M-1045"/>
  </r>
  <r>
    <x v="440"/>
    <n v="990"/>
    <x v="0"/>
    <x v="1"/>
    <n v="2"/>
    <x v="34"/>
    <x v="1"/>
    <x v="1"/>
    <x v="2"/>
    <s v="Comuna"/>
    <s v="Puntaje promedio por comuna"/>
    <s v="Periodo 2015 - 2018"/>
    <s v="Puntaje"/>
    <s v="Agencia de Calidad de la Educación"/>
    <x v="440"/>
    <s v="La región de Antofagasta, en la prueba SIMCE de lectura rendida por los alumnos de 6° Básico, desde el año 2015 al 2018, el puntaje promedio obtenido por los colegios de área urbana es mayor al obtenido por los colegios de áreas rurales, por mas de 80 puntos. "/>
    <s v="Gráfico de Evolución"/>
    <s v="Región de Antofagasta SIMCE básica sexto educación puntaje lectura rural urbano lenguaje"/>
    <x v="440"/>
    <s v="100-C-2"/>
    <s v="#1774B9"/>
    <s v="990-0441"/>
    <n v="99200002"/>
    <s v="T-1043"/>
    <s v="C-1019"/>
    <s v="FI-991"/>
    <s v="M-1045"/>
  </r>
  <r>
    <x v="441"/>
    <n v="990"/>
    <x v="0"/>
    <x v="1"/>
    <n v="3"/>
    <x v="34"/>
    <x v="1"/>
    <x v="1"/>
    <x v="3"/>
    <s v="Comuna"/>
    <s v="Puntaje promedio por comuna"/>
    <s v="Periodo 2015 - 2018"/>
    <s v="Puntaje"/>
    <s v="Agencia de Calidad de la Educación"/>
    <x v="441"/>
    <s v="La región de Atacama, en la prueba SIMCE de lectura rendida por los alumnos de 6° Básico, desde el año 2015 al 2018, el puntaje promedio obtenido por los colegios de área urbana es mayor al obtenido por los colegios de áreas rurales, superando los 100 puntos el 2008."/>
    <s v="Gráfico de Evolución"/>
    <s v="Región de Atacama SIMCE básica sexto educación puntaje lectura rural urbano lenguaje"/>
    <x v="441"/>
    <s v="100-C-3"/>
    <s v="#1774B9"/>
    <s v="990-0442"/>
    <n v="99200003"/>
    <s v="T-1043"/>
    <s v="C-1019"/>
    <s v="FI-991"/>
    <s v="M-1045"/>
  </r>
  <r>
    <x v="442"/>
    <n v="990"/>
    <x v="0"/>
    <x v="1"/>
    <n v="4"/>
    <x v="34"/>
    <x v="1"/>
    <x v="1"/>
    <x v="4"/>
    <s v="Comuna"/>
    <s v="Puntaje promedio por comuna"/>
    <s v="Periodo 2015 - 2018"/>
    <s v="Puntaje"/>
    <s v="Agencia de Calidad de la Educación"/>
    <x v="442"/>
    <s v="La región de Coquimbo, en la prueba SIMCE de lectura rendida por los alumnos de 6° Básico, desde el año 2015 al 2018, el puntaje promedio obtenido por los colegios de área urbana es mayor al obtenido por los colegios de áreas rurales, por más de 60 puntos."/>
    <s v="Gráfico de Evolución"/>
    <s v="Región de Coquimbo SIMCE básica sexto educación puntaje lectura rural urbano lenguaje"/>
    <x v="442"/>
    <s v="100-C-4"/>
    <s v="#1774B9"/>
    <s v="990-0443"/>
    <n v="99200004"/>
    <s v="T-1043"/>
    <s v="C-1019"/>
    <s v="FI-991"/>
    <s v="M-1045"/>
  </r>
  <r>
    <x v="443"/>
    <n v="990"/>
    <x v="0"/>
    <x v="1"/>
    <n v="5"/>
    <x v="34"/>
    <x v="1"/>
    <x v="1"/>
    <x v="5"/>
    <s v="Comuna"/>
    <s v="Puntaje promedio por comuna"/>
    <s v="Periodo 2015 - 2018"/>
    <s v="Puntaje"/>
    <s v="Agencia de Calidad de la Educación"/>
    <x v="443"/>
    <s v="La región de Valparaíso, en la prueba SIMCE de lectura rendida por los alumnos de 6° Básico, desde el año 2015 al 2018, el puntaje promedio obtenido por los colegios de área urbana es mayor al obtenido por los colegios de áreas rurales, con una diferencia de 40 puntos."/>
    <s v="Gráfico de Evolución"/>
    <s v="Región de Valparaíso SIMCE básica sexto educación puntaje lectura rural urbano lenguaje"/>
    <x v="443"/>
    <s v="100-C-5"/>
    <s v="#1774B9"/>
    <s v="990-0444"/>
    <n v="99200005"/>
    <s v="T-1043"/>
    <s v="C-1019"/>
    <s v="FI-991"/>
    <s v="M-1045"/>
  </r>
  <r>
    <x v="444"/>
    <n v="990"/>
    <x v="0"/>
    <x v="1"/>
    <n v="6"/>
    <x v="34"/>
    <x v="1"/>
    <x v="1"/>
    <x v="6"/>
    <s v="Comuna"/>
    <s v="Puntaje promedio por comuna"/>
    <s v="Periodo 2015 - 2018"/>
    <s v="Puntaje"/>
    <s v="Agencia de Calidad de la Educación"/>
    <x v="444"/>
    <s v="La región de O'Higgins, en la prueba SIMCE de lectura rendida por los alumnos de 6° Básico, desde el año 2015 al 2018, el puntaje promedio obtenido por los colegios de área urbana es mayor al obtenido por los colegios de áreas rurales, por mas de 30 puntos."/>
    <s v="Gráfico de Evolución"/>
    <s v="Región de O'Higgins SIMCE básica sexto educación puntaje lectura rural urbano lenguaje"/>
    <x v="444"/>
    <s v="100-C-6"/>
    <s v="#1774B9"/>
    <s v="990-0445"/>
    <n v="99200006"/>
    <s v="T-1043"/>
    <s v="C-1019"/>
    <s v="FI-991"/>
    <s v="M-1045"/>
  </r>
  <r>
    <x v="445"/>
    <n v="990"/>
    <x v="0"/>
    <x v="1"/>
    <n v="7"/>
    <x v="34"/>
    <x v="1"/>
    <x v="1"/>
    <x v="7"/>
    <s v="Comuna"/>
    <s v="Puntaje promedio por comuna"/>
    <s v="Periodo 2015 - 2018"/>
    <s v="Puntaje"/>
    <s v="Agencia de Calidad de la Educación"/>
    <x v="445"/>
    <s v="La región del Maule, en la prueba SIMCE de lectura rendida por los alumnos de 6° Básico, desde el año 2015 al 2018, el puntaje promedio obtenido por los colegios de área urbana es mayor al obtenido por los colegios de áreas rurales, por más de 40 puntos."/>
    <s v="Gráfico de Evolución"/>
    <s v="Región de Maule SIMCE básica sexto educación puntaje lectura rural urbano lenguaje"/>
    <x v="445"/>
    <s v="100-C-7"/>
    <s v="#1774B9"/>
    <s v="990-0446"/>
    <n v="99200007"/>
    <s v="T-1043"/>
    <s v="C-1019"/>
    <s v="FI-991"/>
    <s v="M-1045"/>
  </r>
  <r>
    <x v="446"/>
    <n v="990"/>
    <x v="0"/>
    <x v="1"/>
    <n v="8"/>
    <x v="34"/>
    <x v="1"/>
    <x v="1"/>
    <x v="8"/>
    <s v="Comuna"/>
    <s v="Puntaje promedio por comuna"/>
    <s v="Periodo 2015 - 2018"/>
    <s v="Puntaje"/>
    <s v="Agencia de Calidad de la Educación"/>
    <x v="446"/>
    <s v="La región del Biobío, en la prueba SIMCE de lectura rendida por los alumnos de 6° Básico, desde el año 2015 al 2018, el puntaje promedio obtenido por los colegios de área urbana es mayor al obtenido por los colegios de áreas rurales, por mas de 55 puntos."/>
    <s v="Gráfico de Evolución"/>
    <s v="Región del Biobío SIMCE básica sexto educación puntaje lectura rural urbano lenguaje"/>
    <x v="446"/>
    <s v="100-C-8"/>
    <s v="#1774B9"/>
    <s v="990-0447"/>
    <n v="99200008"/>
    <s v="T-1043"/>
    <s v="C-1019"/>
    <s v="FI-991"/>
    <s v="M-1045"/>
  </r>
  <r>
    <x v="447"/>
    <n v="990"/>
    <x v="0"/>
    <x v="1"/>
    <n v="9"/>
    <x v="34"/>
    <x v="1"/>
    <x v="1"/>
    <x v="9"/>
    <s v="Comuna"/>
    <s v="Puntaje promedio por comuna"/>
    <s v="Periodo 2015 - 2018"/>
    <s v="Puntaje"/>
    <s v="Agencia de Calidad de la Educación"/>
    <x v="447"/>
    <s v="La región de La Araucanía, en la prueba SIMCE de lectura rendida por los alumnos de 6° Básico, desde el año 2015 al 2018, el puntaje promedio obtenido por los colegios de área urbana es mayor al obtenido por los colegios de áreas rurales, por mas de 30 puntos."/>
    <s v="Gráfico de Evolución"/>
    <s v="Región de La Araucanía SIMCE básica sexto educación puntaje lectura rural urbano lenguaje"/>
    <x v="447"/>
    <s v="100-C-9"/>
    <s v="#1774B9"/>
    <s v="990-0448"/>
    <n v="99200009"/>
    <s v="T-1043"/>
    <s v="C-1019"/>
    <s v="FI-991"/>
    <s v="M-1045"/>
  </r>
  <r>
    <x v="448"/>
    <n v="990"/>
    <x v="0"/>
    <x v="1"/>
    <n v="10"/>
    <x v="34"/>
    <x v="1"/>
    <x v="1"/>
    <x v="10"/>
    <s v="Comuna"/>
    <s v="Puntaje promedio por comuna"/>
    <s v="Periodo 2015 - 2018"/>
    <s v="Puntaje"/>
    <s v="Agencia de Calidad de la Educación"/>
    <x v="448"/>
    <s v="La región de Los Lagos, en la prueba SIMCE de lectura rendida por los alumnos de 6° Básico, desde el año 2015 al 2018, el puntaje promedio obtenido por los colegios de área urbana es mayor al obtenido por los colegios de áreas rurales, por mas de 50 puntos."/>
    <s v="Gráfico de Evolución"/>
    <s v="Región de Los Lagos SIMCE básica sexto educación puntaje lectura rural urbano lenguaje"/>
    <x v="448"/>
    <s v="100-C-10"/>
    <s v="#1774B9"/>
    <s v="990-0449"/>
    <n v="99200010"/>
    <s v="T-1043"/>
    <s v="C-1019"/>
    <s v="FI-991"/>
    <s v="M-1045"/>
  </r>
  <r>
    <x v="449"/>
    <n v="990"/>
    <x v="0"/>
    <x v="1"/>
    <n v="11"/>
    <x v="34"/>
    <x v="1"/>
    <x v="1"/>
    <x v="11"/>
    <s v="Comuna"/>
    <s v="Puntaje promedio por comuna"/>
    <s v="Periodo 2015 - 2018"/>
    <s v="Puntaje"/>
    <s v="Agencia de Calidad de la Educación"/>
    <x v="449"/>
    <s v="La región de Aysén, en la prueba SIMCE de lectura rendida por los alumnos de 6° Básico, desde el año 2015 al 2018, el puntaje promedio obtenido por los colegios de área urbana es mayor al obtenido por los colegios de áreas rurales, por mas de 40 puntos. "/>
    <s v="Gráfico de Evolución"/>
    <s v="Región de Aysén SIMCE básica sexto educación puntaje lectura rural urbano lenguaje"/>
    <x v="449"/>
    <s v="100-C-11"/>
    <s v="#1774B9"/>
    <s v="990-0450"/>
    <n v="99200011"/>
    <s v="T-1043"/>
    <s v="C-1019"/>
    <s v="FI-991"/>
    <s v="M-1045"/>
  </r>
  <r>
    <x v="450"/>
    <n v="990"/>
    <x v="0"/>
    <x v="1"/>
    <n v="12"/>
    <x v="34"/>
    <x v="1"/>
    <x v="1"/>
    <x v="12"/>
    <s v="Comuna"/>
    <s v="Puntaje promedio por comuna"/>
    <s v="Periodo 2015 - 2018"/>
    <s v="Puntaje"/>
    <s v="Agencia de Calidad de la Educación"/>
    <x v="450"/>
    <s v="La región de Magallanes, según los puntajes SIMCE de lectura para los 6° Básicos en el periodo 2015 - 2018, se observa que los colegios de área urbana tienen puntaje significativamente mayor que los alcanzados en zonas rurales, con una diferencia de 100 puntos promedio. "/>
    <s v="Gráfico de Evolución"/>
    <s v="Región de Magallanes SIMCE básica sexto educación puntaje lectura rural urbano lenguaje"/>
    <x v="450"/>
    <s v="100-C-12"/>
    <s v="#1774B9"/>
    <s v="990-0451"/>
    <n v="99200012"/>
    <s v="T-1043"/>
    <s v="C-1019"/>
    <s v="FI-991"/>
    <s v="M-1045"/>
  </r>
  <r>
    <x v="451"/>
    <n v="990"/>
    <x v="0"/>
    <x v="1"/>
    <n v="13"/>
    <x v="34"/>
    <x v="1"/>
    <x v="1"/>
    <x v="13"/>
    <s v="Comuna"/>
    <s v="Puntaje promedio por comuna"/>
    <s v="Periodo 2015 - 2018"/>
    <s v="Puntaje"/>
    <s v="Agencia de Calidad de la Educación"/>
    <x v="451"/>
    <s v="La región Metropolitana, en la prueba SIMCE de lectura rendida por los alumnos de 6° Básico, desde el año 2015 al 2018, el puntaje promedio obtenido por los colegios de área urbana es mayor al obtenido por los colegios de áreas rurales, con una diferencia de 30 puntos promedio."/>
    <s v="Gráfico de Evolución"/>
    <s v="Región Metropolitana SIMCE básica sexto educación puntaje lectura rural urbano lenguaje"/>
    <x v="451"/>
    <s v="200-C-13"/>
    <s v="#1774B9"/>
    <s v="990-0452"/>
    <n v="99200013"/>
    <s v="T-1043"/>
    <s v="C-1019"/>
    <s v="FI-991"/>
    <s v="M-1045"/>
  </r>
  <r>
    <x v="452"/>
    <n v="990"/>
    <x v="0"/>
    <x v="1"/>
    <n v="14"/>
    <x v="34"/>
    <x v="1"/>
    <x v="1"/>
    <x v="14"/>
    <s v="Comuna"/>
    <s v="Puntaje promedio por comuna"/>
    <s v="Periodo 2015 - 2018"/>
    <s v="Puntaje"/>
    <s v="Agencia de Calidad de la Educación"/>
    <x v="452"/>
    <s v="La región de Los Ríos, en la prueba SIMCE de lectura rendida por los alumnos de 6° Básico, desde el año 2015 al 2018, el puntaje promedio obtenido por los colegios de área urbana es mayor al obtenido por los colegios de áreas rurales, por más de 40 puntos. "/>
    <s v="Gráfico de Evolución"/>
    <s v="Región de Los Ríos SIMCE básica sexto educación puntaje lectura rural urbano lenguaje"/>
    <x v="452"/>
    <s v="100-C-14"/>
    <s v="#1774B9"/>
    <s v="990-0453"/>
    <n v="99200014"/>
    <s v="T-1043"/>
    <s v="C-1019"/>
    <s v="FI-991"/>
    <s v="M-1045"/>
  </r>
  <r>
    <x v="453"/>
    <n v="990"/>
    <x v="0"/>
    <x v="1"/>
    <n v="15"/>
    <x v="34"/>
    <x v="1"/>
    <x v="1"/>
    <x v="15"/>
    <s v="Comuna"/>
    <s v="Puntaje promedio por comuna"/>
    <s v="Periodo 2015 - 2018"/>
    <s v="Puntaje"/>
    <s v="Agencia de Calidad de la Educación"/>
    <x v="453"/>
    <s v="La región de Arica y Parinacota, en la prueba SIMCE de lectura rendida por los alumnos de 6° Básico, desde el año 2015 al 2018, el puntaje promedio obtenido por los colegios de área urbana es mayor al obtenido por los colegios de áreas rurales, por más de 90 puntos. "/>
    <s v="Gráfico de Evolución"/>
    <s v="Región de Arica y Parinacota SIMCE básica sexto educación puntaje lectura rural urbano lenguaje"/>
    <x v="453"/>
    <s v="100-C-15"/>
    <s v="#1774B9"/>
    <s v="990-0454"/>
    <n v="99200015"/>
    <s v="T-1043"/>
    <s v="C-1019"/>
    <s v="FI-991"/>
    <s v="M-1045"/>
  </r>
  <r>
    <x v="454"/>
    <n v="990"/>
    <x v="0"/>
    <x v="1"/>
    <n v="16"/>
    <x v="34"/>
    <x v="1"/>
    <x v="1"/>
    <x v="16"/>
    <s v="Comuna"/>
    <s v="Puntaje promedio por comuna"/>
    <s v="Periodo 2015 - 2018"/>
    <s v="Puntaje"/>
    <s v="Agencia de Calidad de la Educación"/>
    <x v="454"/>
    <s v="La región Ñuble, en la prueba SIMCE de lectura rendida por los alumnos de 6° Básico, desde el año 2015 al 2018, el puntaje promedio obtenido por los colegios de área urbana es mayor al obtenido por los colegios de áreas rurales, por más de 30 puntos."/>
    <s v="Gráfico de Evolución"/>
    <s v="Región de Ñuble SIMCE básica sexto educación puntaje lectura rural urbano lenguaje"/>
    <x v="454"/>
    <s v="100-C-16"/>
    <s v="#1774B9"/>
    <s v="990-0455"/>
    <n v="99200016"/>
    <s v="T-1043"/>
    <s v="C-1019"/>
    <s v="FI-991"/>
    <s v="M-1045"/>
  </r>
  <r>
    <x v="455"/>
    <n v="990"/>
    <x v="0"/>
    <x v="1"/>
    <n v="0"/>
    <x v="34"/>
    <x v="1"/>
    <x v="0"/>
    <x v="0"/>
    <s v="Región"/>
    <s v="Puntaje promedio y máximo por comuna"/>
    <s v="Año 2020"/>
    <s v="Puntaje"/>
    <s v="Agencia de Calidad de la Educación"/>
    <x v="455"/>
    <s v="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x v="455"/>
    <s v="300-C"/>
    <s v="#1774B9"/>
    <s v="990-0456"/>
    <n v="99100000"/>
    <s v="T-1043"/>
    <s v="C-1019"/>
    <s v="FI-992"/>
    <s v="M-1046"/>
  </r>
  <r>
    <x v="456"/>
    <n v="990"/>
    <x v="0"/>
    <x v="1"/>
    <n v="1"/>
    <x v="34"/>
    <x v="1"/>
    <x v="1"/>
    <x v="1"/>
    <s v="Ninguno"/>
    <s v="Puntaje promedio y máximo por comuna"/>
    <s v="Año 2020"/>
    <s v="Puntaje"/>
    <s v="Agencia de Calidad de la Educación"/>
    <x v="456"/>
    <s v="La comuna de Colchane presenta el mayor puntaje promedio en la prueba SIMCE de lectura tomada a los alumnos de 8° Básico, el año 2020, obteniendo 125 puntos promedio. Sin embargo, la comuna de Iquique obtuvo el Puntaje máximo, con 289 puntos."/>
    <s v="Mapa de calor"/>
    <s v="Región de Tarapacá SIMCE básica octavo educación puntaje lectura promedio máximo lenguaje"/>
    <x v="456"/>
    <s v="100-C-1"/>
    <s v="#1774B9"/>
    <s v="990-0457"/>
    <n v="99200001"/>
    <s v="T-1043"/>
    <s v="C-1019"/>
    <s v="FI-993"/>
    <s v="M-1046"/>
  </r>
  <r>
    <x v="457"/>
    <n v="990"/>
    <x v="0"/>
    <x v="1"/>
    <n v="2"/>
    <x v="34"/>
    <x v="1"/>
    <x v="1"/>
    <x v="2"/>
    <s v="Ninguno"/>
    <s v="Puntaje promedio y máximo por comuna"/>
    <s v="Año 2020"/>
    <s v="Puntaje"/>
    <s v="Agencia de Calidad de la Educación"/>
    <x v="457"/>
    <s v="La comuna de María Elena presenta el mayor puntaje promedio en la prueba SIMCE de lectura tomada a los alumnos de 8° Básico, el año 2020, obteniendo 136 puntos promedio. Sin embargo, la comuna de Calama obtuvo el Puntaje máximo con 315 puntos."/>
    <s v="Mapa de calor"/>
    <s v="Región de Antofagasta SIMCE básica octavo educación puntaje lectura promedio máximo lenguaje"/>
    <x v="457"/>
    <s v="100-C-2"/>
    <s v="#1774B9"/>
    <s v="990-0458"/>
    <n v="99200002"/>
    <s v="T-1043"/>
    <s v="C-1019"/>
    <s v="FI-993"/>
    <s v="M-1046"/>
  </r>
  <r>
    <x v="458"/>
    <n v="990"/>
    <x v="0"/>
    <x v="1"/>
    <n v="3"/>
    <x v="34"/>
    <x v="1"/>
    <x v="1"/>
    <x v="3"/>
    <s v="Ninguno"/>
    <s v="Puntaje promedio y máximo por comuna"/>
    <s v="Año 2020"/>
    <s v="Puntaje"/>
    <s v="Agencia de Calidad de la Educación"/>
    <x v="458"/>
    <s v="La comuna de Copiapó presenta el mayor puntaje promedio en la prueba SIMCE de lectura tomada a los alumnos de 8° Básico, el año 2020, obteniendo 111 puntos promedio. Por otro lado, la comuna de Huasco obtuvo el Puntaje promedio más bajo con 80 puntos."/>
    <s v="Mapa de calor"/>
    <s v="Región de Atacama SIMCE básica octavo educación puntaje lectura promedio máximo lenguaje"/>
    <x v="458"/>
    <s v="100-C-3"/>
    <s v="#1774B9"/>
    <s v="990-0459"/>
    <n v="99200003"/>
    <s v="T-1043"/>
    <s v="C-1019"/>
    <s v="FI-993"/>
    <s v="M-1046"/>
  </r>
  <r>
    <x v="459"/>
    <n v="990"/>
    <x v="0"/>
    <x v="1"/>
    <n v="4"/>
    <x v="34"/>
    <x v="1"/>
    <x v="1"/>
    <x v="4"/>
    <s v="Ninguno"/>
    <s v="Puntaje promedio y máximo por comuna"/>
    <s v="Año 2020"/>
    <s v="Puntaje"/>
    <s v="Agencia de Calidad de la Educación"/>
    <x v="459"/>
    <s v="La comuna de Andacollo presenta el mayor puntaje promedio en la prueba SIMCE de lectura tomada a los alumnos de 8° Básico, el año 2020, obteniendo 122 puntos promedio. Sin embargo la comuna de Combarbalá obtuvo el Puntaje máximo con 331 puntos."/>
    <s v="Mapa de calor"/>
    <s v="Región de Coquimbo SIMCE básica octavo educación puntaje lectura promedio máximo lenguaje"/>
    <x v="459"/>
    <s v="100-C-4"/>
    <s v="#1774B9"/>
    <s v="990-0460"/>
    <n v="99200004"/>
    <s v="T-1043"/>
    <s v="C-1019"/>
    <s v="FI-993"/>
    <s v="M-1046"/>
  </r>
  <r>
    <x v="460"/>
    <n v="990"/>
    <x v="0"/>
    <x v="1"/>
    <n v="5"/>
    <x v="34"/>
    <x v="1"/>
    <x v="1"/>
    <x v="5"/>
    <s v="Ninguno"/>
    <s v="Puntaje promedio y máximo por comuna"/>
    <s v="Año 2020"/>
    <s v="Puntaje"/>
    <s v="Agencia de Calidad de la Educación"/>
    <x v="460"/>
    <s v="La comuna de Papudo presenta el mayor puntaje promedio en la prueba SIMCE de lectura tomada a los alumnos de 8° Básico, el año 2020, obteniendo 138 puntos promedio. Sin embargo, la comuna de Viña de Mar obtuvo el Puntaje máximo con 316 puntos."/>
    <s v="Mapa de calor"/>
    <s v="Región de Valparaíso SIMCE básica octavo educación puntaje lectura promedio máximo lenguaje"/>
    <x v="460"/>
    <s v="100-C-5"/>
    <s v="#1774B9"/>
    <s v="990-0461"/>
    <n v="99200005"/>
    <s v="T-1043"/>
    <s v="C-1019"/>
    <s v="FI-993"/>
    <s v="M-1046"/>
  </r>
  <r>
    <x v="461"/>
    <n v="990"/>
    <x v="0"/>
    <x v="1"/>
    <n v="6"/>
    <x v="34"/>
    <x v="1"/>
    <x v="1"/>
    <x v="6"/>
    <s v="Ninguno"/>
    <s v="Puntaje promedio y máximo por comuna"/>
    <s v="Año 2020"/>
    <s v="Puntaje"/>
    <s v="Agencia de Calidad de la Educación"/>
    <x v="461"/>
    <s v="La comuna de La Estrella presenta el mayor puntaje promedio en la prueba SIMCE de lectura tomada a los alumnos de 8° Básico, el año 2020, obteniendo 139 puntos promedio. Sin embargo, la comuna de San Fernando obtuvo el Puntaje máximo con 310 puntos."/>
    <s v="Mapa de calor"/>
    <s v="Región de O'Higgins SIMCE básica octavo educación puntaje lectura promedio máximo lenguaje"/>
    <x v="461"/>
    <s v="100-C-6"/>
    <s v="#1774B9"/>
    <s v="990-0462"/>
    <n v="99200006"/>
    <s v="T-1043"/>
    <s v="C-1019"/>
    <s v="FI-993"/>
    <s v="M-1046"/>
  </r>
  <r>
    <x v="462"/>
    <n v="990"/>
    <x v="0"/>
    <x v="1"/>
    <n v="7"/>
    <x v="34"/>
    <x v="1"/>
    <x v="1"/>
    <x v="7"/>
    <s v="Ninguno"/>
    <s v="Puntaje promedio y máximo por comuna"/>
    <s v="Año 2020"/>
    <s v="Puntaje"/>
    <s v="Agencia de Calidad de la Educación"/>
    <x v="462"/>
    <s v="La comuna de Empedrado presenta el mayor puntaje promedio en la prueba SIMCE de lectura tomada a los alumnos de 8° Básico, el año 2020, obteniendo 137 puntos promedio; seguido por las comunas de Curepto y Parral, ambas con 121 puntos promedio."/>
    <s v="Mapa de calor"/>
    <s v="Región de Maule SIMCE básica octavo educación puntaje lectura promedio máximo lenguaje"/>
    <x v="462"/>
    <s v="100-C-7"/>
    <s v="#1774B9"/>
    <s v="990-0463"/>
    <n v="99200007"/>
    <s v="T-1043"/>
    <s v="C-1019"/>
    <s v="FI-993"/>
    <s v="M-1046"/>
  </r>
  <r>
    <x v="463"/>
    <n v="990"/>
    <x v="0"/>
    <x v="1"/>
    <n v="8"/>
    <x v="34"/>
    <x v="1"/>
    <x v="1"/>
    <x v="8"/>
    <s v="Ninguno"/>
    <s v="Puntaje promedio y máximo por comuna"/>
    <s v="Año 2020"/>
    <s v="Puntaje"/>
    <s v="Agencia de Calidad de la Educación"/>
    <x v="463"/>
    <s v="La comuna de Antuco presenta el mayor puntaje promedio en la prueba SIMCE de lectura tomada a los alumnos de 8° Básico, el año 2020, obteniendo 138 puntos promedio; seguido por la comuna de Arauco con 121 puntos promedio."/>
    <s v="Mapa de calor"/>
    <s v="Región del Biobío SIMCE básica octavo educación puntaje lectura promedio máximo lenguaje"/>
    <x v="463"/>
    <s v="100-C-8"/>
    <s v="#1774B9"/>
    <s v="990-0464"/>
    <n v="99200008"/>
    <s v="T-1043"/>
    <s v="C-1019"/>
    <s v="FI-993"/>
    <s v="M-1046"/>
  </r>
  <r>
    <x v="464"/>
    <n v="990"/>
    <x v="0"/>
    <x v="1"/>
    <n v="9"/>
    <x v="34"/>
    <x v="1"/>
    <x v="1"/>
    <x v="9"/>
    <s v="Ninguno"/>
    <s v="Puntaje promedio y máximo por comuna"/>
    <s v="Año 2020"/>
    <s v="Puntaje"/>
    <s v="Agencia de Calidad de la Educación"/>
    <x v="464"/>
    <s v="La comuna de Purén presenta el mayor puntaje promedio en la prueba SIMCE de lectura tomada a los alumnos de 8° Básico, el año 2020, obteniendo 142 puntos promedio. Sin embargo, la comuna de Temuco obtuvo el Puntaje máximo con 313 puntos."/>
    <s v="Mapa de calor"/>
    <s v="Región de La Araucanía SIMCE básica octavo educación puntaje lectura promedio máximo lenguaje"/>
    <x v="464"/>
    <s v="100-C-9"/>
    <s v="#1774B9"/>
    <s v="990-0465"/>
    <n v="99200009"/>
    <s v="T-1043"/>
    <s v="C-1019"/>
    <s v="FI-993"/>
    <s v="M-1046"/>
  </r>
  <r>
    <x v="465"/>
    <n v="990"/>
    <x v="0"/>
    <x v="1"/>
    <n v="10"/>
    <x v="34"/>
    <x v="1"/>
    <x v="1"/>
    <x v="10"/>
    <s v="Ninguno"/>
    <s v="Puntaje promedio y máximo por comuna"/>
    <s v="Año 2020"/>
    <s v="Puntaje"/>
    <s v="Agencia de Calidad de la Educación"/>
    <x v="465"/>
    <s v="La comuna de Futaleufú presenta el mayor puntaje promedio en la prueba SIMCE de lectura tomada a los alumnos de 8° Básico, el año 2020, obteniendo 146 puntos promedio. Sin embargo, la comuna de Calbuco obtuvo el Puntaje máximo con 321 puntos."/>
    <s v="Mapa de calor"/>
    <s v="Región de Los Lagos SIMCE básica octavo educación puntaje lectura promedio máximo lenguaje"/>
    <x v="465"/>
    <s v="100-C-10"/>
    <s v="#1774B9"/>
    <s v="990-0466"/>
    <n v="99200010"/>
    <s v="T-1043"/>
    <s v="C-1019"/>
    <s v="FI-993"/>
    <s v="M-1046"/>
  </r>
  <r>
    <x v="466"/>
    <n v="990"/>
    <x v="0"/>
    <x v="1"/>
    <n v="11"/>
    <x v="34"/>
    <x v="1"/>
    <x v="1"/>
    <x v="11"/>
    <s v="Ninguno"/>
    <s v="Puntaje promedio y máximo por comuna"/>
    <s v="Año 2020"/>
    <s v="Puntaje"/>
    <s v="Agencia de Calidad de la Educación"/>
    <x v="466"/>
    <s v="La comuna de Tortel es la que presenta el mayor puntaje promedio en la prueba SIMCE de lectura tomada a los alumnos de 8° Básico, el año 2020, obteniendo 160 puntos promedio. Por otro lado, la comuna de Lago Verde obtuvo el Puntaje máximo con 304 puntos."/>
    <s v="Mapa de calor"/>
    <s v="Región de Aysén SIMCE básica octavo educación puntaje lectura promedio máximo lenguaje"/>
    <x v="466"/>
    <s v="100-C-11"/>
    <s v="#1774B9"/>
    <s v="990-0467"/>
    <n v="99200011"/>
    <s v="T-1043"/>
    <s v="C-1019"/>
    <s v="FI-993"/>
    <s v="M-1046"/>
  </r>
  <r>
    <x v="467"/>
    <n v="990"/>
    <x v="0"/>
    <x v="1"/>
    <n v="12"/>
    <x v="34"/>
    <x v="1"/>
    <x v="1"/>
    <x v="12"/>
    <s v="Ninguno"/>
    <s v="Puntaje promedio y máximo por comuna"/>
    <s v="Año 2020"/>
    <s v="Puntaje"/>
    <s v="Agencia de Calidad de la Educación"/>
    <x v="467"/>
    <s v="La comuna de Primavera presenta el mayor puntaje promedio en la prueba SIMCE de lectura tomada a los alumnos de 8° Básico, el año 2020, obteniendo 146 puntos promedio. Sin embargo, la comuna de Punta Arenas obtuvo el Puntaje máximo con 298 puntos."/>
    <s v="Mapa de calor"/>
    <s v="Región de Magallanes SIMCE básica octavo educación puntaje lectura promedio máximo lenguaje"/>
    <x v="467"/>
    <s v="100-C-12"/>
    <s v="#1774B9"/>
    <s v="990-0468"/>
    <n v="99200012"/>
    <s v="T-1043"/>
    <s v="C-1019"/>
    <s v="FI-993"/>
    <s v="M-1046"/>
  </r>
  <r>
    <x v="468"/>
    <n v="990"/>
    <x v="0"/>
    <x v="1"/>
    <n v="13"/>
    <x v="34"/>
    <x v="1"/>
    <x v="1"/>
    <x v="13"/>
    <s v="Ninguno"/>
    <s v="Puntaje promedio y máximo por comuna"/>
    <s v="Año 2020"/>
    <s v="Puntaje"/>
    <s v="Agencia de Calidad de la Educación"/>
    <x v="468"/>
    <s v="La comuna de Vitacura presenta el mayor puntaje promedio en la prueba SIMCE de lectura tomada a los alumnos de 8° Básico, el año 2020, obteniendo 154 puntos promedio. Sin embargo, la comuna de Isla De Maipo obtuvo el Puntaje máximo con 329 puntos."/>
    <s v="Mapa de calor"/>
    <s v="Región Metropolitana SIMCE básica octavo educación puntaje lectura promedio máximo lenguaje"/>
    <x v="468"/>
    <s v="200-C-13"/>
    <s v="#1774B9"/>
    <s v="990-0469"/>
    <n v="99200013"/>
    <s v="T-1043"/>
    <s v="C-1019"/>
    <s v="FI-993"/>
    <s v="M-1046"/>
  </r>
  <r>
    <x v="469"/>
    <n v="990"/>
    <x v="0"/>
    <x v="1"/>
    <n v="14"/>
    <x v="34"/>
    <x v="1"/>
    <x v="1"/>
    <x v="14"/>
    <s v="Ninguno"/>
    <s v="Puntaje promedio y máximo por comuna"/>
    <s v="Año 2020"/>
    <s v="Puntaje"/>
    <s v="Agencia de Calidad de la Educación"/>
    <x v="469"/>
    <s v="La comuna de Máfil presenta el mayor puntaje promedio en la prueba SIMCE de lectura tomada a los alumnos de 8° Básico, el año 2020, obteniendo 136 puntos promedio. Sin embargo, la comuna de La Unión obtuvo el Puntaje máximo con 303 puntos."/>
    <s v="Mapa de calor"/>
    <s v="Región de Los Ríos SIMCE básica octavo educación puntaje lectura promedio máximo lenguaje"/>
    <x v="469"/>
    <s v="100-C-14"/>
    <s v="#1774B9"/>
    <s v="990-0470"/>
    <n v="99200014"/>
    <s v="T-1043"/>
    <s v="C-1019"/>
    <s v="FI-993"/>
    <s v="M-1046"/>
  </r>
  <r>
    <x v="470"/>
    <n v="990"/>
    <x v="0"/>
    <x v="1"/>
    <n v="15"/>
    <x v="34"/>
    <x v="1"/>
    <x v="1"/>
    <x v="15"/>
    <s v="Ninguno"/>
    <s v="Puntaje promedio y máximo por comuna"/>
    <s v="Año 2020"/>
    <s v="Puntaje"/>
    <s v="Agencia de Calidad de la Educación"/>
    <x v="470"/>
    <s v="La comuna de General Lagos presenta el mayor puntaje promedio en la prueba SIMCE de lectura tomada a los alumnos de 8° Básico, el año 2020, obteniendo 121 puntos promedio. Sin embargo, la comuna de Arica obtuvo el Puntaje máximo con 294 puntos."/>
    <s v="Mapa de calor"/>
    <s v="Región de Arica y Parinacota SIMCE básica octavo educación puntaje lectura promedio máximo lenguaje"/>
    <x v="470"/>
    <s v="100-C-15"/>
    <s v="#1774B9"/>
    <s v="990-0471"/>
    <n v="99200015"/>
    <s v="T-1043"/>
    <s v="C-1019"/>
    <s v="FI-993"/>
    <s v="M-1046"/>
  </r>
  <r>
    <x v="471"/>
    <n v="990"/>
    <x v="0"/>
    <x v="1"/>
    <n v="16"/>
    <x v="34"/>
    <x v="1"/>
    <x v="1"/>
    <x v="16"/>
    <s v="Ninguno"/>
    <s v="Puntaje promedio y máximo por comuna"/>
    <s v="Año 2020"/>
    <s v="Puntaje"/>
    <s v="Agencia de Calidad de la Educación"/>
    <x v="471"/>
    <s v="La comuna de San Fabián presenta el mayor puntaje promedio en la prueba SIMCE de lectura tomada a los alumnos de 8° Básico, el año 2020, obteniendo 127 puntos promedio. Sin embargo, la comuna de Ninhue obtuvo el Puntaje máximo con 305 puntos."/>
    <s v="Mapa de calor"/>
    <s v="Región de Ñuble SIMCE básica octavo educación puntaje lectura promedio máximo lenguaje"/>
    <x v="471"/>
    <s v="100-C-16"/>
    <s v="#1774B9"/>
    <s v="990-0472"/>
    <n v="99200016"/>
    <s v="T-1043"/>
    <s v="C-1019"/>
    <s v="FI-993"/>
    <s v="M-1046"/>
  </r>
  <r>
    <x v="472"/>
    <n v="990"/>
    <x v="0"/>
    <x v="1"/>
    <n v="0"/>
    <x v="35"/>
    <x v="1"/>
    <x v="0"/>
    <x v="0"/>
    <s v="Región"/>
    <s v="Puntaje por dependencia de establecimientos por región"/>
    <s v="Periodo 2014 - 2019"/>
    <s v="Puntaje"/>
    <s v="Agencia de Calidad de la Educación"/>
    <x v="472"/>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x v="472"/>
    <s v="300-R"/>
    <s v="#1774B9"/>
    <s v="990-0473"/>
    <n v="99100000"/>
    <s v="T-1063"/>
    <s v="C-1019"/>
    <s v="FI-992"/>
    <s v="M-1047"/>
  </r>
  <r>
    <x v="473"/>
    <n v="990"/>
    <x v="0"/>
    <x v="1"/>
    <n v="1"/>
    <x v="35"/>
    <x v="1"/>
    <x v="1"/>
    <x v="1"/>
    <s v="Ninguno"/>
    <s v="Puntaje por dependencia de establecimientos por región"/>
    <s v="Periodo 2014 - 2019"/>
    <s v="Puntaje"/>
    <s v="Agencia de Calidad de la Educación"/>
    <x v="473"/>
    <s v="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Tarapacá calidad educación puntaje municipal subvencionado corporación particular indicador participación formación ciudadana"/>
    <x v="473"/>
    <s v="100-R-1"/>
    <s v="#1774B9"/>
    <s v="990-0474"/>
    <n v="99200001"/>
    <s v="T-1063"/>
    <s v="C-1019"/>
    <s v="FI-993"/>
    <s v="M-1047"/>
  </r>
  <r>
    <x v="474"/>
    <n v="990"/>
    <x v="0"/>
    <x v="1"/>
    <n v="2"/>
    <x v="35"/>
    <x v="1"/>
    <x v="1"/>
    <x v="2"/>
    <s v="Ninguno"/>
    <s v="Puntaje por dependencia de establecimientos por región"/>
    <s v="Periodo 2014 - 2019"/>
    <s v="Puntaje"/>
    <s v="Agencia de Calidad de la Educación"/>
    <x v="474"/>
    <s v="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Antofagasta calidad educación puntaje municipal subvencionado corporación particular indicador participación formación ciudadana"/>
    <x v="474"/>
    <s v="100-R-2"/>
    <s v="#1774B9"/>
    <s v="990-0475"/>
    <n v="99200002"/>
    <s v="T-1063"/>
    <s v="C-1019"/>
    <s v="FI-993"/>
    <s v="M-1047"/>
  </r>
  <r>
    <x v="475"/>
    <n v="990"/>
    <x v="0"/>
    <x v="1"/>
    <n v="3"/>
    <x v="35"/>
    <x v="1"/>
    <x v="1"/>
    <x v="3"/>
    <s v="Ninguno"/>
    <s v="Puntaje por dependencia de establecimientos por región"/>
    <s v="Periodo 2014 - 2019"/>
    <s v="Puntaje"/>
    <s v="Agencia de Calidad de la Educación"/>
    <x v="475"/>
    <s v="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tacama calidad educación puntaje municipal subvencionado corporación particular indicador participación formación ciudadana"/>
    <x v="475"/>
    <s v="100-R-3"/>
    <s v="#1774B9"/>
    <s v="990-0476"/>
    <n v="99200003"/>
    <s v="T-1063"/>
    <s v="C-1019"/>
    <s v="FI-993"/>
    <s v="M-1047"/>
  </r>
  <r>
    <x v="476"/>
    <n v="990"/>
    <x v="0"/>
    <x v="1"/>
    <n v="4"/>
    <x v="35"/>
    <x v="1"/>
    <x v="1"/>
    <x v="4"/>
    <s v="Ninguno"/>
    <s v="Puntaje por dependencia de establecimientos por región"/>
    <s v="Periodo 2014 - 2019"/>
    <s v="Puntaje"/>
    <s v="Agencia de Calidad de la Educación"/>
    <x v="476"/>
    <s v="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
    <s v="Gráfico de Evolución"/>
    <s v="Región de Coquimbo calidad educación puntaje municipal subvencionado corporación particular indicador participación formación ciudadana"/>
    <x v="476"/>
    <s v="100-R-4"/>
    <s v="#1774B9"/>
    <s v="990-0477"/>
    <n v="99200004"/>
    <s v="T-1063"/>
    <s v="C-1019"/>
    <s v="FI-993"/>
    <s v="M-1047"/>
  </r>
  <r>
    <x v="477"/>
    <n v="990"/>
    <x v="0"/>
    <x v="1"/>
    <n v="5"/>
    <x v="35"/>
    <x v="1"/>
    <x v="1"/>
    <x v="5"/>
    <s v="Ninguno"/>
    <s v="Puntaje por dependencia de establecimientos por región"/>
    <s v="Periodo 2014 - 2019"/>
    <s v="Puntaje"/>
    <s v="Agencia de Calidad de la Educación"/>
    <x v="477"/>
    <s v="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
    <s v="Gráfico de Evolución"/>
    <s v="Región de Valparaíso calidad educación puntaje municipal subvencionado corporación particular indicador participación formación ciudadana"/>
    <x v="477"/>
    <s v="100-R-5"/>
    <s v="#1774B9"/>
    <s v="990-0478"/>
    <n v="99200005"/>
    <s v="T-1063"/>
    <s v="C-1019"/>
    <s v="FI-993"/>
    <s v="M-1047"/>
  </r>
  <r>
    <x v="478"/>
    <n v="990"/>
    <x v="0"/>
    <x v="1"/>
    <n v="6"/>
    <x v="35"/>
    <x v="1"/>
    <x v="1"/>
    <x v="6"/>
    <s v="Ninguno"/>
    <s v="Puntaje por dependencia de establecimientos por región"/>
    <s v="Periodo 2014 - 2019"/>
    <s v="Puntaje"/>
    <s v="Agencia de Calidad de la Educación"/>
    <x v="478"/>
    <s v="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O'Higgins calidad educación puntaje municipal subvencionado corporación particular indicador participación formación ciudadana"/>
    <x v="478"/>
    <s v="100-R-6"/>
    <s v="#1774B9"/>
    <s v="990-0479"/>
    <n v="99200006"/>
    <s v="T-1063"/>
    <s v="C-1019"/>
    <s v="FI-993"/>
    <s v="M-1047"/>
  </r>
  <r>
    <x v="479"/>
    <n v="990"/>
    <x v="0"/>
    <x v="1"/>
    <n v="7"/>
    <x v="35"/>
    <x v="1"/>
    <x v="1"/>
    <x v="7"/>
    <s v="Ninguno"/>
    <s v="Puntaje por dependencia de establecimientos por región"/>
    <s v="Periodo 2014 - 2019"/>
    <s v="Puntaje"/>
    <s v="Agencia de Calidad de la Educación"/>
    <x v="479"/>
    <s v="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ule calidad educación puntaje municipal subvencionado corporación particular indicador participación formación ciudadana"/>
    <x v="479"/>
    <s v="100-R-7"/>
    <s v="#1774B9"/>
    <s v="990-0480"/>
    <n v="99200007"/>
    <s v="T-1063"/>
    <s v="C-1019"/>
    <s v="FI-993"/>
    <s v="M-1047"/>
  </r>
  <r>
    <x v="480"/>
    <n v="990"/>
    <x v="0"/>
    <x v="1"/>
    <n v="8"/>
    <x v="35"/>
    <x v="1"/>
    <x v="1"/>
    <x v="8"/>
    <s v="Ninguno"/>
    <s v="Puntaje por dependencia de establecimientos por región"/>
    <s v="Periodo 2014 - 2019"/>
    <s v="Puntaje"/>
    <s v="Agencia de Calidad de la Educación"/>
    <x v="480"/>
    <s v="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l Biobío calidad educación puntaje municipal subvencionado corporación particular indicador participación formación ciudadana"/>
    <x v="480"/>
    <s v="100-R-8"/>
    <s v="#1774B9"/>
    <s v="990-0481"/>
    <n v="99200008"/>
    <s v="T-1063"/>
    <s v="C-1019"/>
    <s v="FI-993"/>
    <s v="M-1047"/>
  </r>
  <r>
    <x v="481"/>
    <n v="990"/>
    <x v="0"/>
    <x v="1"/>
    <n v="9"/>
    <x v="35"/>
    <x v="1"/>
    <x v="1"/>
    <x v="9"/>
    <s v="Ninguno"/>
    <s v="Puntaje por dependencia de establecimientos por región"/>
    <s v="Periodo 2014 - 2019"/>
    <s v="Puntaje"/>
    <s v="Agencia de Calidad de la Educación"/>
    <x v="481"/>
    <s v="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a Araucanía calidad educación puntaje municipal subvencionado corporación particular indicador participación formación ciudadana"/>
    <x v="481"/>
    <s v="100-R-9"/>
    <s v="#1774B9"/>
    <s v="990-0482"/>
    <n v="99200009"/>
    <s v="T-1063"/>
    <s v="C-1019"/>
    <s v="FI-993"/>
    <s v="M-1047"/>
  </r>
  <r>
    <x v="482"/>
    <n v="990"/>
    <x v="0"/>
    <x v="1"/>
    <n v="10"/>
    <x v="35"/>
    <x v="1"/>
    <x v="1"/>
    <x v="10"/>
    <s v="Ninguno"/>
    <s v="Puntaje por dependencia de establecimientos por región"/>
    <s v="Periodo 2014 - 2019"/>
    <s v="Puntaje"/>
    <s v="Agencia de Calidad de la Educación"/>
    <x v="482"/>
    <s v="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Los Lagos calidad educación puntaje municipal subvencionado corporación particular indicador participación formación ciudadana"/>
    <x v="482"/>
    <s v="100-R-10"/>
    <s v="#1774B9"/>
    <s v="990-0483"/>
    <n v="99200010"/>
    <s v="T-1063"/>
    <s v="C-1019"/>
    <s v="FI-993"/>
    <s v="M-1047"/>
  </r>
  <r>
    <x v="483"/>
    <n v="990"/>
    <x v="0"/>
    <x v="1"/>
    <n v="11"/>
    <x v="35"/>
    <x v="1"/>
    <x v="1"/>
    <x v="11"/>
    <s v="Ninguno"/>
    <s v="Puntaje por dependencia de establecimientos por región"/>
    <s v="Periodo 2014 - 2019"/>
    <s v="Puntaje"/>
    <s v="Agencia de Calidad de la Educación"/>
    <x v="483"/>
    <s v="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Aysén calidad educación puntaje municipal subvencionado corporación particular indicador participación formación ciudadana"/>
    <x v="483"/>
    <s v="100-R-11"/>
    <s v="#1774B9"/>
    <s v="990-0484"/>
    <n v="99200011"/>
    <s v="T-1063"/>
    <s v="C-1019"/>
    <s v="FI-993"/>
    <s v="M-1047"/>
  </r>
  <r>
    <x v="484"/>
    <n v="990"/>
    <x v="0"/>
    <x v="1"/>
    <n v="12"/>
    <x v="35"/>
    <x v="1"/>
    <x v="1"/>
    <x v="12"/>
    <s v="Ninguno"/>
    <s v="Puntaje por dependencia de establecimientos por región"/>
    <s v="Periodo 2014 - 2019"/>
    <s v="Puntaje"/>
    <s v="Agencia de Calidad de la Educación"/>
    <x v="484"/>
    <s v="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gallanes calidad educación puntaje municipal subvencionado corporación particular indicador participación formación ciudadana"/>
    <x v="484"/>
    <s v="100-R-12"/>
    <s v="#1774B9"/>
    <s v="990-0485"/>
    <n v="99200012"/>
    <s v="T-1063"/>
    <s v="C-1019"/>
    <s v="FI-993"/>
    <s v="M-1047"/>
  </r>
  <r>
    <x v="485"/>
    <n v="990"/>
    <x v="0"/>
    <x v="1"/>
    <n v="13"/>
    <x v="35"/>
    <x v="1"/>
    <x v="1"/>
    <x v="13"/>
    <s v="Ninguno"/>
    <s v="Puntaje por dependencia de establecimientos por región"/>
    <s v="Periodo 2014 - 2019"/>
    <s v="Puntaje"/>
    <s v="Agencia de Calidad de la Educación"/>
    <x v="485"/>
    <s v="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Metropolitana calidad educación puntaje municipal subvencionado corporación particular indicador participación formación ciudadana"/>
    <x v="485"/>
    <s v="200-R-13"/>
    <s v="#1774B9"/>
    <s v="990-0486"/>
    <n v="99200013"/>
    <s v="T-1063"/>
    <s v="C-1019"/>
    <s v="FI-993"/>
    <s v="M-1047"/>
  </r>
  <r>
    <x v="486"/>
    <n v="990"/>
    <x v="0"/>
    <x v="1"/>
    <n v="14"/>
    <x v="35"/>
    <x v="1"/>
    <x v="1"/>
    <x v="14"/>
    <s v="Ninguno"/>
    <s v="Puntaje por dependencia de establecimientos por región"/>
    <s v="Periodo 2014 - 2019"/>
    <s v="Puntaje"/>
    <s v="Agencia de Calidad de la Educación"/>
    <x v="486"/>
    <s v="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os Ríos calidad educación puntaje municipal subvencionado corporación particular indicador participación formación ciudadana"/>
    <x v="486"/>
    <s v="100-R-14"/>
    <s v="#1774B9"/>
    <s v="990-0487"/>
    <n v="99200014"/>
    <s v="T-1063"/>
    <s v="C-1019"/>
    <s v="FI-993"/>
    <s v="M-1047"/>
  </r>
  <r>
    <x v="487"/>
    <n v="990"/>
    <x v="0"/>
    <x v="1"/>
    <n v="15"/>
    <x v="35"/>
    <x v="1"/>
    <x v="1"/>
    <x v="15"/>
    <s v="Ninguno"/>
    <s v="Puntaje por dependencia de establecimientos por región"/>
    <s v="Periodo 2014 - 2019"/>
    <s v="Puntaje"/>
    <s v="Agencia de Calidad de la Educación"/>
    <x v="487"/>
    <s v="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rica y Parinacota calidad educación puntaje municipal subvencionado corporación particular indicador participación formación ciudadana"/>
    <x v="487"/>
    <s v="100-R-15"/>
    <s v="#1774B9"/>
    <s v="990-0488"/>
    <n v="99200015"/>
    <s v="T-1063"/>
    <s v="C-1019"/>
    <s v="FI-993"/>
    <s v="M-1047"/>
  </r>
  <r>
    <x v="488"/>
    <n v="990"/>
    <x v="0"/>
    <x v="1"/>
    <n v="16"/>
    <x v="35"/>
    <x v="1"/>
    <x v="1"/>
    <x v="16"/>
    <s v="Ninguno"/>
    <s v="Puntaje por dependencia de establecimientos por región"/>
    <s v="Periodo 2014 - 2019"/>
    <s v="Puntaje"/>
    <s v="Agencia de Calidad de la Educación"/>
    <x v="488"/>
    <s v="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Ñuble calidad educación puntaje municipal subvencionado corporación particular indicador participación formación ciudadana"/>
    <x v="488"/>
    <s v="100-R-16"/>
    <s v="#1774B9"/>
    <s v="990-0489"/>
    <n v="99200016"/>
    <s v="T-1063"/>
    <s v="C-1019"/>
    <s v="FI-993"/>
    <s v="M-1047"/>
  </r>
  <r>
    <x v="489"/>
    <n v="990"/>
    <x v="0"/>
    <x v="2"/>
    <n v="0"/>
    <x v="36"/>
    <x v="2"/>
    <x v="0"/>
    <x v="0"/>
    <s v="Región"/>
    <s v="Cantidad de víctimas por edad"/>
    <s v="Periodo 2010-2021"/>
    <s v="Número de víctimas"/>
    <s v="Ministerio de la Mujer y Equidad de Género (MINMEG)"/>
    <x v="489"/>
    <s v="Entre los 0 y 95 años se registran victimas de femicidio a partir del año 2010 a la fecha, concentrándose la mayor cantidad de víctimas en el rango etario comprendido entre los 16 y los 54 años."/>
    <s v="Gráfico"/>
    <s v="Chile femicidio edad víctima mujer"/>
    <x v="489"/>
    <s v="300-R"/>
    <s v="#1774B9"/>
    <s v="990-0490"/>
    <n v="99100000"/>
    <s v="T-1044"/>
    <s v="C-996"/>
    <s v="FI-992"/>
    <s v="M-1048"/>
  </r>
  <r>
    <x v="490"/>
    <n v="990"/>
    <x v="0"/>
    <x v="2"/>
    <n v="1"/>
    <x v="36"/>
    <x v="2"/>
    <x v="1"/>
    <x v="1"/>
    <s v="Región"/>
    <s v="Cantidad de víctimas por edad"/>
    <s v="Periodo 2010-2021"/>
    <s v="Número de víctimas"/>
    <s v="Ministerio de la Mujer y Equidad de Género (MINMEG)"/>
    <x v="490"/>
    <s v="En la región de Tarapacá, en el periodo que comprenden los años 2012 - 2021, la mayor cantidad de victimas de femicidio se concentran en el rango etario comprendido entre los 29 y 67 años."/>
    <s v="Gráfico"/>
    <s v="Región de Tarapacá femicidio edad víctima mujer"/>
    <x v="490"/>
    <s v="100-R-1"/>
    <s v="#1774B9"/>
    <s v="990-0491"/>
    <n v="99200001"/>
    <s v="T-1044"/>
    <s v="C-996"/>
    <s v="FI-992"/>
    <s v="M-1048"/>
  </r>
  <r>
    <x v="491"/>
    <n v="990"/>
    <x v="0"/>
    <x v="2"/>
    <n v="2"/>
    <x v="36"/>
    <x v="2"/>
    <x v="1"/>
    <x v="2"/>
    <s v="Región"/>
    <s v="Cantidad de víctimas por edad"/>
    <s v="Periodo 2010-2021"/>
    <s v="Número de víctimas"/>
    <s v="Ministerio de la Mujer y Equidad de Género (MINMEG)"/>
    <x v="491"/>
    <s v="En la región de Antofagasta, en el periodo que comprenden los años 2010 - 2020, la mayor cantidad de victimas de femicidio se concentran en el rango etario comprendido entre los 20 y 57 años."/>
    <s v="Gráfico"/>
    <s v="Región de Antofagasta femicidio edad víctima mujer"/>
    <x v="491"/>
    <s v="100-R-2"/>
    <s v="#1774B9"/>
    <s v="990-0492"/>
    <n v="99200002"/>
    <s v="T-1044"/>
    <s v="C-996"/>
    <s v="FI-992"/>
    <s v="M-1048"/>
  </r>
  <r>
    <x v="492"/>
    <n v="990"/>
    <x v="0"/>
    <x v="2"/>
    <n v="3"/>
    <x v="36"/>
    <x v="2"/>
    <x v="1"/>
    <x v="3"/>
    <s v="Región"/>
    <s v="Cantidad de víctimas por edad"/>
    <s v="Periodo 2010-2021"/>
    <s v="Número de víctimas"/>
    <s v="Ministerio de la Mujer y Equidad de Género (MINMEG)"/>
    <x v="492"/>
    <s v="Gráfico de edad de victimas de Femicidio en la región de Atacama, para el periodo que comprenden los años 2010- 2020, según datos del MINMEG."/>
    <s v="Gráfico"/>
    <s v="Región de Atacama femicidio edad víctima mujer"/>
    <x v="492"/>
    <s v="100-R-3"/>
    <s v="#1774B9"/>
    <s v="990-0493"/>
    <n v="99200003"/>
    <s v="T-1044"/>
    <s v="C-996"/>
    <s v="FI-992"/>
    <s v="M-1048"/>
  </r>
  <r>
    <x v="493"/>
    <n v="990"/>
    <x v="0"/>
    <x v="2"/>
    <n v="4"/>
    <x v="36"/>
    <x v="2"/>
    <x v="1"/>
    <x v="4"/>
    <s v="Región"/>
    <s v="Cantidad de víctimas por edad"/>
    <s v="Periodo 2010-2021"/>
    <s v="Número de víctimas"/>
    <s v="Ministerio de la Mujer y Equidad de Género (MINMEG)"/>
    <x v="493"/>
    <s v="En la región de Coquimbo, en el periodo que comprenden los años 2010 - 2020, la mayor cantidad de victimas de femicidio se concentran en el rango etario comprendido entre los 19 y 64 años."/>
    <s v="Gráfico"/>
    <s v="Región de Coquimbo femicidio edad víctima mujer"/>
    <x v="493"/>
    <s v="100-R-4"/>
    <s v="#1774B9"/>
    <s v="990-0494"/>
    <n v="99200004"/>
    <s v="T-1044"/>
    <s v="C-996"/>
    <s v="FI-992"/>
    <s v="M-1048"/>
  </r>
  <r>
    <x v="494"/>
    <n v="990"/>
    <x v="0"/>
    <x v="2"/>
    <n v="5"/>
    <x v="36"/>
    <x v="2"/>
    <x v="1"/>
    <x v="5"/>
    <s v="Región"/>
    <s v="Cantidad de víctimas por edad"/>
    <s v="Periodo 2010-2021"/>
    <s v="Número de víctimas"/>
    <s v="Ministerio de la Mujer y Equidad de Género (MINMEG)"/>
    <x v="494"/>
    <s v="Gráfico de edad de victimas de Femicidio en la región de Valparaíso, para el periodo que comprenden los años 2010- 2020, según datos del MINMEG."/>
    <s v="Gráfico"/>
    <s v="Región de Valparaíso femicidio edad víctima mujer"/>
    <x v="494"/>
    <s v="100-R-5"/>
    <s v="#1774B9"/>
    <s v="990-0495"/>
    <n v="99200005"/>
    <s v="T-1044"/>
    <s v="C-996"/>
    <s v="FI-992"/>
    <s v="M-1048"/>
  </r>
  <r>
    <x v="495"/>
    <n v="990"/>
    <x v="0"/>
    <x v="2"/>
    <n v="6"/>
    <x v="36"/>
    <x v="2"/>
    <x v="1"/>
    <x v="6"/>
    <s v="Región"/>
    <s v="Cantidad de víctimas por edad"/>
    <s v="Periodo 2010-2021"/>
    <s v="Número de víctimas"/>
    <s v="Ministerio de la Mujer y Equidad de Género (MINMEG)"/>
    <x v="495"/>
    <s v="Gráfico de edad de victimas de Femicidio en la región de O'Higgins, para el periodo que comprenden los años 2010- 2020, según datos del MINMEG."/>
    <s v="Gráfico"/>
    <s v="Región de O'Higgins femicidio edad víctima mujer"/>
    <x v="495"/>
    <s v="100-R-6"/>
    <s v="#1774B9"/>
    <s v="990-0496"/>
    <n v="99200006"/>
    <s v="T-1044"/>
    <s v="C-996"/>
    <s v="FI-992"/>
    <s v="M-1048"/>
  </r>
  <r>
    <x v="496"/>
    <n v="990"/>
    <x v="0"/>
    <x v="2"/>
    <n v="7"/>
    <x v="36"/>
    <x v="2"/>
    <x v="1"/>
    <x v="7"/>
    <s v="Región"/>
    <s v="Cantidad de víctimas por edad"/>
    <s v="Periodo 2010-2021"/>
    <s v="Número de víctimas"/>
    <s v="Ministerio de la Mujer y Equidad de Género (MINMEG)"/>
    <x v="496"/>
    <s v="En la región de Maule, en el periodo que comprenden los años 2010 - 2021, la mayor cantidad de victimas de femicidio se concentran en el rango etario comprendido entre los 16 y 73 años."/>
    <s v="Gráfico"/>
    <s v="Región de Maule femicidio edad víctima mujer"/>
    <x v="496"/>
    <s v="100-R-7"/>
    <s v="#1774B9"/>
    <s v="990-0497"/>
    <n v="99200007"/>
    <s v="T-1044"/>
    <s v="C-996"/>
    <s v="FI-992"/>
    <s v="M-1048"/>
  </r>
  <r>
    <x v="497"/>
    <n v="990"/>
    <x v="0"/>
    <x v="2"/>
    <n v="8"/>
    <x v="36"/>
    <x v="2"/>
    <x v="1"/>
    <x v="8"/>
    <s v="Región"/>
    <s v="Cantidad de víctimas por edad"/>
    <s v="Periodo 2010-2021"/>
    <s v="Número de víctimas"/>
    <s v="Ministerio de la Mujer y Equidad de Género (MINMEG)"/>
    <x v="497"/>
    <s v="En la región del Biobío, en el periodo que comprenden los años 2010 - 2021, la mayor cantidad de victimas de femicidio se concentran en el rango etario comprendido entre los 19 y 71 años."/>
    <s v="Gráfico"/>
    <s v="Región del Biobío femicidio edad víctima mujer"/>
    <x v="497"/>
    <s v="100-R-8"/>
    <s v="#1774B9"/>
    <s v="990-0498"/>
    <n v="99200008"/>
    <s v="T-1044"/>
    <s v="C-996"/>
    <s v="FI-992"/>
    <s v="M-1048"/>
  </r>
  <r>
    <x v="498"/>
    <n v="990"/>
    <x v="0"/>
    <x v="2"/>
    <n v="9"/>
    <x v="36"/>
    <x v="2"/>
    <x v="1"/>
    <x v="9"/>
    <s v="Región"/>
    <s v="Cantidad de víctimas por edad"/>
    <s v="Periodo 2010-2021"/>
    <s v="Número de víctimas"/>
    <s v="Ministerio de la Mujer y Equidad de Género (MINMEG)"/>
    <x v="498"/>
    <s v="En la región de La Araucanía, en el periodo que comprenden los años 2010 - 2021, la mayor cantidad de victimas de femicidio se concentran en el rango etario comprendido entre los 20 y 68 años."/>
    <s v="Gráfico"/>
    <s v="Región de La Araucanía femicidio edad víctima mujer"/>
    <x v="498"/>
    <s v="100-R-9"/>
    <s v="#1774B9"/>
    <s v="990-0499"/>
    <n v="99200009"/>
    <s v="T-1044"/>
    <s v="C-996"/>
    <s v="FI-992"/>
    <s v="M-1048"/>
  </r>
  <r>
    <x v="499"/>
    <n v="990"/>
    <x v="0"/>
    <x v="2"/>
    <n v="10"/>
    <x v="36"/>
    <x v="2"/>
    <x v="1"/>
    <x v="10"/>
    <s v="Región"/>
    <s v="Cantidad de víctimas por edad"/>
    <s v="Periodo 2010-2021"/>
    <s v="Número de víctimas"/>
    <s v="Ministerio de la Mujer y Equidad de Género (MINMEG)"/>
    <x v="499"/>
    <s v="En la región de Los Lagos, en el periodo que comprenden los años 2010 - 2021, la mayor cantidad de victimas de femicidio se concentran en el rango etario comprendido entre los 23 y 48 años."/>
    <s v="Gráfico"/>
    <s v="Región de Los Lagos femicidio edad víctima mujer"/>
    <x v="499"/>
    <s v="100-R-10"/>
    <s v="#1774B9"/>
    <s v="990-0500"/>
    <n v="99200010"/>
    <s v="T-1044"/>
    <s v="C-996"/>
    <s v="FI-992"/>
    <s v="M-1048"/>
  </r>
  <r>
    <x v="500"/>
    <n v="990"/>
    <x v="0"/>
    <x v="2"/>
    <n v="11"/>
    <x v="36"/>
    <x v="2"/>
    <x v="1"/>
    <x v="11"/>
    <s v="Región"/>
    <s v="Cantidad de víctimas por edad"/>
    <s v="Periodo 2010-2021"/>
    <s v="Número de víctimas"/>
    <s v="Ministerio de la Mujer y Equidad de Género (MINMEG)"/>
    <x v="500"/>
    <s v="Gráfico de edad de victimas de Femicidio en la región de Aysén, para el periodo que comprenden los años 2010- 2020, según datos del MINMEG."/>
    <s v="Gráfico"/>
    <s v="Región de Aysén femicidio edad víctima mujer"/>
    <x v="500"/>
    <s v="100-R-11"/>
    <s v="#1774B9"/>
    <s v="990-0501"/>
    <n v="99200011"/>
    <s v="T-1044"/>
    <s v="C-996"/>
    <s v="FI-992"/>
    <s v="M-1048"/>
  </r>
  <r>
    <x v="501"/>
    <n v="990"/>
    <x v="0"/>
    <x v="2"/>
    <n v="12"/>
    <x v="36"/>
    <x v="2"/>
    <x v="1"/>
    <x v="12"/>
    <s v="Región"/>
    <s v="Cantidad de víctimas por edad"/>
    <s v="Periodo 2010-2021"/>
    <s v="Número de víctimas"/>
    <s v="Ministerio de la Mujer y Equidad de Género (MINMEG)"/>
    <x v="501"/>
    <s v="En la región de Magallanes, en el periodo que comprenden los años 2010 - 2021, la mayor cantidad de victimas de femicidio se concentran en el rango etario comprendido entre los 24 y 43 años."/>
    <s v="Gráfico"/>
    <s v="Región de Magallanes femicidio edad víctima mujer"/>
    <x v="501"/>
    <s v="100-R-12"/>
    <s v="#1774B9"/>
    <s v="990-0502"/>
    <n v="99200012"/>
    <s v="T-1044"/>
    <s v="C-996"/>
    <s v="FI-992"/>
    <s v="M-1048"/>
  </r>
  <r>
    <x v="502"/>
    <n v="990"/>
    <x v="0"/>
    <x v="2"/>
    <n v="13"/>
    <x v="36"/>
    <x v="2"/>
    <x v="1"/>
    <x v="13"/>
    <s v="Región"/>
    <s v="Cantidad de víctimas por edad"/>
    <s v="Periodo 2010-2021"/>
    <s v="Número de víctimas"/>
    <s v="Ministerio de la Mujer y Equidad de Género (MINMEG)"/>
    <x v="502"/>
    <s v="En la región Metropolitana, en el periodo que comprenden los años 2010 - 2021, la mayor cantidad de victimas de femicidio se concentran en el rango etario comprendido entre los 24 y 50 años."/>
    <s v="Gráfico"/>
    <s v="Región Metropolitana femicidio edad víctima mujer"/>
    <x v="502"/>
    <s v="200-R-13"/>
    <s v="#1774B9"/>
    <s v="990-0503"/>
    <n v="99200013"/>
    <s v="T-1044"/>
    <s v="C-996"/>
    <s v="FI-992"/>
    <s v="M-1048"/>
  </r>
  <r>
    <x v="503"/>
    <n v="990"/>
    <x v="0"/>
    <x v="2"/>
    <n v="14"/>
    <x v="36"/>
    <x v="2"/>
    <x v="1"/>
    <x v="14"/>
    <s v="Región"/>
    <s v="Cantidad de víctimas por edad"/>
    <s v="Periodo 2010-2021"/>
    <s v="Número de víctimas"/>
    <s v="Ministerio de la Mujer y Equidad de Género (MINMEG)"/>
    <x v="503"/>
    <s v="Gráfico de edad de victimas de Femicidio en la región de Los Ríos, para el periodo que comprenden los años 2010- 2020, según datos del MINMEG."/>
    <s v="Gráfico"/>
    <s v="Región de Los Ríos femicidio edad víctima mujer"/>
    <x v="503"/>
    <s v="100-R-14"/>
    <s v="#1774B9"/>
    <s v="990-0504"/>
    <n v="99200014"/>
    <s v="T-1044"/>
    <s v="C-996"/>
    <s v="FI-992"/>
    <s v="M-1048"/>
  </r>
  <r>
    <x v="504"/>
    <n v="990"/>
    <x v="0"/>
    <x v="2"/>
    <n v="15"/>
    <x v="36"/>
    <x v="2"/>
    <x v="1"/>
    <x v="15"/>
    <s v="Región"/>
    <s v="Cantidad de víctimas por edad"/>
    <s v="Periodo 2010-2021"/>
    <s v="Número de víctimas"/>
    <s v="Ministerio de la Mujer y Equidad de Género (MINMEG)"/>
    <x v="504"/>
    <s v="Gráfico de edad de victimas de Femicidio en la región de Arica y Parinacota, para el periodo que comprenden los años 2010- 2020, según datos del MINMEG."/>
    <s v="Gráfico"/>
    <s v="Región de Arica y Parinacota femicidio edad víctima mujer"/>
    <x v="504"/>
    <s v="100-R-15"/>
    <s v="#1774B9"/>
    <s v="990-0505"/>
    <n v="99200015"/>
    <s v="T-1044"/>
    <s v="C-996"/>
    <s v="FI-992"/>
    <s v="M-1048"/>
  </r>
  <r>
    <x v="505"/>
    <n v="990"/>
    <x v="0"/>
    <x v="2"/>
    <n v="16"/>
    <x v="36"/>
    <x v="2"/>
    <x v="1"/>
    <x v="16"/>
    <s v="Región"/>
    <s v="Cantidad de víctimas por edad"/>
    <s v="Periodo 2010-2021"/>
    <s v="Número de víctimas"/>
    <s v="Ministerio de la Mujer y Equidad de Género (MINMEG)"/>
    <x v="505"/>
    <s v="En la región de Ñuble, en el periodo que comprenden los años 2010 - 2020, la mayor cantidad de victimas de femicidio se concentran en el rango etario comprendido entre los 19 y 43 años."/>
    <s v="Gráfico"/>
    <s v="Región de Ñuble femicidio edad víctima mujer"/>
    <x v="505"/>
    <s v="100-R-16"/>
    <s v="#1774B9"/>
    <s v="990-0506"/>
    <n v="99200016"/>
    <s v="T-1044"/>
    <s v="C-996"/>
    <s v="FI-992"/>
    <s v="M-1048"/>
  </r>
  <r>
    <x v="506"/>
    <n v="990"/>
    <x v="0"/>
    <x v="2"/>
    <n v="0"/>
    <x v="36"/>
    <x v="2"/>
    <x v="0"/>
    <x v="0"/>
    <s v="Región"/>
    <s v="Cantidad de víctimas por relación con el femicida "/>
    <s v="Periodo 2010-2021"/>
    <s v="Número de víctimas"/>
    <s v="Ministerio de la Mujer y Equidad de Género (MINMEG)"/>
    <x v="506"/>
    <s v="La mayor cantidad de femicidios se llevan a cabo por los convivientes, cónyuges, ex convivientes o ex cónyuges."/>
    <s v="Nube de palabras"/>
    <s v="Chile femicidio víctima mujer conviviente cónyuge pareja ex relación femicida"/>
    <x v="506"/>
    <s v="300-R"/>
    <s v="#1774B9"/>
    <s v="990-0507"/>
    <n v="99100000"/>
    <s v="T-1044"/>
    <s v="C-996"/>
    <s v="FI-992"/>
    <s v="M-1049"/>
  </r>
  <r>
    <x v="507"/>
    <n v="990"/>
    <x v="0"/>
    <x v="2"/>
    <n v="1"/>
    <x v="36"/>
    <x v="2"/>
    <x v="1"/>
    <x v="1"/>
    <s v="Ninguno"/>
    <s v="Cantidad de víctimas por relación con el femicida "/>
    <s v="Periodo 2010-2021"/>
    <s v="Número de víctimas"/>
    <s v="Ministerio de la Mujer y Equidad de Género (MINMEG)"/>
    <x v="507"/>
    <s v="En la región de Tarapacá, la mayor cantidad de femicidios se llevan a cabo por los convivientes, cónyuges o ex convivientes."/>
    <s v="Nube de palabras"/>
    <s v="Región de Tarapacá femicidio víctima mujer conviviente cónyuge pareja ex relación femicida"/>
    <x v="507"/>
    <s v="100-R-1"/>
    <s v="#1774B9"/>
    <s v="990-0508"/>
    <n v="99200001"/>
    <s v="T-1044"/>
    <s v="C-996"/>
    <s v="FI-993"/>
    <s v="M-1049"/>
  </r>
  <r>
    <x v="508"/>
    <n v="990"/>
    <x v="0"/>
    <x v="2"/>
    <n v="2"/>
    <x v="36"/>
    <x v="2"/>
    <x v="1"/>
    <x v="2"/>
    <s v="Ninguno"/>
    <s v="Cantidad de víctimas por relación con el femicida "/>
    <s v="Periodo 2010-2021"/>
    <s v="Número de víctimas"/>
    <s v="Ministerio de la Mujer y Equidad de Género (MINMEG)"/>
    <x v="508"/>
    <s v="En la región de Antofagasta, la mayor cantidad de femicidios se llevan a cabo por los convivientes, ex conviviente, cónyuges o ex cónyuges."/>
    <s v="Nube de palabras"/>
    <s v="Región de Antofagasta femicidio víctima mujer conviviente cónyuge pareja ex relación femicida"/>
    <x v="508"/>
    <s v="100-R-2"/>
    <s v="#1774B9"/>
    <s v="990-0509"/>
    <n v="99200002"/>
    <s v="T-1044"/>
    <s v="C-996"/>
    <s v="FI-993"/>
    <s v="M-1049"/>
  </r>
  <r>
    <x v="509"/>
    <n v="990"/>
    <x v="0"/>
    <x v="2"/>
    <n v="3"/>
    <x v="36"/>
    <x v="2"/>
    <x v="1"/>
    <x v="3"/>
    <s v="Ninguno"/>
    <s v="Cantidad de víctimas por relación con el femicida "/>
    <s v="Periodo 2010-2021"/>
    <s v="Número de víctimas"/>
    <s v="Ministerio de la Mujer y Equidad de Género (MINMEG)"/>
    <x v="509"/>
    <s v="En la región de Atacama, la mayor cantidad de femicidios se llevan a cabo por las parejas o convivientes."/>
    <s v="Nube de palabras"/>
    <s v="Región de Atacama femicidio víctima mujer conviviente cónyuge pareja ex relación femicida"/>
    <x v="509"/>
    <s v="100-R-3"/>
    <s v="#1774B9"/>
    <s v="990-0510"/>
    <n v="99200003"/>
    <s v="T-1044"/>
    <s v="C-996"/>
    <s v="FI-993"/>
    <s v="M-1049"/>
  </r>
  <r>
    <x v="510"/>
    <n v="990"/>
    <x v="0"/>
    <x v="2"/>
    <n v="4"/>
    <x v="36"/>
    <x v="2"/>
    <x v="1"/>
    <x v="4"/>
    <s v="Ninguno"/>
    <s v="Cantidad de víctimas por relación con el femicida "/>
    <s v="Periodo 2010-2021"/>
    <s v="Número de víctimas"/>
    <s v="Ministerio de la Mujer y Equidad de Género (MINMEG)"/>
    <x v="510"/>
    <s v="En la región de Coquimbo, la mayor cantidad de femicidios se llevan a cabo por los cónyuges, conviviente o ex parejas"/>
    <s v="Nube de palabras"/>
    <s v="Región de Coquimbo femicidio víctima mujer conviviente cónyuge pareja ex relación femicida"/>
    <x v="510"/>
    <s v="100-R-4"/>
    <s v="#1774B9"/>
    <s v="990-0511"/>
    <n v="99200004"/>
    <s v="T-1044"/>
    <s v="C-996"/>
    <s v="FI-993"/>
    <s v="M-1049"/>
  </r>
  <r>
    <x v="511"/>
    <n v="990"/>
    <x v="0"/>
    <x v="2"/>
    <n v="5"/>
    <x v="36"/>
    <x v="2"/>
    <x v="1"/>
    <x v="5"/>
    <s v="Ninguno"/>
    <s v="Cantidad de víctimas por relación con el femicida "/>
    <s v="Periodo 2010-2021"/>
    <s v="Número de víctimas"/>
    <s v="Ministerio de la Mujer y Equidad de Género (MINMEG)"/>
    <x v="511"/>
    <s v="En la región de Valparaíso, la mayor cantidad de femicidios se llevan a cabo por los convivientes, cónyuges o ex convivientes."/>
    <s v="Nube de palabras"/>
    <s v="Región de Valparaíso femicidio víctima mujer conviviente cónyuge pareja ex relación femicida"/>
    <x v="511"/>
    <s v="100-R-5"/>
    <s v="#1774B9"/>
    <s v="990-0512"/>
    <n v="99200005"/>
    <s v="T-1044"/>
    <s v="C-996"/>
    <s v="FI-993"/>
    <s v="M-1049"/>
  </r>
  <r>
    <x v="512"/>
    <n v="990"/>
    <x v="0"/>
    <x v="2"/>
    <n v="6"/>
    <x v="36"/>
    <x v="2"/>
    <x v="1"/>
    <x v="6"/>
    <s v="Ninguno"/>
    <s v="Cantidad de víctimas por relación con el femicida "/>
    <s v="Periodo 2010-2021"/>
    <s v="Número de víctimas"/>
    <s v="Ministerio de la Mujer y Equidad de Género (MINMEG)"/>
    <x v="512"/>
    <s v="En la región de O´Higgins, la mayor cantidad de femicidios se llevan a cabo por los cónyuges, convivientes o ex convivientes."/>
    <s v="Nube de palabras"/>
    <s v="Región de O'Higgins femicidio víctima mujer conviviente cónyuge pareja ex relación femicida"/>
    <x v="512"/>
    <s v="100-R-6"/>
    <s v="#1774B9"/>
    <s v="990-0513"/>
    <n v="99200006"/>
    <s v="T-1044"/>
    <s v="C-996"/>
    <s v="FI-993"/>
    <s v="M-1049"/>
  </r>
  <r>
    <x v="513"/>
    <n v="990"/>
    <x v="0"/>
    <x v="2"/>
    <n v="7"/>
    <x v="36"/>
    <x v="2"/>
    <x v="1"/>
    <x v="7"/>
    <s v="Ninguno"/>
    <s v="Cantidad de víctimas por relación con el femicida "/>
    <s v="Periodo 2010-2021"/>
    <s v="Número de víctimas"/>
    <s v="Ministerio de la Mujer y Equidad de Género (MINMEG)"/>
    <x v="513"/>
    <s v="En la región de Maule, la mayor cantidad de femicidios se llevan a cabo por los convivientes, cónyuges o ex cónyuges."/>
    <s v="Nube de palabras"/>
    <s v="Región de Maule femicidio víctima mujer conviviente cónyuge pareja ex relación femicida"/>
    <x v="513"/>
    <s v="100-R-7"/>
    <s v="#1774B9"/>
    <s v="990-0514"/>
    <n v="99200007"/>
    <s v="T-1044"/>
    <s v="C-996"/>
    <s v="FI-993"/>
    <s v="M-1049"/>
  </r>
  <r>
    <x v="514"/>
    <n v="990"/>
    <x v="0"/>
    <x v="2"/>
    <n v="8"/>
    <x v="36"/>
    <x v="2"/>
    <x v="1"/>
    <x v="8"/>
    <s v="Ninguno"/>
    <s v="Cantidad de víctimas por relación con el femicida "/>
    <s v="Periodo 2010-2021"/>
    <s v="Número de víctimas"/>
    <s v="Ministerio de la Mujer y Equidad de Género (MINMEG)"/>
    <x v="514"/>
    <s v="En la región de Biobío, la mayor cantidad de femicidios se llevan a cabo por los convivientes, cónyuges o ex convivientes."/>
    <s v="Nube de palabras"/>
    <s v="Región del Biobío femicidio víctima mujer conviviente cónyuge pareja ex relación femicida"/>
    <x v="514"/>
    <s v="100-R-8"/>
    <s v="#1774B9"/>
    <s v="990-0515"/>
    <n v="99200008"/>
    <s v="T-1044"/>
    <s v="C-996"/>
    <s v="FI-993"/>
    <s v="M-1049"/>
  </r>
  <r>
    <x v="515"/>
    <n v="990"/>
    <x v="0"/>
    <x v="2"/>
    <n v="9"/>
    <x v="36"/>
    <x v="2"/>
    <x v="1"/>
    <x v="9"/>
    <s v="Ninguno"/>
    <s v="Cantidad de víctimas por relación con el femicida "/>
    <s v="Periodo 2010-2021"/>
    <s v="Número de víctimas"/>
    <s v="Ministerio de la Mujer y Equidad de Género (MINMEG)"/>
    <x v="515"/>
    <s v="En la región de La Araucanía, la mayor cantidad de femicidios se llevan a cabo por los convivientes, cónyuges o ex convivientes."/>
    <s v="Nube de palabras"/>
    <s v="Región de La Araucanía femicidio víctima mujer conviviente cónyuge pareja ex relación femicida"/>
    <x v="515"/>
    <s v="100-R-9"/>
    <s v="#1774B9"/>
    <s v="990-0516"/>
    <n v="99200009"/>
    <s v="T-1044"/>
    <s v="C-996"/>
    <s v="FI-993"/>
    <s v="M-1049"/>
  </r>
  <r>
    <x v="516"/>
    <n v="990"/>
    <x v="0"/>
    <x v="2"/>
    <n v="10"/>
    <x v="36"/>
    <x v="2"/>
    <x v="1"/>
    <x v="10"/>
    <s v="Ninguno"/>
    <s v="Cantidad de víctimas por relación con el femicida "/>
    <s v="Periodo 2010-2021"/>
    <s v="Número de víctimas"/>
    <s v="Ministerio de la Mujer y Equidad de Género (MINMEG)"/>
    <x v="516"/>
    <s v="En la región de Los Lagos, la mayor cantidad de femicidios se llevan a cabo por los cónyuges o convivientes."/>
    <s v="Nube de palabras"/>
    <s v="Región de Los Lagos femicidio víctima mujer conviviente cónyuge pareja ex relación femicida"/>
    <x v="516"/>
    <s v="100-R-10"/>
    <s v="#1774B9"/>
    <s v="990-0517"/>
    <n v="99200010"/>
    <s v="T-1044"/>
    <s v="C-996"/>
    <s v="FI-993"/>
    <s v="M-1049"/>
  </r>
  <r>
    <x v="517"/>
    <n v="990"/>
    <x v="0"/>
    <x v="2"/>
    <n v="11"/>
    <x v="36"/>
    <x v="2"/>
    <x v="1"/>
    <x v="11"/>
    <s v="Ninguno"/>
    <s v="Cantidad de víctimas por relación con el femicida "/>
    <s v="Periodo 2010-2021"/>
    <s v="Número de víctimas"/>
    <s v="Ministerio de la Mujer y Equidad de Género (MINMEG)"/>
    <x v="517"/>
    <s v="En la región de Aysén, todos los femicidios se han llevado a cabo por convivientes."/>
    <s v="Nube de palabras"/>
    <s v="Región de Aysén femicidio víctima mujer conviviente cónyuge pareja ex relación femicida"/>
    <x v="517"/>
    <s v="100-R-11"/>
    <s v="#1774B9"/>
    <s v="990-0518"/>
    <n v="99200011"/>
    <s v="T-1044"/>
    <s v="C-996"/>
    <s v="FI-993"/>
    <s v="M-1049"/>
  </r>
  <r>
    <x v="518"/>
    <n v="990"/>
    <x v="0"/>
    <x v="2"/>
    <n v="12"/>
    <x v="36"/>
    <x v="2"/>
    <x v="1"/>
    <x v="12"/>
    <s v="Ninguno"/>
    <s v="Cantidad de víctimas por relación con el femicida "/>
    <s v="Periodo 2010-2021"/>
    <s v="Número de víctimas"/>
    <s v="Ministerio de la Mujer y Equidad de Género (MINMEG)"/>
    <x v="518"/>
    <s v="En la región de Magallanes, la mayor cantidad de femicidios se llevan a cabo por los ex convivientes."/>
    <s v="Nube de palabras"/>
    <s v="Región de Magallanes femicidio víctima mujer conviviente cónyuge pareja ex relación femicida"/>
    <x v="518"/>
    <s v="100-R-12"/>
    <s v="#1774B9"/>
    <s v="990-0519"/>
    <n v="99200012"/>
    <s v="T-1044"/>
    <s v="C-996"/>
    <s v="FI-993"/>
    <s v="M-1049"/>
  </r>
  <r>
    <x v="519"/>
    <n v="990"/>
    <x v="0"/>
    <x v="2"/>
    <n v="13"/>
    <x v="36"/>
    <x v="2"/>
    <x v="1"/>
    <x v="13"/>
    <s v="Ninguno"/>
    <s v="Cantidad de víctimas por relación con el femicida "/>
    <s v="Periodo 2010-2021"/>
    <s v="Número de víctimas"/>
    <s v="Ministerio de la Mujer y Equidad de Género (MINMEG)"/>
    <x v="519"/>
    <s v="En la región Metropolitana, la mayor cantidad de femicidios se llevan a cabo por los convivientes, cónyuges o ex convivientes."/>
    <s v="Nube de palabras"/>
    <s v="Región Metropolitana femicidio víctima mujer conviviente cónyuge pareja ex relación femicida"/>
    <x v="519"/>
    <s v="200-R-13"/>
    <s v="#1774B9"/>
    <s v="990-0520"/>
    <n v="99200013"/>
    <s v="T-1044"/>
    <s v="C-996"/>
    <s v="FI-993"/>
    <s v="M-1049"/>
  </r>
  <r>
    <x v="520"/>
    <n v="990"/>
    <x v="0"/>
    <x v="2"/>
    <n v="14"/>
    <x v="36"/>
    <x v="2"/>
    <x v="1"/>
    <x v="14"/>
    <s v="Ninguno"/>
    <s v="Cantidad de víctimas por relación con el femicida "/>
    <s v="Periodo 2010-2021"/>
    <s v="Número de víctimas"/>
    <s v="Ministerio de la Mujer y Equidad de Género (MINMEG)"/>
    <x v="520"/>
    <s v="En la región Los Ríos, la mayor cantidad de femicidios se llevan a cabo por los convivientes, cónyuges o ex cónyuges."/>
    <s v="Nube de palabras"/>
    <s v="Región de Los Ríos femicidio víctima mujer conviviente cónyuge pareja ex relación femicida"/>
    <x v="520"/>
    <s v="100-R-14"/>
    <s v="#1774B9"/>
    <s v="990-0521"/>
    <n v="99200014"/>
    <s v="T-1044"/>
    <s v="C-996"/>
    <s v="FI-993"/>
    <s v="M-1049"/>
  </r>
  <r>
    <x v="521"/>
    <n v="990"/>
    <x v="0"/>
    <x v="2"/>
    <n v="15"/>
    <x v="36"/>
    <x v="2"/>
    <x v="1"/>
    <x v="15"/>
    <s v="Ninguno"/>
    <s v="Cantidad de víctimas por relación con el femicida "/>
    <s v="Periodo 2010-2021"/>
    <s v="Número de víctimas"/>
    <s v="Ministerio de la Mujer y Equidad de Género (MINMEG)"/>
    <x v="521"/>
    <s v="En la región de Arica y Parinacota, la mayor cantidad de femicidios se lleva a cabo por los cónyuges."/>
    <s v="Nube de palabras"/>
    <s v="Región de Arica y Parinacota femicidio víctima mujer conviviente cónyuge pareja ex relación femicida"/>
    <x v="521"/>
    <s v="100-R-15"/>
    <s v="#1774B9"/>
    <s v="990-0522"/>
    <n v="99200015"/>
    <s v="T-1044"/>
    <s v="C-996"/>
    <s v="FI-993"/>
    <s v="M-1049"/>
  </r>
  <r>
    <x v="522"/>
    <n v="990"/>
    <x v="0"/>
    <x v="2"/>
    <n v="16"/>
    <x v="36"/>
    <x v="2"/>
    <x v="1"/>
    <x v="16"/>
    <s v="Ninguno"/>
    <s v="Cantidad de víctimas por relación con el femicida "/>
    <s v="Periodo 2010-2021"/>
    <s v="Número de víctimas"/>
    <s v="Ministerio de la Mujer y Equidad de Género (MINMEG)"/>
    <x v="522"/>
    <s v="En la región de Ñuble, la mayor cantidad de femicidios se lleva a cabo por los ex cónyuges, cónyuges o convivientes."/>
    <s v="Nube de palabras"/>
    <s v="Región de Ñuble femicidio víctima mujer conviviente cónyuge pareja ex relación femicida"/>
    <x v="522"/>
    <s v="100-R-16"/>
    <s v="#1774B9"/>
    <s v="990-0523"/>
    <n v="99200016"/>
    <s v="T-1044"/>
    <s v="C-996"/>
    <s v="FI-993"/>
    <s v="M-1049"/>
  </r>
  <r>
    <x v="523"/>
    <n v="990"/>
    <x v="0"/>
    <x v="2"/>
    <n v="0"/>
    <x v="36"/>
    <x v="2"/>
    <x v="0"/>
    <x v="0"/>
    <s v="Ninguno"/>
    <s v="Cantidad de víctimas de femicidios en Chile"/>
    <s v="Periodo 2018-2021"/>
    <s v="Número de víctimas"/>
    <s v="Ministerio de la Mujer y Equidad de Género (MINMEG)"/>
    <x v="523"/>
    <s v="Comparando los últimos 4 años, coincide el número de víctimas registradas a finales del primer semestre, las que bordean los 20 casos."/>
    <s v="Gráfico"/>
    <s v="Chile femicidio víctima mujer semestre año"/>
    <x v="523"/>
    <n v="0"/>
    <s v="#1774B9"/>
    <s v="990-0524"/>
    <n v="99100000"/>
    <s v="T-1044"/>
    <s v="C-996"/>
    <s v="FI-993"/>
    <s v="M-1050"/>
  </r>
  <r>
    <x v="524"/>
    <n v="990"/>
    <x v="0"/>
    <x v="2"/>
    <n v="0"/>
    <x v="36"/>
    <x v="2"/>
    <x v="0"/>
    <x v="0"/>
    <s v="Fecha"/>
    <s v="Cantidad de víctimas de femicidios en Chile"/>
    <s v="Periodo 2010-2021"/>
    <s v="Número de víctimas"/>
    <s v="Ministerio de la Mujer y Equidad de Género (MINMEG)"/>
    <x v="524"/>
    <s v="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
    <s v="Gráfico"/>
    <s v="Chile femicidio víctima mujer mes año tendencia"/>
    <x v="524"/>
    <n v="0"/>
    <s v="#1774B9"/>
    <s v="990-0525"/>
    <n v="99100000"/>
    <s v="T-1044"/>
    <s v="C-996"/>
    <s v="FI-1010"/>
    <s v="M-1050"/>
  </r>
  <r>
    <x v="525"/>
    <n v="990"/>
    <x v="0"/>
    <x v="12"/>
    <n v="0"/>
    <x v="37"/>
    <x v="21"/>
    <x v="0"/>
    <x v="0"/>
    <s v="Ninguno"/>
    <s v="Cantidad de vehículos escolares por región"/>
    <s v="Periodo 2014-2021"/>
    <s v="Número de vehículos"/>
    <s v="Ministerio de Transportes y Telecomunicaciones"/>
    <x v="525"/>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parque vehicular evolución cantidad transporte"/>
    <x v="525"/>
    <n v="0"/>
    <s v="#1774B9"/>
    <s v="990-0526"/>
    <n v="99100000"/>
    <s v="T-1045"/>
    <s v="C-1003"/>
    <s v="FI-993"/>
    <s v="M-1051"/>
  </r>
  <r>
    <x v="526"/>
    <n v="990"/>
    <x v="0"/>
    <x v="13"/>
    <n v="0"/>
    <x v="38"/>
    <x v="7"/>
    <x v="0"/>
    <x v="0"/>
    <s v="Ninguno"/>
    <s v="Grado de desempeño por programa o institución evaluada"/>
    <s v="Periodo 1997-2020"/>
    <s v="Número y Porcentaje"/>
    <s v="Dirección de Presupuestos (DIPRES)"/>
    <x v="526"/>
    <s v="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
    <s v="Dashboard"/>
    <s v="Chile programas desempeño gobierno servicio evaluación instituciones público ministerio"/>
    <x v="526"/>
    <n v="0"/>
    <s v="#1774B9"/>
    <s v="990-0527"/>
    <n v="99100000"/>
    <s v="T-1011"/>
    <s v="C-1006"/>
    <s v="FI-993"/>
    <s v="M-1052"/>
  </r>
  <r>
    <x v="527"/>
    <n v="990"/>
    <x v="0"/>
    <x v="4"/>
    <n v="0"/>
    <x v="39"/>
    <x v="4"/>
    <x v="0"/>
    <x v="0"/>
    <s v="Región-Comuna"/>
    <s v="Cantidad de fallecidos por 1 MM de habitantes"/>
    <s v="Periodo 2020-2021"/>
    <s v="Número de fallecidos"/>
    <s v="Ministerio de Ciencia, Tecnología, Conocimiento e Innovación"/>
    <x v="527"/>
    <s v="Mapa de fallecidos por millón de habitantes a nivel nacional, con detalle regional y comunal, durante el periodo 2020-2021"/>
    <s v="Gráfico de Evolución"/>
    <s v="Chile COVID-19 región comuna casos activos fallecidos recuperados acumulados evolución"/>
    <x v="527"/>
    <s v="300-C"/>
    <s v="#1774B9"/>
    <s v="990-0528"/>
    <n v="99100000"/>
    <e v="#N/A"/>
    <s v="C-991"/>
    <s v="FI-995"/>
    <s v="M-1053"/>
  </r>
  <r>
    <x v="528"/>
    <n v="990"/>
    <x v="0"/>
    <x v="4"/>
    <n v="1"/>
    <x v="39"/>
    <x v="4"/>
    <x v="1"/>
    <x v="1"/>
    <s v="Comuna"/>
    <s v="Cantidad de fallecidos por 1 MM de habitantes"/>
    <s v="Periodo 2020-2021"/>
    <s v="Número de fallecidos"/>
    <s v="Ministerio de Ciencia, Tecnología, Conocimiento e Innovación"/>
    <x v="528"/>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x v="528"/>
    <s v="100-C-1"/>
    <s v="#1774B9"/>
    <s v="990-0529"/>
    <n v="99200001"/>
    <e v="#N/A"/>
    <s v="C-991"/>
    <s v="FI-991"/>
    <s v="M-1053"/>
  </r>
  <r>
    <x v="529"/>
    <n v="990"/>
    <x v="0"/>
    <x v="4"/>
    <n v="2"/>
    <x v="39"/>
    <x v="4"/>
    <x v="1"/>
    <x v="2"/>
    <s v="Comuna"/>
    <s v="Cantidad de fallecidos por 1 MM de habitantes"/>
    <s v="Periodo 2020-2021"/>
    <s v="Número de fallecidos"/>
    <s v="Ministerio de Ciencia, Tecnología, Conocimiento e Innovación"/>
    <x v="529"/>
    <s v="Mapa de fallecidos por millón de habitantes, en la región de Antofagasta con detalle comunal, durante el periodo 2020-2021, se observa que la  comuna de María Elena es la que presenta mayor cantidad de fallecidos por millón de habitantes, en la región."/>
    <s v="Gráfico de Evolución"/>
    <s v="Región de Antofagasta COVID-19 comuna casos activos fallecidos recuperados acumulados evolución"/>
    <x v="529"/>
    <s v="100-C-2"/>
    <s v="#1774B9"/>
    <s v="990-0530"/>
    <n v="99200002"/>
    <e v="#N/A"/>
    <s v="C-991"/>
    <s v="FI-991"/>
    <s v="M-1053"/>
  </r>
  <r>
    <x v="530"/>
    <n v="990"/>
    <x v="0"/>
    <x v="4"/>
    <n v="3"/>
    <x v="39"/>
    <x v="4"/>
    <x v="1"/>
    <x v="3"/>
    <s v="Comuna"/>
    <s v="Cantidad de fallecidos por 1 MM de habitantes"/>
    <s v="Periodo 2020-2021"/>
    <s v="Número de fallecidos"/>
    <s v="Ministerio de Ciencia, Tecnología, Conocimiento e Innovación"/>
    <x v="530"/>
    <s v="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
    <s v="Gráfico de Evolución"/>
    <s v="Región de Atacama COVID-19 comuna casos activos fallecidos recuperados acumulados evolución"/>
    <x v="530"/>
    <s v="100-C-3"/>
    <s v="#1774B9"/>
    <s v="990-0531"/>
    <n v="99200003"/>
    <e v="#N/A"/>
    <s v="C-991"/>
    <s v="FI-991"/>
    <s v="M-1053"/>
  </r>
  <r>
    <x v="531"/>
    <n v="990"/>
    <x v="0"/>
    <x v="4"/>
    <n v="4"/>
    <x v="39"/>
    <x v="4"/>
    <x v="1"/>
    <x v="4"/>
    <s v="Comuna"/>
    <s v="Cantidad de fallecidos por 1 MM de habitantes"/>
    <s v="Periodo 2020-2021"/>
    <s v="Número de fallecidos"/>
    <s v="Ministerio de Ciencia, Tecnología, Conocimiento e Innovación"/>
    <x v="531"/>
    <s v="Mapa de fallecidos por millón de habitantes en la región de Coquimbo con detalle comunal en el periodo 2020-2021."/>
    <s v="Gráfico de Evolución"/>
    <s v="Región de Coquimbo COVID-19 comuna casos activos fallecidos recuperados acumulados evolución"/>
    <x v="531"/>
    <s v="100-C-4"/>
    <s v="#1774B9"/>
    <s v="990-0532"/>
    <n v="99200004"/>
    <e v="#N/A"/>
    <s v="C-991"/>
    <s v="FI-991"/>
    <s v="M-1053"/>
  </r>
  <r>
    <x v="532"/>
    <n v="990"/>
    <x v="0"/>
    <x v="4"/>
    <n v="5"/>
    <x v="39"/>
    <x v="4"/>
    <x v="1"/>
    <x v="5"/>
    <s v="Comuna"/>
    <s v="Cantidad de fallecidos por 1 MM de habitantes"/>
    <s v="Periodo 2020-2021"/>
    <s v="Número de fallecidos"/>
    <s v="Ministerio de Ciencia, Tecnología, Conocimiento e Innovación"/>
    <x v="532"/>
    <s v="Mapa de fallecidos por millón de habitantes en la región de Valparaíso con detalle comunal en el periodo 2020-2021."/>
    <s v="Gráfico de Evolución"/>
    <s v="Región de Valparaíso COVID-19 comuna casos activos fallecidos recuperados acumulados evolución"/>
    <x v="532"/>
    <s v="100-C-5"/>
    <s v="#1774B9"/>
    <s v="990-0533"/>
    <n v="99200005"/>
    <e v="#N/A"/>
    <s v="C-991"/>
    <s v="FI-991"/>
    <s v="M-1053"/>
  </r>
  <r>
    <x v="533"/>
    <n v="990"/>
    <x v="0"/>
    <x v="4"/>
    <n v="6"/>
    <x v="39"/>
    <x v="4"/>
    <x v="1"/>
    <x v="6"/>
    <s v="Comuna"/>
    <s v="Cantidad de fallecidos por 1 MM de habitantes"/>
    <s v="Periodo 2020-2021"/>
    <s v="Número de fallecidos"/>
    <s v="Ministerio de Ciencia, Tecnología, Conocimiento e Innovación"/>
    <x v="533"/>
    <s v="Mapa de fallecidos por millón de habitantes en la región de O´higgins con detalle comunal en el periodo 2020-2021."/>
    <s v="Gráfico de Evolución"/>
    <s v="Región de O'Higgins COVID-19 comuna casos activos fallecidos recuperados acumulados evolución"/>
    <x v="533"/>
    <s v="100-C-6"/>
    <s v="#1774B9"/>
    <s v="990-0534"/>
    <n v="99200006"/>
    <e v="#N/A"/>
    <s v="C-991"/>
    <s v="FI-991"/>
    <s v="M-1053"/>
  </r>
  <r>
    <x v="534"/>
    <n v="990"/>
    <x v="0"/>
    <x v="4"/>
    <n v="7"/>
    <x v="39"/>
    <x v="4"/>
    <x v="1"/>
    <x v="7"/>
    <s v="Comuna"/>
    <s v="Cantidad de fallecidos por 1 MM de habitantes"/>
    <s v="Periodo 2020-2021"/>
    <s v="Número de fallecidos"/>
    <s v="Ministerio de Ciencia, Tecnología, Conocimiento e Innovación"/>
    <x v="534"/>
    <s v="Mapa de fallecidos por millón de habitantes en la región de Maule con detalle comunal en el periodo 2020-2021."/>
    <s v="Gráfico de Evolución"/>
    <s v="Región de Maule COVID-19 comuna casos activos fallecidos recuperados acumulados evolución"/>
    <x v="534"/>
    <s v="100-C-7"/>
    <s v="#1774B9"/>
    <s v="990-0535"/>
    <n v="99200007"/>
    <e v="#N/A"/>
    <s v="C-991"/>
    <s v="FI-991"/>
    <s v="M-1053"/>
  </r>
  <r>
    <x v="535"/>
    <n v="990"/>
    <x v="0"/>
    <x v="4"/>
    <n v="8"/>
    <x v="39"/>
    <x v="4"/>
    <x v="1"/>
    <x v="8"/>
    <s v="Comuna"/>
    <s v="Cantidad de fallecidos por 1 MM de habitantes"/>
    <s v="Periodo 2020-2021"/>
    <s v="Número de fallecidos"/>
    <s v="Ministerio de Ciencia, Tecnología, Conocimiento e Innovación"/>
    <x v="535"/>
    <s v="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
    <s v="Gráfico de Evolución"/>
    <s v="Región del Biobío COVID-19 comuna casos activos fallecidos recuperados acumulados evolución"/>
    <x v="535"/>
    <s v="100-C-8"/>
    <s v="#1774B9"/>
    <s v="990-0536"/>
    <n v="99200008"/>
    <e v="#N/A"/>
    <s v="C-991"/>
    <s v="FI-991"/>
    <s v="M-1053"/>
  </r>
  <r>
    <x v="536"/>
    <n v="990"/>
    <x v="0"/>
    <x v="4"/>
    <n v="9"/>
    <x v="39"/>
    <x v="4"/>
    <x v="1"/>
    <x v="9"/>
    <s v="Comuna"/>
    <s v="Cantidad de fallecidos por 1 MM de habitantes"/>
    <s v="Periodo 2020-2021"/>
    <s v="Número de fallecidos"/>
    <s v="Ministerio de Ciencia, Tecnología, Conocimiento e Innovación"/>
    <x v="536"/>
    <s v="Mapa de fallecidos por millón de habitantes en la región de Araucanía con detalle comunal en el periodo 2020-2021."/>
    <s v="Gráfico de Evolución"/>
    <s v="Región de La Araucanía COVID-19 comuna casos activos fallecidos recuperados acumulados evolución"/>
    <x v="536"/>
    <s v="100-C-9"/>
    <s v="#1774B9"/>
    <s v="990-0537"/>
    <n v="99200009"/>
    <e v="#N/A"/>
    <s v="C-991"/>
    <s v="FI-991"/>
    <s v="M-1053"/>
  </r>
  <r>
    <x v="537"/>
    <n v="990"/>
    <x v="0"/>
    <x v="4"/>
    <n v="10"/>
    <x v="39"/>
    <x v="4"/>
    <x v="1"/>
    <x v="10"/>
    <s v="Comuna"/>
    <s v="Cantidad de fallecidos por 1 MM de habitantes"/>
    <s v="Periodo 2020-2021"/>
    <s v="Número de fallecidos"/>
    <s v="Ministerio de Ciencia, Tecnología, Conocimiento e Innovación"/>
    <x v="537"/>
    <s v="Mapa de fallecidos por millón de habitantes en la región de Los Lagos con detalle comunal en el periodo 2020-2021."/>
    <s v="Gráfico de Evolución"/>
    <s v="Región de Los Lagos COVID-19 comuna casos activos fallecidos recuperados acumulados evolución"/>
    <x v="537"/>
    <s v="100-C-10"/>
    <s v="#1774B9"/>
    <s v="990-0538"/>
    <n v="99200010"/>
    <e v="#N/A"/>
    <s v="C-991"/>
    <s v="FI-991"/>
    <s v="M-1053"/>
  </r>
  <r>
    <x v="538"/>
    <n v="990"/>
    <x v="0"/>
    <x v="4"/>
    <n v="11"/>
    <x v="39"/>
    <x v="4"/>
    <x v="1"/>
    <x v="11"/>
    <s v="Comuna"/>
    <s v="Cantidad de fallecidos por 1 MM de habitantes"/>
    <s v="Periodo 2020-2021"/>
    <s v="Número de fallecidos"/>
    <s v="Ministerio de Ciencia, Tecnología, Conocimiento e Innovación"/>
    <x v="538"/>
    <s v="Mapa de fallecidos por millón de habitantes en la región de Aysén con detalle comunal en el periodo 2020-2021."/>
    <s v="Gráfico de Evolución"/>
    <s v="Región de Aysén COVID-19 comuna casos activos fallecidos recuperados acumulados evolución"/>
    <x v="538"/>
    <s v="100-C-11"/>
    <s v="#1774B9"/>
    <s v="990-0539"/>
    <n v="99200011"/>
    <e v="#N/A"/>
    <s v="C-991"/>
    <s v="FI-991"/>
    <s v="M-1053"/>
  </r>
  <r>
    <x v="539"/>
    <n v="990"/>
    <x v="0"/>
    <x v="4"/>
    <n v="12"/>
    <x v="39"/>
    <x v="4"/>
    <x v="1"/>
    <x v="12"/>
    <s v="Comuna"/>
    <s v="Cantidad de fallecidos por 1 MM de habitantes"/>
    <s v="Periodo 2020-2021"/>
    <s v="Número de fallecidos"/>
    <s v="Ministerio de Ciencia, Tecnología, Conocimiento e Innovación"/>
    <x v="539"/>
    <s v="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
    <s v="Gráfico de Evolución"/>
    <s v="Región de Magallanes COVID-19 comuna casos activos fallecidos recuperados acumulados evolución"/>
    <x v="539"/>
    <s v="100-C-12"/>
    <s v="#1774B9"/>
    <s v="990-0540"/>
    <n v="99200012"/>
    <e v="#N/A"/>
    <s v="C-991"/>
    <s v="FI-991"/>
    <s v="M-1053"/>
  </r>
  <r>
    <x v="540"/>
    <n v="990"/>
    <x v="0"/>
    <x v="4"/>
    <n v="13"/>
    <x v="39"/>
    <x v="4"/>
    <x v="1"/>
    <x v="13"/>
    <s v="Comuna"/>
    <s v="Cantidad de fallecidos por 1 MM de habitantes"/>
    <s v="Periodo 2020-2021"/>
    <s v="Número de fallecidos"/>
    <s v="Ministerio de Ciencia, Tecnología, Conocimiento e Innovación"/>
    <x v="540"/>
    <s v="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
    <s v="Gráfico de Evolución"/>
    <s v="Región Metropolitana COVID-19 comuna casos activos fallecidos recuperados acumulados evolución"/>
    <x v="540"/>
    <s v="200-C-13"/>
    <s v="#1774B9"/>
    <s v="990-0541"/>
    <n v="99200013"/>
    <e v="#N/A"/>
    <s v="C-991"/>
    <s v="FI-991"/>
    <s v="M-1053"/>
  </r>
  <r>
    <x v="541"/>
    <n v="990"/>
    <x v="0"/>
    <x v="4"/>
    <n v="14"/>
    <x v="39"/>
    <x v="4"/>
    <x v="1"/>
    <x v="14"/>
    <s v="Comuna"/>
    <s v="Cantidad de fallecidos por 1 MM de habitantes"/>
    <s v="Periodo 2020-2021"/>
    <s v="Número de fallecidos"/>
    <s v="Ministerio de Ciencia, Tecnología, Conocimiento e Innovación"/>
    <x v="541"/>
    <s v="Mapa de fallecidos por millón de habitantes en la región de Los Ríos con detalle comunal en el periodo 2020-2021."/>
    <s v="Gráfico de Evolución"/>
    <s v="Región de Los Ríos COVID-19 comuna casos activos fallecidos recuperados acumulados evolución"/>
    <x v="541"/>
    <s v="100-C-14"/>
    <s v="#1774B9"/>
    <s v="990-0542"/>
    <n v="99200014"/>
    <e v="#N/A"/>
    <s v="C-991"/>
    <s v="FI-991"/>
    <s v="M-1053"/>
  </r>
  <r>
    <x v="542"/>
    <n v="990"/>
    <x v="0"/>
    <x v="4"/>
    <n v="15"/>
    <x v="39"/>
    <x v="4"/>
    <x v="1"/>
    <x v="15"/>
    <s v="Comuna"/>
    <s v="Cantidad de fallecidos por 1 MM de habitantes"/>
    <s v="Periodo 2020-2021"/>
    <s v="Número de fallecidos"/>
    <s v="Ministerio de Ciencia, Tecnología, Conocimiento e Innovación"/>
    <x v="542"/>
    <s v="Mapa de fallecidos por millón de habitantes en la región de Arica y Parinacota con detalle comunal en el periodo 2020-2021."/>
    <s v="Gráfico de Evolución"/>
    <s v="Región de Arica y Parinacota COVID-19 comuna casos activos fallecidos recuperados acumulados evolución"/>
    <x v="542"/>
    <s v="100-C-15"/>
    <s v="#1774B9"/>
    <s v="990-0543"/>
    <n v="99200015"/>
    <e v="#N/A"/>
    <s v="C-991"/>
    <s v="FI-991"/>
    <s v="M-1053"/>
  </r>
  <r>
    <x v="543"/>
    <n v="990"/>
    <x v="0"/>
    <x v="4"/>
    <n v="16"/>
    <x v="39"/>
    <x v="4"/>
    <x v="1"/>
    <x v="16"/>
    <s v="Comuna"/>
    <s v="Cantidad de fallecidos por 1 MM de habitantes"/>
    <s v="Periodo 2020-2021"/>
    <s v="Número de fallecidos"/>
    <s v="Ministerio de Ciencia, Tecnología, Conocimiento e Innovación"/>
    <x v="543"/>
    <s v="Mapa de fallecidos por millón de habitantes en la región de Ñuble con detalle comunal en el periodo 2020-2021."/>
    <s v="Gráfico de Evolución"/>
    <s v="Región de Ñuble COVID-19 comuna casos activos fallecidos recuperados acumulados evolución"/>
    <x v="543"/>
    <s v="100-C-16"/>
    <s v="#1774B9"/>
    <s v="990-0544"/>
    <n v="99200016"/>
    <e v="#N/A"/>
    <s v="C-991"/>
    <s v="FI-991"/>
    <s v="M-1053"/>
  </r>
  <r>
    <x v="544"/>
    <n v="990"/>
    <x v="0"/>
    <x v="1"/>
    <n v="0"/>
    <x v="34"/>
    <x v="1"/>
    <x v="0"/>
    <x v="0"/>
    <s v="Región-Comuna"/>
    <s v="Puntaje promedio por establecimiento"/>
    <s v="Periodo 2015-2018"/>
    <s v="Puntaje"/>
    <s v="Agencia de Calidad de la Educación"/>
    <x v="544"/>
    <s v="Los colegios particulares han obtenido un puntaje sobre los 229 puntos en la prueba SIMCE de lectura tomada a los alumnos de 2° Medio, superando por más de 60 puntos a los colegios municipales, subvencionados y de otras dependencias del país, en los años 2015, 2016, 2017 y 2018."/>
    <s v="Gráfico de Evolución"/>
    <s v="Chile SIMCE media segundo educación puntaje lectura municipal subvencionado corporación lenguaje particular"/>
    <x v="544"/>
    <s v="300-C"/>
    <s v="#1774B9"/>
    <s v="990-0545"/>
    <n v="99100000"/>
    <s v="T-1043"/>
    <s v="C-1019"/>
    <s v="FI-995"/>
    <s v="M-1054"/>
  </r>
  <r>
    <x v="545"/>
    <n v="990"/>
    <x v="0"/>
    <x v="1"/>
    <n v="1"/>
    <x v="34"/>
    <x v="1"/>
    <x v="1"/>
    <x v="1"/>
    <s v="Comuna"/>
    <s v="Puntaje promedio por establecimiento"/>
    <s v="Periodo 2015-2018"/>
    <s v="Puntaje"/>
    <s v="Agencia de Calidad de la Educación"/>
    <x v="545"/>
    <s v="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
    <s v="Gráfico de Evolución"/>
    <s v="Región de Tarapacá SIMCE media segundo educación puntaje lectura municipal subvencionado corporación lenguaje particular"/>
    <x v="545"/>
    <s v="100-C-1"/>
    <s v="#1774B9"/>
    <s v="990-0546"/>
    <n v="99200001"/>
    <s v="T-1043"/>
    <s v="C-1019"/>
    <s v="FI-991"/>
    <s v="M-1054"/>
  </r>
  <r>
    <x v="546"/>
    <n v="990"/>
    <x v="0"/>
    <x v="1"/>
    <n v="2"/>
    <x v="34"/>
    <x v="1"/>
    <x v="1"/>
    <x v="2"/>
    <s v="Comuna"/>
    <s v="Puntaje promedio por establecimiento"/>
    <s v="Periodo 2015-2018"/>
    <s v="Puntaje"/>
    <s v="Agencia de Calidad de la Educación"/>
    <x v="546"/>
    <s v="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
    <s v="Gráfico de Evolución"/>
    <s v="Región de Antofagasta SIMCE media segundo educación puntaje lectura municipal subvencionado corporación lenguaje particular"/>
    <x v="546"/>
    <s v="100-C-2"/>
    <s v="#1774B9"/>
    <s v="990-0547"/>
    <n v="99200002"/>
    <s v="T-1043"/>
    <s v="C-1019"/>
    <s v="FI-991"/>
    <s v="M-1054"/>
  </r>
  <r>
    <x v="547"/>
    <n v="990"/>
    <x v="0"/>
    <x v="1"/>
    <n v="3"/>
    <x v="34"/>
    <x v="1"/>
    <x v="1"/>
    <x v="3"/>
    <s v="Comuna"/>
    <s v="Puntaje promedio por establecimiento"/>
    <s v="Periodo 2015-2018"/>
    <s v="Puntaje"/>
    <s v="Agencia de Calidad de la Educación"/>
    <x v="547"/>
    <s v="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
    <s v="Gráfico de Evolución"/>
    <s v="Región de Atacama SIMCE media segundo educación puntaje lectura municipal subvencionado corporación lenguaje particular"/>
    <x v="547"/>
    <s v="100-C-3"/>
    <s v="#1774B9"/>
    <s v="990-0548"/>
    <n v="99200003"/>
    <s v="T-1043"/>
    <s v="C-1019"/>
    <s v="FI-991"/>
    <s v="M-1054"/>
  </r>
  <r>
    <x v="548"/>
    <n v="990"/>
    <x v="0"/>
    <x v="1"/>
    <n v="4"/>
    <x v="34"/>
    <x v="1"/>
    <x v="1"/>
    <x v="4"/>
    <s v="Comuna"/>
    <s v="Puntaje promedio por establecimiento"/>
    <s v="Periodo 2015-2018"/>
    <s v="Puntaje"/>
    <s v="Agencia de Calidad de la Educación"/>
    <x v="548"/>
    <s v="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
    <s v="Gráfico de Evolución"/>
    <s v="Región de Coquimbo SIMCE media segundo educación puntaje lectura municipal subvencionado corporación lenguaje particular"/>
    <x v="548"/>
    <s v="100-C-4"/>
    <s v="#1774B9"/>
    <s v="990-0549"/>
    <n v="99200004"/>
    <s v="T-1043"/>
    <s v="C-1019"/>
    <s v="FI-991"/>
    <s v="M-1054"/>
  </r>
  <r>
    <x v="549"/>
    <n v="990"/>
    <x v="0"/>
    <x v="1"/>
    <n v="5"/>
    <x v="34"/>
    <x v="1"/>
    <x v="1"/>
    <x v="5"/>
    <s v="Comuna"/>
    <s v="Puntaje promedio por establecimiento"/>
    <s v="Periodo 2015-2018"/>
    <s v="Puntaje"/>
    <s v="Agencia de Calidad de la Educación"/>
    <x v="549"/>
    <s v="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
    <s v="Gráfico de Evolución"/>
    <s v="Región de Valparaíso SIMCE media segundo educación puntaje lectura municipal subvencionado corporación lenguaje particular"/>
    <x v="549"/>
    <s v="100-C-5"/>
    <s v="#1774B9"/>
    <s v="990-0550"/>
    <n v="99200005"/>
    <s v="T-1043"/>
    <s v="C-1019"/>
    <s v="FI-991"/>
    <s v="M-1054"/>
  </r>
  <r>
    <x v="550"/>
    <n v="990"/>
    <x v="0"/>
    <x v="1"/>
    <n v="6"/>
    <x v="34"/>
    <x v="1"/>
    <x v="1"/>
    <x v="6"/>
    <s v="Comuna"/>
    <s v="Puntaje promedio por establecimiento"/>
    <s v="Periodo 2015-2018"/>
    <s v="Puntaje"/>
    <s v="Agencia de Calidad de la Educación"/>
    <x v="550"/>
    <s v="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
    <s v="Gráfico de Evolución"/>
    <s v="Región de O'Higgins SIMCE media segundo educación puntaje lectura municipal subvencionado corporación lenguaje particular"/>
    <x v="550"/>
    <s v="100-C-6"/>
    <s v="#1774B9"/>
    <s v="990-0551"/>
    <n v="99200006"/>
    <s v="T-1043"/>
    <s v="C-1019"/>
    <s v="FI-991"/>
    <s v="M-1054"/>
  </r>
  <r>
    <x v="551"/>
    <n v="990"/>
    <x v="0"/>
    <x v="1"/>
    <n v="7"/>
    <x v="34"/>
    <x v="1"/>
    <x v="1"/>
    <x v="7"/>
    <s v="Comuna"/>
    <s v="Puntaje promedio por establecimiento"/>
    <s v="Periodo 2015-2018"/>
    <s v="Puntaje"/>
    <s v="Agencia de Calidad de la Educación"/>
    <x v="551"/>
    <s v="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
    <s v="Gráfico de Evolución"/>
    <s v="Región de Maule SIMCE media segundo educación puntaje lectura municipal subvencionado corporación lenguaje particular"/>
    <x v="551"/>
    <s v="100-C-7"/>
    <s v="#1774B9"/>
    <s v="990-0552"/>
    <n v="99200007"/>
    <s v="T-1043"/>
    <s v="C-1019"/>
    <s v="FI-991"/>
    <s v="M-1054"/>
  </r>
  <r>
    <x v="552"/>
    <n v="990"/>
    <x v="0"/>
    <x v="1"/>
    <n v="8"/>
    <x v="34"/>
    <x v="1"/>
    <x v="1"/>
    <x v="8"/>
    <s v="Comuna"/>
    <s v="Puntaje promedio por establecimiento"/>
    <s v="Periodo 2015-2018"/>
    <s v="Puntaje"/>
    <s v="Agencia de Calidad de la Educación"/>
    <x v="552"/>
    <s v="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
    <s v="Gráfico de Evolución"/>
    <s v="Región del Biobío SIMCE media segundo educación puntaje lectura municipal subvencionado corporación lenguaje particular"/>
    <x v="552"/>
    <s v="100-C-8"/>
    <s v="#1774B9"/>
    <s v="990-0553"/>
    <n v="99200008"/>
    <s v="T-1043"/>
    <s v="C-1019"/>
    <s v="FI-991"/>
    <s v="M-1054"/>
  </r>
  <r>
    <x v="553"/>
    <n v="990"/>
    <x v="0"/>
    <x v="1"/>
    <n v="9"/>
    <x v="34"/>
    <x v="1"/>
    <x v="1"/>
    <x v="9"/>
    <s v="Comuna"/>
    <s v="Puntaje promedio por establecimiento"/>
    <s v="Periodo 2015-2018"/>
    <s v="Puntaje"/>
    <s v="Agencia de Calidad de la Educación"/>
    <x v="553"/>
    <s v="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
    <s v="Gráfico de Evolución"/>
    <s v="Región de La Araucanía SIMCE media segundo educación puntaje lectura municipal subvencionado corporación lenguaje particular"/>
    <x v="553"/>
    <s v="100-C-9"/>
    <s v="#1774B9"/>
    <s v="990-0554"/>
    <n v="99200009"/>
    <s v="T-1043"/>
    <s v="C-1019"/>
    <s v="FI-991"/>
    <s v="M-1054"/>
  </r>
  <r>
    <x v="554"/>
    <n v="990"/>
    <x v="0"/>
    <x v="1"/>
    <n v="10"/>
    <x v="34"/>
    <x v="1"/>
    <x v="1"/>
    <x v="10"/>
    <s v="Comuna"/>
    <s v="Puntaje promedio por establecimiento"/>
    <s v="Periodo 2015-2018"/>
    <s v="Puntaje"/>
    <s v="Agencia de Calidad de la Educación"/>
    <x v="554"/>
    <s v="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
    <s v="Gráfico de Evolución"/>
    <s v="Región de Los Lagos SIMCE media segundo educación puntaje lectura municipal subvencionado corporación lenguaje particular"/>
    <x v="554"/>
    <s v="100-C-10"/>
    <s v="#1774B9"/>
    <s v="990-0555"/>
    <n v="99200010"/>
    <s v="T-1043"/>
    <s v="C-1019"/>
    <s v="FI-991"/>
    <s v="M-1054"/>
  </r>
  <r>
    <x v="555"/>
    <n v="990"/>
    <x v="0"/>
    <x v="1"/>
    <n v="11"/>
    <x v="34"/>
    <x v="1"/>
    <x v="1"/>
    <x v="11"/>
    <s v="Comuna"/>
    <s v="Puntaje promedio por establecimiento"/>
    <s v="Periodo 2015-2018"/>
    <s v="Puntaje"/>
    <s v="Agencia de Calidad de la Educación"/>
    <x v="555"/>
    <s v="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
    <s v="Gráfico de Evolución"/>
    <s v="Región de Aysén SIMCE media segundo educación puntaje lectura municipal subvencionado corporación lenguaje particular"/>
    <x v="555"/>
    <s v="100-C-11"/>
    <s v="#1774B9"/>
    <s v="990-0556"/>
    <n v="99200011"/>
    <s v="T-1043"/>
    <s v="C-1019"/>
    <s v="FI-991"/>
    <s v="M-1054"/>
  </r>
  <r>
    <x v="556"/>
    <n v="990"/>
    <x v="0"/>
    <x v="1"/>
    <n v="12"/>
    <x v="34"/>
    <x v="1"/>
    <x v="1"/>
    <x v="12"/>
    <s v="Comuna"/>
    <s v="Puntaje promedio por establecimiento"/>
    <s v="Periodo 2015-2018"/>
    <s v="Puntaje"/>
    <s v="Agencia de Calidad de la Educación"/>
    <x v="556"/>
    <s v="En la región de Magallanes, el puntaje promedio obtenido por los colegios Particulares en la prueba SIMCE de lectura rendida por los 2° Medio, desde los años 2015 - 2018, se encuentra sobre los 185 puntos, superando por más de 50 puntos a los Municipales."/>
    <s v="Gráfico de Evolución"/>
    <s v="Región de Magallanes SIMCE media segundo educación puntaje lectura municipal subvencionado corporación lenguaje particular"/>
    <x v="556"/>
    <s v="100-C-12"/>
    <s v="#1774B9"/>
    <s v="990-0557"/>
    <n v="99200012"/>
    <s v="T-1043"/>
    <s v="C-1019"/>
    <s v="FI-991"/>
    <s v="M-1054"/>
  </r>
  <r>
    <x v="557"/>
    <n v="990"/>
    <x v="0"/>
    <x v="1"/>
    <n v="13"/>
    <x v="34"/>
    <x v="1"/>
    <x v="1"/>
    <x v="13"/>
    <s v="Comuna"/>
    <s v="Puntaje promedio por establecimiento"/>
    <s v="Periodo 2015-2018"/>
    <s v="Puntaje"/>
    <s v="Agencia de Calidad de la Educación"/>
    <x v="557"/>
    <s v="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
    <s v="Gráfico de Evolución"/>
    <s v="Región Metropolitana SIMCE media segundo educación puntaje lectura municipal subvencionado corporación lenguaje particular"/>
    <x v="557"/>
    <s v="200-C-13"/>
    <s v="#1774B9"/>
    <s v="990-0558"/>
    <n v="99200013"/>
    <s v="T-1043"/>
    <s v="C-1019"/>
    <s v="FI-991"/>
    <s v="M-1054"/>
  </r>
  <r>
    <x v="558"/>
    <n v="990"/>
    <x v="0"/>
    <x v="1"/>
    <n v="14"/>
    <x v="34"/>
    <x v="1"/>
    <x v="1"/>
    <x v="14"/>
    <s v="Comuna"/>
    <s v="Puntaje promedio por establecimiento"/>
    <s v="Periodo 2015-2018"/>
    <s v="Puntaje"/>
    <s v="Agencia de Calidad de la Educación"/>
    <x v="558"/>
    <s v="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
    <s v="Gráfico de Evolución"/>
    <s v="Región de Los Ríos SIMCE media segundo educación puntaje lectura municipal subvencionado corporación lenguaje particular"/>
    <x v="558"/>
    <s v="100-C-14"/>
    <s v="#1774B9"/>
    <s v="990-0559"/>
    <n v="99200014"/>
    <s v="T-1043"/>
    <s v="C-1019"/>
    <s v="FI-991"/>
    <s v="M-1054"/>
  </r>
  <r>
    <x v="559"/>
    <n v="990"/>
    <x v="0"/>
    <x v="1"/>
    <n v="15"/>
    <x v="34"/>
    <x v="1"/>
    <x v="1"/>
    <x v="15"/>
    <s v="Comuna"/>
    <s v="Puntaje promedio por establecimiento"/>
    <s v="Periodo 2015-2018"/>
    <s v="Puntaje"/>
    <s v="Agencia de Calidad de la Educación"/>
    <x v="559"/>
    <s v="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
    <s v="Gráfico de Evolución"/>
    <s v="Región de Arica y Parinacota SIMCE media segundo educación puntaje lectura municipal subvencionado corporación lenguaje particular"/>
    <x v="559"/>
    <s v="100-C-15"/>
    <s v="#1774B9"/>
    <s v="990-0560"/>
    <n v="99200015"/>
    <s v="T-1043"/>
    <s v="C-1019"/>
    <s v="FI-991"/>
    <s v="M-1054"/>
  </r>
  <r>
    <x v="560"/>
    <n v="990"/>
    <x v="0"/>
    <x v="1"/>
    <n v="16"/>
    <x v="34"/>
    <x v="1"/>
    <x v="1"/>
    <x v="16"/>
    <s v="Comuna"/>
    <s v="Puntaje promedio por establecimiento"/>
    <s v="Periodo 2015-2018"/>
    <s v="Puntaje"/>
    <s v="Agencia de Calidad de la Educación"/>
    <x v="560"/>
    <s v="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
    <s v="Gráfico de Evolución"/>
    <s v="Región de Ñuble SIMCE media segundo educación puntaje lectura municipal subvencionado corporación lenguaje particular"/>
    <x v="560"/>
    <s v="100-C-16"/>
    <s v="#1774B9"/>
    <s v="990-0561"/>
    <n v="99200016"/>
    <s v="T-1043"/>
    <s v="C-1019"/>
    <s v="FI-991"/>
    <s v="M-1054"/>
  </r>
  <r>
    <x v="561"/>
    <n v="990"/>
    <x v="0"/>
    <x v="1"/>
    <n v="0"/>
    <x v="34"/>
    <x v="1"/>
    <x v="0"/>
    <x v="0"/>
    <s v="Región-Comuna"/>
    <s v="Puntaje promedio por establecimiento"/>
    <s v="Periodo 2015-2018"/>
    <s v="Puntaje"/>
    <s v="Agencia de Calidad de la Educación"/>
    <x v="561"/>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x v="561"/>
    <s v="300-C"/>
    <s v="#1774B9"/>
    <s v="990-0562"/>
    <n v="99100000"/>
    <s v="T-1043"/>
    <s v="C-1019"/>
    <s v="FI-995"/>
    <s v="M-1054"/>
  </r>
  <r>
    <x v="562"/>
    <n v="990"/>
    <x v="0"/>
    <x v="1"/>
    <n v="1"/>
    <x v="34"/>
    <x v="1"/>
    <x v="1"/>
    <x v="1"/>
    <s v="Comuna"/>
    <s v="Puntaje promedio por establecimiento"/>
    <s v="Periodo 2015-2018"/>
    <s v="Puntaje"/>
    <s v="Agencia de Calidad de la Educación"/>
    <x v="562"/>
    <s v="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
    <s v="Gráfico de Evolución"/>
    <s v="Región de Tarapacá SIMCE media segundo educación puntaje matemáticas municipal subvencionado corporación lenguaje particular"/>
    <x v="562"/>
    <s v="100-C-1"/>
    <s v="#1774B9"/>
    <s v="990-0563"/>
    <n v="99200001"/>
    <s v="T-1043"/>
    <s v="C-1019"/>
    <s v="FI-991"/>
    <s v="M-1054"/>
  </r>
  <r>
    <x v="563"/>
    <n v="990"/>
    <x v="0"/>
    <x v="1"/>
    <n v="2"/>
    <x v="34"/>
    <x v="1"/>
    <x v="1"/>
    <x v="2"/>
    <s v="Comuna"/>
    <s v="Puntaje promedio por establecimiento"/>
    <s v="Periodo 2015-2018"/>
    <s v="Puntaje"/>
    <s v="Agencia de Calidad de la Educación"/>
    <x v="563"/>
    <s v="En la región de Antofagasta, el puntaje promedio obtenido por los colegios Particulares en la prueba SIMCE de matemática rendida por los 2° Medio, desde los años 2015 - 2018, se encuentra sobre los 234 puntos. "/>
    <s v="Gráfico de Evolución"/>
    <s v="Región de Antofagasta SIMCE media segundo educación puntaje matemáticas municipal subvencionado corporación lenguaje particular"/>
    <x v="563"/>
    <s v="100-C-2"/>
    <s v="#1774B9"/>
    <s v="990-0564"/>
    <n v="99200002"/>
    <s v="T-1043"/>
    <s v="C-1019"/>
    <s v="FI-991"/>
    <s v="M-1054"/>
  </r>
  <r>
    <x v="564"/>
    <n v="990"/>
    <x v="0"/>
    <x v="1"/>
    <n v="3"/>
    <x v="34"/>
    <x v="1"/>
    <x v="1"/>
    <x v="3"/>
    <s v="Comuna"/>
    <s v="Puntaje promedio por establecimiento"/>
    <s v="Periodo 2015-2018"/>
    <s v="Puntaje"/>
    <s v="Agencia de Calidad de la Educación"/>
    <x v="564"/>
    <s v="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
    <s v="Gráfico de Evolución"/>
    <s v="Región de Atacama SIMCE media segundo educación puntaje matemáticas municipal subvencionado corporación lenguaje particular"/>
    <x v="564"/>
    <s v="100-C-3"/>
    <s v="#1774B9"/>
    <s v="990-0565"/>
    <n v="99200003"/>
    <s v="T-1043"/>
    <s v="C-1019"/>
    <s v="FI-991"/>
    <s v="M-1054"/>
  </r>
  <r>
    <x v="565"/>
    <n v="990"/>
    <x v="0"/>
    <x v="1"/>
    <n v="4"/>
    <x v="34"/>
    <x v="1"/>
    <x v="1"/>
    <x v="4"/>
    <s v="Comuna"/>
    <s v="Puntaje promedio por establecimiento"/>
    <s v="Periodo 2015-2018"/>
    <s v="Puntaje"/>
    <s v="Agencia de Calidad de la Educación"/>
    <x v="565"/>
    <s v="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
    <s v="Gráfico de Evolución"/>
    <s v="Región de Coquimbo SIMCE media segundo educación puntaje matemáticas municipal subvencionado corporación lenguaje particular"/>
    <x v="565"/>
    <s v="100-C-4"/>
    <s v="#1774B9"/>
    <s v="990-0566"/>
    <n v="99200004"/>
    <s v="T-1043"/>
    <s v="C-1019"/>
    <s v="FI-991"/>
    <s v="M-1054"/>
  </r>
  <r>
    <x v="566"/>
    <n v="990"/>
    <x v="0"/>
    <x v="1"/>
    <n v="5"/>
    <x v="34"/>
    <x v="1"/>
    <x v="1"/>
    <x v="5"/>
    <s v="Comuna"/>
    <s v="Puntaje promedio por establecimiento"/>
    <s v="Periodo 2015-2018"/>
    <s v="Puntaje"/>
    <s v="Agencia de Calidad de la Educación"/>
    <x v="566"/>
    <s v="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
    <s v="Gráfico de Evolución"/>
    <s v="Región de Valparaíso SIMCE media segundo educación puntaje matemáticas municipal subvencionado corporación lenguaje particular"/>
    <x v="566"/>
    <s v="100-C-5"/>
    <s v="#1774B9"/>
    <s v="990-0567"/>
    <n v="99200005"/>
    <s v="T-1043"/>
    <s v="C-1019"/>
    <s v="FI-991"/>
    <s v="M-1054"/>
  </r>
  <r>
    <x v="567"/>
    <n v="990"/>
    <x v="0"/>
    <x v="1"/>
    <n v="6"/>
    <x v="34"/>
    <x v="1"/>
    <x v="1"/>
    <x v="6"/>
    <s v="Comuna"/>
    <s v="Puntaje promedio por establecimiento"/>
    <s v="Periodo 2015-2018"/>
    <s v="Puntaje"/>
    <s v="Agencia de Calidad de la Educación"/>
    <x v="567"/>
    <s v="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
    <s v="Gráfico de Evolución"/>
    <s v="Región de O'Higgins SIMCE media segundo educación puntaje matemáticas municipal subvencionado corporación lenguaje particular"/>
    <x v="567"/>
    <s v="100-C-6"/>
    <s v="#1774B9"/>
    <s v="990-0568"/>
    <n v="99200006"/>
    <s v="T-1043"/>
    <s v="C-1019"/>
    <s v="FI-991"/>
    <s v="M-1054"/>
  </r>
  <r>
    <x v="568"/>
    <n v="990"/>
    <x v="0"/>
    <x v="1"/>
    <n v="7"/>
    <x v="34"/>
    <x v="1"/>
    <x v="1"/>
    <x v="7"/>
    <s v="Comuna"/>
    <s v="Puntaje promedio por establecimiento"/>
    <s v="Periodo 2015-2018"/>
    <s v="Puntaje"/>
    <s v="Agencia de Calidad de la Educación"/>
    <x v="568"/>
    <s v="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
    <s v="Gráfico de Evolución"/>
    <s v="Región de Maule SIMCE media segundo educación puntaje matemáticas municipal subvencionado corporación lenguaje particular"/>
    <x v="568"/>
    <s v="100-C-7"/>
    <s v="#1774B9"/>
    <s v="990-0569"/>
    <n v="99200007"/>
    <s v="T-1043"/>
    <s v="C-1019"/>
    <s v="FI-991"/>
    <s v="M-1054"/>
  </r>
  <r>
    <x v="569"/>
    <n v="990"/>
    <x v="0"/>
    <x v="1"/>
    <n v="8"/>
    <x v="34"/>
    <x v="1"/>
    <x v="1"/>
    <x v="8"/>
    <s v="Comuna"/>
    <s v="Puntaje promedio por establecimiento"/>
    <s v="Periodo 2015-2018"/>
    <s v="Puntaje"/>
    <s v="Agencia de Calidad de la Educación"/>
    <x v="569"/>
    <s v="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
    <s v="Gráfico de Evolución"/>
    <s v="Región del Biobío SIMCE media segundo educación puntaje matemáticas municipal subvencionado corporación lenguaje particular"/>
    <x v="569"/>
    <s v="100-C-8"/>
    <s v="#1774B9"/>
    <s v="990-0570"/>
    <n v="99200008"/>
    <s v="T-1043"/>
    <s v="C-1019"/>
    <s v="FI-991"/>
    <s v="M-1054"/>
  </r>
  <r>
    <x v="570"/>
    <n v="990"/>
    <x v="0"/>
    <x v="1"/>
    <n v="9"/>
    <x v="34"/>
    <x v="1"/>
    <x v="1"/>
    <x v="9"/>
    <s v="Comuna"/>
    <s v="Puntaje promedio por establecimiento"/>
    <s v="Periodo 2015-2018"/>
    <s v="Puntaje"/>
    <s v="Agencia de Calidad de la Educación"/>
    <x v="570"/>
    <s v="En la región de La Araucanía, el puntaje promedio obtenido por los colegios Particulares en la prueba SIMCE de matemática rendida por los 2° Medio, desde los años 2015 - 2018, se encuentra sobre los 310 puntos, superando por más de 114 puntos a los colegios Municipales."/>
    <s v="Gráfico de Evolución"/>
    <s v="Región de La Araucanía SIMCE media segundo educación puntaje matemáticas municipal subvencionado corporación lenguaje particular"/>
    <x v="570"/>
    <s v="100-C-9"/>
    <s v="#1774B9"/>
    <s v="990-0571"/>
    <n v="99200009"/>
    <s v="T-1043"/>
    <s v="C-1019"/>
    <s v="FI-991"/>
    <s v="M-1054"/>
  </r>
  <r>
    <x v="571"/>
    <n v="990"/>
    <x v="0"/>
    <x v="1"/>
    <n v="10"/>
    <x v="34"/>
    <x v="1"/>
    <x v="1"/>
    <x v="10"/>
    <s v="Comuna"/>
    <s v="Puntaje promedio por establecimiento"/>
    <s v="Periodo 2015-2018"/>
    <s v="Puntaje"/>
    <s v="Agencia de Calidad de la Educación"/>
    <x v="571"/>
    <s v="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
    <s v="Gráfico de Evolución"/>
    <s v="Región de Los Lagos SIMCE media segundo educación puntaje matemáticas municipal subvencionado corporación lenguaje particular"/>
    <x v="571"/>
    <s v="100-C-10"/>
    <s v="#1774B9"/>
    <s v="990-0572"/>
    <n v="99200010"/>
    <s v="T-1043"/>
    <s v="C-1019"/>
    <s v="FI-991"/>
    <s v="M-1054"/>
  </r>
  <r>
    <x v="572"/>
    <n v="990"/>
    <x v="0"/>
    <x v="1"/>
    <n v="11"/>
    <x v="34"/>
    <x v="1"/>
    <x v="1"/>
    <x v="11"/>
    <s v="Comuna"/>
    <s v="Puntaje promedio por establecimiento"/>
    <s v="Periodo 2015-2018"/>
    <s v="Puntaje"/>
    <s v="Agencia de Calidad de la Educación"/>
    <x v="572"/>
    <s v="En la región de Aysén, el puntaje promedio obtenido por los colegios Subvencionados en la prueba SIMCE de matemática rendida por los 2° Medio, desde los años 2015 - 2018, se encuentra sobre los 158 puntos."/>
    <s v="Gráfico de Evolución"/>
    <s v="Región de Aysén SIMCE media segundo educación puntaje matemáticas municipal subvencionado corporación lenguaje particular"/>
    <x v="572"/>
    <s v="100-C-11"/>
    <s v="#1774B9"/>
    <s v="990-0573"/>
    <n v="99200011"/>
    <s v="T-1043"/>
    <s v="C-1019"/>
    <s v="FI-991"/>
    <s v="M-1054"/>
  </r>
  <r>
    <x v="573"/>
    <n v="990"/>
    <x v="0"/>
    <x v="1"/>
    <n v="12"/>
    <x v="34"/>
    <x v="1"/>
    <x v="1"/>
    <x v="12"/>
    <s v="Comuna"/>
    <s v="Puntaje promedio por establecimiento"/>
    <s v="Periodo 2015-2018"/>
    <s v="Puntaje"/>
    <s v="Agencia de Calidad de la Educación"/>
    <x v="573"/>
    <s v="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
    <s v="Gráfico de Evolución"/>
    <s v="Región de Magallanes SIMCE media segundo educación puntaje matemáticas municipal subvencionado corporación lenguaje particular"/>
    <x v="573"/>
    <s v="100-C-12"/>
    <s v="#1774B9"/>
    <s v="990-0574"/>
    <n v="99200012"/>
    <s v="T-1043"/>
    <s v="C-1019"/>
    <s v="FI-991"/>
    <s v="M-1054"/>
  </r>
  <r>
    <x v="574"/>
    <n v="990"/>
    <x v="0"/>
    <x v="1"/>
    <n v="13"/>
    <x v="34"/>
    <x v="1"/>
    <x v="1"/>
    <x v="13"/>
    <s v="Comuna"/>
    <s v="Puntaje promedio por establecimiento"/>
    <s v="Periodo 2015-2018"/>
    <s v="Puntaje"/>
    <s v="Agencia de Calidad de la Educación"/>
    <x v="574"/>
    <s v="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
    <s v="Gráfico de Evolución"/>
    <s v="Región Metropolitana SIMCE media segundo educación puntaje matemáticas municipal subvencionado corporación lenguaje particular"/>
    <x v="574"/>
    <s v="200-C-13"/>
    <s v="#1774B9"/>
    <s v="990-0575"/>
    <n v="99200013"/>
    <s v="T-1043"/>
    <s v="C-1019"/>
    <s v="FI-991"/>
    <s v="M-1054"/>
  </r>
  <r>
    <x v="575"/>
    <n v="990"/>
    <x v="0"/>
    <x v="1"/>
    <n v="14"/>
    <x v="34"/>
    <x v="1"/>
    <x v="1"/>
    <x v="14"/>
    <s v="Comuna"/>
    <s v="Puntaje promedio por establecimiento"/>
    <s v="Periodo 2015-2018"/>
    <s v="Puntaje"/>
    <s v="Agencia de Calidad de la Educación"/>
    <x v="575"/>
    <s v="En la región de Los Ríos, el puntaje promedio obtenido por los colegios Particulares en la prueba SIMCE de matemática rendida por los 2° Medio, desde los años 2015 - 2018, se encuentra sobre los 295 puntos, superando por más de 115 puntos a los colegios Municipales."/>
    <s v="Gráfico de Evolución"/>
    <s v="Región de Los Ríos SIMCE media segundo educación puntaje matemáticas municipal subvencionado corporación lenguaje particular"/>
    <x v="575"/>
    <s v="100-C-14"/>
    <s v="#1774B9"/>
    <s v="990-0576"/>
    <n v="99200014"/>
    <s v="T-1043"/>
    <s v="C-1019"/>
    <s v="FI-991"/>
    <s v="M-1054"/>
  </r>
  <r>
    <x v="576"/>
    <n v="990"/>
    <x v="0"/>
    <x v="1"/>
    <n v="15"/>
    <x v="34"/>
    <x v="1"/>
    <x v="1"/>
    <x v="15"/>
    <s v="Comuna"/>
    <s v="Puntaje promedio por establecimiento"/>
    <s v="Periodo 2015-2018"/>
    <s v="Puntaje"/>
    <s v="Agencia de Calidad de la Educación"/>
    <x v="576"/>
    <s v="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
    <s v="Gráfico de Evolución"/>
    <s v="Región de Arica y Parinacota SIMCE media segundo educación puntaje matemáticas municipal subvencionado corporación lenguaje particular"/>
    <x v="576"/>
    <s v="100-C-15"/>
    <s v="#1774B9"/>
    <s v="990-0577"/>
    <n v="99200015"/>
    <s v="T-1043"/>
    <s v="C-1019"/>
    <s v="FI-991"/>
    <s v="M-1054"/>
  </r>
  <r>
    <x v="577"/>
    <n v="990"/>
    <x v="0"/>
    <x v="1"/>
    <n v="16"/>
    <x v="34"/>
    <x v="1"/>
    <x v="1"/>
    <x v="16"/>
    <s v="Comuna"/>
    <s v="Puntaje promedio por establecimiento"/>
    <s v="Periodo 2015-2018"/>
    <s v="Puntaje"/>
    <s v="Agencia de Calidad de la Educación"/>
    <x v="577"/>
    <s v="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
    <s v="Gráfico de Evolución"/>
    <s v="Región de Ñuble SIMCE media segundo educación puntaje matemáticas municipal subvencionado corporación lenguaje particular"/>
    <x v="577"/>
    <s v="100-C-16"/>
    <s v="#1774B9"/>
    <s v="990-0578"/>
    <n v="99200016"/>
    <s v="T-1043"/>
    <s v="C-1019"/>
    <s v="FI-991"/>
    <s v="M-1054"/>
  </r>
  <r>
    <x v="578"/>
    <n v="990"/>
    <x v="0"/>
    <x v="1"/>
    <n v="0"/>
    <x v="40"/>
    <x v="1"/>
    <x v="0"/>
    <x v="0"/>
    <s v="Comuna"/>
    <s v="Autoestima, Convivencia, Hábitos Salud y Participación"/>
    <s v="Periodo 2014-2019"/>
    <s v="Puntaje"/>
    <s v="Agencia de Calidad de la Educación"/>
    <x v="578"/>
    <s v="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
    <s v="Gráfico de Evolución"/>
    <s v="Chile calidad educación puntaje municipal subvencionado corporación particular autoestima convivencia hábitos salud participación desarrollo personal indicadores"/>
    <x v="578"/>
    <s v="300-C"/>
    <s v="#1774B9"/>
    <s v="990-0579"/>
    <n v="99100000"/>
    <s v="T-991"/>
    <s v="C-1019"/>
    <s v="FI-991"/>
    <s v="M-1083"/>
  </r>
  <r>
    <x v="579"/>
    <n v="990"/>
    <x v="0"/>
    <x v="1"/>
    <n v="1"/>
    <x v="40"/>
    <x v="1"/>
    <x v="1"/>
    <x v="1"/>
    <s v="Comuna"/>
    <s v="Autoestima, Convivencia, Hábitos Salud y Participación"/>
    <s v="Periodo 2014-2019"/>
    <s v="Puntaje"/>
    <s v="Agencia de Calidad de la Educación"/>
    <x v="579"/>
    <s v="En la región de Tarapacá, los Indicadores de Desarrollo Personal y Social obtuvieron los valores más altos el año 2017, entre los 64 y 73 puntos promedio, los cuales varían según el tipo de dependencia del establecimiento y por cada establecimiento en particular."/>
    <s v="Gráfico de Evolución"/>
    <s v="Región de Tarapacá calidad educación puntaje municipal subvencionado corporación particular autoestima convivencia hábitos salud participación desarrollo personal indicadores"/>
    <x v="579"/>
    <s v="100-C-1"/>
    <s v="#1774B9"/>
    <s v="990-0580"/>
    <n v="99200001"/>
    <s v="T-991"/>
    <s v="C-1019"/>
    <s v="FI-991"/>
    <s v="M-1083"/>
  </r>
  <r>
    <x v="580"/>
    <n v="990"/>
    <x v="0"/>
    <x v="1"/>
    <n v="2"/>
    <x v="40"/>
    <x v="1"/>
    <x v="1"/>
    <x v="2"/>
    <s v="Comuna"/>
    <s v="Autoestima, Convivencia, Hábitos Salud y Participación"/>
    <s v="Periodo 2014-2019"/>
    <s v="Puntaje"/>
    <s v="Agencia de Calidad de la Educación"/>
    <x v="580"/>
    <s v="En la región de Antofagasta, los Indicadores de Desarrollo Personal y Social obtuvieron los valores más altos el año 2017, entre los 67 y 75 puntos promedio, los cuales varían según el tipo de dependencia del establecimiento y por cada establecimiento en particular."/>
    <s v="Gráfico de Evolución"/>
    <s v="Región de Antofagasta calidad educación puntaje municipal subvencionado corporación particular autoestima convivencia hábitos salud participación desarrollo personal indicadores"/>
    <x v="580"/>
    <s v="100-C-2"/>
    <s v="#1774B9"/>
    <s v="990-0581"/>
    <n v="99200002"/>
    <s v="T-991"/>
    <s v="C-1019"/>
    <s v="FI-991"/>
    <s v="M-1083"/>
  </r>
  <r>
    <x v="581"/>
    <n v="990"/>
    <x v="0"/>
    <x v="1"/>
    <n v="3"/>
    <x v="40"/>
    <x v="1"/>
    <x v="1"/>
    <x v="3"/>
    <s v="Comuna"/>
    <s v="Autoestima, Convivencia, Hábitos Salud y Participación"/>
    <s v="Periodo 2014-2019"/>
    <s v="Puntaje"/>
    <s v="Agencia de Calidad de la Educación"/>
    <x v="581"/>
    <s v="En la región de Atacama, los Indicadores de Desarrollo Personal y Social obtuvieron los valores más bajos el año 2019, entre los 25 y 29 puntos promedio, los cuales varían según el tipo de dependencia del establecimiento y por cada establecimiento en particular."/>
    <s v="Gráfico de Evolución"/>
    <s v="Región de Atacama calidad educación puntaje municipal subvencionado corporación particular autoestima convivencia hábitos salud participación desarrollo personal indicadores"/>
    <x v="581"/>
    <s v="100-C-3"/>
    <s v="#1774B9"/>
    <s v="990-0582"/>
    <n v="99200003"/>
    <s v="T-991"/>
    <s v="C-1019"/>
    <s v="FI-991"/>
    <s v="M-1083"/>
  </r>
  <r>
    <x v="582"/>
    <n v="990"/>
    <x v="0"/>
    <x v="1"/>
    <n v="4"/>
    <x v="40"/>
    <x v="1"/>
    <x v="1"/>
    <x v="4"/>
    <s v="Comuna"/>
    <s v="Autoestima, Convivencia, Hábitos Salud y Participación"/>
    <s v="Periodo 2014-2019"/>
    <s v="Puntaje"/>
    <s v="Agencia de Calidad de la Educación"/>
    <x v="582"/>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
    <s v="Gráfico de Evolución"/>
    <s v="Región de Coquimbo calidad educación puntaje municipal subvencionado corporación particular autoestima convivencia hábitos salud participación desarrollo personal indicadores"/>
    <x v="582"/>
    <s v="100-C-4"/>
    <s v="#1774B9"/>
    <s v="990-0583"/>
    <n v="99200004"/>
    <s v="T-991"/>
    <s v="C-1019"/>
    <s v="FI-991"/>
    <s v="M-1083"/>
  </r>
  <r>
    <x v="583"/>
    <n v="990"/>
    <x v="0"/>
    <x v="1"/>
    <n v="5"/>
    <x v="40"/>
    <x v="1"/>
    <x v="1"/>
    <x v="5"/>
    <s v="Comuna"/>
    <s v="Autoestima, Convivencia, Hábitos Salud y Participación"/>
    <s v="Periodo 2014-2019"/>
    <s v="Puntaje"/>
    <s v="Agencia de Calidad de la Educación"/>
    <x v="583"/>
    <s v="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
    <s v="Gráfico de Evolución"/>
    <s v="Región de Valparaíso calidad educación puntaje municipal subvencionado corporación particular autoestima convivencia hábitos salud participación desarrollo personal indicadores"/>
    <x v="583"/>
    <s v="100-C-5"/>
    <s v="#1774B9"/>
    <s v="990-0584"/>
    <n v="99200005"/>
    <s v="T-991"/>
    <s v="C-1019"/>
    <s v="FI-991"/>
    <s v="M-1083"/>
  </r>
  <r>
    <x v="584"/>
    <n v="990"/>
    <x v="0"/>
    <x v="1"/>
    <n v="6"/>
    <x v="40"/>
    <x v="1"/>
    <x v="1"/>
    <x v="6"/>
    <s v="Comuna"/>
    <s v="Autoestima, Convivencia, Hábitos Salud y Participación"/>
    <s v="Periodo 2014-2019"/>
    <s v="Puntaje"/>
    <s v="Agencia de Calidad de la Educación"/>
    <x v="584"/>
    <s v="En la región de O'Higgins, en los Indicadores de Desarrollo Personal y Social, los colegios de Corporación de Administración Delegada obtienen los mayores puntajes, entre los 67 y 81 puntos, en el periodo del 2014 - 2019, los que varían por cada establecimiento en particular."/>
    <s v="Gráfico de Evolución"/>
    <s v="Región de O'Higgins calidad educación puntaje municipal subvencionado corporación particular autoestima convivencia hábitos salud participación desarrollo personal indicadores"/>
    <x v="584"/>
    <s v="100-C-6"/>
    <s v="#1774B9"/>
    <s v="990-0585"/>
    <n v="99200006"/>
    <s v="T-991"/>
    <s v="C-1019"/>
    <s v="FI-991"/>
    <s v="M-1083"/>
  </r>
  <r>
    <x v="585"/>
    <n v="990"/>
    <x v="0"/>
    <x v="1"/>
    <n v="7"/>
    <x v="40"/>
    <x v="1"/>
    <x v="1"/>
    <x v="7"/>
    <s v="Comuna"/>
    <s v="Autoestima, Convivencia, Hábitos Salud y Participación"/>
    <s v="Periodo 2014-2019"/>
    <s v="Puntaje"/>
    <s v="Agencia de Calidad de la Educación"/>
    <x v="585"/>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
    <s v="Gráfico de Evolución"/>
    <s v="Región de Maule calidad educación puntaje municipal subvencionado corporación particular autoestima convivencia hábitos salud participación desarrollo personal indicadores"/>
    <x v="585"/>
    <s v="100-C-7"/>
    <s v="#1774B9"/>
    <s v="990-0586"/>
    <n v="99200007"/>
    <s v="T-991"/>
    <s v="C-1019"/>
    <s v="FI-991"/>
    <s v="M-1083"/>
  </r>
  <r>
    <x v="586"/>
    <n v="990"/>
    <x v="0"/>
    <x v="1"/>
    <n v="8"/>
    <x v="40"/>
    <x v="1"/>
    <x v="1"/>
    <x v="8"/>
    <s v="Comuna"/>
    <s v="Autoestima, Convivencia, Hábitos Salud y Participación"/>
    <s v="Periodo 2014-2019"/>
    <s v="Puntaje"/>
    <s v="Agencia de Calidad de la Educación"/>
    <x v="586"/>
    <s v="En la región del Biobío, los Indicadores de Desarrollo Personal y Social, en los colegios de Corporación de Administración Delegada obtienen los mayores puntajes, entre los 62 y 78 puntos, en el periodo del 2014 - 2019, los que varían por cada establecimiento en particular."/>
    <s v="Gráfico de Evolución"/>
    <s v="Región del Biobío calidad educación puntaje municipal subvencionado corporación particular autoestima convivencia hábitos salud participación desarrollo personal indicadores"/>
    <x v="586"/>
    <s v="100-C-8"/>
    <s v="#1774B9"/>
    <s v="990-0587"/>
    <n v="99200008"/>
    <s v="T-991"/>
    <s v="C-1019"/>
    <s v="FI-991"/>
    <s v="M-1083"/>
  </r>
  <r>
    <x v="587"/>
    <n v="990"/>
    <x v="0"/>
    <x v="1"/>
    <n v="9"/>
    <x v="40"/>
    <x v="1"/>
    <x v="1"/>
    <x v="9"/>
    <s v="Comuna"/>
    <s v="Autoestima, Convivencia, Hábitos Salud y Participación"/>
    <s v="Periodo 2014-2019"/>
    <s v="Puntaje"/>
    <s v="Agencia de Calidad de la Educación"/>
    <x v="587"/>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
    <s v="Gráfico de Evolución"/>
    <s v="Región de La Araucanía calidad educación puntaje municipal subvencionado corporación particular autoestima convivencia hábitos salud participación desarrollo personal indicadores"/>
    <x v="587"/>
    <s v="100-C-9"/>
    <s v="#1774B9"/>
    <s v="990-0588"/>
    <n v="99200009"/>
    <s v="T-991"/>
    <s v="C-1019"/>
    <s v="FI-991"/>
    <s v="M-1083"/>
  </r>
  <r>
    <x v="588"/>
    <n v="990"/>
    <x v="0"/>
    <x v="1"/>
    <n v="10"/>
    <x v="40"/>
    <x v="1"/>
    <x v="1"/>
    <x v="10"/>
    <s v="Comuna"/>
    <s v="Autoestima, Convivencia, Hábitos Salud y Participación"/>
    <s v="Periodo 2014-2019"/>
    <s v="Puntaje"/>
    <s v="Agencia de Calidad de la Educación"/>
    <x v="588"/>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
    <s v="Gráfico de Evolución"/>
    <s v="Región de Los Lagos calidad educación puntaje municipal subvencionado corporación particular autoestima convivencia hábitos salud participación desarrollo personal indicadores"/>
    <x v="588"/>
    <s v="100-C-10"/>
    <s v="#1774B9"/>
    <s v="990-0589"/>
    <n v="99200010"/>
    <s v="T-991"/>
    <s v="C-1019"/>
    <s v="FI-991"/>
    <s v="M-1083"/>
  </r>
  <r>
    <x v="589"/>
    <n v="990"/>
    <x v="0"/>
    <x v="1"/>
    <n v="11"/>
    <x v="40"/>
    <x v="1"/>
    <x v="1"/>
    <x v="11"/>
    <s v="Comuna"/>
    <s v="Autoestima, Convivencia, Hábitos Salud y Participación"/>
    <s v="Periodo 2014-2019"/>
    <s v="Puntaje"/>
    <s v="Agencia de Calidad de la Educación"/>
    <x v="589"/>
    <s v="En la región de Aysén, los Indicadores de Desarrollo Personal y Social, el año 2017, tiene los mayores valores, entre los 65 y 73 puntos promedio, los que varían según el tipo de dependencia del establecimiento y por cada establecimiento en particular."/>
    <s v="Gráfico de Evolución"/>
    <s v="Región de Aysén calidad educación puntaje municipal subvencionado corporación particular autoestima convivencia hábitos salud participación desarrollo personal indicadores"/>
    <x v="589"/>
    <s v="100-C-11"/>
    <s v="#1774B9"/>
    <s v="990-0590"/>
    <n v="99200011"/>
    <s v="T-991"/>
    <s v="C-1019"/>
    <s v="FI-991"/>
    <s v="M-1083"/>
  </r>
  <r>
    <x v="590"/>
    <n v="990"/>
    <x v="0"/>
    <x v="1"/>
    <n v="12"/>
    <x v="40"/>
    <x v="1"/>
    <x v="1"/>
    <x v="12"/>
    <s v="Comuna"/>
    <s v="Autoestima, Convivencia, Hábitos Salud y Participación"/>
    <s v="Periodo 2014-2019"/>
    <s v="Puntaje"/>
    <s v="Agencia de Calidad de la Educación"/>
    <x v="590"/>
    <s v="En la región de Magallanes, los Indicadores de Desarrollo Personal y Social, el año 2019, tienen los valores más bajos, entre los 25 y 27 puntos promedio, los que varían según el tipo de dependencia del establecimiento y por cada establecimiento en particular."/>
    <s v="Gráfico de Evolución"/>
    <s v="Región de Magallanes calidad educación puntaje municipal subvencionado corporación particular autoestima convivencia hábitos salud participación desarrollo personal indicadores"/>
    <x v="590"/>
    <s v="100-C-12"/>
    <s v="#1774B9"/>
    <s v="990-0591"/>
    <n v="99200012"/>
    <s v="T-991"/>
    <s v="C-1019"/>
    <s v="FI-991"/>
    <s v="M-1083"/>
  </r>
  <r>
    <x v="591"/>
    <n v="990"/>
    <x v="0"/>
    <x v="1"/>
    <n v="13"/>
    <x v="40"/>
    <x v="1"/>
    <x v="1"/>
    <x v="13"/>
    <s v="Comuna"/>
    <s v="Autoestima, Convivencia, Hábitos Salud y Participación"/>
    <s v="Periodo 2014-2019"/>
    <s v="Puntaje"/>
    <s v="Agencia de Calidad de la Educación"/>
    <x v="591"/>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
    <s v="Gráfico de Evolución"/>
    <s v="Región Metropolitana calidad educación puntaje municipal subvencionado corporación particular autoestima convivencia hábitos salud participación desarrollo personal indicadores"/>
    <x v="591"/>
    <s v="200-C-13"/>
    <s v="#1774B9"/>
    <s v="990-0592"/>
    <n v="99200013"/>
    <s v="T-991"/>
    <s v="C-1019"/>
    <s v="FI-991"/>
    <s v="M-1083"/>
  </r>
  <r>
    <x v="592"/>
    <n v="990"/>
    <x v="0"/>
    <x v="1"/>
    <n v="14"/>
    <x v="40"/>
    <x v="1"/>
    <x v="1"/>
    <x v="14"/>
    <s v="Comuna"/>
    <s v="Autoestima, Convivencia, Hábitos Salud y Participación"/>
    <s v="Periodo 2014-2019"/>
    <s v="Puntaje"/>
    <s v="Agencia de Calidad de la Educación"/>
    <x v="592"/>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
    <s v="Gráfico de Evolución"/>
    <s v="Región de Los Ríos calidad educación puntaje municipal subvencionado corporación particular autoestima convivencia hábitos salud participación desarrollo personal indicadores"/>
    <x v="592"/>
    <s v="100-C-14"/>
    <s v="#1774B9"/>
    <s v="990-0593"/>
    <n v="99200014"/>
    <s v="T-991"/>
    <s v="C-1019"/>
    <s v="FI-991"/>
    <s v="M-1083"/>
  </r>
  <r>
    <x v="593"/>
    <n v="990"/>
    <x v="0"/>
    <x v="1"/>
    <n v="15"/>
    <x v="40"/>
    <x v="1"/>
    <x v="1"/>
    <x v="15"/>
    <s v="Comuna"/>
    <s v="Autoestima, Convivencia, Hábitos Salud y Participación"/>
    <s v="Periodo 2014-2019"/>
    <s v="Puntaje"/>
    <s v="Agencia de Calidad de la Educación"/>
    <x v="593"/>
    <s v="En la región de Arica y Parinacota, los Indicadores de Desarrollo Personal y Social, el año 2017, tiene los mayores valores, entre los 63 y 71 puntos promedio, los que varían según el tipo de dependencia del establecimiento y por cada establecimiento en particular."/>
    <s v="Gráfico de Evolución"/>
    <s v="Región de Arica y Parinacota calidad educación puntaje municipal subvencionado corporación particular autoestima convivencia hábitos salud participación desarrollo personal indicadores"/>
    <x v="593"/>
    <s v="100-C-15"/>
    <s v="#1774B9"/>
    <s v="990-0594"/>
    <n v="99200015"/>
    <s v="T-991"/>
    <s v="C-1019"/>
    <s v="FI-991"/>
    <s v="M-1083"/>
  </r>
  <r>
    <x v="594"/>
    <n v="990"/>
    <x v="0"/>
    <x v="1"/>
    <n v="16"/>
    <x v="40"/>
    <x v="1"/>
    <x v="1"/>
    <x v="16"/>
    <s v="Comuna"/>
    <s v="Autoestima, Convivencia, Hábitos Salud y Participación"/>
    <s v="Periodo 2014-2019"/>
    <s v="Puntaje"/>
    <s v="Agencia de Calidad de la Educación"/>
    <x v="594"/>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
    <s v="Gráfico de Evolución"/>
    <s v="Región de Ñuble calidad educación puntaje municipal subvencionado corporación particular autoestima convivencia hábitos salud participación desarrollo personal indicadores"/>
    <x v="594"/>
    <s v="100-C-16"/>
    <s v="#1774B9"/>
    <s v="990-0595"/>
    <n v="99200016"/>
    <s v="T-991"/>
    <s v="C-1019"/>
    <s v="FI-991"/>
    <s v="M-1083"/>
  </r>
  <r>
    <x v="595"/>
    <n v="990"/>
    <x v="0"/>
    <x v="1"/>
    <n v="0"/>
    <x v="40"/>
    <x v="1"/>
    <x v="0"/>
    <x v="0"/>
    <s v="Región"/>
    <s v="Autoestima Académica y Motivación Escolar"/>
    <s v="Periodo 2014-2019"/>
    <s v="Puntaje"/>
    <s v="Agencia de Calidad de la Educación"/>
    <x v="595"/>
    <s v="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
    <s v="Mapa de calor"/>
    <s v="Chile calidad educación puntaje autoestima motivación escolar desarrollo personal indicador académica"/>
    <x v="595"/>
    <s v="300-C"/>
    <s v="#1774B9"/>
    <s v="990-0596"/>
    <n v="99100000"/>
    <s v="T-991"/>
    <s v="C-1019"/>
    <s v="FI-992"/>
    <s v="M-1084"/>
  </r>
  <r>
    <x v="596"/>
    <n v="990"/>
    <x v="0"/>
    <x v="1"/>
    <n v="1"/>
    <x v="40"/>
    <x v="1"/>
    <x v="1"/>
    <x v="1"/>
    <s v="Ninguno"/>
    <s v="Autoestima Académica y Motivación Escolar"/>
    <s v="Periodo 2014-2019"/>
    <s v="Puntaje"/>
    <s v="Agencia de Calidad de la Educación"/>
    <x v="596"/>
    <s v="La comuna de Alto Hospicio presenta el mayor puntaje promedio en el indicador de Autoestima Académica y Motivación para el periodo 2014-2019, con 56,4 puntos, seguido por la comuna de Iquique con 55,2 puntos. Por otro lado, la comuna de Huara presenta el menor puntaje."/>
    <s v="Mapa de calor"/>
    <s v="Región de Tarapacá calidad educación puntaje autoestima motivación escolar desarrollo personal indicador académica"/>
    <x v="596"/>
    <s v="100-C-1"/>
    <s v="#1774B9"/>
    <s v="990-0597"/>
    <n v="99200001"/>
    <s v="T-991"/>
    <s v="C-1019"/>
    <s v="FI-993"/>
    <s v="M-1084"/>
  </r>
  <r>
    <x v="597"/>
    <n v="990"/>
    <x v="0"/>
    <x v="1"/>
    <n v="2"/>
    <x v="40"/>
    <x v="1"/>
    <x v="1"/>
    <x v="2"/>
    <s v="Ninguno"/>
    <s v="Autoestima Académica y Motivación Escolar"/>
    <s v="Periodo 2014-2019"/>
    <s v="Puntaje"/>
    <s v="Agencia de Calidad de la Educación"/>
    <x v="597"/>
    <s v="Las comunas de la región de Antofagasta que están sobre los 55 puntos promedio en el indicador de Autoestima Académica y Motivación para el periodo 2014-2019 son: Antofagasta, Mejillones, Ollagüe y Calama con 55,7; 57,8; 58,4 y 55,5 puntos promedio, respectivamente."/>
    <s v="Mapa de calor"/>
    <s v="Región de Antofagasta calidad educación puntaje autoestima motivación escolar desarrollo personal indicador académica"/>
    <x v="597"/>
    <s v="100-C-2"/>
    <s v="#1774B9"/>
    <s v="990-0598"/>
    <n v="99200002"/>
    <s v="T-991"/>
    <s v="C-1019"/>
    <s v="FI-993"/>
    <s v="M-1084"/>
  </r>
  <r>
    <x v="598"/>
    <n v="990"/>
    <x v="0"/>
    <x v="1"/>
    <n v="3"/>
    <x v="40"/>
    <x v="1"/>
    <x v="1"/>
    <x v="3"/>
    <s v="Ninguno"/>
    <s v="Autoestima Académica y Motivación Escolar"/>
    <s v="Periodo 2014-2019"/>
    <s v="Puntaje"/>
    <s v="Agencia de Calidad de la Educación"/>
    <x v="598"/>
    <s v="En la región de Atacama, en la medición del indicador de Autoestima Académica y Motivación Escolar, 6 de las 9 comunas de la región obtuvieron sobre 55 puntos promedio, en el periodo 2014-2019. La comuna de Diego de Almagro presenta el mayor puntaje con 57,8 puntos."/>
    <s v="Mapa de calor"/>
    <s v="Región de Atacama calidad educación puntaje autoestima motivación escolar desarrollo personal indicador académica"/>
    <x v="598"/>
    <s v="100-C-3"/>
    <s v="#1774B9"/>
    <s v="990-0599"/>
    <n v="99200003"/>
    <s v="T-991"/>
    <s v="C-1019"/>
    <s v="FI-993"/>
    <s v="M-1084"/>
  </r>
  <r>
    <x v="599"/>
    <n v="990"/>
    <x v="0"/>
    <x v="1"/>
    <n v="4"/>
    <x v="40"/>
    <x v="1"/>
    <x v="1"/>
    <x v="4"/>
    <s v="Ninguno"/>
    <s v="Autoestima Académica y Motivación Escolar"/>
    <s v="Periodo 2014-2019"/>
    <s v="Puntaje"/>
    <s v="Agencia de Calidad de la Educación"/>
    <x v="599"/>
    <s v="La comuna de La Serena presenta el mayor puntaje promedio en el indicador de Autoestima Académica y Motivación para el periodo 2014-2019, con 55 puntos, seguido por la comuna de Coquimbo con 54,8 puntos. Por otro lado, la comuna de Canela presenta el menor puntaje."/>
    <s v="Mapa de calor"/>
    <s v="Región de Coquimbo calidad educación puntaje autoestima motivación escolar desarrollo personal indicador académica"/>
    <x v="599"/>
    <s v="100-C-4"/>
    <s v="#1774B9"/>
    <s v="990-0600"/>
    <n v="99200004"/>
    <s v="T-991"/>
    <s v="C-1019"/>
    <s v="FI-993"/>
    <s v="M-1084"/>
  </r>
  <r>
    <x v="600"/>
    <n v="990"/>
    <x v="0"/>
    <x v="1"/>
    <n v="5"/>
    <x v="40"/>
    <x v="1"/>
    <x v="1"/>
    <x v="5"/>
    <s v="Ninguno"/>
    <s v="Autoestima Académica y Motivación Escolar"/>
    <s v="Periodo 2014-2019"/>
    <s v="Puntaje"/>
    <s v="Agencia de Calidad de la Educación"/>
    <x v="600"/>
    <s v="Isla de Pascua presenta 57,2 puntos promedio en el indicador de Autoestima Académica y Motivación para el periodo 2014-2019. Por otro lado Juan Fernández presenta 57,8 puntos. Ambas comunas insulares se sitúan sobre la media de la región."/>
    <s v="Mapa de calor"/>
    <s v="Región de Valparaíso calidad educación puntaje autoestima motivación escolar desarrollo personal indicador académica"/>
    <x v="600"/>
    <s v="100-C-5"/>
    <s v="#1774B9"/>
    <s v="990-0601"/>
    <n v="99200005"/>
    <s v="T-991"/>
    <s v="C-1019"/>
    <s v="FI-993"/>
    <s v="M-1084"/>
  </r>
  <r>
    <x v="601"/>
    <n v="990"/>
    <x v="0"/>
    <x v="1"/>
    <n v="6"/>
    <x v="40"/>
    <x v="1"/>
    <x v="1"/>
    <x v="6"/>
    <s v="Ninguno"/>
    <s v="Autoestima Académica y Motivación Escolar"/>
    <s v="Periodo 2014-2019"/>
    <s v="Puntaje"/>
    <s v="Agencia de Calidad de la Educación"/>
    <x v="601"/>
    <s v="Mapa de la distribución geográfica en la Región de O'Higgins del Indicador de Autoestima Académica y Motivación Escolar, Periodo 2014-2019."/>
    <s v="Mapa de calor"/>
    <s v="Región de O'Higgins calidad educación puntaje autoestima motivación escolar desarrollo personal indicador académica"/>
    <x v="601"/>
    <s v="100-C-6"/>
    <s v="#1774B9"/>
    <s v="990-0602"/>
    <n v="99200006"/>
    <s v="T-991"/>
    <s v="C-1019"/>
    <s v="FI-993"/>
    <s v="M-1084"/>
  </r>
  <r>
    <x v="602"/>
    <n v="990"/>
    <x v="0"/>
    <x v="1"/>
    <n v="7"/>
    <x v="40"/>
    <x v="1"/>
    <x v="1"/>
    <x v="7"/>
    <s v="Ninguno"/>
    <s v="Autoestima Académica y Motivación Escolar"/>
    <s v="Periodo 2014-2019"/>
    <s v="Puntaje"/>
    <s v="Agencia de Calidad de la Educación"/>
    <x v="602"/>
    <s v="La comuna de Teno presenta el mayor puntaje en el indicador de Autoestima Académica y Motivación para el periodo 2014-2019, con 58,1 puntos promedio. Por otro lado, la comuna de Curepto presenta el menor puntaje promedio, con 43,3 puntos."/>
    <s v="Mapa de calor"/>
    <s v="Región de Maule calidad educación puntaje autoestima motivación escolar desarrollo personal indicador académica"/>
    <x v="602"/>
    <s v="100-C-7"/>
    <s v="#1774B9"/>
    <s v="990-0603"/>
    <n v="99200007"/>
    <s v="T-991"/>
    <s v="C-1019"/>
    <s v="FI-993"/>
    <s v="M-1084"/>
  </r>
  <r>
    <x v="603"/>
    <n v="990"/>
    <x v="0"/>
    <x v="1"/>
    <n v="8"/>
    <x v="40"/>
    <x v="1"/>
    <x v="1"/>
    <x v="8"/>
    <s v="Ninguno"/>
    <s v="Autoestima Académica y Motivación Escolar"/>
    <s v="Periodo 2014-2019"/>
    <s v="Puntaje"/>
    <s v="Agencia de Calidad de la Educación"/>
    <x v="603"/>
    <s v="Las comunas de Penco y Negrete presentan el mayor puntaje en el indicador de Autoestima Académica y Motivación para el periodo 2014-2019, con 55,9 puntos promedio. Por otro lado, la comuna de San Rosendo presenta el menor puntaje promedio, con 42,2 puntos."/>
    <s v="Mapa de calor"/>
    <s v="Región del Biobío calidad educación puntaje autoestima motivación escolar desarrollo personal indicador académica"/>
    <x v="603"/>
    <s v="100-C-8"/>
    <s v="#1774B9"/>
    <s v="990-0604"/>
    <n v="99200008"/>
    <s v="T-991"/>
    <s v="C-1019"/>
    <s v="FI-993"/>
    <s v="M-1084"/>
  </r>
  <r>
    <x v="604"/>
    <n v="990"/>
    <x v="0"/>
    <x v="1"/>
    <n v="9"/>
    <x v="40"/>
    <x v="1"/>
    <x v="1"/>
    <x v="9"/>
    <s v="Ninguno"/>
    <s v="Autoestima Académica y Motivación Escolar"/>
    <s v="Periodo 2014-2019"/>
    <s v="Puntaje"/>
    <s v="Agencia de Calidad de la Educación"/>
    <x v="604"/>
    <s v="Mapa de la distribución geográfica en la Región de La Araucanía del Indicador de Autoestima Académica y Motivación Escolar, Periodo 2014-2019. Datos de la Agencia de Calidad de la Educación."/>
    <s v="Mapa de calor"/>
    <s v="Región de La Araucanía calidad educación puntaje autoestima motivación escolar desarrollo personal indicador académica"/>
    <x v="604"/>
    <s v="100-C-9"/>
    <s v="#1774B9"/>
    <s v="990-0605"/>
    <n v="99200009"/>
    <s v="T-991"/>
    <s v="C-1019"/>
    <s v="FI-993"/>
    <s v="M-1084"/>
  </r>
  <r>
    <x v="605"/>
    <n v="990"/>
    <x v="0"/>
    <x v="1"/>
    <n v="10"/>
    <x v="40"/>
    <x v="1"/>
    <x v="1"/>
    <x v="10"/>
    <s v="Ninguno"/>
    <s v="Autoestima Académica y Motivación Escolar"/>
    <s v="Periodo 2014-2019"/>
    <s v="Puntaje"/>
    <s v="Agencia de Calidad de la Educación"/>
    <x v="605"/>
    <s v="La comuna de Osorno presenta el mayor puntaje promedio del indicador de Autoestima Académica y Motivación en el periodo 2014-2019, con 52,8 puntos promedio. Por otro lado, la comuna de Cochamó presenta el menor puntaje promedio, con 36,7 puntos."/>
    <s v="Mapa de calor"/>
    <s v="Región de Los Lagos calidad educación puntaje autoestima motivación escolar desarrollo personal indicador académica"/>
    <x v="605"/>
    <s v="100-C-10"/>
    <s v="#1774B9"/>
    <s v="990-0606"/>
    <n v="99200010"/>
    <s v="T-991"/>
    <s v="C-1019"/>
    <s v="FI-993"/>
    <s v="M-1084"/>
  </r>
  <r>
    <x v="606"/>
    <n v="990"/>
    <x v="0"/>
    <x v="1"/>
    <n v="11"/>
    <x v="40"/>
    <x v="1"/>
    <x v="1"/>
    <x v="11"/>
    <s v="Ninguno"/>
    <s v="Autoestima Académica y Motivación Escolar"/>
    <s v="Periodo 2014-2019"/>
    <s v="Puntaje"/>
    <s v="Agencia de Calidad de la Educación"/>
    <x v="606"/>
    <s v="Las comunas de la región de Aysén que están sobre los 55 puntos promedio del indicador de Autoestima Académica y Motivación, en el periodo 2014-2019, son: Tortel y O'Higgins con 57,2 y 56,5 puntos promedio, respectivamente."/>
    <s v="Mapa de calor"/>
    <s v="Región de Aysén calidad educación puntaje autoestima motivación escolar desarrollo personal indicador académica"/>
    <x v="606"/>
    <s v="100-C-11"/>
    <s v="#1774B9"/>
    <s v="990-0607"/>
    <n v="99200011"/>
    <s v="T-991"/>
    <s v="C-1019"/>
    <s v="FI-993"/>
    <s v="M-1084"/>
  </r>
  <r>
    <x v="607"/>
    <n v="990"/>
    <x v="0"/>
    <x v="1"/>
    <n v="12"/>
    <x v="40"/>
    <x v="1"/>
    <x v="1"/>
    <x v="12"/>
    <s v="Ninguno"/>
    <s v="Autoestima Académica y Motivación Escolar"/>
    <s v="Periodo 2014-2019"/>
    <s v="Puntaje"/>
    <s v="Agencia de Calidad de la Educación"/>
    <x v="607"/>
    <s v="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
    <s v="Mapa de calor"/>
    <s v="Región de Magallanes calidad educación puntaje autoestima motivación escolar desarrollo personal indicador académica"/>
    <x v="607"/>
    <s v="100-C-12"/>
    <s v="#1774B9"/>
    <s v="990-0608"/>
    <n v="99200012"/>
    <s v="T-991"/>
    <s v="C-1019"/>
    <s v="FI-993"/>
    <s v="M-1084"/>
  </r>
  <r>
    <x v="608"/>
    <n v="990"/>
    <x v="0"/>
    <x v="1"/>
    <n v="13"/>
    <x v="40"/>
    <x v="1"/>
    <x v="1"/>
    <x v="13"/>
    <s v="Ninguno"/>
    <s v="Autoestima Académica y Motivación Escolar"/>
    <s v="Periodo 2014-2019"/>
    <s v="Puntaje"/>
    <s v="Agencia de Calidad de la Educación"/>
    <x v="608"/>
    <s v="La comuna de San Pedro presenta el mayor puntaje promedio del indicador de Autoestima Académica y Motivación, en el periodo 2014-2019, con 58,1 puntos promedio. Por otro lado, la comuna de Tiltil presenta el menor puntaje promedio, con 50,4 puntos."/>
    <s v="Mapa de calor"/>
    <s v="Región Metropolitana calidad educación puntaje autoestima motivación escolar desarrollo personal indicador académica"/>
    <x v="608"/>
    <s v="200-C-13"/>
    <s v="#1774B9"/>
    <s v="990-0609"/>
    <n v="99200013"/>
    <s v="T-991"/>
    <s v="C-1019"/>
    <s v="FI-993"/>
    <s v="M-1084"/>
  </r>
  <r>
    <x v="609"/>
    <n v="990"/>
    <x v="0"/>
    <x v="1"/>
    <n v="14"/>
    <x v="40"/>
    <x v="1"/>
    <x v="1"/>
    <x v="14"/>
    <s v="Ninguno"/>
    <s v="Autoestima Académica y Motivación Escolar"/>
    <s v="Periodo 2014-2019"/>
    <s v="Puntaje"/>
    <s v="Agencia de Calidad de la Educación"/>
    <x v="609"/>
    <s v="Mapa de la distribución geográfica en la Región de Los Ríos del Indicador de Autoestima Académica y Motivación Escolar, Periodo 2014-2019. Datos de la Agencia de Calidad de la Educación."/>
    <s v="Mapa de calor"/>
    <s v="Región de Los Ríos calidad educación puntaje autoestima motivación escolar desarrollo personal indicador académica"/>
    <x v="609"/>
    <s v="100-C-14"/>
    <s v="#1774B9"/>
    <s v="990-0610"/>
    <n v="99200014"/>
    <s v="T-991"/>
    <s v="C-1019"/>
    <s v="FI-993"/>
    <s v="M-1084"/>
  </r>
  <r>
    <x v="610"/>
    <n v="990"/>
    <x v="0"/>
    <x v="1"/>
    <n v="15"/>
    <x v="40"/>
    <x v="1"/>
    <x v="1"/>
    <x v="15"/>
    <s v="Ninguno"/>
    <s v="Autoestima Académica y Motivación Escolar"/>
    <s v="Periodo 2014-2019"/>
    <s v="Puntaje"/>
    <s v="Agencia de Calidad de la Educación"/>
    <x v="610"/>
    <s v="La comuna de Arica presenta el mayor puntaje promedio del indicador de Autoestima Académica y Motivación en el periodo 2014-2019, con 55,5 puntos promedio. Por otro lado, la comuna de General Lagos presenta el menor puntaje promedio, con 25,9 puntos."/>
    <s v="Mapa de calor"/>
    <s v="Región de Arica y Parinacota calidad educación puntaje autoestima motivación escolar desarrollo personal indicador académica"/>
    <x v="610"/>
    <s v="100-C-15"/>
    <s v="#1774B9"/>
    <s v="990-0611"/>
    <n v="99200015"/>
    <s v="T-991"/>
    <s v="C-1019"/>
    <s v="FI-993"/>
    <s v="M-1084"/>
  </r>
  <r>
    <x v="611"/>
    <n v="990"/>
    <x v="0"/>
    <x v="1"/>
    <n v="16"/>
    <x v="40"/>
    <x v="1"/>
    <x v="1"/>
    <x v="16"/>
    <s v="Ninguno"/>
    <s v="Autoestima Académica y Motivación Escolar"/>
    <s v="Periodo 2014-2019"/>
    <s v="Puntaje"/>
    <s v="Agencia de Calidad de la Educación"/>
    <x v="611"/>
    <s v="La comuna de Ñiquén presenta el mayor puntaje promedio del indicador de Autoestima Académica y Motivación en el periodo 2014-2019, con 57,2 puntos promedio, seguido por la comuna de Quillón con 56,6 puntos."/>
    <s v="Mapa de calor"/>
    <s v="Región de Ñuble calidad educación puntaje autoestima motivación escolar desarrollo personal indicador académica"/>
    <x v="611"/>
    <s v="100-C-16"/>
    <s v="#1774B9"/>
    <s v="990-0612"/>
    <n v="99200016"/>
    <s v="T-991"/>
    <s v="C-1019"/>
    <s v="FI-993"/>
    <s v="M-1084"/>
  </r>
  <r>
    <x v="612"/>
    <n v="990"/>
    <x v="0"/>
    <x v="1"/>
    <n v="0"/>
    <x v="40"/>
    <x v="1"/>
    <x v="0"/>
    <x v="0"/>
    <s v="Región"/>
    <s v="Clima de Convivencia Escolar"/>
    <s v="Periodo 2014-2019"/>
    <s v="Puntaje"/>
    <s v="Agencia de Calidad de la Educación"/>
    <x v="612"/>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x v="612"/>
    <s v="300-R"/>
    <s v="#1774B9"/>
    <s v="990-0613"/>
    <n v="99100000"/>
    <s v="T-991"/>
    <s v="C-1019"/>
    <s v="FI-992"/>
    <s v="M-1085"/>
  </r>
  <r>
    <x v="613"/>
    <n v="990"/>
    <x v="0"/>
    <x v="1"/>
    <n v="1"/>
    <x v="40"/>
    <x v="1"/>
    <x v="1"/>
    <x v="1"/>
    <s v="Ninguno"/>
    <s v="Clima de Convivencia Escolar"/>
    <s v="Periodo 2014-2019"/>
    <s v="Puntaje"/>
    <s v="Agencia de Calidad de la Educación"/>
    <x v="613"/>
    <s v="En la región de Tarapacá, los colegios de Corporación de Administración Delegada obtienen el mayor puntaje en el Indicador de Clima de Convivencia Escolar, a nivel regional, el año 2019."/>
    <s v="Gráfico de Evolución"/>
    <s v="Región de Tarapacá calidad educación puntaje municipal subvencionado corporación particular convivencia escolar indicador"/>
    <x v="613"/>
    <s v="100-R-1"/>
    <s v="#1774B9"/>
    <s v="990-0614"/>
    <n v="99200001"/>
    <s v="T-991"/>
    <s v="C-1019"/>
    <s v="FI-993"/>
    <s v="M-1085"/>
  </r>
  <r>
    <x v="614"/>
    <n v="990"/>
    <x v="0"/>
    <x v="1"/>
    <n v="2"/>
    <x v="40"/>
    <x v="1"/>
    <x v="1"/>
    <x v="2"/>
    <s v="Ninguno"/>
    <s v="Clima de Convivencia Escolar"/>
    <s v="Periodo 2014-2019"/>
    <s v="Puntaje"/>
    <s v="Agencia de Calidad de la Educación"/>
    <x v="614"/>
    <s v="En la región de Antofagasta, los colegios Municipales presentan el mayor puntaje en el Indicador de Clima de Convivencia Escolar, a nivel regional, el año 2019."/>
    <s v="Gráfico de Evolución"/>
    <s v="Región de Antofagasta calidad educación puntaje municipal subvencionado corporación particular convivencia escolar indicador"/>
    <x v="614"/>
    <s v="100-R-2"/>
    <s v="#1774B9"/>
    <s v="990-0615"/>
    <n v="99200002"/>
    <s v="T-991"/>
    <s v="C-1019"/>
    <s v="FI-993"/>
    <s v="M-1085"/>
  </r>
  <r>
    <x v="615"/>
    <n v="990"/>
    <x v="0"/>
    <x v="1"/>
    <n v="3"/>
    <x v="40"/>
    <x v="1"/>
    <x v="1"/>
    <x v="3"/>
    <s v="Ninguno"/>
    <s v="Clima de Convivencia Escolar"/>
    <s v="Periodo 2014-2019"/>
    <s v="Puntaje"/>
    <s v="Agencia de Calidad de la Educación"/>
    <x v="615"/>
    <s v="Gráfico de la evolución del Indicador de Clima de Convivencia Escolar por Dependencia de Establecimientos en la Región de Atacama, para el periodo 2014-2019. Datos de la Agencia de Calidad de la Educación."/>
    <s v="Gráfico de Evolución"/>
    <s v="Región de Atacama calidad educación puntaje municipal subvencionado corporación particular convivencia escolar indicador"/>
    <x v="615"/>
    <s v="100-R-3"/>
    <s v="#1774B9"/>
    <s v="990-0616"/>
    <n v="99200003"/>
    <s v="T-991"/>
    <s v="C-1019"/>
    <s v="FI-993"/>
    <s v="M-1085"/>
  </r>
  <r>
    <x v="616"/>
    <n v="990"/>
    <x v="0"/>
    <x v="1"/>
    <n v="4"/>
    <x v="40"/>
    <x v="1"/>
    <x v="1"/>
    <x v="4"/>
    <s v="Ninguno"/>
    <s v="Clima de Convivencia Escolar"/>
    <s v="Periodo 2014-2019"/>
    <s v="Puntaje"/>
    <s v="Agencia de Calidad de la Educación"/>
    <x v="616"/>
    <s v="En la región de Coquimbo, entre los años 2014 y 2018, los colegios de Corporación de Administración Delegada obtienen el mejor puntaje del indicador de Clima de Convivencia Escolar."/>
    <s v="Gráfico de Evolución"/>
    <s v="Región de Coquimbo calidad educación puntaje municipal subvencionado corporación particular convivencia escolar indicador"/>
    <x v="616"/>
    <s v="100-R-4"/>
    <s v="#1774B9"/>
    <s v="990-0617"/>
    <n v="99200004"/>
    <s v="T-991"/>
    <s v="C-1019"/>
    <s v="FI-993"/>
    <s v="M-1085"/>
  </r>
  <r>
    <x v="617"/>
    <n v="990"/>
    <x v="0"/>
    <x v="1"/>
    <n v="5"/>
    <x v="40"/>
    <x v="1"/>
    <x v="1"/>
    <x v="5"/>
    <s v="Ninguno"/>
    <s v="Clima de Convivencia Escolar"/>
    <s v="Periodo 2014-2019"/>
    <s v="Puntaje"/>
    <s v="Agencia de Calidad de la Educación"/>
    <x v="617"/>
    <s v="En la región de Valparaíso, entre los años 2014 y 2018, los colegios de Corporación de Administración Delegada obtienen el mejor puntaje del indicador de Clima de Convivencia Escolar."/>
    <s v="Gráfico de Evolución"/>
    <s v="Región de Valparaíso calidad educación puntaje municipal subvencionado corporación particular convivencia escolar indicador"/>
    <x v="617"/>
    <s v="100-R-5"/>
    <s v="#1774B9"/>
    <s v="990-0618"/>
    <n v="99200005"/>
    <s v="T-991"/>
    <s v="C-1019"/>
    <s v="FI-993"/>
    <s v="M-1085"/>
  </r>
  <r>
    <x v="618"/>
    <n v="990"/>
    <x v="0"/>
    <x v="1"/>
    <n v="6"/>
    <x v="40"/>
    <x v="1"/>
    <x v="1"/>
    <x v="6"/>
    <s v="Ninguno"/>
    <s v="Clima de Convivencia Escolar"/>
    <s v="Periodo 2014-2019"/>
    <s v="Puntaje"/>
    <s v="Agencia de Calidad de la Educación"/>
    <x v="618"/>
    <s v="En la región de O'Higgins, los colegios Municipales obtienen el mayor puntaje en el Indicador de Clima de Convivencia Escolar, a nivel regional, el año 2019."/>
    <s v="Gráfico de Evolución"/>
    <s v="Región de O'Higgins calidad educación puntaje municipal subvencionado corporación particular convivencia escolar indicador"/>
    <x v="618"/>
    <s v="100-R-6"/>
    <s v="#1774B9"/>
    <s v="990-0619"/>
    <n v="99200006"/>
    <s v="T-991"/>
    <s v="C-1019"/>
    <s v="FI-993"/>
    <s v="M-1085"/>
  </r>
  <r>
    <x v="619"/>
    <n v="990"/>
    <x v="0"/>
    <x v="1"/>
    <n v="7"/>
    <x v="40"/>
    <x v="1"/>
    <x v="1"/>
    <x v="7"/>
    <s v="Ninguno"/>
    <s v="Clima de Convivencia Escolar"/>
    <s v="Periodo 2014-2019"/>
    <s v="Puntaje"/>
    <s v="Agencia de Calidad de la Educación"/>
    <x v="619"/>
    <s v="Gráfico de la evolución del Indicador de Clima de Convivencia Escolar por Dependencia de Establecimientos en la Región de Maule, para el periodo 2014-2019. Datos de la Agencia de Calidad de la Educación."/>
    <s v="Gráfico de Evolución"/>
    <s v="Región de Maule calidad educación puntaje municipal subvencionado corporación particular convivencia escolar indicador"/>
    <x v="619"/>
    <s v="100-R-7"/>
    <s v="#1774B9"/>
    <s v="990-0620"/>
    <n v="99200007"/>
    <s v="T-991"/>
    <s v="C-1019"/>
    <s v="FI-993"/>
    <s v="M-1085"/>
  </r>
  <r>
    <x v="620"/>
    <n v="990"/>
    <x v="0"/>
    <x v="1"/>
    <n v="8"/>
    <x v="40"/>
    <x v="1"/>
    <x v="1"/>
    <x v="8"/>
    <s v="Ninguno"/>
    <s v="Clima de Convivencia Escolar"/>
    <s v="Periodo 2014-2019"/>
    <s v="Puntaje"/>
    <s v="Agencia de Calidad de la Educación"/>
    <x v="620"/>
    <s v="En la región del Biobío, los colegios Subvencionados obtienen el mayor puntaje en el Indicador de Clima de Convivencia Escolar, a nivel regional, el año 2019."/>
    <s v="Gráfico de Evolución"/>
    <s v="Región del Biobío calidad educación puntaje municipal subvencionado corporación particular convivencia escolar indicador"/>
    <x v="620"/>
    <s v="100-R-8"/>
    <s v="#1774B9"/>
    <s v="990-0621"/>
    <n v="99200008"/>
    <s v="T-991"/>
    <s v="C-1019"/>
    <s v="FI-993"/>
    <s v="M-1085"/>
  </r>
  <r>
    <x v="621"/>
    <n v="990"/>
    <x v="0"/>
    <x v="1"/>
    <n v="9"/>
    <x v="40"/>
    <x v="1"/>
    <x v="1"/>
    <x v="9"/>
    <s v="Ninguno"/>
    <s v="Clima de Convivencia Escolar"/>
    <s v="Periodo 2014-2019"/>
    <s v="Puntaje"/>
    <s v="Agencia de Calidad de la Educación"/>
    <x v="621"/>
    <s v="Gráfico de la evolución del Indicador de Clima de Convivencia Escolar por Dependencia de Establecimientos en la Región de La Araucanía, para el periodo 2014-2019. Datos de la Agencia de Calidad de la Educación."/>
    <s v="Gráfico de Evolución"/>
    <s v="Región de La Araucanía calidad educación puntaje municipal subvencionado corporación particular convivencia escolar indicador"/>
    <x v="621"/>
    <s v="100-R-9"/>
    <s v="#1774B9"/>
    <s v="990-0622"/>
    <n v="99200009"/>
    <s v="T-991"/>
    <s v="C-1019"/>
    <s v="FI-993"/>
    <s v="M-1085"/>
  </r>
  <r>
    <x v="622"/>
    <n v="990"/>
    <x v="0"/>
    <x v="1"/>
    <n v="10"/>
    <x v="40"/>
    <x v="1"/>
    <x v="1"/>
    <x v="10"/>
    <s v="Ninguno"/>
    <s v="Clima de Convivencia Escolar"/>
    <s v="Periodo 2014-2019"/>
    <s v="Puntaje"/>
    <s v="Agencia de Calidad de la Educación"/>
    <x v="622"/>
    <s v="En la región de Los Lagos, entre los años 2014 y 2018, los colegios de Corporación de Administración Delegada obtienen el mejor puntaje del indicador de Clima de Convivencia Escolar."/>
    <s v="Gráfico de Evolución"/>
    <s v="Región de Los Lagos calidad educación puntaje municipal subvencionado corporación particular convivencia escolar indicador"/>
    <x v="622"/>
    <s v="100-R-10"/>
    <s v="#1774B9"/>
    <s v="990-0623"/>
    <n v="99200010"/>
    <s v="T-991"/>
    <s v="C-1019"/>
    <s v="FI-993"/>
    <s v="M-1085"/>
  </r>
  <r>
    <x v="623"/>
    <n v="990"/>
    <x v="0"/>
    <x v="1"/>
    <n v="11"/>
    <x v="40"/>
    <x v="1"/>
    <x v="1"/>
    <x v="11"/>
    <s v="Ninguno"/>
    <s v="Clima de Convivencia Escolar"/>
    <s v="Periodo 2014-2019"/>
    <s v="Puntaje"/>
    <s v="Agencia de Calidad de la Educación"/>
    <x v="623"/>
    <s v="En la región de Aysén, los colegios Municipales presentan el mayor puntaje en el Indicador de Clima de Convivencia Escolar, a nivel regional, el año 2019."/>
    <s v="Gráfico de Evolución"/>
    <s v="Región de Aysén calidad educación puntaje municipal subvencionado corporación particular convivencia escolar indicador"/>
    <x v="623"/>
    <s v="100-R-11"/>
    <s v="#1774B9"/>
    <s v="990-0624"/>
    <n v="99200011"/>
    <s v="T-991"/>
    <s v="C-1019"/>
    <s v="FI-993"/>
    <s v="M-1085"/>
  </r>
  <r>
    <x v="624"/>
    <n v="990"/>
    <x v="0"/>
    <x v="1"/>
    <n v="12"/>
    <x v="40"/>
    <x v="1"/>
    <x v="1"/>
    <x v="12"/>
    <s v="Ninguno"/>
    <s v="Clima de Convivencia Escolar"/>
    <s v="Periodo 2014-2019"/>
    <s v="Puntaje"/>
    <s v="Agencia de Calidad de la Educación"/>
    <x v="624"/>
    <s v="Gráfico de la evolución del Indicador de Clima de Convivencia Escolar por Dependencia de Establecimientos en la Región de Magallanes, para el periodo 2014-2019. Datos de la Agencia de Calidad de la Educación."/>
    <s v="Gráfico de Evolución"/>
    <s v="Región de Magallanes calidad educación puntaje municipal subvencionado corporación particular convivencia escolar indicador"/>
    <x v="624"/>
    <s v="100-R-12"/>
    <s v="#1774B9"/>
    <s v="990-0625"/>
    <n v="99200012"/>
    <s v="T-991"/>
    <s v="C-1019"/>
    <s v="FI-993"/>
    <s v="M-1085"/>
  </r>
  <r>
    <x v="625"/>
    <n v="990"/>
    <x v="0"/>
    <x v="1"/>
    <n v="13"/>
    <x v="40"/>
    <x v="1"/>
    <x v="1"/>
    <x v="13"/>
    <s v="Ninguno"/>
    <s v="Clima de Convivencia Escolar"/>
    <s v="Periodo 2014-2019"/>
    <s v="Puntaje"/>
    <s v="Agencia de Calidad de la Educación"/>
    <x v="625"/>
    <s v="En la región Metropolitana, entre los años 2016 al 2018, los colegios de Corporación de Administración Delegada obtienen el mejor puntaje del indicador de Clima de Convivencia Escolar."/>
    <s v="Gráfico de Evolución"/>
    <s v="Región Metropolitana calidad educación puntaje municipal subvencionado corporación particular convivencia escolar indicador"/>
    <x v="625"/>
    <s v="200-R-13"/>
    <s v="#1774B9"/>
    <s v="990-0626"/>
    <n v="99200013"/>
    <s v="T-991"/>
    <s v="C-1019"/>
    <s v="FI-993"/>
    <s v="M-1085"/>
  </r>
  <r>
    <x v="626"/>
    <n v="990"/>
    <x v="0"/>
    <x v="1"/>
    <n v="14"/>
    <x v="40"/>
    <x v="1"/>
    <x v="1"/>
    <x v="14"/>
    <s v="Ninguno"/>
    <s v="Clima de Convivencia Escolar"/>
    <s v="Periodo 2014-2019"/>
    <s v="Puntaje"/>
    <s v="Agencia de Calidad de la Educación"/>
    <x v="626"/>
    <s v="En la región de Los Ríos, los colegios Particulares obtienen el mayor puntaje en el Indicador de Clima de Convivencia Escolar, a nivel regional, el año 2019."/>
    <s v="Gráfico de Evolución"/>
    <s v="Región de Los Ríos calidad educación puntaje municipal subvencionado corporación particular convivencia escolar indicador"/>
    <x v="626"/>
    <s v="100-R-14"/>
    <s v="#1774B9"/>
    <s v="990-0627"/>
    <n v="99200014"/>
    <s v="T-991"/>
    <s v="C-1019"/>
    <s v="FI-993"/>
    <s v="M-1085"/>
  </r>
  <r>
    <x v="627"/>
    <n v="990"/>
    <x v="0"/>
    <x v="1"/>
    <n v="15"/>
    <x v="40"/>
    <x v="1"/>
    <x v="1"/>
    <x v="15"/>
    <s v="Ninguno"/>
    <s v="Clima de Convivencia Escolar"/>
    <s v="Periodo 2014-2019"/>
    <s v="Puntaje"/>
    <s v="Agencia de Calidad de la Educación"/>
    <x v="627"/>
    <s v="Gráfico de la evolución del Indicador de Clima de Convivencia Escolar por Dependencia de Establecimientos en la Región de Arica y Parinacota, para el periodo 2014-2019. Datos de la Agencia de Calidad de la Educación."/>
    <s v="Gráfico de Evolución"/>
    <s v="Región de Arica y Parinacota calidad educación puntaje municipal subvencionado corporación particular convivencia escolar indicador"/>
    <x v="627"/>
    <s v="100-R-15"/>
    <s v="#1774B9"/>
    <s v="990-0628"/>
    <n v="99200015"/>
    <s v="T-991"/>
    <s v="C-1019"/>
    <s v="FI-993"/>
    <s v="M-1085"/>
  </r>
  <r>
    <x v="628"/>
    <n v="990"/>
    <x v="0"/>
    <x v="1"/>
    <n v="16"/>
    <x v="40"/>
    <x v="1"/>
    <x v="1"/>
    <x v="16"/>
    <s v="Ninguno"/>
    <s v="Clima de Convivencia Escolar"/>
    <s v="Periodo 2014-2019"/>
    <s v="Puntaje"/>
    <s v="Agencia de Calidad de la Educación"/>
    <x v="628"/>
    <s v="En la región de Ñuble, los colegios Municipales obtienen el mayor puntaje en el Indicador de Clima de Convivencia Escolar, a nivel regional, el año 2019."/>
    <s v="Gráfico de Evolución"/>
    <s v="Región de Ñuble calidad educación puntaje municipal subvencionado corporación particular convivencia escolar indicador"/>
    <x v="628"/>
    <s v="100-R-16"/>
    <s v="#1774B9"/>
    <s v="990-0629"/>
    <n v="99200016"/>
    <s v="T-991"/>
    <s v="C-1019"/>
    <s v="FI-993"/>
    <s v="M-1085"/>
  </r>
  <r>
    <x v="629"/>
    <n v="990"/>
    <x v="0"/>
    <x v="8"/>
    <n v="0"/>
    <x v="41"/>
    <x v="22"/>
    <x v="0"/>
    <x v="0"/>
    <s v="Ninguno"/>
    <s v="Superficie de edificación autorizada en Chile"/>
    <s v="Periodo 2020-2021"/>
    <s v="m2"/>
    <s v="Instituto Nacional de Estadísticas (INE)"/>
    <x v="629"/>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x v="629"/>
    <n v="0"/>
    <s v="#1774B9"/>
    <s v="990-0630"/>
    <n v="99100000"/>
    <s v="T-1064"/>
    <s v="C-1011"/>
    <s v="FI-993"/>
    <s v="M-1055"/>
  </r>
  <r>
    <x v="630"/>
    <n v="990"/>
    <x v="0"/>
    <x v="9"/>
    <n v="0"/>
    <x v="42"/>
    <x v="12"/>
    <x v="0"/>
    <x v="0"/>
    <s v="Región"/>
    <s v="Cantidad de trabajadors dependientes informados"/>
    <s v="Año 2019"/>
    <s v="Personas"/>
    <s v="Servicio de Impuestos Internos (SII)"/>
    <x v="630"/>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x v="630"/>
    <s v="300-R"/>
    <s v="#1774B9"/>
    <s v="990-0631"/>
    <n v="99100000"/>
    <s v="T-1012"/>
    <s v="C-993"/>
    <s v="FI-992"/>
    <s v="M-1056"/>
  </r>
  <r>
    <x v="631"/>
    <n v="990"/>
    <x v="0"/>
    <x v="9"/>
    <n v="1"/>
    <x v="42"/>
    <x v="12"/>
    <x v="1"/>
    <x v="1"/>
    <s v="Ninguno"/>
    <s v="Cantidad de trabajadors dependientes informados"/>
    <s v="Año 2019"/>
    <s v="Personas"/>
    <s v="Servicio de Impuestos Internos (SII)"/>
    <x v="631"/>
    <s v="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Tarapacá trabajadores dependientes informados tramo empresas ventas anuales grande mediana pequeña micro mujeres sexo hombres género sii"/>
    <x v="631"/>
    <s v="100-R-1"/>
    <s v="#1774B9"/>
    <s v="990-0632"/>
    <n v="99200001"/>
    <s v="T-1012"/>
    <s v="C-993"/>
    <s v="FI-993"/>
    <s v="M-1056"/>
  </r>
  <r>
    <x v="632"/>
    <n v="990"/>
    <x v="0"/>
    <x v="9"/>
    <n v="2"/>
    <x v="42"/>
    <x v="12"/>
    <x v="1"/>
    <x v="2"/>
    <s v="Ninguno"/>
    <s v="Cantidad de trabajadors dependientes informados"/>
    <s v="Año 2019"/>
    <s v="Personas"/>
    <s v="Servicio de Impuestos Internos (SII)"/>
    <x v="632"/>
    <s v="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
    <s v="Gráfico"/>
    <s v="Región de Antofagasta trabajadores dependientes informados tramo empresas ventas anuales grande mediana pequeña micro mujeres sexo hombres género sii"/>
    <x v="632"/>
    <s v="100-R-2"/>
    <s v="#1774B9"/>
    <s v="990-0633"/>
    <n v="99200002"/>
    <s v="T-1012"/>
    <s v="C-993"/>
    <s v="FI-993"/>
    <s v="M-1056"/>
  </r>
  <r>
    <x v="633"/>
    <n v="990"/>
    <x v="0"/>
    <x v="9"/>
    <n v="3"/>
    <x v="42"/>
    <x v="12"/>
    <x v="1"/>
    <x v="3"/>
    <s v="Ninguno"/>
    <s v="Cantidad de trabajadors dependientes informados"/>
    <s v="Año 2019"/>
    <s v="Personas"/>
    <s v="Servicio de Impuestos Internos (SII)"/>
    <x v="633"/>
    <s v="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
    <s v="Gráfico"/>
    <s v="Región de Atacama trabajadores dependientes informados tramo empresas ventas anuales grande mediana pequeña micro mujeres sexo hombres género sii"/>
    <x v="633"/>
    <s v="100-R-3"/>
    <s v="#1774B9"/>
    <s v="990-0634"/>
    <n v="99200003"/>
    <s v="T-1012"/>
    <s v="C-993"/>
    <s v="FI-993"/>
    <s v="M-1056"/>
  </r>
  <r>
    <x v="634"/>
    <n v="990"/>
    <x v="0"/>
    <x v="9"/>
    <n v="4"/>
    <x v="42"/>
    <x v="12"/>
    <x v="1"/>
    <x v="4"/>
    <s v="Ninguno"/>
    <s v="Cantidad de trabajadors dependientes informados"/>
    <s v="Año 2019"/>
    <s v="Personas"/>
    <s v="Servicio de Impuestos Internos (SII)"/>
    <x v="634"/>
    <s v="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
    <s v="Gráfico"/>
    <s v="Región de Coquimbo trabajadores dependientes informados tramo empresas ventas anuales grande mediana pequeña micro mujeres sexo hombres género sii"/>
    <x v="634"/>
    <s v="100-R-4"/>
    <s v="#1774B9"/>
    <s v="990-0635"/>
    <n v="99200004"/>
    <s v="T-1012"/>
    <s v="C-993"/>
    <s v="FI-993"/>
    <s v="M-1056"/>
  </r>
  <r>
    <x v="635"/>
    <n v="990"/>
    <x v="0"/>
    <x v="9"/>
    <n v="5"/>
    <x v="42"/>
    <x v="12"/>
    <x v="1"/>
    <x v="5"/>
    <s v="Ninguno"/>
    <s v="Cantidad de trabajadors dependientes informados"/>
    <s v="Año 2019"/>
    <s v="Personas"/>
    <s v="Servicio de Impuestos Internos (SII)"/>
    <x v="635"/>
    <s v="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Valparaíso trabajadores dependientes informados tramo empresas ventas anuales grande mediana pequeña micro mujeres sexo hombres género sii"/>
    <x v="635"/>
    <s v="100-R-5"/>
    <s v="#1774B9"/>
    <s v="990-0636"/>
    <n v="99200005"/>
    <s v="T-1012"/>
    <s v="C-993"/>
    <s v="FI-993"/>
    <s v="M-1056"/>
  </r>
  <r>
    <x v="636"/>
    <n v="990"/>
    <x v="0"/>
    <x v="9"/>
    <n v="6"/>
    <x v="42"/>
    <x v="12"/>
    <x v="1"/>
    <x v="6"/>
    <s v="Ninguno"/>
    <s v="Cantidad de trabajadors dependientes informados"/>
    <s v="Año 2019"/>
    <s v="Personas"/>
    <s v="Servicio de Impuestos Internos (SII)"/>
    <x v="636"/>
    <s v="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
    <s v="Gráfico"/>
    <s v="Región de O'Higgins trabajadores dependientes informados tramo empresas ventas anuales grande mediana pequeña micro mujeres sexo hombres género sii"/>
    <x v="636"/>
    <s v="100-R-6"/>
    <s v="#1774B9"/>
    <s v="990-0637"/>
    <n v="99200006"/>
    <s v="T-1012"/>
    <s v="C-993"/>
    <s v="FI-993"/>
    <s v="M-1056"/>
  </r>
  <r>
    <x v="637"/>
    <n v="990"/>
    <x v="0"/>
    <x v="9"/>
    <n v="7"/>
    <x v="42"/>
    <x v="12"/>
    <x v="1"/>
    <x v="7"/>
    <s v="Ninguno"/>
    <s v="Cantidad de trabajadors dependientes informados"/>
    <s v="Año 2019"/>
    <s v="Personas"/>
    <s v="Servicio de Impuestos Internos (SII)"/>
    <x v="637"/>
    <s v="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
    <s v="Gráfico"/>
    <s v="Región de Maule trabajadores dependientes informados tramo empresas ventas anuales grande mediana pequeña micro mujeres sexo hombres género sii"/>
    <x v="637"/>
    <s v="100-R-7"/>
    <s v="#1774B9"/>
    <s v="990-0638"/>
    <n v="99200007"/>
    <s v="T-1012"/>
    <s v="C-993"/>
    <s v="FI-993"/>
    <s v="M-1056"/>
  </r>
  <r>
    <x v="638"/>
    <n v="990"/>
    <x v="0"/>
    <x v="9"/>
    <n v="8"/>
    <x v="42"/>
    <x v="12"/>
    <x v="1"/>
    <x v="8"/>
    <s v="Ninguno"/>
    <s v="Cantidad de trabajadors dependientes informados"/>
    <s v="Año 2019"/>
    <s v="Personas"/>
    <s v="Servicio de Impuestos Internos (SII)"/>
    <x v="638"/>
    <s v="Gráfico que muestra el número de trabajadores dependientes informados por género para cada tramo, según las ventas anuales en UF, en la región de Biobío, según datos entregados por el Servicio de Impuestos Internos (SII)."/>
    <s v="Gráfico"/>
    <s v="Región del Biobío trabajadores dependientes informados tramo empresas ventas anuales grande mediana pequeña micro mujeres sexo hombres género sii"/>
    <x v="638"/>
    <s v="100-R-8"/>
    <s v="#1774B9"/>
    <s v="990-0639"/>
    <n v="99200008"/>
    <s v="T-1012"/>
    <s v="C-993"/>
    <s v="FI-993"/>
    <s v="M-1056"/>
  </r>
  <r>
    <x v="639"/>
    <n v="990"/>
    <x v="0"/>
    <x v="9"/>
    <n v="9"/>
    <x v="42"/>
    <x v="12"/>
    <x v="1"/>
    <x v="9"/>
    <s v="Ninguno"/>
    <s v="Cantidad de trabajadors dependientes informados"/>
    <s v="Año 2019"/>
    <s v="Personas"/>
    <s v="Servicio de Impuestos Internos (SII)"/>
    <x v="639"/>
    <s v="Gráfico que muestra el número de trabajadores dependientes informados por género para cada tramo, según las ventas anuales en UF, en la región de La Araucanía, según datos entregados por el Servicio de Impuestos Internos (SII)."/>
    <s v="Gráfico"/>
    <s v="Región de La Araucanía trabajadores dependientes informados tramo empresas ventas anuales grande mediana pequeña micro mujeres sexo hombres género sii"/>
    <x v="639"/>
    <s v="100-R-9"/>
    <s v="#1774B9"/>
    <s v="990-0640"/>
    <n v="99200009"/>
    <s v="T-1012"/>
    <s v="C-993"/>
    <s v="FI-993"/>
    <s v="M-1056"/>
  </r>
  <r>
    <x v="640"/>
    <n v="990"/>
    <x v="0"/>
    <x v="9"/>
    <n v="10"/>
    <x v="42"/>
    <x v="12"/>
    <x v="1"/>
    <x v="10"/>
    <s v="Ninguno"/>
    <s v="Cantidad de trabajadors dependientes informados"/>
    <s v="Año 2019"/>
    <s v="Personas"/>
    <s v="Servicio de Impuestos Internos (SII)"/>
    <x v="640"/>
    <s v="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
    <s v="Gráfico"/>
    <s v="Región de Los Lagos trabajadores dependientes informados tramo empresas ventas anuales grande mediana pequeña micro mujeres sexo hombres género sii"/>
    <x v="640"/>
    <s v="100-R-10"/>
    <s v="#1774B9"/>
    <s v="990-0641"/>
    <n v="99200010"/>
    <s v="T-1012"/>
    <s v="C-993"/>
    <s v="FI-993"/>
    <s v="M-1056"/>
  </r>
  <r>
    <x v="641"/>
    <n v="990"/>
    <x v="0"/>
    <x v="9"/>
    <n v="11"/>
    <x v="42"/>
    <x v="12"/>
    <x v="1"/>
    <x v="11"/>
    <s v="Ninguno"/>
    <s v="Cantidad de trabajadors dependientes informados"/>
    <s v="Año 2019"/>
    <s v="Personas"/>
    <s v="Servicio de Impuestos Internos (SII)"/>
    <x v="641"/>
    <s v="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
    <s v="Gráfico"/>
    <s v="Región de Aysén trabajadores dependientes informados tramo empresas ventas anuales grande mediana pequeña micro mujeres sexo hombres género sii"/>
    <x v="641"/>
    <s v="100-R-11"/>
    <s v="#1774B9"/>
    <s v="990-0642"/>
    <n v="99200011"/>
    <s v="T-1012"/>
    <s v="C-993"/>
    <s v="FI-993"/>
    <s v="M-1056"/>
  </r>
  <r>
    <x v="642"/>
    <n v="990"/>
    <x v="0"/>
    <x v="9"/>
    <n v="12"/>
    <x v="42"/>
    <x v="12"/>
    <x v="1"/>
    <x v="12"/>
    <s v="Ninguno"/>
    <s v="Cantidad de trabajadors dependientes informados"/>
    <s v="Año 2019"/>
    <s v="Personas"/>
    <s v="Servicio de Impuestos Internos (SII)"/>
    <x v="642"/>
    <s v="Gráfico que muestra el número de trabajadores dependientes informados por género para cada tramo, según las ventas anuales en UF, en la región de Magallanes, según datos entregados por el Servicio de Impuestos Internos (SII)."/>
    <s v="Gráfico"/>
    <s v="Región de Magallanes trabajadores dependientes informados tramo empresas ventas anuales grande mediana pequeña micro mujeres sexo hombres género sii"/>
    <x v="642"/>
    <s v="100-R-12"/>
    <s v="#1774B9"/>
    <s v="990-0643"/>
    <n v="99200012"/>
    <s v="T-1012"/>
    <s v="C-993"/>
    <s v="FI-993"/>
    <s v="M-1056"/>
  </r>
  <r>
    <x v="643"/>
    <n v="990"/>
    <x v="0"/>
    <x v="9"/>
    <n v="13"/>
    <x v="42"/>
    <x v="12"/>
    <x v="1"/>
    <x v="13"/>
    <s v="Ninguno"/>
    <s v="Cantidad de trabajadors dependientes informados"/>
    <s v="Año 2019"/>
    <s v="Personas"/>
    <s v="Servicio de Impuestos Internos (SII)"/>
    <x v="643"/>
    <s v="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
    <s v="Gráfico"/>
    <s v="Región Metropolitana trabajadores dependientes informados tramo empresas ventas anuales grande mediana pequeña micro mujeres sexo hombres género sii"/>
    <x v="643"/>
    <s v="200-R-13"/>
    <s v="#1774B9"/>
    <s v="990-0644"/>
    <n v="99200013"/>
    <s v="T-1012"/>
    <s v="C-993"/>
    <s v="FI-993"/>
    <s v="M-1056"/>
  </r>
  <r>
    <x v="644"/>
    <n v="990"/>
    <x v="0"/>
    <x v="9"/>
    <n v="14"/>
    <x v="42"/>
    <x v="12"/>
    <x v="1"/>
    <x v="14"/>
    <s v="Ninguno"/>
    <s v="Cantidad de trabajadors dependientes informados"/>
    <s v="Año 2019"/>
    <s v="Personas"/>
    <s v="Servicio de Impuestos Internos (SII)"/>
    <x v="644"/>
    <s v="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
    <s v="Gráfico"/>
    <s v="Región de Los Ríos trabajadores dependientes informados tramo empresas ventas anuales grande mediana pequeña micro mujeres sexo hombres género sii"/>
    <x v="644"/>
    <s v="100-R-14"/>
    <s v="#1774B9"/>
    <s v="990-0645"/>
    <n v="99200014"/>
    <s v="T-1012"/>
    <s v="C-993"/>
    <s v="FI-993"/>
    <s v="M-1056"/>
  </r>
  <r>
    <x v="645"/>
    <n v="990"/>
    <x v="0"/>
    <x v="9"/>
    <n v="15"/>
    <x v="42"/>
    <x v="12"/>
    <x v="1"/>
    <x v="15"/>
    <s v="Ninguno"/>
    <s v="Cantidad de trabajadors dependientes informados"/>
    <s v="Año 2019"/>
    <s v="Personas"/>
    <s v="Servicio de Impuestos Internos (SII)"/>
    <x v="645"/>
    <s v="Gráfico que muestra el número de trabajadores dependientes informados por género para cada tramo, según las ventas anuales en UF, en la región de Arica y Parinacota, según datos entregados por el Servicio de Impuestos Internos (SII)."/>
    <s v="Gráfico"/>
    <s v="Región de Arica y Parinacota trabajadores dependientes informados tramo empresas ventas anuales grande mediana pequeña micro mujeres sexo hombres género sii"/>
    <x v="645"/>
    <s v="100-R-15"/>
    <s v="#1774B9"/>
    <s v="990-0646"/>
    <n v="99200015"/>
    <s v="T-1012"/>
    <s v="C-993"/>
    <s v="FI-993"/>
    <s v="M-1056"/>
  </r>
  <r>
    <x v="646"/>
    <n v="990"/>
    <x v="0"/>
    <x v="9"/>
    <n v="16"/>
    <x v="42"/>
    <x v="12"/>
    <x v="1"/>
    <x v="16"/>
    <s v="Ninguno"/>
    <s v="Cantidad de trabajadors dependientes informados"/>
    <s v="Año 2019"/>
    <s v="Personas"/>
    <s v="Servicio de Impuestos Internos (SII)"/>
    <x v="646"/>
    <s v="Gráfico que muestra el número de trabajadores dependientes informados por género para cada tramo, según las ventas anuales en UF, en la región de Ñuble, según datos entregados por el Servicio de Impuestos Internos (SII)."/>
    <s v="Gráfico"/>
    <s v="Región de Ñuble trabajadores dependientes informados tramo empresas ventas anuales grande mediana pequeña micro mujeres sexo hombres género sii"/>
    <x v="646"/>
    <s v="100-R-16"/>
    <s v="#1774B9"/>
    <s v="990-0647"/>
    <n v="99200016"/>
    <s v="T-1012"/>
    <s v="C-993"/>
    <s v="FI-993"/>
    <s v="M-1056"/>
  </r>
  <r>
    <x v="647"/>
    <n v="990"/>
    <x v="0"/>
    <x v="9"/>
    <n v="0"/>
    <x v="43"/>
    <x v="12"/>
    <x v="0"/>
    <x v="0"/>
    <s v="Región"/>
    <s v="Renta neta informada"/>
    <s v="Periodo 2005-2019"/>
    <s v="CLP"/>
    <s v="Servicio de Impuestos Internos (SII)"/>
    <x v="647"/>
    <s v="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Chile regional trabajadoras mujeres renta neta informada sii tamaño empresa micro"/>
    <x v="647"/>
    <s v="300-R"/>
    <s v="#1774B9"/>
    <s v="990-0648"/>
    <n v="99100000"/>
    <s v="T-1013"/>
    <s v="C-993"/>
    <s v="FI-992"/>
    <s v="M-1057"/>
  </r>
  <r>
    <x v="648"/>
    <n v="990"/>
    <x v="0"/>
    <x v="9"/>
    <n v="1"/>
    <x v="43"/>
    <x v="12"/>
    <x v="1"/>
    <x v="1"/>
    <s v="Ninguno"/>
    <s v="Renta neta informada"/>
    <s v="Periodo 2005-2019"/>
    <s v="CLP"/>
    <s v="Servicio de Impuestos Internos (SII)"/>
    <x v="648"/>
    <s v="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
    <s v="Gráfico de Evolución"/>
    <s v="Región de Tarapacá regional trabajadoras mujeres renta neta informada sii tamaño empresa micro"/>
    <x v="648"/>
    <s v="100-R-1"/>
    <s v="#1774B9"/>
    <s v="990-0649"/>
    <n v="99200001"/>
    <s v="T-1013"/>
    <s v="C-993"/>
    <s v="FI-993"/>
    <s v="M-1057"/>
  </r>
  <r>
    <x v="649"/>
    <n v="990"/>
    <x v="0"/>
    <x v="9"/>
    <n v="2"/>
    <x v="43"/>
    <x v="12"/>
    <x v="1"/>
    <x v="2"/>
    <s v="Ninguno"/>
    <s v="Renta neta informada"/>
    <s v="Periodo 2005-2019"/>
    <s v="CLP"/>
    <s v="Servicio de Impuestos Internos (SII)"/>
    <x v="649"/>
    <s v="Gráfico que muestra la evolución de la renta neta informada de trabajadoras, por tramo de empresas, a nivel regional, en el periodo 2005-2019, según datos del Servicio de Impuestos Internos (SII)."/>
    <s v="Gráfico de Evolución"/>
    <s v="Región de Antofagasta regional trabajadoras mujeres renta neta informada sii tamaño empresa micro"/>
    <x v="649"/>
    <s v="100-R-2"/>
    <s v="#1774B9"/>
    <s v="990-0650"/>
    <n v="99200002"/>
    <s v="T-1013"/>
    <s v="C-993"/>
    <s v="FI-993"/>
    <s v="M-1057"/>
  </r>
  <r>
    <x v="650"/>
    <n v="990"/>
    <x v="0"/>
    <x v="9"/>
    <n v="3"/>
    <x v="43"/>
    <x v="12"/>
    <x v="1"/>
    <x v="3"/>
    <s v="Ninguno"/>
    <s v="Renta neta informada"/>
    <s v="Periodo 2005-2019"/>
    <s v="CLP"/>
    <s v="Servicio de Impuestos Internos (SII)"/>
    <x v="650"/>
    <s v="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
    <s v="Gráfico de Evolución"/>
    <s v="Región de Atacama regional trabajadoras mujeres renta neta informada sii tamaño empresa micro"/>
    <x v="650"/>
    <s v="100-R-3"/>
    <s v="#1774B9"/>
    <s v="990-0651"/>
    <n v="99200003"/>
    <s v="T-1013"/>
    <s v="C-993"/>
    <s v="FI-993"/>
    <s v="M-1057"/>
  </r>
  <r>
    <x v="651"/>
    <n v="990"/>
    <x v="0"/>
    <x v="9"/>
    <n v="4"/>
    <x v="43"/>
    <x v="12"/>
    <x v="1"/>
    <x v="4"/>
    <s v="Ninguno"/>
    <s v="Renta neta informada"/>
    <s v="Periodo 2005-2019"/>
    <s v="CLP"/>
    <s v="Servicio de Impuestos Internos (SII)"/>
    <x v="651"/>
    <s v="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x v="651"/>
    <s v="100-R-4"/>
    <s v="#1774B9"/>
    <s v="990-0652"/>
    <n v="99200004"/>
    <s v="T-1013"/>
    <s v="C-993"/>
    <s v="FI-993"/>
    <s v="M-1057"/>
  </r>
  <r>
    <x v="652"/>
    <n v="990"/>
    <x v="0"/>
    <x v="9"/>
    <n v="5"/>
    <x v="43"/>
    <x v="12"/>
    <x v="1"/>
    <x v="5"/>
    <s v="Ninguno"/>
    <s v="Renta neta informada"/>
    <s v="Periodo 2005-2019"/>
    <s v="CLP"/>
    <s v="Servicio de Impuestos Internos (SII)"/>
    <x v="652"/>
    <s v="Gráfico que muestra la evolución de la renta neta informada de trabajadoras, por tramo de empresas, a nivel regional, en el periodo 2005-2019, según datos del Servicio de Impuestos Internos (SII)."/>
    <s v="Gráfico de Evolución"/>
    <s v="Región de Valparaíso regional trabajadoras mujeres renta neta informada sii tamaño empresa micro"/>
    <x v="652"/>
    <s v="100-R-5"/>
    <s v="#1774B9"/>
    <s v="990-0653"/>
    <n v="99200005"/>
    <s v="T-1013"/>
    <s v="C-993"/>
    <s v="FI-993"/>
    <s v="M-1057"/>
  </r>
  <r>
    <x v="653"/>
    <n v="990"/>
    <x v="0"/>
    <x v="9"/>
    <n v="6"/>
    <x v="43"/>
    <x v="12"/>
    <x v="1"/>
    <x v="6"/>
    <s v="Ninguno"/>
    <s v="Renta neta informada"/>
    <s v="Periodo 2005-2019"/>
    <s v="CLP"/>
    <s v="Servicio de Impuestos Internos (SII)"/>
    <x v="653"/>
    <s v="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
    <s v="Gráfico de Evolución"/>
    <s v="Región de O'Higgins regional trabajadoras mujeres renta neta informada sii tamaño empresa micro"/>
    <x v="653"/>
    <s v="100-R-6"/>
    <s v="#1774B9"/>
    <s v="990-0654"/>
    <n v="99200006"/>
    <s v="T-1013"/>
    <s v="C-993"/>
    <s v="FI-993"/>
    <s v="M-1057"/>
  </r>
  <r>
    <x v="654"/>
    <n v="990"/>
    <x v="0"/>
    <x v="9"/>
    <n v="7"/>
    <x v="43"/>
    <x v="12"/>
    <x v="1"/>
    <x v="7"/>
    <s v="Ninguno"/>
    <s v="Renta neta informada"/>
    <s v="Periodo 2005-2019"/>
    <s v="CLP"/>
    <s v="Servicio de Impuestos Internos (SII)"/>
    <x v="654"/>
    <s v="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
    <s v="Gráfico de Evolución"/>
    <s v="Región de Maule regional trabajadoras mujeres renta neta informada sii tamaño empresa micro"/>
    <x v="654"/>
    <s v="100-R-7"/>
    <s v="#1774B9"/>
    <s v="990-0655"/>
    <n v="99200007"/>
    <s v="T-1013"/>
    <s v="C-993"/>
    <s v="FI-993"/>
    <s v="M-1057"/>
  </r>
  <r>
    <x v="655"/>
    <n v="990"/>
    <x v="0"/>
    <x v="9"/>
    <n v="8"/>
    <x v="43"/>
    <x v="12"/>
    <x v="1"/>
    <x v="8"/>
    <s v="Ninguno"/>
    <s v="Renta neta informada"/>
    <s v="Periodo 2005-2019"/>
    <s v="CLP"/>
    <s v="Servicio de Impuestos Internos (SII)"/>
    <x v="655"/>
    <s v="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
    <s v="Gráfico de Evolución"/>
    <s v="Región del Biobío regional trabajadoras mujeres renta neta informada sii tamaño empresa micro"/>
    <x v="655"/>
    <s v="100-R-8"/>
    <s v="#1774B9"/>
    <s v="990-0656"/>
    <n v="99200008"/>
    <s v="T-1013"/>
    <s v="C-993"/>
    <s v="FI-993"/>
    <s v="M-1057"/>
  </r>
  <r>
    <x v="656"/>
    <n v="990"/>
    <x v="0"/>
    <x v="9"/>
    <n v="9"/>
    <x v="43"/>
    <x v="12"/>
    <x v="1"/>
    <x v="9"/>
    <s v="Ninguno"/>
    <s v="Renta neta informada"/>
    <s v="Periodo 2005-2019"/>
    <s v="CLP"/>
    <s v="Servicio de Impuestos Internos (SII)"/>
    <x v="656"/>
    <s v="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
    <s v="Gráfico de Evolución"/>
    <s v="Región de La Araucanía regional trabajadoras mujeres renta neta informada sii tamaño empresa micro"/>
    <x v="656"/>
    <s v="100-R-9"/>
    <s v="#1774B9"/>
    <s v="990-0657"/>
    <n v="99200009"/>
    <s v="T-1013"/>
    <s v="C-993"/>
    <s v="FI-993"/>
    <s v="M-1057"/>
  </r>
  <r>
    <x v="657"/>
    <n v="990"/>
    <x v="0"/>
    <x v="9"/>
    <n v="10"/>
    <x v="43"/>
    <x v="12"/>
    <x v="1"/>
    <x v="10"/>
    <s v="Ninguno"/>
    <s v="Renta neta informada"/>
    <s v="Periodo 2005-2019"/>
    <s v="CLP"/>
    <s v="Servicio de Impuestos Internos (SII)"/>
    <x v="657"/>
    <s v="Gráfico que muestra la evolución de la renta neta informada de trabajadoras, por tramo de empresas, a nivel regional, en el periodo 2005-2019, según datos del Servicio de Impuestos Internos (SII)."/>
    <s v="Gráfico de Evolución"/>
    <s v="Región de Los Lagos regional trabajadoras mujeres renta neta informada sii tamaño empresa micro"/>
    <x v="657"/>
    <s v="100-R-10"/>
    <s v="#1774B9"/>
    <s v="990-0658"/>
    <n v="99200010"/>
    <s v="T-1013"/>
    <s v="C-993"/>
    <s v="FI-993"/>
    <s v="M-1057"/>
  </r>
  <r>
    <x v="658"/>
    <n v="990"/>
    <x v="0"/>
    <x v="9"/>
    <n v="11"/>
    <x v="43"/>
    <x v="12"/>
    <x v="1"/>
    <x v="11"/>
    <s v="Ninguno"/>
    <s v="Renta neta informada"/>
    <s v="Periodo 2005-2019"/>
    <s v="CLP"/>
    <s v="Servicio de Impuestos Internos (SII)"/>
    <x v="658"/>
    <s v="Gráfico que muestra la evolución de la renta neta informada de trabajadoras, por tramo de empresas, a nivel regional, en el periodo 2005-2019, según datos del Servicio de Impuestos Internos (SII)."/>
    <s v="Gráfico de Evolución"/>
    <s v="Región de Aysén regional trabajadoras mujeres renta neta informada sii tamaño empresa micro"/>
    <x v="658"/>
    <s v="100-R-11"/>
    <s v="#1774B9"/>
    <s v="990-0659"/>
    <n v="99200011"/>
    <s v="T-1013"/>
    <s v="C-993"/>
    <s v="FI-993"/>
    <s v="M-1057"/>
  </r>
  <r>
    <x v="659"/>
    <n v="990"/>
    <x v="0"/>
    <x v="9"/>
    <n v="12"/>
    <x v="43"/>
    <x v="12"/>
    <x v="1"/>
    <x v="12"/>
    <s v="Ninguno"/>
    <s v="Renta neta informada"/>
    <s v="Periodo 2005-2019"/>
    <s v="CLP"/>
    <s v="Servicio de Impuestos Internos (SII)"/>
    <x v="659"/>
    <s v="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
    <s v="Gráfico de Evolución"/>
    <s v="Región de Magallanes regional trabajadoras mujeres renta neta informada sii tamaño empresa micro"/>
    <x v="659"/>
    <s v="100-R-12"/>
    <s v="#1774B9"/>
    <s v="990-0660"/>
    <n v="99200012"/>
    <s v="T-1013"/>
    <s v="C-993"/>
    <s v="FI-993"/>
    <s v="M-1057"/>
  </r>
  <r>
    <x v="660"/>
    <n v="990"/>
    <x v="0"/>
    <x v="9"/>
    <n v="13"/>
    <x v="43"/>
    <x v="12"/>
    <x v="1"/>
    <x v="13"/>
    <s v="Ninguno"/>
    <s v="Renta neta informada"/>
    <s v="Periodo 2005-2019"/>
    <s v="CLP"/>
    <s v="Servicio de Impuestos Internos (SII)"/>
    <x v="660"/>
    <s v="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Región Metropolitana regional trabajadoras mujeres renta neta informada sii tamaño empresa micro"/>
    <x v="660"/>
    <s v="200-R-13"/>
    <s v="#1774B9"/>
    <s v="990-0661"/>
    <n v="99200013"/>
    <s v="T-1013"/>
    <s v="C-993"/>
    <s v="FI-993"/>
    <s v="M-1057"/>
  </r>
  <r>
    <x v="661"/>
    <n v="990"/>
    <x v="0"/>
    <x v="9"/>
    <n v="14"/>
    <x v="43"/>
    <x v="12"/>
    <x v="1"/>
    <x v="14"/>
    <s v="Ninguno"/>
    <s v="Renta neta informada"/>
    <s v="Periodo 2005-2019"/>
    <s v="CLP"/>
    <s v="Servicio de Impuestos Internos (SII)"/>
    <x v="661"/>
    <s v="Gráfico que muestra la evolución de la renta neta informada de trabajadoras, por tramo de empresas, a nivel regional, en el periodo 2005-2019, según datos del Servicio de Impuestos Internos (SII)."/>
    <s v="Gráfico de Evolución"/>
    <s v="Región de Los Ríos regional trabajadoras mujeres renta neta informada sii tamaño empresa micro"/>
    <x v="661"/>
    <s v="100-R-14"/>
    <s v="#1774B9"/>
    <s v="990-0662"/>
    <n v="99200014"/>
    <s v="T-1013"/>
    <s v="C-993"/>
    <s v="FI-993"/>
    <s v="M-1057"/>
  </r>
  <r>
    <x v="662"/>
    <n v="990"/>
    <x v="0"/>
    <x v="9"/>
    <n v="15"/>
    <x v="43"/>
    <x v="12"/>
    <x v="1"/>
    <x v="15"/>
    <s v="Ninguno"/>
    <s v="Renta neta informada"/>
    <s v="Periodo 2005-2019"/>
    <s v="CLP"/>
    <s v="Servicio de Impuestos Internos (SII)"/>
    <x v="662"/>
    <s v="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
    <s v="Gráfico de Evolución"/>
    <s v="Región de Arica y Parinacota regional trabajadoras mujeres renta neta informada sii tamaño empresa micro"/>
    <x v="662"/>
    <s v="100-R-15"/>
    <s v="#1774B9"/>
    <s v="990-0663"/>
    <n v="99200015"/>
    <s v="T-1013"/>
    <s v="C-993"/>
    <s v="FI-993"/>
    <s v="M-1057"/>
  </r>
  <r>
    <x v="663"/>
    <n v="990"/>
    <x v="0"/>
    <x v="9"/>
    <n v="16"/>
    <x v="43"/>
    <x v="12"/>
    <x v="1"/>
    <x v="16"/>
    <s v="Ninguno"/>
    <s v="Renta neta informada"/>
    <s v="Periodo 2005-2019"/>
    <s v="CLP"/>
    <s v="Servicio de Impuestos Internos (SII)"/>
    <x v="663"/>
    <s v="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
    <s v="Gráfico de Evolución"/>
    <s v="Región de Ñuble regional trabajadoras mujeres renta neta informada sii tamaño empresa micro"/>
    <x v="663"/>
    <s v="100-R-16"/>
    <s v="#1774B9"/>
    <s v="990-0664"/>
    <n v="99200016"/>
    <s v="T-1013"/>
    <s v="C-993"/>
    <s v="FI-993"/>
    <s v="M-1057"/>
  </r>
  <r>
    <x v="664"/>
    <n v="990"/>
    <x v="0"/>
    <x v="9"/>
    <n v="0"/>
    <x v="44"/>
    <x v="12"/>
    <x v="0"/>
    <x v="0"/>
    <s v="Región"/>
    <s v="Cantidad de empresas por tamaño"/>
    <s v="Periodo 2005-2019"/>
    <s v="Número de empresas"/>
    <s v="Servicio de Impuestos Internos (SII)"/>
    <x v="664"/>
    <s v="A nivel nacional se observa un crecimiento en los últimos años, en el número de empresas por tamaño según ventas en Chile, en el periodo 2005-2019, destacando el año 2019 con el mayor crecimiento."/>
    <s v="Gráfico de Evolución"/>
    <s v="Chile empresas regional tramos ventas uf micro mediana grande sii"/>
    <x v="664"/>
    <s v="300-R"/>
    <s v="#1774B9"/>
    <s v="990-0665"/>
    <n v="99100000"/>
    <s v="T-1014"/>
    <s v="C-993"/>
    <s v="FI-992"/>
    <s v="M-1058"/>
  </r>
  <r>
    <x v="665"/>
    <n v="990"/>
    <x v="0"/>
    <x v="9"/>
    <n v="1"/>
    <x v="44"/>
    <x v="12"/>
    <x v="1"/>
    <x v="1"/>
    <s v="Ninguno"/>
    <s v="Cantidad de empresas por tamaño"/>
    <s v="Periodo 2005-2019"/>
    <s v="Número de empresas"/>
    <s v="Servicio de Impuestos Internos (SII)"/>
    <x v="665"/>
    <s v="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
    <s v="Gráfico de Evolución"/>
    <s v="Región de Tarapacá empresas regional tramos ventas uf micro mediana grande sii"/>
    <x v="665"/>
    <s v="100-R-1"/>
    <s v="#1774B9"/>
    <s v="990-0666"/>
    <n v="99200001"/>
    <s v="T-1014"/>
    <s v="C-993"/>
    <s v="FI-993"/>
    <s v="M-1058"/>
  </r>
  <r>
    <x v="666"/>
    <n v="990"/>
    <x v="0"/>
    <x v="9"/>
    <n v="2"/>
    <x v="44"/>
    <x v="12"/>
    <x v="1"/>
    <x v="2"/>
    <s v="Ninguno"/>
    <s v="Cantidad de empresas por tamaño"/>
    <s v="Periodo 2005-2019"/>
    <s v="Número de empresas"/>
    <s v="Servicio de Impuestos Internos (SII)"/>
    <x v="666"/>
    <s v="Gráfico que muestra la evolución del número de empresas por tamaño, según ventas en la región de Antofagasta, en el periodo 2005-2019, según información entregada por el Servicio de Impuestos Internos (SII)."/>
    <s v="Gráfico de Evolución"/>
    <s v="Región de Antofagasta empresas regional tramos ventas uf micro mediana grande sii"/>
    <x v="666"/>
    <s v="100-R-2"/>
    <s v="#1774B9"/>
    <s v="990-0667"/>
    <n v="99200002"/>
    <s v="T-1014"/>
    <s v="C-993"/>
    <s v="FI-993"/>
    <s v="M-1058"/>
  </r>
  <r>
    <x v="667"/>
    <n v="990"/>
    <x v="0"/>
    <x v="9"/>
    <n v="3"/>
    <x v="44"/>
    <x v="12"/>
    <x v="1"/>
    <x v="3"/>
    <s v="Ninguno"/>
    <s v="Cantidad de empresas por tamaño"/>
    <s v="Periodo 2005-2019"/>
    <s v="Número de empresas"/>
    <s v="Servicio de Impuestos Internos (SII)"/>
    <x v="667"/>
    <s v="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
    <s v="Gráfico de Evolución"/>
    <s v="Región de Atacama empresas regional tramos ventas uf micro mediana grande sii"/>
    <x v="667"/>
    <s v="100-R-3"/>
    <s v="#1774B9"/>
    <s v="990-0668"/>
    <n v="99200003"/>
    <s v="T-1014"/>
    <s v="C-993"/>
    <s v="FI-993"/>
    <s v="M-1058"/>
  </r>
  <r>
    <x v="668"/>
    <n v="990"/>
    <x v="0"/>
    <x v="9"/>
    <n v="4"/>
    <x v="44"/>
    <x v="12"/>
    <x v="1"/>
    <x v="4"/>
    <s v="Ninguno"/>
    <s v="Cantidad de empresas por tamaño"/>
    <s v="Periodo 2005-2019"/>
    <s v="Número de empresas"/>
    <s v="Servicio de Impuestos Internos (SII)"/>
    <x v="668"/>
    <s v="El número de empresas aumentó sostenidamente durante los años comprendidos en el periodo 2005-2019, en la región de Coquimbo. Las empresas correspondientes al tramo Sin Ventas, presentan el mayor crecimiento durante todo este periodo, seguido por los tramos Micro 3 y Micro 1."/>
    <s v="Gráfico de Evolución"/>
    <s v="Región de Coquimbo empresas regional tramos ventas uf micro mediana grande sii"/>
    <x v="668"/>
    <s v="100-R-4"/>
    <s v="#1774B9"/>
    <s v="990-0669"/>
    <n v="99200004"/>
    <s v="T-1014"/>
    <s v="C-993"/>
    <s v="FI-993"/>
    <s v="M-1058"/>
  </r>
  <r>
    <x v="669"/>
    <n v="990"/>
    <x v="0"/>
    <x v="9"/>
    <n v="5"/>
    <x v="44"/>
    <x v="12"/>
    <x v="1"/>
    <x v="5"/>
    <s v="Ninguno"/>
    <s v="Cantidad de empresas por tamaño"/>
    <s v="Periodo 2005-2019"/>
    <s v="Número de empresas"/>
    <s v="Servicio de Impuestos Internos (SII)"/>
    <x v="669"/>
    <s v="Gráfico que muestra la evolución del número de empresas por tamaño, según ventas en la región de Valparaíso, en el periodo 2005-2019, según información entregada por el Servicio de Impuestos Internos (SII)."/>
    <s v="Gráfico de Evolución"/>
    <s v="Región de Valparaíso empresas regional tramos ventas uf micro mediana grande sii"/>
    <x v="669"/>
    <s v="100-R-5"/>
    <s v="#1774B9"/>
    <s v="990-0670"/>
    <n v="99200005"/>
    <s v="T-1014"/>
    <s v="C-993"/>
    <s v="FI-993"/>
    <s v="M-1058"/>
  </r>
  <r>
    <x v="670"/>
    <n v="990"/>
    <x v="0"/>
    <x v="9"/>
    <n v="6"/>
    <x v="44"/>
    <x v="12"/>
    <x v="1"/>
    <x v="6"/>
    <s v="Ninguno"/>
    <s v="Cantidad de empresas por tamaño"/>
    <s v="Periodo 2005-2019"/>
    <s v="Número de empresas"/>
    <s v="Servicio de Impuestos Internos (SII)"/>
    <x v="670"/>
    <s v="El número de empresas aumentó sostenidamente durante los años comprendidos en el periodo 2005-2019, en la región de O'Higgins. En el año 2019 las empresas correspondientes al tramo Sin Ventas, presentan el mayor crecimiento, seguido por los tramos Micro 1 y Micro 3."/>
    <s v="Gráfico de Evolución"/>
    <s v="Región de O'Higgins empresas regional tramos ventas uf micro mediana grande sii"/>
    <x v="670"/>
    <s v="100-R-6"/>
    <s v="#1774B9"/>
    <s v="990-0671"/>
    <n v="99200006"/>
    <s v="T-1014"/>
    <s v="C-993"/>
    <s v="FI-993"/>
    <s v="M-1058"/>
  </r>
  <r>
    <x v="671"/>
    <n v="990"/>
    <x v="0"/>
    <x v="9"/>
    <n v="7"/>
    <x v="44"/>
    <x v="12"/>
    <x v="1"/>
    <x v="7"/>
    <s v="Ninguno"/>
    <s v="Cantidad de empresas por tamaño"/>
    <s v="Periodo 2005-2019"/>
    <s v="Número de empresas"/>
    <s v="Servicio de Impuestos Internos (SII)"/>
    <x v="671"/>
    <s v="El número de empresas aumentó sostenidamente durante los años comprendidos en el periodo 2005-2019, en la región de Maule. En el año 2019 las empresas correspondientes al tramo Sin Ventas, presentan el mayor crecimiento, seguido por los tramos Micro 1 y Micro 2."/>
    <s v="Gráfico de Evolución"/>
    <s v="Región de Maule empresas regional tramos ventas uf micro mediana grande sii"/>
    <x v="671"/>
    <s v="100-R-7"/>
    <s v="#1774B9"/>
    <s v="990-0672"/>
    <n v="99200007"/>
    <s v="T-1014"/>
    <s v="C-993"/>
    <s v="FI-993"/>
    <s v="M-1058"/>
  </r>
  <r>
    <x v="672"/>
    <n v="990"/>
    <x v="0"/>
    <x v="9"/>
    <n v="8"/>
    <x v="44"/>
    <x v="12"/>
    <x v="1"/>
    <x v="8"/>
    <s v="Ninguno"/>
    <s v="Cantidad de empresas por tamaño"/>
    <s v="Periodo 2005-2019"/>
    <s v="Número de empresas"/>
    <s v="Servicio de Impuestos Internos (SII)"/>
    <x v="672"/>
    <s v="Gráfico que muestra la evolución del número de empresas por tamaño, según ventas en la región de Biobío, en el periodo 2005-2019, según información entregada por el Servicio de Impuestos Internos (SII)."/>
    <s v="Gráfico de Evolución"/>
    <s v="Región del Biobío empresas regional tramos ventas uf micro mediana grande sii"/>
    <x v="672"/>
    <s v="100-R-8"/>
    <s v="#1774B9"/>
    <s v="990-0673"/>
    <n v="99200008"/>
    <s v="T-1014"/>
    <s v="C-993"/>
    <s v="FI-993"/>
    <s v="M-1058"/>
  </r>
  <r>
    <x v="673"/>
    <n v="990"/>
    <x v="0"/>
    <x v="9"/>
    <n v="9"/>
    <x v="44"/>
    <x v="12"/>
    <x v="1"/>
    <x v="9"/>
    <s v="Ninguno"/>
    <s v="Cantidad de empresas por tamaño"/>
    <s v="Periodo 2005-2019"/>
    <s v="Número de empresas"/>
    <s v="Servicio de Impuestos Internos (SII)"/>
    <x v="673"/>
    <s v="El número de empresas aumentó sostenidamente durante los años comprendidos en el periodo 2005-2019, en la región de La Araucanía. En el año 2019 las empresas correspondientes al tramo Sin Ventas, presentan el mayor crecimiento, seguido por el tramo Micro 3."/>
    <s v="Gráfico de Evolución"/>
    <s v="Región de La Araucanía empresas regional tramos ventas uf micro mediana grande sii"/>
    <x v="673"/>
    <s v="100-R-9"/>
    <s v="#1774B9"/>
    <s v="990-0674"/>
    <n v="99200009"/>
    <s v="T-1014"/>
    <s v="C-993"/>
    <s v="FI-993"/>
    <s v="M-1058"/>
  </r>
  <r>
    <x v="674"/>
    <n v="990"/>
    <x v="0"/>
    <x v="9"/>
    <n v="10"/>
    <x v="44"/>
    <x v="12"/>
    <x v="1"/>
    <x v="10"/>
    <s v="Ninguno"/>
    <s v="Cantidad de empresas por tamaño"/>
    <s v="Periodo 2005-2019"/>
    <s v="Número de empresas"/>
    <s v="Servicio de Impuestos Internos (SII)"/>
    <x v="674"/>
    <s v="Gráfico que muestra la evolución del número de empresas por tamaño, según ventas en la región de Los Lagos, en el periodo 2005-2019, según información entregada por el Servicio de Impuestos Internos (SII)."/>
    <s v="Gráfico de Evolución"/>
    <s v="Región de Los Lagos empresas regional tramos ventas uf micro mediana grande sii"/>
    <x v="674"/>
    <s v="100-R-10"/>
    <s v="#1774B9"/>
    <s v="990-0675"/>
    <n v="99200010"/>
    <s v="T-1014"/>
    <s v="C-993"/>
    <s v="FI-993"/>
    <s v="M-1058"/>
  </r>
  <r>
    <x v="675"/>
    <n v="990"/>
    <x v="0"/>
    <x v="9"/>
    <n v="11"/>
    <x v="44"/>
    <x v="12"/>
    <x v="1"/>
    <x v="11"/>
    <s v="Ninguno"/>
    <s v="Cantidad de empresas por tamaño"/>
    <s v="Periodo 2005-2019"/>
    <s v="Número de empresas"/>
    <s v="Servicio de Impuestos Internos (SII)"/>
    <x v="675"/>
    <s v="El número de empresas aumentó sostenidamente durante los años comprendidos en el periodo 2005-2019, en la región de Aysén. En el año 2019 las empresas correspondientes al tramo Micro 1, presentan el mayor crecimiento, seguido por el tramo Sin Ventas."/>
    <s v="Gráfico de Evolución"/>
    <s v="Región de Aysén empresas regional tramos ventas uf micro mediana grande sii"/>
    <x v="675"/>
    <s v="100-R-11"/>
    <s v="#1774B9"/>
    <s v="990-0676"/>
    <n v="99200011"/>
    <s v="T-1014"/>
    <s v="C-993"/>
    <s v="FI-993"/>
    <s v="M-1058"/>
  </r>
  <r>
    <x v="676"/>
    <n v="990"/>
    <x v="0"/>
    <x v="9"/>
    <n v="12"/>
    <x v="44"/>
    <x v="12"/>
    <x v="1"/>
    <x v="12"/>
    <s v="Ninguno"/>
    <s v="Cantidad de empresas por tamaño"/>
    <s v="Periodo 2005-2019"/>
    <s v="Número de empresas"/>
    <s v="Servicio de Impuestos Internos (SII)"/>
    <x v="676"/>
    <s v="Gráfico que muestra la evolución del número de empresas por tamaño, según ventas en la región de Magallanes, en el periodo 2005-2019, según información entregada por el Servicio de Impuestos Internos (SII)."/>
    <s v="Gráfico de Evolución"/>
    <s v="Región de Magallanes empresas regional tramos ventas uf micro mediana grande sii"/>
    <x v="676"/>
    <s v="100-R-12"/>
    <s v="#1774B9"/>
    <s v="990-0677"/>
    <n v="99200012"/>
    <s v="T-1014"/>
    <s v="C-993"/>
    <s v="FI-993"/>
    <s v="M-1058"/>
  </r>
  <r>
    <x v="677"/>
    <n v="990"/>
    <x v="0"/>
    <x v="9"/>
    <n v="13"/>
    <x v="44"/>
    <x v="12"/>
    <x v="1"/>
    <x v="13"/>
    <s v="Ninguno"/>
    <s v="Cantidad de empresas por tamaño"/>
    <s v="Periodo 2005-2019"/>
    <s v="Número de empresas"/>
    <s v="Servicio de Impuestos Internos (SII)"/>
    <x v="677"/>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x v="677"/>
    <s v="200-R-13"/>
    <s v="#1774B9"/>
    <s v="990-0678"/>
    <n v="99200013"/>
    <s v="T-1014"/>
    <s v="C-993"/>
    <s v="FI-993"/>
    <s v="M-1058"/>
  </r>
  <r>
    <x v="678"/>
    <n v="990"/>
    <x v="0"/>
    <x v="9"/>
    <n v="14"/>
    <x v="44"/>
    <x v="12"/>
    <x v="1"/>
    <x v="14"/>
    <s v="Ninguno"/>
    <s v="Cantidad de empresas por tamaño"/>
    <s v="Periodo 2005-2019"/>
    <s v="Número de empresas"/>
    <s v="Servicio de Impuestos Internos (SII)"/>
    <x v="678"/>
    <s v="El número de empresas aumentó sostenidamente durante los años comprendidos en el periodo 2005-2019, en la región de Los Ríos. En el año 2019 las empresas correspondientes al tramo Sin Ventas, presentan el mayor crecimiento, seguido por el tramo Micro 1."/>
    <s v="Gráfico de Evolución"/>
    <s v="Región de Los Ríos empresas regional tramos ventas uf micro mediana grande sii"/>
    <x v="678"/>
    <s v="100-R-14"/>
    <s v="#1774B9"/>
    <s v="990-0679"/>
    <n v="99200014"/>
    <s v="T-1014"/>
    <s v="C-993"/>
    <s v="FI-993"/>
    <s v="M-1058"/>
  </r>
  <r>
    <x v="679"/>
    <n v="990"/>
    <x v="0"/>
    <x v="9"/>
    <n v="15"/>
    <x v="44"/>
    <x v="12"/>
    <x v="1"/>
    <x v="15"/>
    <s v="Ninguno"/>
    <s v="Cantidad de empresas por tamaño"/>
    <s v="Periodo 2005-2019"/>
    <s v="Número de empresas"/>
    <s v="Servicio de Impuestos Internos (SII)"/>
    <x v="679"/>
    <s v="El número de empresas aumentó sostenidamente durante los años comprendidos en el periodo 2005-2019, en la región de Arica y Parinacota. El tramo de empresas que presenta mayor crecimiento entre los años 2017-2019 es Micro 1."/>
    <s v="Gráfico de Evolución"/>
    <s v="Región de Arica y Parinacota empresas regional tramos ventas uf micro mediana grande sii"/>
    <x v="679"/>
    <s v="100-R-15"/>
    <s v="#1774B9"/>
    <s v="990-0680"/>
    <n v="99200015"/>
    <s v="T-1014"/>
    <s v="C-993"/>
    <s v="FI-993"/>
    <s v="M-1058"/>
  </r>
  <r>
    <x v="680"/>
    <n v="990"/>
    <x v="0"/>
    <x v="9"/>
    <n v="16"/>
    <x v="44"/>
    <x v="12"/>
    <x v="1"/>
    <x v="16"/>
    <s v="Ninguno"/>
    <s v="Cantidad de empresas por tamaño"/>
    <s v="Periodo 2005-2019"/>
    <s v="Número de empresas"/>
    <s v="Servicio de Impuestos Internos (SII)"/>
    <x v="680"/>
    <s v="El número de empresas aumentó sostenidamente durante los años comprendidos en el periodo 2005-2019, en la región de Ñuble. En el año 2019 las empresas correspondientes al tramo Sin Ventas, presentan el mayor crecimiento, seguido por el tramo Micro 1."/>
    <s v="Gráfico de Evolución"/>
    <s v="Región de Ñuble empresas regional tramos ventas uf micro mediana grande sii"/>
    <x v="680"/>
    <s v="100-R-16"/>
    <s v="#1774B9"/>
    <s v="990-0681"/>
    <n v="99200016"/>
    <s v="T-1014"/>
    <s v="C-993"/>
    <s v="FI-993"/>
    <s v="M-1058"/>
  </r>
  <r>
    <x v="681"/>
    <n v="990"/>
    <x v="0"/>
    <x v="4"/>
    <n v="0"/>
    <x v="45"/>
    <x v="15"/>
    <x v="0"/>
    <x v="0"/>
    <s v="Categoría"/>
    <s v="Población controlada en Chile"/>
    <s v="Año 2018"/>
    <s v="Personas"/>
    <s v="Departamento de Estadísticas e Información de la Salud (DEIS) - Ministerio de Salud"/>
    <x v="681"/>
    <s v="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
    <s v="Gráfico"/>
    <s v="Chile cardiovascular corazón hipertensión enfermedad renal dislipidemias infarto salud programa población control"/>
    <x v="681"/>
    <n v="0"/>
    <s v="#1774B9"/>
    <s v="990-0682"/>
    <n v="99100000"/>
    <s v="T-1015"/>
    <s v="C-1010"/>
    <s v="FI-1002"/>
    <s v="M-1059"/>
  </r>
  <r>
    <x v="682"/>
    <n v="990"/>
    <x v="0"/>
    <x v="11"/>
    <n v="0"/>
    <x v="46"/>
    <x v="20"/>
    <x v="0"/>
    <x v="0"/>
    <s v="Ninguno"/>
    <s v="Cantidad de CO2 absorbido por región"/>
    <s v="Periodo 1990-2018"/>
    <s v="Kilotoneladas"/>
    <s v="Sistema Nacional de Inventarios de Gases de Efecto Invernadero"/>
    <x v="682"/>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x v="682"/>
    <n v="0"/>
    <s v="#1774B9"/>
    <s v="990-0683"/>
    <n v="99100000"/>
    <e v="#N/A"/>
    <s v="C-1004"/>
    <s v="FI-993"/>
    <s v="M-1060"/>
  </r>
  <r>
    <x v="683"/>
    <n v="990"/>
    <x v="0"/>
    <x v="11"/>
    <n v="0"/>
    <x v="31"/>
    <x v="20"/>
    <x v="0"/>
    <x v="0"/>
    <s v="Ninguno"/>
    <s v="Promedio emisiones netas de CO2 en Chile"/>
    <s v="Periodo 1990-2018"/>
    <s v="Kilotoneladas"/>
    <s v="Sistema Nacional de Inventarios de Gases de Efecto Invernadero"/>
    <x v="683"/>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x v="683"/>
    <n v="0"/>
    <s v="#1774B9"/>
    <s v="990-0684"/>
    <n v="99100000"/>
    <e v="#N/A"/>
    <s v="C-1004"/>
    <s v="FI-993"/>
    <s v="M-1061"/>
  </r>
  <r>
    <x v="684"/>
    <n v="990"/>
    <x v="0"/>
    <x v="11"/>
    <n v="0"/>
    <x v="31"/>
    <x v="20"/>
    <x v="0"/>
    <x v="0"/>
    <s v="Ninguno"/>
    <s v="Emisiones de CO2 equivalente por gas en Chile"/>
    <s v="Periodo 1990-2018"/>
    <s v="Kilotoneladas"/>
    <s v="Sistema Nacional de Inventarios de Gases de Efecto Invernadero"/>
    <x v="684"/>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x v="684"/>
    <n v="0"/>
    <s v="#1774B9"/>
    <s v="990-0685"/>
    <n v="99100000"/>
    <e v="#N/A"/>
    <s v="C-1004"/>
    <s v="FI-993"/>
    <s v="M-1062"/>
  </r>
  <r>
    <x v="685"/>
    <n v="990"/>
    <x v="0"/>
    <x v="11"/>
    <n v="0"/>
    <x v="47"/>
    <x v="20"/>
    <x v="0"/>
    <x v="0"/>
    <s v="Ninguno"/>
    <s v="Emisiones y absorciones por subsector en Chile"/>
    <s v="Año 2018"/>
    <s v="Kilotoneladas"/>
    <s v="Sistema Nacional de Inventarios de Gases de Efecto Invernadero"/>
    <x v="685"/>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x v="685"/>
    <n v="0"/>
    <s v="#1774B9"/>
    <s v="990-0686"/>
    <n v="99100000"/>
    <e v="#N/A"/>
    <s v="C-1004"/>
    <s v="FI-993"/>
    <s v="M-1063"/>
  </r>
  <r>
    <x v="686"/>
    <n v="990"/>
    <x v="0"/>
    <x v="9"/>
    <n v="0"/>
    <x v="42"/>
    <x v="12"/>
    <x v="0"/>
    <x v="0"/>
    <s v="Región"/>
    <s v="Trabajadores dependientes informados por sexo por región"/>
    <s v="Periodo 2005-2019"/>
    <s v="Personas"/>
    <s v="Servicio de Impuestos Internos (SII)"/>
    <x v="686"/>
    <s v="A nivel nacional, según el número de trabajadores dependientes en el rubro B- Explotación mineta y canteras, en el periodo 2005-2019, se observa que el mayor porcentaje son hombres, produciéndose la mayor diferencia el año 2012 con 58.499 hombres y 4.560 mujeres."/>
    <s v="Gráfico"/>
    <s v="Chile personas trabajadores género sexo mujeres hombres proporción explotación canteras mineras sii"/>
    <x v="686"/>
    <s v="300-R"/>
    <s v="#1774B9"/>
    <s v="990-0687"/>
    <n v="99100000"/>
    <s v="T-1012"/>
    <s v="C-993"/>
    <s v="FI-992"/>
    <s v="M-1064"/>
  </r>
  <r>
    <x v="687"/>
    <n v="990"/>
    <x v="0"/>
    <x v="9"/>
    <n v="1"/>
    <x v="42"/>
    <x v="12"/>
    <x v="1"/>
    <x v="1"/>
    <s v="Ninguno"/>
    <s v="Trabajadores dependientes informados por sexo por región"/>
    <s v="Periodo 2005-2019"/>
    <s v="Personas"/>
    <s v="Servicio de Impuestos Internos (SII)"/>
    <x v="687"/>
    <s v="En la Región de Tarapacá, el año 2011 es el que presenta mayor cantidad de trabajadores dependientes en el rubro B-Explotación minera y canteras, 5.711 hombres y 371 mujeres. En tanto el año 2019 registra 2.465 hombres y 191 mujeres."/>
    <s v="Gráfico"/>
    <s v="Región de Tarapacá personas trabajadores género sexo mujeres hombres proporción explotación canteras mineras sii"/>
    <x v="687"/>
    <s v="100-R-1"/>
    <s v="#1774B9"/>
    <s v="990-0688"/>
    <n v="99200001"/>
    <s v="T-1012"/>
    <s v="C-993"/>
    <s v="FI-993"/>
    <s v="M-1064"/>
  </r>
  <r>
    <x v="688"/>
    <n v="990"/>
    <x v="0"/>
    <x v="9"/>
    <n v="2"/>
    <x v="42"/>
    <x v="12"/>
    <x v="1"/>
    <x v="2"/>
    <s v="Ninguno"/>
    <s v="Trabajadores dependientes informados por sexo por región"/>
    <s v="Periodo 2005-2019"/>
    <s v="Personas"/>
    <s v="Servicio de Impuestos Internos (SII)"/>
    <x v="688"/>
    <s v="Durante el año 2019, en la región de Antofagasta se registraron 9.330 hombres trabajadores dependientes informados y 829 mujeres trabajadoras dependientes informadas, en el rubro B-Explotación minera y canteras."/>
    <s v="Gráfico"/>
    <s v="Región de Antofagasta personas trabajadores género sexo mujeres hombres proporción explotación canteras mineras sii"/>
    <x v="688"/>
    <s v="100-R-2"/>
    <s v="#1774B9"/>
    <s v="990-0689"/>
    <n v="99200002"/>
    <s v="T-1012"/>
    <s v="C-993"/>
    <s v="FI-993"/>
    <s v="M-1064"/>
  </r>
  <r>
    <x v="689"/>
    <n v="990"/>
    <x v="0"/>
    <x v="9"/>
    <n v="3"/>
    <x v="42"/>
    <x v="12"/>
    <x v="1"/>
    <x v="3"/>
    <s v="Ninguno"/>
    <s v="Trabajadores dependientes informados por sexo por región"/>
    <s v="Periodo 2005-2019"/>
    <s v="Personas"/>
    <s v="Servicio de Impuestos Internos (SII)"/>
    <x v="689"/>
    <s v="Gráfico que muestra la evolución del número de trabajadores dependientes por sexo en el rubro B - Explotación minera y canteras, en la región de Atacama, periodo 2005 - 2019, según información de Servicio Impuestos Internos (SII)."/>
    <s v="Gráfico"/>
    <s v="Región de Atacama personas trabajadores género sexo mujeres hombres proporción explotación canteras mineras sii"/>
    <x v="689"/>
    <s v="100-R-3"/>
    <s v="#1774B9"/>
    <s v="990-0690"/>
    <n v="99200003"/>
    <s v="T-1012"/>
    <s v="C-993"/>
    <s v="FI-993"/>
    <s v="M-1064"/>
  </r>
  <r>
    <x v="690"/>
    <n v="990"/>
    <x v="0"/>
    <x v="9"/>
    <n v="4"/>
    <x v="42"/>
    <x v="12"/>
    <x v="1"/>
    <x v="4"/>
    <s v="Ninguno"/>
    <s v="Trabajadores dependientes informados por sexo por región"/>
    <s v="Periodo 2005-2019"/>
    <s v="Personas"/>
    <s v="Servicio de Impuestos Internos (SII)"/>
    <x v="690"/>
    <s v="En la Región de Coquimbo, el año 2011 es el que presenta mayor cantidad de trabajadores dependientes en el rubro B-Explotación minera y canteras, 10.249 hombres y 990 mujeres. En tanto el año 2019 registra 7.093 hombres y 717 mujeres."/>
    <s v="Gráfico"/>
    <s v="Región de Coquimbo personas trabajadores género sexo mujeres hombres proporción explotación canteras mineras sii"/>
    <x v="690"/>
    <s v="100-R-4"/>
    <s v="#1774B9"/>
    <s v="990-0691"/>
    <n v="99200004"/>
    <s v="T-1012"/>
    <s v="C-993"/>
    <s v="FI-993"/>
    <s v="M-1064"/>
  </r>
  <r>
    <x v="691"/>
    <n v="990"/>
    <x v="0"/>
    <x v="9"/>
    <n v="5"/>
    <x v="42"/>
    <x v="12"/>
    <x v="1"/>
    <x v="5"/>
    <s v="Ninguno"/>
    <s v="Trabajadores dependientes informados por sexo por región"/>
    <s v="Periodo 2005-2019"/>
    <s v="Personas"/>
    <s v="Servicio de Impuestos Internos (SII)"/>
    <x v="691"/>
    <s v="Durante el año 2019, en la región de Valparaíso se registraron 2.974 hombres trabajadores dependientes informados y 319 mujeres trabajadoras dependientes informadas, en el rubro B-Explotación minera y canteras."/>
    <s v="Gráfico"/>
    <s v="Región de Valparaíso personas trabajadores género sexo mujeres hombres proporción explotación canteras mineras sii"/>
    <x v="691"/>
    <s v="100-R-5"/>
    <s v="#1774B9"/>
    <s v="990-0692"/>
    <n v="99200005"/>
    <s v="T-1012"/>
    <s v="C-993"/>
    <s v="FI-993"/>
    <s v="M-1064"/>
  </r>
  <r>
    <x v="692"/>
    <n v="990"/>
    <x v="0"/>
    <x v="9"/>
    <n v="6"/>
    <x v="42"/>
    <x v="12"/>
    <x v="1"/>
    <x v="6"/>
    <s v="Ninguno"/>
    <s v="Trabajadores dependientes informados por sexo por región"/>
    <s v="Periodo 2005-2019"/>
    <s v="Personas"/>
    <s v="Servicio de Impuestos Internos (SII)"/>
    <x v="692"/>
    <s v="Gráfico que muestra la evolución del número de trabajadores dependientes por sexo en el rubro B - Explotación minera y canteras, en la región de O'Higgins, periodo 2005 - 2019, según información de Servicio Impuestos Internos (SII)."/>
    <s v="Gráfico"/>
    <s v="Región de O'Higgins personas trabajadores género sexo mujeres hombres proporción explotación canteras mineras sii"/>
    <x v="692"/>
    <s v="100-R-6"/>
    <s v="#1774B9"/>
    <s v="990-0693"/>
    <n v="99200006"/>
    <s v="T-1012"/>
    <s v="C-993"/>
    <s v="FI-993"/>
    <s v="M-1064"/>
  </r>
  <r>
    <x v="693"/>
    <n v="990"/>
    <x v="0"/>
    <x v="9"/>
    <n v="7"/>
    <x v="42"/>
    <x v="12"/>
    <x v="1"/>
    <x v="7"/>
    <s v="Ninguno"/>
    <s v="Trabajadores dependientes informados por sexo por región"/>
    <s v="Periodo 2005-2019"/>
    <s v="Personas"/>
    <s v="Servicio de Impuestos Internos (SII)"/>
    <x v="693"/>
    <s v="En la Región de Maule, el año 2010 es el que presenta mayor cantidad de trabajadores dependientes en el rubro B-Explotación minera y canteras, 3.081 hombres y 104 mujeres. En tanto el año 2019 registra 1.502 hombres y 130 mujeres."/>
    <s v="Gráfico"/>
    <s v="Región de Maule personas trabajadores género sexo mujeres hombres proporción explotación canteras mineras sii"/>
    <x v="693"/>
    <s v="100-R-7"/>
    <s v="#1774B9"/>
    <s v="990-0694"/>
    <n v="99200007"/>
    <s v="T-1012"/>
    <s v="C-993"/>
    <s v="FI-993"/>
    <s v="M-1064"/>
  </r>
  <r>
    <x v="694"/>
    <n v="990"/>
    <x v="0"/>
    <x v="9"/>
    <n v="8"/>
    <x v="42"/>
    <x v="12"/>
    <x v="1"/>
    <x v="8"/>
    <s v="Ninguno"/>
    <s v="Trabajadores dependientes informados por sexo por región"/>
    <s v="Periodo 2005-2019"/>
    <s v="Personas"/>
    <s v="Servicio de Impuestos Internos (SII)"/>
    <x v="694"/>
    <s v="En la Región de Biobío, el año 2013 es el que presenta mayor cantidad de trabajadores dependientes en el rubro B-Explotación minera y canteras, 4.282 hombres y 299 mujeres. En tanto el año 2019 registra 1.718 hombres y 150 mujeres."/>
    <s v="Gráfico"/>
    <s v="Región del Biobío personas trabajadores género sexo mujeres hombres proporción explotación canteras mineras sii"/>
    <x v="694"/>
    <s v="100-R-8"/>
    <s v="#1774B9"/>
    <s v="990-0695"/>
    <n v="99200008"/>
    <s v="T-1012"/>
    <s v="C-993"/>
    <s v="FI-993"/>
    <s v="M-1064"/>
  </r>
  <r>
    <x v="695"/>
    <n v="990"/>
    <x v="0"/>
    <x v="9"/>
    <n v="9"/>
    <x v="42"/>
    <x v="12"/>
    <x v="1"/>
    <x v="9"/>
    <s v="Ninguno"/>
    <s v="Trabajadores dependientes informados por sexo por región"/>
    <s v="Periodo 2005-2019"/>
    <s v="Personas"/>
    <s v="Servicio de Impuestos Internos (SII)"/>
    <x v="695"/>
    <s v="Gráfico que muestra la evolución del número de trabajadores dependientes por sexo en el rubro B - Explotación minera y canteras, en la región de La Araucanía, periodo 2005 - 2019, según información de Servicio Impuestos Internos (SII)."/>
    <s v="Gráfico"/>
    <s v="Región de La Araucanía personas trabajadores género sexo mujeres hombres proporción explotación canteras mineras sii"/>
    <x v="695"/>
    <s v="100-R-9"/>
    <s v="#1774B9"/>
    <s v="990-0696"/>
    <n v="99200009"/>
    <s v="T-1012"/>
    <s v="C-993"/>
    <s v="FI-993"/>
    <s v="M-1064"/>
  </r>
  <r>
    <x v="696"/>
    <n v="990"/>
    <x v="0"/>
    <x v="9"/>
    <n v="10"/>
    <x v="42"/>
    <x v="12"/>
    <x v="1"/>
    <x v="10"/>
    <s v="Ninguno"/>
    <s v="Trabajadores dependientes informados por sexo por región"/>
    <s v="Periodo 2005-2019"/>
    <s v="Personas"/>
    <s v="Servicio de Impuestos Internos (SII)"/>
    <x v="696"/>
    <s v="Durante el año 2019, en la región de Los Lagos se registraron 781 hombres trabajadores dependientes informados y 88 mujeres trabajadoras dependientes informadas, en el rubro B-Explotación minera y canteras."/>
    <s v="Gráfico"/>
    <s v="Región de Los Lagos personas trabajadores género sexo mujeres hombres proporción explotación canteras mineras sii"/>
    <x v="696"/>
    <s v="100-R-10"/>
    <s v="#1774B9"/>
    <s v="990-0697"/>
    <n v="99200010"/>
    <s v="T-1012"/>
    <s v="C-993"/>
    <s v="FI-993"/>
    <s v="M-1064"/>
  </r>
  <r>
    <x v="697"/>
    <n v="990"/>
    <x v="0"/>
    <x v="9"/>
    <n v="11"/>
    <x v="42"/>
    <x v="12"/>
    <x v="1"/>
    <x v="11"/>
    <s v="Ninguno"/>
    <s v="Trabajadores dependientes informados por sexo por región"/>
    <s v="Periodo 2005-2019"/>
    <s v="Personas"/>
    <s v="Servicio de Impuestos Internos (SII)"/>
    <x v="697"/>
    <s v="Durante el año 2019, en la región de Aysén se registró la menor cantidad de trabajadores dependientes en el rubro B-Explotación minera y canteras, con 133 hombres y 15 mujeres. "/>
    <s v="Gráfico"/>
    <s v="Región de Aysén personas trabajadores género sexo mujeres hombres proporción explotación canteras mineras sii"/>
    <x v="697"/>
    <s v="100-R-11"/>
    <s v="#1774B9"/>
    <s v="990-0698"/>
    <n v="99200011"/>
    <s v="T-1012"/>
    <s v="C-993"/>
    <s v="FI-993"/>
    <s v="M-1064"/>
  </r>
  <r>
    <x v="698"/>
    <n v="990"/>
    <x v="0"/>
    <x v="9"/>
    <n v="12"/>
    <x v="42"/>
    <x v="12"/>
    <x v="1"/>
    <x v="12"/>
    <s v="Ninguno"/>
    <s v="Trabajadores dependientes informados por sexo por región"/>
    <s v="Periodo 2005-2019"/>
    <s v="Personas"/>
    <s v="Servicio de Impuestos Internos (SII)"/>
    <x v="698"/>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x v="698"/>
    <s v="100-R-12"/>
    <s v="#1774B9"/>
    <s v="990-0699"/>
    <n v="99200012"/>
    <s v="T-1012"/>
    <s v="C-993"/>
    <s v="FI-993"/>
    <s v="M-1064"/>
  </r>
  <r>
    <x v="699"/>
    <n v="990"/>
    <x v="0"/>
    <x v="9"/>
    <n v="13"/>
    <x v="42"/>
    <x v="12"/>
    <x v="1"/>
    <x v="13"/>
    <s v="Ninguno"/>
    <s v="Trabajadores dependientes informados por sexo por región"/>
    <s v="Periodo 2005-2019"/>
    <s v="Personas"/>
    <s v="Servicio de Impuestos Internos (SII)"/>
    <x v="699"/>
    <s v="Durante el año 2019, en la región Metropolitana se registraron 62.190 hombres trabajadores dependientes informados y 7.984 mujeres trabajadoras dependientes informadas, en el rubro B-Explotación minera y canteras."/>
    <s v="Gráfico"/>
    <s v="Región Metropolitana personas trabajadores género sexo mujeres hombres proporción explotación canteras mineras sii"/>
    <x v="699"/>
    <s v="200-R-13"/>
    <s v="#1774B9"/>
    <s v="990-0700"/>
    <n v="99200013"/>
    <s v="T-1012"/>
    <s v="C-993"/>
    <s v="FI-993"/>
    <s v="M-1064"/>
  </r>
  <r>
    <x v="700"/>
    <n v="990"/>
    <x v="0"/>
    <x v="9"/>
    <n v="14"/>
    <x v="42"/>
    <x v="12"/>
    <x v="1"/>
    <x v="14"/>
    <s v="Ninguno"/>
    <s v="Trabajadores dependientes informados por sexo por región"/>
    <s v="Periodo 2005-2019"/>
    <s v="Personas"/>
    <s v="Servicio de Impuestos Internos (SII)"/>
    <x v="700"/>
    <s v="En la Región de Los Ríos, el año 2019 es el que presenta mayor cantidad de trabajadores dependientes en el rubro B-Explotación minera y canteras del periodo, siendo 1.095 hombres y 615 mujeres. "/>
    <s v="Gráfico"/>
    <s v="Región de Los Ríos personas trabajadores género sexo mujeres hombres proporción explotación canteras mineras sii"/>
    <x v="700"/>
    <s v="100-R-14"/>
    <s v="#1774B9"/>
    <s v="990-0701"/>
    <n v="99200014"/>
    <s v="T-1012"/>
    <s v="C-993"/>
    <s v="FI-993"/>
    <s v="M-1064"/>
  </r>
  <r>
    <x v="701"/>
    <n v="990"/>
    <x v="0"/>
    <x v="9"/>
    <n v="15"/>
    <x v="42"/>
    <x v="12"/>
    <x v="1"/>
    <x v="15"/>
    <s v="Ninguno"/>
    <s v="Trabajadores dependientes informados por sexo por región"/>
    <s v="Periodo 2005-2019"/>
    <s v="Personas"/>
    <s v="Servicio de Impuestos Internos (SII)"/>
    <x v="701"/>
    <s v="Durante el año 2019, en la región de Arica y Parinacota se registraron 328 hombres trabajadores dependientes informados y 59 mujeres trabajadoras dependientes informadas, en el rubro B-Explotación minera y canteras."/>
    <s v="Gráfico"/>
    <s v="Región de Arica y Parinacota personas trabajadores género sexo mujeres hombres proporción explotación canteras mineras sii"/>
    <x v="701"/>
    <s v="100-R-15"/>
    <s v="#1774B9"/>
    <s v="990-0702"/>
    <n v="99200015"/>
    <s v="T-1012"/>
    <s v="C-993"/>
    <s v="FI-993"/>
    <s v="M-1064"/>
  </r>
  <r>
    <x v="702"/>
    <n v="990"/>
    <x v="0"/>
    <x v="9"/>
    <n v="16"/>
    <x v="42"/>
    <x v="12"/>
    <x v="1"/>
    <x v="16"/>
    <s v="Ninguno"/>
    <s v="Trabajadores dependientes informados por sexo por región"/>
    <s v="Periodo 2005-2019"/>
    <s v="Personas"/>
    <s v="Servicio de Impuestos Internos (SII)"/>
    <x v="702"/>
    <s v="Durante el año 2019, en la región de Ñuble se registraron 583 hombres trabajadores dependientes informados y 35 mujeres trabajadoras dependientes informadas, en el rubro B-Explotación minera y canteras."/>
    <s v="Gráfico"/>
    <s v="Región de Ñuble personas trabajadores género sexo mujeres hombres proporción explotación canteras mineras sii"/>
    <x v="702"/>
    <s v="100-R-16"/>
    <s v="#1774B9"/>
    <s v="990-0703"/>
    <n v="99200016"/>
    <s v="T-1012"/>
    <s v="C-993"/>
    <s v="FI-993"/>
    <s v="M-1064"/>
  </r>
  <r>
    <x v="703"/>
    <n v="990"/>
    <x v="0"/>
    <x v="9"/>
    <n v="0"/>
    <x v="48"/>
    <x v="12"/>
    <x v="0"/>
    <x v="0"/>
    <s v="Ninguno"/>
    <s v="Ventas anuales por rubro en Chile"/>
    <s v="Periodo 2005-2019"/>
    <s v="UF"/>
    <s v="Servicio de Impuestos Internos (SII)"/>
    <x v="703"/>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x v="703"/>
    <n v="0"/>
    <s v="#1774B9"/>
    <s v="990-0704"/>
    <n v="99100000"/>
    <s v="T-998"/>
    <s v="C-993"/>
    <s v="FI-993"/>
    <s v="M-1065"/>
  </r>
  <r>
    <x v="704"/>
    <n v="990"/>
    <x v="0"/>
    <x v="2"/>
    <n v="0"/>
    <x v="24"/>
    <x v="14"/>
    <x v="0"/>
    <x v="0"/>
    <s v="Región-Servicio de Salud"/>
    <s v="Casos de cáncer por comuna"/>
    <s v="Periodo 2011-2018"/>
    <s v="Número de Casos"/>
    <s v="Departamento de Estadísticas e Información de la Salud (DEIS) - Ministerio de Salud"/>
    <x v="704"/>
    <s v="Para el año 2018, las comunas con la mayor cantidad de casos de Cáncer de Cuello Uterino fueron Temuco con 30 casos, seguido por La Serena y Valparaíso con 23 casos cada una y luego Santiago con 22 casos."/>
    <s v="Gráfico de Evolución"/>
    <s v="Chile salud cáncer cérvico uterino cuello útero casos tumor servicio nacional programa"/>
    <x v="704"/>
    <s v="300-C"/>
    <s v="#1774B9"/>
    <s v="990-0705"/>
    <n v="99100000"/>
    <s v="T-999"/>
    <s v="C-1009"/>
    <s v="FI-1009"/>
    <s v="M-1066"/>
  </r>
  <r>
    <x v="705"/>
    <n v="990"/>
    <x v="0"/>
    <x v="2"/>
    <n v="1"/>
    <x v="24"/>
    <x v="14"/>
    <x v="1"/>
    <x v="1"/>
    <s v="Servicio de Salud"/>
    <s v="Casos de cáncer por comuna"/>
    <s v="Periodo 2011-2018"/>
    <s v="Número de Casos"/>
    <s v="Departamento de Estadísticas e Información de la Salud (DEIS) - Ministerio de Salud"/>
    <x v="705"/>
    <s v="Considerando la evolución de los casos de Cáncer de Cuello Uterino en la Región de Tarapacá, entre el periodo 2011-2018, se observa que el año con mayor cantidad de casos fue el año 2013, llegando a 24 casos en total. Por su parte, en el año 2018 se observan 5 casos totales. "/>
    <s v="Gráfico de Evolución"/>
    <s v="Región de Tarapacá salud cáncer cérvico uterino cuello útero casos tumor servicio nacional programa"/>
    <x v="705"/>
    <s v="100-C-1"/>
    <s v="#1774B9"/>
    <s v="990-0706"/>
    <n v="99200001"/>
    <s v="T-999"/>
    <s v="C-1009"/>
    <s v="FI-1003"/>
    <s v="M-1066"/>
  </r>
  <r>
    <x v="706"/>
    <n v="990"/>
    <x v="0"/>
    <x v="2"/>
    <n v="2"/>
    <x v="24"/>
    <x v="14"/>
    <x v="1"/>
    <x v="2"/>
    <s v="Servicio de Salud"/>
    <s v="Casos de cáncer por comuna"/>
    <s v="Periodo 2011-2018"/>
    <s v="Número de Casos"/>
    <s v="Departamento de Estadísticas e Información de la Salud (DEIS) - Ministerio de Salud"/>
    <x v="706"/>
    <s v="Al observar la evolución de los casos de Cáncer de Cuello Uterino en la región de Antofagasta en el periodo 2011-2018, destaca que la comuna con mayor cantidad de casos es la comuna de Antofagasta, siendo el año 2014 el que presenta mayor cantidad de casos en la región."/>
    <s v="Gráfico de Evolución"/>
    <s v="Región de Antofagasta salud cáncer cérvico uterino cuello útero casos tumor servicio nacional programa"/>
    <x v="706"/>
    <s v="100-C-2"/>
    <s v="#1774B9"/>
    <s v="990-0707"/>
    <n v="99200002"/>
    <s v="T-999"/>
    <s v="C-1009"/>
    <s v="FI-1003"/>
    <s v="M-1066"/>
  </r>
  <r>
    <x v="707"/>
    <n v="990"/>
    <x v="0"/>
    <x v="2"/>
    <n v="3"/>
    <x v="24"/>
    <x v="14"/>
    <x v="1"/>
    <x v="3"/>
    <s v="Servicio de Salud"/>
    <s v="Casos de cáncer por comuna"/>
    <s v="Periodo 2011-2018"/>
    <s v="Número de Casos"/>
    <s v="Departamento de Estadísticas e Información de la Salud (DEIS) - Ministerio de Salud"/>
    <x v="707"/>
    <s v="En la Región de Atacama destaca que la comuna de Copiapó es la que presenta más cantidad de casos de Cáncer de Cuello Uterino en el periodo 2011 - 2018."/>
    <s v="Gráfico de Evolución"/>
    <s v="Región de Atacama salud cáncer cérvico uterino cuello útero casos tumor servicio nacional programa"/>
    <x v="707"/>
    <s v="100-C-3"/>
    <s v="#1774B9"/>
    <s v="990-0708"/>
    <n v="99200003"/>
    <s v="T-999"/>
    <s v="C-1009"/>
    <s v="FI-1003"/>
    <s v="M-1066"/>
  </r>
  <r>
    <x v="708"/>
    <n v="990"/>
    <x v="0"/>
    <x v="2"/>
    <n v="4"/>
    <x v="24"/>
    <x v="14"/>
    <x v="1"/>
    <x v="4"/>
    <s v="Servicio de Salud"/>
    <s v="Casos de cáncer por comuna"/>
    <s v="Periodo 2011-2018"/>
    <s v="Número de Casos"/>
    <s v="Departamento de Estadísticas e Información de la Salud (DEIS) - Ministerio de Salud"/>
    <x v="708"/>
    <s v="Considerando la evolución de los casos de Cáncer de Cuello Uterino en la Región de Coquimbo, entre el periodo 2011-2018, se observa que el año con mayor cantidad de casos fue el año 2012, llegando a 72 casos en total. En tanto, en el año 2018 se observan 23 casos totales. "/>
    <s v="Gráfico de Evolución"/>
    <s v="Región de Coquimbo salud cáncer cérvico uterino cuello útero casos tumor servicio nacional programa"/>
    <x v="708"/>
    <s v="100-C-4"/>
    <s v="#1774B9"/>
    <s v="990-0709"/>
    <n v="99200004"/>
    <s v="T-999"/>
    <s v="C-1009"/>
    <s v="FI-1003"/>
    <s v="M-1066"/>
  </r>
  <r>
    <x v="709"/>
    <n v="990"/>
    <x v="0"/>
    <x v="2"/>
    <n v="5"/>
    <x v="24"/>
    <x v="14"/>
    <x v="1"/>
    <x v="5"/>
    <s v="Servicio de Salud"/>
    <s v="Casos de cáncer por comuna"/>
    <s v="Periodo 2011-2018"/>
    <s v="Número de Casos"/>
    <s v="Departamento de Estadísticas e Información de la Salud (DEIS) - Ministerio de Salud"/>
    <x v="709"/>
    <s v="Al observar la evolución de los casos de Cáncer de Cuello Uterino en la región de Valparaíso, en el periodo 2011-2018, destaca que la comuna con mayor cantidad de casos es la comuna de Valparaíso, seguida de Viña del Mar. "/>
    <s v="Gráfico de Evolución"/>
    <s v="Región de Valparaíso salud cáncer cérvico uterino cuello útero casos tumor servicio nacional programa"/>
    <x v="709"/>
    <s v="100-C-5"/>
    <s v="#1774B9"/>
    <s v="990-0710"/>
    <n v="99200005"/>
    <s v="T-999"/>
    <s v="C-1009"/>
    <s v="FI-1003"/>
    <s v="M-1066"/>
  </r>
  <r>
    <x v="710"/>
    <n v="990"/>
    <x v="0"/>
    <x v="2"/>
    <n v="6"/>
    <x v="24"/>
    <x v="14"/>
    <x v="1"/>
    <x v="6"/>
    <s v="Servicio de Salud"/>
    <s v="Casos de cáncer por comuna"/>
    <s v="Periodo 2011-2018"/>
    <s v="Número de Casos"/>
    <s v="Departamento de Estadísticas e Información de la Salud (DEIS) - Ministerio de Salud"/>
    <x v="710"/>
    <s v="Considerando la evolución de los casos de Cáncer de Cuello Uterino en la Región de O'Higgins, entre el periodo 2011-2018, se observa que el año con mayor cantidad de casos fue el año 2012, llegando a 34 casos en total. En tanto, en el año 2018 se observa solo un caso. "/>
    <s v="Gráfico de Evolución"/>
    <s v="Región de O'Higgins salud cáncer cérvico uterino cuello útero casos tumor servicio nacional programa"/>
    <x v="710"/>
    <s v="100-C-6"/>
    <s v="#1774B9"/>
    <s v="990-0711"/>
    <n v="99200006"/>
    <s v="T-999"/>
    <s v="C-1009"/>
    <s v="FI-1003"/>
    <s v="M-1066"/>
  </r>
  <r>
    <x v="711"/>
    <n v="990"/>
    <x v="0"/>
    <x v="2"/>
    <n v="7"/>
    <x v="24"/>
    <x v="14"/>
    <x v="1"/>
    <x v="7"/>
    <s v="Servicio de Salud"/>
    <s v="Casos de cáncer por comuna"/>
    <s v="Periodo 2011-2018"/>
    <s v="Número de Casos"/>
    <s v="Departamento de Estadísticas e Información de la Salud (DEIS) - Ministerio de Salud"/>
    <x v="711"/>
    <s v="En la Región de Maule destaca que la comuna de Talca es la que presenta más cantidad de casos de Cáncer de Cuello Uterino en el periodo 2011 - 2018."/>
    <s v="Gráfico de Evolución"/>
    <s v="Región de Maule salud cáncer cérvico uterino cuello útero casos tumor servicio nacional programa"/>
    <x v="711"/>
    <s v="100-C-7"/>
    <s v="#1774B9"/>
    <s v="990-0712"/>
    <n v="99200007"/>
    <s v="T-999"/>
    <s v="C-1009"/>
    <s v="FI-1003"/>
    <s v="M-1066"/>
  </r>
  <r>
    <x v="712"/>
    <n v="990"/>
    <x v="0"/>
    <x v="2"/>
    <n v="8"/>
    <x v="24"/>
    <x v="14"/>
    <x v="1"/>
    <x v="8"/>
    <s v="Servicio de Salud"/>
    <s v="Casos de cáncer por comuna"/>
    <s v="Periodo 2011-2018"/>
    <s v="Número de Casos"/>
    <s v="Departamento de Estadísticas e Información de la Salud (DEIS) - Ministerio de Salud"/>
    <x v="712"/>
    <s v="Considerando la evolución de los casos de Cáncer de Cuello Uterino en la Región de Biobío, entre el periodo 2011-2018, se observa que el año con mayor cantidad de casos fue el año 2015, llegando a 65 casos en total. En tanto, en el año 2018 se observan 22 casos. "/>
    <s v="Gráfico de Evolución"/>
    <s v="Región del Biobío salud cáncer cérvico uterino cuello útero casos tumor servicio nacional programa"/>
    <x v="712"/>
    <s v="100-C-8"/>
    <s v="#1774B9"/>
    <s v="990-0713"/>
    <n v="99200008"/>
    <s v="T-999"/>
    <s v="C-1009"/>
    <s v="FI-1003"/>
    <s v="M-1066"/>
  </r>
  <r>
    <x v="713"/>
    <n v="990"/>
    <x v="0"/>
    <x v="2"/>
    <n v="9"/>
    <x v="24"/>
    <x v="14"/>
    <x v="1"/>
    <x v="9"/>
    <s v="Servicio de Salud"/>
    <s v="Casos de cáncer por comuna"/>
    <s v="Periodo 2011-2018"/>
    <s v="Número de Casos"/>
    <s v="Departamento de Estadísticas e Información de la Salud (DEIS) - Ministerio de Salud"/>
    <x v="713"/>
    <s v="Considerando la evolución de los casos de Cáncer de Cuello Uterino en la Región de La Araucanía, entre el periodo 2011-2018, se observa un aumento en los últimos años, siendo el año 2016 el que tuvo mayor cantidad con 34 casos. En tanto, en el año 2018 se observan 32 casos."/>
    <s v="Gráfico de Evolución"/>
    <s v="Región de La Araucanía salud cáncer cérvico uterino cuello útero casos tumor servicio nacional programa"/>
    <x v="713"/>
    <s v="100-C-9"/>
    <s v="#1774B9"/>
    <s v="990-0714"/>
    <n v="99200009"/>
    <s v="T-999"/>
    <s v="C-1009"/>
    <s v="FI-1003"/>
    <s v="M-1066"/>
  </r>
  <r>
    <x v="714"/>
    <n v="990"/>
    <x v="0"/>
    <x v="2"/>
    <n v="10"/>
    <x v="24"/>
    <x v="14"/>
    <x v="1"/>
    <x v="10"/>
    <s v="Servicio de Salud"/>
    <s v="Casos de cáncer por comuna"/>
    <s v="Periodo 2011-2018"/>
    <s v="Número de Casos"/>
    <s v="Departamento de Estadísticas e Información de la Salud (DEIS) - Ministerio de Salud"/>
    <x v="714"/>
    <s v="Considerando la evolución de los casos de Cáncer de Cuello Uterino en la Región de Los Lagos, en el periodo 2011-2018, se observa que el año 2015 es el que presenta menor cantidad de casos llegando a 6, subiendo luego año a año, llegando a 14 caos en el año 2018."/>
    <s v="Gráfico de Evolución"/>
    <s v="Región de Los Lagos salud cáncer cérvico uterino cuello útero casos tumor servicio nacional programa"/>
    <x v="714"/>
    <s v="100-C-10"/>
    <s v="#1774B9"/>
    <s v="990-0715"/>
    <n v="99200010"/>
    <s v="T-999"/>
    <s v="C-1009"/>
    <s v="FI-1003"/>
    <s v="M-1066"/>
  </r>
  <r>
    <x v="715"/>
    <n v="990"/>
    <x v="0"/>
    <x v="2"/>
    <n v="11"/>
    <x v="24"/>
    <x v="14"/>
    <x v="1"/>
    <x v="11"/>
    <s v="Servicio de Salud"/>
    <s v="Casos de cáncer por comuna"/>
    <s v="Periodo 2011-2018"/>
    <s v="Número de Casos"/>
    <s v="Departamento de Estadísticas e Información de la Salud (DEIS) - Ministerio de Salud"/>
    <x v="715"/>
    <s v="Gráfico que muestra la evolución de los casos de Cáncer de Cuello Uterino en la Región de Aysén con detalle comunal, en el periodo 2011 - 2018, según información entregada por DEIS del Ministerio de Salud."/>
    <s v="Gráfico de Evolución"/>
    <s v="Región de Aysén salud cáncer cérvico uterino cuello útero casos tumor servicio nacional programa"/>
    <x v="715"/>
    <s v="100-C-11"/>
    <s v="#1774B9"/>
    <s v="990-0716"/>
    <n v="99200011"/>
    <s v="T-999"/>
    <s v="C-1009"/>
    <s v="FI-1003"/>
    <s v="M-1066"/>
  </r>
  <r>
    <x v="716"/>
    <n v="990"/>
    <x v="0"/>
    <x v="2"/>
    <n v="12"/>
    <x v="24"/>
    <x v="14"/>
    <x v="1"/>
    <x v="12"/>
    <s v="Servicio de Salud"/>
    <s v="Casos de cáncer por comuna"/>
    <s v="Periodo 2011-2018"/>
    <s v="Número de Casos"/>
    <s v="Departamento de Estadísticas e Información de la Salud (DEIS) - Ministerio de Salud"/>
    <x v="716"/>
    <s v="Gráfico que muestra la evolución de los casos de Cáncer de Cuello Uterino en la Región de Magallanes con detalle comunal, en el periodo 2011 - 2018, según información entregada por DEIS del Ministerio de Salud."/>
    <s v="Gráfico de Evolución"/>
    <s v="Región de Magallanes salud cáncer cérvico uterino cuello útero casos tumor servicio nacional programa"/>
    <x v="716"/>
    <s v="100-C-12"/>
    <s v="#1774B9"/>
    <s v="990-0717"/>
    <n v="99200012"/>
    <s v="T-999"/>
    <s v="C-1009"/>
    <s v="FI-1003"/>
    <s v="M-1066"/>
  </r>
  <r>
    <x v="717"/>
    <n v="990"/>
    <x v="0"/>
    <x v="2"/>
    <n v="13"/>
    <x v="24"/>
    <x v="14"/>
    <x v="1"/>
    <x v="13"/>
    <s v="Servicio de Salud"/>
    <s v="Casos de cáncer por comuna"/>
    <s v="Periodo 2011-2018"/>
    <s v="Número de Casos"/>
    <s v="Departamento de Estadísticas e Información de la Salud (DEIS) - Ministerio de Salud"/>
    <x v="717"/>
    <s v="Considerando la evolución de los casos de Cáncer de Cuello Uterino en la Región Metropolitana, entre el periodo 2011-2018, se observa que los años con mayor cantidad de casos son 2011 y 2012, llegando a 81 casos cada uno. En tanto, en el año 2018 se observan 66 casos. "/>
    <s v="Gráfico de Evolución"/>
    <s v="Región Metropolitana salud cáncer cérvico uterino cuello útero casos tumor servicio nacional programa"/>
    <x v="717"/>
    <s v="200-C-13"/>
    <s v="#1774B9"/>
    <s v="990-0718"/>
    <n v="99200013"/>
    <s v="T-999"/>
    <s v="C-1009"/>
    <s v="FI-1003"/>
    <s v="M-1066"/>
  </r>
  <r>
    <x v="718"/>
    <n v="990"/>
    <x v="0"/>
    <x v="2"/>
    <n v="14"/>
    <x v="24"/>
    <x v="14"/>
    <x v="1"/>
    <x v="14"/>
    <s v="Servicio de Salud"/>
    <s v="Casos de cáncer por comuna"/>
    <s v="Periodo 2011-2018"/>
    <s v="Número de Casos"/>
    <s v="Departamento de Estadísticas e Información de la Salud (DEIS) - Ministerio de Salud"/>
    <x v="718"/>
    <s v="Considerando la evolución de los casos de Cáncer de Cuello Uterino en la Región de Los Ríos, entre el periodo 2011-2018, se observa que el año con mayor cantidad de casos es el 2016, llegando a 9 casos. En tanto en el año 2018 se llegó a 8 casos. "/>
    <s v="Gráfico de Evolución"/>
    <s v="Región de Los Ríos salud cáncer cérvico uterino cuello útero casos tumor servicio nacional programa"/>
    <x v="718"/>
    <s v="100-C-14"/>
    <s v="#1774B9"/>
    <s v="990-0719"/>
    <n v="99200014"/>
    <s v="T-999"/>
    <s v="C-1009"/>
    <s v="FI-1003"/>
    <s v="M-1066"/>
  </r>
  <r>
    <x v="719"/>
    <n v="990"/>
    <x v="0"/>
    <x v="2"/>
    <n v="15"/>
    <x v="24"/>
    <x v="14"/>
    <x v="1"/>
    <x v="15"/>
    <s v="Servicio de Salud"/>
    <s v="Casos de cáncer por comuna"/>
    <s v="Periodo 2011-2018"/>
    <s v="Número de Casos"/>
    <s v="Departamento de Estadísticas e Información de la Salud (DEIS) - Ministerio de Salud"/>
    <x v="719"/>
    <s v="Considerando la evolución de los casos de Cáncer de Cuello Uterino en la Región de Los Arica y Parinacota, entre el periodo 2011-2018, se observa que el año con mayor cantidad de casos es el 2015, llegando a 16 casos. En tanto el año 2018 llega a 10 casos. "/>
    <s v="Gráfico de Evolución"/>
    <s v="Región de Arica y Parinacota salud cáncer cérvico uterino cuello útero casos tumor servicio nacional programa"/>
    <x v="719"/>
    <s v="100-C-15"/>
    <s v="#1774B9"/>
    <s v="990-0720"/>
    <n v="99200015"/>
    <s v="T-999"/>
    <s v="C-1009"/>
    <s v="FI-1003"/>
    <s v="M-1066"/>
  </r>
  <r>
    <x v="720"/>
    <n v="990"/>
    <x v="0"/>
    <x v="2"/>
    <n v="16"/>
    <x v="24"/>
    <x v="14"/>
    <x v="1"/>
    <x v="16"/>
    <s v="Servicio de Salud"/>
    <s v="Casos de cáncer por comuna"/>
    <s v="Periodo 2011-2018"/>
    <s v="Número de Casos"/>
    <s v="Departamento de Estadísticas e Información de la Salud (DEIS) - Ministerio de Salud"/>
    <x v="720"/>
    <s v="Considerando la evolución de los casos de Cáncer de Cuello Uterino en la Región Metropolitana, entre el periodo 2011-2018, se observa un aumento significativo el año 2018 en comparación a los años anteriores, llegando a 9 casos."/>
    <s v="Gráfico de Evolución"/>
    <s v="Región de Ñuble salud cáncer cérvico uterino cuello útero casos tumor servicio nacional programa"/>
    <x v="720"/>
    <s v="100-C-16"/>
    <s v="#1774B9"/>
    <s v="990-0721"/>
    <n v="99200016"/>
    <s v="T-999"/>
    <s v="C-1009"/>
    <s v="FI-1003"/>
    <s v="M-1066"/>
  </r>
  <r>
    <x v="721"/>
    <n v="990"/>
    <x v="0"/>
    <x v="11"/>
    <n v="0"/>
    <x v="31"/>
    <x v="20"/>
    <x v="0"/>
    <x v="0"/>
    <s v="Ninguno"/>
    <s v="Emisiones de CO2 equivalente en Chile"/>
    <s v="Año 2018"/>
    <s v="Kilotoneladas"/>
    <s v="Sistema Nacional de Inventarios de Gases de Efecto Invernadero"/>
    <x v="721"/>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x v="721"/>
    <n v="0"/>
    <s v="#1774B9"/>
    <s v="990-0722"/>
    <n v="99100000"/>
    <e v="#N/A"/>
    <s v="C-1004"/>
    <s v="FI-993"/>
    <s v="M-1067"/>
  </r>
  <r>
    <x v="722"/>
    <n v="990"/>
    <x v="0"/>
    <x v="5"/>
    <n v="0"/>
    <x v="11"/>
    <x v="8"/>
    <x v="0"/>
    <x v="0"/>
    <s v="Ninguno"/>
    <s v="Superficie afectada por incendios forestales en Chile"/>
    <s v="Periodo 2010-2020"/>
    <s v="Hectáreas"/>
    <s v="Corporación Nacional Forestal (CONAF)"/>
    <x v="722"/>
    <s v="En los últimos 10 años (2010 y 2020) se produjeron en Chile un total de 63.974  incendios forestales que afectaron una superficie de 1.212.326,0 hectáreas. La causa más relevante en el periodo en comento fue la de &quot;Incendios intencionales&quot; con un total de 23.718 incendios forestales y una superficie afectada de 384.315,4 hectáreas en la región. La cifras anteriores permiten deducir que la superficie promedio por incendio a escala nacional asciende a 19,0 hectáreas/incendio."/>
    <s v="Gráfico animado"/>
    <s v="Chile incendios forestales hectáreas superficie comunas"/>
    <x v="722"/>
    <n v="0"/>
    <s v="#1774B9"/>
    <s v="990-0723"/>
    <n v="99100000"/>
    <s v="T-1046"/>
    <s v="C-1007"/>
    <s v="FI-993"/>
    <s v="M-1068"/>
  </r>
  <r>
    <x v="723"/>
    <n v="990"/>
    <x v="0"/>
    <x v="5"/>
    <n v="1"/>
    <x v="11"/>
    <x v="8"/>
    <x v="1"/>
    <x v="1"/>
    <s v="Ninguno"/>
    <s v="Superficie quemada por incendios forestales por región"/>
    <s v="Periodo 2010-2020"/>
    <s v="Hectáreas"/>
    <s v="Corporación Nacional Forestal (CONAF)"/>
    <x v="723"/>
    <s v="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quot;Faenas forestales&quot;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
    <s v="Gráfico animado"/>
    <s v="Región de Tarapacá incendios forestales hectáreas superficie comunas"/>
    <x v="723"/>
    <s v="100-R-1"/>
    <s v="#1774B9"/>
    <s v="990-0724"/>
    <n v="99200001"/>
    <s v="T-1046"/>
    <s v="C-1007"/>
    <s v="FI-993"/>
    <s v="M-1069"/>
  </r>
  <r>
    <x v="724"/>
    <n v="990"/>
    <x v="0"/>
    <x v="5"/>
    <n v="2"/>
    <x v="11"/>
    <x v="8"/>
    <x v="1"/>
    <x v="2"/>
    <s v="Ninguno"/>
    <s v="Superficie quemada por incendios forestales por región"/>
    <s v="Periodo 2010-2020"/>
    <s v="Hectáreas"/>
    <s v="Corporación Nacional Forestal (CONAF)"/>
    <x v="724"/>
    <s v="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quot;Incendios de causa desconocida&quot;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
    <s v="Gráfico animado"/>
    <s v="Región de Antofagasta incendios forestales hectáreas superficie comunas"/>
    <x v="724"/>
    <s v="100-R-2"/>
    <s v="#1774B9"/>
    <s v="990-0725"/>
    <n v="99200002"/>
    <s v="T-1046"/>
    <s v="C-1007"/>
    <s v="FI-993"/>
    <s v="M-1069"/>
  </r>
  <r>
    <x v="725"/>
    <n v="990"/>
    <x v="0"/>
    <x v="5"/>
    <n v="3"/>
    <x v="11"/>
    <x v="8"/>
    <x v="1"/>
    <x v="3"/>
    <s v="Ninguno"/>
    <s v="Superficie quemada por incendios forestales por región"/>
    <s v="Periodo 2010-2020"/>
    <s v="Hectáreas"/>
    <s v="Corporación Nacional Forestal (CONAF)"/>
    <x v="725"/>
    <s v="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quot;Incendios de causa desconocida&quot;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
    <s v="Gráfico animado"/>
    <s v="Región de Atacama incendios forestales hectáreas superficie comunas"/>
    <x v="725"/>
    <s v="100-R-3"/>
    <s v="#1774B9"/>
    <s v="990-0726"/>
    <n v="99200003"/>
    <s v="T-1046"/>
    <s v="C-1007"/>
    <s v="FI-993"/>
    <s v="M-1069"/>
  </r>
  <r>
    <x v="726"/>
    <n v="990"/>
    <x v="0"/>
    <x v="5"/>
    <n v="4"/>
    <x v="11"/>
    <x v="8"/>
    <x v="1"/>
    <x v="4"/>
    <s v="Ninguno"/>
    <s v="Superficie quemada por incendios forestales por región"/>
    <s v="Periodo 2010-2020"/>
    <s v="Hectáreas"/>
    <s v="Corporación Nacional Forestal (CONAF)"/>
    <x v="726"/>
    <s v="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quot;Accidentes eléctricos&quot;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
    <s v="Gráfico animado"/>
    <s v="Región de Coquimbo incendios forestales hectáreas superficie comunas"/>
    <x v="726"/>
    <s v="100-R-4"/>
    <s v="#1774B9"/>
    <s v="990-0727"/>
    <n v="99200004"/>
    <s v="T-1046"/>
    <s v="C-1007"/>
    <s v="FI-993"/>
    <s v="M-1069"/>
  </r>
  <r>
    <x v="727"/>
    <n v="990"/>
    <x v="0"/>
    <x v="5"/>
    <n v="5"/>
    <x v="11"/>
    <x v="8"/>
    <x v="1"/>
    <x v="5"/>
    <s v="Ninguno"/>
    <s v="Superficie quemada por incendios forestales por región"/>
    <s v="Periodo 2010-2020"/>
    <s v="Hectáreas"/>
    <s v="Corporación Nacional Forestal (CONAF)"/>
    <x v="727"/>
    <s v="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quot;Tránsito de personas  vehículos o aeronaves &quot;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
    <s v="Gráfico animado"/>
    <s v="Región de Valparaíso incendios forestales hectáreas superficie comunas"/>
    <x v="727"/>
    <s v="100-R-5"/>
    <s v="#1774B9"/>
    <s v="990-0728"/>
    <n v="99200005"/>
    <s v="T-1046"/>
    <s v="C-1007"/>
    <s v="FI-993"/>
    <s v="M-1069"/>
  </r>
  <r>
    <x v="728"/>
    <n v="990"/>
    <x v="0"/>
    <x v="5"/>
    <n v="6"/>
    <x v="11"/>
    <x v="8"/>
    <x v="1"/>
    <x v="6"/>
    <s v="Ninguno"/>
    <s v="Superficie quemada por incendios forestales por región"/>
    <s v="Periodo 2010-2020"/>
    <s v="Hectáreas"/>
    <s v="Corporación Nacional Forestal (CONAF)"/>
    <x v="728"/>
    <s v="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quot;Accidentes eléctricos&quot;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
    <s v="Gráfico animado"/>
    <s v="Región de O'Higgins incendios forestales hectáreas superficie comunas"/>
    <x v="728"/>
    <s v="100-R-6"/>
    <s v="#1774B9"/>
    <s v="990-0729"/>
    <n v="99200006"/>
    <s v="T-1046"/>
    <s v="C-1007"/>
    <s v="FI-993"/>
    <s v="M-1069"/>
  </r>
  <r>
    <x v="729"/>
    <n v="990"/>
    <x v="0"/>
    <x v="5"/>
    <n v="7"/>
    <x v="11"/>
    <x v="8"/>
    <x v="1"/>
    <x v="7"/>
    <s v="Ninguno"/>
    <s v="Superficie quemada por incendios forestales por región"/>
    <s v="Periodo 2010-2020"/>
    <s v="Hectáreas"/>
    <s v="Corporación Nacional Forestal (CONAF)"/>
    <x v="729"/>
    <s v="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quot;Incendios de causa desconocida&quot;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
    <s v="Gráfico animado"/>
    <s v="Región de Maule incendios forestales hectáreas superficie comunas"/>
    <x v="729"/>
    <s v="100-R-7"/>
    <s v="#1774B9"/>
    <s v="990-0730"/>
    <n v="99200007"/>
    <s v="T-1046"/>
    <s v="C-1007"/>
    <s v="FI-993"/>
    <s v="M-1069"/>
  </r>
  <r>
    <x v="730"/>
    <n v="990"/>
    <x v="0"/>
    <x v="5"/>
    <n v="8"/>
    <x v="11"/>
    <x v="8"/>
    <x v="1"/>
    <x v="8"/>
    <s v="Ninguno"/>
    <s v="Superficie quemada por incendios forestales por región"/>
    <s v="Periodo 2010-2020"/>
    <s v="Hectáreas"/>
    <s v="Corporación Nacional Forestal (CONAF)"/>
    <x v="730"/>
    <s v="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quot;Incendios intencionales&quot;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
    <s v="Gráfico animado"/>
    <s v="Región del Biobío incendios forestales hectáreas superficie comunas"/>
    <x v="730"/>
    <s v="100-R-8"/>
    <s v="#1774B9"/>
    <s v="990-0731"/>
    <n v="99200008"/>
    <s v="T-1046"/>
    <s v="C-1007"/>
    <s v="FI-993"/>
    <s v="M-1069"/>
  </r>
  <r>
    <x v="731"/>
    <n v="990"/>
    <x v="0"/>
    <x v="5"/>
    <n v="9"/>
    <x v="11"/>
    <x v="8"/>
    <x v="1"/>
    <x v="9"/>
    <s v="Ninguno"/>
    <s v="Superficie quemada por incendios forestales por región"/>
    <s v="Periodo 2010-2020"/>
    <s v="Hectáreas"/>
    <s v="Corporación Nacional Forestal (CONAF)"/>
    <x v="731"/>
    <s v="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quot;Incendios intencionales&quot;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
    <s v="Gráfico animado"/>
    <s v="Región de La Araucanía incendios forestales hectáreas superficie comunas"/>
    <x v="731"/>
    <s v="100-R-9"/>
    <s v="#1774B9"/>
    <s v="990-0732"/>
    <n v="99200009"/>
    <s v="T-1046"/>
    <s v="C-1007"/>
    <s v="FI-993"/>
    <s v="M-1069"/>
  </r>
  <r>
    <x v="732"/>
    <n v="990"/>
    <x v="0"/>
    <x v="5"/>
    <n v="10"/>
    <x v="11"/>
    <x v="8"/>
    <x v="1"/>
    <x v="10"/>
    <s v="Ninguno"/>
    <s v="Superficie quemada por incendios forestales por región"/>
    <s v="Periodo 2010-2020"/>
    <s v="Hectáreas"/>
    <s v="Corporación Nacional Forestal (CONAF)"/>
    <x v="732"/>
    <s v="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quot;Faenas forestales&quot;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
    <s v="Gráfico animado"/>
    <s v="Región de Los Lagos incendios forestales hectáreas superficie comunas"/>
    <x v="732"/>
    <s v="100-R-10"/>
    <s v="#1774B9"/>
    <s v="990-0733"/>
    <n v="99200010"/>
    <s v="T-1046"/>
    <s v="C-1007"/>
    <s v="FI-993"/>
    <s v="M-1069"/>
  </r>
  <r>
    <x v="733"/>
    <n v="990"/>
    <x v="0"/>
    <x v="5"/>
    <n v="11"/>
    <x v="11"/>
    <x v="8"/>
    <x v="1"/>
    <x v="11"/>
    <s v="Ninguno"/>
    <s v="Superficie quemada por incendios forestales por región"/>
    <s v="Periodo 2010-2020"/>
    <s v="Hectáreas"/>
    <s v="Corporación Nacional Forestal (CONAF)"/>
    <x v="733"/>
    <s v="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ot;Quema de desechos&quot;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
    <s v="Gráfico animado"/>
    <s v="Región de Aysén incendios forestales hectáreas superficie comunas"/>
    <x v="733"/>
    <s v="100-R-11"/>
    <s v="#1774B9"/>
    <s v="990-0734"/>
    <n v="99200011"/>
    <s v="T-1046"/>
    <s v="C-1007"/>
    <s v="FI-993"/>
    <s v="M-1069"/>
  </r>
  <r>
    <x v="734"/>
    <n v="990"/>
    <x v="0"/>
    <x v="5"/>
    <n v="12"/>
    <x v="11"/>
    <x v="8"/>
    <x v="1"/>
    <x v="12"/>
    <s v="Ninguno"/>
    <s v="Superficie quemada por incendios forestales por región"/>
    <s v="Periodo 2010-2020"/>
    <s v="Hectáreas"/>
    <s v="Corporación Nacional Forestal (CONAF)"/>
    <x v="734"/>
    <s v="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quot;Tránsito de personas  vehículos o aeronaves &quot;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
    <s v="Gráfico animado"/>
    <s v="Región de Magallanes incendios forestales hectáreas superficie comunas"/>
    <x v="734"/>
    <s v="100-R-12"/>
    <s v="#1774B9"/>
    <s v="990-0735"/>
    <n v="99200012"/>
    <s v="T-1046"/>
    <s v="C-1007"/>
    <s v="FI-993"/>
    <s v="M-1069"/>
  </r>
  <r>
    <x v="735"/>
    <n v="990"/>
    <x v="0"/>
    <x v="5"/>
    <n v="13"/>
    <x v="11"/>
    <x v="8"/>
    <x v="1"/>
    <x v="13"/>
    <s v="Ninguno"/>
    <s v="Superficie quemada por incendios forestales por región"/>
    <s v="Periodo 2010-2020"/>
    <s v="Hectáreas"/>
    <s v="Corporación Nacional Forestal (CONAF)"/>
    <x v="735"/>
    <s v="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quot;Tránsito de personas  vehículos o aeronaves &quot;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
    <s v="Gráfico animado"/>
    <s v="Región Metropolitana incendios forestales hectáreas superficie comunas"/>
    <x v="735"/>
    <s v="200-R-13"/>
    <s v="#1774B9"/>
    <s v="990-0736"/>
    <n v="99200013"/>
    <s v="T-1046"/>
    <s v="C-1007"/>
    <s v="FI-993"/>
    <s v="M-1069"/>
  </r>
  <r>
    <x v="736"/>
    <n v="990"/>
    <x v="0"/>
    <x v="5"/>
    <n v="14"/>
    <x v="11"/>
    <x v="8"/>
    <x v="1"/>
    <x v="14"/>
    <s v="Ninguno"/>
    <s v="Superficie quemada por incendios forestales por región"/>
    <s v="Periodo 2010-2020"/>
    <s v="Hectáreas"/>
    <s v="Corporación Nacional Forestal (CONAF)"/>
    <x v="736"/>
    <s v="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quot;Faenas agríolas y pecuarias&quot;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
    <s v="Gráfico animado"/>
    <s v="Región de Los Ríos incendios forestales hectáreas superficie comunas"/>
    <x v="736"/>
    <s v="100-R-14"/>
    <s v="#1774B9"/>
    <s v="990-0737"/>
    <n v="99200014"/>
    <s v="T-1046"/>
    <s v="C-1007"/>
    <s v="FI-993"/>
    <s v="M-1069"/>
  </r>
  <r>
    <x v="737"/>
    <n v="990"/>
    <x v="0"/>
    <x v="5"/>
    <n v="15"/>
    <x v="11"/>
    <x v="8"/>
    <x v="1"/>
    <x v="15"/>
    <s v="Ninguno"/>
    <s v="Superficie quemada por incendios forestales por región"/>
    <s v="Periodo 2010-2020"/>
    <s v="Hectáreas"/>
    <s v="Corporación Nacional Forestal (CONAF)"/>
    <x v="737"/>
    <s v="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quot;Faenas forestales&quot;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
    <s v="Gráfico animado"/>
    <s v="Región de Arica y Parinacota incendios forestales hectáreas superficie comunas"/>
    <x v="737"/>
    <s v="100-R-15"/>
    <s v="#1774B9"/>
    <s v="990-0738"/>
    <n v="99200015"/>
    <s v="T-1046"/>
    <s v="C-1007"/>
    <s v="FI-993"/>
    <s v="M-1069"/>
  </r>
  <r>
    <x v="738"/>
    <n v="990"/>
    <x v="0"/>
    <x v="5"/>
    <n v="16"/>
    <x v="11"/>
    <x v="8"/>
    <x v="1"/>
    <x v="16"/>
    <s v="Ninguno"/>
    <s v="Superficie quemada por incendios forestales por región"/>
    <s v="Periodo 2010-2020"/>
    <s v="Hectáreas"/>
    <s v="Corporación Nacional Forestal (CONAF)"/>
    <x v="738"/>
    <s v="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quot;Incendios de causa desconocida&quot;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
    <s v="Gráfico animado"/>
    <s v="Región de Ñuble incendios forestales hectáreas superficie comunas"/>
    <x v="738"/>
    <s v="100-R-16"/>
    <s v="#1774B9"/>
    <s v="990-0739"/>
    <n v="99200016"/>
    <s v="T-1046"/>
    <s v="C-1007"/>
    <s v="FI-993"/>
    <s v="M-1069"/>
  </r>
  <r>
    <x v="739"/>
    <n v="990"/>
    <x v="0"/>
    <x v="5"/>
    <n v="0"/>
    <x v="11"/>
    <x v="8"/>
    <x v="0"/>
    <x v="0"/>
    <s v="Ninguno"/>
    <s v="Número y Superficie de incendios por causa"/>
    <s v="Periodo 2010-2020"/>
    <s v="Número de incendios y Hectáreas"/>
    <s v="Corporación Nacional Forestal (CONAF)"/>
    <x v="739"/>
    <s v="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quot;Incendios intencionales&quot; . En cuanto a superficie, en la temporada 2016-2017 más de 515.000 hectáreas sufrieron incendios, siendo la causa mayoritaria la definida como &quot;Desconocida (se investiga pero no es posible establecer la causa origen)&quot; (174.368,1 ha) lo que representa un 68,1% de la superficie afectada en la temporada mencionada."/>
    <s v="Dashboard"/>
    <s v="Chile incendios forestales hectáreas superficie cantidad número causa plantaciones temporada fuego"/>
    <x v="739"/>
    <n v="0"/>
    <s v="#1774B9"/>
    <s v="990-0740"/>
    <n v="99100000"/>
    <s v="T-1046"/>
    <s v="C-1007"/>
    <s v="FI-993"/>
    <s v="M-1070"/>
  </r>
  <r>
    <x v="740"/>
    <n v="990"/>
    <x v="0"/>
    <x v="5"/>
    <n v="3"/>
    <x v="11"/>
    <x v="8"/>
    <x v="1"/>
    <x v="3"/>
    <s v="Ninguno"/>
    <s v="Número y Superficie de incendios por causa"/>
    <s v="Periodo 2010-2020"/>
    <s v="Número de incendios y Hectáreas"/>
    <s v="Corporación Nacional Forestal (CONAF)"/>
    <x v="740"/>
    <s v="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quot;Desconocida (se investiga pero no es posible establecer la causa origen)&quot; . En cuanto a superficie, en la temporada 2015-2016 más de 39 hectáreas sufrieron incendios, siendo la causa mayoritaria la definida como &quot;Desconocida (se investiga pero no es posible establecer la causa origen)&quot; (39,3 ha) lo que representa un 100,0% de la superficie afectada en la temporada mencionada."/>
    <s v="Dashboard"/>
    <s v="Región de Atacama incendios forestales hectáreas superficie cantidad número causa plantaciones temporada fuego"/>
    <x v="740"/>
    <s v="100-R-3"/>
    <s v="#1774B9"/>
    <s v="990-0741"/>
    <n v="99200003"/>
    <s v="T-1046"/>
    <s v="C-1007"/>
    <s v="FI-993"/>
    <s v="M-1070"/>
  </r>
  <r>
    <x v="741"/>
    <n v="990"/>
    <x v="0"/>
    <x v="5"/>
    <n v="4"/>
    <x v="11"/>
    <x v="8"/>
    <x v="1"/>
    <x v="4"/>
    <s v="Ninguno"/>
    <s v="Número y Superficie de incendios por causa"/>
    <s v="Periodo 2010-2020"/>
    <s v="Número de incendios y Hectáreas"/>
    <s v="Corporación Nacional Forestal (CONAF)"/>
    <x v="741"/>
    <s v="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quot;Uso de fuego por transeúntes&quot; . En cuanto a superficie, en la temporada 2010-2011 más de 281 hectáreas sufrieron incendios, siendo la causa mayoritaria la definida como &quot;Uso de fuego por transeúntes&quot; (202,5 ha) lo que representa un 72,2% de la superficie afectada en la temporada mencionada."/>
    <s v="Dashboard"/>
    <s v="Región de Coquimbo incendios forestales hectáreas superficie cantidad número causa plantaciones temporada fuego"/>
    <x v="741"/>
    <s v="100-R-4"/>
    <s v="#1774B9"/>
    <s v="990-0742"/>
    <n v="99200004"/>
    <s v="T-1046"/>
    <s v="C-1007"/>
    <s v="FI-993"/>
    <s v="M-1070"/>
  </r>
  <r>
    <x v="742"/>
    <n v="990"/>
    <x v="0"/>
    <x v="5"/>
    <n v="5"/>
    <x v="11"/>
    <x v="8"/>
    <x v="1"/>
    <x v="5"/>
    <s v="Ninguno"/>
    <s v="Número y Superficie de incendios por causa"/>
    <s v="Periodo 2010-2020"/>
    <s v="Número de incendios y Hectáreas"/>
    <s v="Corporación Nacional Forestal (CONAF)"/>
    <x v="742"/>
    <s v="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quot;Uso de fuego por transeúntes&quot; . En cuanto a superficie, en la temporada 2016-2017 más de 17.232 hectáreas sufrieron incendios, siendo la causa mayoritaria la definida como &quot;Uso de fuego por transeúntes&quot; (11.727,9 ha) lo que representa un 68,1% de la superficie afectada en la temporada mencionada."/>
    <s v="Dashboard"/>
    <s v="Región de Valparaíso incendios forestales hectáreas superficie cantidad número causa plantaciones temporada fuego"/>
    <x v="742"/>
    <s v="100-R-5"/>
    <s v="#1774B9"/>
    <s v="990-0743"/>
    <n v="99200005"/>
    <s v="T-1046"/>
    <s v="C-1007"/>
    <s v="FI-993"/>
    <s v="M-1070"/>
  </r>
  <r>
    <x v="743"/>
    <n v="990"/>
    <x v="0"/>
    <x v="5"/>
    <n v="6"/>
    <x v="11"/>
    <x v="8"/>
    <x v="1"/>
    <x v="6"/>
    <s v="Ninguno"/>
    <s v="Número y Superficie de incendios por causa"/>
    <s v="Periodo 2010-2020"/>
    <s v="Número de incendios y Hectáreas"/>
    <s v="Corporación Nacional Forestal (CONAF)"/>
    <x v="743"/>
    <s v="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quot;Uso de fuego por transeúntes&quot; . En cuanto a superficie, en la temporada 2016-2017 más de 99.930 hectáreas sufrieron incendios, siendo la causa mayoritaria la definida como &quot;Corte de cable por caí­da de tendido eléctrico o postación&quot; (65.072,8 ha) lo que representa un 65,1% de la superficie afectada en la temporada mencionada."/>
    <s v="Dashboard"/>
    <s v="Región de O'Higgins incendios forestales hectáreas superficie cantidad número causa plantaciones temporada fuego"/>
    <x v="743"/>
    <s v="100-R-6"/>
    <s v="#1774B9"/>
    <s v="990-0744"/>
    <n v="99200006"/>
    <s v="T-1046"/>
    <s v="C-1007"/>
    <s v="FI-993"/>
    <s v="M-1070"/>
  </r>
  <r>
    <x v="744"/>
    <n v="990"/>
    <x v="0"/>
    <x v="5"/>
    <n v="7"/>
    <x v="11"/>
    <x v="8"/>
    <x v="1"/>
    <x v="7"/>
    <s v="Ninguno"/>
    <s v="Número y Superficie de incendios por causa"/>
    <s v="Periodo 2010-2020"/>
    <s v="Número de incendios y Hectáreas"/>
    <s v="Corporación Nacional Forestal (CONAF)"/>
    <x v="744"/>
    <s v="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quot;Uso de fuego por transeúntes&quot; . En cuanto a superficie, en la temporada 2016-2017 más de 250.020 hectáreas sufrieron incendios, siendo la causa mayoritaria la definida como &quot;Desconocida (se investiga pero no es posible establecer la causa origen)&quot; (162.909,4 ha) lo que representa un 65,2% de la superficie afectada en la temporada mencionada."/>
    <s v="Dashboard"/>
    <s v="Región de Maule incendios forestales hectáreas superficie cantidad número causa plantaciones temporada fuego"/>
    <x v="744"/>
    <s v="100-R-7"/>
    <s v="#1774B9"/>
    <s v="990-0745"/>
    <n v="99200007"/>
    <s v="T-1046"/>
    <s v="C-1007"/>
    <s v="FI-993"/>
    <s v="M-1070"/>
  </r>
  <r>
    <x v="745"/>
    <n v="990"/>
    <x v="0"/>
    <x v="5"/>
    <n v="8"/>
    <x v="11"/>
    <x v="8"/>
    <x v="1"/>
    <x v="8"/>
    <s v="Ninguno"/>
    <s v="Número y Superficie de incendios por causa"/>
    <s v="Periodo 2010-2020"/>
    <s v="Número de incendios y Hectáreas"/>
    <s v="Corporación Nacional Forestal (CONAF)"/>
    <x v="745"/>
    <s v="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quot;Uso de fuego por transeúntes&quot; . En cuanto a superficie, en la temporada 2016-2017 más de 84.002 hectáreas sufrieron incendios, siendo la causa mayoritaria la definida como &quot;Otros intencionales no clasificados&quot; (57.259,6 ha) lo que representa un 68,2% de la superficie afectada en la temporada mencionada."/>
    <s v="Dashboard"/>
    <s v="Región del Biobío incendios forestales hectáreas superficie cantidad número causa plantaciones temporada fuego"/>
    <x v="745"/>
    <s v="100-R-8"/>
    <s v="#1774B9"/>
    <s v="990-0746"/>
    <n v="99200008"/>
    <s v="T-1046"/>
    <s v="C-1007"/>
    <s v="FI-993"/>
    <s v="M-1070"/>
  </r>
  <r>
    <x v="746"/>
    <n v="990"/>
    <x v="0"/>
    <x v="5"/>
    <n v="9"/>
    <x v="11"/>
    <x v="8"/>
    <x v="1"/>
    <x v="9"/>
    <s v="Ninguno"/>
    <s v="Número y Superficie de incendios por causa"/>
    <s v="Periodo 2010-2020"/>
    <s v="Número de incendios y Hectáreas"/>
    <s v="Corporación Nacional Forestal (CONAF)"/>
    <x v="746"/>
    <s v="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quot;Vandalismo (excluidos terrorismo y atentado incendiario)&quot; . En cuanto a superficie, en la temporada 2019-2020 más de 31.648 hectáreas sufrieron incendios, siendo la causa mayoritaria la definida como &quot;Vandalismo (excluidos terrorismo y atentado incendiario)&quot; (11.742,8 ha) lo que representa un 37,1% de la superficie afectada en la temporada mencionada."/>
    <s v="Dashboard"/>
    <s v="Región de La Araucanía incendios forestales hectáreas superficie cantidad número causa plantaciones temporada fuego"/>
    <x v="746"/>
    <s v="100-R-9"/>
    <s v="#1774B9"/>
    <s v="990-0747"/>
    <n v="99200009"/>
    <s v="T-1046"/>
    <s v="C-1007"/>
    <s v="FI-993"/>
    <s v="M-1070"/>
  </r>
  <r>
    <x v="747"/>
    <n v="990"/>
    <x v="0"/>
    <x v="5"/>
    <n v="10"/>
    <x v="11"/>
    <x v="8"/>
    <x v="1"/>
    <x v="10"/>
    <s v="Ninguno"/>
    <s v="Número y Superficie de incendios por causa"/>
    <s v="Periodo 2010-2020"/>
    <s v="Número de incendios y Hectáreas"/>
    <s v="Corporación Nacional Forestal (CONAF)"/>
    <x v="747"/>
    <s v="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quot;Uso de fuego por transeúntes&quot; . En cuanto a superficie, en la temporada 2014-2015 más de 710 hectáreas sufrieron incendios, siendo la causa mayoritaria la definida como &quot;Quema ilegal de desechos agrí­colas&quot; (282,8 ha) lo que representa un 39,8% de la superficie afectada en la temporada mencionada."/>
    <s v="Dashboard"/>
    <s v="Región de Los Lagos incendios forestales hectáreas superficie cantidad número causa plantaciones temporada fuego"/>
    <x v="747"/>
    <s v="100-R-10"/>
    <s v="#1774B9"/>
    <s v="990-0748"/>
    <n v="99200010"/>
    <s v="T-1046"/>
    <s v="C-1007"/>
    <s v="FI-993"/>
    <s v="M-1070"/>
  </r>
  <r>
    <x v="748"/>
    <n v="990"/>
    <x v="0"/>
    <x v="5"/>
    <n v="11"/>
    <x v="11"/>
    <x v="8"/>
    <x v="1"/>
    <x v="11"/>
    <s v="Ninguno"/>
    <s v="Número y Superficie de incendios por causa"/>
    <s v="Periodo 2010-2020"/>
    <s v="Número de incendios y Hectáreas"/>
    <s v="Corporación Nacional Forestal (CONAF)"/>
    <x v="748"/>
    <s v="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quot;No determinada (la causa no es investigada)&quot; . En cuanto a superficie, en la temporada 2015-2016 más de 2.190 hectáreas sufrieron incendios, siendo la causa mayoritaria la definida como &quot;Uso de fuego para actividades recreativas en áreas no habilitadas  (excursionistas  paseantes  asados)&quot; (2.186,5 ha) lo que representa un 99,8% de la superficie afectada en la temporada mencionada."/>
    <s v="Dashboard"/>
    <s v="Región de Aysén incendios forestales hectáreas superficie cantidad número causa plantaciones temporada fuego"/>
    <x v="748"/>
    <s v="100-R-11"/>
    <s v="#1774B9"/>
    <s v="990-0749"/>
    <n v="99200011"/>
    <s v="T-1046"/>
    <s v="C-1007"/>
    <s v="FI-993"/>
    <s v="M-1070"/>
  </r>
  <r>
    <x v="749"/>
    <n v="990"/>
    <x v="0"/>
    <x v="5"/>
    <n v="12"/>
    <x v="11"/>
    <x v="8"/>
    <x v="1"/>
    <x v="12"/>
    <s v="Ninguno"/>
    <s v="Número y Superficie de incendios por causa"/>
    <s v="Periodo 2010-2020"/>
    <s v="Número de incendios y Hectáreas"/>
    <s v="Corporación Nacional Forestal (CONAF)"/>
    <x v="749"/>
    <s v="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quot;Todas&quot; . En cuanto a superficie, en la temporada 2011-2012 más de 17.606 hectáreas sufrieron incendios, siendo la causa mayoritaria la definida como &quot;Uso de fuego por transeúntes&quot; (17.606,3 ha) lo que representa un 100,0% de la superficie afectada en la temporada mencionada."/>
    <s v="Dashboard"/>
    <s v="Región de Magallanes incendios forestales hectáreas superficie cantidad número causa plantaciones temporada fuego"/>
    <x v="749"/>
    <s v="100-R-12"/>
    <s v="#1774B9"/>
    <s v="990-0750"/>
    <n v="99200012"/>
    <s v="T-1046"/>
    <s v="C-1007"/>
    <s v="FI-993"/>
    <s v="M-1070"/>
  </r>
  <r>
    <x v="750"/>
    <n v="990"/>
    <x v="0"/>
    <x v="5"/>
    <n v="13"/>
    <x v="11"/>
    <x v="8"/>
    <x v="1"/>
    <x v="13"/>
    <s v="Ninguno"/>
    <s v="Número y Superficie de incendios por causa"/>
    <s v="Periodo 2010-2020"/>
    <s v="Número de incendios y Hectáreas"/>
    <s v="Corporación Nacional Forestal (CONAF)"/>
    <x v="750"/>
    <s v="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quot;Uso de fuego por transeúntes&quot; . En cuanto a superficie, en la temporada 2016-2017 más de 23.791 hectáreas sufrieron incendios, siendo la causa mayoritaria la definida como &quot;Soldadura y montaje de estructuras varias (torres de alta tensión  oleoductos  etc.)&quot; (7.990,5 ha) lo que representa un 33,6% de la superficie afectada en la temporada mencionada."/>
    <s v="Dashboard"/>
    <s v="Región Metropolitana incendios forestales hectáreas superficie cantidad número causa plantaciones temporada fuego"/>
    <x v="750"/>
    <s v="200-R-13"/>
    <s v="#1774B9"/>
    <s v="990-0751"/>
    <n v="99200013"/>
    <s v="T-1046"/>
    <s v="C-1007"/>
    <s v="FI-993"/>
    <s v="M-1070"/>
  </r>
  <r>
    <x v="751"/>
    <n v="990"/>
    <x v="0"/>
    <x v="5"/>
    <n v="14"/>
    <x v="11"/>
    <x v="8"/>
    <x v="1"/>
    <x v="14"/>
    <s v="Ninguno"/>
    <s v="Número y Superficie de incendios por causa"/>
    <s v="Periodo 2010-2020"/>
    <s v="Número de incendios y Hectáreas"/>
    <s v="Corporación Nacional Forestal (CONAF)"/>
    <x v="751"/>
    <s v="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quot;Desconocida (se investiga pero no es posible establecer la causa origen)&quot; . En cuanto a superficie, en la temporada 2015-2016 más de 642 hectáreas sufrieron incendios, siendo la causa mayoritaria la definida como &quot;Uso de fuego en zonas de faenas agropecuarias (alimentación y calefacción)&quot; (247,7 ha) lo que representa un 38,6% de la superficie afectada en la temporada mencionada."/>
    <s v="Dashboard"/>
    <s v="Región de Los Ríos incendios forestales hectáreas superficie cantidad número causa plantaciones temporada fuego"/>
    <x v="751"/>
    <s v="100-R-14"/>
    <s v="#1774B9"/>
    <s v="990-0752"/>
    <n v="99200014"/>
    <s v="T-1046"/>
    <s v="C-1007"/>
    <s v="FI-993"/>
    <s v="M-1070"/>
  </r>
  <r>
    <x v="752"/>
    <n v="990"/>
    <x v="0"/>
    <x v="5"/>
    <n v="16"/>
    <x v="11"/>
    <x v="8"/>
    <x v="1"/>
    <x v="16"/>
    <s v="Ninguno"/>
    <s v="Número y Superficie de incendios por causa"/>
    <s v="Periodo 2010-2020"/>
    <s v="Número de incendios y Hectáreas"/>
    <s v="Corporación Nacional Forestal (CONAF)"/>
    <x v="752"/>
    <s v="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quot;Otros intencionales no clasificados&quot; . En cuanto a superficie, en la temporada 2016-2017 más de 32.583 hectáreas sufrieron incendios, siendo la causa mayoritaria la definida como &quot;Niños jugando con fuego&quot; (12.249,4 ha) lo que representa un 37,6% de la superficie afectada en la temporada mencionada."/>
    <s v="Dashboard"/>
    <s v="Región de Ñuble incendios forestales hectáreas superficie cantidad número causa plantaciones temporada fuego"/>
    <x v="752"/>
    <s v="100-R-16"/>
    <s v="#1774B9"/>
    <s v="990-0753"/>
    <n v="99200016"/>
    <s v="T-1046"/>
    <s v="C-1007"/>
    <s v="FI-993"/>
    <s v="M-1070"/>
  </r>
  <r>
    <x v="753"/>
    <n v="990"/>
    <x v="0"/>
    <x v="5"/>
    <n v="0"/>
    <x v="11"/>
    <x v="8"/>
    <x v="0"/>
    <x v="0"/>
    <s v="Ninguno"/>
    <s v="Número y Superficie de incendios por causa"/>
    <s v="Periodo 2010-2020"/>
    <s v="Número de incendios y Hectáreas"/>
    <s v="Corporación Nacional Forestal (CONAF)"/>
    <x v="753"/>
    <s v="La superficie total afectada por incendios forestales entre los años 2010 y 2020 en Chile fue de 1.212.326,0 hectáreas. Durante la temporada 2016-2017 se afectaron 570.197,1 hectáreas en la región, siendo la causa general más recurrente reportada la de &quot;Incendios de causa desconocida&quot; con 177.898,1 hectáreas afectadas. De esta superficie, 174.710,1 hectáreas fueron clasificadas dentro de la causa específica &quot;Desconocida (se investiga pero no es posible establecer la causa origen)&quot; lo que representa un 98,2% de la Causa General."/>
    <s v="Dashboard"/>
    <s v="Chile incendios forestales hectáreas superficie cantidad número causa general específica temporada fuego"/>
    <x v="753"/>
    <s v="300-R"/>
    <s v="#1774B9"/>
    <s v="990-0754"/>
    <n v="99100000"/>
    <s v="T-1046"/>
    <s v="C-1007"/>
    <s v="FI-993"/>
    <s v="M-1070"/>
  </r>
  <r>
    <x v="754"/>
    <n v="990"/>
    <x v="0"/>
    <x v="5"/>
    <n v="1"/>
    <x v="11"/>
    <x v="8"/>
    <x v="1"/>
    <x v="1"/>
    <s v="Ninguno"/>
    <s v="Número y Superficie de incendios por causa"/>
    <s v="Periodo 2010-2020"/>
    <s v="Número de incendios y Hectáreas"/>
    <s v="Corporación Nacional Forestal (CONAF)"/>
    <x v="754"/>
    <s v="La superficie total afectada por incendios forestales entre los años 2010 y 2020 en la Región de Tarapacá fue de 8,8 hectáreas. Durante la temporada 2019-2020 se afectaron 6,8 hectáreas en la región, siendo la causa general más recurrente reportada la de &quot;Faenas forestales&quot; con 5,5 hectáreas afectadas. De esta superficie, 5,0 hectáreas fueron clasificadas dentro de la causa específica &quot;Quema ilegal con otros fines forestales (quema sanitaria  manejo de vida silvestre  etc.)&quot; lo que representa un 90,9% de la Causa General."/>
    <s v="Dashboard"/>
    <s v="Región de Tarapacá incendios forestales hectáreas superficie cantidad número causa general específica temporada fuego"/>
    <x v="754"/>
    <s v="100-R-1"/>
    <s v="#1774B9"/>
    <s v="990-0755"/>
    <n v="99200001"/>
    <s v="T-1046"/>
    <s v="C-1007"/>
    <s v="FI-993"/>
    <s v="M-1070"/>
  </r>
  <r>
    <x v="755"/>
    <n v="990"/>
    <x v="0"/>
    <x v="5"/>
    <n v="2"/>
    <x v="11"/>
    <x v="8"/>
    <x v="1"/>
    <x v="2"/>
    <s v="Ninguno"/>
    <s v="Número y Superficie de incendios por causa"/>
    <s v="Periodo 2010-2020"/>
    <s v="Número de incendios y Hectáreas"/>
    <s v="Corporación Nacional Forestal (CONAF)"/>
    <x v="755"/>
    <s v="La superficie total afectada por incendios forestales entre los años 2010 y 2020 en la Región de Antofagasta fue de 54,3 hectáreas. Durante la temporada 2019-2020 se afectaron 54,3 hectáreas en la región, siendo la causa general más recurrente reportada la de &quot;Incendios de causa desconocida&quot; con 50,5 hectáreas afectadas. De esta superficie, 50,1 hectáreas fueron clasificadas dentro de la causa específica &quot;Desconocida (se investiga pero no es posible establecer la causa origen)&quot; lo que representa un 99,2% de la Causa General."/>
    <s v="Dashboard"/>
    <s v="Región de Antofagasta incendios forestales hectáreas superficie cantidad número causa general específica temporada fuego"/>
    <x v="755"/>
    <s v="100-R-2"/>
    <s v="#1774B9"/>
    <s v="990-0756"/>
    <n v="99200002"/>
    <s v="T-1046"/>
    <s v="C-1007"/>
    <s v="FI-993"/>
    <s v="M-1070"/>
  </r>
  <r>
    <x v="756"/>
    <n v="990"/>
    <x v="0"/>
    <x v="5"/>
    <n v="3"/>
    <x v="11"/>
    <x v="8"/>
    <x v="1"/>
    <x v="3"/>
    <s v="Ninguno"/>
    <s v="Número y Superficie de incendios por causa"/>
    <s v="Periodo 2010-2020"/>
    <s v="Número de incendios y Hectáreas"/>
    <s v="Corporación Nacional Forestal (CONAF)"/>
    <x v="756"/>
    <s v="La superficie total afectada por incendios forestales entre los años 2010 y 2020 en la Región de Atacama fue de 341,7 hectáreas. Durante la temporada 2015-2016 se afectaron 103,6 hectáreas en la región, siendo la causa general más recurrente reportada la de &quot;Incendios de causa desconocida&quot; con 103,6 hectáreas afectadas. De esta superficie, 103,6 hectáreas fueron clasificadas dentro de la causa específica &quot;Desconocida (se investiga pero no es posible establecer la causa origen)&quot; lo que representa un 100,0% de la Causa General."/>
    <s v="Dashboard"/>
    <s v="Región de Atacama incendios forestales hectáreas superficie cantidad número causa general específica temporada fuego"/>
    <x v="756"/>
    <s v="100-R-3"/>
    <s v="#1774B9"/>
    <s v="990-0757"/>
    <n v="99200003"/>
    <s v="T-1046"/>
    <s v="C-1007"/>
    <s v="FI-993"/>
    <s v="M-1070"/>
  </r>
  <r>
    <x v="757"/>
    <n v="990"/>
    <x v="0"/>
    <x v="5"/>
    <n v="4"/>
    <x v="11"/>
    <x v="8"/>
    <x v="1"/>
    <x v="4"/>
    <s v="Ninguno"/>
    <s v="Número y Superficie de incendios por causa"/>
    <s v="Periodo 2010-2020"/>
    <s v="Número de incendios y Hectáreas"/>
    <s v="Corporación Nacional Forestal (CONAF)"/>
    <x v="757"/>
    <s v="La superficie total afectada por incendios forestales entre los años 2010 y 2020 en la Región de Coquimbo fue de 7.960,1 hectáreas. Durante la temporada 2016-2017 se afectaron 3.639,8 hectáreas en la región, siendo la causa general más recurrente reportada la de &quot;Accidentes eléctricos&quot; con 3.160,9 hectáreas afectadas. De esta superficie, 3.106,2 hectáreas fueron clasificadas dentro de la causa específica &quot;Corte de cable por otro accidente o acción no clasificada&quot; lo que representa un 98,3% de la Causa General."/>
    <s v="Dashboard"/>
    <s v="Región de Coquimbo incendios forestales hectáreas superficie cantidad número causa general específica temporada fuego"/>
    <x v="757"/>
    <s v="100-R-4"/>
    <s v="#1774B9"/>
    <s v="990-0758"/>
    <n v="99200004"/>
    <s v="T-1046"/>
    <s v="C-1007"/>
    <s v="FI-993"/>
    <s v="M-1070"/>
  </r>
  <r>
    <x v="758"/>
    <n v="990"/>
    <x v="0"/>
    <x v="5"/>
    <n v="5"/>
    <x v="11"/>
    <x v="8"/>
    <x v="1"/>
    <x v="5"/>
    <s v="Ninguno"/>
    <s v="Número y Superficie de incendios por causa"/>
    <s v="Periodo 2010-2020"/>
    <s v="Número de incendios y Hectáreas"/>
    <s v="Corporación Nacional Forestal (CONAF)"/>
    <x v="758"/>
    <s v="La superficie total afectada por incendios forestales entre los años 2010 y 2020 en la Región de Valparaíso fue de 81.197,1 hectáreas. Durante la temporada 2016-2017 se afectaron 27.118,1 hectáreas en la región, siendo la causa general más recurrente reportada la de &quot;Tránsito de personas  vehículos o aeronaves &quot; con 16.663,3 hectáreas afectadas. De esta superficie, 16.637,7 hectáreas fueron clasificadas dentro de la causa específica &quot;Uso de fuego por transeúntes&quot; lo que representa un 99,8% de la Causa General."/>
    <s v="Dashboard"/>
    <s v="Región de Valparaíso incendios forestales hectáreas superficie cantidad número causa general específica temporada fuego"/>
    <x v="758"/>
    <s v="100-R-5"/>
    <s v="#1774B9"/>
    <s v="990-0759"/>
    <n v="99200005"/>
    <s v="T-1046"/>
    <s v="C-1007"/>
    <s v="FI-993"/>
    <s v="M-1070"/>
  </r>
  <r>
    <x v="759"/>
    <n v="990"/>
    <x v="0"/>
    <x v="5"/>
    <n v="6"/>
    <x v="11"/>
    <x v="8"/>
    <x v="1"/>
    <x v="6"/>
    <s v="Ninguno"/>
    <s v="Número y Superficie de incendios por causa"/>
    <s v="Periodo 2010-2020"/>
    <s v="Número de incendios y Hectáreas"/>
    <s v="Corporación Nacional Forestal (CONAF)"/>
    <x v="759"/>
    <s v="La superficie total afectada por incendios forestales entre los años 2010 y 2020 en la Región de O'Higgins fue de 157.791,6 hectáreas. Durante la temporada 2016-2017 se afectaron 105.542,9 hectáreas en la región, siendo la causa general más recurrente reportada la de &quot;Accidentes eléctricos&quot; con 77.117,7 hectáreas afectadas. De esta superficie, 65.082,4 hectáreas fueron clasificadas dentro de la causa específica &quot;Corte de cable por caída de tendido eléctrico o postación&quot; lo que representa un 84,4% de la Causa General."/>
    <s v="Dashboard"/>
    <s v="Región de O'Higgins incendios forestales hectáreas superficie cantidad número causa general específica temporada fuego"/>
    <x v="759"/>
    <s v="100-R-6"/>
    <s v="#1774B9"/>
    <s v="990-0760"/>
    <n v="99200006"/>
    <s v="T-1046"/>
    <s v="C-1007"/>
    <s v="FI-993"/>
    <s v="M-1070"/>
  </r>
  <r>
    <x v="760"/>
    <n v="990"/>
    <x v="0"/>
    <x v="5"/>
    <n v="7"/>
    <x v="11"/>
    <x v="8"/>
    <x v="1"/>
    <x v="7"/>
    <s v="Ninguno"/>
    <s v="Número y Superficie de incendios por causa"/>
    <s v="Periodo 2010-2020"/>
    <s v="Número de incendios y Hectáreas"/>
    <s v="Corporación Nacional Forestal (CONAF)"/>
    <x v="760"/>
    <s v="La superficie total afectada por incendios forestales entre los años 2010 y 2020 en la Región de Maule fue de 357.099,6 hectáreas. Durante la temporada 2016-2017 se afectaron 252.561,7 hectáreas en la región, siendo la causa general más recurrente reportada la de &quot;Incendios de causa desconocida&quot; con 163.054,5 hectáreas afectadas. De esta superficie, 162.992,6 hectáreas fueron clasificadas dentro de la causa específica &quot;Desconocida (se investiga pero no es posible establecer la causa origen)&quot; lo que representa un 100,0% de la Causa General."/>
    <s v="Dashboard"/>
    <s v="Región de Maule incendios forestales hectáreas superficie cantidad número causa general específica temporada fuego"/>
    <x v="760"/>
    <s v="100-R-7"/>
    <s v="#1774B9"/>
    <s v="990-0761"/>
    <n v="99200007"/>
    <s v="T-1046"/>
    <s v="C-1007"/>
    <s v="FI-993"/>
    <s v="M-1070"/>
  </r>
  <r>
    <x v="761"/>
    <n v="990"/>
    <x v="0"/>
    <x v="5"/>
    <n v="8"/>
    <x v="11"/>
    <x v="8"/>
    <x v="1"/>
    <x v="8"/>
    <s v="Ninguno"/>
    <s v="Número y Superficie de incendios por causa"/>
    <s v="Periodo 2010-2020"/>
    <s v="Número de incendios y Hectáreas"/>
    <s v="Corporación Nacional Forestal (CONAF)"/>
    <x v="761"/>
    <s v="La superficie total afectada por incendios forestales entre los años 2010 y 2020 en la Región del Biobío fue de 197.507,1 hectáreas. Durante la temporada 2016-2017 se afectaron 85.257,4 hectáreas en la región, siendo la causa general más recurrente reportada la de &quot;Incendios intencionales&quot; con 61.637,2 hectáreas afectadas. De esta superficie, 57.527,5 hectáreas fueron clasificadas dentro de la causa específica &quot;Otros intencionales no clasificados&quot; lo que representa un 93,3% de la Causa General."/>
    <s v="Dashboard"/>
    <s v="Región del Biobío incendios forestales hectáreas superficie cantidad número causa general específica temporada fuego"/>
    <x v="761"/>
    <s v="100-R-8"/>
    <s v="#1774B9"/>
    <s v="990-0762"/>
    <n v="99200008"/>
    <s v="T-1046"/>
    <s v="C-1007"/>
    <s v="FI-993"/>
    <s v="M-1070"/>
  </r>
  <r>
    <x v="762"/>
    <n v="990"/>
    <x v="0"/>
    <x v="5"/>
    <n v="9"/>
    <x v="11"/>
    <x v="8"/>
    <x v="1"/>
    <x v="9"/>
    <s v="Ninguno"/>
    <s v="Número y Superficie de incendios por causa"/>
    <s v="Periodo 2010-2020"/>
    <s v="Número de incendios y Hectáreas"/>
    <s v="Corporación Nacional Forestal (CONAF)"/>
    <x v="762"/>
    <s v="La superficie total afectada por incendios forestales entre los años 2010 y 2020 en la Región de La Araucanía fue de 179.491,8 hectáreas. Durante la temporada 2014-2015 se afectaron 45.971,9 hectáreas en la región, siendo la causa general más recurrente reportada la de &quot;Incendios intencionales&quot; con 24.923,4 hectáreas afectadas. De esta superficie, 6.214,2 hectáreas fueron clasificadas dentro de la causa específica &quot;Provocado por persona bajo la influencia del alcohol y/o drogas&quot; lo que representa un 24,9% de la Causa General."/>
    <s v="Dashboard"/>
    <s v="Región de La Araucanía incendios forestales hectáreas superficie cantidad número causa general específica temporada fuego"/>
    <x v="762"/>
    <s v="100-R-9"/>
    <s v="#1774B9"/>
    <s v="990-0763"/>
    <n v="99200009"/>
    <s v="T-1046"/>
    <s v="C-1007"/>
    <s v="FI-993"/>
    <s v="M-1070"/>
  </r>
  <r>
    <x v="763"/>
    <n v="990"/>
    <x v="0"/>
    <x v="5"/>
    <n v="10"/>
    <x v="11"/>
    <x v="8"/>
    <x v="1"/>
    <x v="10"/>
    <s v="Ninguno"/>
    <s v="Número y Superficie de incendios por causa"/>
    <s v="Periodo 2010-2020"/>
    <s v="Número de incendios y Hectáreas"/>
    <s v="Corporación Nacional Forestal (CONAF)"/>
    <x v="763"/>
    <s v="La superficie total afectada por incendios forestales entre los años 2010 y 2020 en la Región de Los Lagos fue de 15.540,1 hectáreas. Durante la temporada 2014-2015 se afectaron 4.933,6 hectáreas en la región, siendo la causa general más recurrente reportada la de &quot;Confección y/o extracción productos secundarios del bosque&quot; con 1.963,5 hectáreas afectadas. De esta superficie, 1.768,1 hectáreas fueron clasificadas dentro de la causa específica &quot;Uso de fuego en faena de extracción de hongos y frutos (rosa mosqueta  frutilla  piñones  cocos de palma  miel de abeja  hongos otros)&quot; lo que representa un 90,0% de la Causa General."/>
    <s v="Dashboard"/>
    <s v="Región de Los Lagos incendios forestales hectáreas superficie cantidad número causa general específica temporada fuego"/>
    <x v="763"/>
    <s v="100-R-10"/>
    <s v="#1774B9"/>
    <s v="990-0764"/>
    <n v="99200010"/>
    <s v="T-1046"/>
    <s v="C-1007"/>
    <s v="FI-993"/>
    <s v="M-1070"/>
  </r>
  <r>
    <x v="764"/>
    <n v="990"/>
    <x v="0"/>
    <x v="5"/>
    <n v="11"/>
    <x v="11"/>
    <x v="8"/>
    <x v="1"/>
    <x v="11"/>
    <s v="Ninguno"/>
    <s v="Número y Superficie de incendios por causa"/>
    <s v="Periodo 2010-2020"/>
    <s v="Número de incendios y Hectáreas"/>
    <s v="Corporación Nacional Forestal (CONAF)"/>
    <x v="764"/>
    <s v="La superficie total afectada por incendios forestales entre los años 2010 y 2020 en la Región de Aysén fue de 25.305,1 hectáreas. Durante la temporada 2018-2019 se afectaron 15.713,0 hectáreas en la región, siendo la causa general más recurrente reportada la de &quot;Quema de desechos&quot; con 15.145,5 hectáreas afectadas. De esta superficie, 15.145,0 hectáreas fueron clasificadas dentro de la causa específica &quot;Quema de basuras  desechos vegetales u otros no clasificados (distintos de vertederos o basurales autorizados)&quot; lo que representa un 100,0% de la Causa General."/>
    <s v="Dashboard"/>
    <s v="Región de Aysén incendios forestales hectáreas superficie cantidad número causa general específica temporada fuego"/>
    <x v="764"/>
    <s v="100-R-11"/>
    <s v="#1774B9"/>
    <s v="990-0765"/>
    <n v="99200011"/>
    <s v="T-1046"/>
    <s v="C-1007"/>
    <s v="FI-993"/>
    <s v="M-1070"/>
  </r>
  <r>
    <x v="765"/>
    <n v="990"/>
    <x v="0"/>
    <x v="5"/>
    <n v="12"/>
    <x v="11"/>
    <x v="8"/>
    <x v="1"/>
    <x v="12"/>
    <s v="Ninguno"/>
    <s v="Número y Superficie de incendios por causa"/>
    <s v="Periodo 2010-2020"/>
    <s v="Número de incendios y Hectáreas"/>
    <s v="Corporación Nacional Forestal (CONAF)"/>
    <x v="765"/>
    <s v="La superficie total afectada por incendios forestales entre los años 2010 y 2020 en la Región de Magallanes fue de 18.328,3 hectáreas. Durante la temporada 2011-2012 se afectaron 17.608,2 hectáreas en la región, siendo la causa general más recurrente reportada la de &quot;Tránsito de personas  vehículos o aeronaves &quot; con 17.606,6 hectáreas afectadas. De esta superficie, 17.606,5 hectáreas fueron clasificadas dentro de la causa específica &quot;Uso de fuego por transeúntes&quot; lo que representa un 100,0% de la Causa General."/>
    <s v="Dashboard"/>
    <s v="Región de Magallanes incendios forestales hectáreas superficie cantidad número causa general específica temporada fuego"/>
    <x v="765"/>
    <s v="100-R-12"/>
    <s v="#1774B9"/>
    <s v="990-0766"/>
    <n v="99200012"/>
    <s v="T-1046"/>
    <s v="C-1007"/>
    <s v="FI-993"/>
    <s v="M-1070"/>
  </r>
  <r>
    <x v="766"/>
    <n v="990"/>
    <x v="0"/>
    <x v="5"/>
    <n v="13"/>
    <x v="11"/>
    <x v="8"/>
    <x v="1"/>
    <x v="13"/>
    <s v="Ninguno"/>
    <s v="Número y Superficie de incendios por causa"/>
    <s v="Periodo 2010-2020"/>
    <s v="Número de incendios y Hectáreas"/>
    <s v="Corporación Nacional Forestal (CONAF)"/>
    <x v="766"/>
    <s v="La superficie total afectada por incendios forestales entre los años 2010 y 2020 en la Región de Metropolitana fue de 101.995,0 hectáreas. Durante la temporada 2016-2017 se afectaron 53.235,7 hectáreas en la región, siendo la causa general más recurrente reportada la de &quot;Otras actividades&quot; con 21.424,3 hectáreas afectadas. De esta superficie, 20.268,6 hectáreas fueron clasificadas dentro de la causa específica &quot;Soldadura y montaje de estructuras varias (torres de alta tensión  oleoductos  etc.)&quot; lo que representa un 94,6% de la Causa General."/>
    <s v="Dashboard"/>
    <s v="Región Metropolitana incendios forestales hectáreas superficie cantidad número causa general específica temporada fuego"/>
    <x v="766"/>
    <s v="200-R-13"/>
    <s v="#1774B9"/>
    <s v="990-0767"/>
    <n v="99200013"/>
    <s v="T-1046"/>
    <s v="C-1007"/>
    <s v="FI-993"/>
    <s v="M-1070"/>
  </r>
  <r>
    <x v="767"/>
    <n v="990"/>
    <x v="0"/>
    <x v="5"/>
    <n v="14"/>
    <x v="11"/>
    <x v="8"/>
    <x v="1"/>
    <x v="14"/>
    <s v="Ninguno"/>
    <s v="Número y Superficie de incendios por causa"/>
    <s v="Periodo 2010-2020"/>
    <s v="Número de incendios y Hectáreas"/>
    <s v="Corporación Nacional Forestal (CONAF)"/>
    <x v="767"/>
    <s v="La superficie total afectada por incendios forestales entre los años 2010 y 2020 en la Región de Los Ríos fue de 4.274,6 hectáreas. Durante la temporada 2015-2016 se afectaron 1.093,3 hectáreas en la región, siendo la causa general más recurrente reportada la de &quot;Faenas agríolas y pecuarias&quot; con 515,4 hectáreas afectadas. De esta superficie, 247,7 hectáreas fueron clasificadas dentro de la causa específica &quot;Uso de fuego en zonas de faenas agropecuarias (alimentación y calefacción)&quot; lo que representa un 48,1% de la Causa General."/>
    <s v="Dashboard"/>
    <s v="Región de Los Ríos incendios forestales hectáreas superficie cantidad número causa general específica temporada fuego"/>
    <x v="767"/>
    <s v="100-R-14"/>
    <s v="#1774B9"/>
    <s v="990-0768"/>
    <n v="99200014"/>
    <s v="T-1046"/>
    <s v="C-1007"/>
    <s v="FI-993"/>
    <s v="M-1070"/>
  </r>
  <r>
    <x v="768"/>
    <n v="990"/>
    <x v="0"/>
    <x v="5"/>
    <n v="15"/>
    <x v="11"/>
    <x v="8"/>
    <x v="1"/>
    <x v="15"/>
    <s v="Ninguno"/>
    <s v="Número y Superficie de incendios por causa"/>
    <s v="Periodo 2010-2020"/>
    <s v="Número de incendios y Hectáreas"/>
    <s v="Corporación Nacional Forestal (CONAF)"/>
    <x v="768"/>
    <s v="La superficie total afectada por incendios forestales entre los años 2010 y 2020 en la Región de Arica y Parinacota fue de 49,9 hectáreas. Durante la temporada 2018-2019 se afectaron 23,3 hectáreas en la región, siendo la causa general más recurrente reportada la de &quot;Faenas forestales&quot; con 23,1 hectáreas afectadas. De esta superficie, 11,7 hectáreas fueron clasificadas dentro de la causa específica &quot;Quema ilegal con otros fines forestales (quema sanitaria  manejo de vida silvestre  etc.)&quot; lo que representa un 50,7% de la Causa General."/>
    <s v="Dashboard"/>
    <s v="Región de Arica y Parinacota incendios forestales hectáreas superficie cantidad número causa general específica temporada fuego"/>
    <x v="768"/>
    <s v="100-R-15"/>
    <s v="#1774B9"/>
    <s v="990-0769"/>
    <n v="99200015"/>
    <s v="T-1046"/>
    <s v="C-1007"/>
    <s v="FI-993"/>
    <s v="M-1070"/>
  </r>
  <r>
    <x v="769"/>
    <n v="990"/>
    <x v="0"/>
    <x v="5"/>
    <n v="16"/>
    <x v="11"/>
    <x v="8"/>
    <x v="1"/>
    <x v="16"/>
    <s v="Ninguno"/>
    <s v="Número y Superficie de incendios por causa"/>
    <s v="Periodo 2010-2020"/>
    <s v="Número de incendios y Hectáreas"/>
    <s v="Corporación Nacional Forestal (CONAF)"/>
    <x v="769"/>
    <s v="La superficie total afectada por incendios forestales entre los años 2010 y 2020 en la Región de Ñuble fue de 65.380,9 hectáreas. Durante la temporada 2016-2017 se afectaron 34.145,9 hectáreas en la región, siendo la causa general más recurrente reportada la de &quot;Actividades recreativas&quot; con 12.344,4 hectáreas afectadas. De esta superficie, 12.275,0 hectáreas fueron clasificadas dentro de la causa específica &quot;Niños jugando con fuego&quot; lo que representa un 99,4% de la Causa General."/>
    <s v="Dashboard"/>
    <s v="Región de Ñuble incendios forestales hectáreas superficie cantidad número causa general específica temporada fuego"/>
    <x v="769"/>
    <s v="100-R-16"/>
    <s v="#1774B9"/>
    <s v="990-0770"/>
    <n v="99200016"/>
    <s v="T-1046"/>
    <s v="C-1007"/>
    <s v="FI-993"/>
    <s v="M-1070"/>
  </r>
  <r>
    <x v="770"/>
    <n v="990"/>
    <x v="0"/>
    <x v="13"/>
    <n v="0"/>
    <x v="49"/>
    <x v="23"/>
    <x v="0"/>
    <x v="0"/>
    <s v="Región-Comuna"/>
    <s v="Candidatos electos por comuna"/>
    <s v="Periodo 1990-2020"/>
    <s v="Número de votos"/>
    <s v="Servicio Electoral (SERVEL)"/>
    <x v="77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Chile elecciones candidatos electos consejeros regionales senadores diputados alcaldes concejales cargos votación cantidad número votos partidos"/>
    <x v="770"/>
    <s v="300-C"/>
    <s v="#1774B9"/>
    <s v="990-0771"/>
    <n v="99100000"/>
    <s v="T-1020"/>
    <s v="C-994"/>
    <s v="FI-995"/>
    <s v="M-1071"/>
  </r>
  <r>
    <x v="771"/>
    <n v="990"/>
    <x v="0"/>
    <x v="13"/>
    <n v="1"/>
    <x v="49"/>
    <x v="23"/>
    <x v="1"/>
    <x v="1"/>
    <s v="Comuna"/>
    <s v="Candidatos electos por comuna"/>
    <s v="Periodo 1990-2020"/>
    <s v="Número de votos"/>
    <s v="Servicio Electoral (SERVEL)"/>
    <x v="771"/>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Tarapacá elecciones candidatos electos consejeros regionales senadores diputados alcaldes concejales cargos votación cantidad número votos partidos"/>
    <x v="771"/>
    <s v="100-C-1"/>
    <s v="#1774B9"/>
    <s v="990-0772"/>
    <n v="99200001"/>
    <s v="T-1020"/>
    <s v="C-994"/>
    <s v="FI-991"/>
    <s v="M-1071"/>
  </r>
  <r>
    <x v="772"/>
    <n v="990"/>
    <x v="0"/>
    <x v="13"/>
    <n v="2"/>
    <x v="49"/>
    <x v="23"/>
    <x v="1"/>
    <x v="2"/>
    <s v="Comuna"/>
    <s v="Candidatos electos por comuna"/>
    <s v="Periodo 1990-2020"/>
    <s v="Número de votos"/>
    <s v="Servicio Electoral (SERVEL)"/>
    <x v="772"/>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ntofagasta elecciones candidatos electos consejeros regionales senadores diputados alcaldes concejales cargos votación cantidad número votos partidos"/>
    <x v="772"/>
    <s v="100-C-2"/>
    <s v="#1774B9"/>
    <s v="990-0773"/>
    <n v="99200002"/>
    <s v="T-1020"/>
    <s v="C-994"/>
    <s v="FI-991"/>
    <s v="M-1071"/>
  </r>
  <r>
    <x v="773"/>
    <n v="990"/>
    <x v="0"/>
    <x v="13"/>
    <n v="3"/>
    <x v="49"/>
    <x v="23"/>
    <x v="1"/>
    <x v="3"/>
    <s v="Comuna"/>
    <s v="Candidatos electos por comuna"/>
    <s v="Periodo 1990-2020"/>
    <s v="Número de votos"/>
    <s v="Servicio Electoral (SERVEL)"/>
    <x v="773"/>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tacama elecciones candidatos electos consejeros regionales senadores diputados alcaldes concejales cargos votación cantidad número votos partidos"/>
    <x v="773"/>
    <s v="100-C-3"/>
    <s v="#1774B9"/>
    <s v="990-0774"/>
    <n v="99200003"/>
    <s v="T-1020"/>
    <s v="C-994"/>
    <s v="FI-991"/>
    <s v="M-1071"/>
  </r>
  <r>
    <x v="774"/>
    <n v="990"/>
    <x v="0"/>
    <x v="13"/>
    <n v="4"/>
    <x v="49"/>
    <x v="23"/>
    <x v="1"/>
    <x v="4"/>
    <s v="Comuna"/>
    <s v="Candidatos electos por comuna"/>
    <s v="Periodo 1990-2020"/>
    <s v="Número de votos"/>
    <s v="Servicio Electoral (SERVEL)"/>
    <x v="774"/>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Coquimbo elecciones candidatos electos consejeros regionales senadores diputados alcaldes concejales cargos votación cantidad número votos partidos"/>
    <x v="774"/>
    <s v="100-C-4"/>
    <s v="#1774B9"/>
    <s v="990-0775"/>
    <n v="99200004"/>
    <s v="T-1020"/>
    <s v="C-994"/>
    <s v="FI-991"/>
    <s v="M-1071"/>
  </r>
  <r>
    <x v="775"/>
    <n v="990"/>
    <x v="0"/>
    <x v="13"/>
    <n v="5"/>
    <x v="49"/>
    <x v="23"/>
    <x v="1"/>
    <x v="5"/>
    <s v="Comuna"/>
    <s v="Candidatos electos por comuna"/>
    <s v="Periodo 1990-2020"/>
    <s v="Número de votos"/>
    <s v="Servicio Electoral (SERVEL)"/>
    <x v="775"/>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Valparaíso elecciones candidatos electos consejeros regionales senadores diputados alcaldes concejales cargos votación cantidad número votos partidos"/>
    <x v="775"/>
    <s v="100-C-5"/>
    <s v="#1774B9"/>
    <s v="990-0776"/>
    <n v="99200005"/>
    <s v="T-1020"/>
    <s v="C-994"/>
    <s v="FI-991"/>
    <s v="M-1071"/>
  </r>
  <r>
    <x v="776"/>
    <n v="990"/>
    <x v="0"/>
    <x v="13"/>
    <n v="6"/>
    <x v="49"/>
    <x v="23"/>
    <x v="1"/>
    <x v="6"/>
    <s v="Comuna"/>
    <s v="Candidatos electos por comuna"/>
    <s v="Periodo 1990-2020"/>
    <s v="Número de votos"/>
    <s v="Servicio Electoral (SERVEL)"/>
    <x v="776"/>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O'Higgins elecciones candidatos electos consejeros regionales senadores diputados alcaldes concejales cargos votación cantidad número votos partidos"/>
    <x v="776"/>
    <s v="100-C-6"/>
    <s v="#1774B9"/>
    <s v="990-0777"/>
    <n v="99200006"/>
    <s v="T-1020"/>
    <s v="C-994"/>
    <s v="FI-991"/>
    <s v="M-1071"/>
  </r>
  <r>
    <x v="777"/>
    <n v="990"/>
    <x v="0"/>
    <x v="13"/>
    <n v="7"/>
    <x v="49"/>
    <x v="23"/>
    <x v="1"/>
    <x v="7"/>
    <s v="Comuna"/>
    <s v="Candidatos electos por comuna"/>
    <s v="Periodo 1990-2020"/>
    <s v="Número de votos"/>
    <s v="Servicio Electoral (SERVEL)"/>
    <x v="777"/>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ule elecciones candidatos electos consejeros regionales senadores diputados alcaldes concejales cargos votación cantidad número votos partidos"/>
    <x v="777"/>
    <s v="100-C-7"/>
    <s v="#1774B9"/>
    <s v="990-0778"/>
    <n v="99200007"/>
    <s v="T-1020"/>
    <s v="C-994"/>
    <s v="FI-991"/>
    <s v="M-1071"/>
  </r>
  <r>
    <x v="778"/>
    <n v="990"/>
    <x v="0"/>
    <x v="13"/>
    <n v="8"/>
    <x v="49"/>
    <x v="23"/>
    <x v="1"/>
    <x v="8"/>
    <s v="Comuna"/>
    <s v="Candidatos electos por comuna"/>
    <s v="Periodo 1990-2020"/>
    <s v="Número de votos"/>
    <s v="Servicio Electoral (SERVEL)"/>
    <x v="778"/>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l Biobío elecciones candidatos electos consejeros regionales senadores diputados alcaldes concejales cargos votación cantidad número votos partidos"/>
    <x v="778"/>
    <s v="100-C-8"/>
    <s v="#1774B9"/>
    <s v="990-0779"/>
    <n v="99200008"/>
    <s v="T-1020"/>
    <s v="C-994"/>
    <s v="FI-991"/>
    <s v="M-1071"/>
  </r>
  <r>
    <x v="779"/>
    <n v="990"/>
    <x v="0"/>
    <x v="13"/>
    <n v="9"/>
    <x v="49"/>
    <x v="23"/>
    <x v="1"/>
    <x v="9"/>
    <s v="Comuna"/>
    <s v="Candidatos electos por comuna"/>
    <s v="Periodo 1990-2020"/>
    <s v="Número de votos"/>
    <s v="Servicio Electoral (SERVEL)"/>
    <x v="779"/>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a Araucanía elecciones candidatos electos consejeros regionales senadores diputados alcaldes concejales cargos votación cantidad número votos partidos"/>
    <x v="779"/>
    <s v="100-C-9"/>
    <s v="#1774B9"/>
    <s v="990-0780"/>
    <n v="99200009"/>
    <s v="T-1020"/>
    <s v="C-994"/>
    <s v="FI-991"/>
    <s v="M-1071"/>
  </r>
  <r>
    <x v="780"/>
    <n v="990"/>
    <x v="0"/>
    <x v="13"/>
    <n v="10"/>
    <x v="49"/>
    <x v="23"/>
    <x v="1"/>
    <x v="10"/>
    <s v="Comuna"/>
    <s v="Candidatos electos por comuna"/>
    <s v="Periodo 1990-2020"/>
    <s v="Número de votos"/>
    <s v="Servicio Electoral (SERVEL)"/>
    <x v="78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Lagos elecciones candidatos electos consejeros regionales senadores diputados alcaldes concejales cargos votación cantidad número votos partidos"/>
    <x v="780"/>
    <s v="100-C-10"/>
    <s v="#1774B9"/>
    <s v="990-0781"/>
    <n v="99200010"/>
    <s v="T-1020"/>
    <s v="C-994"/>
    <s v="FI-991"/>
    <s v="M-1071"/>
  </r>
  <r>
    <x v="781"/>
    <n v="990"/>
    <x v="0"/>
    <x v="13"/>
    <n v="11"/>
    <x v="49"/>
    <x v="23"/>
    <x v="1"/>
    <x v="11"/>
    <s v="Comuna"/>
    <s v="Candidatos electos por comuna"/>
    <s v="Periodo 1990-2020"/>
    <s v="Número de votos"/>
    <s v="Servicio Electoral (SERVEL)"/>
    <x v="781"/>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ysén elecciones candidatos electos consejeros regionales senadores diputados alcaldes concejales cargos votación cantidad número votos partidos"/>
    <x v="781"/>
    <s v="100-C-11"/>
    <s v="#1774B9"/>
    <s v="990-0782"/>
    <n v="99200011"/>
    <s v="T-1020"/>
    <s v="C-994"/>
    <s v="FI-991"/>
    <s v="M-1071"/>
  </r>
  <r>
    <x v="782"/>
    <n v="990"/>
    <x v="0"/>
    <x v="13"/>
    <n v="12"/>
    <x v="49"/>
    <x v="23"/>
    <x v="1"/>
    <x v="12"/>
    <s v="Comuna"/>
    <s v="Candidatos electos por comuna"/>
    <s v="Periodo 1990-2020"/>
    <s v="Número de votos"/>
    <s v="Servicio Electoral (SERVEL)"/>
    <x v="782"/>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gallanes elecciones candidatos electos consejeros regionales senadores diputados alcaldes concejales cargos votación cantidad número votos partidos"/>
    <x v="782"/>
    <s v="100-C-12"/>
    <s v="#1774B9"/>
    <s v="990-0783"/>
    <n v="99200012"/>
    <s v="T-1020"/>
    <s v="C-994"/>
    <s v="FI-991"/>
    <s v="M-1071"/>
  </r>
  <r>
    <x v="783"/>
    <n v="990"/>
    <x v="0"/>
    <x v="13"/>
    <n v="13"/>
    <x v="49"/>
    <x v="23"/>
    <x v="1"/>
    <x v="13"/>
    <s v="Comuna"/>
    <s v="Candidatos electos por comuna"/>
    <s v="Periodo 1990-2020"/>
    <s v="Número de votos"/>
    <s v="Servicio Electoral (SERVEL)"/>
    <x v="783"/>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Metropolitana elecciones candidatos electos consejeros regionales senadores diputados alcaldes concejales cargos votación cantidad número votos partidos"/>
    <x v="783"/>
    <s v="200-C-13"/>
    <s v="#1774B9"/>
    <s v="990-0784"/>
    <n v="99200013"/>
    <s v="T-1020"/>
    <s v="C-994"/>
    <s v="FI-991"/>
    <s v="M-1071"/>
  </r>
  <r>
    <x v="784"/>
    <n v="990"/>
    <x v="0"/>
    <x v="13"/>
    <n v="14"/>
    <x v="49"/>
    <x v="23"/>
    <x v="1"/>
    <x v="14"/>
    <s v="Comuna"/>
    <s v="Candidatos electos por comuna"/>
    <s v="Periodo 1990-2020"/>
    <s v="Número de votos"/>
    <s v="Servicio Electoral (SERVEL)"/>
    <x v="784"/>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Ríos elecciones candidatos electos consejeros regionales senadores diputados alcaldes concejales cargos votación cantidad número votos partidos"/>
    <x v="784"/>
    <s v="100-C-14"/>
    <s v="#1774B9"/>
    <s v="990-0785"/>
    <n v="99200014"/>
    <s v="T-1020"/>
    <s v="C-994"/>
    <s v="FI-991"/>
    <s v="M-1071"/>
  </r>
  <r>
    <x v="785"/>
    <n v="990"/>
    <x v="0"/>
    <x v="13"/>
    <n v="15"/>
    <x v="49"/>
    <x v="23"/>
    <x v="1"/>
    <x v="15"/>
    <s v="Comuna"/>
    <s v="Candidatos electos por comuna"/>
    <s v="Periodo 1990-2020"/>
    <s v="Número de votos"/>
    <s v="Servicio Electoral (SERVEL)"/>
    <x v="785"/>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rica y Parinacota elecciones candidatos electos consejeros regionales senadores diputados alcaldes concejales cargos votación cantidad número votos partidos"/>
    <x v="785"/>
    <s v="100-C-15"/>
    <s v="#1774B9"/>
    <s v="990-0786"/>
    <n v="99200015"/>
    <s v="T-1020"/>
    <s v="C-994"/>
    <s v="FI-991"/>
    <s v="M-1071"/>
  </r>
  <r>
    <x v="786"/>
    <n v="990"/>
    <x v="0"/>
    <x v="13"/>
    <n v="16"/>
    <x v="49"/>
    <x v="23"/>
    <x v="1"/>
    <x v="16"/>
    <s v="Comuna"/>
    <s v="Candidatos electos por comuna"/>
    <s v="Periodo 1990-2020"/>
    <s v="Número de votos"/>
    <s v="Servicio Electoral (SERVEL)"/>
    <x v="786"/>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Ñuble elecciones candidatos electos consejeros regionales senadores diputados alcaldes concejales cargos votación cantidad número votos partidos"/>
    <x v="786"/>
    <s v="100-C-16"/>
    <s v="#1774B9"/>
    <s v="990-0787"/>
    <n v="99200016"/>
    <s v="T-1020"/>
    <s v="C-994"/>
    <s v="FI-991"/>
    <s v="M-1071"/>
  </r>
  <r>
    <x v="787"/>
    <n v="990"/>
    <x v="0"/>
    <x v="13"/>
    <n v="0"/>
    <x v="50"/>
    <x v="23"/>
    <x v="0"/>
    <x v="0"/>
    <s v="Región-Comuna"/>
    <s v="Cupos de elección popular por comuna"/>
    <s v="Año 2021"/>
    <s v="Número de cupos"/>
    <s v="Servicio Electoral (SERVEL)"/>
    <x v="787"/>
    <s v="Cantidad de cupos para cargos de Elección Popular, específicamente para senadores, diputados, consejeros regionales, alcaldes y concejales, al año 2021. Cantidad varía según el cargo a ocupar y la densidad poblacional para las diferentes regiones y comunas de Chile."/>
    <s v="Dashboard"/>
    <s v="Chile elecciones candidatos consejeros regionales senadores diputados alcaldes concejales municipal municipio comuna distrito cargos circunscripción"/>
    <x v="787"/>
    <s v="300-C"/>
    <s v="#1774B9"/>
    <s v="990-0788"/>
    <n v="99100000"/>
    <s v="T-1021"/>
    <s v="C-994"/>
    <s v="FI-995"/>
    <s v="M-1072"/>
  </r>
  <r>
    <x v="788"/>
    <n v="990"/>
    <x v="0"/>
    <x v="13"/>
    <n v="1"/>
    <x v="50"/>
    <x v="23"/>
    <x v="1"/>
    <x v="1"/>
    <s v="Comuna"/>
    <s v="Cupos de elección popular por comuna"/>
    <s v="Año 2021"/>
    <s v="Número de cupos"/>
    <s v="Servicio Electoral (SERVEL)"/>
    <x v="788"/>
    <s v="Cantidad de cupos para cargos de Elección Popular, específicamente para Senadores de la Circunscripción Senatorial N° 2, Diputados del Distrito N° 2, Consejeros Regionales, Alcaldes y Concejales de la Región de Tarapacá, al año 2021."/>
    <s v="Dashboard"/>
    <s v="Región de Tarapacá elecciones candidatos consejeros regionales senadores diputados alcaldes concejales municipal municipio comuna distrito cargos circunscripción"/>
    <x v="788"/>
    <s v="100-C-1"/>
    <s v="#1774B9"/>
    <s v="990-0789"/>
    <n v="99200001"/>
    <s v="T-1021"/>
    <s v="C-994"/>
    <s v="FI-991"/>
    <s v="M-1072"/>
  </r>
  <r>
    <x v="789"/>
    <n v="990"/>
    <x v="0"/>
    <x v="13"/>
    <n v="2"/>
    <x v="50"/>
    <x v="23"/>
    <x v="1"/>
    <x v="2"/>
    <s v="Comuna"/>
    <s v="Cupos de elección popular por comuna"/>
    <s v="Año 2021"/>
    <s v="Número de cupos"/>
    <s v="Servicio Electoral (SERVEL)"/>
    <x v="789"/>
    <s v="Cantidad de cupos para cargos de Elección Popular, específicamente para Senadores de la Circunscripción Senatorial N° 3, Diputados del Distrito N° 3, Consejeros Regionales, Alcaldes y Concejales de la Región de Antofagasta, al año 2021."/>
    <s v="Dashboard"/>
    <s v="Región de Antofagasta elecciones candidatos consejeros regionales senadores diputados alcaldes concejales municipal municipio comuna distrito cargos circunscripción"/>
    <x v="789"/>
    <s v="100-C-2"/>
    <s v="#1774B9"/>
    <s v="990-0790"/>
    <n v="99200002"/>
    <s v="T-1021"/>
    <s v="C-994"/>
    <s v="FI-991"/>
    <s v="M-1072"/>
  </r>
  <r>
    <x v="790"/>
    <n v="990"/>
    <x v="0"/>
    <x v="13"/>
    <n v="3"/>
    <x v="50"/>
    <x v="23"/>
    <x v="1"/>
    <x v="3"/>
    <s v="Comuna"/>
    <s v="Cupos de elección popular por comuna"/>
    <s v="Año 2021"/>
    <s v="Número de cupos"/>
    <s v="Servicio Electoral (SERVEL)"/>
    <x v="790"/>
    <s v="Cantidad de cupos para cargos de Elección Popular, específicamente para Senadores de la Circunscripción Senatorial N° 4, Diputados del Distrito N° 4, Consejeros Regionales, Alcaldes y Concejales de la Región de Atacama, al año 2021."/>
    <s v="Dashboard"/>
    <s v="Región de Atacama elecciones candidatos consejeros regionales senadores diputados alcaldes concejales municipal municipio comuna distrito cargos circunscripción"/>
    <x v="790"/>
    <s v="100-C-3"/>
    <s v="#1774B9"/>
    <s v="990-0791"/>
    <n v="99200003"/>
    <s v="T-1021"/>
    <s v="C-994"/>
    <s v="FI-991"/>
    <s v="M-1072"/>
  </r>
  <r>
    <x v="791"/>
    <n v="990"/>
    <x v="0"/>
    <x v="13"/>
    <n v="4"/>
    <x v="50"/>
    <x v="23"/>
    <x v="1"/>
    <x v="4"/>
    <s v="Comuna"/>
    <s v="Cupos de elección popular por comuna"/>
    <s v="Año 2021"/>
    <s v="Número de cupos"/>
    <s v="Servicio Electoral (SERVEL)"/>
    <x v="791"/>
    <s v="Cantidad de cupos para cargos de Elección Popular, específicamente para Senadores de la Circunscripción Senatorial N° 5, Diputados del Distrito N° 5, Consejeros Regionales, Alcaldes y Concejales de la Región de Coquimbo, al año 2021."/>
    <s v="Dashboard"/>
    <s v="Región de Coquimbo elecciones candidatos consejeros regionales senadores diputados alcaldes concejales municipal municipio comuna distrito cargos circunscripción"/>
    <x v="791"/>
    <s v="100-C-4"/>
    <s v="#1774B9"/>
    <s v="990-0792"/>
    <n v="99200004"/>
    <s v="T-1021"/>
    <s v="C-994"/>
    <s v="FI-991"/>
    <s v="M-1072"/>
  </r>
  <r>
    <x v="792"/>
    <n v="990"/>
    <x v="0"/>
    <x v="13"/>
    <n v="5"/>
    <x v="50"/>
    <x v="23"/>
    <x v="1"/>
    <x v="5"/>
    <s v="Comuna"/>
    <s v="Cupos de elección popular por comuna"/>
    <s v="Año 2021"/>
    <s v="Número de cupos"/>
    <s v="Servicio Electoral (SERVEL)"/>
    <x v="792"/>
    <s v="Cantidad de cupos para cargos de Elección Popular, específicamente para Senadores de la Circunscripción Senatorial N° 6, Diputados del Distrito N° 6 y 7, Consejeros Regionales, Alcaldes y Concejales de la Región de Valparaíso, al año 2021."/>
    <s v="Dashboard"/>
    <s v="Región de Valparaíso elecciones candidatos consejeros regionales senadores diputados alcaldes concejales municipal municipio comuna distrito cargos circunscripción"/>
    <x v="792"/>
    <s v="100-C-5"/>
    <s v="#1774B9"/>
    <s v="990-0793"/>
    <n v="99200005"/>
    <s v="T-1021"/>
    <s v="C-994"/>
    <s v="FI-991"/>
    <s v="M-1072"/>
  </r>
  <r>
    <x v="793"/>
    <n v="990"/>
    <x v="0"/>
    <x v="13"/>
    <n v="6"/>
    <x v="50"/>
    <x v="23"/>
    <x v="1"/>
    <x v="6"/>
    <s v="Comuna"/>
    <s v="Cupos de elección popular por comuna"/>
    <s v="Año 2021"/>
    <s v="Número de cupos"/>
    <s v="Servicio Electoral (SERVEL)"/>
    <x v="793"/>
    <s v="Cantidad de cupos para cargos de Elección Popular, específicamente para Senadores de la Circunscripción Senatorial N° 8, Diputados del Distrito N° 15 y 16, Consejeros Regionales, Alcaldes y Concejales de la Región de O'Higgins, al año 2021."/>
    <s v="Dashboard"/>
    <s v="Región de O'Higgins elecciones candidatos consejeros regionales senadores diputados alcaldes concejales municipal municipio comuna distrito cargos circunscripción"/>
    <x v="793"/>
    <s v="100-C-6"/>
    <s v="#1774B9"/>
    <s v="990-0794"/>
    <n v="99200006"/>
    <s v="T-1021"/>
    <s v="C-994"/>
    <s v="FI-991"/>
    <s v="M-1072"/>
  </r>
  <r>
    <x v="794"/>
    <n v="990"/>
    <x v="0"/>
    <x v="13"/>
    <n v="7"/>
    <x v="50"/>
    <x v="23"/>
    <x v="1"/>
    <x v="7"/>
    <s v="Comuna"/>
    <s v="Cupos de elección popular por comuna"/>
    <s v="Año 2021"/>
    <s v="Número de cupos"/>
    <s v="Servicio Electoral (SERVEL)"/>
    <x v="794"/>
    <s v="Cantidad de cupos para cargos de Elección Popular, específicamente para Senadores de la Circunscripción Senatorial N° 9, Diputados del Distrito N° 17 y 18, Consejeros Regionales, Alcaldes y Concejales de la Región de Maule, al año 2021."/>
    <s v="Dashboard"/>
    <s v="Región de Maule elecciones candidatos consejeros regionales senadores diputados alcaldes concejales municipal municipio comuna distrito cargos circunscripción"/>
    <x v="794"/>
    <s v="100-C-7"/>
    <s v="#1774B9"/>
    <s v="990-0795"/>
    <n v="99200007"/>
    <s v="T-1021"/>
    <s v="C-994"/>
    <s v="FI-991"/>
    <s v="M-1072"/>
  </r>
  <r>
    <x v="795"/>
    <n v="990"/>
    <x v="0"/>
    <x v="13"/>
    <n v="8"/>
    <x v="50"/>
    <x v="23"/>
    <x v="1"/>
    <x v="8"/>
    <s v="Comuna"/>
    <s v="Cupos de elección popular por comuna"/>
    <s v="Año 2021"/>
    <s v="Número de cupos"/>
    <s v="Servicio Electoral (SERVEL)"/>
    <x v="795"/>
    <s v="Cantidad de cupos para cargos de Elección Popular, específicamente para Senadores de la Circunscripción Senatorial N° 10, Diputados del Distrito N° 20 y 21, Consejeros Regionales, Alcaldes y Concejales de la Región del Biobío, al año 2021."/>
    <s v="Dashboard"/>
    <s v="Región del Biobío elecciones candidatos consejeros regionales senadores diputados alcaldes concejales municipal municipio comuna distrito cargos circunscripción"/>
    <x v="795"/>
    <s v="100-C-8"/>
    <s v="#1774B9"/>
    <s v="990-0796"/>
    <n v="99200008"/>
    <s v="T-1021"/>
    <s v="C-994"/>
    <s v="FI-991"/>
    <s v="M-1072"/>
  </r>
  <r>
    <x v="796"/>
    <n v="990"/>
    <x v="0"/>
    <x v="13"/>
    <n v="9"/>
    <x v="50"/>
    <x v="23"/>
    <x v="1"/>
    <x v="9"/>
    <s v="Comuna"/>
    <s v="Cupos de elección popular por comuna"/>
    <s v="Año 2021"/>
    <s v="Número de cupos"/>
    <s v="Servicio Electoral (SERVEL)"/>
    <x v="796"/>
    <s v="Cantidad de cupos para cargos de Elección Popular, específicamente para Senadores de la Circunscripción Senatorial N° 11, Diputados del Distrito N° 22 y 23, Consejeros Regionales, Alcaldes y Concejales de la Región de La Araucanía, al año 2021."/>
    <s v="Dashboard"/>
    <s v="Región de La Araucanía elecciones candidatos consejeros regionales senadores diputados alcaldes concejales municipal municipio comuna distrito cargos circunscripción"/>
    <x v="796"/>
    <s v="100-C-9"/>
    <s v="#1774B9"/>
    <s v="990-0797"/>
    <n v="99200009"/>
    <s v="T-1021"/>
    <s v="C-994"/>
    <s v="FI-991"/>
    <s v="M-1072"/>
  </r>
  <r>
    <x v="797"/>
    <n v="990"/>
    <x v="0"/>
    <x v="13"/>
    <n v="10"/>
    <x v="50"/>
    <x v="23"/>
    <x v="1"/>
    <x v="10"/>
    <s v="Comuna"/>
    <s v="Cupos de elección popular por comuna"/>
    <s v="Año 2021"/>
    <s v="Número de cupos"/>
    <s v="Servicio Electoral (SERVEL)"/>
    <x v="797"/>
    <s v="Cantidad de cupos para cargos de Elección Popular, específicamente para Senadores de la Circunscripción Senatorial N° 13, Diputados del Distrito N° 25 y 26, Consejeros Regionales, Alcaldes y Concejales de la Región de Los Lagos, al año 2021."/>
    <s v="Dashboard"/>
    <s v="Región de Los Lagos elecciones candidatos consejeros regionales senadores diputados alcaldes concejales municipal municipio comuna distrito cargos circunscripción"/>
    <x v="797"/>
    <s v="100-C-10"/>
    <s v="#1774B9"/>
    <s v="990-0798"/>
    <n v="99200010"/>
    <s v="T-1021"/>
    <s v="C-994"/>
    <s v="FI-991"/>
    <s v="M-1072"/>
  </r>
  <r>
    <x v="798"/>
    <n v="990"/>
    <x v="0"/>
    <x v="13"/>
    <n v="11"/>
    <x v="50"/>
    <x v="23"/>
    <x v="1"/>
    <x v="11"/>
    <s v="Comuna"/>
    <s v="Cupos de elección popular por comuna"/>
    <s v="Año 2021"/>
    <s v="Número de cupos"/>
    <s v="Servicio Electoral (SERVEL)"/>
    <x v="798"/>
    <s v="Cantidad de cupos para cargos de Elección Popular, específicamente para Senadores de la Circunscripción Senatorial N° 14, Diputados del Distrito N° 27, Consejeros Regionales, Alcaldes y Concejales de la Región de Aysén, al año 2021."/>
    <s v="Dashboard"/>
    <s v="Región de Aysén elecciones candidatos consejeros regionales senadores diputados alcaldes concejales municipal municipio comuna distrito cargos circunscripción"/>
    <x v="798"/>
    <s v="100-C-11"/>
    <s v="#1774B9"/>
    <s v="990-0799"/>
    <n v="99200011"/>
    <s v="T-1021"/>
    <s v="C-994"/>
    <s v="FI-991"/>
    <s v="M-1072"/>
  </r>
  <r>
    <x v="799"/>
    <n v="990"/>
    <x v="0"/>
    <x v="13"/>
    <n v="12"/>
    <x v="50"/>
    <x v="23"/>
    <x v="1"/>
    <x v="12"/>
    <s v="Comuna"/>
    <s v="Cupos de elección popular por comuna"/>
    <s v="Año 2021"/>
    <s v="Número de cupos"/>
    <s v="Servicio Electoral (SERVEL)"/>
    <x v="799"/>
    <s v="Cantidad de cupos para cargos de Elección Popular, específicamente para Senadores de la Circunscripción Senatorial N° 15, Diputados del Distrito N° 28, Consejeros Regionales, Alcaldes y Concejales de la Región de Magallanes, al año 2021."/>
    <s v="Dashboard"/>
    <s v="Región de Magallanes elecciones candidatos consejeros regionales senadores diputados alcaldes concejales municipal municipio comuna distrito cargos circunscripción"/>
    <x v="799"/>
    <s v="100-C-12"/>
    <s v="#1774B9"/>
    <s v="990-0800"/>
    <n v="99200012"/>
    <s v="T-1021"/>
    <s v="C-994"/>
    <s v="FI-991"/>
    <s v="M-1072"/>
  </r>
  <r>
    <x v="800"/>
    <n v="990"/>
    <x v="0"/>
    <x v="13"/>
    <n v="13"/>
    <x v="50"/>
    <x v="23"/>
    <x v="1"/>
    <x v="13"/>
    <s v="Comuna"/>
    <s v="Cupos de elección popular por comuna"/>
    <s v="Año 2021"/>
    <s v="Número de cupos"/>
    <s v="Servicio Electoral (SERVEL)"/>
    <x v="800"/>
    <s v="Cantidad de cupos para cargos de Elección Popular, específicamente para Senadores de la Circunscripción Senatorial N° 7, Diputados del Distrito N° 8 al 14, Consejeros Regionales, Alcaldes y Concejales de la Región Metropolitana, al año 2021."/>
    <s v="Dashboard"/>
    <s v="Región Metropolitana elecciones candidatos consejeros regionales senadores diputados alcaldes concejales municipal municipio comuna distrito cargos circunscripción"/>
    <x v="800"/>
    <s v="200-C-13"/>
    <s v="#1774B9"/>
    <s v="990-0801"/>
    <n v="99200013"/>
    <s v="T-1021"/>
    <s v="C-994"/>
    <s v="FI-991"/>
    <s v="M-1072"/>
  </r>
  <r>
    <x v="801"/>
    <n v="990"/>
    <x v="0"/>
    <x v="13"/>
    <n v="14"/>
    <x v="50"/>
    <x v="23"/>
    <x v="1"/>
    <x v="14"/>
    <s v="Comuna"/>
    <s v="Cupos de elección popular por comuna"/>
    <s v="Año 2021"/>
    <s v="Número de cupos"/>
    <s v="Servicio Electoral (SERVEL)"/>
    <x v="801"/>
    <s v="Cantidad de cupos para cargos de Elección Popular, específicamente para Senadores de la Circunscripción Senatorial N° 12, Diputados del Distrito N° 24, Consejeros Regionales, Alcaldes y Concejales de la Región de Los Ríos, al año 2021."/>
    <s v="Dashboard"/>
    <s v="Región de Los Ríos elecciones candidatos consejeros regionales senadores diputados alcaldes concejales municipal municipio comuna distrito cargos circunscripción"/>
    <x v="801"/>
    <s v="100-C-14"/>
    <s v="#1774B9"/>
    <s v="990-0802"/>
    <n v="99200014"/>
    <s v="T-1021"/>
    <s v="C-994"/>
    <s v="FI-991"/>
    <s v="M-1072"/>
  </r>
  <r>
    <x v="802"/>
    <n v="990"/>
    <x v="0"/>
    <x v="13"/>
    <n v="15"/>
    <x v="50"/>
    <x v="23"/>
    <x v="1"/>
    <x v="15"/>
    <s v="Comuna"/>
    <s v="Cupos de elección popular por comuna"/>
    <s v="Año 2021"/>
    <s v="Número de cupos"/>
    <s v="Servicio Electoral (SERVEL)"/>
    <x v="802"/>
    <s v="Cantidad de cupos para cargos de Elección Popular, específicamente para Senadores de la Circunscripción Senatorial N° 1, Diputados del Distrito N° 1, Consejeros Regionales, Alcaldes y Concejales de la Región de Arica y Parinacota, al año 2021."/>
    <s v="Dashboard"/>
    <s v="Región de Arica y Parinacota elecciones candidatos consejeros regionales senadores diputados alcaldes concejales municipal municipio comuna distrito cargos circunscripción"/>
    <x v="802"/>
    <s v="100-C-15"/>
    <s v="#1774B9"/>
    <s v="990-0803"/>
    <n v="99200015"/>
    <s v="T-1021"/>
    <s v="C-994"/>
    <s v="FI-991"/>
    <s v="M-1072"/>
  </r>
  <r>
    <x v="803"/>
    <n v="990"/>
    <x v="0"/>
    <x v="13"/>
    <n v="16"/>
    <x v="50"/>
    <x v="23"/>
    <x v="1"/>
    <x v="16"/>
    <s v="Comuna"/>
    <s v="Cupos de elección popular por comuna"/>
    <s v="Año 2021"/>
    <s v="Número de cupos"/>
    <s v="Servicio Electoral (SERVEL)"/>
    <x v="803"/>
    <s v="Cantidad de cupos para cargos de Elección Popular, específicamente para Senadores de la Circunscripción Senatorial N° 16, Diputados del Distrito N° 19, Consejeros Regionales, Alcaldes y Concejales de la Región de Ñuble, al año 2021."/>
    <s v="Dashboard"/>
    <s v="Región de Ñuble elecciones candidatos consejeros regionales senadores diputados alcaldes concejales municipal municipio comuna distrito cargos circunscripción"/>
    <x v="803"/>
    <s v="100-C-16"/>
    <s v="#1774B9"/>
    <s v="990-0804"/>
    <n v="99200016"/>
    <s v="T-1021"/>
    <s v="C-994"/>
    <s v="FI-991"/>
    <s v="M-1072"/>
  </r>
  <r>
    <x v="804"/>
    <n v="990"/>
    <x v="0"/>
    <x v="9"/>
    <n v="0"/>
    <x v="51"/>
    <x v="12"/>
    <x v="0"/>
    <x v="0"/>
    <s v="Región-Comuna"/>
    <s v="Cantidad de empresas vigentes por comuna"/>
    <s v="Periodo 1993-2019"/>
    <s v="Número de empresas"/>
    <s v="Servicio de Impuestos Internos (SII)"/>
    <x v="804"/>
    <s v="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quot;Persona Jurídica Comercial&quot;."/>
    <s v="Gráfico de Evolución"/>
    <s v="Chile evolución anual cantidad número empresas tipo contribuyente SII regional activas año tributario fiscal inicio actividades"/>
    <x v="804"/>
    <s v="300-C"/>
    <s v="#1774B9"/>
    <s v="990-0805"/>
    <n v="99100000"/>
    <s v="T-1022"/>
    <s v="C-993"/>
    <s v="FI-995"/>
    <s v="M-1073"/>
  </r>
  <r>
    <x v="805"/>
    <n v="990"/>
    <x v="0"/>
    <x v="9"/>
    <n v="1"/>
    <x v="51"/>
    <x v="12"/>
    <x v="1"/>
    <x v="1"/>
    <s v="Comuna"/>
    <s v="Cupos de elección popular por comuna"/>
    <s v="Periodo 1993-2019"/>
    <s v="Número de empresas"/>
    <s v="Servicio de Impuestos Internos (SII)"/>
    <x v="805"/>
    <s v="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quot;Persona Jurídica Comercial&quot;."/>
    <s v="Gráfico de Evolución"/>
    <s v="Región de Tarapacá evolución anual cantidad número empresas tipo contribuyente SII regional activas año tributario fiscal inicio actividades"/>
    <x v="805"/>
    <s v="100-C-1"/>
    <s v="#1774B9"/>
    <s v="990-0806"/>
    <n v="99200001"/>
    <s v="T-1022"/>
    <s v="C-993"/>
    <s v="FI-991"/>
    <s v="M-1072"/>
  </r>
  <r>
    <x v="806"/>
    <n v="990"/>
    <x v="0"/>
    <x v="9"/>
    <n v="2"/>
    <x v="51"/>
    <x v="12"/>
    <x v="1"/>
    <x v="2"/>
    <s v="Comuna"/>
    <s v="Cupos de elección popular por comuna"/>
    <s v="Periodo 1993-2019"/>
    <s v="Número de empresas"/>
    <s v="Servicio de Impuestos Internos (SII)"/>
    <x v="806"/>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x v="806"/>
    <s v="100-C-2"/>
    <s v="#1774B9"/>
    <s v="990-0807"/>
    <n v="99200002"/>
    <s v="T-1022"/>
    <s v="C-993"/>
    <s v="FI-991"/>
    <s v="M-1072"/>
  </r>
  <r>
    <x v="807"/>
    <n v="990"/>
    <x v="0"/>
    <x v="9"/>
    <n v="3"/>
    <x v="51"/>
    <x v="12"/>
    <x v="1"/>
    <x v="3"/>
    <s v="Comuna"/>
    <s v="Cupos de elección popular por comuna"/>
    <s v="Periodo 1993-2019"/>
    <s v="Número de empresas"/>
    <s v="Servicio de Impuestos Internos (SII)"/>
    <x v="807"/>
    <s v="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quot;Persona Jurídica Comercial&quot; aumentaron exponencialmente hasta el año 2019, alcanzando las 926 empresas."/>
    <s v="Gráfico de Evolución"/>
    <s v="Región de Atacama evolución anual cantidad número empresas tipo contribuyente SII regional activas año tributario fiscal inicio actividades"/>
    <x v="807"/>
    <s v="100-C-3"/>
    <s v="#1774B9"/>
    <s v="990-0808"/>
    <n v="99200003"/>
    <s v="T-1022"/>
    <s v="C-993"/>
    <s v="FI-991"/>
    <s v="M-1072"/>
  </r>
  <r>
    <x v="808"/>
    <n v="990"/>
    <x v="0"/>
    <x v="9"/>
    <n v="4"/>
    <x v="51"/>
    <x v="12"/>
    <x v="1"/>
    <x v="4"/>
    <s v="Comuna"/>
    <s v="Cupos de elección popular por comuna"/>
    <s v="Periodo 1993-2019"/>
    <s v="Número de empresas"/>
    <s v="Servicio de Impuestos Internos (SII)"/>
    <x v="808"/>
    <s v="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quot;Persona Jurídica Comercial&quot; aumentaron exponencialmente hasta el año 2019, alcanzando las 3.039 empresas."/>
    <s v="Gráfico de Evolución"/>
    <s v="Región de Coquimbo evolución anual cantidad número empresas tipo contribuyente SII regional activas año tributario fiscal inicio actividades"/>
    <x v="808"/>
    <s v="100-C-4"/>
    <s v="#1774B9"/>
    <s v="990-0809"/>
    <n v="99200004"/>
    <s v="T-1022"/>
    <s v="C-993"/>
    <s v="FI-991"/>
    <s v="M-1072"/>
  </r>
  <r>
    <x v="809"/>
    <n v="990"/>
    <x v="0"/>
    <x v="9"/>
    <n v="5"/>
    <x v="51"/>
    <x v="12"/>
    <x v="1"/>
    <x v="5"/>
    <s v="Comuna"/>
    <s v="Cupos de elección popular por comuna"/>
    <s v="Periodo 1993-2019"/>
    <s v="Número de empresas"/>
    <s v="Servicio de Impuestos Internos (SII)"/>
    <x v="809"/>
    <s v="En la región de Valparaíso, se observa que la mayor cantidad de empresas vigentes según año de inicio de actividades, en el periodo 1993-2019, son del tipo contribuyente &quot;Persona Jurídica Comercial&quot;, llegando en el año 2019 a 8.103 empresas."/>
    <s v="Gráfico de Evolución"/>
    <s v="Región de Valparaíso evolución anual cantidad número empresas tipo contribuyente SII regional activas año tributario fiscal inicio actividades"/>
    <x v="809"/>
    <s v="100-C-5"/>
    <s v="#1774B9"/>
    <s v="990-0810"/>
    <n v="99200005"/>
    <s v="T-1022"/>
    <s v="C-993"/>
    <s v="FI-991"/>
    <s v="M-1072"/>
  </r>
  <r>
    <x v="810"/>
    <n v="990"/>
    <x v="0"/>
    <x v="9"/>
    <n v="6"/>
    <x v="51"/>
    <x v="12"/>
    <x v="1"/>
    <x v="6"/>
    <s v="Comuna"/>
    <s v="Cupos de elección popular por comuna"/>
    <s v="Periodo 1993-2019"/>
    <s v="Número de empresas"/>
    <s v="Servicio de Impuestos Internos (SII)"/>
    <x v="810"/>
    <s v="Gráfico que muestra la evolución del número de empresas vigentes según el año de inicio de actividades y tipo de contribuyente en la región de O'Higgins, en el periodo 1993-2019. Información en base a registro de Servicio de Impuestos Internos (SII)."/>
    <s v="Gráfico de Evolución"/>
    <s v="Región de O'Higgins evolución anual cantidad número empresas tipo contribuyente SII regional activas año tributario fiscal inicio actividades"/>
    <x v="810"/>
    <s v="100-C-6"/>
    <s v="#1774B9"/>
    <s v="990-0811"/>
    <n v="99200006"/>
    <s v="T-1022"/>
    <s v="C-993"/>
    <s v="FI-991"/>
    <s v="M-1072"/>
  </r>
  <r>
    <x v="811"/>
    <n v="990"/>
    <x v="0"/>
    <x v="9"/>
    <n v="7"/>
    <x v="51"/>
    <x v="12"/>
    <x v="1"/>
    <x v="7"/>
    <s v="Comuna"/>
    <s v="Cupos de elección popular por comuna"/>
    <s v="Periodo 1993-2019"/>
    <s v="Número de empresas"/>
    <s v="Servicio de Impuestos Internos (SII)"/>
    <x v="811"/>
    <s v="En la región de Maule se observa que la mayor cantidad de empresas vigentes según año de inicio de actividades, en el periodo 1993-2019, son del tipo contribuyente &quot;Persona Jurídica Comercial&quot;, llegando en el año 2019 a 4.407 empresas."/>
    <s v="Gráfico de Evolución"/>
    <s v="Región de Maule evolución anual cantidad número empresas tipo contribuyente SII regional activas año tributario fiscal inicio actividades"/>
    <x v="811"/>
    <s v="100-C-7"/>
    <s v="#1774B9"/>
    <s v="990-0812"/>
    <n v="99200007"/>
    <s v="T-1022"/>
    <s v="C-993"/>
    <s v="FI-991"/>
    <s v="M-1072"/>
  </r>
  <r>
    <x v="812"/>
    <n v="990"/>
    <x v="0"/>
    <x v="9"/>
    <n v="8"/>
    <x v="51"/>
    <x v="12"/>
    <x v="1"/>
    <x v="8"/>
    <s v="Comuna"/>
    <s v="Cupos de elección popular por comuna"/>
    <s v="Periodo 1993-2019"/>
    <s v="Número de empresas"/>
    <s v="Servicio de Impuestos Internos (SII)"/>
    <x v="812"/>
    <s v="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quot;Persona Jurídica Comercial&quot; aumentaron exponencialmente hasta el año 2019, alcanzando las 5.973 empresas."/>
    <s v="Gráfico de Evolución"/>
    <s v="Región del Biobío evolución anual cantidad número empresas tipo contribuyente SII regional activas año tributario fiscal inicio actividades"/>
    <x v="812"/>
    <s v="100-C-8"/>
    <s v="#1774B9"/>
    <s v="990-0813"/>
    <n v="99200008"/>
    <s v="T-1022"/>
    <s v="C-993"/>
    <s v="FI-991"/>
    <s v="M-1072"/>
  </r>
  <r>
    <x v="813"/>
    <n v="990"/>
    <x v="0"/>
    <x v="9"/>
    <n v="9"/>
    <x v="51"/>
    <x v="12"/>
    <x v="1"/>
    <x v="9"/>
    <s v="Comuna"/>
    <s v="Cupos de elección popular por comuna"/>
    <s v="Periodo 1993-2019"/>
    <s v="Número de empresas"/>
    <s v="Servicio de Impuestos Internos (SII)"/>
    <x v="813"/>
    <s v="Gráfico que muestra la evolución del número de empresas vigentes según el año de inicio de actividades y tipo de contribuyente en la región de Araucanía, en el periodo 1993-2019. Información en base a registro de Servicio de Impuestos Internos (SII)."/>
    <s v="Gráfico de Evolución"/>
    <s v="Región de La Araucanía evolución anual cantidad número empresas tipo contribuyente SII regional activas año tributario fiscal inicio actividades"/>
    <x v="813"/>
    <s v="100-C-9"/>
    <s v="#1774B9"/>
    <s v="990-0814"/>
    <n v="99200009"/>
    <s v="T-1022"/>
    <s v="C-993"/>
    <s v="FI-991"/>
    <s v="M-1072"/>
  </r>
  <r>
    <x v="814"/>
    <n v="990"/>
    <x v="0"/>
    <x v="9"/>
    <n v="10"/>
    <x v="51"/>
    <x v="12"/>
    <x v="1"/>
    <x v="10"/>
    <s v="Comuna"/>
    <s v="Cupos de elección popular por comuna"/>
    <s v="Periodo 1993-2019"/>
    <s v="Número de empresas"/>
    <s v="Servicio de Impuestos Internos (SII)"/>
    <x v="814"/>
    <s v="En la región de Los Lagos, se observa que la mayor cantidad de empresas vigentes según año de inicio de actividades, en el periodo 1993-2019, son del tipo contribuyente &quot;Persona Jurídica Comercial&quot;, llegando en el año 2019 a 3.941 empresas."/>
    <s v="Gráfico de Evolución"/>
    <s v="Región de Los Lagos evolución anual cantidad número empresas tipo contribuyente SII regional activas año tributario fiscal inicio actividades"/>
    <x v="814"/>
    <s v="100-C-10"/>
    <s v="#1774B9"/>
    <s v="990-0815"/>
    <n v="99200010"/>
    <s v="T-1022"/>
    <s v="C-993"/>
    <s v="FI-991"/>
    <s v="M-1072"/>
  </r>
  <r>
    <x v="815"/>
    <n v="990"/>
    <x v="0"/>
    <x v="9"/>
    <n v="11"/>
    <x v="51"/>
    <x v="12"/>
    <x v="1"/>
    <x v="11"/>
    <s v="Comuna"/>
    <s v="Cupos de elección popular por comuna"/>
    <s v="Periodo 1993-2019"/>
    <s v="Número de empresas"/>
    <s v="Servicio de Impuestos Internos (SII)"/>
    <x v="815"/>
    <s v="En la región de Aysén se observa que la mayor cantidad de empresas vigentes según año de inicio de actividades, en el periodo 1993-2019, son del tipo contribuyente &quot;Persona Jurídica Comercial&quot;, llegando en el año 2019 a 616 empresas."/>
    <s v="Gráfico de Evolución"/>
    <s v="Región de Aysén evolución anual cantidad número empresas tipo contribuyente SII regional activas año tributario fiscal inicio actividades"/>
    <x v="815"/>
    <s v="100-C-11"/>
    <s v="#1774B9"/>
    <s v="990-0816"/>
    <n v="99200011"/>
    <s v="T-1022"/>
    <s v="C-993"/>
    <s v="FI-991"/>
    <s v="M-1072"/>
  </r>
  <r>
    <x v="816"/>
    <n v="990"/>
    <x v="0"/>
    <x v="9"/>
    <n v="12"/>
    <x v="51"/>
    <x v="12"/>
    <x v="1"/>
    <x v="12"/>
    <s v="Comuna"/>
    <s v="Cupos de elección popular por comuna"/>
    <s v="Periodo 1993-2019"/>
    <s v="Número de empresas"/>
    <s v="Servicio de Impuestos Internos (SII)"/>
    <x v="816"/>
    <s v="Gráfico que muestra la evolución del número de empresas vigentes según el año de inicio de actividades y tipo de contribuyente en la región de Magallanes, en el periodo 1993-2019. Información en base a registro de Servicio de Impuestos Internos (SII)."/>
    <s v="Gráfico de Evolución"/>
    <s v="Región de Magallanes evolución anual cantidad número empresas tipo contribuyente SII regional activas año tributario fiscal inicio actividades"/>
    <x v="816"/>
    <s v="100-C-12"/>
    <s v="#1774B9"/>
    <s v="990-0817"/>
    <n v="99200012"/>
    <s v="T-1022"/>
    <s v="C-993"/>
    <s v="FI-991"/>
    <s v="M-1072"/>
  </r>
  <r>
    <x v="817"/>
    <n v="990"/>
    <x v="0"/>
    <x v="9"/>
    <n v="13"/>
    <x v="51"/>
    <x v="12"/>
    <x v="1"/>
    <x v="13"/>
    <s v="Comuna"/>
    <s v="Cupos de elección popular por comuna"/>
    <s v="Periodo 1993-2019"/>
    <s v="Número de empresas"/>
    <s v="Servicio de Impuestos Internos (SII)"/>
    <x v="817"/>
    <s v="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quot;Persona Jurídica Comercial&quot; aumentaron exponencialmente hasta el año 2019, alcanzando las 45.136 empresas."/>
    <s v="Gráfico de Evolución"/>
    <s v="Región Metropolitana evolución anual cantidad número empresas tipo contribuyente SII regional activas año tributario fiscal inicio actividades"/>
    <x v="817"/>
    <s v="200-C-13"/>
    <s v="#1774B9"/>
    <s v="990-0818"/>
    <n v="99200013"/>
    <s v="T-1022"/>
    <s v="C-993"/>
    <s v="FI-991"/>
    <s v="M-1072"/>
  </r>
  <r>
    <x v="818"/>
    <n v="990"/>
    <x v="0"/>
    <x v="9"/>
    <n v="14"/>
    <x v="51"/>
    <x v="12"/>
    <x v="1"/>
    <x v="14"/>
    <s v="Comuna"/>
    <s v="Cupos de elección popular por comuna"/>
    <s v="Periodo 1993-2019"/>
    <s v="Número de empresas"/>
    <s v="Servicio de Impuestos Internos (SII)"/>
    <x v="818"/>
    <s v="En la región de Los Ríos se observa que la mayor cantidad de empresas vigentes según año de inicio de actividades, en el periodo 1993-2019, son del tipo contribuyente &quot;Persona Jurídica Comercial&quot;, llegando en el año 2019 a 1.543 empresas."/>
    <s v="Gráfico de Evolución"/>
    <s v="Región de Los Ríos evolución anual cantidad número empresas tipo contribuyente SII regional activas año tributario fiscal inicio actividades"/>
    <x v="818"/>
    <s v="100-C-14"/>
    <s v="#1774B9"/>
    <s v="990-0819"/>
    <n v="99200014"/>
    <s v="T-1022"/>
    <s v="C-993"/>
    <s v="FI-991"/>
    <s v="M-1072"/>
  </r>
  <r>
    <x v="819"/>
    <n v="990"/>
    <x v="0"/>
    <x v="9"/>
    <n v="15"/>
    <x v="51"/>
    <x v="12"/>
    <x v="1"/>
    <x v="15"/>
    <s v="Comuna"/>
    <s v="Cupos de elección popular por comuna"/>
    <s v="Periodo 1993-2019"/>
    <s v="Número de empresas"/>
    <s v="Servicio de Impuestos Internos (SII)"/>
    <x v="819"/>
    <s v="En la región de Arica y Parinacota se observa que la mayor cantidad de empresas vigentes según año de inicio de actividades, en el periodo 1993-2019, son del tipo contribuyente &quot;Persona Jurídica Comercial&quot;, llegando en el año 2019 a 660 empresas."/>
    <s v="Gráfico de Evolución"/>
    <s v="Región de Arica y Parinacota evolución anual cantidad número empresas tipo contribuyente SII regional activas año tributario fiscal inicio actividades"/>
    <x v="819"/>
    <s v="100-C-15"/>
    <s v="#1774B9"/>
    <s v="990-0820"/>
    <n v="99200015"/>
    <s v="T-1022"/>
    <s v="C-993"/>
    <s v="FI-991"/>
    <s v="M-1072"/>
  </r>
  <r>
    <x v="820"/>
    <n v="990"/>
    <x v="0"/>
    <x v="9"/>
    <n v="16"/>
    <x v="51"/>
    <x v="12"/>
    <x v="1"/>
    <x v="16"/>
    <s v="Comuna"/>
    <s v="Cupos de elección popular por comuna"/>
    <s v="Periodo 1993-2019"/>
    <s v="Número de empresas"/>
    <s v="Servicio de Impuestos Internos (SII)"/>
    <x v="820"/>
    <s v="Gráfico que muestra la evolución del número de empresas vigentes según el año de inicio de actividades y tipo de contribuyente en la región de Ñuble, en el periodo 1993-2019. Información en base a registro de Servicio de Impuestos Internos (SII)."/>
    <s v="Gráfico de Evolución"/>
    <s v="Región de Ñuble evolución anual cantidad número empresas tipo contribuyente SII regional activas año tributario fiscal inicio actividades"/>
    <x v="820"/>
    <s v="100-C-16"/>
    <s v="#1774B9"/>
    <s v="990-0821"/>
    <n v="99200016"/>
    <s v="T-1022"/>
    <s v="C-993"/>
    <s v="FI-991"/>
    <s v="M-1072"/>
  </r>
  <r>
    <x v="821"/>
    <n v="990"/>
    <x v="0"/>
    <x v="9"/>
    <n v="0"/>
    <x v="52"/>
    <x v="12"/>
    <x v="0"/>
    <x v="0"/>
    <s v="Región-Comuna"/>
    <s v="Cantidad de trabajadores por comuna"/>
    <s v="Periodo 1993-2019"/>
    <s v="Número de trabajadores"/>
    <s v="Servicio de Impuestos Internos (SII)"/>
    <x v="821"/>
    <s v="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
    <s v="Gráfico de Evolución"/>
    <s v="Chile evolución anual trabajadores tipo contribuyente empresas activas vigente SII año tributario fiscal"/>
    <x v="821"/>
    <s v="300-C"/>
    <s v="#1774B9"/>
    <s v="990-0822"/>
    <n v="99100000"/>
    <s v="T-1023"/>
    <s v="C-993"/>
    <s v="FI-995"/>
    <s v="M-1074"/>
  </r>
  <r>
    <x v="822"/>
    <n v="990"/>
    <x v="0"/>
    <x v="9"/>
    <n v="1"/>
    <x v="52"/>
    <x v="12"/>
    <x v="1"/>
    <x v="1"/>
    <s v="Comuna"/>
    <s v="Cantidad de trabajadores por comuna"/>
    <s v="Periodo 1993-2019"/>
    <s v="Número de trabajadores"/>
    <s v="Servicio de Impuestos Internos (SII)"/>
    <x v="822"/>
    <s v="En la región de Tarapacá se observa una baja en el número de trabajadores de empresas vigente, por año de inicio de actividades, en el año 2019, bajando de 5.708 trabajadores en el año 2018 a 1.996 en el año 2019."/>
    <s v="Gráfico de Evolución"/>
    <s v="Región de Tarapacá evolución anual trabajadores tipo contribuyente empresas activas vigente SII año tributario fiscal"/>
    <x v="822"/>
    <s v="100-C-1"/>
    <s v="#1774B9"/>
    <s v="990-0823"/>
    <n v="99200001"/>
    <s v="T-1023"/>
    <s v="C-993"/>
    <s v="FI-991"/>
    <s v="M-1074"/>
  </r>
  <r>
    <x v="823"/>
    <n v="990"/>
    <x v="0"/>
    <x v="9"/>
    <n v="2"/>
    <x v="52"/>
    <x v="12"/>
    <x v="1"/>
    <x v="2"/>
    <s v="Comuna"/>
    <s v="Cantidad de trabajadores por comuna"/>
    <s v="Periodo 1993-2019"/>
    <s v="Número de trabajadores"/>
    <s v="Servicio de Impuestos Internos (SII)"/>
    <x v="823"/>
    <s v="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
    <s v="Gráfico de Evolución"/>
    <s v="Región de Antofagasta evolución anual trabajadores tipo contribuyente empresas activas vigente SII año tributario fiscal"/>
    <x v="823"/>
    <s v="100-C-2"/>
    <s v="#1774B9"/>
    <s v="990-0824"/>
    <n v="99200002"/>
    <s v="T-1023"/>
    <s v="C-993"/>
    <s v="FI-991"/>
    <s v="M-1074"/>
  </r>
  <r>
    <x v="824"/>
    <n v="990"/>
    <x v="0"/>
    <x v="9"/>
    <n v="3"/>
    <x v="52"/>
    <x v="12"/>
    <x v="1"/>
    <x v="3"/>
    <s v="Comuna"/>
    <s v="Cantidad de trabajadores por comuna"/>
    <s v="Periodo 1993-2019"/>
    <s v="Número de trabajadores"/>
    <s v="Servicio de Impuestos Internos (SII)"/>
    <x v="824"/>
    <s v="En la región de Atacama se observa una baja en el número de trabajadores de empresas vigente, por año de inicio de actividades, en el año 2019, bajando de 5.777 trabajadores en el año 2018 a 1.505 en el año 2019."/>
    <s v="Gráfico de Evolución"/>
    <s v="Región de Atacama evolución anual trabajadores tipo contribuyente empresas activas vigente SII año tributario fiscal"/>
    <x v="824"/>
    <s v="100-C-3"/>
    <s v="#1774B9"/>
    <s v="990-0825"/>
    <n v="99200003"/>
    <s v="T-1023"/>
    <s v="C-993"/>
    <s v="FI-991"/>
    <s v="M-1074"/>
  </r>
  <r>
    <x v="825"/>
    <n v="990"/>
    <x v="0"/>
    <x v="9"/>
    <n v="4"/>
    <x v="52"/>
    <x v="12"/>
    <x v="1"/>
    <x v="4"/>
    <s v="Comuna"/>
    <s v="Cantidad de trabajadores por comuna"/>
    <s v="Periodo 1993-2019"/>
    <s v="Número de trabajadores"/>
    <s v="Servicio de Impuestos Internos (SII)"/>
    <x v="825"/>
    <s v="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
    <s v="Gráfico de Evolución"/>
    <s v="Región de Coquimbo evolución anual trabajadores tipo contribuyente empresas activas vigente SII año tributario fiscal"/>
    <x v="825"/>
    <s v="100-C-4"/>
    <s v="#1774B9"/>
    <s v="990-0826"/>
    <n v="99200004"/>
    <s v="T-1023"/>
    <s v="C-993"/>
    <s v="FI-991"/>
    <s v="M-1074"/>
  </r>
  <r>
    <x v="826"/>
    <n v="990"/>
    <x v="0"/>
    <x v="9"/>
    <n v="5"/>
    <x v="52"/>
    <x v="12"/>
    <x v="1"/>
    <x v="5"/>
    <s v="Comuna"/>
    <s v="Cantidad de trabajadores por comuna"/>
    <s v="Periodo 1993-2019"/>
    <s v="Número de trabajadores"/>
    <s v="Servicio de Impuestos Internos (SII)"/>
    <x v="826"/>
    <s v="En la región de Valparaíso se observa que el año con mayor número de trabajadores de empresas vigente, por año de inicio de actividades, es el año 2018 con 34.277. En tanto en el año 2019 se ve una baja, llegando a 15.248 trabajadores."/>
    <s v="Gráfico de Evolución"/>
    <s v="Región de Valparaíso evolución anual trabajadores tipo contribuyente empresas activas vigente SII año tributario fiscal"/>
    <x v="826"/>
    <s v="100-C-5"/>
    <s v="#1774B9"/>
    <s v="990-0827"/>
    <n v="99200005"/>
    <s v="T-1023"/>
    <s v="C-993"/>
    <s v="FI-991"/>
    <s v="M-1074"/>
  </r>
  <r>
    <x v="827"/>
    <n v="990"/>
    <x v="0"/>
    <x v="9"/>
    <n v="6"/>
    <x v="52"/>
    <x v="12"/>
    <x v="1"/>
    <x v="6"/>
    <s v="Comuna"/>
    <s v="Cantidad de trabajadores por comuna"/>
    <s v="Periodo 1993-2019"/>
    <s v="Número de trabajadores"/>
    <s v="Servicio de Impuestos Internos (SII)"/>
    <x v="827"/>
    <s v="En la región de O'Higgins se observa que el año con mayor número de trabajadores de empresas vigente, por año de inicio de actividades, es el año 2018 con 30.124. En tanto en el año 2019 se ve una baja, llegando a 17.955 trabajadores."/>
    <s v="Gráfico de Evolución"/>
    <s v="Región de O'Higgins evolución anual trabajadores tipo contribuyente empresas activas vigente SII año tributario fiscal"/>
    <x v="827"/>
    <s v="100-C-6"/>
    <s v="#1774B9"/>
    <s v="990-0828"/>
    <n v="99200006"/>
    <s v="T-1023"/>
    <s v="C-993"/>
    <s v="FI-991"/>
    <s v="M-1074"/>
  </r>
  <r>
    <x v="828"/>
    <n v="990"/>
    <x v="0"/>
    <x v="9"/>
    <n v="7"/>
    <x v="52"/>
    <x v="12"/>
    <x v="1"/>
    <x v="7"/>
    <s v="Comuna"/>
    <s v="Cantidad de trabajadores por comuna"/>
    <s v="Periodo 1993-2019"/>
    <s v="Número de trabajadores"/>
    <s v="Servicio de Impuestos Internos (SII)"/>
    <x v="828"/>
    <s v="En la región de Maule se observa una baja en el número de trabajadores de empresas vigente, por año de inicio de actividades, en el año 2019, bajando de 19.460 trabajadores en el año 2018 a 12.211 en el año 2019."/>
    <s v="Gráfico de Evolución"/>
    <s v="Región de Maule evolución anual trabajadores tipo contribuyente empresas activas vigente SII año tributario fiscal"/>
    <x v="828"/>
    <s v="100-C-7"/>
    <s v="#1774B9"/>
    <s v="990-0829"/>
    <n v="99200007"/>
    <s v="T-1023"/>
    <s v="C-993"/>
    <s v="FI-991"/>
    <s v="M-1074"/>
  </r>
  <r>
    <x v="829"/>
    <n v="990"/>
    <x v="0"/>
    <x v="9"/>
    <n v="8"/>
    <x v="52"/>
    <x v="12"/>
    <x v="1"/>
    <x v="8"/>
    <s v="Comuna"/>
    <s v="Cantidad de trabajadores por comuna"/>
    <s v="Periodo 1993-2019"/>
    <s v="Número de trabajadores"/>
    <s v="Servicio de Impuestos Internos (SII)"/>
    <x v="829"/>
    <s v="En la región del Biobío se observa una baja en el número de trabajadores de empresas vigente, por año de inicio de actividades, en el año 2019, bajando de 28.297 trabajadores en el año 2018 a 10.776 en el año 2019."/>
    <s v="Gráfico de Evolución"/>
    <s v="Región del Biobío evolución anual trabajadores tipo contribuyente empresas activas vigente SII año tributario fiscal"/>
    <x v="829"/>
    <s v="100-C-8"/>
    <s v="#1774B9"/>
    <s v="990-0830"/>
    <n v="99200008"/>
    <s v="T-1023"/>
    <s v="C-993"/>
    <s v="FI-991"/>
    <s v="M-1074"/>
  </r>
  <r>
    <x v="830"/>
    <n v="990"/>
    <x v="0"/>
    <x v="9"/>
    <n v="9"/>
    <x v="52"/>
    <x v="12"/>
    <x v="1"/>
    <x v="9"/>
    <s v="Comuna"/>
    <s v="Cantidad de trabajadores por comuna"/>
    <s v="Periodo 1993-2019"/>
    <s v="Número de trabajadores"/>
    <s v="Servicio de Impuestos Internos (SII)"/>
    <x v="830"/>
    <s v="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
    <s v="Gráfico de Evolución"/>
    <s v="Región de La Araucanía evolución anual trabajadores tipo contribuyente empresas activas vigente SII año tributario fiscal"/>
    <x v="830"/>
    <s v="100-C-9"/>
    <s v="#1774B9"/>
    <s v="990-0831"/>
    <n v="99200009"/>
    <s v="T-1023"/>
    <s v="C-993"/>
    <s v="FI-991"/>
    <s v="M-1074"/>
  </r>
  <r>
    <x v="831"/>
    <n v="990"/>
    <x v="0"/>
    <x v="9"/>
    <n v="10"/>
    <x v="52"/>
    <x v="12"/>
    <x v="1"/>
    <x v="10"/>
    <s v="Comuna"/>
    <s v="Cantidad de trabajadores por comuna"/>
    <s v="Periodo 1993-2019"/>
    <s v="Número de trabajadores"/>
    <s v="Servicio de Impuestos Internos (SII)"/>
    <x v="831"/>
    <s v="En la región de Los Lagos se observa una baja en el número de trabajadores de empresas vigente, por año de inicio de actividades, en el año 2019, bajando de 15.069 trabajadores en el año 2018 a 7.628 en el año 2019."/>
    <s v="Gráfico de Evolución"/>
    <s v="Región de Los Lagos evolución anual trabajadores tipo contribuyente empresas activas vigente SII año tributario fiscal"/>
    <x v="831"/>
    <s v="100-C-10"/>
    <s v="#1774B9"/>
    <s v="990-0832"/>
    <n v="99200010"/>
    <s v="T-1023"/>
    <s v="C-993"/>
    <s v="FI-991"/>
    <s v="M-1074"/>
  </r>
  <r>
    <x v="832"/>
    <n v="990"/>
    <x v="0"/>
    <x v="9"/>
    <n v="11"/>
    <x v="52"/>
    <x v="12"/>
    <x v="1"/>
    <x v="11"/>
    <s v="Comuna"/>
    <s v="Cantidad de trabajadores por comuna"/>
    <s v="Periodo 1993-2019"/>
    <s v="Número de trabajadores"/>
    <s v="Servicio de Impuestos Internos (SII)"/>
    <x v="832"/>
    <s v="En la región de Aysén se observa que el año con mayor número de trabajadores de empresas vigente, por año de inicio de actividades, es el año 2017 con 2.569. En tanto el año 2019 se ve una baja, llegando a 626 trabajadores."/>
    <s v="Gráfico de Evolución"/>
    <s v="Región de Aysén evolución anual trabajadores tipo contribuyente empresas activas vigente SII año tributario fiscal"/>
    <x v="832"/>
    <s v="100-C-11"/>
    <s v="#1774B9"/>
    <s v="990-0833"/>
    <n v="99200011"/>
    <s v="T-1023"/>
    <s v="C-993"/>
    <s v="FI-991"/>
    <s v="M-1074"/>
  </r>
  <r>
    <x v="833"/>
    <n v="990"/>
    <x v="0"/>
    <x v="9"/>
    <n v="12"/>
    <x v="52"/>
    <x v="12"/>
    <x v="1"/>
    <x v="12"/>
    <s v="Comuna"/>
    <s v="Cantidad de trabajadores por comuna"/>
    <s v="Periodo 1993-2019"/>
    <s v="Número de trabajadores"/>
    <s v="Servicio de Impuestos Internos (SII)"/>
    <x v="833"/>
    <s v="En la región de Magallanes se observa una baja en el número de trabajadores de empresas vigente, por año de inicio de actividades, en el año 2019, bajando de 2.128 trabajadores en el año 2018 a 1.316 en el año 2019."/>
    <s v="Gráfico de Evolución"/>
    <s v="Región de Magallanes evolución anual trabajadores tipo contribuyente empresas activas vigente SII año tributario fiscal"/>
    <x v="833"/>
    <s v="100-C-12"/>
    <s v="#1774B9"/>
    <s v="990-0834"/>
    <n v="99200012"/>
    <s v="T-1023"/>
    <s v="C-993"/>
    <s v="FI-991"/>
    <s v="M-1074"/>
  </r>
  <r>
    <x v="834"/>
    <n v="990"/>
    <x v="0"/>
    <x v="9"/>
    <n v="13"/>
    <x v="52"/>
    <x v="12"/>
    <x v="1"/>
    <x v="13"/>
    <s v="Comuna"/>
    <s v="Cantidad de trabajadores por comuna"/>
    <s v="Periodo 1993-2019"/>
    <s v="Número de trabajadores"/>
    <s v="Servicio de Impuestos Internos (SII)"/>
    <x v="834"/>
    <s v="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
    <s v="Gráfico de Evolución"/>
    <s v="Región Metropolitana evolución anual trabajadores tipo contribuyente empresas activas vigente SII año tributario fiscal"/>
    <x v="834"/>
    <s v="200-C-13"/>
    <s v="#1774B9"/>
    <s v="990-0835"/>
    <n v="99200013"/>
    <s v="T-1023"/>
    <s v="C-993"/>
    <s v="FI-991"/>
    <s v="M-1074"/>
  </r>
  <r>
    <x v="835"/>
    <n v="990"/>
    <x v="0"/>
    <x v="9"/>
    <n v="14"/>
    <x v="52"/>
    <x v="12"/>
    <x v="1"/>
    <x v="14"/>
    <s v="Comuna"/>
    <s v="Cantidad de trabajadores por comuna"/>
    <s v="Periodo 1993-2019"/>
    <s v="Número de trabajadores"/>
    <s v="Servicio de Impuestos Internos (SII)"/>
    <x v="835"/>
    <s v="En la región de Los Ríos se observa que el año con mayor número de trabajadores de empresas vigente, por año de inicio de actividades, es el año 2016 con 5.629. En tanto el año 2019 se ve una baja, llegando a 1.563 trabajadores."/>
    <s v="Gráfico de Evolución"/>
    <s v="Región de Los Ríos evolución anual trabajadores tipo contribuyente empresas activas vigente SII año tributario fiscal"/>
    <x v="835"/>
    <s v="100-C-14"/>
    <s v="#1774B9"/>
    <s v="990-0836"/>
    <n v="99200014"/>
    <s v="T-1023"/>
    <s v="C-993"/>
    <s v="FI-991"/>
    <s v="M-1074"/>
  </r>
  <r>
    <x v="836"/>
    <n v="990"/>
    <x v="0"/>
    <x v="9"/>
    <n v="15"/>
    <x v="52"/>
    <x v="12"/>
    <x v="1"/>
    <x v="15"/>
    <s v="Comuna"/>
    <s v="Cantidad de trabajadores por comuna"/>
    <s v="Periodo 1993-2019"/>
    <s v="Número de trabajadores"/>
    <s v="Servicio de Impuestos Internos (SII)"/>
    <x v="836"/>
    <s v="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
    <s v="Gráfico de Evolución"/>
    <s v="Región de Arica y Parinacota evolución anual trabajadores tipo contribuyente empresas activas vigente SII año tributario fiscal"/>
    <x v="836"/>
    <s v="100-C-15"/>
    <s v="#1774B9"/>
    <s v="990-0837"/>
    <n v="99200015"/>
    <s v="T-1023"/>
    <s v="C-993"/>
    <s v="FI-991"/>
    <s v="M-1074"/>
  </r>
  <r>
    <x v="837"/>
    <n v="990"/>
    <x v="0"/>
    <x v="9"/>
    <n v="16"/>
    <x v="52"/>
    <x v="12"/>
    <x v="1"/>
    <x v="16"/>
    <s v="Comuna"/>
    <s v="Cantidad de trabajadores por comuna"/>
    <s v="Periodo 1993-2019"/>
    <s v="Número de trabajadores"/>
    <s v="Servicio de Impuestos Internos (SII)"/>
    <x v="837"/>
    <s v="En la región de Ñuble se observa una baja en el número de trabajadores de empresas vigente, por año de inicio de actividades, en el año 2019, bajando de 5.691 trabajadores en el año 2018 a 2.394 en el año 2019."/>
    <s v="Gráfico de Evolución"/>
    <s v="Región de Ñuble evolución anual trabajadores tipo contribuyente empresas activas vigente SII año tributario fiscal"/>
    <x v="837"/>
    <s v="100-C-16"/>
    <s v="#1774B9"/>
    <s v="990-0838"/>
    <n v="99200016"/>
    <s v="T-1023"/>
    <s v="C-993"/>
    <s v="FI-991"/>
    <s v="M-1074"/>
  </r>
  <r>
    <x v="838"/>
    <n v="990"/>
    <x v="0"/>
    <x v="4"/>
    <n v="0"/>
    <x v="25"/>
    <x v="15"/>
    <x v="0"/>
    <x v="0"/>
    <s v="Región-Servicio de Salud"/>
    <s v="Población en control por comuna"/>
    <s v="Periodo 2012-2018"/>
    <s v="Número de Casos"/>
    <s v="Departamento de Estadísticas e Información de la Salud (DEIS) - Ministerio de Salud"/>
    <x v="83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x v="838"/>
    <s v="300-C"/>
    <s v="#1774B9"/>
    <s v="990-0839"/>
    <n v="99100000"/>
    <s v="T-1000"/>
    <s v="C-1010"/>
    <s v="FI-1009"/>
    <s v="M-1075"/>
  </r>
  <r>
    <x v="839"/>
    <n v="990"/>
    <x v="0"/>
    <x v="4"/>
    <n v="1"/>
    <x v="25"/>
    <x v="15"/>
    <x v="1"/>
    <x v="1"/>
    <s v="Servicio de Salud"/>
    <s v="Población en control por comuna"/>
    <s v="Periodo 2012-2018"/>
    <s v="Número de Casos"/>
    <s v="Departamento de Estadísticas e Información de la Salud (DEIS) - Ministerio de Salud"/>
    <x v="839"/>
    <s v="En la región de Tarapacá, el año 2012 la comuna de Iquique registró 373 pacientes en el programa VIH/SIDA. El año 2018 esta cifra aumenta registrando 712 pacientes. "/>
    <s v="Gráfico de Evolución"/>
    <s v="Región de Tarapacá VIH SIDA enfermedad transmisión sexual programa casos número población"/>
    <x v="839"/>
    <s v="100-C-1"/>
    <s v="#1774B9"/>
    <s v="990-0840"/>
    <n v="99200001"/>
    <s v="T-1000"/>
    <s v="C-1010"/>
    <s v="FI-1003"/>
    <s v="M-1075"/>
  </r>
  <r>
    <x v="840"/>
    <n v="990"/>
    <x v="0"/>
    <x v="4"/>
    <n v="2"/>
    <x v="25"/>
    <x v="15"/>
    <x v="1"/>
    <x v="2"/>
    <s v="Servicio de Salud"/>
    <s v="Población en control por comuna"/>
    <s v="Periodo 2012-2018"/>
    <s v="Número de Casos"/>
    <s v="Departamento de Estadísticas e Información de la Salud (DEIS) - Ministerio de Salud"/>
    <x v="840"/>
    <s v="En la región de Antofagasta, el año 2012, la comuna de Antofagasta registra 428  pacientes en el programa VIH/SIDA , y la comuna de Calama 153. El año 2018, estas cifras aumentan, registrando 932 pacientes en la comuna de Antofagasta y 276 en la comuna de Calama. "/>
    <s v="Gráfico de Evolución"/>
    <s v="Región de Antofagasta VIH SIDA enfermedad transmisión sexual programa casos número población"/>
    <x v="840"/>
    <s v="100-C-2"/>
    <s v="#1774B9"/>
    <s v="990-0841"/>
    <n v="99200002"/>
    <s v="T-1000"/>
    <s v="C-1010"/>
    <s v="FI-1003"/>
    <s v="M-1075"/>
  </r>
  <r>
    <x v="841"/>
    <n v="990"/>
    <x v="0"/>
    <x v="4"/>
    <n v="3"/>
    <x v="25"/>
    <x v="15"/>
    <x v="1"/>
    <x v="3"/>
    <s v="Servicio de Salud"/>
    <s v="Población en control por comuna"/>
    <s v="Periodo 2012-2018"/>
    <s v="Número de Casos"/>
    <s v="Departamento de Estadísticas e Información de la Salud (DEIS) - Ministerio de Salud"/>
    <x v="841"/>
    <s v="En la región de Atacama, el año 2012 la comuna de Copiapó registra 251 pacientes en el programa VIH/SIDA. El año 2018 esta cifra aumenta registrando 491  pacientes."/>
    <s v="Gráfico de Evolución"/>
    <s v="Región de Atacama VIH SIDA enfermedad transmisión sexual programa casos número población"/>
    <x v="841"/>
    <s v="100-C-3"/>
    <s v="#1774B9"/>
    <s v="990-0842"/>
    <n v="99200003"/>
    <s v="T-1000"/>
    <s v="C-1010"/>
    <s v="FI-1003"/>
    <s v="M-1075"/>
  </r>
  <r>
    <x v="842"/>
    <n v="990"/>
    <x v="0"/>
    <x v="4"/>
    <n v="4"/>
    <x v="25"/>
    <x v="15"/>
    <x v="1"/>
    <x v="4"/>
    <s v="Servicio de Salud"/>
    <s v="Población en control por comuna"/>
    <s v="Periodo 2012-2018"/>
    <s v="Número de Casos"/>
    <s v="Departamento de Estadísticas e Información de la Salud (DEIS) - Ministerio de Salud"/>
    <x v="842"/>
    <s v="En la región de Coquimbo, el año 2012 la comuna de Coquimbo registra 353 pacientes en el programa VIH/SIDA, y la comuna de La Serena 309. El año 2018, estas cifras aumentan, registrando 845 pacientes en la comuna de Coquimbo y 662 en la comuna de Calama."/>
    <s v="Gráfico de Evolución"/>
    <s v="Región de Coquimbo VIH SIDA enfermedad transmisión sexual programa casos número población"/>
    <x v="842"/>
    <s v="100-C-4"/>
    <s v="#1774B9"/>
    <s v="990-0843"/>
    <n v="99200004"/>
    <s v="T-1000"/>
    <s v="C-1010"/>
    <s v="FI-1003"/>
    <s v="M-1075"/>
  </r>
  <r>
    <x v="843"/>
    <n v="990"/>
    <x v="0"/>
    <x v="4"/>
    <n v="5"/>
    <x v="25"/>
    <x v="15"/>
    <x v="1"/>
    <x v="5"/>
    <s v="Servicio de Salud"/>
    <s v="Población en control por comuna"/>
    <s v="Periodo 2012-2018"/>
    <s v="Número de Casos"/>
    <s v="Departamento de Estadísticas e Información de la Salud (DEIS) - Ministerio de Salud"/>
    <x v="843"/>
    <s v="En la región de Valparaíso, el año 2012 la comuna Valparaíso registra 1.698 pacientes  en el programa VIH/SIDA y la comuna Viña del Mar 896. El año 2018, estas cifras aumentan, registrando 1.824 en la comuna de Viña del Mar y 1.327 en la comuna de Valparaíso."/>
    <s v="Gráfico de Evolución"/>
    <s v="Región de Valparaíso VIH SIDA enfermedad transmisión sexual programa casos número población"/>
    <x v="843"/>
    <s v="100-C-5"/>
    <s v="#1774B9"/>
    <s v="990-0844"/>
    <n v="99200005"/>
    <s v="T-1000"/>
    <s v="C-1010"/>
    <s v="FI-1003"/>
    <s v="M-1075"/>
  </r>
  <r>
    <x v="844"/>
    <n v="990"/>
    <x v="0"/>
    <x v="4"/>
    <n v="6"/>
    <x v="25"/>
    <x v="15"/>
    <x v="1"/>
    <x v="6"/>
    <s v="Servicio de Salud"/>
    <s v="Población en control por comuna"/>
    <s v="Periodo 2012-2018"/>
    <s v="Número de Casos"/>
    <s v="Departamento de Estadísticas e Información de la Salud (DEIS) - Ministerio de Salud"/>
    <x v="844"/>
    <s v="En la región de O'Higgins, el año 2012 la comuna de Rancagua registra 436 pacientes en el programa VIH/SIDA. El año 2018 esta cifra aumenta registrando 980 pacientes."/>
    <s v="Gráfico de Evolución"/>
    <s v="Región de O'Higgins VIH SIDA enfermedad transmisión sexual programa casos número población"/>
    <x v="844"/>
    <s v="100-C-6"/>
    <s v="#1774B9"/>
    <s v="990-0845"/>
    <n v="99200006"/>
    <s v="T-1000"/>
    <s v="C-1010"/>
    <s v="FI-1003"/>
    <s v="M-1075"/>
  </r>
  <r>
    <x v="845"/>
    <n v="990"/>
    <x v="0"/>
    <x v="4"/>
    <n v="7"/>
    <x v="25"/>
    <x v="15"/>
    <x v="1"/>
    <x v="7"/>
    <s v="Servicio de Salud"/>
    <s v="Población en control por comuna"/>
    <s v="Periodo 2012-2018"/>
    <s v="Número de Casos"/>
    <s v="Departamento de Estadísticas e Información de la Salud (DEIS) - Ministerio de Salud"/>
    <x v="845"/>
    <s v="En la región del Maule, el año 2012, la comuna de Talca registra 308 pacientes en el programa en el programa VIH/SIDA y la  comuna de Curicó 114. El año 2018, estas cifras aumentan, registrando 708 pacientes en la comuna de Talca y 309 en la comuna de Curicó."/>
    <s v="Gráfico de Evolución"/>
    <s v="Región de Maule VIH SIDA enfermedad transmisión sexual programa casos número población"/>
    <x v="845"/>
    <s v="100-C-7"/>
    <s v="#1774B9"/>
    <s v="990-0846"/>
    <n v="99200007"/>
    <s v="T-1000"/>
    <s v="C-1010"/>
    <s v="FI-1003"/>
    <s v="M-1075"/>
  </r>
  <r>
    <x v="846"/>
    <n v="990"/>
    <x v="0"/>
    <x v="4"/>
    <n v="8"/>
    <x v="25"/>
    <x v="15"/>
    <x v="1"/>
    <x v="8"/>
    <s v="Servicio de Salud"/>
    <s v="Población en control por comuna"/>
    <s v="Periodo 2012-2018"/>
    <s v="Número de Casos"/>
    <s v="Departamento de Estadísticas e Información de la Salud (DEIS) - Ministerio de Salud"/>
    <x v="846"/>
    <s v="En la región del Biobío, el año 2012, la comuna de Concepción registra 849 pacientes en el programa en el programa VIH/SIDA y la  comuna de Los Ángeles 109. El año 2018, estas cifras aumentan, registrando 1.285 pacientes en la comuna de Concepción y 618 en la comuna de Talcahuano."/>
    <s v="Gráfico de Evolución"/>
    <s v="Región del Biobío VIH SIDA enfermedad transmisión sexual programa casos número población"/>
    <x v="846"/>
    <s v="100-C-8"/>
    <s v="#1774B9"/>
    <s v="990-0847"/>
    <n v="99200008"/>
    <s v="T-1000"/>
    <s v="C-1010"/>
    <s v="FI-1003"/>
    <s v="M-1075"/>
  </r>
  <r>
    <x v="847"/>
    <n v="990"/>
    <x v="0"/>
    <x v="4"/>
    <n v="9"/>
    <x v="25"/>
    <x v="15"/>
    <x v="1"/>
    <x v="9"/>
    <s v="Servicio de Salud"/>
    <s v="Población en control por comuna"/>
    <s v="Periodo 2012-2018"/>
    <s v="Número de Casos"/>
    <s v="Departamento de Estadísticas e Información de la Salud (DEIS) - Ministerio de Salud"/>
    <x v="847"/>
    <s v="En la región de La Araucanía, el año 2012 la comuna de Temuco registra 558 pacientes en el programa VIH/SIDA. El año 2018 esta cifra aumenta registrando 989 pacientes."/>
    <s v="Gráfico de Evolución"/>
    <s v="Región de La Araucanía VIH SIDA enfermedad transmisión sexual programa casos número población"/>
    <x v="847"/>
    <s v="100-C-9"/>
    <s v="#1774B9"/>
    <s v="990-0848"/>
    <n v="99200009"/>
    <s v="T-1000"/>
    <s v="C-1010"/>
    <s v="FI-1003"/>
    <s v="M-1075"/>
  </r>
  <r>
    <x v="848"/>
    <n v="990"/>
    <x v="0"/>
    <x v="4"/>
    <n v="10"/>
    <x v="25"/>
    <x v="15"/>
    <x v="1"/>
    <x v="10"/>
    <s v="Servicio de Salud"/>
    <s v="Población en control por comuna"/>
    <s v="Periodo 2012-2018"/>
    <s v="Número de Casos"/>
    <s v="Departamento de Estadísticas e Información de la Salud (DEIS) - Ministerio de Salud"/>
    <x v="848"/>
    <s v="En la región de Los Lagos, el año 2012, la comuna de Puerto Montt registra 413 pacientes en el programa en el programa VIH/SIDA y la comuna de Osorno 220. El año 2018, estas cifras aumentan, registrando 871 pacientes en la comuna de Puerto Montt y 497 en la comuna de Osorno."/>
    <s v="Gráfico de Evolución"/>
    <s v="Región de Los Lagos VIH SIDA enfermedad transmisión sexual programa casos número población"/>
    <x v="848"/>
    <s v="100-C-10"/>
    <s v="#1774B9"/>
    <s v="990-0849"/>
    <n v="99200010"/>
    <s v="T-1000"/>
    <s v="C-1010"/>
    <s v="FI-1003"/>
    <s v="M-1075"/>
  </r>
  <r>
    <x v="849"/>
    <n v="990"/>
    <x v="0"/>
    <x v="4"/>
    <n v="11"/>
    <x v="25"/>
    <x v="15"/>
    <x v="1"/>
    <x v="11"/>
    <s v="Servicio de Salud"/>
    <s v="Población en control por comuna"/>
    <s v="Periodo 2012-2018"/>
    <s v="Número de Casos"/>
    <s v="Departamento de Estadísticas e Información de la Salud (DEIS) - Ministerio de Salud"/>
    <x v="849"/>
    <s v="En la región de Aysén, el año 2012 la comuna de Coyhaique registra 8 pacientes en el programa VIH/SIDA. El año 2018 esta cifra aumenta registrando 115 pacientes."/>
    <s v="Gráfico de Evolución"/>
    <s v="Región de Aysén VIH SIDA enfermedad transmisión sexual programa casos número población"/>
    <x v="849"/>
    <s v="100-C-11"/>
    <s v="#1774B9"/>
    <s v="990-0850"/>
    <n v="99200011"/>
    <s v="T-1000"/>
    <s v="C-1010"/>
    <s v="FI-1003"/>
    <s v="M-1075"/>
  </r>
  <r>
    <x v="850"/>
    <n v="990"/>
    <x v="0"/>
    <x v="4"/>
    <n v="12"/>
    <x v="25"/>
    <x v="15"/>
    <x v="1"/>
    <x v="12"/>
    <s v="Servicio de Salud"/>
    <s v="Población en control por comuna"/>
    <s v="Periodo 2012-2018"/>
    <s v="Número de Casos"/>
    <s v="Departamento de Estadísticas e Información de la Salud (DEIS) - Ministerio de Salud"/>
    <x v="850"/>
    <s v="En la región de Magallanes, el año 2012 la comuna de Punta Arenas registra 145 pacientes en el programa VIH/SIDA. El año 2018 esta cifra disminuye registrando 36 pacientes."/>
    <s v="Gráfico de Evolución"/>
    <s v="Región de Magallanes VIH SIDA enfermedad transmisión sexual programa casos número población"/>
    <x v="850"/>
    <s v="100-C-12"/>
    <s v="#1774B9"/>
    <s v="990-0851"/>
    <n v="99200012"/>
    <s v="T-1000"/>
    <s v="C-1010"/>
    <s v="FI-1003"/>
    <s v="M-1075"/>
  </r>
  <r>
    <x v="851"/>
    <n v="990"/>
    <x v="0"/>
    <x v="4"/>
    <n v="13"/>
    <x v="25"/>
    <x v="15"/>
    <x v="1"/>
    <x v="13"/>
    <s v="Servicio de Salud"/>
    <s v="Población en control por comuna"/>
    <s v="Periodo 2012-2018"/>
    <s v="Número de Casos"/>
    <s v="Departamento de Estadísticas e Información de la Salud (DEIS) - Ministerio de Salud"/>
    <x v="851"/>
    <s v="En la región Metropolitana, el año 2012, la comuna de Santiago registra 2.736 pacientes en el programa en el programa VIH/SIDA y la  comuna de providencia 2.724. El año 2018, estas cifras aumentan, registrando 7007 pacientes en la comuna de Santiago y 3.546 en la comuna de providencia."/>
    <s v="Gráfico de Evolución"/>
    <s v="Región Metropolitana VIH SIDA enfermedad transmisión sexual programa casos número población"/>
    <x v="851"/>
    <s v="200-C-13"/>
    <s v="#1774B9"/>
    <s v="990-0852"/>
    <n v="99200013"/>
    <s v="T-1000"/>
    <s v="C-1010"/>
    <s v="FI-1003"/>
    <s v="M-1075"/>
  </r>
  <r>
    <x v="852"/>
    <n v="990"/>
    <x v="0"/>
    <x v="4"/>
    <n v="14"/>
    <x v="25"/>
    <x v="15"/>
    <x v="1"/>
    <x v="14"/>
    <s v="Servicio de Salud"/>
    <s v="Población en control por comuna"/>
    <s v="Periodo 2012-2018"/>
    <s v="Número de Casos"/>
    <s v="Departamento de Estadísticas e Información de la Salud (DEIS) - Ministerio de Salud"/>
    <x v="852"/>
    <s v="En la región de Los Ríos, el año 2012 la comuna de Valdivia registra 275 pacientes en el programa VIH/SIDA. El año 2018 esta cifra aumenta registrando 521 pacientes."/>
    <s v="Gráfico de Evolución"/>
    <s v="Región de Los Ríos VIH SIDA enfermedad transmisión sexual programa casos número población"/>
    <x v="852"/>
    <s v="100-C-14"/>
    <s v="#1774B9"/>
    <s v="990-0853"/>
    <n v="99200014"/>
    <s v="T-1000"/>
    <s v="C-1010"/>
    <s v="FI-1003"/>
    <s v="M-1075"/>
  </r>
  <r>
    <x v="853"/>
    <n v="990"/>
    <x v="0"/>
    <x v="4"/>
    <n v="15"/>
    <x v="25"/>
    <x v="15"/>
    <x v="1"/>
    <x v="15"/>
    <s v="Servicio de Salud"/>
    <s v="Población en control por comuna"/>
    <s v="Periodo 2012-2018"/>
    <s v="Número de Casos"/>
    <s v="Departamento de Estadísticas e Información de la Salud (DEIS) - Ministerio de Salud"/>
    <x v="853"/>
    <s v="En la región de Arica y Parinacota, el año 2012 la comuna de Arica registra 508 pacientes en el programa VIH/SIDA. El año 2018 esta cifra aumenta registrando 943 pacientes."/>
    <s v="Gráfico de Evolución"/>
    <s v="Región de Arica y Parinacota VIH SIDA enfermedad transmisión sexual programa casos número población"/>
    <x v="853"/>
    <s v="100-C-15"/>
    <s v="#1774B9"/>
    <s v="990-0854"/>
    <n v="99200015"/>
    <s v="T-1000"/>
    <s v="C-1010"/>
    <s v="FI-1003"/>
    <s v="M-1075"/>
  </r>
  <r>
    <x v="854"/>
    <n v="990"/>
    <x v="0"/>
    <x v="4"/>
    <n v="16"/>
    <x v="25"/>
    <x v="15"/>
    <x v="1"/>
    <x v="16"/>
    <s v="Servicio de Salud"/>
    <s v="Población en control por comuna"/>
    <s v="Periodo 2012-2018"/>
    <s v="Número de Casos"/>
    <s v="Departamento de Estadísticas e Información de la Salud (DEIS) - Ministerio de Salud"/>
    <x v="854"/>
    <s v="En la región de Ñuble, el año 2012 la comuna de Chillán registra 166 pacientes en el programa VIH/SIDA. El año 2018 esta cifra aumenta registrando 371 pacientes."/>
    <s v="Gráfico de Evolución"/>
    <s v="Región de Ñuble VIH SIDA enfermedad transmisión sexual programa casos número población"/>
    <x v="854"/>
    <s v="100-C-16"/>
    <s v="#1774B9"/>
    <s v="990-0855"/>
    <n v="99200016"/>
    <s v="T-1000"/>
    <s v="C-1010"/>
    <s v="FI-1003"/>
    <s v="M-1075"/>
  </r>
  <r>
    <x v="855"/>
    <n v="990"/>
    <x v="0"/>
    <x v="4"/>
    <n v="0"/>
    <x v="25"/>
    <x v="15"/>
    <x v="0"/>
    <x v="0"/>
    <s v="Región"/>
    <s v="Población en control por región"/>
    <s v="Periodo 2012-2018"/>
    <s v="Personas"/>
    <s v="Departamento de Estadísticas e Información de la Salud (DEIS) - Ministerio de Salud"/>
    <x v="855"/>
    <s v="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
    <s v="Gráfico de Evolución"/>
    <s v="Chile VIH SIDA enfermedad transmisión sexual casos personas población control programa"/>
    <x v="855"/>
    <s v="300-R"/>
    <s v="#1774B9"/>
    <s v="990-0856"/>
    <n v="99100000"/>
    <s v="T-1000"/>
    <s v="C-1010"/>
    <s v="FI-992"/>
    <s v="M-1076"/>
  </r>
  <r>
    <x v="856"/>
    <n v="990"/>
    <x v="0"/>
    <x v="4"/>
    <n v="1"/>
    <x v="25"/>
    <x v="15"/>
    <x v="1"/>
    <x v="1"/>
    <s v="Ninguno"/>
    <s v="Población en control por región"/>
    <s v="Periodo 2012-2018"/>
    <s v="Personas"/>
    <s v="Departamento de Estadísticas e Información de la Salud (DEIS) - Ministerio de Salud"/>
    <x v="856"/>
    <s v="La región de Tarapacá, registró 373 pacientes  en el programa de VIH/SIDA, el año 2012. El año 2018 esta cifra aumenta registrando 712 pacientes. "/>
    <s v="Gráfico de Evolución"/>
    <s v="Región de Tarapacá VIH SIDA enfermedad transmisión sexual casos personas población control programa"/>
    <x v="856"/>
    <s v="100-R-1"/>
    <s v="#1774B9"/>
    <s v="990-0857"/>
    <n v="99200001"/>
    <s v="T-1000"/>
    <s v="C-1010"/>
    <s v="FI-993"/>
    <s v="M-1076"/>
  </r>
  <r>
    <x v="857"/>
    <n v="990"/>
    <x v="0"/>
    <x v="4"/>
    <n v="2"/>
    <x v="25"/>
    <x v="15"/>
    <x v="1"/>
    <x v="2"/>
    <s v="Ninguno"/>
    <s v="Población en control por región"/>
    <s v="Periodo 2012-2018"/>
    <s v="Personas"/>
    <s v="Departamento de Estadísticas e Información de la Salud (DEIS) - Ministerio de Salud"/>
    <x v="857"/>
    <s v="La región de Antofagasta, registró 581 pacientes  en el programa de VIH/SIDA, el año 2012. El año 2018 esta cifra aumenta registrando 1.208 pacientes. "/>
    <s v="Gráfico de Evolución"/>
    <s v="Región de Antofagasta VIH SIDA enfermedad transmisión sexual casos personas población control programa"/>
    <x v="857"/>
    <s v="100-R-2"/>
    <s v="#1774B9"/>
    <s v="990-0858"/>
    <n v="99200002"/>
    <s v="T-1000"/>
    <s v="C-1010"/>
    <s v="FI-993"/>
    <s v="M-1076"/>
  </r>
  <r>
    <x v="858"/>
    <n v="990"/>
    <x v="0"/>
    <x v="4"/>
    <n v="3"/>
    <x v="25"/>
    <x v="15"/>
    <x v="1"/>
    <x v="3"/>
    <s v="Ninguno"/>
    <s v="Población en control por región"/>
    <s v="Periodo 2012-2018"/>
    <s v="Personas"/>
    <s v="Departamento de Estadísticas e Información de la Salud (DEIS) - Ministerio de Salud"/>
    <x v="858"/>
    <s v="La región de Atacama, registró 251 pacientes  en el programa de VIH/SIDA, el año 2012. El año 2018 esta cifra aumenta registrando 491 pacientes. "/>
    <s v="Gráfico de Evolución"/>
    <s v="Región de Atacama VIH SIDA enfermedad transmisión sexual casos personas población control programa"/>
    <x v="858"/>
    <s v="100-R-3"/>
    <s v="#1774B9"/>
    <s v="990-0859"/>
    <n v="99200003"/>
    <s v="T-1000"/>
    <s v="C-1010"/>
    <s v="FI-993"/>
    <s v="M-1076"/>
  </r>
  <r>
    <x v="859"/>
    <n v="990"/>
    <x v="0"/>
    <x v="4"/>
    <n v="4"/>
    <x v="25"/>
    <x v="15"/>
    <x v="1"/>
    <x v="4"/>
    <s v="Ninguno"/>
    <s v="Población en control por región"/>
    <s v="Periodo 2012-2018"/>
    <s v="Personas"/>
    <s v="Departamento de Estadísticas e Información de la Salud (DEIS) - Ministerio de Salud"/>
    <x v="859"/>
    <s v="La región de Coquimbo, registró 701 pacientes  en el programa de VIH/SIDA, el año 2012. El año 2018 esta cifra aumenta registrando 1.507 pacientes. "/>
    <s v="Gráfico de Evolución"/>
    <s v="Región de Coquimbo VIH SIDA enfermedad transmisión sexual casos personas población control programa"/>
    <x v="859"/>
    <s v="100-R-4"/>
    <s v="#1774B9"/>
    <s v="990-0860"/>
    <n v="99200004"/>
    <s v="T-1000"/>
    <s v="C-1010"/>
    <s v="FI-993"/>
    <s v="M-1076"/>
  </r>
  <r>
    <x v="860"/>
    <n v="990"/>
    <x v="0"/>
    <x v="4"/>
    <n v="5"/>
    <x v="25"/>
    <x v="15"/>
    <x v="1"/>
    <x v="5"/>
    <s v="Ninguno"/>
    <s v="Población en control por región"/>
    <s v="Periodo 2012-2018"/>
    <s v="Personas"/>
    <s v="Departamento de Estadísticas e Información de la Salud (DEIS) - Ministerio de Salud"/>
    <x v="860"/>
    <s v="La región de Valparaíso, registró 2.859 pacientes  en el programa de VIH/SIDA, el año 2012. El año 2018 esta cifra aumenta registrando 3.337 pacientes. "/>
    <s v="Gráfico de Evolución"/>
    <s v="Región de Valparaíso VIH SIDA enfermedad transmisión sexual casos personas población control programa"/>
    <x v="860"/>
    <s v="100-R-5"/>
    <s v="#1774B9"/>
    <s v="990-0861"/>
    <n v="99200005"/>
    <s v="T-1000"/>
    <s v="C-1010"/>
    <s v="FI-993"/>
    <s v="M-1076"/>
  </r>
  <r>
    <x v="861"/>
    <n v="990"/>
    <x v="0"/>
    <x v="4"/>
    <n v="6"/>
    <x v="25"/>
    <x v="15"/>
    <x v="1"/>
    <x v="6"/>
    <s v="Ninguno"/>
    <s v="Población en control por región"/>
    <s v="Periodo 2012-2018"/>
    <s v="Personas"/>
    <s v="Departamento de Estadísticas e Información de la Salud (DEIS) - Ministerio de Salud"/>
    <x v="861"/>
    <s v="La región de O'Higgins, registró 436 pacientes  en el programa de VIH/SIDA, el año 2012. El año 2018 esta cifra aumenta registrando 1.076 pacientes. "/>
    <s v="Gráfico de Evolución"/>
    <s v="Región de O'Higgins VIH SIDA enfermedad transmisión sexual casos personas población control programa"/>
    <x v="861"/>
    <s v="100-R-6"/>
    <s v="#1774B9"/>
    <s v="990-0862"/>
    <n v="99200006"/>
    <s v="T-1000"/>
    <s v="C-1010"/>
    <s v="FI-993"/>
    <s v="M-1076"/>
  </r>
  <r>
    <x v="862"/>
    <n v="990"/>
    <x v="0"/>
    <x v="4"/>
    <n v="7"/>
    <x v="25"/>
    <x v="15"/>
    <x v="1"/>
    <x v="7"/>
    <s v="Ninguno"/>
    <s v="Población en control por región"/>
    <s v="Periodo 2012-2018"/>
    <s v="Personas"/>
    <s v="Departamento de Estadísticas e Información de la Salud (DEIS) - Ministerio de Salud"/>
    <x v="862"/>
    <s v="La región de Maule, registró 505 pacientes  en el programa de VIH/SIDA, el año 2012. El año 2018 esta cifra aumenta registrando 1.202 pacientes. "/>
    <s v="Gráfico de Evolución"/>
    <s v="Región de Maule VIH SIDA enfermedad transmisión sexual casos personas población control programa"/>
    <x v="862"/>
    <s v="100-R-7"/>
    <s v="#1774B9"/>
    <s v="990-0863"/>
    <n v="99200007"/>
    <s v="T-1000"/>
    <s v="C-1010"/>
    <s v="FI-993"/>
    <s v="M-1076"/>
  </r>
  <r>
    <x v="863"/>
    <n v="990"/>
    <x v="0"/>
    <x v="4"/>
    <n v="8"/>
    <x v="25"/>
    <x v="15"/>
    <x v="1"/>
    <x v="8"/>
    <s v="Ninguno"/>
    <s v="Población en control por región"/>
    <s v="Periodo 2012-2018"/>
    <s v="Personas"/>
    <s v="Departamento de Estadísticas e Información de la Salud (DEIS) - Ministerio de Salud"/>
    <x v="863"/>
    <s v="La región del Biobío, registró 976 pacientes  en el programa de VIH/SIDA, el año 2012. El año 2018 esta cifra aumenta registrando 2.276 pacientes. "/>
    <s v="Gráfico de Evolución"/>
    <s v="Región del Biobío VIH SIDA enfermedad transmisión sexual casos personas población control programa"/>
    <x v="863"/>
    <s v="100-R-8"/>
    <s v="#1774B9"/>
    <s v="990-0864"/>
    <n v="99200008"/>
    <s v="T-1000"/>
    <s v="C-1010"/>
    <s v="FI-993"/>
    <s v="M-1076"/>
  </r>
  <r>
    <x v="864"/>
    <n v="990"/>
    <x v="0"/>
    <x v="4"/>
    <n v="9"/>
    <x v="25"/>
    <x v="15"/>
    <x v="1"/>
    <x v="9"/>
    <s v="Ninguno"/>
    <s v="Población en control por región"/>
    <s v="Periodo 2012-2018"/>
    <s v="Personas"/>
    <s v="Departamento de Estadísticas e Información de la Salud (DEIS) - Ministerio de Salud"/>
    <x v="864"/>
    <s v="La región de La Araucanía, registró 578 pacientes  en el programa de VIH/SIDA, el año 2012. El año 2018 esta cifra aumenta registrando 1.112 pacientes. "/>
    <s v="Gráfico de Evolución"/>
    <s v="Región de La Araucanía VIH SIDA enfermedad transmisión sexual casos personas población control programa"/>
    <x v="864"/>
    <s v="100-R-9"/>
    <s v="#1774B9"/>
    <s v="990-0865"/>
    <n v="99200009"/>
    <s v="T-1000"/>
    <s v="C-1010"/>
    <s v="FI-993"/>
    <s v="M-1076"/>
  </r>
  <r>
    <x v="865"/>
    <n v="990"/>
    <x v="0"/>
    <x v="4"/>
    <n v="10"/>
    <x v="25"/>
    <x v="15"/>
    <x v="1"/>
    <x v="10"/>
    <s v="Ninguno"/>
    <s v="Población en control por región"/>
    <s v="Periodo 2012-2018"/>
    <s v="Personas"/>
    <s v="Departamento de Estadísticas e Información de la Salud (DEIS) - Ministerio de Salud"/>
    <x v="865"/>
    <s v="La región de Los Lagos, registró 679 pacientes  en el programa de VIH/SIDA, el año 2012. El año 2018 esta cifra aumenta registrando 1.540 pacientes. "/>
    <s v="Gráfico de Evolución"/>
    <s v="Región de Los Lagos VIH SIDA enfermedad transmisión sexual casos personas población control programa"/>
    <x v="865"/>
    <s v="100-R-10"/>
    <s v="#1774B9"/>
    <s v="990-0866"/>
    <n v="99200010"/>
    <s v="T-1000"/>
    <s v="C-1010"/>
    <s v="FI-993"/>
    <s v="M-1076"/>
  </r>
  <r>
    <x v="866"/>
    <n v="990"/>
    <x v="0"/>
    <x v="4"/>
    <n v="11"/>
    <x v="25"/>
    <x v="15"/>
    <x v="1"/>
    <x v="11"/>
    <s v="Ninguno"/>
    <s v="Población en control por región"/>
    <s v="Periodo 2012-2018"/>
    <s v="Personas"/>
    <s v="Departamento de Estadísticas e Información de la Salud (DEIS) - Ministerio de Salud"/>
    <x v="866"/>
    <s v="La región de Aysén, registró 8 pacientes  en el programa de VIH/SIDA, el año 2012. El año 2018 esta cifra aumenta registrando 115 pacientes. "/>
    <s v="Gráfico de Evolución"/>
    <s v="Región de Aysén VIH SIDA enfermedad transmisión sexual casos personas población control programa"/>
    <x v="866"/>
    <s v="100-R-11"/>
    <s v="#1774B9"/>
    <s v="990-0867"/>
    <n v="99200011"/>
    <s v="T-1000"/>
    <s v="C-1010"/>
    <s v="FI-993"/>
    <s v="M-1076"/>
  </r>
  <r>
    <x v="867"/>
    <n v="990"/>
    <x v="0"/>
    <x v="4"/>
    <n v="12"/>
    <x v="25"/>
    <x v="15"/>
    <x v="1"/>
    <x v="12"/>
    <s v="Ninguno"/>
    <s v="Población en control por región"/>
    <s v="Periodo 2012-2018"/>
    <s v="Personas"/>
    <s v="Departamento de Estadísticas e Información de la Salud (DEIS) - Ministerio de Salud"/>
    <x v="867"/>
    <s v="La región de Magallanes, registró 145 pacientes  en el programa de VIH/SIDA, el año 2012. El año 2018 esta cifra disminuye registrando 36 pacientes. "/>
    <s v="Gráfico de Evolución"/>
    <s v="Región de Magallanes VIH SIDA enfermedad transmisión sexual casos personas población control programa"/>
    <x v="867"/>
    <s v="100-R-12"/>
    <s v="#1774B9"/>
    <s v="990-0868"/>
    <n v="99200012"/>
    <s v="T-1000"/>
    <s v="C-1010"/>
    <s v="FI-993"/>
    <s v="M-1076"/>
  </r>
  <r>
    <x v="868"/>
    <n v="990"/>
    <x v="0"/>
    <x v="4"/>
    <n v="13"/>
    <x v="25"/>
    <x v="15"/>
    <x v="1"/>
    <x v="13"/>
    <s v="Ninguno"/>
    <s v="Población en control por región"/>
    <s v="Periodo 2012-2018"/>
    <s v="Personas"/>
    <s v="Departamento de Estadísticas e Información de la Salud (DEIS) - Ministerio de Salud"/>
    <x v="868"/>
    <s v="La región Metropolitana, registró 9.174 pacientes  en el programa de VIH/SIDA, el año 2012. El año 2018 esta cifra aumenta registrando 19.261 pacientes. "/>
    <s v="Gráfico de Evolución"/>
    <s v="Región Metropolitana VIH SIDA enfermedad transmisión sexual casos personas población control programa"/>
    <x v="868"/>
    <s v="200-R-13"/>
    <s v="#1774B9"/>
    <s v="990-0869"/>
    <n v="99200013"/>
    <s v="T-1000"/>
    <s v="C-1010"/>
    <s v="FI-993"/>
    <s v="M-1076"/>
  </r>
  <r>
    <x v="869"/>
    <n v="990"/>
    <x v="0"/>
    <x v="4"/>
    <n v="14"/>
    <x v="25"/>
    <x v="15"/>
    <x v="1"/>
    <x v="14"/>
    <s v="Ninguno"/>
    <s v="Población en control por región"/>
    <s v="Periodo 2012-2018"/>
    <s v="Personas"/>
    <s v="Departamento de Estadísticas e Información de la Salud (DEIS) - Ministerio de Salud"/>
    <x v="869"/>
    <s v="La región de Los Ríos, registró 275 pacientes  en el programa de VIH/SIDA, el año 2012. El año 2018 esta cifra aumenta registrando 521 pacientes. "/>
    <s v="Gráfico de Evolución"/>
    <s v="Región de Los Ríos VIH SIDA enfermedad transmisión sexual casos personas población control programa"/>
    <x v="869"/>
    <s v="100-R-14"/>
    <s v="#1774B9"/>
    <s v="990-0870"/>
    <n v="99200014"/>
    <s v="T-1000"/>
    <s v="C-1010"/>
    <s v="FI-993"/>
    <s v="M-1076"/>
  </r>
  <r>
    <x v="870"/>
    <n v="990"/>
    <x v="0"/>
    <x v="4"/>
    <n v="15"/>
    <x v="25"/>
    <x v="15"/>
    <x v="1"/>
    <x v="15"/>
    <s v="Ninguno"/>
    <s v="Población en control por región"/>
    <s v="Periodo 2012-2018"/>
    <s v="Personas"/>
    <s v="Departamento de Estadísticas e Información de la Salud (DEIS) - Ministerio de Salud"/>
    <x v="870"/>
    <s v="La región de Arica y Parinacota, registró 508 pacientes  en el programa de VIH/SIDA, el año 2012. El año 2018 esta cifra aumenta registrando 943 pacientes. "/>
    <s v="Gráfico de Evolución"/>
    <s v="Región de Arica y Parinacota VIH SIDA enfermedad transmisión sexual casos personas población control programa"/>
    <x v="870"/>
    <s v="100-R-15"/>
    <s v="#1774B9"/>
    <s v="990-0871"/>
    <n v="99200015"/>
    <s v="T-1000"/>
    <s v="C-1010"/>
    <s v="FI-993"/>
    <s v="M-1076"/>
  </r>
  <r>
    <x v="871"/>
    <n v="990"/>
    <x v="0"/>
    <x v="4"/>
    <n v="16"/>
    <x v="25"/>
    <x v="15"/>
    <x v="1"/>
    <x v="16"/>
    <s v="Ninguno"/>
    <s v="Población en control por región"/>
    <s v="Periodo 2012-2018"/>
    <s v="Personas"/>
    <s v="Departamento de Estadísticas e Información de la Salud (DEIS) - Ministerio de Salud"/>
    <x v="871"/>
    <s v="La región de Ñuble, registró 166 pacientes  en el programa de VIH/SIDA, el año 2012. El año 2018 esta cifra aumenta registrando 371 pacientes. "/>
    <s v="Gráfico de Evolución"/>
    <s v="Región de Ñuble VIH SIDA enfermedad transmisión sexual casos personas población control programa"/>
    <x v="871"/>
    <s v="100-R-16"/>
    <s v="#1774B9"/>
    <s v="990-0872"/>
    <n v="99200016"/>
    <s v="T-1000"/>
    <s v="C-1010"/>
    <s v="FI-993"/>
    <s v="M-1076"/>
  </r>
  <r>
    <x v="872"/>
    <n v="990"/>
    <x v="0"/>
    <x v="4"/>
    <n v="0"/>
    <x v="25"/>
    <x v="15"/>
    <x v="0"/>
    <x v="0"/>
    <s v="Región"/>
    <s v="Población en control por rango etario"/>
    <s v="Periodo 2012-2018"/>
    <s v="Personas"/>
    <s v="Departamento de Estadísticas e Información de la Salud (DEIS) - Ministerio de Salud"/>
    <x v="872"/>
    <s v="La Población en el Programa VIH/SIDA ha ido en aumento, registrando el año 2018 más de 35 mil casos. En todo el periodo 2012-2018, el rango etario de 25-64 año registra la mayor cantidad de casos acumulados, con aproximadamente 80%. Por otro lado, el rango etario &quot;menos de un año - 1 año&quot; registra la menor cantidad de casos, con un 0,1%, que corresponde a 87 pacientes. "/>
    <s v="Gráfico de Evolución"/>
    <s v="Chile VIH SIDA enfermedad transmisión sexual casos personas población programa"/>
    <x v="872"/>
    <s v="300-R"/>
    <s v="#1774B9"/>
    <s v="990-0873"/>
    <n v="99100000"/>
    <s v="T-1000"/>
    <s v="C-1010"/>
    <s v="FI-992"/>
    <s v="M-1077"/>
  </r>
  <r>
    <x v="873"/>
    <n v="990"/>
    <x v="0"/>
    <x v="4"/>
    <n v="1"/>
    <x v="25"/>
    <x v="15"/>
    <x v="1"/>
    <x v="1"/>
    <s v="Ninguno"/>
    <s v="Población en control por rango etario"/>
    <s v="Periodo 2012-2018"/>
    <s v="Personas"/>
    <s v="Departamento de Estadísticas e Información de la Salud (DEIS) - Ministerio de Salud"/>
    <x v="873"/>
    <s v="En la región de Tarapacá,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Tarapacá VIH SIDA enfermedad transmisión sexual casos personas población programa"/>
    <x v="873"/>
    <s v="100-R-1"/>
    <s v="#1774B9"/>
    <s v="990-0874"/>
    <n v="99200001"/>
    <s v="T-1000"/>
    <s v="C-1010"/>
    <s v="FI-993"/>
    <s v="M-1077"/>
  </r>
  <r>
    <x v="874"/>
    <n v="990"/>
    <x v="0"/>
    <x v="4"/>
    <n v="2"/>
    <x v="25"/>
    <x v="15"/>
    <x v="1"/>
    <x v="2"/>
    <s v="Ninguno"/>
    <s v="Población en control por rango etario"/>
    <s v="Periodo 2012-2018"/>
    <s v="Personas"/>
    <s v="Departamento de Estadísticas e Información de la Salud (DEIS) - Ministerio de Salud"/>
    <x v="874"/>
    <s v="En la región de Antofagas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ntofagasta VIH SIDA enfermedad transmisión sexual casos personas población programa"/>
    <x v="874"/>
    <s v="100-R-2"/>
    <s v="#1774B9"/>
    <s v="990-0875"/>
    <n v="99200002"/>
    <s v="T-1000"/>
    <s v="C-1010"/>
    <s v="FI-993"/>
    <s v="M-1077"/>
  </r>
  <r>
    <x v="875"/>
    <n v="990"/>
    <x v="0"/>
    <x v="4"/>
    <n v="3"/>
    <x v="25"/>
    <x v="15"/>
    <x v="1"/>
    <x v="3"/>
    <s v="Ninguno"/>
    <s v="Población en control por rango etario"/>
    <s v="Periodo 2012-2018"/>
    <s v="Personas"/>
    <s v="Departamento de Estadísticas e Información de la Salud (DEIS) - Ministerio de Salud"/>
    <x v="875"/>
    <s v="En la región de Atacam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tacama VIH SIDA enfermedad transmisión sexual casos personas población programa"/>
    <x v="875"/>
    <s v="100-R-3"/>
    <s v="#1774B9"/>
    <s v="990-0876"/>
    <n v="99200003"/>
    <s v="T-1000"/>
    <s v="C-1010"/>
    <s v="FI-993"/>
    <s v="M-1077"/>
  </r>
  <r>
    <x v="876"/>
    <n v="990"/>
    <x v="0"/>
    <x v="4"/>
    <n v="4"/>
    <x v="25"/>
    <x v="15"/>
    <x v="1"/>
    <x v="4"/>
    <s v="Ninguno"/>
    <s v="Población en control por rango etario"/>
    <s v="Periodo 2012-2018"/>
    <s v="Personas"/>
    <s v="Departamento de Estadísticas e Información de la Salud (DEIS) - Ministerio de Salud"/>
    <x v="876"/>
    <s v="En la región de Coquimbo, durante el periodo 2012-2018, el rango etario de 25-64 años registra la mayor cantidad de pacientes en el Programa de VIH/SIDA, mientras que los rangos etarios de “menos de un año - 1 año” y de 2 - 9 años registran la menor cantidad de casos."/>
    <s v="Gráfico de Evolución"/>
    <s v="Región de Coquimbo VIH SIDA enfermedad transmisión sexual casos personas población programa"/>
    <x v="876"/>
    <s v="100-R-4"/>
    <s v="#1774B9"/>
    <s v="990-0877"/>
    <n v="99200004"/>
    <s v="T-1000"/>
    <s v="C-1010"/>
    <s v="FI-993"/>
    <s v="M-1077"/>
  </r>
  <r>
    <x v="877"/>
    <n v="990"/>
    <x v="0"/>
    <x v="4"/>
    <n v="5"/>
    <x v="25"/>
    <x v="15"/>
    <x v="1"/>
    <x v="5"/>
    <s v="Ninguno"/>
    <s v="Población en control por rango etario"/>
    <s v="Periodo 2012-2018"/>
    <s v="Personas"/>
    <s v="Departamento de Estadísticas e Información de la Salud (DEIS) - Ministerio de Salud"/>
    <x v="877"/>
    <s v="En la región de Valparaíso, durante el periodo 2012-2018, el rango etario de 25-64 años registra la mayor cantidad de pacientes en el Programa de VIH/SIDA, mientras que los rangos etarios de “menos de un año - 1 año” y de 2 - 9 años registran la menor cantidad de casos."/>
    <s v="Gráfico de Evolución"/>
    <s v="Región de Valparaíso VIH SIDA enfermedad transmisión sexual casos personas población programa"/>
    <x v="877"/>
    <s v="100-R-5"/>
    <s v="#1774B9"/>
    <s v="990-0878"/>
    <n v="99200005"/>
    <s v="T-1000"/>
    <s v="C-1010"/>
    <s v="FI-993"/>
    <s v="M-1077"/>
  </r>
  <r>
    <x v="878"/>
    <n v="990"/>
    <x v="0"/>
    <x v="4"/>
    <n v="6"/>
    <x v="25"/>
    <x v="15"/>
    <x v="1"/>
    <x v="6"/>
    <s v="Ninguno"/>
    <s v="Población en control por rango etario"/>
    <s v="Periodo 2012-2018"/>
    <s v="Personas"/>
    <s v="Departamento de Estadísticas e Información de la Salud (DEIS) - Ministerio de Salud"/>
    <x v="878"/>
    <s v="En la región de O'Higgins, durante el periodo 2012-2018, el rango etario de 25-64 años registra la mayor cantidad de pacientes en el Programa de VIH/SIDA, mientras que los rangos etarios de “menos de un año - 1 año” y de 2 - 9 años registran la menor cantidad de casos."/>
    <s v="Gráfico de Evolución"/>
    <s v="Región de O'Higgins VIH SIDA enfermedad transmisión sexual casos personas población programa"/>
    <x v="878"/>
    <s v="100-R-6"/>
    <s v="#1774B9"/>
    <s v="990-0879"/>
    <n v="99200006"/>
    <s v="T-1000"/>
    <s v="C-1010"/>
    <s v="FI-993"/>
    <s v="M-1077"/>
  </r>
  <r>
    <x v="879"/>
    <n v="990"/>
    <x v="0"/>
    <x v="4"/>
    <n v="7"/>
    <x v="25"/>
    <x v="15"/>
    <x v="1"/>
    <x v="7"/>
    <s v="Ninguno"/>
    <s v="Población en control por rango etario"/>
    <s v="Periodo 2012-2018"/>
    <s v="Personas"/>
    <s v="Departamento de Estadísticas e Información de la Salud (DEIS) - Ministerio de Salud"/>
    <x v="879"/>
    <s v="En la región de Maule,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ule VIH SIDA enfermedad transmisión sexual casos personas población programa"/>
    <x v="879"/>
    <s v="100-R-7"/>
    <s v="#1774B9"/>
    <s v="990-0880"/>
    <n v="99200007"/>
    <s v="T-1000"/>
    <s v="C-1010"/>
    <s v="FI-993"/>
    <s v="M-1077"/>
  </r>
  <r>
    <x v="880"/>
    <n v="990"/>
    <x v="0"/>
    <x v="4"/>
    <n v="8"/>
    <x v="25"/>
    <x v="15"/>
    <x v="1"/>
    <x v="8"/>
    <s v="Ninguno"/>
    <s v="Población en control por rango etario"/>
    <s v="Periodo 2012-2018"/>
    <s v="Personas"/>
    <s v="Departamento de Estadísticas e Información de la Salud (DEIS) - Ministerio de Salud"/>
    <x v="880"/>
    <s v="En la región del Biobío, durante el periodo 2012-2018, el rango etario de 25-64 años registra la mayor cantidad de pacientes en el Programa de VIH/SIDA, mientras que los rangos etarios de “menos de un año - 1 año” y de 10 - 14 años registran la menor cantidad de casos."/>
    <s v="Gráfico de Evolución"/>
    <s v="Región del Biobío VIH SIDA enfermedad transmisión sexual casos personas población programa"/>
    <x v="880"/>
    <s v="100-R-8"/>
    <s v="#1774B9"/>
    <s v="990-0881"/>
    <n v="99200008"/>
    <s v="T-1000"/>
    <s v="C-1010"/>
    <s v="FI-993"/>
    <s v="M-1077"/>
  </r>
  <r>
    <x v="881"/>
    <n v="990"/>
    <x v="0"/>
    <x v="4"/>
    <n v="9"/>
    <x v="25"/>
    <x v="15"/>
    <x v="1"/>
    <x v="9"/>
    <s v="Ninguno"/>
    <s v="Población en control por rango etario"/>
    <s v="Periodo 2012-2018"/>
    <s v="Personas"/>
    <s v="Departamento de Estadísticas e Información de la Salud (DEIS) - Ministerio de Salud"/>
    <x v="881"/>
    <s v="En la región de La Araucaní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a Araucanía VIH SIDA enfermedad transmisión sexual casos personas población programa"/>
    <x v="881"/>
    <s v="100-R-9"/>
    <s v="#1774B9"/>
    <s v="990-0882"/>
    <n v="99200009"/>
    <s v="T-1000"/>
    <s v="C-1010"/>
    <s v="FI-993"/>
    <s v="M-1077"/>
  </r>
  <r>
    <x v="882"/>
    <n v="990"/>
    <x v="0"/>
    <x v="4"/>
    <n v="10"/>
    <x v="25"/>
    <x v="15"/>
    <x v="1"/>
    <x v="10"/>
    <s v="Ninguno"/>
    <s v="Población en control por rango etario"/>
    <s v="Periodo 2012-2018"/>
    <s v="Personas"/>
    <s v="Departamento de Estadísticas e Información de la Salud (DEIS) - Ministerio de Salud"/>
    <x v="882"/>
    <s v="En la región de Los Lagos, durante el periodo 2012-2018, el rango etario de 25-64 años registra la mayor cantidad de pacientes en el Programa de VIH/SIDA, mientras que los rangos etarios de “menos de un año - 1 año” y de 2 - 9 años registran la menor cantidad de casos."/>
    <s v="Gráfico de Evolución"/>
    <s v="Región de Los Lagos VIH SIDA enfermedad transmisión sexual casos personas población programa"/>
    <x v="882"/>
    <s v="100-R-10"/>
    <s v="#1774B9"/>
    <s v="990-0883"/>
    <n v="99200010"/>
    <s v="T-1000"/>
    <s v="C-1010"/>
    <s v="FI-993"/>
    <s v="M-1077"/>
  </r>
  <r>
    <x v="883"/>
    <n v="990"/>
    <x v="0"/>
    <x v="4"/>
    <n v="11"/>
    <x v="25"/>
    <x v="15"/>
    <x v="1"/>
    <x v="11"/>
    <s v="Ninguno"/>
    <s v="Población en control por rango etario"/>
    <s v="Periodo 2012-2018"/>
    <s v="Personas"/>
    <s v="Departamento de Estadísticas e Información de la Salud (DEIS) - Ministerio de Salud"/>
    <x v="883"/>
    <s v="En la región de Aysén,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ysén VIH SIDA enfermedad transmisión sexual casos personas población programa"/>
    <x v="883"/>
    <s v="100-R-11"/>
    <s v="#1774B9"/>
    <s v="990-0884"/>
    <n v="99200011"/>
    <s v="T-1000"/>
    <s v="C-1010"/>
    <s v="FI-993"/>
    <s v="M-1077"/>
  </r>
  <r>
    <x v="884"/>
    <n v="990"/>
    <x v="0"/>
    <x v="4"/>
    <n v="12"/>
    <x v="25"/>
    <x v="15"/>
    <x v="1"/>
    <x v="12"/>
    <s v="Ninguno"/>
    <s v="Población en control por rango etario"/>
    <s v="Periodo 2012-2018"/>
    <s v="Personas"/>
    <s v="Departamento de Estadísticas e Información de la Salud (DEIS) - Ministerio de Salud"/>
    <x v="884"/>
    <s v="En la región de Magallanes,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gallanes VIH SIDA enfermedad transmisión sexual casos personas población programa"/>
    <x v="884"/>
    <s v="100-R-12"/>
    <s v="#1774B9"/>
    <s v="990-0885"/>
    <n v="99200012"/>
    <s v="T-1000"/>
    <s v="C-1010"/>
    <s v="FI-993"/>
    <s v="M-1077"/>
  </r>
  <r>
    <x v="885"/>
    <n v="990"/>
    <x v="0"/>
    <x v="4"/>
    <n v="13"/>
    <x v="25"/>
    <x v="15"/>
    <x v="1"/>
    <x v="13"/>
    <s v="Ninguno"/>
    <s v="Población en control por rango etario"/>
    <s v="Periodo 2012-2018"/>
    <s v="Personas"/>
    <s v="Departamento de Estadísticas e Información de la Salud (DEIS) - Ministerio de Salud"/>
    <x v="885"/>
    <s v="En la región Metropolitana, durante el periodo 2012-2018, el rango etario de 25-64 años registra la mayor cantidad de pacientes en el Programa de VIH/SIDA, mientras que los rangos etarios de “menos de un año - 1 año” y de 2 - 9 años registran la menor cantidad de casos."/>
    <s v="Gráfico de Evolución"/>
    <s v="Región Metropolitana VIH SIDA enfermedad transmisión sexual casos personas población programa"/>
    <x v="885"/>
    <s v="200-R-13"/>
    <s v="#1774B9"/>
    <s v="990-0886"/>
    <n v="99200013"/>
    <s v="T-1000"/>
    <s v="C-1010"/>
    <s v="FI-993"/>
    <s v="M-1077"/>
  </r>
  <r>
    <x v="886"/>
    <n v="990"/>
    <x v="0"/>
    <x v="4"/>
    <n v="14"/>
    <x v="25"/>
    <x v="15"/>
    <x v="1"/>
    <x v="14"/>
    <s v="Ninguno"/>
    <s v="Población en control por rango etario"/>
    <s v="Periodo 2012-2018"/>
    <s v="Personas"/>
    <s v="Departamento de Estadísticas e Información de la Salud (DEIS) - Ministerio de Salud"/>
    <x v="886"/>
    <s v="En la región de Los Ríos,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os Ríos VIH SIDA enfermedad transmisión sexual casos personas población programa"/>
    <x v="886"/>
    <s v="100-R-14"/>
    <s v="#1774B9"/>
    <s v="990-0887"/>
    <n v="99200014"/>
    <s v="T-1000"/>
    <s v="C-1010"/>
    <s v="FI-993"/>
    <s v="M-1077"/>
  </r>
  <r>
    <x v="887"/>
    <n v="990"/>
    <x v="0"/>
    <x v="4"/>
    <n v="15"/>
    <x v="25"/>
    <x v="15"/>
    <x v="1"/>
    <x v="15"/>
    <s v="Ninguno"/>
    <s v="Población en control por rango etario"/>
    <s v="Periodo 2012-2018"/>
    <s v="Personas"/>
    <s v="Departamento de Estadísticas e Información de la Salud (DEIS) - Ministerio de Salud"/>
    <x v="887"/>
    <s v="En la región de Arica y Parinaco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rica y Parinacota VIH SIDA enfermedad transmisión sexual casos personas población programa"/>
    <x v="887"/>
    <s v="100-R-15"/>
    <s v="#1774B9"/>
    <s v="990-0888"/>
    <n v="99200015"/>
    <s v="T-1000"/>
    <s v="C-1010"/>
    <s v="FI-993"/>
    <s v="M-1077"/>
  </r>
  <r>
    <x v="888"/>
    <n v="990"/>
    <x v="0"/>
    <x v="4"/>
    <n v="16"/>
    <x v="25"/>
    <x v="15"/>
    <x v="1"/>
    <x v="16"/>
    <s v="Ninguno"/>
    <s v="Población en control por rango etario"/>
    <s v="Periodo 2012-2018"/>
    <s v="Personas"/>
    <s v="Departamento de Estadísticas e Información de la Salud (DEIS) - Ministerio de Salud"/>
    <x v="888"/>
    <s v="En la región de Ñuble,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Ñuble VIH SIDA enfermedad transmisión sexual casos personas población programa"/>
    <x v="888"/>
    <s v="100-R-16"/>
    <s v="#1774B9"/>
    <s v="990-0889"/>
    <n v="99200016"/>
    <s v="T-1000"/>
    <s v="C-1010"/>
    <s v="FI-993"/>
    <s v="M-1077"/>
  </r>
  <r>
    <x v="889"/>
    <n v="990"/>
    <x v="0"/>
    <x v="7"/>
    <n v="0"/>
    <x v="53"/>
    <x v="9"/>
    <x v="0"/>
    <x v="0"/>
    <s v="Región"/>
    <s v="Cantidad de espacios culturales por comuna"/>
    <s v="Año 2021"/>
    <s v="Número de espacios culturales"/>
    <s v="Observatorio Cultural"/>
    <x v="889"/>
    <s v="Las comunas que tienen más de 50 espacios culturales son Santiago, Valparaíso y Providencia, con 104, 60 y 51 espacios, respectivamente."/>
    <s v="Mapa de calor"/>
    <s v="Chile espacio cultural cultura infraestructura número cantidad"/>
    <x v="889"/>
    <s v="300-C"/>
    <s v="#1774B9"/>
    <s v="990-0890"/>
    <n v="99100000"/>
    <s v="T-1024"/>
    <s v="C-1008"/>
    <s v="FI-992"/>
    <s v="M-1006"/>
  </r>
  <r>
    <x v="890"/>
    <n v="990"/>
    <x v="0"/>
    <x v="7"/>
    <n v="1"/>
    <x v="53"/>
    <x v="9"/>
    <x v="1"/>
    <x v="1"/>
    <s v="Ninguno"/>
    <s v="Cantidad de espacios culturales por comuna"/>
    <s v="Año 2021"/>
    <s v="Número de espacios culturales"/>
    <s v="Observatorio Cultural"/>
    <x v="890"/>
    <s v="La comuna de la Región de Tarapacá con más espacios culturales es Iquique con 27 espacios, mientras que la que tiene menor cantidad es la comuna de Colchane con 3."/>
    <s v="Mapa de calor"/>
    <s v="Región de Tarapacá espacio cultural cultura infraestructura número cantidad"/>
    <x v="890"/>
    <s v="100-C-1"/>
    <s v="#1774B9"/>
    <s v="990-0891"/>
    <n v="99200001"/>
    <s v="T-1024"/>
    <s v="C-1008"/>
    <s v="FI-993"/>
    <s v="M-1006"/>
  </r>
  <r>
    <x v="891"/>
    <n v="990"/>
    <x v="0"/>
    <x v="7"/>
    <n v="2"/>
    <x v="53"/>
    <x v="9"/>
    <x v="1"/>
    <x v="2"/>
    <s v="Ninguno"/>
    <s v="Cantidad de espacios culturales por comuna"/>
    <s v="Año 2021"/>
    <s v="Número de espacios culturales"/>
    <s v="Observatorio Cultural"/>
    <x v="891"/>
    <s v="La comuna de Antofagasta presenta la mayor cantidad de espacios culturales en la Región de Antofagasta en el año 2021, contabilizando 22 espacios. "/>
    <s v="Mapa de calor"/>
    <s v="Región de Antofagasta espacio cultural cultura infraestructura número cantidad"/>
    <x v="891"/>
    <s v="100-C-2"/>
    <s v="#1774B9"/>
    <s v="990-0892"/>
    <n v="99200002"/>
    <s v="T-1024"/>
    <s v="C-1008"/>
    <s v="FI-993"/>
    <s v="M-1006"/>
  </r>
  <r>
    <x v="892"/>
    <n v="990"/>
    <x v="0"/>
    <x v="7"/>
    <n v="3"/>
    <x v="53"/>
    <x v="9"/>
    <x v="1"/>
    <x v="3"/>
    <s v="Ninguno"/>
    <s v="Cantidad de espacios culturales por comuna"/>
    <s v="Año 2021"/>
    <s v="Número de espacios culturales"/>
    <s v="Observatorio Cultural"/>
    <x v="892"/>
    <s v="La Región de Atacama cuenta con 51 espacios culturales, de los cuales 10 se encuentran en Copiapó, las comunas con menos cantidad son Huasco y Freirina con 4 y 2 respectivamente."/>
    <s v="Mapa de calor"/>
    <s v="Región de Atacama espacio cultural cultura infraestructura número cantidad"/>
    <x v="892"/>
    <s v="100-C-3"/>
    <s v="#1774B9"/>
    <s v="990-0893"/>
    <n v="99200003"/>
    <s v="T-1024"/>
    <s v="C-1008"/>
    <s v="FI-993"/>
    <s v="M-1006"/>
  </r>
  <r>
    <x v="893"/>
    <n v="990"/>
    <x v="0"/>
    <x v="7"/>
    <n v="4"/>
    <x v="53"/>
    <x v="9"/>
    <x v="1"/>
    <x v="4"/>
    <s v="Ninguno"/>
    <s v="Cantidad de espacios culturales por comuna"/>
    <s v="Año 2021"/>
    <s v="Número de espacios culturales"/>
    <s v="Observatorio Cultural"/>
    <x v="893"/>
    <s v="La Región de Coquimbo cuenta con 120 espacios culturales para el año 2021, destacando 3 comunas con la cantidad más alta, que son Coquimbo con 17, La Serena con 16 y Vicuña con 12 espacios."/>
    <s v="Mapa de calor"/>
    <s v="Región de Coquimbo espacio cultural cultura infraestructura número cantidad"/>
    <x v="893"/>
    <s v="100-C-4"/>
    <s v="#1774B9"/>
    <s v="990-0894"/>
    <n v="99200004"/>
    <s v="T-1024"/>
    <s v="C-1008"/>
    <s v="FI-993"/>
    <s v="M-1006"/>
  </r>
  <r>
    <x v="894"/>
    <n v="990"/>
    <x v="0"/>
    <x v="7"/>
    <n v="5"/>
    <x v="53"/>
    <x v="9"/>
    <x v="1"/>
    <x v="5"/>
    <s v="Ninguno"/>
    <s v="Cantidad de espacios culturales por comuna"/>
    <s v="Año 2021"/>
    <s v="Número de espacios culturales"/>
    <s v="Observatorio Cultural"/>
    <x v="894"/>
    <s v="La comuna de Valparaíso es la que presenta el mayor número de espacios culturales en la Región de Valparaíso, contabilizando 60 espacio el año 2021."/>
    <s v="Mapa de calor"/>
    <s v="Región de Valparaíso espacio cultural cultura infraestructura número cantidad"/>
    <x v="894"/>
    <s v="100-C-5"/>
    <s v="#1774B9"/>
    <s v="990-0895"/>
    <n v="99200005"/>
    <s v="T-1024"/>
    <s v="C-1008"/>
    <s v="FI-993"/>
    <s v="M-1006"/>
  </r>
  <r>
    <x v="895"/>
    <n v="990"/>
    <x v="0"/>
    <x v="7"/>
    <n v="6"/>
    <x v="53"/>
    <x v="9"/>
    <x v="1"/>
    <x v="6"/>
    <s v="Ninguno"/>
    <s v="Cantidad de espacios culturales por comuna"/>
    <s v="Año 2021"/>
    <s v="Número de espacios culturales"/>
    <s v="Observatorio Cultural"/>
    <x v="895"/>
    <s v="En la Región de O'Higgins, la comuna con la mayor cantidad de espacios culturales es Rancagua, con 20 espacios. Las comunas con menos cantidad son Codegua y Nancagua ambos con 2."/>
    <s v="Mapa de calor"/>
    <s v="Región de O'Higgins espacio cultural cultura infraestructura número cantidad"/>
    <x v="895"/>
    <s v="100-C-6"/>
    <s v="#1774B9"/>
    <s v="990-0896"/>
    <n v="99200006"/>
    <s v="T-1024"/>
    <s v="C-1008"/>
    <s v="FI-993"/>
    <s v="M-1006"/>
  </r>
  <r>
    <x v="896"/>
    <n v="990"/>
    <x v="0"/>
    <x v="7"/>
    <n v="7"/>
    <x v="53"/>
    <x v="9"/>
    <x v="1"/>
    <x v="7"/>
    <s v="Ninguno"/>
    <s v="Cantidad de espacios culturales por comuna"/>
    <s v="Año 2021"/>
    <s v="Número de espacios culturales"/>
    <s v="Observatorio Cultural"/>
    <x v="896"/>
    <s v="La Región de Maule cuenta con 169 espacios culturales, de los cuales 35 se encuentran en Talca. Las comunas con menos cantidad son San Clemente, Pencahue y Pulluhue todos con 3 espacios."/>
    <s v="Mapa de calor"/>
    <s v="Región de Maule espacio cultural cultura infraestructura número cantidad"/>
    <x v="896"/>
    <s v="100-C-7"/>
    <s v="#1774B9"/>
    <s v="990-0897"/>
    <n v="99200007"/>
    <s v="T-1024"/>
    <s v="C-1008"/>
    <s v="FI-993"/>
    <s v="M-1006"/>
  </r>
  <r>
    <x v="897"/>
    <n v="990"/>
    <x v="0"/>
    <x v="7"/>
    <n v="8"/>
    <x v="53"/>
    <x v="9"/>
    <x v="1"/>
    <x v="8"/>
    <s v="Ninguno"/>
    <s v="Cantidad de espacios culturales por comuna"/>
    <s v="Año 2021"/>
    <s v="Número de espacios culturales"/>
    <s v="Observatorio Cultural"/>
    <x v="897"/>
    <s v="La Región de Biobío cuenta con 163 espacios culturales, de estos solo uno se encuentra en el rango de 21 a 30, se trata de Concepción con 28 espacios."/>
    <s v="Mapa de calor"/>
    <s v="Región del Biobío espacio cultural cultura infraestructura número cantidad"/>
    <x v="897"/>
    <s v="100-C-8"/>
    <s v="#1774B9"/>
    <s v="990-0898"/>
    <n v="99200008"/>
    <s v="T-1024"/>
    <s v="C-1008"/>
    <s v="FI-993"/>
    <s v="M-1006"/>
  </r>
  <r>
    <x v="898"/>
    <n v="990"/>
    <x v="0"/>
    <x v="7"/>
    <n v="9"/>
    <x v="53"/>
    <x v="9"/>
    <x v="1"/>
    <x v="9"/>
    <s v="Ninguno"/>
    <s v="Cantidad de espacios culturales por comuna"/>
    <s v="Año 2021"/>
    <s v="Número de espacios culturales"/>
    <s v="Observatorio Cultural"/>
    <x v="898"/>
    <s v="La Región de La Araucanía cuenta con una comuna en el rango de 21 a 30 espacios culturales, se trata de Temuco, en tanto en el menor rango de 0 a 3, encontramos 11 comunas de la región."/>
    <s v="Mapa de calor"/>
    <s v="Región de La Araucanía espacio cultural cultura infraestructura número cantidad"/>
    <x v="898"/>
    <s v="100-C-9"/>
    <s v="#1774B9"/>
    <s v="990-0899"/>
    <n v="99200009"/>
    <s v="T-1024"/>
    <s v="C-1008"/>
    <s v="FI-993"/>
    <s v="M-1006"/>
  </r>
  <r>
    <x v="899"/>
    <n v="990"/>
    <x v="0"/>
    <x v="7"/>
    <n v="10"/>
    <x v="53"/>
    <x v="9"/>
    <x v="1"/>
    <x v="10"/>
    <s v="Ninguno"/>
    <s v="Cantidad de espacios culturales por comuna"/>
    <s v="Año 2021"/>
    <s v="Número de espacios culturales"/>
    <s v="Observatorio Cultural"/>
    <x v="899"/>
    <s v="La Región de Los Lagos cuenta con tres comunas en el rango de 11 a 20 espacios culturales, se tratan de Osorno, Puerto Montt y Puerto Varas, en tanto en el menor rango, de 0 a 3, encontramos solo 1 comuna de la región."/>
    <s v="Mapa de calor"/>
    <s v="Región de Los Lagos espacio cultural cultura infraestructura número cantidad"/>
    <x v="899"/>
    <s v="100-C-10"/>
    <s v="#1774B9"/>
    <s v="990-0900"/>
    <n v="99200010"/>
    <s v="T-1024"/>
    <s v="C-1008"/>
    <s v="FI-993"/>
    <s v="M-1006"/>
  </r>
  <r>
    <x v="900"/>
    <n v="990"/>
    <x v="0"/>
    <x v="7"/>
    <n v="11"/>
    <x v="53"/>
    <x v="9"/>
    <x v="1"/>
    <x v="11"/>
    <s v="Ninguno"/>
    <s v="Cantidad de espacios culturales por comuna"/>
    <s v="Año 2021"/>
    <s v="Número de espacios culturales"/>
    <s v="Observatorio Cultural"/>
    <x v="900"/>
    <s v="La Región de Aysén cuenta con 83 espacios culturales en total, la mayor parte de las comunas se encuentran en el rango de 5 a 10 espacios, en tanto la comuna con mayor cantidad es Coihaique con 21 espacios culturales."/>
    <s v="Mapa de calor"/>
    <s v="Región de Aysén espacio cultural cultura infraestructura número cantidad"/>
    <x v="900"/>
    <s v="100-C-11"/>
    <s v="#1774B9"/>
    <s v="990-0901"/>
    <n v="99200011"/>
    <s v="T-1024"/>
    <s v="C-1008"/>
    <s v="FI-993"/>
    <s v="M-1006"/>
  </r>
  <r>
    <x v="901"/>
    <n v="990"/>
    <x v="0"/>
    <x v="7"/>
    <n v="12"/>
    <x v="53"/>
    <x v="9"/>
    <x v="1"/>
    <x v="12"/>
    <s v="Ninguno"/>
    <s v="Cantidad de espacios culturales por comuna"/>
    <s v="Año 2021"/>
    <s v="Número de espacios culturales"/>
    <s v="Observatorio Cultural"/>
    <x v="901"/>
    <s v="En la Región de Magallanes, la comuna con mayor cantidad de espacios culturales es Punta Arenas que se encuentra en el rango de 21 a 30, en tanto que Cabo de Hornos es la comuna con menor cantidad de espacios culturales."/>
    <s v="Mapa de calor"/>
    <s v="Región de Magallanes espacio cultural cultura infraestructura número cantidad"/>
    <x v="901"/>
    <s v="100-C-12"/>
    <s v="#1774B9"/>
    <s v="990-0902"/>
    <n v="99200012"/>
    <s v="T-1024"/>
    <s v="C-1008"/>
    <s v="FI-993"/>
    <s v="M-1006"/>
  </r>
  <r>
    <x v="902"/>
    <n v="990"/>
    <x v="0"/>
    <x v="7"/>
    <n v="13"/>
    <x v="53"/>
    <x v="9"/>
    <x v="1"/>
    <x v="13"/>
    <s v="Ninguno"/>
    <s v="Cantidad de espacios culturales por comuna"/>
    <s v="Año 2021"/>
    <s v="Número de espacios culturales"/>
    <s v="Observatorio Cultural"/>
    <x v="902"/>
    <s v="En la región Metropolitana, las comunas que tienen más de 50 espacios culturales son Santiago, Valparaíso y Providencia, con 104, 60 y 51 espacios, respectivamente."/>
    <s v="Mapa de calor"/>
    <s v="Región Metropolitana espacio cultural cultura infraestructura número cantidad"/>
    <x v="902"/>
    <s v="200-C-13"/>
    <s v="#1774B9"/>
    <s v="990-0903"/>
    <n v="99200013"/>
    <s v="T-1024"/>
    <s v="C-1008"/>
    <s v="FI-993"/>
    <s v="M-1006"/>
  </r>
  <r>
    <x v="903"/>
    <n v="990"/>
    <x v="0"/>
    <x v="7"/>
    <n v="14"/>
    <x v="53"/>
    <x v="9"/>
    <x v="1"/>
    <x v="14"/>
    <s v="Ninguno"/>
    <s v="Cantidad de espacios culturales por comuna"/>
    <s v="Año 2021"/>
    <s v="Número de espacios culturales"/>
    <s v="Observatorio Cultural"/>
    <x v="903"/>
    <s v="En la Región de Los Ríos, la comuna con mayor cantidad de espacios culturales es Valdivia que se encuentra en el rango de 21 a 30, en tanto que las comunas en el menor rango de 0 a 3 son Mariquina y Corral."/>
    <s v="Mapa de calor"/>
    <s v="Región de Los Ríos espacio cultural cultura infraestructura número cantidad"/>
    <x v="903"/>
    <s v="100-C-14"/>
    <s v="#1774B9"/>
    <s v="990-0904"/>
    <n v="99200014"/>
    <s v="T-1024"/>
    <s v="C-1008"/>
    <s v="FI-993"/>
    <s v="M-1006"/>
  </r>
  <r>
    <x v="904"/>
    <n v="990"/>
    <x v="0"/>
    <x v="7"/>
    <n v="15"/>
    <x v="53"/>
    <x v="9"/>
    <x v="1"/>
    <x v="15"/>
    <s v="Ninguno"/>
    <s v="Cantidad de espacios culturales por comuna"/>
    <s v="Año 2021"/>
    <s v="Número de espacios culturales"/>
    <s v="Observatorio Cultural"/>
    <x v="904"/>
    <s v="En la Región de Arica y Parinacota se centra la mayor cantidad de centros culturales en la comuna de Arica, la que se encuentra en el rango de 21-30, en cambio las otras 3 comunas de la región se encuentran en el rango menor de 0-3."/>
    <s v="Mapa de calor"/>
    <s v="Región de Arica y Parinacota espacio cultural cultura infraestructura número cantidad"/>
    <x v="904"/>
    <s v="100-C-15"/>
    <s v="#1774B9"/>
    <s v="990-0905"/>
    <n v="99200015"/>
    <s v="T-1024"/>
    <s v="C-1008"/>
    <s v="FI-993"/>
    <s v="M-1006"/>
  </r>
  <r>
    <x v="905"/>
    <n v="990"/>
    <x v="0"/>
    <x v="7"/>
    <n v="16"/>
    <x v="53"/>
    <x v="9"/>
    <x v="1"/>
    <x v="16"/>
    <s v="Ninguno"/>
    <s v="Cantidad de espacios culturales por comuna"/>
    <s v="Año 2021"/>
    <s v="Número de espacios culturales"/>
    <s v="Observatorio Cultural"/>
    <x v="905"/>
    <s v="La Región de Ñuble cuenta con una comuna en el rango de 21 a 30 espacios culturales, se trata de Chillán, en tanto en el menor rango, de 0 a 3, encontramos 11 comunas de la región."/>
    <s v="Mapa de calor"/>
    <s v="Región de Ñuble espacio cultural cultura infraestructura número cantidad"/>
    <x v="905"/>
    <s v="100-C-16"/>
    <s v="#1774B9"/>
    <s v="990-0906"/>
    <n v="99200016"/>
    <s v="T-1024"/>
    <s v="C-1008"/>
    <s v="FI-993"/>
    <s v="M-1006"/>
  </r>
  <r>
    <x v="906"/>
    <n v="990"/>
    <x v="0"/>
    <x v="7"/>
    <n v="0"/>
    <x v="54"/>
    <x v="9"/>
    <x v="0"/>
    <x v="0"/>
    <s v="Comuna"/>
    <s v="Cantidad de espacios culturales por financiamiento por comuna"/>
    <s v="Año 2021"/>
    <s v="Número de espacios culturales"/>
    <s v="Observatorio Cultural"/>
    <x v="906"/>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
    <s v="Gráfico"/>
    <s v="Chile espacio cultural cultura infraestructura fuente financiamiento pública privada mixta"/>
    <x v="906"/>
    <s v="300-C"/>
    <s v="#1774B9"/>
    <s v="990-0907"/>
    <n v="99100000"/>
    <e v="#N/A"/>
    <s v="C-1008"/>
    <s v="FI-991"/>
    <s v="M-1078"/>
  </r>
  <r>
    <x v="907"/>
    <n v="990"/>
    <x v="0"/>
    <x v="7"/>
    <n v="1"/>
    <x v="54"/>
    <x v="9"/>
    <x v="1"/>
    <x v="1"/>
    <s v="Comuna"/>
    <s v="Cantidad de espacios culturales por financiamiento por comuna"/>
    <s v="Año 2021"/>
    <s v="Número de espacios culturales"/>
    <s v="Observatorio Cultural"/>
    <x v="907"/>
    <s v="En la Región de Tarapacá la gran parte de los espacios culturales se financian por fuentes públicas, llegando a 43 espacios del total regional."/>
    <s v="Gráfico"/>
    <s v="Región de Tarapacá espacio cultural cultura infraestructura fuente financiamiento pública privada mixta"/>
    <x v="907"/>
    <s v="100-C-1"/>
    <s v="#1774B9"/>
    <s v="990-0908"/>
    <n v="99200001"/>
    <e v="#N/A"/>
    <s v="C-1008"/>
    <s v="FI-991"/>
    <s v="M-1078"/>
  </r>
  <r>
    <x v="908"/>
    <n v="990"/>
    <x v="0"/>
    <x v="7"/>
    <n v="2"/>
    <x v="54"/>
    <x v="9"/>
    <x v="1"/>
    <x v="2"/>
    <s v="Comuna"/>
    <s v="Cantidad de espacios culturales por financiamiento por comuna"/>
    <s v="Año 2021"/>
    <s v="Número de espacios culturales"/>
    <s v="Observatorio Cultural"/>
    <x v="908"/>
    <s v="La Región de Antofagasta presenta 62 espacios culturales, de estos, 24 se financian de fuentes públicas, 19 con financiamiento mixto y 15 con financiamiento privado."/>
    <s v="Gráfico"/>
    <s v="Región de Antofagasta espacio cultural cultura infraestructura fuente financiamiento pública privada mixta"/>
    <x v="908"/>
    <s v="100-C-2"/>
    <s v="#1774B9"/>
    <s v="990-0909"/>
    <n v="99200002"/>
    <e v="#N/A"/>
    <s v="C-1008"/>
    <s v="FI-991"/>
    <s v="M-1078"/>
  </r>
  <r>
    <x v="909"/>
    <n v="990"/>
    <x v="0"/>
    <x v="7"/>
    <n v="3"/>
    <x v="54"/>
    <x v="9"/>
    <x v="1"/>
    <x v="3"/>
    <s v="Comuna"/>
    <s v="Cantidad de espacios culturales por financiamiento por comuna"/>
    <s v="Año 2021"/>
    <s v="Número de espacios culturales"/>
    <s v="Observatorio Cultural"/>
    <x v="909"/>
    <s v="En la Región de Atacama la gran parte de los espacios culturales se financian por fuentes públicas, llegando a 34 espacios del total regional."/>
    <s v="Gráfico"/>
    <s v="Región de Atacama espacio cultural cultura infraestructura fuente financiamiento pública privada mixta"/>
    <x v="909"/>
    <s v="100-C-3"/>
    <s v="#1774B9"/>
    <s v="990-0910"/>
    <n v="99200003"/>
    <e v="#N/A"/>
    <s v="C-1008"/>
    <s v="FI-991"/>
    <s v="M-1078"/>
  </r>
  <r>
    <x v="910"/>
    <n v="990"/>
    <x v="0"/>
    <x v="7"/>
    <n v="4"/>
    <x v="54"/>
    <x v="9"/>
    <x v="1"/>
    <x v="4"/>
    <s v="Comuna"/>
    <s v="Cantidad de espacios culturales por financiamiento por comuna"/>
    <s v="Año 2021"/>
    <s v="Número de espacios culturales"/>
    <s v="Observatorio Cultural"/>
    <x v="910"/>
    <s v="En la Región de Coquimbo, de los 120 espacios culturales de la región, 84 son financiados por fuentes públicas."/>
    <s v="Gráfico"/>
    <s v="Región de Coquimbo espacio cultural cultura infraestructura fuente financiamiento pública privada mixta"/>
    <x v="910"/>
    <s v="100-C-4"/>
    <s v="#1774B9"/>
    <s v="990-0911"/>
    <n v="99200004"/>
    <e v="#N/A"/>
    <s v="C-1008"/>
    <s v="FI-991"/>
    <s v="M-1078"/>
  </r>
  <r>
    <x v="911"/>
    <n v="990"/>
    <x v="0"/>
    <x v="7"/>
    <n v="5"/>
    <x v="54"/>
    <x v="9"/>
    <x v="1"/>
    <x v="5"/>
    <s v="Comuna"/>
    <s v="Cantidad de espacios culturales por financiamiento por comuna"/>
    <s v="Año 2021"/>
    <s v="Número de espacios culturales"/>
    <s v="Observatorio Cultural"/>
    <x v="911"/>
    <s v="La Región de Valparaíso presenta 324 espacios culturales; de estos, 133 son financiados por fuentes públicas, 85 por fuentes privadas y 55 por fuentes mixtas."/>
    <s v="Gráfico"/>
    <s v="Región de Valparaíso espacio cultural cultura infraestructura fuente financiamiento pública privada mixta"/>
    <x v="911"/>
    <s v="100-C-5"/>
    <s v="#1774B9"/>
    <s v="990-0912"/>
    <n v="99200005"/>
    <e v="#N/A"/>
    <s v="C-1008"/>
    <s v="FI-991"/>
    <s v="M-1078"/>
  </r>
  <r>
    <x v="912"/>
    <n v="990"/>
    <x v="0"/>
    <x v="7"/>
    <n v="6"/>
    <x v="54"/>
    <x v="9"/>
    <x v="1"/>
    <x v="6"/>
    <s v="Comuna"/>
    <s v="Cantidad de espacios culturales por financiamiento por comuna"/>
    <s v="Año 2021"/>
    <s v="Número de espacios culturales"/>
    <s v="Observatorio Cultural"/>
    <x v="912"/>
    <s v="En la Región de O'Higgins, de los 206 espacios culturales existentes, se observa que el mayor porcentaje, equivalente a 120 espacios, son financiados por fuentes públicas."/>
    <s v="Gráfico"/>
    <s v="Región de O'Higgins espacio cultural cultura infraestructura fuente financiamiento pública privada mixta"/>
    <x v="912"/>
    <s v="100-C-6"/>
    <s v="#1774B9"/>
    <s v="990-0913"/>
    <n v="99200006"/>
    <e v="#N/A"/>
    <s v="C-1008"/>
    <s v="FI-991"/>
    <s v="M-1078"/>
  </r>
  <r>
    <x v="913"/>
    <n v="990"/>
    <x v="0"/>
    <x v="7"/>
    <n v="7"/>
    <x v="54"/>
    <x v="9"/>
    <x v="1"/>
    <x v="7"/>
    <s v="Comuna"/>
    <s v="Cantidad de espacios culturales por financiamiento por comuna"/>
    <s v="Año 2021"/>
    <s v="Número de espacios culturales"/>
    <s v="Observatorio Cultural"/>
    <x v="913"/>
    <s v="En la Región de Maule se observa que de los 169 espacios culturales de la región, 24 de ellos son financiados por fuentes privadas."/>
    <s v="Gráfico"/>
    <s v="Región de Maule espacio cultural cultura infraestructura fuente financiamiento pública privada mixta"/>
    <x v="913"/>
    <s v="100-C-7"/>
    <s v="#1774B9"/>
    <s v="990-0914"/>
    <n v="99200007"/>
    <e v="#N/A"/>
    <s v="C-1008"/>
    <s v="FI-991"/>
    <s v="M-1078"/>
  </r>
  <r>
    <x v="914"/>
    <n v="990"/>
    <x v="0"/>
    <x v="7"/>
    <n v="8"/>
    <x v="54"/>
    <x v="9"/>
    <x v="1"/>
    <x v="8"/>
    <s v="Comuna"/>
    <s v="Cantidad de espacios culturales por financiamiento por comuna"/>
    <s v="Año 2021"/>
    <s v="Número de espacios culturales"/>
    <s v="Observatorio Cultural"/>
    <x v="914"/>
    <s v="En la Región de Biobío se observa que de los 163 espacios culturales de la región, 33 son financiados por fuentes privadas."/>
    <s v="Gráfico"/>
    <s v="Región del Biobío espacio cultural cultura infraestructura fuente financiamiento pública privada mixta"/>
    <x v="914"/>
    <s v="100-C-8"/>
    <s v="#1774B9"/>
    <s v="990-0915"/>
    <n v="99200008"/>
    <e v="#N/A"/>
    <s v="C-1008"/>
    <s v="FI-991"/>
    <s v="M-1078"/>
  </r>
  <r>
    <x v="915"/>
    <n v="990"/>
    <x v="0"/>
    <x v="7"/>
    <n v="9"/>
    <x v="54"/>
    <x v="9"/>
    <x v="1"/>
    <x v="9"/>
    <s v="Comuna"/>
    <s v="Cantidad de espacios culturales por financiamiento por comuna"/>
    <s v="Año 2021"/>
    <s v="Número de espacios culturales"/>
    <s v="Observatorio Cultural"/>
    <x v="915"/>
    <s v="La Región de La Araucanía presenta 70 espacios culturales financiados por fuentes públicas y 9 por fuentes privadas."/>
    <s v="Gráfico"/>
    <s v="Región de La Araucanía espacio cultural cultura infraestructura fuente financiamiento pública privada mixta"/>
    <x v="915"/>
    <s v="100-C-9"/>
    <s v="#1774B9"/>
    <s v="990-0916"/>
    <n v="99200009"/>
    <e v="#N/A"/>
    <s v="C-1008"/>
    <s v="FI-991"/>
    <s v="M-1078"/>
  </r>
  <r>
    <x v="916"/>
    <n v="990"/>
    <x v="0"/>
    <x v="7"/>
    <n v="10"/>
    <x v="54"/>
    <x v="9"/>
    <x v="1"/>
    <x v="10"/>
    <s v="Comuna"/>
    <s v="Cantidad de espacios culturales por financiamiento por comuna"/>
    <s v="Año 2021"/>
    <s v="Número de espacios culturales"/>
    <s v="Observatorio Cultural"/>
    <x v="916"/>
    <s v="En la Región de Los Lagos se observa que de los 153 espacios culturales de la región, 92 son financiados por fuentes públicas."/>
    <s v="Gráfico"/>
    <s v="Región de Los Lagos espacio cultural cultura infraestructura fuente financiamiento pública privada mixta"/>
    <x v="916"/>
    <s v="100-C-10"/>
    <s v="#1774B9"/>
    <s v="990-0917"/>
    <n v="99200010"/>
    <e v="#N/A"/>
    <s v="C-1008"/>
    <s v="FI-991"/>
    <s v="M-1078"/>
  </r>
  <r>
    <x v="917"/>
    <n v="990"/>
    <x v="0"/>
    <x v="7"/>
    <n v="11"/>
    <x v="54"/>
    <x v="9"/>
    <x v="1"/>
    <x v="11"/>
    <s v="Comuna"/>
    <s v="Cantidad de espacios culturales por financiamiento por comuna"/>
    <s v="Año 2021"/>
    <s v="Número de espacios culturales"/>
    <s v="Observatorio Cultural"/>
    <x v="917"/>
    <s v="En la Región de Aysén, de los 83 espacios culturales totales, se observa que el mayor porcentaje, equivalente a 66espacios, son financiados por fuentes públicas."/>
    <s v="Gráfico"/>
    <s v="Región de Aysén espacio cultural cultura infraestructura fuente financiamiento pública privada mixta"/>
    <x v="917"/>
    <s v="100-C-11"/>
    <s v="#1774B9"/>
    <s v="990-0918"/>
    <n v="99200011"/>
    <e v="#N/A"/>
    <s v="C-1008"/>
    <s v="FI-991"/>
    <s v="M-1078"/>
  </r>
  <r>
    <x v="918"/>
    <n v="990"/>
    <x v="0"/>
    <x v="7"/>
    <n v="12"/>
    <x v="54"/>
    <x v="9"/>
    <x v="1"/>
    <x v="12"/>
    <s v="Comuna"/>
    <s v="Cantidad de espacios culturales por financiamiento por comuna"/>
    <s v="Año 2021"/>
    <s v="Número de espacios culturales"/>
    <s v="Observatorio Cultural"/>
    <x v="918"/>
    <s v="La Región de Magallanes posee 63 espacios culturales, de ellos 44 tienen financiamiento público, 11 financiamiento privado y 7 financiamiento mixto."/>
    <s v="Gráfico"/>
    <s v="Región de Magallanes espacio cultural cultura infraestructura fuente financiamiento pública privada mixta"/>
    <x v="918"/>
    <s v="100-C-12"/>
    <s v="#1774B9"/>
    <s v="990-0919"/>
    <n v="99200012"/>
    <e v="#N/A"/>
    <s v="C-1008"/>
    <s v="FI-991"/>
    <s v="M-1078"/>
  </r>
  <r>
    <x v="919"/>
    <n v="990"/>
    <x v="0"/>
    <x v="7"/>
    <n v="13"/>
    <x v="54"/>
    <x v="9"/>
    <x v="1"/>
    <x v="13"/>
    <s v="Comuna"/>
    <s v="Cantidad de espacios culturales por financiamiento por comuna"/>
    <s v="Año 2021"/>
    <s v="Número de espacios culturales"/>
    <s v="Observatorio Cultural"/>
    <x v="919"/>
    <s v="La región Metropolitana presenta variados financiamientos para los espacios culturales de la región, siendo 146 espacios financiados mediante fuentes públicas, 113 con fuentes privadas y 70 con fuentes mixtas."/>
    <s v="Gráfico"/>
    <s v="Región Metropolitana espacio cultural cultura infraestructura fuente financiamiento pública privada mixta"/>
    <x v="919"/>
    <s v="200-C-13"/>
    <s v="#1774B9"/>
    <s v="990-0920"/>
    <n v="99200013"/>
    <e v="#N/A"/>
    <s v="C-1008"/>
    <s v="FI-991"/>
    <s v="M-1078"/>
  </r>
  <r>
    <x v="920"/>
    <n v="990"/>
    <x v="0"/>
    <x v="7"/>
    <n v="14"/>
    <x v="54"/>
    <x v="9"/>
    <x v="1"/>
    <x v="14"/>
    <s v="Comuna"/>
    <s v="Cantidad de espacios culturales por financiamiento por comuna"/>
    <s v="Año 2021"/>
    <s v="Número de espacios culturales"/>
    <s v="Observatorio Cultural"/>
    <x v="920"/>
    <s v="Del total de 77 espacios culturales de la Región de Los Ríos, 20 tienen financiamiento público. Llama la atención que para 36 espacios no se posee información respecto de su fuente de financiamiento."/>
    <s v="Gráfico"/>
    <s v="Región de Los Ríos espacio cultural cultura infraestructura fuente financiamiento pública privada mixta"/>
    <x v="920"/>
    <s v="100-C-14"/>
    <s v="#1774B9"/>
    <s v="990-0921"/>
    <n v="99200014"/>
    <e v="#N/A"/>
    <s v="C-1008"/>
    <s v="FI-991"/>
    <s v="M-1078"/>
  </r>
  <r>
    <x v="921"/>
    <n v="990"/>
    <x v="0"/>
    <x v="7"/>
    <n v="15"/>
    <x v="54"/>
    <x v="9"/>
    <x v="1"/>
    <x v="15"/>
    <s v="Comuna"/>
    <s v="Cantidad de espacios culturales por financiamiento por comuna"/>
    <s v="Año 2021"/>
    <s v="Número de espacios culturales"/>
    <s v="Observatorio Cultural"/>
    <x v="921"/>
    <s v="En la Región de Arica y Parinacota, 10 de los espacios culturales de la región tienen fuentes de financiamiento privadas, mientras que 18 tienen fuentes públicas de financiamiento."/>
    <s v="Gráfico"/>
    <s v="Región de Arica y Parinacota espacio cultural cultura infraestructura fuente financiamiento pública privada mixta"/>
    <x v="921"/>
    <s v="100-C-15"/>
    <s v="#1774B9"/>
    <s v="990-0922"/>
    <n v="99200015"/>
    <e v="#N/A"/>
    <s v="C-1008"/>
    <s v="FI-991"/>
    <s v="M-1078"/>
  </r>
  <r>
    <x v="922"/>
    <n v="990"/>
    <x v="0"/>
    <x v="7"/>
    <n v="16"/>
    <x v="54"/>
    <x v="9"/>
    <x v="1"/>
    <x v="16"/>
    <s v="Comuna"/>
    <s v="Cantidad de espacios culturales por financiamiento por comuna"/>
    <s v="Año 2021"/>
    <s v="Número de espacios culturales"/>
    <s v="Observatorio Cultural"/>
    <x v="922"/>
    <s v="En la Región de Ñuble, de los 86 espacios culturales de la región, 48 poseen financiamiento público, mientras que para 20 no se posee información."/>
    <s v="Gráfico"/>
    <s v="Región de Ñuble espacio cultural cultura infraestructura fuente financiamiento pública privada mixta"/>
    <x v="922"/>
    <s v="100-C-16"/>
    <s v="#1774B9"/>
    <s v="990-0923"/>
    <n v="99200016"/>
    <e v="#N/A"/>
    <s v="C-1008"/>
    <s v="FI-991"/>
    <s v="M-1078"/>
  </r>
  <r>
    <x v="923"/>
    <n v="990"/>
    <x v="0"/>
    <x v="7"/>
    <n v="0"/>
    <x v="53"/>
    <x v="9"/>
    <x v="0"/>
    <x v="0"/>
    <s v="Comuna"/>
    <s v="Cantidad de espacios culturales por comuna"/>
    <s v="Año 2021"/>
    <s v="Número de espacios culturales"/>
    <s v="Observatorio Cultural"/>
    <x v="923"/>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x v="923"/>
    <s v="300-C"/>
    <s v="#1774B9"/>
    <s v="990-0924"/>
    <n v="99100000"/>
    <s v="T-1024"/>
    <s v="C-1008"/>
    <s v="FI-991"/>
    <s v="M-1006"/>
  </r>
  <r>
    <x v="924"/>
    <n v="990"/>
    <x v="0"/>
    <x v="7"/>
    <n v="1"/>
    <x v="53"/>
    <x v="9"/>
    <x v="1"/>
    <x v="1"/>
    <s v="Comuna"/>
    <s v="Cantidad de espacios culturales por comuna"/>
    <s v="Año 2021"/>
    <s v="Número de espacios culturales"/>
    <s v="Observatorio Cultural"/>
    <x v="924"/>
    <s v="La Región de Tarapacá posee 57 espacios culturales, predomina las categorías &quot;Otros espacios con uso cultural&quot; y &quot;Biblioteca&quot;, con 23 y 10 espacios respectivamente."/>
    <s v="Gráfico"/>
    <s v="Región de Tarapacá espacio cultural cultura infraestructura categoría tipo biblioteca museo archivo"/>
    <x v="924"/>
    <s v="100-C-1"/>
    <s v="#1774B9"/>
    <s v="990-0925"/>
    <n v="99200001"/>
    <s v="T-1024"/>
    <s v="C-1008"/>
    <s v="FI-991"/>
    <s v="M-1006"/>
  </r>
  <r>
    <x v="925"/>
    <n v="990"/>
    <x v="0"/>
    <x v="7"/>
    <n v="2"/>
    <x v="53"/>
    <x v="9"/>
    <x v="1"/>
    <x v="2"/>
    <s v="Comuna"/>
    <s v="Cantidad de espacios culturales por comuna"/>
    <s v="Año 2021"/>
    <s v="Número de espacios culturales"/>
    <s v="Observatorio Cultural"/>
    <x v="925"/>
    <s v="La Región de Antofagasta posee 62 espacios culturales, predominan las categorías &quot;Otros espacios con uso cultural&quot; y &quot;Centro cultural o Casa de la cultura&quot;, con 28 y 13 espacios respectivamente."/>
    <s v="Gráfico"/>
    <s v="Región de Antofagasta espacio cultural cultura infraestructura categoría tipo biblioteca museo archivo"/>
    <x v="925"/>
    <s v="100-C-2"/>
    <s v="#1774B9"/>
    <s v="990-0926"/>
    <n v="99200002"/>
    <s v="T-1024"/>
    <s v="C-1008"/>
    <s v="FI-991"/>
    <s v="M-1006"/>
  </r>
  <r>
    <x v="926"/>
    <n v="990"/>
    <x v="0"/>
    <x v="7"/>
    <n v="3"/>
    <x v="53"/>
    <x v="9"/>
    <x v="1"/>
    <x v="3"/>
    <s v="Comuna"/>
    <s v="Cantidad de espacios culturales por comuna"/>
    <s v="Año 2021"/>
    <s v="Número de espacios culturales"/>
    <s v="Observatorio Cultural"/>
    <x v="926"/>
    <s v="La categoría de espacio cultural que predomina en la Región de Atacama es &quot;Otros espacios con uso cultural&quot;, con 27 espacios del total regional. Por otro lado, las categorías menos habituales son &quot;Sala de exposición&quot;, &quot;Galería de arte&quot;, &quot;Cine o sala de cine&quot;, &quot;Archivo&quot;, con solo 2 espacios cada una."/>
    <s v="Gráfico"/>
    <s v="Región de Atacama espacio cultural cultura infraestructura categoría tipo biblioteca museo archivo"/>
    <x v="926"/>
    <s v="100-C-3"/>
    <s v="#1774B9"/>
    <s v="990-0927"/>
    <n v="99200003"/>
    <s v="T-1024"/>
    <s v="C-1008"/>
    <s v="FI-991"/>
    <s v="M-1006"/>
  </r>
  <r>
    <x v="927"/>
    <n v="990"/>
    <x v="0"/>
    <x v="7"/>
    <n v="4"/>
    <x v="53"/>
    <x v="9"/>
    <x v="1"/>
    <x v="4"/>
    <s v="Comuna"/>
    <s v="Cantidad de espacios culturales por comuna"/>
    <s v="Año 2021"/>
    <s v="Número de espacios culturales"/>
    <s v="Observatorio Cultural"/>
    <x v="927"/>
    <s v="La Región de Coquimbo posee 120 espacios culturales, predomina la categoría &quot;Otros espacios con uso cultural&quot; y &quot;Centro cultural o Casa de la cultura&quot;, con 56 y 22 espacios respectivamente."/>
    <s v="Gráfico"/>
    <s v="Región de Coquimbo espacio cultural cultura infraestructura categoría tipo biblioteca museo archivo"/>
    <x v="927"/>
    <s v="100-C-4"/>
    <s v="#1774B9"/>
    <s v="990-0928"/>
    <n v="99200004"/>
    <s v="T-1024"/>
    <s v="C-1008"/>
    <s v="FI-991"/>
    <s v="M-1006"/>
  </r>
  <r>
    <x v="928"/>
    <n v="990"/>
    <x v="0"/>
    <x v="7"/>
    <n v="5"/>
    <x v="53"/>
    <x v="9"/>
    <x v="1"/>
    <x v="5"/>
    <s v="Comuna"/>
    <s v="Cantidad de espacios culturales por comuna"/>
    <s v="Año 2021"/>
    <s v="Número de espacios culturales"/>
    <s v="Observatorio Cultural"/>
    <x v="928"/>
    <s v="La categoría de espacio cultural que predomina en la Región de Valparaíso es &quot;Otros espacios con uso cultural&quot;, con 153 espacios del total regional. Por otro lado, la categoría menos habitual es &quot;Centro de documentación&quot; con solo un espacio."/>
    <s v="Gráfico"/>
    <s v="Región de Valparaíso espacio cultural cultura infraestructura categoría tipo biblioteca museo archivo"/>
    <x v="928"/>
    <s v="100-C-5"/>
    <s v="#1774B9"/>
    <s v="990-0929"/>
    <n v="99200005"/>
    <s v="T-1024"/>
    <s v="C-1008"/>
    <s v="FI-991"/>
    <s v="M-1006"/>
  </r>
  <r>
    <x v="929"/>
    <n v="990"/>
    <x v="0"/>
    <x v="7"/>
    <n v="6"/>
    <x v="53"/>
    <x v="9"/>
    <x v="1"/>
    <x v="6"/>
    <s v="Comuna"/>
    <s v="Cantidad de espacios culturales por comuna"/>
    <s v="Año 2021"/>
    <s v="Número de espacios culturales"/>
    <s v="Observatorio Cultural"/>
    <x v="929"/>
    <s v="La Región de O'Higgins posee 206 espacios culturales, de estos 10 tienen la categoría &quot;Museo&quot; y 25 la categoría &quot;Biblioteca&quot;."/>
    <s v="Gráfico"/>
    <s v="Región de O'Higgins espacio cultural cultura infraestructura categoría tipo biblioteca museo archivo"/>
    <x v="929"/>
    <s v="100-C-6"/>
    <s v="#1774B9"/>
    <s v="990-0930"/>
    <n v="99200006"/>
    <s v="T-1024"/>
    <s v="C-1008"/>
    <s v="FI-991"/>
    <s v="M-1006"/>
  </r>
  <r>
    <x v="930"/>
    <n v="990"/>
    <x v="0"/>
    <x v="7"/>
    <n v="7"/>
    <x v="53"/>
    <x v="9"/>
    <x v="1"/>
    <x v="7"/>
    <s v="Comuna"/>
    <s v="Cantidad de espacios culturales por comuna"/>
    <s v="Año 2021"/>
    <s v="Número de espacios culturales"/>
    <s v="Observatorio Cultural"/>
    <x v="930"/>
    <s v="La categoría de espacio cultural que predomina en la Región de Maule es &quot;Otros espacios con uso cultural&quot;, con 96 espacios del total regional. Por otro lado, la categoría menos habitual es &quot;Sala de ensayo&quot; y &quot;Galería de arte&quot; con solo un espacio cada uno."/>
    <s v="Gráfico"/>
    <s v="Región de Maule espacio cultural cultura infraestructura categoría tipo biblioteca museo archivo"/>
    <x v="930"/>
    <s v="100-C-7"/>
    <s v="#1774B9"/>
    <s v="990-0931"/>
    <n v="99200007"/>
    <s v="T-1024"/>
    <s v="C-1008"/>
    <s v="FI-991"/>
    <s v="M-1006"/>
  </r>
  <r>
    <x v="931"/>
    <n v="990"/>
    <x v="0"/>
    <x v="7"/>
    <n v="8"/>
    <x v="53"/>
    <x v="9"/>
    <x v="1"/>
    <x v="8"/>
    <s v="Comuna"/>
    <s v="Cantidad de espacios culturales por comuna"/>
    <s v="Año 2021"/>
    <s v="Número de espacios culturales"/>
    <s v="Observatorio Cultural"/>
    <x v="931"/>
    <s v="La Región de Biobío posee 163 espacios culturales, de estos 13 tienen la categoría &quot;Museo&quot; y 7 la categoría &quot;Galería de arte&quot;."/>
    <s v="Gráfico"/>
    <s v="Región del Biobío espacio cultural cultura infraestructura categoría tipo biblioteca museo archivo"/>
    <x v="931"/>
    <s v="100-C-8"/>
    <s v="#1774B9"/>
    <s v="990-0932"/>
    <n v="99200008"/>
    <s v="T-1024"/>
    <s v="C-1008"/>
    <s v="FI-991"/>
    <s v="M-1006"/>
  </r>
  <r>
    <x v="932"/>
    <n v="990"/>
    <x v="0"/>
    <x v="7"/>
    <n v="9"/>
    <x v="53"/>
    <x v="9"/>
    <x v="1"/>
    <x v="9"/>
    <s v="Comuna"/>
    <s v="Cantidad de espacios culturales por comuna"/>
    <s v="Año 2021"/>
    <s v="Número de espacios culturales"/>
    <s v="Observatorio Cultural"/>
    <x v="932"/>
    <s v="Las categorías de espacios culturales menos habituales en la Región de La Araucanía son &quot;Sala de exposición&quot;, &quot;Centro de documentación&quot; y &quot;Archivo&quot; con solo un espacio cada una. Por otro lado, la categoría que predomina en la región es &quot;Otros espacios con uso cultural&quot;, con 38 espacios."/>
    <s v="Gráfico"/>
    <s v="Región de La Araucanía espacio cultural cultura infraestructura categoría tipo biblioteca museo archivo"/>
    <x v="932"/>
    <s v="100-C-9"/>
    <s v="#1774B9"/>
    <s v="990-0933"/>
    <n v="99200009"/>
    <s v="T-1024"/>
    <s v="C-1008"/>
    <s v="FI-991"/>
    <s v="M-1006"/>
  </r>
  <r>
    <x v="933"/>
    <n v="990"/>
    <x v="0"/>
    <x v="7"/>
    <n v="10"/>
    <x v="53"/>
    <x v="9"/>
    <x v="1"/>
    <x v="10"/>
    <s v="Comuna"/>
    <s v="Cantidad de espacios culturales por comuna"/>
    <s v="Año 2021"/>
    <s v="Número de espacios culturales"/>
    <s v="Observatorio Cultural"/>
    <x v="933"/>
    <s v="La Región de Los Lagos posee 153 espacios culturales, predominan las categorías &quot;Otros espacios con uso cultural&quot; y &quot;Centro cultural o Casa de la cultura&quot;, con 66 y 26 espacios respectivamente."/>
    <s v="Gráfico"/>
    <s v="Región de Los Lagos espacio cultural cultura infraestructura categoría tipo biblioteca museo archivo"/>
    <x v="933"/>
    <s v="100-C-10"/>
    <s v="#1774B9"/>
    <s v="990-0934"/>
    <n v="99200010"/>
    <s v="T-1024"/>
    <s v="C-1008"/>
    <s v="FI-991"/>
    <s v="M-1006"/>
  </r>
  <r>
    <x v="934"/>
    <n v="990"/>
    <x v="0"/>
    <x v="7"/>
    <n v="11"/>
    <x v="53"/>
    <x v="9"/>
    <x v="1"/>
    <x v="11"/>
    <s v="Comuna"/>
    <s v="Cantidad de espacios culturales por comuna"/>
    <s v="Año 2021"/>
    <s v="Número de espacios culturales"/>
    <s v="Observatorio Cultural"/>
    <x v="934"/>
    <s v="La Región de Aysén posee 83 espacios culturales, predominan en la región las categorías &quot;Otros espacios con uso cultural&quot; y &quot;Biblioteca&quot;, con 57 y 13 espacios respectivamente."/>
    <s v="Gráfico"/>
    <s v="Región de Aysén espacio cultural cultura infraestructura categoría tipo biblioteca museo archivo"/>
    <x v="934"/>
    <s v="100-C-11"/>
    <s v="#1774B9"/>
    <s v="990-0935"/>
    <n v="99200011"/>
    <s v="T-1024"/>
    <s v="C-1008"/>
    <s v="FI-991"/>
    <s v="M-1006"/>
  </r>
  <r>
    <x v="935"/>
    <n v="990"/>
    <x v="0"/>
    <x v="7"/>
    <n v="12"/>
    <x v="53"/>
    <x v="9"/>
    <x v="1"/>
    <x v="12"/>
    <s v="Comuna"/>
    <s v="Cantidad de espacios culturales por comuna"/>
    <s v="Año 2021"/>
    <s v="Número de espacios culturales"/>
    <s v="Observatorio Cultural"/>
    <x v="935"/>
    <s v="La categoría de espacio cultural que predomina en la Región de Magallanes es &quot;Otros espacios con uso cultural&quot;, con 31 espacios del total regional. Por otro lado, la categoría menos habitual es &quot;Sala de ensayo&quot; con solo un espacio."/>
    <s v="Gráfico"/>
    <s v="Región de Magallanes espacio cultural cultura infraestructura categoría tipo biblioteca museo archivo"/>
    <x v="935"/>
    <s v="100-C-12"/>
    <s v="#1774B9"/>
    <s v="990-0936"/>
    <n v="99200012"/>
    <s v="T-1024"/>
    <s v="C-1008"/>
    <s v="FI-991"/>
    <s v="M-1006"/>
  </r>
  <r>
    <x v="936"/>
    <n v="990"/>
    <x v="0"/>
    <x v="7"/>
    <n v="13"/>
    <x v="53"/>
    <x v="9"/>
    <x v="1"/>
    <x v="13"/>
    <s v="Comuna"/>
    <s v="Cantidad de espacios culturales por comuna"/>
    <s v="Año 2021"/>
    <s v="Número de espacios culturales"/>
    <s v="Observatorio Cultural"/>
    <x v="936"/>
    <s v="La región Metropolitana posee 397 espacios culturales, predominando en la región las categorías &quot;Biblioteca&quot; y &quot;Centro cultural o Casa de la cultura&quot;, con 101 y 75 espacios respectivamente. Por otro lado, la categoría menos habitual es &quot;Sala de ensayo&quot;, con solo dos espacios del total regional."/>
    <s v="Gráfico"/>
    <s v="Región Metropolitana espacio cultural cultura infraestructura categoría tipo biblioteca museo archivo"/>
    <x v="936"/>
    <s v="200-C-13"/>
    <s v="#1774B9"/>
    <s v="990-0937"/>
    <n v="99200013"/>
    <s v="T-1024"/>
    <s v="C-1008"/>
    <s v="FI-991"/>
    <s v="M-1006"/>
  </r>
  <r>
    <x v="937"/>
    <n v="990"/>
    <x v="0"/>
    <x v="7"/>
    <n v="14"/>
    <x v="53"/>
    <x v="9"/>
    <x v="1"/>
    <x v="14"/>
    <s v="Comuna"/>
    <s v="Cantidad de espacios culturales por comuna"/>
    <s v="Año 2021"/>
    <s v="Número de espacios culturales"/>
    <s v="Observatorio Cultural"/>
    <x v="937"/>
    <s v="La Región de Los Ríos posee 77 espacios culturales, predominando en la región la categoría &quot;Otros espacios con uso cultural&quot;, con 39 espacios del total regional. Por otro lado, las categorías menos habituales son &quot;Sala de exposición&quot;, &quot;Sala de ensayo&quot;, &quot;Galería de arte&quot; y &quot;Cine o sala de cine&quot; con dos espacios cada una."/>
    <s v="Gráfico"/>
    <s v="Región de Los Ríos espacio cultural cultura infraestructura categoría tipo biblioteca museo archivo"/>
    <x v="937"/>
    <s v="100-C-14"/>
    <s v="#1774B9"/>
    <s v="990-0938"/>
    <n v="99200014"/>
    <s v="T-1024"/>
    <s v="C-1008"/>
    <s v="FI-991"/>
    <s v="M-1006"/>
  </r>
  <r>
    <x v="938"/>
    <n v="990"/>
    <x v="0"/>
    <x v="7"/>
    <n v="15"/>
    <x v="53"/>
    <x v="9"/>
    <x v="1"/>
    <x v="15"/>
    <s v="Comuna"/>
    <s v="Cantidad de espacios culturales por comuna"/>
    <s v="Año 2021"/>
    <s v="Número de espacios culturales"/>
    <s v="Observatorio Cultural"/>
    <x v="938"/>
    <s v="La Región de Arica y Parinacota posee 34 espacios culturales, predominando en la región la categoría de &quot;Biblioteca&quot; con 12 espacios del total regional."/>
    <s v="Gráfico"/>
    <s v="Región de Arica y Parinacota espacio cultural cultura infraestructura categoría tipo biblioteca museo archivo"/>
    <x v="938"/>
    <s v="100-C-15"/>
    <s v="#1774B9"/>
    <s v="990-0939"/>
    <n v="99200015"/>
    <s v="T-1024"/>
    <s v="C-1008"/>
    <s v="FI-991"/>
    <s v="M-1006"/>
  </r>
  <r>
    <x v="939"/>
    <n v="990"/>
    <x v="0"/>
    <x v="7"/>
    <n v="16"/>
    <x v="53"/>
    <x v="9"/>
    <x v="1"/>
    <x v="16"/>
    <s v="Comuna"/>
    <s v="Cantidad de espacios culturales por comuna"/>
    <s v="Año 2021"/>
    <s v="Número de espacios culturales"/>
    <s v="Observatorio Cultural"/>
    <x v="939"/>
    <s v="En la Región de Ñuble predominan las categorías &quot;Otros espacios con uso cultural&quot; y &quot;Biblioteca&quot; con 35 y 23 espacios respectivamente del total regional de espacios culturales."/>
    <s v="Gráfico"/>
    <s v="Región de Ñuble espacio cultural cultura infraestructura categoría tipo biblioteca museo archivo"/>
    <x v="939"/>
    <s v="100-C-16"/>
    <s v="#1774B9"/>
    <s v="990-0940"/>
    <n v="99200016"/>
    <s v="T-1024"/>
    <s v="C-1008"/>
    <s v="FI-991"/>
    <s v="M-1006"/>
  </r>
  <r>
    <x v="940"/>
    <n v="990"/>
    <x v="0"/>
    <x v="7"/>
    <n v="0"/>
    <x v="55"/>
    <x v="9"/>
    <x v="0"/>
    <x v="0"/>
    <s v="Comuna"/>
    <s v="Cantidad de espacios culturales por comuna"/>
    <s v="Año 2021"/>
    <s v="Número de espacios culturales"/>
    <s v="Observatorio Cultural"/>
    <x v="940"/>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x v="940"/>
    <s v="300-C"/>
    <s v="#1774B9"/>
    <s v="990-0941"/>
    <n v="99100000"/>
    <e v="#N/A"/>
    <s v="C-1008"/>
    <s v="FI-991"/>
    <s v="M-1006"/>
  </r>
  <r>
    <x v="941"/>
    <n v="990"/>
    <x v="0"/>
    <x v="7"/>
    <n v="1"/>
    <x v="55"/>
    <x v="9"/>
    <x v="1"/>
    <x v="1"/>
    <s v="Comuna"/>
    <s v="Cantidad de espacios culturales por comuna"/>
    <s v="Año 2021"/>
    <s v="Número de espacios culturales"/>
    <s v="Observatorio Cultural"/>
    <x v="941"/>
    <s v="En la Región de Tarapacá se observa que el estado de mantención de los espacios culturales se encuentra en su mayoría en estado bueno o regular, clasificados 27 en buen estado y 24 regular."/>
    <s v="Gráfico"/>
    <s v="Región de Tarapacá espacio cultural cultura infraestructura estado mantención"/>
    <x v="941"/>
    <s v="100-C-1"/>
    <s v="#1774B9"/>
    <s v="990-0942"/>
    <n v="99200001"/>
    <e v="#N/A"/>
    <s v="C-1008"/>
    <s v="FI-991"/>
    <s v="M-1006"/>
  </r>
  <r>
    <x v="942"/>
    <n v="990"/>
    <x v="0"/>
    <x v="7"/>
    <n v="2"/>
    <x v="55"/>
    <x v="9"/>
    <x v="1"/>
    <x v="2"/>
    <s v="Comuna"/>
    <s v="Cantidad de espacios culturales por comuna"/>
    <s v="Año 2021"/>
    <s v="Número de espacios culturales"/>
    <s v="Observatorio Cultural"/>
    <x v="942"/>
    <s v="De los 62 espacios culturales de la Región de Antofagasta, 46 se encuentran en buen estado de mantención, 9 en estado regular y dos en mal estado."/>
    <s v="Gráfico"/>
    <s v="Región de Antofagasta espacio cultural cultura infraestructura estado mantención"/>
    <x v="942"/>
    <s v="100-C-2"/>
    <s v="#1774B9"/>
    <s v="990-0943"/>
    <n v="99200002"/>
    <e v="#N/A"/>
    <s v="C-1008"/>
    <s v="FI-991"/>
    <s v="M-1006"/>
  </r>
  <r>
    <x v="943"/>
    <n v="990"/>
    <x v="0"/>
    <x v="7"/>
    <n v="3"/>
    <x v="55"/>
    <x v="9"/>
    <x v="1"/>
    <x v="3"/>
    <s v="Comuna"/>
    <s v="Cantidad de espacios culturales por comuna"/>
    <s v="Año 2021"/>
    <s v="Número de espacios culturales"/>
    <s v="Observatorio Cultural"/>
    <x v="943"/>
    <s v="En la Región de Atacama se observa que el estado de mantención de los espacios culturales se encuentra en su mayoría en estado bueno o regular, clasificándose 23 en buen estado y 20 como regular."/>
    <s v="Gráfico"/>
    <s v="Región de Atacama espacio cultural cultura infraestructura estado mantención"/>
    <x v="943"/>
    <s v="100-C-3"/>
    <s v="#1774B9"/>
    <s v="990-0944"/>
    <n v="99200003"/>
    <e v="#N/A"/>
    <s v="C-1008"/>
    <s v="FI-991"/>
    <s v="M-1006"/>
  </r>
  <r>
    <x v="944"/>
    <n v="990"/>
    <x v="0"/>
    <x v="7"/>
    <n v="4"/>
    <x v="55"/>
    <x v="9"/>
    <x v="1"/>
    <x v="4"/>
    <s v="Comuna"/>
    <s v="Cantidad de espacios culturales por comuna"/>
    <s v="Año 2021"/>
    <s v="Número de espacios culturales"/>
    <s v="Observatorio Cultural"/>
    <x v="944"/>
    <s v="De los 120 espacios culturales de la Región de Coquimbo, 80 se encuentran en buen estado de mantención, 33 en estado regular y 2 en mal estado."/>
    <s v="Gráfico"/>
    <s v="Región de Coquimbo espacio cultural cultura infraestructura estado mantención"/>
    <x v="944"/>
    <s v="100-C-4"/>
    <s v="#1774B9"/>
    <s v="990-0945"/>
    <n v="99200004"/>
    <e v="#N/A"/>
    <s v="C-1008"/>
    <s v="FI-991"/>
    <s v="M-1006"/>
  </r>
  <r>
    <x v="945"/>
    <n v="990"/>
    <x v="0"/>
    <x v="7"/>
    <n v="5"/>
    <x v="55"/>
    <x v="9"/>
    <x v="1"/>
    <x v="5"/>
    <s v="Comuna"/>
    <s v="Cantidad de espacios culturales por comuna"/>
    <s v="Año 2021"/>
    <s v="Número de espacios culturales"/>
    <s v="Observatorio Cultural"/>
    <x v="945"/>
    <s v="La Región de Valparaíso presenta un alto porcentaje de espacios culturales en buen estado de mantención, llegando a 208, sin embargo 62 espacios se encuentran en estado regular y para 48 no hay información disponible,"/>
    <s v="Gráfico"/>
    <s v="Región de Valparaíso espacio cultural cultura infraestructura estado mantención"/>
    <x v="945"/>
    <s v="100-C-5"/>
    <s v="#1774B9"/>
    <s v="990-0946"/>
    <n v="99200005"/>
    <e v="#N/A"/>
    <s v="C-1008"/>
    <s v="FI-991"/>
    <s v="M-1006"/>
  </r>
  <r>
    <x v="946"/>
    <n v="990"/>
    <x v="0"/>
    <x v="7"/>
    <n v="6"/>
    <x v="55"/>
    <x v="9"/>
    <x v="1"/>
    <x v="6"/>
    <s v="Comuna"/>
    <s v="Cantidad de espacios culturales por comuna"/>
    <s v="Año 2021"/>
    <s v="Número de espacios culturales"/>
    <s v="Observatorio Cultural"/>
    <x v="946"/>
    <s v="La mayoría de los espacios culturales con los que cuenta la Región de O'Higgins, al año 2021, se encuentran en buen estado de mantención, siendo estos 122 de los 206 espacios que posee la región."/>
    <s v="Gráfico"/>
    <s v="Región de O'Higgins espacio cultural cultura infraestructura estado mantención"/>
    <x v="946"/>
    <s v="100-C-6"/>
    <s v="#1774B9"/>
    <s v="990-0947"/>
    <n v="99200006"/>
    <e v="#N/A"/>
    <s v="C-1008"/>
    <s v="FI-991"/>
    <s v="M-1006"/>
  </r>
  <r>
    <x v="947"/>
    <n v="990"/>
    <x v="0"/>
    <x v="7"/>
    <n v="7"/>
    <x v="55"/>
    <x v="9"/>
    <x v="1"/>
    <x v="7"/>
    <s v="Comuna"/>
    <s v="Cantidad de espacios culturales por comuna"/>
    <s v="Año 2021"/>
    <s v="Número de espacios culturales"/>
    <s v="Observatorio Cultural"/>
    <x v="947"/>
    <s v="La Región de Maule presenta un bajo porcentaje de espacios culturales en mal estado de mantención, con solo 3 espacios del total regional. La gran mayoría de espadios (102) se encuentran en buen estado."/>
    <s v="Gráfico"/>
    <s v="Región de Maule espacio cultural cultura infraestructura estado mantención"/>
    <x v="947"/>
    <s v="100-C-7"/>
    <s v="#1774B9"/>
    <s v="990-0948"/>
    <n v="99200007"/>
    <e v="#N/A"/>
    <s v="C-1008"/>
    <s v="FI-991"/>
    <s v="M-1006"/>
  </r>
  <r>
    <x v="948"/>
    <n v="990"/>
    <x v="0"/>
    <x v="7"/>
    <n v="8"/>
    <x v="55"/>
    <x v="9"/>
    <x v="1"/>
    <x v="8"/>
    <s v="Comuna"/>
    <s v="Cantidad de espacios culturales por comuna"/>
    <s v="Año 2021"/>
    <s v="Número de espacios culturales"/>
    <s v="Observatorio Cultural"/>
    <x v="948"/>
    <s v="La Región de Biobío posee 163 espacios culturales al año 2021, de los cuales 70 se encuentran en buen estado de mantención y 31 en estado regular."/>
    <s v="Gráfico"/>
    <s v="Región del Biobío espacio cultural cultura infraestructura estado mantención"/>
    <x v="948"/>
    <s v="100-C-8"/>
    <s v="#1774B9"/>
    <s v="990-0949"/>
    <n v="99200008"/>
    <e v="#N/A"/>
    <s v="C-1008"/>
    <s v="FI-991"/>
    <s v="M-1006"/>
  </r>
  <r>
    <x v="949"/>
    <n v="990"/>
    <x v="0"/>
    <x v="7"/>
    <n v="9"/>
    <x v="55"/>
    <x v="9"/>
    <x v="1"/>
    <x v="9"/>
    <s v="Comuna"/>
    <s v="Cantidad de espacios culturales por comuna"/>
    <s v="Año 2021"/>
    <s v="Número de espacios culturales"/>
    <s v="Observatorio Cultural"/>
    <x v="949"/>
    <s v="La Región de La Araucanía presenta un bajo porcentaje de espacios culturales en mal estado de mantención, con sólo 3 espacios del total regional. La gran mayoría de espadios (68) se encuentran en buen estado."/>
    <s v="Gráfico"/>
    <s v="Región de La Araucanía espacio cultural cultura infraestructura estado mantención"/>
    <x v="949"/>
    <s v="100-C-9"/>
    <s v="#1774B9"/>
    <s v="990-0950"/>
    <n v="99200009"/>
    <e v="#N/A"/>
    <s v="C-1008"/>
    <s v="FI-991"/>
    <s v="M-1006"/>
  </r>
  <r>
    <x v="950"/>
    <n v="990"/>
    <x v="0"/>
    <x v="7"/>
    <n v="10"/>
    <x v="55"/>
    <x v="9"/>
    <x v="1"/>
    <x v="10"/>
    <s v="Comuna"/>
    <s v="Cantidad de espacios culturales por comuna"/>
    <s v="Año 2021"/>
    <s v="Número de espacios culturales"/>
    <s v="Observatorio Cultural"/>
    <x v="950"/>
    <s v="La Región de Los Lagos posee 153 espacios culturales al año 2021, de los cuales 78 se encuentran en buen estado de mantención y 42 en estado regular."/>
    <s v="Gráfico"/>
    <s v="Región de Los Lagos espacio cultural cultura infraestructura estado mantención"/>
    <x v="950"/>
    <s v="100-C-10"/>
    <s v="#1774B9"/>
    <s v="990-0951"/>
    <n v="99200010"/>
    <e v="#N/A"/>
    <s v="C-1008"/>
    <s v="FI-991"/>
    <s v="M-1006"/>
  </r>
  <r>
    <x v="951"/>
    <n v="990"/>
    <x v="0"/>
    <x v="7"/>
    <n v="11"/>
    <x v="55"/>
    <x v="9"/>
    <x v="1"/>
    <x v="11"/>
    <s v="Comuna"/>
    <s v="Cantidad de espacios culturales por comuna"/>
    <s v="Año 2021"/>
    <s v="Número de espacios culturales"/>
    <s v="Observatorio Cultural"/>
    <x v="951"/>
    <s v="La Región de Aysén registra 83 espacios culturales al año 2021; de ellos, 17 espacios presentan un mal estado de mantención y 38 un buen estado."/>
    <s v="Gráfico"/>
    <s v="Región de Aysén espacio cultural cultura infraestructura estado mantención"/>
    <x v="951"/>
    <s v="100-C-11"/>
    <s v="#1774B9"/>
    <s v="990-0952"/>
    <n v="99200011"/>
    <e v="#N/A"/>
    <s v="C-1008"/>
    <s v="FI-991"/>
    <s v="M-1006"/>
  </r>
  <r>
    <x v="952"/>
    <n v="990"/>
    <x v="0"/>
    <x v="7"/>
    <n v="12"/>
    <x v="55"/>
    <x v="9"/>
    <x v="1"/>
    <x v="12"/>
    <s v="Comuna"/>
    <s v="Cantidad de espacios culturales por comuna"/>
    <s v="Año 2021"/>
    <s v="Número de espacios culturales"/>
    <s v="Observatorio Cultural"/>
    <x v="952"/>
    <s v="La Región de Magallanes registra 63 espacios culturales al año 2021; de ellos, 45 espacios presentan un buen estado de mantención y 14 un estado regular."/>
    <s v="Gráfico"/>
    <s v="Región de Magallanes espacio cultural cultura infraestructura estado mantención"/>
    <x v="952"/>
    <s v="100-C-12"/>
    <s v="#1774B9"/>
    <s v="990-0953"/>
    <n v="99200012"/>
    <e v="#N/A"/>
    <s v="C-1008"/>
    <s v="FI-991"/>
    <s v="M-1006"/>
  </r>
  <r>
    <x v="953"/>
    <n v="990"/>
    <x v="0"/>
    <x v="7"/>
    <n v="13"/>
    <x v="55"/>
    <x v="9"/>
    <x v="1"/>
    <x v="13"/>
    <s v="Comuna"/>
    <s v="Cantidad de espacios culturales por comuna"/>
    <s v="Año 2021"/>
    <s v="Número de espacios culturales"/>
    <s v="Observatorio Cultural"/>
    <x v="953"/>
    <s v="La región Metropolitana posee 281 espacios culturales en buen estado mantención, siendo solo 48 espacios los catalogados como en estado regular o malo. "/>
    <s v="Gráfico"/>
    <s v="Región Metropolitana espacio cultural cultura infraestructura estado mantención"/>
    <x v="953"/>
    <s v="200-C-13"/>
    <s v="#1774B9"/>
    <s v="990-0954"/>
    <n v="99200013"/>
    <e v="#N/A"/>
    <s v="C-1008"/>
    <s v="FI-991"/>
    <s v="M-1006"/>
  </r>
  <r>
    <x v="954"/>
    <n v="990"/>
    <x v="0"/>
    <x v="7"/>
    <n v="14"/>
    <x v="55"/>
    <x v="9"/>
    <x v="1"/>
    <x v="14"/>
    <s v="Comuna"/>
    <s v="Cantidad de espacios culturales por comuna"/>
    <s v="Año 2021"/>
    <s v="Número de espacios culturales"/>
    <s v="Observatorio Cultural"/>
    <x v="954"/>
    <s v="La Región de Los Ríos posee 77 espacios culturales al año 2021; de ellos, 31 espacios presentan un buen estado de mantención, sin embargo, 35 espacios no presentan registro de información de estado."/>
    <s v="Gráfico"/>
    <s v="Región de Los Ríos espacio cultural cultura infraestructura estado mantención"/>
    <x v="954"/>
    <s v="100-C-14"/>
    <s v="#1774B9"/>
    <s v="990-0955"/>
    <n v="99200014"/>
    <e v="#N/A"/>
    <s v="C-1008"/>
    <s v="FI-991"/>
    <s v="M-1006"/>
  </r>
  <r>
    <x v="955"/>
    <n v="990"/>
    <x v="0"/>
    <x v="7"/>
    <n v="15"/>
    <x v="55"/>
    <x v="9"/>
    <x v="1"/>
    <x v="15"/>
    <s v="Comuna"/>
    <s v="Cantidad de espacios culturales por comuna"/>
    <s v="Año 2021"/>
    <s v="Número de espacios culturales"/>
    <s v="Observatorio Cultural"/>
    <x v="955"/>
    <s v="La Región de Arica y Parinacota posee solo 1 espacio cultural en mal estado de mantención, mientras que la gran mayoría, equivalente a 21 espacios, posee buen estado de mantención."/>
    <s v="Gráfico"/>
    <s v="Región de Arica y Parinacota espacio cultural cultura infraestructura estado mantención"/>
    <x v="955"/>
    <s v="100-C-15"/>
    <s v="#1774B9"/>
    <s v="990-0956"/>
    <n v="99200015"/>
    <e v="#N/A"/>
    <s v="C-1008"/>
    <s v="FI-991"/>
    <s v="M-1006"/>
  </r>
  <r>
    <x v="956"/>
    <n v="990"/>
    <x v="0"/>
    <x v="7"/>
    <n v="16"/>
    <x v="55"/>
    <x v="9"/>
    <x v="1"/>
    <x v="16"/>
    <s v="Comuna"/>
    <s v="Cantidad de espacios culturales por comuna"/>
    <s v="Año 2021"/>
    <s v="Número de espacios culturales"/>
    <s v="Observatorio Cultural"/>
    <x v="956"/>
    <s v="En la Región de Ñuble, de los 86 espacios culturales de la región, 46 se encuentran en la categoría de buen estado de mantención."/>
    <s v="Gráfico"/>
    <s v="Región de Ñuble espacio cultural cultura infraestructura estado mantención"/>
    <x v="956"/>
    <s v="100-C-16"/>
    <s v="#1774B9"/>
    <s v="990-0957"/>
    <n v="99200016"/>
    <e v="#N/A"/>
    <s v="C-1008"/>
    <s v="FI-991"/>
    <s v="M-1006"/>
  </r>
  <r>
    <x v="957"/>
    <n v="990"/>
    <x v="0"/>
    <x v="7"/>
    <n v="0"/>
    <x v="56"/>
    <x v="9"/>
    <x v="0"/>
    <x v="0"/>
    <s v="Región-Comuna"/>
    <s v="Ubicación de espacios culturales por comuna"/>
    <s v="Año 2021"/>
    <s v="Lat-Long"/>
    <s v="Observatorio Cultural"/>
    <x v="957"/>
    <s v="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
    <s v="Mapa "/>
    <s v="Chile espacio cultural cultura infraestructura ubicación latitud longitud"/>
    <x v="957"/>
    <s v="300-C"/>
    <s v="#1774B9"/>
    <s v="990-0958"/>
    <n v="99100000"/>
    <e v="#N/A"/>
    <s v="C-1008"/>
    <s v="FI-995"/>
    <s v="M-1079"/>
  </r>
  <r>
    <x v="958"/>
    <n v="990"/>
    <x v="0"/>
    <x v="7"/>
    <n v="1"/>
    <x v="56"/>
    <x v="9"/>
    <x v="1"/>
    <x v="1"/>
    <s v="Comuna"/>
    <s v="Ubicación de espacios culturales por comuna"/>
    <s v="Año 2021"/>
    <s v="Lat-Long"/>
    <s v="Observatorio Cultural"/>
    <x v="958"/>
    <s v="Mapa de espacios culturales en la Región de Tarapacá a nivel regional y comunal, para el año 2021, indicando ubicación geográfica y descripción de cada espacio cultural."/>
    <s v="Mapa "/>
    <s v="Región de Tarapacá espacio cultural cultura infraestructura ubicación latitud longitud"/>
    <x v="958"/>
    <s v="100-C-1"/>
    <s v="#1774B9"/>
    <s v="990-0959"/>
    <n v="99200001"/>
    <e v="#N/A"/>
    <s v="C-1008"/>
    <s v="FI-991"/>
    <s v="M-1079"/>
  </r>
  <r>
    <x v="959"/>
    <n v="990"/>
    <x v="0"/>
    <x v="7"/>
    <n v="2"/>
    <x v="56"/>
    <x v="9"/>
    <x v="1"/>
    <x v="2"/>
    <s v="Comuna"/>
    <s v="Ubicación de espacios culturales por comuna"/>
    <s v="Año 2021"/>
    <s v="Lat-Long"/>
    <s v="Observatorio Cultural"/>
    <x v="959"/>
    <s v="Mapa de espacios culturales en la Región de Antofagasta a nivel regional y comunal, para el año 2021, indicando ubicación geográfica y descripción de cada espacio cultural."/>
    <s v="Mapa "/>
    <s v="Región de Antofagasta espacio cultural cultura infraestructura ubicación latitud longitud"/>
    <x v="959"/>
    <s v="100-C-2"/>
    <s v="#1774B9"/>
    <s v="990-0960"/>
    <n v="99200002"/>
    <e v="#N/A"/>
    <s v="C-1008"/>
    <s v="FI-991"/>
    <s v="M-1079"/>
  </r>
  <r>
    <x v="960"/>
    <n v="990"/>
    <x v="0"/>
    <x v="7"/>
    <n v="3"/>
    <x v="56"/>
    <x v="9"/>
    <x v="1"/>
    <x v="3"/>
    <s v="Comuna"/>
    <s v="Ubicación de espacios culturales por comuna"/>
    <s v="Año 2021"/>
    <s v="Lat-Long"/>
    <s v="Observatorio Cultural"/>
    <x v="960"/>
    <s v="Mapa de espacios culturales en la Región de Atacama a nivel regional y comunal, para el año 2021, indicando ubicación geográfica y descripción de cada espacio cultural."/>
    <s v="Mapa "/>
    <s v="Región de Atacama espacio cultural cultura infraestructura ubicación latitud longitud"/>
    <x v="960"/>
    <s v="100-C-3"/>
    <s v="#1774B9"/>
    <s v="990-0961"/>
    <n v="99200003"/>
    <e v="#N/A"/>
    <s v="C-1008"/>
    <s v="FI-991"/>
    <s v="M-1079"/>
  </r>
  <r>
    <x v="961"/>
    <n v="990"/>
    <x v="0"/>
    <x v="7"/>
    <n v="4"/>
    <x v="56"/>
    <x v="9"/>
    <x v="1"/>
    <x v="4"/>
    <s v="Comuna"/>
    <s v="Ubicación de espacios culturales por comuna"/>
    <s v="Año 2021"/>
    <s v="Lat-Long"/>
    <s v="Observatorio Cultural"/>
    <x v="961"/>
    <s v="Mapa de espacios culturales en la Región de Coquimbo a nivel regional y comunal, para el año 2021, indicando ubicación geográfica y descripción de cada espacio cultural."/>
    <s v="Mapa "/>
    <s v="Región de Coquimbo espacio cultural cultura infraestructura ubicación latitud longitud"/>
    <x v="961"/>
    <s v="100-C-4"/>
    <s v="#1774B9"/>
    <s v="990-0962"/>
    <n v="99200004"/>
    <e v="#N/A"/>
    <s v="C-1008"/>
    <s v="FI-991"/>
    <s v="M-1079"/>
  </r>
  <r>
    <x v="962"/>
    <n v="990"/>
    <x v="0"/>
    <x v="7"/>
    <n v="5"/>
    <x v="56"/>
    <x v="9"/>
    <x v="1"/>
    <x v="5"/>
    <s v="Comuna"/>
    <s v="Ubicación de espacios culturales por comuna"/>
    <s v="Año 2021"/>
    <s v="Lat-Long"/>
    <s v="Observatorio Cultural"/>
    <x v="962"/>
    <s v="Mapa de espacios culturales en la Región de Valparaíso a nivel regional y comunal, para el año 2021, indicando ubicación geográfica y descripción de cada espacio cultural."/>
    <s v="Mapa "/>
    <s v="Región de Valparaíso espacio cultural cultura infraestructura ubicación latitud longitud"/>
    <x v="962"/>
    <s v="100-C-5"/>
    <s v="#1774B9"/>
    <s v="990-0963"/>
    <n v="99200005"/>
    <e v="#N/A"/>
    <s v="C-1008"/>
    <s v="FI-991"/>
    <s v="M-1079"/>
  </r>
  <r>
    <x v="963"/>
    <n v="990"/>
    <x v="0"/>
    <x v="7"/>
    <n v="6"/>
    <x v="56"/>
    <x v="9"/>
    <x v="1"/>
    <x v="6"/>
    <s v="Comuna"/>
    <s v="Ubicación de espacios culturales por comuna"/>
    <s v="Año 2021"/>
    <s v="Lat-Long"/>
    <s v="Observatorio Cultural"/>
    <x v="963"/>
    <s v="Mapa de espacios culturales en la Región de O'Higgins a nivel regional y comunal, para el año 2021, indicando ubicación geográfica y descripción de cada espacio cultural."/>
    <s v="Mapa "/>
    <s v="Región de O'Higgins espacio cultural cultura infraestructura ubicación latitud longitud"/>
    <x v="963"/>
    <s v="100-C-6"/>
    <s v="#1774B9"/>
    <s v="990-0964"/>
    <n v="99200006"/>
    <e v="#N/A"/>
    <s v="C-1008"/>
    <s v="FI-991"/>
    <s v="M-1079"/>
  </r>
  <r>
    <x v="964"/>
    <n v="990"/>
    <x v="0"/>
    <x v="7"/>
    <n v="7"/>
    <x v="56"/>
    <x v="9"/>
    <x v="1"/>
    <x v="7"/>
    <s v="Comuna"/>
    <s v="Ubicación de espacios culturales por comuna"/>
    <s v="Año 2021"/>
    <s v="Lat-Long"/>
    <s v="Observatorio Cultural"/>
    <x v="964"/>
    <s v="Mapa de espacios culturales en la Región de Maule a nivel regional y comunal, para el año 2021, indicando ubicación geográfica y descripción de cada espacio cultural."/>
    <s v="Mapa "/>
    <s v="Región de Maule espacio cultural cultura infraestructura ubicación latitud longitud"/>
    <x v="964"/>
    <s v="100-C-7"/>
    <s v="#1774B9"/>
    <s v="990-0965"/>
    <n v="99200007"/>
    <e v="#N/A"/>
    <s v="C-1008"/>
    <s v="FI-991"/>
    <s v="M-1079"/>
  </r>
  <r>
    <x v="965"/>
    <n v="990"/>
    <x v="0"/>
    <x v="7"/>
    <n v="8"/>
    <x v="56"/>
    <x v="9"/>
    <x v="1"/>
    <x v="8"/>
    <s v="Comuna"/>
    <s v="Ubicación de espacios culturales por comuna"/>
    <s v="Año 2021"/>
    <s v="Lat-Long"/>
    <s v="Observatorio Cultural"/>
    <x v="965"/>
    <s v="Mapa de espacios culturales en la Región de Biobío a nivel regional y comunal, para el año 2021, indicando ubicación geográfica y descripción de cada espacio cultural."/>
    <s v="Mapa "/>
    <s v="Región del Biobío espacio cultural cultura infraestructura ubicación latitud longitud"/>
    <x v="965"/>
    <s v="100-C-8"/>
    <s v="#1774B9"/>
    <s v="990-0966"/>
    <n v="99200008"/>
    <e v="#N/A"/>
    <s v="C-1008"/>
    <s v="FI-991"/>
    <s v="M-1079"/>
  </r>
  <r>
    <x v="966"/>
    <n v="990"/>
    <x v="0"/>
    <x v="7"/>
    <n v="9"/>
    <x v="56"/>
    <x v="9"/>
    <x v="1"/>
    <x v="9"/>
    <s v="Comuna"/>
    <s v="Ubicación de espacios culturales por comuna"/>
    <s v="Año 2021"/>
    <s v="Lat-Long"/>
    <s v="Observatorio Cultural"/>
    <x v="966"/>
    <s v="Mapa de espacios culturales en la Región de La Araucanía a nivel regional y comunal, para el año 2021, indicando ubicación geográfica y descripción de cada espacio cultural."/>
    <s v="Mapa "/>
    <s v="Región de La Araucanía espacio cultural cultura infraestructura ubicación latitud longitud"/>
    <x v="966"/>
    <s v="100-C-9"/>
    <s v="#1774B9"/>
    <s v="990-0967"/>
    <n v="99200009"/>
    <e v="#N/A"/>
    <s v="C-1008"/>
    <s v="FI-991"/>
    <s v="M-1079"/>
  </r>
  <r>
    <x v="967"/>
    <n v="990"/>
    <x v="0"/>
    <x v="7"/>
    <n v="10"/>
    <x v="56"/>
    <x v="9"/>
    <x v="1"/>
    <x v="10"/>
    <s v="Comuna"/>
    <s v="Ubicación de espacios culturales por comuna"/>
    <s v="Año 2021"/>
    <s v="Lat-Long"/>
    <s v="Observatorio Cultural"/>
    <x v="967"/>
    <s v="Mapa de espacios culturales en la Región de Los Lagos a nivel regional y comunal, para el año 2021, indicando ubicación geográfica y descripción de cada espacio cultural."/>
    <s v="Mapa "/>
    <s v="Región de Los Lagos espacio cultural cultura infraestructura ubicación latitud longitud"/>
    <x v="967"/>
    <s v="100-C-10"/>
    <s v="#1774B9"/>
    <s v="990-0968"/>
    <n v="99200010"/>
    <e v="#N/A"/>
    <s v="C-1008"/>
    <s v="FI-991"/>
    <s v="M-1079"/>
  </r>
  <r>
    <x v="968"/>
    <n v="990"/>
    <x v="0"/>
    <x v="7"/>
    <n v="11"/>
    <x v="56"/>
    <x v="9"/>
    <x v="1"/>
    <x v="11"/>
    <s v="Comuna"/>
    <s v="Ubicación de espacios culturales por comuna"/>
    <s v="Año 2021"/>
    <s v="Lat-Long"/>
    <s v="Observatorio Cultural"/>
    <x v="968"/>
    <s v="Mapa de espacios culturales en la Región de Aysén a nivel regional y comunal, para el año 2021, indicando ubicación geográfica y descripción de cada espacio cultural."/>
    <s v="Mapa "/>
    <s v="Región de Aysén espacio cultural cultura infraestructura ubicación latitud longitud"/>
    <x v="968"/>
    <s v="100-C-11"/>
    <s v="#1774B9"/>
    <s v="990-0969"/>
    <n v="99200011"/>
    <e v="#N/A"/>
    <s v="C-1008"/>
    <s v="FI-991"/>
    <s v="M-1079"/>
  </r>
  <r>
    <x v="969"/>
    <n v="990"/>
    <x v="0"/>
    <x v="7"/>
    <n v="12"/>
    <x v="56"/>
    <x v="9"/>
    <x v="1"/>
    <x v="12"/>
    <s v="Comuna"/>
    <s v="Ubicación de espacios culturales por comuna"/>
    <s v="Año 2021"/>
    <s v="Lat-Long"/>
    <s v="Observatorio Cultural"/>
    <x v="969"/>
    <s v="Mapa de espacios culturales en la Región de Magallanes a nivel regional y comunal, para el año 2021, indicando ubicación geográfica y descripción de cada espacio cultural."/>
    <s v="Mapa "/>
    <s v="Región de Magallanes espacio cultural cultura infraestructura ubicación latitud longitud"/>
    <x v="969"/>
    <s v="100-C-12"/>
    <s v="#1774B9"/>
    <s v="990-0970"/>
    <n v="99200012"/>
    <e v="#N/A"/>
    <s v="C-1008"/>
    <s v="FI-991"/>
    <s v="M-1079"/>
  </r>
  <r>
    <x v="970"/>
    <n v="990"/>
    <x v="0"/>
    <x v="7"/>
    <n v="13"/>
    <x v="56"/>
    <x v="9"/>
    <x v="1"/>
    <x v="13"/>
    <s v="Comuna"/>
    <s v="Ubicación de espacios culturales por comuna"/>
    <s v="Año 2021"/>
    <s v="Lat-Long"/>
    <s v="Observatorio Cultural"/>
    <x v="970"/>
    <s v="Mapa de espacios culturales en la región Metropolitana a nivel regional y comunal, para el año 2021, indicando ubicación geográfica y descripción de cada espacio cultural."/>
    <s v="Mapa "/>
    <s v="Región Metropolitana espacio cultural cultura infraestructura ubicación latitud longitud"/>
    <x v="970"/>
    <s v="200-C-13"/>
    <s v="#1774B9"/>
    <s v="990-0971"/>
    <n v="99200013"/>
    <e v="#N/A"/>
    <s v="C-1008"/>
    <s v="FI-991"/>
    <s v="M-1079"/>
  </r>
  <r>
    <x v="971"/>
    <n v="990"/>
    <x v="0"/>
    <x v="7"/>
    <n v="14"/>
    <x v="56"/>
    <x v="9"/>
    <x v="1"/>
    <x v="14"/>
    <s v="Comuna"/>
    <s v="Ubicación de espacios culturales por comuna"/>
    <s v="Año 2021"/>
    <s v="Lat-Long"/>
    <s v="Observatorio Cultural"/>
    <x v="971"/>
    <s v="Mapa de espacios culturales en la Región de Los Ríos a nivel regional y comunal, para el año 2021, indicando ubicación geográfica y descripción de cada espacio cultural."/>
    <s v="Mapa "/>
    <s v="Región de Los Ríos espacio cultural cultura infraestructura ubicación latitud longitud"/>
    <x v="971"/>
    <s v="100-C-14"/>
    <s v="#1774B9"/>
    <s v="990-0972"/>
    <n v="99200014"/>
    <e v="#N/A"/>
    <s v="C-1008"/>
    <s v="FI-991"/>
    <s v="M-1079"/>
  </r>
  <r>
    <x v="972"/>
    <n v="990"/>
    <x v="0"/>
    <x v="7"/>
    <n v="15"/>
    <x v="56"/>
    <x v="9"/>
    <x v="1"/>
    <x v="15"/>
    <s v="Comuna"/>
    <s v="Ubicación de espacios culturales por comuna"/>
    <s v="Año 2021"/>
    <s v="Lat-Long"/>
    <s v="Observatorio Cultural"/>
    <x v="972"/>
    <s v="Mapa de espacios culturales en la Región de Arica y Parinacota a nivel regional y comunal, para el año 2021, indicando ubicación geográfica y descripción de cada espacio cultural."/>
    <s v="Mapa "/>
    <s v="Región de Arica y Parinacota espacio cultural cultura infraestructura ubicación latitud longitud"/>
    <x v="972"/>
    <s v="100-C-15"/>
    <s v="#1774B9"/>
    <s v="990-0973"/>
    <n v="99200015"/>
    <e v="#N/A"/>
    <s v="C-1008"/>
    <s v="FI-991"/>
    <s v="M-1079"/>
  </r>
  <r>
    <x v="973"/>
    <n v="990"/>
    <x v="0"/>
    <x v="7"/>
    <n v="16"/>
    <x v="56"/>
    <x v="9"/>
    <x v="1"/>
    <x v="16"/>
    <s v="Comuna"/>
    <s v="Ubicación de espacios culturales por comuna"/>
    <s v="Año 2021"/>
    <s v="Lat-Long"/>
    <s v="Observatorio Cultural"/>
    <x v="973"/>
    <s v="Mapa de espacios culturales en la Región de Ñuble a nivel regional y comunal, para el año 2021, indicando ubicación geográfica y descripción de cada espacio cultural."/>
    <s v="Mapa "/>
    <s v="Región de Ñuble espacio cultural cultura infraestructura ubicación latitud longitud"/>
    <x v="973"/>
    <s v="100-C-16"/>
    <s v="#1774B9"/>
    <s v="990-0974"/>
    <n v="99200016"/>
    <e v="#N/A"/>
    <s v="C-1008"/>
    <s v="FI-991"/>
    <s v="M-1079"/>
  </r>
  <r>
    <x v="974"/>
    <n v="990"/>
    <x v="0"/>
    <x v="2"/>
    <n v="0"/>
    <x v="24"/>
    <x v="14"/>
    <x v="0"/>
    <x v="0"/>
    <s v="Región"/>
    <s v="Casos de cáncer por rango etáreo por región"/>
    <s v="Periodo 2011-2018"/>
    <s v="Número de Casos"/>
    <s v="Departamento de Estadísticas e Información de la Salud (DEIS) - Ministerio de Salud"/>
    <x v="974"/>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x v="974"/>
    <s v="300-R"/>
    <s v="#1774B9"/>
    <s v="990-0975"/>
    <n v="99100000"/>
    <s v="T-999"/>
    <s v="C-1009"/>
    <s v="FI-992"/>
    <s v="M-1080"/>
  </r>
  <r>
    <x v="975"/>
    <n v="990"/>
    <x v="0"/>
    <x v="2"/>
    <n v="1"/>
    <x v="24"/>
    <x v="14"/>
    <x v="1"/>
    <x v="1"/>
    <s v="Ninguno"/>
    <s v="Casos de cáncer por rango etáreo por región"/>
    <s v="Periodo 2011-2018"/>
    <s v="Número de Casos"/>
    <s v="Departamento de Estadísticas e Información de la Salud (DEIS) - Ministerio de Salud"/>
    <x v="975"/>
    <s v="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
    <s v="Gráfico de Evolución"/>
    <s v="Región de Tarapacá cáncer cuello uterino cérvico útero salud PAP Papanicolaou casos control población edad rango etáreo"/>
    <x v="975"/>
    <s v="100-R-1"/>
    <s v="#1774B9"/>
    <s v="990-0976"/>
    <n v="99200001"/>
    <s v="T-999"/>
    <s v="C-1009"/>
    <s v="FI-993"/>
    <s v="M-1080"/>
  </r>
  <r>
    <x v="976"/>
    <n v="990"/>
    <x v="0"/>
    <x v="2"/>
    <n v="2"/>
    <x v="24"/>
    <x v="14"/>
    <x v="1"/>
    <x v="2"/>
    <s v="Ninguno"/>
    <s v="Casos de cáncer por rango etáreo por región"/>
    <s v="Periodo 2011-2018"/>
    <s v="Número de Casos"/>
    <s v="Departamento de Estadísticas e Información de la Salud (DEIS) - Ministerio de Salud"/>
    <x v="976"/>
    <s v="Gráfico que muestra la evolución de la población en control del Programa de Cáncer de Cuello Uterino por rango etario en la Región de Antofagasta para el periodo 2011-2018, según información entregada por el DEIS del Ministerio de Salud."/>
    <s v="Gráfico de Evolución"/>
    <s v="Región de Antofagasta cáncer cuello uterino cérvico útero salud PAP Papanicolaou casos control población edad rango etáreo"/>
    <x v="976"/>
    <s v="100-R-2"/>
    <s v="#1774B9"/>
    <s v="990-0977"/>
    <n v="99200002"/>
    <s v="T-999"/>
    <s v="C-1009"/>
    <s v="FI-993"/>
    <s v="M-1080"/>
  </r>
  <r>
    <x v="977"/>
    <n v="990"/>
    <x v="0"/>
    <x v="2"/>
    <n v="3"/>
    <x v="24"/>
    <x v="14"/>
    <x v="1"/>
    <x v="3"/>
    <s v="Ninguno"/>
    <s v="Casos de cáncer por rango etáreo por región"/>
    <s v="Periodo 2011-2018"/>
    <s v="Número de Casos"/>
    <s v="Departamento de Estadísticas e Información de la Salud (DEIS) - Ministerio de Salud"/>
    <x v="977"/>
    <s v="Gráfico que muestra la evolución de la población en control del Programa de Cáncer de Cuello Uterino por rango etario en la Región de Atacama para el periodo 2011-2018, según información entregada por el DEIS del Ministerio de Salud."/>
    <s v="Gráfico de Evolución"/>
    <s v="Región de Atacama cáncer cuello uterino cérvico útero salud PAP Papanicolaou casos control población edad rango etáreo"/>
    <x v="977"/>
    <s v="100-R-3"/>
    <s v="#1774B9"/>
    <s v="990-0978"/>
    <n v="99200003"/>
    <s v="T-999"/>
    <s v="C-1009"/>
    <s v="FI-993"/>
    <s v="M-1080"/>
  </r>
  <r>
    <x v="978"/>
    <n v="990"/>
    <x v="0"/>
    <x v="2"/>
    <n v="4"/>
    <x v="24"/>
    <x v="14"/>
    <x v="1"/>
    <x v="4"/>
    <s v="Ninguno"/>
    <s v="Casos de cáncer por rango etáreo por región"/>
    <s v="Periodo 2011-2018"/>
    <s v="Número de Casos"/>
    <s v="Departamento de Estadísticas e Información de la Salud (DEIS) - Ministerio de Salud"/>
    <x v="978"/>
    <s v="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
    <s v="Gráfico de Evolución"/>
    <s v="Región de Coquimbo cáncer cuello uterino cérvico útero salud PAP Papanicolaou casos control población edad rango etáreo"/>
    <x v="978"/>
    <s v="100-R-4"/>
    <s v="#1774B9"/>
    <s v="990-0979"/>
    <n v="99200004"/>
    <s v="T-999"/>
    <s v="C-1009"/>
    <s v="FI-993"/>
    <s v="M-1080"/>
  </r>
  <r>
    <x v="979"/>
    <n v="990"/>
    <x v="0"/>
    <x v="2"/>
    <n v="5"/>
    <x v="24"/>
    <x v="14"/>
    <x v="1"/>
    <x v="5"/>
    <s v="Ninguno"/>
    <s v="Casos de cáncer por rango etáreo por región"/>
    <s v="Periodo 2011-2018"/>
    <s v="Número de Casos"/>
    <s v="Departamento de Estadísticas e Información de la Salud (DEIS) - Ministerio de Salud"/>
    <x v="979"/>
    <s v="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
    <s v="Gráfico de Evolución"/>
    <s v="Región de Valparaíso cáncer cuello uterino cérvico útero salud PAP Papanicolaou casos control población edad rango etáreo"/>
    <x v="979"/>
    <s v="100-R-5"/>
    <s v="#1774B9"/>
    <s v="990-0980"/>
    <n v="99200005"/>
    <s v="T-999"/>
    <s v="C-1009"/>
    <s v="FI-993"/>
    <s v="M-1080"/>
  </r>
  <r>
    <x v="980"/>
    <n v="990"/>
    <x v="0"/>
    <x v="2"/>
    <n v="6"/>
    <x v="24"/>
    <x v="14"/>
    <x v="1"/>
    <x v="6"/>
    <s v="Ninguno"/>
    <s v="Casos de cáncer por rango etáreo por región"/>
    <s v="Periodo 2011-2018"/>
    <s v="Número de Casos"/>
    <s v="Departamento de Estadísticas e Información de la Salud (DEIS) - Ministerio de Salud"/>
    <x v="980"/>
    <s v="Considerando la evolución de la cantidad de casos acumulados de Cáncer de Cuello Uterino en la Región de O'Higgins, en el periodo 2011-2018, se observa que el año 2017 tiene la mayor cantidad de casos acumulados, siendo el rango de &quot;65 y más&quot; el que presenta mayor cantidad de casos. Por su parte, se aprecia una baja total en el año 2018"/>
    <s v="Gráfico de Evolución"/>
    <s v="Región de O'Higgins cáncer cuello uterino cérvico útero salud PAP Papanicolaou casos control población edad rango etáreo"/>
    <x v="980"/>
    <s v="100-R-6"/>
    <s v="#1774B9"/>
    <s v="990-0981"/>
    <n v="99200006"/>
    <s v="T-999"/>
    <s v="C-1009"/>
    <s v="FI-993"/>
    <s v="M-1080"/>
  </r>
  <r>
    <x v="981"/>
    <n v="990"/>
    <x v="0"/>
    <x v="2"/>
    <n v="7"/>
    <x v="24"/>
    <x v="14"/>
    <x v="1"/>
    <x v="7"/>
    <s v="Ninguno"/>
    <s v="Casos de cáncer por rango etáreo por región"/>
    <s v="Periodo 2011-2018"/>
    <s v="Número de Casos"/>
    <s v="Departamento de Estadísticas e Información de la Salud (DEIS) - Ministerio de Salud"/>
    <x v="981"/>
    <s v="Considerando la evolución de la cantidad de casos acumulados de Cáncer de Cuello Uterino en la Región de Maule, en el periodo 2011-2018, se observa que el año 2014 presenta la mayor cantidad de casos en el rango etario de &quot;65 y más&quot;, mientras que el año 2018 presenta solo un caso."/>
    <s v="Gráfico de Evolución"/>
    <s v="Región de Maule cáncer cuello uterino cérvico útero salud PAP Papanicolaou casos control población edad rango etáreo"/>
    <x v="981"/>
    <s v="100-R-7"/>
    <s v="#1774B9"/>
    <s v="990-0982"/>
    <n v="99200007"/>
    <s v="T-999"/>
    <s v="C-1009"/>
    <s v="FI-993"/>
    <s v="M-1080"/>
  </r>
  <r>
    <x v="982"/>
    <n v="990"/>
    <x v="0"/>
    <x v="2"/>
    <n v="8"/>
    <x v="24"/>
    <x v="14"/>
    <x v="1"/>
    <x v="8"/>
    <s v="Ninguno"/>
    <s v="Casos de cáncer por rango etáreo por región"/>
    <s v="Periodo 2011-2018"/>
    <s v="Número de Casos"/>
    <s v="Departamento de Estadísticas e Información de la Salud (DEIS) - Ministerio de Salud"/>
    <x v="982"/>
    <s v="Considerando la evolución de la cantidad de casos acumulados de Cáncer de Cuello Uterino en la Región de Biobío, en el periodo 2011-2018, se observa que el año 2015 tiene la mayor cantidad de casos acumulados, siendo el rango de &quot;35 a 39&quot; años el mayor."/>
    <s v="Gráfico de Evolución"/>
    <s v="Región del Biobío cáncer cuello uterino cérvico útero salud PAP Papanicolaou casos control población edad rango etáreo"/>
    <x v="982"/>
    <s v="100-R-8"/>
    <s v="#1774B9"/>
    <s v="990-0983"/>
    <n v="99200008"/>
    <s v="T-999"/>
    <s v="C-1009"/>
    <s v="FI-993"/>
    <s v="M-1080"/>
  </r>
  <r>
    <x v="983"/>
    <n v="990"/>
    <x v="0"/>
    <x v="2"/>
    <n v="9"/>
    <x v="24"/>
    <x v="14"/>
    <x v="1"/>
    <x v="9"/>
    <s v="Ninguno"/>
    <s v="Casos de cáncer por rango etáreo por región"/>
    <s v="Periodo 2011-2018"/>
    <s v="Número de Casos"/>
    <s v="Departamento de Estadísticas e Información de la Salud (DEIS) - Ministerio de Salud"/>
    <x v="983"/>
    <s v="Al observar la evolución de la cantidad de casos acumulados de Cáncer de Cuello Uterino en la Región de La Araucanía, en el periodo 2011-2018, se muestra que el año 2016 tiene la mayor cantidad de casos acumulados, siendo el rango de &quot;60-64&quot; años el con más casos."/>
    <s v="Gráfico de Evolución"/>
    <s v="Región de La Araucanía cáncer cuello uterino cérvico útero salud PAP Papanicolaou casos control población edad rango etáreo"/>
    <x v="983"/>
    <s v="100-R-9"/>
    <s v="#1774B9"/>
    <s v="990-0984"/>
    <n v="99200009"/>
    <s v="T-999"/>
    <s v="C-1009"/>
    <s v="FI-993"/>
    <s v="M-1080"/>
  </r>
  <r>
    <x v="984"/>
    <n v="990"/>
    <x v="0"/>
    <x v="2"/>
    <n v="10"/>
    <x v="24"/>
    <x v="14"/>
    <x v="1"/>
    <x v="10"/>
    <s v="Ninguno"/>
    <s v="Casos de cáncer por rango etáreo por región"/>
    <s v="Periodo 2011-2018"/>
    <s v="Número de Casos"/>
    <s v="Departamento de Estadísticas e Información de la Salud (DEIS) - Ministerio de Salud"/>
    <x v="984"/>
    <s v="Considerando la evolución de la cantidad de casos acumulados de Cáncer de Cuello Uterino en la Región de Los Lagos, en el periodo 2011-2018, se observa un aumento de casos en el año 2018, siendo el rango de &quot;55-59&quot; el que tiene la mayor cantidad con 6 casos."/>
    <s v="Gráfico de Evolución"/>
    <s v="Región de Los Lagos cáncer cuello uterino cérvico útero salud PAP Papanicolaou casos control población edad rango etáreo"/>
    <x v="984"/>
    <s v="100-R-10"/>
    <s v="#1774B9"/>
    <s v="990-0985"/>
    <n v="99200010"/>
    <s v="T-999"/>
    <s v="C-1009"/>
    <s v="FI-993"/>
    <s v="M-1080"/>
  </r>
  <r>
    <x v="985"/>
    <n v="990"/>
    <x v="0"/>
    <x v="2"/>
    <n v="11"/>
    <x v="24"/>
    <x v="14"/>
    <x v="1"/>
    <x v="11"/>
    <s v="Ninguno"/>
    <s v="Casos de cáncer por rango etáreo por región"/>
    <s v="Periodo 2011-2018"/>
    <s v="Número de Casos"/>
    <s v="Departamento de Estadísticas e Información de la Salud (DEIS) - Ministerio de Salud"/>
    <x v="985"/>
    <s v="Considerando la evolución de la cantidad de casos acumulados de Cáncer de Cuello Uterino en la Región de Aysén, en el periodo 2011-2018, se observa en el año 2018 solo 1 caso para dos rangos etarios, de &quot;35-39&quot; y &quot;40-44&quot; años."/>
    <s v="Gráfico de Evolución"/>
    <s v="Región de Aysén cáncer cuello uterino cérvico útero salud PAP Papanicolaou casos control población edad rango etáreo"/>
    <x v="985"/>
    <s v="100-R-11"/>
    <s v="#1774B9"/>
    <s v="990-0986"/>
    <n v="99200011"/>
    <s v="T-999"/>
    <s v="C-1009"/>
    <s v="FI-993"/>
    <s v="M-1080"/>
  </r>
  <r>
    <x v="986"/>
    <n v="990"/>
    <x v="0"/>
    <x v="2"/>
    <n v="12"/>
    <x v="24"/>
    <x v="14"/>
    <x v="1"/>
    <x v="12"/>
    <s v="Ninguno"/>
    <s v="Casos de cáncer por rango etáreo por región"/>
    <s v="Periodo 2011-2018"/>
    <s v="Número de Casos"/>
    <s v="Departamento de Estadísticas e Información de la Salud (DEIS) - Ministerio de Salud"/>
    <x v="986"/>
    <s v="Considerando la evolución de la cantidad de casos acumulados de Cáncer de Cuello Uterino en la Región de Magallanes, en el periodo 2011-2018, se informan en el año 2018 solo 1 caso para dos rangos etarios, de &quot;40-44&quot; y &quot;menor de 25&quot; años. "/>
    <s v="Gráfico de Evolución"/>
    <s v="Región de Magallanes cáncer cuello uterino cérvico útero salud PAP Papanicolaou casos control población edad rango etáreo"/>
    <x v="986"/>
    <s v="100-R-12"/>
    <s v="#1774B9"/>
    <s v="990-0987"/>
    <n v="99200012"/>
    <s v="T-999"/>
    <s v="C-1009"/>
    <s v="FI-993"/>
    <s v="M-1080"/>
  </r>
  <r>
    <x v="987"/>
    <n v="990"/>
    <x v="0"/>
    <x v="2"/>
    <n v="13"/>
    <x v="24"/>
    <x v="14"/>
    <x v="1"/>
    <x v="13"/>
    <s v="Ninguno"/>
    <s v="Casos de cáncer por rango etáreo por región"/>
    <s v="Periodo 2011-2018"/>
    <s v="Número de Casos"/>
    <s v="Departamento de Estadísticas e Información de la Salud (DEIS) - Ministerio de Salud"/>
    <x v="987"/>
    <s v="Considerando la evolución de la cantidad de casos acumulados de Cáncer de Cuello Uterino en la Región Metropolitana, en el periodo 2011-2018, se observa que en el año 2018 el rango etario con mayor cantidad de casos es de &quot;30-34&quot; años."/>
    <s v="Gráfico de Evolución"/>
    <s v="Región Metropolitana cáncer cuello uterino cérvico útero salud PAP Papanicolaou casos control población edad rango etáreo"/>
    <x v="987"/>
    <s v="200-R-13"/>
    <s v="#1774B9"/>
    <s v="990-0988"/>
    <n v="99200013"/>
    <s v="T-999"/>
    <s v="C-1009"/>
    <s v="FI-993"/>
    <s v="M-1080"/>
  </r>
  <r>
    <x v="988"/>
    <n v="990"/>
    <x v="0"/>
    <x v="2"/>
    <n v="14"/>
    <x v="24"/>
    <x v="14"/>
    <x v="1"/>
    <x v="14"/>
    <s v="Ninguno"/>
    <s v="Casos de cáncer por rango etáreo por región"/>
    <s v="Periodo 2011-2018"/>
    <s v="Número de Casos"/>
    <s v="Departamento de Estadísticas e Información de la Salud (DEIS) - Ministerio de Salud"/>
    <x v="988"/>
    <s v="Considerando la evolución de la cantidad de casos acumulados de Cáncer de Cuello Uterino en la Región de Los Ríos, en el periodo 2011-2018, se observa en el año 2016 la mayor cantidad de casos en el rango etario &quot;65 y más&quot;, llegando a 4 casos."/>
    <s v="Gráfico de Evolución"/>
    <s v="Región de Los Ríos cáncer cuello uterino cérvico útero salud PAP Papanicolaou casos control población edad rango etáreo"/>
    <x v="988"/>
    <s v="100-R-14"/>
    <s v="#1774B9"/>
    <s v="990-0989"/>
    <n v="99200014"/>
    <s v="T-999"/>
    <s v="C-1009"/>
    <s v="FI-993"/>
    <s v="M-1080"/>
  </r>
  <r>
    <x v="989"/>
    <n v="990"/>
    <x v="0"/>
    <x v="2"/>
    <n v="15"/>
    <x v="24"/>
    <x v="14"/>
    <x v="1"/>
    <x v="15"/>
    <s v="Ninguno"/>
    <s v="Casos de cáncer por rango etáreo por región"/>
    <s v="Periodo 2011-2018"/>
    <s v="Número de Casos"/>
    <s v="Departamento de Estadísticas e Información de la Salud (DEIS) - Ministerio de Salud"/>
    <x v="989"/>
    <s v="Considerando la evolución de la población en Control del Programa de Cáncer de Cuello Uterino por Rango Etario en la Región de Arica y Parinacota, en el periodo 2011-2018, se observa que el año 2015 tiene la mayor cantidad de casos acumulados siendo el rango de &quot;30-34&quot; años el que presentan mayor cantidad."/>
    <s v="Gráfico de Evolución"/>
    <s v="Región de Arica y Parinacota cáncer cuello uterino cérvico útero salud PAP Papanicolaou casos control población edad rango etáreo"/>
    <x v="989"/>
    <s v="100-R-15"/>
    <s v="#1774B9"/>
    <s v="990-0990"/>
    <n v="99200015"/>
    <s v="T-999"/>
    <s v="C-1009"/>
    <s v="FI-993"/>
    <s v="M-1080"/>
  </r>
  <r>
    <x v="990"/>
    <n v="990"/>
    <x v="0"/>
    <x v="2"/>
    <n v="16"/>
    <x v="24"/>
    <x v="14"/>
    <x v="1"/>
    <x v="16"/>
    <s v="Ninguno"/>
    <s v="Casos de cáncer por rango etáreo por región"/>
    <s v="Periodo 2011-2018"/>
    <s v="Número de Casos"/>
    <s v="Departamento de Estadísticas e Información de la Salud (DEIS) - Ministerio de Salud"/>
    <x v="990"/>
    <s v="Considerando la evolución de la población en Control del Programa de Cáncer de Cuello Uterino por Rango Etario en la Región de Ñuble, en el periodo 2011-2018, se observa un aumento de los casos en el año 2018, siendo el rango etario de &quot;25-29&quot; años el que presenta más casos."/>
    <s v="Gráfico de Evolución"/>
    <s v="Región de Ñuble cáncer cuello uterino cérvico útero salud PAP Papanicolaou casos control población edad rango etáreo"/>
    <x v="990"/>
    <s v="100-R-16"/>
    <s v="#1774B9"/>
    <s v="990-0991"/>
    <n v="99200016"/>
    <s v="T-999"/>
    <s v="C-1009"/>
    <s v="FI-993"/>
    <s v="M-1080"/>
  </r>
  <r>
    <x v="991"/>
    <n v="990"/>
    <x v="0"/>
    <x v="2"/>
    <n v="0"/>
    <x v="24"/>
    <x v="14"/>
    <x v="0"/>
    <x v="0"/>
    <s v="Ninguno"/>
    <s v="Casos de cáncer por región"/>
    <s v="Periodo 2011-2018"/>
    <s v="Número de Casos"/>
    <s v="Departamento de Estadísticas e Información de la Salud (DEIS) - Ministerio de Salud"/>
    <x v="991"/>
    <s v="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
    <s v="Gráfico de Evolución"/>
    <s v="Chile cáncer cuello uterino cérvico útero salud PAP papanicolaou casos control población"/>
    <x v="991"/>
    <s v="300-R"/>
    <s v="#1774B9"/>
    <s v="990-0992"/>
    <n v="99100000"/>
    <s v="T-999"/>
    <s v="C-1009"/>
    <s v="FI-993"/>
    <s v="M-1081"/>
  </r>
  <r>
    <x v="992"/>
    <n v="990"/>
    <x v="0"/>
    <x v="2"/>
    <n v="1"/>
    <x v="24"/>
    <x v="14"/>
    <x v="1"/>
    <x v="1"/>
    <s v="Ninguno"/>
    <s v="Casos de cáncer por región"/>
    <s v="Periodo 2011-2018"/>
    <s v="Número de Casos"/>
    <s v="Departamento de Estadísticas e Información de la Salud (DEIS) - Ministerio de Salud"/>
    <x v="992"/>
    <s v="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
    <s v="Gráfico de Evolución"/>
    <s v="Región de Tarapacá cáncer cuello uterino cérvico útero salud PAP papanicolaou casos control población"/>
    <x v="992"/>
    <s v="100-R-1"/>
    <s v="#1774B9"/>
    <s v="990-0993"/>
    <n v="99200001"/>
    <s v="T-999"/>
    <s v="C-1009"/>
    <s v="FI-993"/>
    <s v="M-1081"/>
  </r>
  <r>
    <x v="993"/>
    <n v="990"/>
    <x v="0"/>
    <x v="2"/>
    <n v="2"/>
    <x v="24"/>
    <x v="14"/>
    <x v="1"/>
    <x v="2"/>
    <s v="Ninguno"/>
    <s v="Casos de cáncer por región"/>
    <s v="Periodo 2011-2018"/>
    <s v="Número de Casos"/>
    <s v="Departamento de Estadísticas e Información de la Salud (DEIS) - Ministerio de Salud"/>
    <x v="993"/>
    <s v="Al observar la evolución de los casos de la población en control del Programa de Cáncer de Cuello Uterino en la Región de Antofagasta, en el periodo 2011-2018, destaca que el año 2015 presenta la menor cantidad de registros, con solo un caso."/>
    <s v="Gráfico de Evolución"/>
    <s v="Región de Antofagasta cáncer cuello uterino cérvico útero salud PAP papanicolaou casos control población"/>
    <x v="993"/>
    <s v="100-R-2"/>
    <s v="#1774B9"/>
    <s v="990-0994"/>
    <n v="99200002"/>
    <s v="T-999"/>
    <s v="C-1009"/>
    <s v="FI-993"/>
    <s v="M-1081"/>
  </r>
  <r>
    <x v="994"/>
    <n v="990"/>
    <x v="0"/>
    <x v="2"/>
    <n v="3"/>
    <x v="24"/>
    <x v="14"/>
    <x v="1"/>
    <x v="3"/>
    <s v="Ninguno"/>
    <s v="Casos de cáncer por región"/>
    <s v="Periodo 2011-2018"/>
    <s v="Número de Casos"/>
    <s v="Departamento de Estadísticas e Información de la Salud (DEIS) - Ministerio de Salud"/>
    <x v="994"/>
    <s v="Al observar la evolución de los casos de la población en control del Programa de Cáncer de Cuello Uterino en la Región de Atacama, en el periodo 2011-2018, muestra que el año 2018 presenta cero casos para la región."/>
    <s v="Gráfico de Evolución"/>
    <s v="Región de Atacama cáncer cuello uterino cérvico útero salud PAP papanicolaou casos control población"/>
    <x v="994"/>
    <s v="100-R-3"/>
    <s v="#1774B9"/>
    <s v="990-0995"/>
    <n v="99200003"/>
    <s v="T-999"/>
    <s v="C-1009"/>
    <s v="FI-993"/>
    <s v="M-1081"/>
  </r>
  <r>
    <x v="995"/>
    <n v="990"/>
    <x v="0"/>
    <x v="2"/>
    <n v="4"/>
    <x v="24"/>
    <x v="14"/>
    <x v="1"/>
    <x v="4"/>
    <s v="Ninguno"/>
    <s v="Casos de cáncer por región"/>
    <s v="Periodo 2011-2018"/>
    <s v="Número de Casos"/>
    <s v="Departamento de Estadísticas e Información de la Salud (DEIS) - Ministerio de Salud"/>
    <x v="995"/>
    <s v="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
    <s v="Gráfico de Evolución"/>
    <s v="Región de Coquimbo cáncer cuello uterino cérvico útero salud PAP papanicolaou casos control población"/>
    <x v="995"/>
    <s v="100-R-4"/>
    <s v="#1774B9"/>
    <s v="990-0996"/>
    <n v="99200004"/>
    <s v="T-999"/>
    <s v="C-1009"/>
    <s v="FI-993"/>
    <s v="M-1081"/>
  </r>
  <r>
    <x v="996"/>
    <n v="990"/>
    <x v="0"/>
    <x v="2"/>
    <n v="5"/>
    <x v="24"/>
    <x v="14"/>
    <x v="1"/>
    <x v="5"/>
    <s v="Ninguno"/>
    <s v="Casos de cáncer por región"/>
    <s v="Periodo 2011-2018"/>
    <s v="Número de Casos"/>
    <s v="Departamento de Estadísticas e Información de la Salud (DEIS) - Ministerio de Salud"/>
    <x v="996"/>
    <s v="Considerando la evolución de la población en control del Programa de Cáncer de Cuello Uterino en la región de Valparaíso, en el periodo 2011-2018, se observa que el año 2016 presenta la mayor cantidad con 51 casos, mientras que el año 2018 se observan 45 casos."/>
    <s v="Gráfico de Evolución"/>
    <s v="Región de Valparaíso cáncer cuello uterino cérvico útero salud PAP papanicolaou casos control población"/>
    <x v="996"/>
    <s v="100-R-5"/>
    <s v="#1774B9"/>
    <s v="990-0997"/>
    <n v="99200005"/>
    <s v="T-999"/>
    <s v="C-1009"/>
    <s v="FI-993"/>
    <s v="M-1081"/>
  </r>
  <r>
    <x v="997"/>
    <n v="990"/>
    <x v="0"/>
    <x v="2"/>
    <n v="6"/>
    <x v="24"/>
    <x v="14"/>
    <x v="1"/>
    <x v="6"/>
    <s v="Ninguno"/>
    <s v="Casos de cáncer por región"/>
    <s v="Periodo 2011-2018"/>
    <s v="Número de Casos"/>
    <s v="Departamento de Estadísticas e Información de la Salud (DEIS) - Ministerio de Salud"/>
    <x v="997"/>
    <s v="Al observar la evolución de los casos de la población en control del Programa de Cáncer de Cuello Uterino en la Región de O'Higgins, en el periodo 2011-2018, destaca que el año 2018 muestra una baja en los números llegando a un solo caso."/>
    <s v="Gráfico de Evolución"/>
    <s v="Región de O'Higgins cáncer cuello uterino cérvico útero salud PAP papanicolaou casos control población"/>
    <x v="997"/>
    <s v="100-R-6"/>
    <s v="#1774B9"/>
    <s v="990-0998"/>
    <n v="99200006"/>
    <s v="T-999"/>
    <s v="C-1009"/>
    <s v="FI-993"/>
    <s v="M-1081"/>
  </r>
  <r>
    <x v="998"/>
    <n v="990"/>
    <x v="0"/>
    <x v="2"/>
    <n v="7"/>
    <x v="24"/>
    <x v="14"/>
    <x v="1"/>
    <x v="7"/>
    <s v="Ninguno"/>
    <s v="Casos de cáncer por región"/>
    <s v="Periodo 2011-2018"/>
    <s v="Número de Casos"/>
    <s v="Departamento de Estadísticas e Información de la Salud (DEIS) - Ministerio de Salud"/>
    <x v="998"/>
    <s v="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
    <s v="Gráfico de Evolución"/>
    <s v="Región de Maule cáncer cuello uterino cérvico útero salud PAP papanicolaou casos control población"/>
    <x v="998"/>
    <s v="100-R-7"/>
    <s v="#1774B9"/>
    <s v="990-0999"/>
    <n v="99200007"/>
    <s v="T-999"/>
    <s v="C-1009"/>
    <s v="FI-993"/>
    <s v="M-1081"/>
  </r>
  <r>
    <x v="999"/>
    <n v="990"/>
    <x v="0"/>
    <x v="2"/>
    <n v="8"/>
    <x v="24"/>
    <x v="14"/>
    <x v="1"/>
    <x v="8"/>
    <s v="Ninguno"/>
    <s v="Casos de cáncer por región"/>
    <s v="Periodo 2011-2018"/>
    <s v="Número de Casos"/>
    <s v="Departamento de Estadísticas e Información de la Salud (DEIS) - Ministerio de Salud"/>
    <x v="999"/>
    <s v="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
    <s v="Gráfico de Evolución"/>
    <s v="Región del Biobío cáncer cuello uterino cérvico útero salud PAP papanicolaou casos control población"/>
    <x v="999"/>
    <s v="100-R-8"/>
    <s v="#1774B9"/>
    <s v="990-1000"/>
    <n v="99200008"/>
    <s v="T-999"/>
    <s v="C-1009"/>
    <s v="FI-993"/>
    <s v="M-1081"/>
  </r>
  <r>
    <x v="1000"/>
    <n v="990"/>
    <x v="0"/>
    <x v="2"/>
    <n v="9"/>
    <x v="24"/>
    <x v="14"/>
    <x v="1"/>
    <x v="9"/>
    <s v="Ninguno"/>
    <s v="Casos de cáncer por región"/>
    <s v="Periodo 2011-2018"/>
    <s v="Número de Casos"/>
    <s v="Departamento de Estadísticas e Información de la Salud (DEIS) - Ministerio de Salud"/>
    <x v="1000"/>
    <s v="Al observar la evolución de los casos de la población en control del Programa de Cáncer de Cuello Uterino en la Región de La Araucanía, en el periodo 2011-2018, destaca que se presenta un aumento de casos desde el año 2011 en adelante, presentándose 32 casos el año 2018."/>
    <s v="Gráfico de Evolución"/>
    <s v="Región de La Araucanía cáncer cuello uterino cérvico útero salud PAP papanicolaou casos control población"/>
    <x v="1000"/>
    <s v="100-R-9"/>
    <s v="#1774B9"/>
    <s v="990-1001"/>
    <n v="99200009"/>
    <s v="T-999"/>
    <s v="C-1009"/>
    <s v="FI-993"/>
    <s v="M-1081"/>
  </r>
  <r>
    <x v="1001"/>
    <n v="990"/>
    <x v="0"/>
    <x v="2"/>
    <n v="10"/>
    <x v="24"/>
    <x v="14"/>
    <x v="1"/>
    <x v="10"/>
    <s v="Ninguno"/>
    <s v="Casos de cáncer por región"/>
    <s v="Periodo 2011-2018"/>
    <s v="Número de Casos"/>
    <s v="Departamento de Estadísticas e Información de la Salud (DEIS) - Ministerio de Salud"/>
    <x v="1001"/>
    <s v="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
    <s v="Gráfico de Evolución"/>
    <s v="Región de Los Lagos cáncer cuello uterino cérvico útero salud PAP papanicolaou casos control población"/>
    <x v="1001"/>
    <s v="100-R-10"/>
    <s v="#1774B9"/>
    <s v="990-1002"/>
    <n v="99200010"/>
    <s v="T-999"/>
    <s v="C-1009"/>
    <s v="FI-993"/>
    <s v="M-1081"/>
  </r>
  <r>
    <x v="1002"/>
    <n v="990"/>
    <x v="0"/>
    <x v="2"/>
    <n v="11"/>
    <x v="24"/>
    <x v="14"/>
    <x v="1"/>
    <x v="11"/>
    <s v="Ninguno"/>
    <s v="Casos de cáncer por región"/>
    <s v="Periodo 2011-2018"/>
    <s v="Número de Casos"/>
    <s v="Departamento de Estadísticas e Información de la Salud (DEIS) - Ministerio de Salud"/>
    <x v="1002"/>
    <s v="Gráfico que muestra la evolución de los casos de la población en control del Programa de Cáncer de Cuello Uterino en la Región de Aysén, en el periodo 2011-2018, según información reportada por el DEIS de Ministerio de Salud."/>
    <s v="Gráfico de Evolución"/>
    <s v="Región de Aysén cáncer cuello uterino cérvico útero salud PAP papanicolaou casos control población"/>
    <x v="1002"/>
    <s v="100-R-11"/>
    <s v="#1774B9"/>
    <s v="990-1003"/>
    <n v="99200011"/>
    <s v="T-999"/>
    <s v="C-1009"/>
    <s v="FI-993"/>
    <s v="M-1081"/>
  </r>
  <r>
    <x v="1003"/>
    <n v="990"/>
    <x v="0"/>
    <x v="2"/>
    <n v="12"/>
    <x v="24"/>
    <x v="14"/>
    <x v="1"/>
    <x v="12"/>
    <s v="Ninguno"/>
    <s v="Casos de cáncer por región"/>
    <s v="Periodo 2011-2018"/>
    <s v="Número de Casos"/>
    <s v="Departamento de Estadísticas e Información de la Salud (DEIS) - Ministerio de Salud"/>
    <x v="1003"/>
    <s v="Al observar la evolución de los casos de la población en control del Programa de Cáncer de Cuello Uterino en la Región de Magallanes, en el periodo 2011-2018, destaca el año 2011, que presenta la mayor cantidad con 4 casos. En el año 2018 se informan 2 casos."/>
    <s v="Gráfico de Evolución"/>
    <s v="Región de Magallanes cáncer cuello uterino cérvico útero salud PAP papanicolaou casos control población"/>
    <x v="1003"/>
    <s v="100-R-12"/>
    <s v="#1774B9"/>
    <s v="990-1004"/>
    <n v="99200012"/>
    <s v="T-999"/>
    <s v="C-1009"/>
    <s v="FI-993"/>
    <s v="M-1081"/>
  </r>
  <r>
    <x v="1004"/>
    <n v="990"/>
    <x v="0"/>
    <x v="2"/>
    <n v="13"/>
    <x v="24"/>
    <x v="14"/>
    <x v="1"/>
    <x v="13"/>
    <s v="Ninguno"/>
    <s v="Casos de cáncer por región"/>
    <s v="Periodo 2011-2018"/>
    <s v="Número de Casos"/>
    <s v="Departamento de Estadísticas e Información de la Salud (DEIS) - Ministerio de Salud"/>
    <x v="1004"/>
    <s v="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
    <s v="Gráfico de Evolución"/>
    <s v="Región Metropolitana cáncer cuello uterino cérvico útero salud PAP papanicolaou casos control población"/>
    <x v="1004"/>
    <s v="200-R-13"/>
    <s v="#1774B9"/>
    <s v="990-1005"/>
    <n v="99200013"/>
    <s v="T-999"/>
    <s v="C-1009"/>
    <s v="FI-993"/>
    <s v="M-1081"/>
  </r>
  <r>
    <x v="1005"/>
    <n v="990"/>
    <x v="0"/>
    <x v="2"/>
    <n v="14"/>
    <x v="24"/>
    <x v="14"/>
    <x v="1"/>
    <x v="14"/>
    <s v="Ninguno"/>
    <s v="Casos de cáncer por región"/>
    <s v="Periodo 2011-2018"/>
    <s v="Número de Casos"/>
    <s v="Departamento de Estadísticas e Información de la Salud (DEIS) - Ministerio de Salud"/>
    <x v="1005"/>
    <s v="Considerando la evolución de la población en control del Programa de Cáncer de Cuello Uterino en la región de Los Ríos, en el periodo 2011-2018, se observa que en el año 2016 se reporta la mayor cantidad con 9 casos, mientras que el año 2018 presenta 8 casos. "/>
    <s v="Gráfico de Evolución"/>
    <s v="Región de Los Ríos cáncer cuello uterino cérvico útero salud PAP papanicolaou casos control población"/>
    <x v="1005"/>
    <s v="100-R-14"/>
    <s v="#1774B9"/>
    <s v="990-1006"/>
    <n v="99200014"/>
    <s v="T-999"/>
    <s v="C-1009"/>
    <s v="FI-993"/>
    <s v="M-1081"/>
  </r>
  <r>
    <x v="1006"/>
    <n v="990"/>
    <x v="0"/>
    <x v="2"/>
    <n v="15"/>
    <x v="24"/>
    <x v="14"/>
    <x v="1"/>
    <x v="15"/>
    <s v="Ninguno"/>
    <s v="Casos de cáncer por región"/>
    <s v="Periodo 2011-2018"/>
    <s v="Número de Casos"/>
    <s v="Departamento de Estadísticas e Información de la Salud (DEIS) - Ministerio de Salud"/>
    <x v="1006"/>
    <s v="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
    <s v="Gráfico de Evolución"/>
    <s v="Región de Arica y Parinacota cáncer cuello uterino cérvico útero salud PAP papanicolaou casos control población"/>
    <x v="1006"/>
    <s v="100-R-15"/>
    <s v="#1774B9"/>
    <s v="990-1007"/>
    <n v="99200015"/>
    <s v="T-999"/>
    <s v="C-1009"/>
    <s v="FI-993"/>
    <s v="M-1081"/>
  </r>
  <r>
    <x v="1007"/>
    <n v="990"/>
    <x v="0"/>
    <x v="2"/>
    <n v="16"/>
    <x v="24"/>
    <x v="14"/>
    <x v="1"/>
    <x v="16"/>
    <s v="Ninguno"/>
    <s v="Casos de cáncer por región"/>
    <s v="Periodo 2011-2018"/>
    <s v="Número de Casos"/>
    <s v="Departamento de Estadísticas e Información de la Salud (DEIS) - Ministerio de Salud"/>
    <x v="1007"/>
    <s v="Al observar la evolución de los casos de la población en control del Programa de Cáncer de Cuello Uterino en la Región de Ñuble, en el periodo 2011-2018, destaca un alza en la cantidad de casos, siendo el año 2018 el que presenta mayor cantidad con 9 casos."/>
    <s v="Gráfico de Evolución"/>
    <s v="Región de Ñuble cáncer cuello uterino cérvico útero salud PAP papanicolaou casos control población"/>
    <x v="1007"/>
    <s v="100-R-16"/>
    <s v="#1774B9"/>
    <s v="990-1008"/>
    <n v="99200016"/>
    <s v="T-999"/>
    <s v="C-1009"/>
    <s v="FI-993"/>
    <s v="M-1081"/>
  </r>
  <r>
    <x v="1008"/>
    <n v="990"/>
    <x v="0"/>
    <x v="4"/>
    <n v="0"/>
    <x v="25"/>
    <x v="15"/>
    <x v="0"/>
    <x v="0"/>
    <s v="Ninguno"/>
    <s v="Población en control en Chile"/>
    <s v="Periodo 2012-2018"/>
    <s v="Número de Casos"/>
    <s v="Departamento de Estadísticas e Información de la Salud (DEIS) - Ministerio de Salud"/>
    <x v="1008"/>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x v="1008"/>
    <n v="0"/>
    <s v="#1774B9"/>
    <s v="990-1009"/>
    <n v="99100000"/>
    <s v="T-1000"/>
    <s v="C-1010"/>
    <s v="FI-993"/>
    <s v="M-1082"/>
  </r>
  <r>
    <x v="1009"/>
    <n v="990"/>
    <x v="0"/>
    <x v="4"/>
    <n v="1"/>
    <x v="25"/>
    <x v="15"/>
    <x v="1"/>
    <x v="1"/>
    <s v="Ninguno"/>
    <s v="Casos de cáncer por región"/>
    <s v="Periodo 2012-2018"/>
    <s v="Número de Casos"/>
    <s v="Departamento de Estadísticas e Información de la Salud (DEIS) - Ministerio de Salud"/>
    <x v="1009"/>
    <s v="En la región de Tarapacá, el año 2013 registra la mayor cantidad de casos de Cáncer de Cuello Uterino, con 24 casos. Por otro lado, el menor número de casos se registra el año 2015 con tan sólo 1 caso. "/>
    <s v="Gráfico de Evolución"/>
    <s v="Región de Tarapacá cáncer cuello uterino cérvico útero salud PAP papanicolaou casos control población"/>
    <x v="992"/>
    <s v="100-R-1"/>
    <s v="#1774B9"/>
    <s v="990-1010"/>
    <n v="99200001"/>
    <s v="T-1000"/>
    <s v="C-1010"/>
    <s v="FI-993"/>
    <s v="M-1081"/>
  </r>
  <r>
    <x v="1010"/>
    <n v="990"/>
    <x v="0"/>
    <x v="4"/>
    <n v="2"/>
    <x v="25"/>
    <x v="15"/>
    <x v="1"/>
    <x v="2"/>
    <s v="Ninguno"/>
    <s v="Casos de cáncer por región"/>
    <s v="Periodo 2012-2018"/>
    <s v="Número de Casos"/>
    <s v="Departamento de Estadísticas e Información de la Salud (DEIS) - Ministerio de Salud"/>
    <x v="1010"/>
    <s v="En la región de Antofagasta, el año 2014 registra la mayor cantidad de casos de Cáncer de Cuello Uterino, con 8 casos. Por otro lado, el menor número de casos se registra el año 2015 con tan sólo 1 caso. "/>
    <s v="Gráfico de Evolución"/>
    <s v="Región de Antofagasta cáncer cuello uterino cérvico útero salud PAP papanicolaou casos control población"/>
    <x v="993"/>
    <s v="100-R-2"/>
    <s v="#1774B9"/>
    <s v="990-1011"/>
    <n v="99200002"/>
    <s v="T-1000"/>
    <s v="C-1010"/>
    <s v="FI-993"/>
    <s v="M-1081"/>
  </r>
  <r>
    <x v="1011"/>
    <n v="990"/>
    <x v="0"/>
    <x v="4"/>
    <n v="3"/>
    <x v="25"/>
    <x v="15"/>
    <x v="1"/>
    <x v="3"/>
    <s v="Ninguno"/>
    <s v="Casos de cáncer por región"/>
    <s v="Periodo 2012-2018"/>
    <s v="Número de Casos"/>
    <s v="Departamento de Estadísticas e Información de la Salud (DEIS) - Ministerio de Salud"/>
    <x v="1011"/>
    <s v="En la región de Atacama, los años 2012, 2014, 2016 y 2017 registran la mayor cantidad de casos de Cáncer de Cuello Uterino, con 2 casos cada año. Por otro lado, el menor número de casos se registran en los años 2013 y 2015 con 0 (cero) casos. "/>
    <s v="Gráfico de Evolución"/>
    <s v="Región de Atacama cáncer cuello uterino cérvico útero salud PAP papanicolaou casos control población"/>
    <x v="994"/>
    <s v="100-R-3"/>
    <s v="#1774B9"/>
    <s v="990-1012"/>
    <n v="99200003"/>
    <s v="T-1000"/>
    <s v="C-1010"/>
    <s v="FI-993"/>
    <s v="M-1081"/>
  </r>
  <r>
    <x v="1012"/>
    <n v="990"/>
    <x v="0"/>
    <x v="4"/>
    <n v="4"/>
    <x v="25"/>
    <x v="15"/>
    <x v="1"/>
    <x v="4"/>
    <s v="Ninguno"/>
    <s v="Casos de cáncer por región"/>
    <s v="Periodo 2012-2018"/>
    <s v="Número de Casos"/>
    <s v="Departamento de Estadísticas e Información de la Salud (DEIS) - Ministerio de Salud"/>
    <x v="1012"/>
    <s v="En la región de Coquimbo, el año 2012 registra la mayor cantidad de casos de Cáncer de Cuello Uterino, con 72 casos. Por otro lado, el menor número de casos se registra el año 2015 con 11 casos. "/>
    <s v="Gráfico de Evolución"/>
    <s v="Región de Coquimbo cáncer cuello uterino cérvico útero salud PAP papanicolaou casos control población"/>
    <x v="995"/>
    <s v="100-R-4"/>
    <s v="#1774B9"/>
    <s v="990-1013"/>
    <n v="99200004"/>
    <s v="T-1000"/>
    <s v="C-1010"/>
    <s v="FI-993"/>
    <s v="M-1081"/>
  </r>
  <r>
    <x v="1013"/>
    <n v="990"/>
    <x v="0"/>
    <x v="4"/>
    <n v="5"/>
    <x v="25"/>
    <x v="15"/>
    <x v="1"/>
    <x v="5"/>
    <s v="Ninguno"/>
    <s v="Casos de cáncer por región"/>
    <s v="Periodo 2012-2018"/>
    <s v="Número de Casos"/>
    <s v="Departamento de Estadísticas e Información de la Salud (DEIS) - Ministerio de Salud"/>
    <x v="1013"/>
    <s v="En la región de Valparaíso, el año 2016 registra la mayor cantidad de casos de Cáncer de Cuello Uterino, con 51 casos. Por otro lado, el menor número de casos se registra el año 2012 con 15 casos. "/>
    <s v="Gráfico de Evolución"/>
    <s v="Región de Valparaíso cáncer cuello uterino cérvico útero salud PAP papanicolaou casos control población"/>
    <x v="996"/>
    <s v="100-R-5"/>
    <s v="#1774B9"/>
    <s v="990-1014"/>
    <n v="99200005"/>
    <s v="T-1000"/>
    <s v="C-1010"/>
    <s v="FI-993"/>
    <s v="M-1081"/>
  </r>
  <r>
    <x v="1014"/>
    <n v="990"/>
    <x v="0"/>
    <x v="4"/>
    <n v="6"/>
    <x v="25"/>
    <x v="15"/>
    <x v="1"/>
    <x v="6"/>
    <s v="Ninguno"/>
    <s v="Casos de cáncer por región"/>
    <s v="Periodo 2012-2018"/>
    <s v="Número de Casos"/>
    <s v="Departamento de Estadísticas e Información de la Salud (DEIS) - Ministerio de Salud"/>
    <x v="1014"/>
    <s v="En la región de O'Higgins, el año 2012 registra la mayor cantidad de casos de Cáncer de Cuello Uterino, con 34 casos. Por otro lado, el menor número de casos se registra el año 2018 con tan sólo 1 caso. "/>
    <s v="Gráfico de Evolución"/>
    <s v="Región de O'Higgins cáncer cuello uterino cérvico útero salud PAP papanicolaou casos control población"/>
    <x v="997"/>
    <s v="100-R-6"/>
    <s v="#1774B9"/>
    <s v="990-1015"/>
    <n v="99200006"/>
    <s v="T-1000"/>
    <s v="C-1010"/>
    <s v="FI-993"/>
    <s v="M-1081"/>
  </r>
  <r>
    <x v="1015"/>
    <n v="990"/>
    <x v="0"/>
    <x v="4"/>
    <n v="7"/>
    <x v="25"/>
    <x v="15"/>
    <x v="1"/>
    <x v="7"/>
    <s v="Ninguno"/>
    <s v="Casos de cáncer por región"/>
    <s v="Periodo 2012-2018"/>
    <s v="Número de Casos"/>
    <s v="Departamento de Estadísticas e Información de la Salud (DEIS) - Ministerio de Salud"/>
    <x v="1015"/>
    <s v="En la región del Maule, el año 2012 registra la mayor cantidad de casos de Cáncer de Cuello Uterino, con 10 casos. Por otro lado, el menor número de casos se registran en los años 2016, 2017 y 2018 con tan sólo 1 caso cada año. "/>
    <s v="Gráfico de Evolución"/>
    <s v="Región de Maule cáncer cuello uterino cérvico útero salud PAP papanicolaou casos control población"/>
    <x v="998"/>
    <s v="100-R-7"/>
    <s v="#1774B9"/>
    <s v="990-1016"/>
    <n v="99200007"/>
    <s v="T-1000"/>
    <s v="C-1010"/>
    <s v="FI-993"/>
    <s v="M-1081"/>
  </r>
  <r>
    <x v="1016"/>
    <n v="990"/>
    <x v="0"/>
    <x v="4"/>
    <n v="8"/>
    <x v="25"/>
    <x v="15"/>
    <x v="1"/>
    <x v="8"/>
    <s v="Ninguno"/>
    <s v="Casos de cáncer por región"/>
    <s v="Periodo 2012-2018"/>
    <s v="Número de Casos"/>
    <s v="Departamento de Estadísticas e Información de la Salud (DEIS) - Ministerio de Salud"/>
    <x v="1016"/>
    <s v="En la región del Biobío, el año 2015 registra la mayor cantidad de casos de Cáncer de Cuello Uterino, con 65 casos. Por otro lado, el menor número de casos se registra el año 2012 con 15 casos. "/>
    <s v="Gráfico de Evolución"/>
    <s v="Región del Biobío cáncer cuello uterino cérvico útero salud PAP papanicolaou casos control población"/>
    <x v="999"/>
    <s v="100-R-8"/>
    <s v="#1774B9"/>
    <s v="990-1017"/>
    <n v="99200008"/>
    <s v="T-1000"/>
    <s v="C-1010"/>
    <s v="FI-993"/>
    <s v="M-1081"/>
  </r>
  <r>
    <x v="1017"/>
    <n v="990"/>
    <x v="0"/>
    <x v="4"/>
    <n v="9"/>
    <x v="25"/>
    <x v="15"/>
    <x v="1"/>
    <x v="9"/>
    <s v="Ninguno"/>
    <s v="Casos de cáncer por región"/>
    <s v="Periodo 2012-2018"/>
    <s v="Número de Casos"/>
    <s v="Departamento de Estadísticas e Información de la Salud (DEIS) - Ministerio de Salud"/>
    <x v="1017"/>
    <s v="En la región de La Araucanía, el año 2016 registra la mayor cantidad de casos de Cáncer de Cuello Uterino, con 34 casos. Por otro lado, el menor número de casos se registra el año 2011 con 6 casos. "/>
    <s v="Gráfico de Evolución"/>
    <s v="Región de La Araucanía cáncer cuello uterino cérvico útero salud PAP papanicolaou casos control población"/>
    <x v="1000"/>
    <s v="100-R-9"/>
    <s v="#1774B9"/>
    <s v="990-1018"/>
    <n v="99200009"/>
    <s v="T-1000"/>
    <s v="C-1010"/>
    <s v="FI-993"/>
    <s v="M-1081"/>
  </r>
  <r>
    <x v="1018"/>
    <n v="990"/>
    <x v="0"/>
    <x v="4"/>
    <n v="10"/>
    <x v="25"/>
    <x v="15"/>
    <x v="1"/>
    <x v="10"/>
    <s v="Ninguno"/>
    <s v="Casos de cáncer por región"/>
    <s v="Periodo 2012-2018"/>
    <s v="Número de Casos"/>
    <s v="Departamento de Estadísticas e Información de la Salud (DEIS) - Ministerio de Salud"/>
    <x v="1018"/>
    <s v="En la región de Los Lagos, el año 2011 registra la mayor cantidad de casos de Cáncer de Cuello Uterino, con 15 casos. Por otro lado, el menor número de casos se registra el año 2015 con 6 casos. "/>
    <s v="Gráfico de Evolución"/>
    <s v="Región de Los Lagos cáncer cuello uterino cérvico útero salud PAP papanicolaou casos control población"/>
    <x v="1001"/>
    <s v="100-R-10"/>
    <s v="#1774B9"/>
    <s v="990-1019"/>
    <n v="99200010"/>
    <s v="T-1000"/>
    <s v="C-1010"/>
    <s v="FI-993"/>
    <s v="M-1081"/>
  </r>
  <r>
    <x v="1019"/>
    <n v="990"/>
    <x v="0"/>
    <x v="4"/>
    <n v="11"/>
    <x v="25"/>
    <x v="15"/>
    <x v="1"/>
    <x v="11"/>
    <s v="Ninguno"/>
    <s v="Casos de cáncer por región"/>
    <s v="Periodo 2012-2018"/>
    <s v="Número de Casos"/>
    <s v="Departamento de Estadísticas e Información de la Salud (DEIS) - Ministerio de Salud"/>
    <x v="1019"/>
    <s v="En la región de Aysén, los años 2011, 2014, 2017 y 2018 registran la mayor cantidad de casos de Cáncer de Cuello Uterino, con 2 casos para cada año. Por otro lado, el menor número de casos se registran en los años 2012, 2013 y 2016 con cero casos. "/>
    <s v="Gráfico de Evolución"/>
    <s v="Región de Aysén cáncer cuello uterino cérvico útero salud PAP papanicolaou casos control población"/>
    <x v="1002"/>
    <s v="100-R-11"/>
    <s v="#1774B9"/>
    <s v="990-1020"/>
    <n v="99200011"/>
    <s v="T-1000"/>
    <s v="C-1010"/>
    <s v="FI-993"/>
    <s v="M-1081"/>
  </r>
  <r>
    <x v="1020"/>
    <n v="990"/>
    <x v="0"/>
    <x v="4"/>
    <n v="12"/>
    <x v="25"/>
    <x v="15"/>
    <x v="1"/>
    <x v="12"/>
    <s v="Ninguno"/>
    <s v="Casos de cáncer por región"/>
    <s v="Periodo 2012-2018"/>
    <s v="Número de Casos"/>
    <s v="Departamento de Estadísticas e Información de la Salud (DEIS) - Ministerio de Salud"/>
    <x v="1020"/>
    <s v="En la región de Magallanes, el año 2011 registra la mayor cantidad de casos de Cáncer de Cuello Uterino, con 4 casos. Por otro lado, el menor número de casos registrados fueron 2 casos. "/>
    <s v="Gráfico de Evolución"/>
    <s v="Región de Magallanes cáncer cuello uterino cérvico útero salud PAP papanicolaou casos control población"/>
    <x v="1003"/>
    <s v="100-R-12"/>
    <s v="#1774B9"/>
    <s v="990-1021"/>
    <n v="99200012"/>
    <s v="T-1000"/>
    <s v="C-1010"/>
    <s v="FI-993"/>
    <s v="M-1081"/>
  </r>
  <r>
    <x v="1021"/>
    <n v="990"/>
    <x v="0"/>
    <x v="4"/>
    <n v="13"/>
    <x v="25"/>
    <x v="15"/>
    <x v="1"/>
    <x v="13"/>
    <s v="Ninguno"/>
    <s v="Casos de cáncer por región"/>
    <s v="Periodo 2012-2018"/>
    <s v="Número de Casos"/>
    <s v="Departamento de Estadísticas e Información de la Salud (DEIS) - Ministerio de Salud"/>
    <x v="1021"/>
    <s v="En la región Metropolitana, los años 2011 y 212 registran la mayor cantidad de casos de Cáncer de Cuello Uterino, con 81 casos cada año. Por otro lado, el menor número de casos se registra el año 2017 con 52 casos. "/>
    <s v="Gráfico de Evolución"/>
    <s v="Región Metropolitana cáncer cuello uterino cérvico útero salud PAP papanicolaou casos control población"/>
    <x v="1004"/>
    <s v="200-R-13"/>
    <s v="#1774B9"/>
    <s v="990-1022"/>
    <n v="99200013"/>
    <s v="T-1000"/>
    <s v="C-1010"/>
    <s v="FI-993"/>
    <s v="M-1081"/>
  </r>
  <r>
    <x v="1022"/>
    <n v="990"/>
    <x v="0"/>
    <x v="4"/>
    <n v="14"/>
    <x v="25"/>
    <x v="15"/>
    <x v="1"/>
    <x v="14"/>
    <s v="Ninguno"/>
    <s v="Casos de cáncer por región"/>
    <s v="Periodo 2012-2018"/>
    <s v="Número de Casos"/>
    <s v="Departamento de Estadísticas e Información de la Salud (DEIS) - Ministerio de Salud"/>
    <x v="1022"/>
    <s v="En la región de Los Ríos, el año 2016 registra la mayor cantidad de casos de Cáncer de Cuello Uterino, con 9 casos. Por otro lado, el menor número de casos se registra el año 2012 con 2 casos. "/>
    <s v="Gráfico de Evolución"/>
    <s v="Región de Los Ríos cáncer cuello uterino cérvico útero salud PAP papanicolaou casos control población"/>
    <x v="1005"/>
    <s v="100-R-14"/>
    <s v="#1774B9"/>
    <s v="990-1023"/>
    <n v="99200014"/>
    <s v="T-1000"/>
    <s v="C-1010"/>
    <s v="FI-993"/>
    <s v="M-1081"/>
  </r>
  <r>
    <x v="1023"/>
    <n v="990"/>
    <x v="0"/>
    <x v="4"/>
    <n v="15"/>
    <x v="25"/>
    <x v="15"/>
    <x v="1"/>
    <x v="15"/>
    <s v="Ninguno"/>
    <s v="Casos de cáncer por región"/>
    <s v="Periodo 2012-2018"/>
    <s v="Número de Casos"/>
    <s v="Departamento de Estadísticas e Información de la Salud (DEIS) - Ministerio de Salud"/>
    <x v="1023"/>
    <s v="En la región de Arica y Parinacota, el año 2015 registra la mayor cantidad de casos de Cáncer de Cuello Uterino, con 16 casos. Por otro lado, el menor número de casos se registra el año 2014 con 4 casos. "/>
    <s v="Gráfico de Evolución"/>
    <s v="Región de Arica y Parinacota cáncer cuello uterino cérvico útero salud PAP papanicolaou casos control población"/>
    <x v="1006"/>
    <s v="100-R-15"/>
    <s v="#1774B9"/>
    <s v="990-1024"/>
    <n v="99200015"/>
    <s v="T-1000"/>
    <s v="C-1010"/>
    <s v="FI-993"/>
    <s v="M-1081"/>
  </r>
  <r>
    <x v="1024"/>
    <n v="990"/>
    <x v="0"/>
    <x v="4"/>
    <n v="16"/>
    <x v="25"/>
    <x v="15"/>
    <x v="1"/>
    <x v="16"/>
    <s v="Ninguno"/>
    <s v="Casos de cáncer por región"/>
    <s v="Periodo 2012-2018"/>
    <s v="Número de Casos"/>
    <s v="Departamento de Estadísticas e Información de la Salud (DEIS) - Ministerio de Salud"/>
    <x v="1024"/>
    <s v="En la región de Ñuble, el año 2018 registra la mayor cantidad de casos de Cáncer de Cuello Uterino, con 9 casos. Por otro lado, el menor número de casos se registran los años 2012 y  2015 con tan sólo 1 caso cada año. "/>
    <s v="Gráfico de Evolución"/>
    <s v="Región de Ñuble cáncer cuello uterino cérvico útero salud PAP papanicolaou casos control población"/>
    <x v="1007"/>
    <s v="100-R-16"/>
    <s v="#1774B9"/>
    <s v="990-1025"/>
    <n v="99200016"/>
    <s v="T-1000"/>
    <s v="C-1010"/>
    <s v="FI-993"/>
    <s v="M-1081"/>
  </r>
  <r>
    <x v="1025"/>
    <n v="990"/>
    <x v="0"/>
    <x v="3"/>
    <n v="0"/>
    <x v="57"/>
    <x v="24"/>
    <x v="0"/>
    <x v="0"/>
    <s v="Ninguno"/>
    <s v="Cantidad de Predios Agrícolas por Comuna"/>
    <s v="Periodo 2006-2019"/>
    <s v="Número de Predios"/>
    <s v="Sistema Nacional de Información Municipal"/>
    <x v="1025"/>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de Evolución"/>
    <s v="Chile catastro predio municipal municipio agrícola territorio"/>
    <x v="1009"/>
    <s v="300-C"/>
    <s v="#1774B9"/>
    <s v="990-1026"/>
    <n v="99100000"/>
    <s v="T-1056"/>
    <s v="C-1015"/>
    <s v="FI-993"/>
    <s v="M-1087"/>
  </r>
  <r>
    <x v="1026"/>
    <n v="990"/>
    <x v="0"/>
    <x v="3"/>
    <n v="1"/>
    <x v="57"/>
    <x v="24"/>
    <x v="1"/>
    <x v="1"/>
    <s v="Ninguno"/>
    <s v="Cantidad de Predios Agrícolas por Comuna"/>
    <s v="Periodo 2006-2019"/>
    <s v="Número de Predios"/>
    <s v="Sistema Nacional de Información Municipal"/>
    <x v="1026"/>
    <s v="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
    <s v="Gráfico de Evolución"/>
    <s v="Región de Tarapacá catastro predio municipal municipio agrícola territorio"/>
    <x v="1010"/>
    <s v="100-C-1"/>
    <s v="#1774B9"/>
    <s v="990-1027"/>
    <n v="99200001"/>
    <s v="T-1056"/>
    <s v="C-1015"/>
    <s v="FI-993"/>
    <s v="M-1087"/>
  </r>
  <r>
    <x v="1027"/>
    <n v="990"/>
    <x v="0"/>
    <x v="3"/>
    <n v="2"/>
    <x v="57"/>
    <x v="24"/>
    <x v="1"/>
    <x v="2"/>
    <s v="Ninguno"/>
    <s v="Cantidad de Predios Agrícolas por Comuna"/>
    <s v="Periodo 2006-2019"/>
    <s v="Número de Predios"/>
    <s v="Sistema Nacional de Información Municipal"/>
    <x v="1027"/>
    <s v="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
    <s v="Gráfico de Evolución"/>
    <s v="Región de Antofagasta catastro predio municipal municipio agrícola territorio"/>
    <x v="1011"/>
    <s v="100-C-2"/>
    <s v="#1774B9"/>
    <s v="990-1028"/>
    <n v="99200002"/>
    <s v="T-1056"/>
    <s v="C-1015"/>
    <s v="FI-993"/>
    <s v="M-1087"/>
  </r>
  <r>
    <x v="1028"/>
    <n v="990"/>
    <x v="0"/>
    <x v="3"/>
    <n v="3"/>
    <x v="57"/>
    <x v="24"/>
    <x v="1"/>
    <x v="3"/>
    <s v="Ninguno"/>
    <s v="Cantidad de Predios Agrícolas por Comuna"/>
    <s v="Periodo 2006-2019"/>
    <s v="Número de Predios"/>
    <s v="Sistema Nacional de Información Municipal"/>
    <x v="1028"/>
    <s v="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
    <s v="Gráfico de Evolución"/>
    <s v="Región de Atacama catastro predio municipal municipio agrícola territorio"/>
    <x v="1012"/>
    <s v="100-C-3"/>
    <s v="#1774B9"/>
    <s v="990-1029"/>
    <n v="99200003"/>
    <s v="T-1056"/>
    <s v="C-1015"/>
    <s v="FI-993"/>
    <s v="M-1087"/>
  </r>
  <r>
    <x v="1029"/>
    <n v="990"/>
    <x v="0"/>
    <x v="3"/>
    <n v="4"/>
    <x v="57"/>
    <x v="24"/>
    <x v="1"/>
    <x v="4"/>
    <s v="Ninguno"/>
    <s v="Cantidad de Predios Agrícolas por Comuna"/>
    <s v="Periodo 2006-2019"/>
    <s v="Número de Predios"/>
    <s v="Sistema Nacional de Información Municipal"/>
    <x v="1029"/>
    <s v="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
    <s v="Gráfico de Evolución"/>
    <s v="Región de Coquimbo catastro predio municipal municipio agrícola territorio"/>
    <x v="1013"/>
    <s v="100-C-4"/>
    <s v="#1774B9"/>
    <s v="990-1030"/>
    <n v="99200004"/>
    <s v="T-1056"/>
    <s v="C-1015"/>
    <s v="FI-993"/>
    <s v="M-1087"/>
  </r>
  <r>
    <x v="1030"/>
    <n v="990"/>
    <x v="0"/>
    <x v="3"/>
    <n v="5"/>
    <x v="57"/>
    <x v="24"/>
    <x v="1"/>
    <x v="5"/>
    <s v="Ninguno"/>
    <s v="Cantidad de Predios Agrícolas por Comuna"/>
    <s v="Periodo 2006-2019"/>
    <s v="Número de Predios"/>
    <s v="Sistema Nacional de Información Municipal"/>
    <x v="1030"/>
    <s v="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
    <s v="Gráfico de Evolución"/>
    <s v="Región de Valparaíso catastro predio municipal municipio agrícola territorio"/>
    <x v="1014"/>
    <s v="100-C-5"/>
    <s v="#1774B9"/>
    <s v="990-1031"/>
    <n v="99200005"/>
    <s v="T-1056"/>
    <s v="C-1015"/>
    <s v="FI-993"/>
    <s v="M-1087"/>
  </r>
  <r>
    <x v="1031"/>
    <n v="990"/>
    <x v="0"/>
    <x v="3"/>
    <n v="6"/>
    <x v="57"/>
    <x v="24"/>
    <x v="1"/>
    <x v="6"/>
    <s v="Ninguno"/>
    <s v="Cantidad de Predios Agrícolas por Comuna"/>
    <s v="Periodo 2006-2019"/>
    <s v="Número de Predios"/>
    <s v="Sistema Nacional de Información Municipal"/>
    <x v="1031"/>
    <s v="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
    <s v="Gráfico de Evolución"/>
    <s v="Región de O'Higgins catastro predio municipal municipio agrícola territorio"/>
    <x v="1015"/>
    <s v="100-C-6"/>
    <s v="#1774B9"/>
    <s v="990-1032"/>
    <n v="99200006"/>
    <s v="T-1056"/>
    <s v="C-1015"/>
    <s v="FI-993"/>
    <s v="M-1087"/>
  </r>
  <r>
    <x v="1032"/>
    <n v="990"/>
    <x v="0"/>
    <x v="3"/>
    <n v="7"/>
    <x v="57"/>
    <x v="24"/>
    <x v="1"/>
    <x v="7"/>
    <s v="Ninguno"/>
    <s v="Cantidad de Predios Agrícolas por Comuna"/>
    <s v="Periodo 2006-2019"/>
    <s v="Número de Predios"/>
    <s v="Sistema Nacional de Información Municipal"/>
    <x v="1032"/>
    <s v="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
    <s v="Gráfico de Evolución"/>
    <s v="Región de Maule catastro predio municipal municipio agrícola territorio"/>
    <x v="1016"/>
    <s v="100-C-7"/>
    <s v="#1774B9"/>
    <s v="990-1033"/>
    <n v="99200007"/>
    <s v="T-1056"/>
    <s v="C-1015"/>
    <s v="FI-993"/>
    <s v="M-1087"/>
  </r>
  <r>
    <x v="1033"/>
    <n v="990"/>
    <x v="0"/>
    <x v="3"/>
    <n v="8"/>
    <x v="57"/>
    <x v="24"/>
    <x v="1"/>
    <x v="8"/>
    <s v="Ninguno"/>
    <s v="Cantidad de Predios Agrícolas por Comuna"/>
    <s v="Periodo 2006-2019"/>
    <s v="Número de Predios"/>
    <s v="Sistema Nacional de Información Municipal"/>
    <x v="1033"/>
    <s v="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
    <s v="Gráfico de Evolución"/>
    <s v="Región del Biobío catastro predio municipal municipio agrícola territorio"/>
    <x v="1017"/>
    <s v="100-C-8"/>
    <s v="#1774B9"/>
    <s v="990-1034"/>
    <n v="99200008"/>
    <s v="T-1056"/>
    <s v="C-1015"/>
    <s v="FI-993"/>
    <s v="M-1087"/>
  </r>
  <r>
    <x v="1034"/>
    <n v="990"/>
    <x v="0"/>
    <x v="3"/>
    <n v="9"/>
    <x v="57"/>
    <x v="24"/>
    <x v="1"/>
    <x v="9"/>
    <s v="Ninguno"/>
    <s v="Cantidad de Predios Agrícolas por Comuna"/>
    <s v="Periodo 2006-2019"/>
    <s v="Número de Predios"/>
    <s v="Sistema Nacional de Información Municipal"/>
    <x v="1034"/>
    <s v="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
    <s v="Gráfico de Evolución"/>
    <s v="Región de La Araucanía catastro predio municipal municipio agrícola territorio"/>
    <x v="1018"/>
    <s v="100-C-9"/>
    <s v="#1774B9"/>
    <s v="990-1035"/>
    <n v="99200009"/>
    <s v="T-1056"/>
    <s v="C-1015"/>
    <s v="FI-993"/>
    <s v="M-1087"/>
  </r>
  <r>
    <x v="1035"/>
    <n v="990"/>
    <x v="0"/>
    <x v="3"/>
    <n v="10"/>
    <x v="57"/>
    <x v="24"/>
    <x v="1"/>
    <x v="10"/>
    <s v="Ninguno"/>
    <s v="Cantidad de Predios Agrícolas por Comuna"/>
    <s v="Periodo 2006-2019"/>
    <s v="Número de Predios"/>
    <s v="Sistema Nacional de Información Municipal"/>
    <x v="1035"/>
    <s v="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
    <s v="Gráfico de Evolución"/>
    <s v="Región de Los Lagos catastro predio municipal municipio agrícola territorio"/>
    <x v="1019"/>
    <s v="100-C-10"/>
    <s v="#1774B9"/>
    <s v="990-1036"/>
    <n v="99200010"/>
    <s v="T-1056"/>
    <s v="C-1015"/>
    <s v="FI-993"/>
    <s v="M-1087"/>
  </r>
  <r>
    <x v="1036"/>
    <n v="990"/>
    <x v="0"/>
    <x v="3"/>
    <n v="11"/>
    <x v="57"/>
    <x v="24"/>
    <x v="1"/>
    <x v="11"/>
    <s v="Ninguno"/>
    <s v="Cantidad de Predios Agrícolas por Comuna"/>
    <s v="Periodo 2006-2019"/>
    <s v="Número de Predios"/>
    <s v="Sistema Nacional de Información Municipal"/>
    <x v="1036"/>
    <s v="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
    <s v="Gráfico de Evolución"/>
    <s v="Región de Aysén catastro predio municipal municipio agrícola territorio"/>
    <x v="1020"/>
    <s v="100-C-11"/>
    <s v="#1774B9"/>
    <s v="990-1037"/>
    <n v="99200011"/>
    <s v="T-1056"/>
    <s v="C-1015"/>
    <s v="FI-993"/>
    <s v="M-1087"/>
  </r>
  <r>
    <x v="1037"/>
    <n v="990"/>
    <x v="0"/>
    <x v="3"/>
    <n v="12"/>
    <x v="57"/>
    <x v="24"/>
    <x v="1"/>
    <x v="12"/>
    <s v="Ninguno"/>
    <s v="Cantidad de Predios Agrícolas por Comuna"/>
    <s v="Periodo 2006-2019"/>
    <s v="Número de Predios"/>
    <s v="Sistema Nacional de Información Municipal"/>
    <x v="1037"/>
    <s v="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
    <s v="Gráfico de Evolución"/>
    <s v="Región de Magallanes catastro predio municipal municipio agrícola territorio"/>
    <x v="1021"/>
    <s v="100-C-12"/>
    <s v="#1774B9"/>
    <s v="990-1038"/>
    <n v="99200012"/>
    <s v="T-1056"/>
    <s v="C-1015"/>
    <s v="FI-993"/>
    <s v="M-1087"/>
  </r>
  <r>
    <x v="1038"/>
    <n v="990"/>
    <x v="0"/>
    <x v="3"/>
    <n v="13"/>
    <x v="57"/>
    <x v="24"/>
    <x v="1"/>
    <x v="13"/>
    <s v="Ninguno"/>
    <s v="Cantidad de Predios Agrícolas por Comuna"/>
    <s v="Periodo 2006-2019"/>
    <s v="Número de Predios"/>
    <s v="Sistema Nacional de Información Municipal"/>
    <x v="1038"/>
    <s v="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
    <s v="Gráfico de Evolución"/>
    <s v="Región Metropolitana catastro predio municipal municipio agrícola territorio"/>
    <x v="1022"/>
    <s v="200-C-13"/>
    <s v="#1774B9"/>
    <s v="990-1039"/>
    <n v="99200013"/>
    <s v="T-1056"/>
    <s v="C-1015"/>
    <s v="FI-993"/>
    <s v="M-1087"/>
  </r>
  <r>
    <x v="1039"/>
    <n v="990"/>
    <x v="0"/>
    <x v="3"/>
    <n v="14"/>
    <x v="57"/>
    <x v="24"/>
    <x v="1"/>
    <x v="14"/>
    <s v="Ninguno"/>
    <s v="Cantidad de Predios Agrícolas por Comuna"/>
    <s v="Periodo 2006-2019"/>
    <s v="Número de Predios"/>
    <s v="Sistema Nacional de Información Municipal"/>
    <x v="1039"/>
    <s v="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
    <s v="Gráfico de Evolución"/>
    <s v="Región de Los Ríos catastro predio municipal municipio agrícola territorio"/>
    <x v="1023"/>
    <s v="100-C-14"/>
    <s v="#1774B9"/>
    <s v="990-1040"/>
    <n v="99200014"/>
    <s v="T-1056"/>
    <s v="C-1015"/>
    <s v="FI-993"/>
    <s v="M-1087"/>
  </r>
  <r>
    <x v="1040"/>
    <n v="990"/>
    <x v="0"/>
    <x v="3"/>
    <n v="15"/>
    <x v="57"/>
    <x v="24"/>
    <x v="1"/>
    <x v="15"/>
    <s v="Ninguno"/>
    <s v="Cantidad de Predios Agrícolas por Comuna"/>
    <s v="Periodo 2006-2019"/>
    <s v="Número de Predios"/>
    <s v="Sistema Nacional de Información Municipal"/>
    <x v="1040"/>
    <s v="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
    <s v="Gráfico de Evolución"/>
    <s v="Región de Arica y Parinacota catastro predio municipal municipio agrícola territorio"/>
    <x v="1024"/>
    <s v="100-C-15"/>
    <s v="#1774B9"/>
    <s v="990-1041"/>
    <n v="99200015"/>
    <s v="T-1056"/>
    <s v="C-1015"/>
    <s v="FI-993"/>
    <s v="M-1087"/>
  </r>
  <r>
    <x v="1041"/>
    <n v="990"/>
    <x v="0"/>
    <x v="3"/>
    <n v="16"/>
    <x v="57"/>
    <x v="24"/>
    <x v="1"/>
    <x v="16"/>
    <s v="Ninguno"/>
    <s v="Cantidad de Predios Agrícolas por Comuna"/>
    <s v="Periodo 2006-2019"/>
    <s v="Número de Predios"/>
    <s v="Sistema Nacional de Información Municipal"/>
    <x v="1041"/>
    <s v="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
    <s v="Gráfico de Evolución"/>
    <s v="Región de Ñuble catastro predio municipal municipio agrícola territorio"/>
    <x v="1025"/>
    <s v="100-C-16"/>
    <s v="#1774B9"/>
    <s v="990-1042"/>
    <n v="99200016"/>
    <s v="T-1056"/>
    <s v="C-1015"/>
    <s v="FI-993"/>
    <s v="M-1087"/>
  </r>
  <r>
    <x v="1042"/>
    <n v="990"/>
    <x v="0"/>
    <x v="4"/>
    <n v="0"/>
    <x v="58"/>
    <x v="25"/>
    <x v="0"/>
    <x v="0"/>
    <s v="Región"/>
    <s v="Proporción y Cantidad  de Establecimientos de Salud "/>
    <s v="Año 2021"/>
    <s v="Número de Establecimientos"/>
    <s v="Departamento de Estadísticas e Información de la Salud (DEIS) - Ministerio de Salud"/>
    <x v="1042"/>
    <s v="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x v="1026"/>
    <s v="300-R"/>
    <s v="#1774B9"/>
    <s v="990-1043"/>
    <n v="99100000"/>
    <s v="T-1047"/>
    <s v="C-1013"/>
    <s v="FI-992"/>
    <s v="M-1088"/>
  </r>
  <r>
    <x v="1043"/>
    <n v="990"/>
    <x v="0"/>
    <x v="4"/>
    <n v="1"/>
    <x v="58"/>
    <x v="25"/>
    <x v="1"/>
    <x v="1"/>
    <s v="Ninguno"/>
    <s v="Proporción y Cantidad  de Establecimientos de Salud "/>
    <s v="Año 2021"/>
    <s v="Número de Establecimientos"/>
    <s v="Departamento de Estadísticas e Información de la Salud (DEIS) - Ministerio de Salud"/>
    <x v="1043"/>
    <s v="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
    <s v="Gráfico"/>
    <s v="Región de Tarapacá regional establecimientos salud proporción hospitales clínicas cesfam sapu postas laboratorios dentales clínicos alta baja media complejidad diálisis vacunatorios consultorio"/>
    <x v="1027"/>
    <s v="100-R-1"/>
    <s v="#1774B9"/>
    <s v="990-1044"/>
    <n v="99200001"/>
    <s v="T-1047"/>
    <s v="C-1013"/>
    <s v="FI-993"/>
    <s v="M-1088"/>
  </r>
  <r>
    <x v="1044"/>
    <n v="990"/>
    <x v="0"/>
    <x v="4"/>
    <n v="2"/>
    <x v="58"/>
    <x v="25"/>
    <x v="1"/>
    <x v="2"/>
    <s v="Ninguno"/>
    <s v="Proporción y Cantidad  de Establecimientos de Salud "/>
    <s v="Año 2021"/>
    <s v="Número de Establecimientos"/>
    <s v="Departamento de Estadísticas e Información de la Salud (DEIS) - Ministerio de Salud"/>
    <x v="1044"/>
    <s v="La región de Antofagasta cuenta con 101 establecimientos de salud, de estos los tres principales son: Laboratorios Clínicos o Dentales, CESFAM y Postas, con un 30,7%, 18,8% y 11,9% respectivamente; en tanto los Hospitales de alta complejidad son los con menor porcentaje, llegando a un 2%."/>
    <s v="Gráfico"/>
    <s v="Región de Antofagasta regional establecimientos salud proporción hospitales clínicas cesfam sapu postas laboratorios dentales clínicos alta baja media complejidad diálisis vacunatorios consultorio"/>
    <x v="1028"/>
    <s v="100-R-2"/>
    <s v="#1774B9"/>
    <s v="990-1045"/>
    <n v="99200002"/>
    <s v="T-1047"/>
    <s v="C-1013"/>
    <s v="FI-993"/>
    <s v="M-1088"/>
  </r>
  <r>
    <x v="1045"/>
    <n v="990"/>
    <x v="0"/>
    <x v="4"/>
    <n v="3"/>
    <x v="58"/>
    <x v="25"/>
    <x v="1"/>
    <x v="3"/>
    <s v="Ninguno"/>
    <s v="Proporción y Cantidad  de Establecimientos de Salud "/>
    <s v="Año 2021"/>
    <s v="Número de Establecimientos"/>
    <s v="Departamento de Estadísticas e Información de la Salud (DEIS) - Ministerio de Salud"/>
    <x v="1045"/>
    <s v="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
    <s v="Gráfico"/>
    <s v="Región de Atacama regional establecimientos salud proporción hospitales clínicas cesfam sapu postas laboratorios dentales clínicos alta baja media complejidad diálisis vacunatorios consultorio"/>
    <x v="1029"/>
    <s v="100-R-3"/>
    <s v="#1774B9"/>
    <s v="990-1046"/>
    <n v="99200003"/>
    <s v="T-1047"/>
    <s v="C-1013"/>
    <s v="FI-993"/>
    <s v="M-1088"/>
  </r>
  <r>
    <x v="1046"/>
    <n v="990"/>
    <x v="0"/>
    <x v="4"/>
    <n v="4"/>
    <x v="58"/>
    <x v="25"/>
    <x v="1"/>
    <x v="4"/>
    <s v="Ninguno"/>
    <s v="Proporción y Cantidad  de Establecimientos de Salud "/>
    <s v="Año 2021"/>
    <s v="Número de Establecimientos"/>
    <s v="Departamento de Estadísticas e Información de la Salud (DEIS) - Ministerio de Salud"/>
    <x v="1046"/>
    <s v="En la región de Coquimbo existen 190 establecimientos de salud, el mayor porcentaje son Postas, llegando al 50,5% del total de la región. En segundo lugar se encuentran los CESFAM con un 21,6%. "/>
    <s v="Gráfico"/>
    <s v="Región de Coquimbo regional establecimientos salud proporción hospitales clínicas cesfam sapu postas laboratorios dentales clínicos alta baja media complejidad diálisis vacunatorios consultorio"/>
    <x v="1030"/>
    <s v="100-R-4"/>
    <s v="#1774B9"/>
    <s v="990-1047"/>
    <n v="99200004"/>
    <s v="T-1047"/>
    <s v="C-1013"/>
    <s v="FI-993"/>
    <s v="M-1088"/>
  </r>
  <r>
    <x v="1047"/>
    <n v="990"/>
    <x v="0"/>
    <x v="4"/>
    <n v="5"/>
    <x v="58"/>
    <x v="25"/>
    <x v="1"/>
    <x v="5"/>
    <s v="Ninguno"/>
    <s v="Proporción y Cantidad  de Establecimientos de Salud "/>
    <s v="Año 2021"/>
    <s v="Número de Establecimientos"/>
    <s v="Departamento de Estadísticas e Información de la Salud (DEIS) - Ministerio de Salud"/>
    <x v="1047"/>
    <s v="En la región de Valparaíso existen 274 establecimientos de salud el año 2021, de estos, los tres principales son: CESFAM con un 36,5%, Postas con 21,2% y SAPU con 11,7%; en tanto que el menor porcentaje lo presentan los Hospitales de mediana complejidad y Consultorios, con un 0,7%."/>
    <s v="Gráfico"/>
    <s v="Región de Valparaíso regional establecimientos salud proporción hospitales clínicas cesfam sapu postas laboratorios dentales clínicos alta baja media complejidad diálisis vacunatorios consultorio"/>
    <x v="1031"/>
    <s v="100-R-5"/>
    <s v="#1774B9"/>
    <s v="990-1048"/>
    <n v="99200005"/>
    <s v="T-1047"/>
    <s v="C-1013"/>
    <s v="FI-993"/>
    <s v="M-1088"/>
  </r>
  <r>
    <x v="1048"/>
    <n v="990"/>
    <x v="0"/>
    <x v="4"/>
    <n v="6"/>
    <x v="58"/>
    <x v="25"/>
    <x v="1"/>
    <x v="6"/>
    <s v="Ninguno"/>
    <s v="Proporción y Cantidad  de Establecimientos de Salud "/>
    <s v="Año 2021"/>
    <s v="Número de Establecimientos"/>
    <s v="Departamento de Estadísticas e Información de la Salud (DEIS) - Ministerio de Salud"/>
    <x v="1048"/>
    <s v="En la región de O'Higgins existen 197 establecimientos de salud el año 2021, de estos, los tres principales son: Postas con un 40,1%, CESFAM con un 22,8% y Laboratorios Clínicos o Dentales con un 11,7%; en tanto que el menor porcentaje lo presentan los Consultorios, con un 0,5%."/>
    <s v="Gráfico"/>
    <s v="Región de O'Higgins regional establecimientos salud proporción hospitales clínicas cesfam sapu postas laboratorios dentales clínicos alta baja media complejidad diálisis vacunatorios consultorio"/>
    <x v="1032"/>
    <s v="100-R-6"/>
    <s v="#1774B9"/>
    <s v="990-1049"/>
    <n v="99200006"/>
    <s v="T-1047"/>
    <s v="C-1013"/>
    <s v="FI-993"/>
    <s v="M-1088"/>
  </r>
  <r>
    <x v="1049"/>
    <n v="990"/>
    <x v="0"/>
    <x v="4"/>
    <n v="7"/>
    <x v="58"/>
    <x v="25"/>
    <x v="1"/>
    <x v="7"/>
    <s v="Ninguno"/>
    <s v="Proporción y Cantidad  de Establecimientos de Salud "/>
    <s v="Año 2021"/>
    <s v="Número de Establecimientos"/>
    <s v="Departamento de Estadísticas e Información de la Salud (DEIS) - Ministerio de Salud"/>
    <x v="1049"/>
    <s v="En la región de Maule existen 310 establecimientos de salud, el mayor porcentaje son Postas, llegando al 52,3% del total de la región. En segundo lugar se encuentran los CESFAM con un 22,6%. "/>
    <s v="Gráfico"/>
    <s v="Región de Maule regional establecimientos salud proporción hospitales clínicas cesfam sapu postas laboratorios dentales clínicos alta baja media complejidad diálisis vacunatorios consultorio"/>
    <x v="1033"/>
    <s v="100-R-7"/>
    <s v="#1774B9"/>
    <s v="990-1050"/>
    <n v="99200007"/>
    <s v="T-1047"/>
    <s v="C-1013"/>
    <s v="FI-993"/>
    <s v="M-1088"/>
  </r>
  <r>
    <x v="1050"/>
    <n v="990"/>
    <x v="0"/>
    <x v="4"/>
    <n v="8"/>
    <x v="58"/>
    <x v="25"/>
    <x v="1"/>
    <x v="8"/>
    <s v="Ninguno"/>
    <s v="Proporción y Cantidad  de Establecimientos de Salud "/>
    <s v="Año 2021"/>
    <s v="Número de Establecimientos"/>
    <s v="Departamento de Estadísticas e Información de la Salud (DEIS) - Ministerio de Salud"/>
    <x v="1050"/>
    <s v="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
    <s v="Gráfico"/>
    <s v="Región del Biobío regional establecimientos salud proporción hospitales clínicas cesfam sapu postas laboratorios dentales clínicos alta baja media complejidad diálisis vacunatorios consultorio"/>
    <x v="1034"/>
    <s v="100-R-8"/>
    <s v="#1774B9"/>
    <s v="990-1051"/>
    <n v="99200008"/>
    <s v="T-1047"/>
    <s v="C-1013"/>
    <s v="FI-993"/>
    <s v="M-1088"/>
  </r>
  <r>
    <x v="1051"/>
    <n v="990"/>
    <x v="0"/>
    <x v="4"/>
    <n v="9"/>
    <x v="58"/>
    <x v="25"/>
    <x v="1"/>
    <x v="9"/>
    <s v="Ninguno"/>
    <s v="Proporción y Cantidad  de Establecimientos de Salud "/>
    <s v="Año 2021"/>
    <s v="Número de Establecimientos"/>
    <s v="Departamento de Estadísticas e Información de la Salud (DEIS) - Ministerio de Salud"/>
    <x v="1051"/>
    <s v="En la región de La Araucanía existen 327 establecimientos de salud, el mayor porcentaje son Postas, llegando al 57,5% del total de la región. En segundo lugar se encuentran los CESFAM con un 18,0%. "/>
    <s v="Gráfico"/>
    <s v="Región de La Araucanía regional establecimientos salud proporción hospitales clínicas cesfam sapu postas laboratorios dentales clínicos alta baja media complejidad diálisis vacunatorios consultorio"/>
    <x v="1035"/>
    <s v="100-R-9"/>
    <s v="#1774B9"/>
    <s v="990-1052"/>
    <n v="99200009"/>
    <s v="T-1047"/>
    <s v="C-1013"/>
    <s v="FI-993"/>
    <s v="M-1088"/>
  </r>
  <r>
    <x v="1052"/>
    <n v="990"/>
    <x v="0"/>
    <x v="4"/>
    <n v="10"/>
    <x v="58"/>
    <x v="25"/>
    <x v="1"/>
    <x v="10"/>
    <s v="Ninguno"/>
    <s v="Proporción y Cantidad  de Establecimientos de Salud "/>
    <s v="Año 2021"/>
    <s v="Número de Establecimientos"/>
    <s v="Departamento de Estadísticas e Información de la Salud (DEIS) - Ministerio de Salud"/>
    <x v="1052"/>
    <s v="La región de Los Lagos cuenta con 332 establecimientos de salud, de estos la mayoría son Postas llegando a 187, seguido por CESFAM que son 66 en la región.  La menor cantidad corresponde a Consultorios con 1 establecimiento."/>
    <s v="Gráfico"/>
    <s v="Región de Los Lagos regional establecimientos salud proporción hospitales clínicas cesfam sapu postas laboratorios dentales clínicos alta baja media complejidad diálisis vacunatorios consultorio"/>
    <x v="1036"/>
    <s v="100-R-10"/>
    <s v="#1774B9"/>
    <s v="990-1053"/>
    <n v="99200010"/>
    <s v="T-1047"/>
    <s v="C-1013"/>
    <s v="FI-993"/>
    <s v="M-1088"/>
  </r>
  <r>
    <x v="1053"/>
    <n v="990"/>
    <x v="0"/>
    <x v="4"/>
    <n v="11"/>
    <x v="58"/>
    <x v="25"/>
    <x v="1"/>
    <x v="11"/>
    <s v="Ninguno"/>
    <s v="Proporción y Cantidad  de Establecimientos de Salud "/>
    <s v="Año 2021"/>
    <s v="Número de Establecimientos"/>
    <s v="Departamento de Estadísticas e Información de la Salud (DEIS) - Ministerio de Salud"/>
    <x v="1053"/>
    <s v="En la región de Aysén existen 46 establecimientos de salud, el mayor porcentaje son Postas, llegando al 60,9% del total de la región. En segundo lugar se encuentran los CESFAM con un 10,9%. "/>
    <s v="Gráfico"/>
    <s v="Región de Aysén regional establecimientos salud proporción hospitales clínicas cesfam sapu postas laboratorios dentales clínicos alta baja media complejidad diálisis vacunatorios consultorio"/>
    <x v="1037"/>
    <s v="100-R-11"/>
    <s v="#1774B9"/>
    <s v="990-1054"/>
    <n v="99200011"/>
    <s v="T-1047"/>
    <s v="C-1013"/>
    <s v="FI-993"/>
    <s v="M-1088"/>
  </r>
  <r>
    <x v="1054"/>
    <n v="990"/>
    <x v="0"/>
    <x v="4"/>
    <n v="12"/>
    <x v="58"/>
    <x v="25"/>
    <x v="1"/>
    <x v="12"/>
    <s v="Ninguno"/>
    <s v="Proporción y Cantidad  de Establecimientos de Salud "/>
    <s v="Año 2021"/>
    <s v="Número de Establecimientos"/>
    <s v="Departamento de Estadísticas e Información de la Salud (DEIS) - Ministerio de Salud"/>
    <x v="1054"/>
    <s v="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
    <s v="Gráfico"/>
    <s v="Región de Magallanes regional establecimientos salud proporción hospitales clínicas cesfam sapu postas laboratorios dentales clínicos alta baja media complejidad diálisis vacunatorios consultorio"/>
    <x v="1038"/>
    <s v="100-R-12"/>
    <s v="#1774B9"/>
    <s v="990-1055"/>
    <n v="99200012"/>
    <s v="T-1047"/>
    <s v="C-1013"/>
    <s v="FI-993"/>
    <s v="M-1088"/>
  </r>
  <r>
    <x v="1055"/>
    <n v="990"/>
    <x v="0"/>
    <x v="4"/>
    <n v="13"/>
    <x v="58"/>
    <x v="25"/>
    <x v="1"/>
    <x v="13"/>
    <s v="Ninguno"/>
    <s v="Proporción y Cantidad  de Establecimientos de Salud "/>
    <s v="Año 2021"/>
    <s v="Número de Establecimientos"/>
    <s v="Departamento de Estadísticas e Información de la Salud (DEIS) - Ministerio de Salud"/>
    <x v="1055"/>
    <s v="La Región Metropolitana es la región con mayor cantidad de establecimientos de la salud, alcanzando en total 578. De estos, los principales son: CESFAM, SAPU y Clínicas con 40,8%; 16,3% y 14,2% respectivamente. La menor cantidad son los Centro de Diálisis con un 0,2%."/>
    <s v="Gráfico"/>
    <s v="Región Metropolitana regional establecimientos salud proporción hospitales clínicas cesfam sapu postas laboratorios dentales clínicos alta baja media complejidad diálisis vacunatorios consultorio"/>
    <x v="1039"/>
    <s v="200-R-13"/>
    <s v="#1774B9"/>
    <s v="990-1056"/>
    <n v="99200013"/>
    <s v="T-1047"/>
    <s v="C-1013"/>
    <s v="FI-993"/>
    <s v="M-1088"/>
  </r>
  <r>
    <x v="1056"/>
    <n v="990"/>
    <x v="0"/>
    <x v="4"/>
    <n v="14"/>
    <x v="58"/>
    <x v="25"/>
    <x v="1"/>
    <x v="14"/>
    <s v="Ninguno"/>
    <s v="Proporción y Cantidad  de Establecimientos de Salud "/>
    <s v="Año 2021"/>
    <s v="Número de Establecimientos"/>
    <s v="Departamento de Estadísticas e Información de la Salud (DEIS) - Ministerio de Salud"/>
    <x v="1056"/>
    <s v="En la región de Los Ríos existen 141 establecimientos de salud, el mayor porcentaje son Postas, llegando al 41,1% del total de la región. En segundo lugar se encuentran los CESFAM con un 24,1%."/>
    <s v="Gráfico"/>
    <s v="Región de Los Ríos regional establecimientos salud proporción hospitales clínicas cesfam sapu postas laboratorios dentales clínicos alta baja media complejidad diálisis vacunatorios consultorio"/>
    <x v="1040"/>
    <s v="100-R-14"/>
    <s v="#1774B9"/>
    <s v="990-1057"/>
    <n v="99200014"/>
    <s v="T-1047"/>
    <s v="C-1013"/>
    <s v="FI-993"/>
    <s v="M-1088"/>
  </r>
  <r>
    <x v="1057"/>
    <n v="990"/>
    <x v="0"/>
    <x v="4"/>
    <n v="15"/>
    <x v="58"/>
    <x v="25"/>
    <x v="1"/>
    <x v="15"/>
    <s v="Ninguno"/>
    <s v="Proporción y Cantidad  de Establecimientos de Salud "/>
    <s v="Año 2021"/>
    <s v="Número de Establecimientos"/>
    <s v="Departamento de Estadísticas e Información de la Salud (DEIS) - Ministerio de Salud"/>
    <x v="1057"/>
    <s v="En la región de Arica y Parinacota existen 36 establecimientos de salud el año 2021, de estos, los tres principales son: CESFAM con 25,0%, Postas con 19,4% y Laboratorios Clínicos o Dentales con 19,4%."/>
    <s v="Gráfico"/>
    <s v="Región de Arica y Parinacota regional establecimientos salud proporción hospitales clínicas cesfam sapu postas laboratorios dentales clínicos alta baja media complejidad diálisis vacunatorios consultorio"/>
    <x v="1041"/>
    <s v="100-R-15"/>
    <s v="#1774B9"/>
    <s v="990-1058"/>
    <n v="99200015"/>
    <s v="T-1047"/>
    <s v="C-1013"/>
    <s v="FI-993"/>
    <s v="M-1088"/>
  </r>
  <r>
    <x v="1058"/>
    <n v="990"/>
    <x v="0"/>
    <x v="4"/>
    <n v="16"/>
    <x v="58"/>
    <x v="25"/>
    <x v="1"/>
    <x v="16"/>
    <s v="Ninguno"/>
    <s v="Proporción y Cantidad  de Establecimientos de Salud "/>
    <s v="Año 2021"/>
    <s v="Número de Establecimientos"/>
    <s v="Departamento de Estadísticas e Información de la Salud (DEIS) - Ministerio de Salud"/>
    <x v="1058"/>
    <s v="La región de Ñuble cuenta con 121 establecimientos de salud, de estos la mayoría son Postas llegando a 54, seguido por CESFAM que son 37 en la región. "/>
    <s v="Gráfico"/>
    <s v="Región de Ñuble regional establecimientos salud proporción hospitales clínicas cesfam sapu postas laboratorios dentales clínicos alta baja media complejidad diálisis vacunatorios consultorio"/>
    <x v="1042"/>
    <s v="100-R-16"/>
    <s v="#1774B9"/>
    <s v="990-1059"/>
    <n v="99200016"/>
    <s v="T-1047"/>
    <s v="C-1013"/>
    <s v="FI-993"/>
    <s v="M-1088"/>
  </r>
  <r>
    <x v="1059"/>
    <n v="990"/>
    <x v="0"/>
    <x v="4"/>
    <n v="0"/>
    <x v="58"/>
    <x v="25"/>
    <x v="0"/>
    <x v="0"/>
    <s v="Región-Categoría"/>
    <s v="Cantidad  de Establecimientos de Salud "/>
    <s v="Año 2021"/>
    <s v="Número de Establecimientos"/>
    <s v="Departamento de Estadísticas e Información de la Salud (DEIS) - Ministerio de Salud"/>
    <x v="1059"/>
    <s v="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
    <s v="Mapa de calor"/>
    <s v="Chile nacional región establecimientos salud tipo hospitales clínicas cesfam sapu postas laboratorios dentales clínicos alta baja media complejidad diálisis vacunatorios consultorio"/>
    <x v="1043"/>
    <s v="300-C"/>
    <s v="#1774B9"/>
    <s v="990-1060"/>
    <n v="99100000"/>
    <s v="T-1047"/>
    <s v="C-1013"/>
    <s v="FI-1004"/>
    <s v="M-1089"/>
  </r>
  <r>
    <x v="1060"/>
    <n v="990"/>
    <x v="0"/>
    <x v="4"/>
    <n v="1"/>
    <x v="58"/>
    <x v="25"/>
    <x v="1"/>
    <x v="1"/>
    <s v="Categoría"/>
    <s v="Cantidad  de Establecimientos de Salud "/>
    <s v="Año 2021"/>
    <s v="Número de Establecimientos"/>
    <s v="Departamento de Estadísticas e Información de la Salud (DEIS) - Ministerio de Salud"/>
    <x v="1060"/>
    <s v="En la región de Tarapacá, Iquique es la comuna con la mayor cantidad de establecimiento de la salud, alcanzando a un total de 32, seguido por la comuna de Alto Hospicio con 11 establecimientos."/>
    <s v="Mapa de calor"/>
    <s v="Región Tarapacá regional comuna establecimientos salud tipo hospitales clínicas cesfam sapu postas laboratorios dentales clínicos alta baja media complejidad diálisis vacunatorios consultorio"/>
    <x v="1044"/>
    <s v="100-C-1"/>
    <s v="#1774B9"/>
    <s v="990-1061"/>
    <n v="99200001"/>
    <s v="T-1047"/>
    <s v="C-1013"/>
    <s v="FI-1002"/>
    <s v="M-1089"/>
  </r>
  <r>
    <x v="1061"/>
    <n v="990"/>
    <x v="0"/>
    <x v="4"/>
    <n v="2"/>
    <x v="58"/>
    <x v="25"/>
    <x v="1"/>
    <x v="2"/>
    <s v="Categoría"/>
    <s v="Cantidad  de Establecimientos de Salud "/>
    <s v="Año 2021"/>
    <s v="Número de Establecimientos"/>
    <s v="Departamento de Estadísticas e Información de la Salud (DEIS) - Ministerio de Salud"/>
    <x v="1061"/>
    <s v="De los 101 establecimientos de la salud de la región, 55 están en Antofagasta y 31 en Calama. Las comunas de Mejillones y Ollagüe, presentan la menor cantidad con solo 1 establecimientos "/>
    <s v="Mapa de calor"/>
    <s v="Región Antofagasta regional comuna establecimientos salud tipo hospitales clínicas cesfam sapu postas laboratorios dentales clínicos alta baja media complejidad diálisis vacunatorios consultorio"/>
    <x v="1045"/>
    <s v="100-C-2"/>
    <s v="#1774B9"/>
    <s v="990-1062"/>
    <n v="99200002"/>
    <s v="T-1047"/>
    <s v="C-1013"/>
    <s v="FI-1002"/>
    <s v="M-1089"/>
  </r>
  <r>
    <x v="1062"/>
    <n v="990"/>
    <x v="0"/>
    <x v="4"/>
    <n v="3"/>
    <x v="58"/>
    <x v="25"/>
    <x v="1"/>
    <x v="3"/>
    <s v="Categoría"/>
    <s v="Cantidad  de Establecimientos de Salud "/>
    <s v="Año 2021"/>
    <s v="Número de Establecimientos"/>
    <s v="Departamento de Estadísticas e Información de la Salud (DEIS) - Ministerio de Salud"/>
    <x v="1062"/>
    <s v="De los 72 establecimientos de la salud de la región, 27 se encuentran en la comuna de Copiapó, entre estos 8 son CESFAM, 3 son Clínicas y 3 son SAPU. La comuna de Freirina y Tierra Amarilla tienen la menor cantidad, con 2 establecimientos cada una."/>
    <s v="Mapa de calor"/>
    <s v="Región Atacama regional comuna establecimientos salud tipo hospitales clínicas cesfam sapu postas laboratorios dentales clínicos alta baja media complejidad diálisis vacunatorios consultorio"/>
    <x v="1046"/>
    <s v="100-C-3"/>
    <s v="#1774B9"/>
    <s v="990-1063"/>
    <n v="99200003"/>
    <s v="T-1047"/>
    <s v="C-1013"/>
    <s v="FI-1002"/>
    <s v="M-1089"/>
  </r>
  <r>
    <x v="1063"/>
    <n v="990"/>
    <x v="0"/>
    <x v="4"/>
    <n v="4"/>
    <x v="58"/>
    <x v="25"/>
    <x v="1"/>
    <x v="4"/>
    <s v="Categoría"/>
    <s v="Cantidad  de Establecimientos de Salud "/>
    <s v="Año 2021"/>
    <s v="Número de Establecimientos"/>
    <s v="Departamento de Estadísticas e Información de la Salud (DEIS) - Ministerio de Salud"/>
    <x v="1063"/>
    <s v="De los 190 establecimientos de salud de la región de Coquimbo, las tres comunas que tienen la mayor cantidad son: La Serena, Ovalle y Coquimbo con 35, 27 y 23 establecimientos, respectivamente. La comuna con menor cantidad es Andacollo con solo 1 establecimiento."/>
    <s v="Mapa de calor"/>
    <s v="Región Coquimbo regional comuna establecimientos salud tipo hospitales clínicas cesfam sapu postas laboratorios dentales clínicos alta baja media complejidad diálisis vacunatorios consultorio"/>
    <x v="1047"/>
    <s v="100-C-4"/>
    <s v="#1774B9"/>
    <s v="990-1064"/>
    <n v="99200004"/>
    <s v="T-1047"/>
    <s v="C-1013"/>
    <s v="FI-1002"/>
    <s v="M-1089"/>
  </r>
  <r>
    <x v="1064"/>
    <n v="990"/>
    <x v="0"/>
    <x v="4"/>
    <n v="5"/>
    <x v="58"/>
    <x v="25"/>
    <x v="1"/>
    <x v="5"/>
    <s v="Categoría"/>
    <s v="Cantidad  de Establecimientos de Salud "/>
    <s v="Año 2021"/>
    <s v="Número de Establecimientos"/>
    <s v="Departamento de Estadísticas e Información de la Salud (DEIS) - Ministerio de Salud"/>
    <x v="1064"/>
    <s v="De los 274 establecimientos de la salud de la región, las 3 comunas con más establecimientos son: Valparaíso, Viña del Mar y San Antonio, con 43, 38 y 21 establecimientos, respectivamente."/>
    <s v="Mapa de calor"/>
    <s v="Región Valparaíso regional comuna establecimientos salud tipo hospitales clínicas cesfam sapu postas laboratorios dentales clínicos alta baja media complejidad diálisis vacunatorios consultorio"/>
    <x v="1048"/>
    <s v="100-C-5"/>
    <s v="#1774B9"/>
    <s v="990-1065"/>
    <n v="99200005"/>
    <s v="T-1047"/>
    <s v="C-1013"/>
    <s v="FI-1002"/>
    <s v="M-1089"/>
  </r>
  <r>
    <x v="1065"/>
    <n v="990"/>
    <x v="0"/>
    <x v="4"/>
    <n v="6"/>
    <x v="58"/>
    <x v="25"/>
    <x v="1"/>
    <x v="6"/>
    <s v="Categoría"/>
    <s v="Cantidad  de Establecimientos de Salud "/>
    <s v="Año 2021"/>
    <s v="Número de Establecimientos"/>
    <s v="Departamento de Estadísticas e Información de la Salud (DEIS) - Ministerio de Salud"/>
    <x v="1065"/>
    <s v="En la región de O´Higgins, Rancagua presenta 34 establecimientos, seguido por San Fernando con 22 establecimientos."/>
    <s v="Mapa de calor"/>
    <s v="Región O'Higgins regional comuna establecimientos salud tipo hospitales clínicas cesfam sapu postas laboratorios dentales clínicos alta baja media complejidad diálisis vacunatorios consultorio"/>
    <x v="1049"/>
    <s v="100-C-6"/>
    <s v="#1774B9"/>
    <s v="990-1066"/>
    <n v="99200006"/>
    <s v="T-1047"/>
    <s v="C-1013"/>
    <s v="FI-1002"/>
    <s v="M-1089"/>
  </r>
  <r>
    <x v="1066"/>
    <n v="990"/>
    <x v="0"/>
    <x v="4"/>
    <n v="7"/>
    <x v="58"/>
    <x v="25"/>
    <x v="1"/>
    <x v="7"/>
    <s v="Categoría"/>
    <s v="Cantidad  de Establecimientos de Salud "/>
    <s v="Año 2021"/>
    <s v="Número de Establecimientos"/>
    <s v="Departamento de Estadísticas e Información de la Salud (DEIS) - Ministerio de Salud"/>
    <x v="1066"/>
    <s v="La región de Maule presenta 310 establecimientos de salud. Las 3 comunas con mayor cantidad son Talca con 36, Curicó con 32 y Linares con 30. Las comunas con menor cantidad son San Rafael y Empedrado con 2 establecimientos cada uno."/>
    <s v="Mapa de calor"/>
    <s v="Región Maule regional comuna establecimientos salud tipo hospitales clínicas cesfam sapu postas laboratorios dentales clínicos alta baja media complejidad diálisis vacunatorios consultorio"/>
    <x v="1050"/>
    <s v="100-C-7"/>
    <s v="#1774B9"/>
    <s v="990-1067"/>
    <n v="99200007"/>
    <s v="T-1047"/>
    <s v="C-1013"/>
    <s v="FI-1002"/>
    <s v="M-1089"/>
  </r>
  <r>
    <x v="1067"/>
    <n v="990"/>
    <x v="0"/>
    <x v="4"/>
    <n v="8"/>
    <x v="58"/>
    <x v="25"/>
    <x v="1"/>
    <x v="8"/>
    <s v="Categoría"/>
    <s v="Cantidad  de Establecimientos de Salud "/>
    <s v="Año 2021"/>
    <s v="Número de Establecimientos"/>
    <s v="Departamento de Estadísticas e Información de la Salud (DEIS) - Ministerio de Salud"/>
    <x v="1067"/>
    <s v="De los 322 establecimientos de la salud de la región, 50 estan en Concepción y 41 en Los Ángeles. Las comunas de Antuco y San Rosendo, presentan la menor cantidad con solo 2 establecimientos cada una."/>
    <s v="Mapa de calor"/>
    <s v="Región del Biobío regional comuna establecimientos salud tipo hospitales clínicas cesfam sapu postas laboratorios dentales clínicos alta baja media complejidad diálisis vacunatorios consultorio"/>
    <x v="1051"/>
    <s v="100-C-8"/>
    <s v="#1774B9"/>
    <s v="990-1068"/>
    <n v="99200008"/>
    <s v="T-1047"/>
    <s v="C-1013"/>
    <s v="FI-1002"/>
    <s v="M-1089"/>
  </r>
  <r>
    <x v="1068"/>
    <n v="990"/>
    <x v="0"/>
    <x v="4"/>
    <n v="9"/>
    <x v="58"/>
    <x v="25"/>
    <x v="1"/>
    <x v="9"/>
    <s v="Categoría"/>
    <s v="Cantidad  de Establecimientos de Salud "/>
    <s v="Año 2021"/>
    <s v="Número de Establecimientos"/>
    <s v="Departamento de Estadísticas e Información de la Salud (DEIS) - Ministerio de Salud"/>
    <x v="1068"/>
    <s v="La región de La Araucanía cuenta con Postas en todas sus comunas. Sin embargo, sólo cuenta con Hospitales de alta complejidad, en 3 comunas: Temuco, Victoria y Angol. "/>
    <s v="Mapa de calor"/>
    <s v="Región La Araucanía regional comuna establecimientos salud tipo hospitales clínicas cesfam sapu postas laboratorios dentales clínicos alta baja media complejidad diálisis vacunatorios consultorio"/>
    <x v="1052"/>
    <s v="100-C-9"/>
    <s v="#1774B9"/>
    <s v="990-1069"/>
    <n v="99200009"/>
    <s v="T-1047"/>
    <s v="C-1013"/>
    <s v="FI-1002"/>
    <s v="M-1089"/>
  </r>
  <r>
    <x v="1069"/>
    <n v="990"/>
    <x v="0"/>
    <x v="4"/>
    <n v="10"/>
    <x v="58"/>
    <x v="25"/>
    <x v="1"/>
    <x v="10"/>
    <s v="Categoría"/>
    <s v="Cantidad  de Establecimientos de Salud "/>
    <s v="Año 2021"/>
    <s v="Número de Establecimientos"/>
    <s v="Departamento de Estadísticas e Información de la Salud (DEIS) - Ministerio de Salud"/>
    <x v="1069"/>
    <s v="La región de Los Lagos cuenta con Postas en todas sus comunas. Sin embargo, solo cuenta con Hospitales de alta complejidad, en 3 comunas: Puerto Montt, Osorno y Castro. "/>
    <s v="Mapa de calor"/>
    <s v="Región Los Lagos regional comuna establecimientos salud tipo hospitales clínicas cesfam sapu postas laboratorios dentales clínicos alta baja media complejidad diálisis vacunatorios consultorio"/>
    <x v="1053"/>
    <s v="100-C-10"/>
    <s v="#1774B9"/>
    <s v="990-1070"/>
    <n v="99200010"/>
    <s v="T-1047"/>
    <s v="C-1013"/>
    <s v="FI-1002"/>
    <s v="M-1089"/>
  </r>
  <r>
    <x v="1070"/>
    <n v="990"/>
    <x v="0"/>
    <x v="4"/>
    <n v="11"/>
    <x v="58"/>
    <x v="25"/>
    <x v="1"/>
    <x v="11"/>
    <s v="Categoría"/>
    <s v="Cantidad  de Establecimientos de Salud "/>
    <s v="Año 2021"/>
    <s v="Número de Establecimientos"/>
    <s v="Departamento de Estadísticas e Información de la Salud (DEIS) - Ministerio de Salud"/>
    <x v="1070"/>
    <s v="La región de Aysén cuenta con 46 establecimientos de la salud. Las comunas con más establecimientos son Coihaique con 16 y Aysén con 8 establecimientos. Las comunas de Cochrane, Tortel y O´Higgins presentan solo 1 establecimiento cada una."/>
    <s v="Mapa de calor"/>
    <s v="Región Aysén regional comuna establecimientos salud tipo hospitales clínicas cesfam sapu postas laboratorios dentales clínicos alta baja media complejidad diálisis vacunatorios consultorio"/>
    <x v="1054"/>
    <s v="100-C-11"/>
    <s v="#1774B9"/>
    <s v="990-1071"/>
    <n v="99200011"/>
    <s v="T-1047"/>
    <s v="C-1013"/>
    <s v="FI-1002"/>
    <s v="M-1089"/>
  </r>
  <r>
    <x v="1071"/>
    <n v="990"/>
    <x v="0"/>
    <x v="4"/>
    <n v="12"/>
    <x v="58"/>
    <x v="25"/>
    <x v="1"/>
    <x v="12"/>
    <s v="Categoría"/>
    <s v="Cantidad  de Establecimientos de Salud "/>
    <s v="Año 2021"/>
    <s v="Número de Establecimientos"/>
    <s v="Departamento de Estadísticas e Información de la Salud (DEIS) - Ministerio de Salud"/>
    <x v="1071"/>
    <s v="La comuna de Punta Arenas es la que presenta mayor cantidad de establecimientos de salud en la región, llegando a 22, de estos 1 es Hospital de alta complejidad, 8 son CESFAM y 3 son SAPU."/>
    <s v="Mapa de calor"/>
    <s v="Región Magallanes regional comuna establecimientos salud tipo hospitales clínicas cesfam sapu postas laboratorios dentales clínicos alta baja media complejidad diálisis vacunatorios consultorio"/>
    <x v="1055"/>
    <s v="100-C-12"/>
    <s v="#1774B9"/>
    <s v="990-1072"/>
    <n v="99200012"/>
    <s v="T-1047"/>
    <s v="C-1013"/>
    <s v="FI-1002"/>
    <s v="M-1089"/>
  </r>
  <r>
    <x v="1072"/>
    <n v="990"/>
    <x v="0"/>
    <x v="4"/>
    <n v="13"/>
    <x v="58"/>
    <x v="25"/>
    <x v="1"/>
    <x v="13"/>
    <s v="Categoría"/>
    <s v="Cantidad  de Establecimientos de Salud "/>
    <s v="Año 2021"/>
    <s v="Número de Establecimientos"/>
    <s v="Departamento de Estadísticas e Información de la Salud (DEIS) - Ministerio de Salud"/>
    <x v="1072"/>
    <s v="La región Metropolitana es la que cuenta con la mayor cantidad de establecimientos de salud en el país. Las comunas con mayor cantidad son: Providencia con 50, Santiago con 37 y La Florida con 27. Por otro lado, 13 comunas cuentan con hospitales de alta complejidad."/>
    <s v="Mapa de calor"/>
    <s v="Región Metropolitana regional comuna establecimientos salud tipo hospitales clínicas cesfam sapu postas laboratorios dentales clínicos alta baja media complejidad diálisis vacunatorios consultorio"/>
    <x v="1056"/>
    <s v="200-C-13"/>
    <s v="#1774B9"/>
    <s v="990-1073"/>
    <n v="99200013"/>
    <s v="T-1047"/>
    <s v="C-1013"/>
    <s v="FI-1002"/>
    <s v="M-1089"/>
  </r>
  <r>
    <x v="1073"/>
    <n v="990"/>
    <x v="0"/>
    <x v="4"/>
    <n v="14"/>
    <x v="58"/>
    <x v="25"/>
    <x v="1"/>
    <x v="14"/>
    <s v="Categoría"/>
    <s v="Cantidad  de Establecimientos de Salud "/>
    <s v="Año 2021"/>
    <s v="Número de Establecimientos"/>
    <s v="Departamento de Estadísticas e Información de la Salud (DEIS) - Ministerio de Salud"/>
    <x v="1073"/>
    <s v="La comuna de Valdivia es la que presenta mayor cantidad de establecimientos de salud en la región, llegando a 43, de estos 1 es Hospital de alta complejidad, 11 son CESFAM y 4 son SAPU."/>
    <s v="Mapa de calor"/>
    <s v="Región Los Ríos regional comuna establecimientos salud tipo hospitales clínicas cesfam sapu postas laboratorios dentales clínicos alta baja media complejidad diálisis vacunatorios consultorio"/>
    <x v="1057"/>
    <s v="100-C-14"/>
    <s v="#1774B9"/>
    <s v="990-1074"/>
    <n v="99200014"/>
    <s v="T-1047"/>
    <s v="C-1013"/>
    <s v="FI-1002"/>
    <s v="M-1089"/>
  </r>
  <r>
    <x v="1074"/>
    <n v="990"/>
    <x v="0"/>
    <x v="4"/>
    <n v="15"/>
    <x v="58"/>
    <x v="25"/>
    <x v="1"/>
    <x v="15"/>
    <s v="Categoría"/>
    <s v="Cantidad  de Establecimientos de Salud "/>
    <s v="Año 2021"/>
    <s v="Número de Establecimientos"/>
    <s v="Departamento de Estadísticas e Información de la Salud (DEIS) - Ministerio de Salud"/>
    <x v="1074"/>
    <s v="La región de Arica y Parinacota cuenta con 36 establecimientos de salud. La comuna de Arica presenta la mayor cantidad con 31. De estos 8 son CESFAM, 1 es SAPU y 1 es Hospital de complejidad. "/>
    <s v="Mapa de calor"/>
    <s v="Región Arica y Parinacota regional comuna establecimientos salud tipo hospitales clínicas cesfam sapu postas laboratorios dentales clínicos alta baja media complejidad diálisis vacunatorios consultorio"/>
    <x v="1058"/>
    <s v="100-C-15"/>
    <s v="#1774B9"/>
    <s v="990-1075"/>
    <n v="99200015"/>
    <s v="T-1047"/>
    <s v="C-1013"/>
    <s v="FI-1002"/>
    <s v="M-1089"/>
  </r>
  <r>
    <x v="1075"/>
    <n v="990"/>
    <x v="0"/>
    <x v="4"/>
    <n v="16"/>
    <x v="58"/>
    <x v="25"/>
    <x v="1"/>
    <x v="16"/>
    <s v="Categoría"/>
    <s v="Cantidad  de Establecimientos de Salud "/>
    <s v="Año 2021"/>
    <s v="Número de Establecimientos"/>
    <s v="Departamento de Estadísticas e Información de la Salud (DEIS) - Ministerio de Salud"/>
    <x v="1075"/>
    <s v="La región del Ñuble cuenta con 121 establecimientos de la salud, 33 se ubican en la comuna de Chillán y 12 en la comuna de San Carlos. Las comunas de Quirihue y San Nicolás cuentan con solo 2 establecimientos cada una."/>
    <s v="Mapa de calor"/>
    <s v="Región Ñuble regional comuna establecimientos salud tipo hospitales clínicas cesfam sapu postas laboratorios dentales clínicos alta baja media complejidad diálisis vacunatorios consultorio"/>
    <x v="1059"/>
    <s v="100-C-16"/>
    <s v="#1774B9"/>
    <s v="990-1076"/>
    <n v="99200016"/>
    <s v="T-1047"/>
    <s v="C-1013"/>
    <s v="FI-1002"/>
    <s v="M-1089"/>
  </r>
  <r>
    <x v="1076"/>
    <n v="990"/>
    <x v="0"/>
    <x v="4"/>
    <n v="0"/>
    <x v="58"/>
    <x v="25"/>
    <x v="0"/>
    <x v="0"/>
    <s v="Región"/>
    <s v="Proporción y Cantidad  de Establecimientos de Salud "/>
    <s v="Año 2021"/>
    <s v="Número de Establecimientos"/>
    <s v="Departamento de Estadísticas e Información de la Salud (DEIS) - Ministerio de Salud"/>
    <x v="1076"/>
    <s v="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
    <s v="Gráfico"/>
    <s v="Chile nacional región establecimientos salud tipo proporción privados públicos"/>
    <x v="1060"/>
    <s v="300-R"/>
    <s v="#1774B9"/>
    <s v="990-1077"/>
    <n v="99100000"/>
    <s v="T-1047"/>
    <s v="C-1013"/>
    <s v="FI-992"/>
    <s v="M-1088"/>
  </r>
  <r>
    <x v="1077"/>
    <n v="990"/>
    <x v="0"/>
    <x v="4"/>
    <n v="1"/>
    <x v="58"/>
    <x v="25"/>
    <x v="1"/>
    <x v="1"/>
    <s v="Ninguno"/>
    <s v="Proporción y Cantidad  de Establecimientos de Salud "/>
    <s v="Año 2021"/>
    <s v="Número de Establecimientos"/>
    <s v="Departamento de Estadísticas e Información de la Salud (DEIS) - Ministerio de Salud"/>
    <x v="1077"/>
    <s v="La región de Tarapacá cuenta con 64 establecimientos de salud, de ellos, 38 son establecimientos públicos que corresponden al 59,4% del total regional."/>
    <s v="Gráfico"/>
    <s v="Región de Tarapacá regional establecimientos salud tipo proporción privados públicos"/>
    <x v="1061"/>
    <s v="100-R-1"/>
    <s v="#1774B9"/>
    <s v="990-1078"/>
    <n v="99200001"/>
    <s v="T-1047"/>
    <s v="C-1013"/>
    <s v="FI-993"/>
    <s v="M-1088"/>
  </r>
  <r>
    <x v="1078"/>
    <n v="990"/>
    <x v="0"/>
    <x v="4"/>
    <n v="2"/>
    <x v="58"/>
    <x v="25"/>
    <x v="1"/>
    <x v="2"/>
    <s v="Ninguno"/>
    <s v="Proporción y Cantidad  de Establecimientos de Salud "/>
    <s v="Año 2021"/>
    <s v="Número de Establecimientos"/>
    <s v="Departamento de Estadísticas e Información de la Salud (DEIS) - Ministerio de Salud"/>
    <x v="1078"/>
    <s v="La región de Antofagasta cuenta con 101 establecimientos de salud, de ellos, 57 son establecimientos privados que corresponden al 56,4% del total regional."/>
    <s v="Gráfico"/>
    <s v="Región de Antofagasta regional establecimientos salud tipo proporción privados públicos"/>
    <x v="1062"/>
    <s v="100-R-2"/>
    <s v="#1774B9"/>
    <s v="990-1079"/>
    <n v="99200002"/>
    <s v="T-1047"/>
    <s v="C-1013"/>
    <s v="FI-993"/>
    <s v="M-1088"/>
  </r>
  <r>
    <x v="1079"/>
    <n v="990"/>
    <x v="0"/>
    <x v="4"/>
    <n v="3"/>
    <x v="58"/>
    <x v="25"/>
    <x v="1"/>
    <x v="3"/>
    <s v="Ninguno"/>
    <s v="Proporción y Cantidad  de Establecimientos de Salud "/>
    <s v="Año 2021"/>
    <s v="Número de Establecimientos"/>
    <s v="Departamento de Estadísticas e Información de la Salud (DEIS) - Ministerio de Salud"/>
    <x v="1079"/>
    <s v="En la región de Atacama el 65,3% de los establecimientos de salud son públicos, que equivalen a 47 establecimientos."/>
    <s v="Gráfico"/>
    <s v="Región de Atacama regional establecimientos salud tipo proporción privados públicos"/>
    <x v="1063"/>
    <s v="100-R-3"/>
    <s v="#1774B9"/>
    <s v="990-1080"/>
    <n v="99200003"/>
    <s v="T-1047"/>
    <s v="C-1013"/>
    <s v="FI-993"/>
    <s v="M-1088"/>
  </r>
  <r>
    <x v="1080"/>
    <n v="990"/>
    <x v="0"/>
    <x v="4"/>
    <n v="4"/>
    <x v="58"/>
    <x v="25"/>
    <x v="1"/>
    <x v="4"/>
    <s v="Ninguno"/>
    <s v="Proporción y Cantidad  de Establecimientos de Salud "/>
    <s v="Año 2021"/>
    <s v="Número de Establecimientos"/>
    <s v="Departamento de Estadísticas e Información de la Salud (DEIS) - Ministerio de Salud"/>
    <x v="1080"/>
    <s v="La región de Coquimbo cuenta con 190 establecimientos de salud, de ellos, el 83,7% corresponde a establecimientos públicos."/>
    <s v="Gráfico"/>
    <s v="Región de Coquimbo regional establecimientos salud tipo proporción privados públicos"/>
    <x v="1064"/>
    <s v="100-R-4"/>
    <s v="#1774B9"/>
    <s v="990-1081"/>
    <n v="99200004"/>
    <s v="T-1047"/>
    <s v="C-1013"/>
    <s v="FI-993"/>
    <s v="M-1088"/>
  </r>
  <r>
    <x v="1081"/>
    <n v="990"/>
    <x v="0"/>
    <x v="4"/>
    <n v="5"/>
    <x v="58"/>
    <x v="25"/>
    <x v="1"/>
    <x v="5"/>
    <s v="Ninguno"/>
    <s v="Proporción y Cantidad  de Establecimientos de Salud "/>
    <s v="Año 2021"/>
    <s v="Número de Establecimientos"/>
    <s v="Departamento de Estadísticas e Información de la Salud (DEIS) - Ministerio de Salud"/>
    <x v="1081"/>
    <s v="La región de Valparaíso cuenta con 274 establecimientos de salud, 216 son públicos y 58 privados, que corresponden al 78,8% y 21,2% respectivamente."/>
    <s v="Gráfico"/>
    <s v="Región de Valparaíso regional establecimientos salud tipo proporción privados públicos"/>
    <x v="1065"/>
    <s v="100-R-5"/>
    <s v="#1774B9"/>
    <s v="990-1082"/>
    <n v="99200005"/>
    <s v="T-1047"/>
    <s v="C-1013"/>
    <s v="FI-993"/>
    <s v="M-1088"/>
  </r>
  <r>
    <x v="1082"/>
    <n v="990"/>
    <x v="0"/>
    <x v="4"/>
    <n v="6"/>
    <x v="58"/>
    <x v="25"/>
    <x v="1"/>
    <x v="6"/>
    <s v="Ninguno"/>
    <s v="Proporción y Cantidad  de Establecimientos de Salud "/>
    <s v="Año 2021"/>
    <s v="Número de Establecimientos"/>
    <s v="Departamento de Estadísticas e Información de la Salud (DEIS) - Ministerio de Salud"/>
    <x v="1082"/>
    <s v="En la región de O'Higgins el 75,6% de los establecimientos de salud son públicos, lo que equivale a 149 establecimientos. "/>
    <s v="Gráfico"/>
    <s v="Región de O'Higgins regional establecimientos salud tipo proporción privados públicos"/>
    <x v="1066"/>
    <s v="100-R-6"/>
    <s v="#1774B9"/>
    <s v="990-1083"/>
    <n v="99200006"/>
    <s v="T-1047"/>
    <s v="C-1013"/>
    <s v="FI-993"/>
    <s v="M-1088"/>
  </r>
  <r>
    <x v="1083"/>
    <n v="990"/>
    <x v="0"/>
    <x v="4"/>
    <n v="7"/>
    <x v="58"/>
    <x v="25"/>
    <x v="1"/>
    <x v="7"/>
    <s v="Ninguno"/>
    <s v="Proporción y Cantidad  de Establecimientos de Salud "/>
    <s v="Año 2021"/>
    <s v="Número de Establecimientos"/>
    <s v="Departamento de Estadísticas e Información de la Salud (DEIS) - Ministerio de Salud"/>
    <x v="1083"/>
    <s v="La región de Maule presenta 310 establecimientos de salud, de ellos, el  82,6% corresponde a establecimientos públicos."/>
    <s v="Gráfico"/>
    <s v="Región de Maule regional establecimientos salud tipo proporción privados públicos"/>
    <x v="1067"/>
    <s v="100-R-7"/>
    <s v="#1774B9"/>
    <s v="990-1084"/>
    <n v="99200007"/>
    <s v="T-1047"/>
    <s v="C-1013"/>
    <s v="FI-993"/>
    <s v="M-1088"/>
  </r>
  <r>
    <x v="1084"/>
    <n v="990"/>
    <x v="0"/>
    <x v="4"/>
    <n v="8"/>
    <x v="58"/>
    <x v="25"/>
    <x v="1"/>
    <x v="8"/>
    <s v="Ninguno"/>
    <s v="Proporción y Cantidad  de Establecimientos de Salud "/>
    <s v="Año 2021"/>
    <s v="Número de Establecimientos"/>
    <s v="Departamento de Estadísticas e Información de la Salud (DEIS) - Ministerio de Salud"/>
    <x v="1084"/>
    <s v="En la región del Biobío el 80,7% de los establecimientos de salud son públicos, lo que equivale a 260 establecimientos. "/>
    <s v="Gráfico"/>
    <s v="Región del Biobío regional establecimientos salud tipo proporción privados públicos"/>
    <x v="1068"/>
    <s v="100-R-8"/>
    <s v="#1774B9"/>
    <s v="990-1085"/>
    <n v="99200008"/>
    <s v="T-1047"/>
    <s v="C-1013"/>
    <s v="FI-993"/>
    <s v="M-1088"/>
  </r>
  <r>
    <x v="1085"/>
    <n v="990"/>
    <x v="0"/>
    <x v="4"/>
    <n v="9"/>
    <x v="58"/>
    <x v="25"/>
    <x v="1"/>
    <x v="9"/>
    <s v="Ninguno"/>
    <s v="Proporción y Cantidad  de Establecimientos de Salud "/>
    <s v="Año 2021"/>
    <s v="Número de Establecimientos"/>
    <s v="Departamento de Estadísticas e Información de la Salud (DEIS) - Ministerio de Salud"/>
    <x v="1085"/>
    <s v="La región de La Araucanía presenta 327 establecimientos de salud, de ellos, el 88,7% corresponde a establecimientos públicos."/>
    <s v="Gráfico"/>
    <s v="Región de La Araucanía regional establecimientos salud tipo proporción privados públicos"/>
    <x v="1069"/>
    <s v="100-R-9"/>
    <s v="#1774B9"/>
    <s v="990-1086"/>
    <n v="99200009"/>
    <s v="T-1047"/>
    <s v="C-1013"/>
    <s v="FI-993"/>
    <s v="M-1088"/>
  </r>
  <r>
    <x v="1086"/>
    <n v="990"/>
    <x v="0"/>
    <x v="4"/>
    <n v="10"/>
    <x v="58"/>
    <x v="25"/>
    <x v="1"/>
    <x v="10"/>
    <s v="Ninguno"/>
    <s v="Proporción y Cantidad  de Establecimientos de Salud "/>
    <s v="Año 2021"/>
    <s v="Número de Establecimientos"/>
    <s v="Departamento de Estadísticas e Información de la Salud (DEIS) - Ministerio de Salud"/>
    <x v="1086"/>
    <s v="En la región de Los Lagos el 85,2% de los establecimientos de salud son públicos, lo que equivale a 283 establecimientos. "/>
    <s v="Gráfico"/>
    <s v="Región de Los Lagos regional establecimientos salud tipo proporción privados públicos"/>
    <x v="1070"/>
    <s v="100-R-10"/>
    <s v="#1774B9"/>
    <s v="990-1087"/>
    <n v="99200010"/>
    <s v="T-1047"/>
    <s v="C-1013"/>
    <s v="FI-993"/>
    <s v="M-1088"/>
  </r>
  <r>
    <x v="1087"/>
    <n v="990"/>
    <x v="0"/>
    <x v="4"/>
    <n v="11"/>
    <x v="58"/>
    <x v="25"/>
    <x v="1"/>
    <x v="11"/>
    <s v="Ninguno"/>
    <s v="Proporción y Cantidad  de Establecimientos de Salud "/>
    <s v="Año 2021"/>
    <s v="Número de Establecimientos"/>
    <s v="Departamento de Estadísticas e Información de la Salud (DEIS) - Ministerio de Salud"/>
    <x v="1087"/>
    <s v="En la región de Aysén el 89,1% de los establecimientos de salud son públicos, lo que equivale a 41 establecimientos. "/>
    <s v="Gráfico"/>
    <s v="Región de Aysén regional establecimientos salud tipo proporción privados públicos"/>
    <x v="1071"/>
    <s v="100-R-11"/>
    <s v="#1774B9"/>
    <s v="990-1088"/>
    <n v="99200011"/>
    <s v="T-1047"/>
    <s v="C-1013"/>
    <s v="FI-993"/>
    <s v="M-1088"/>
  </r>
  <r>
    <x v="1088"/>
    <n v="990"/>
    <x v="0"/>
    <x v="4"/>
    <n v="12"/>
    <x v="58"/>
    <x v="25"/>
    <x v="1"/>
    <x v="12"/>
    <s v="Ninguno"/>
    <s v="Proporción y Cantidad  de Establecimientos de Salud "/>
    <s v="Año 2021"/>
    <s v="Número de Establecimientos"/>
    <s v="Departamento de Estadísticas e Información de la Salud (DEIS) - Ministerio de Salud"/>
    <x v="1088"/>
    <s v="En la región de Magallanes el 70,3% de los establecimientos de salud son públicos, lo que equivale a 26 establecimientos. "/>
    <s v="Gráfico"/>
    <s v="Región de Magallanes regional establecimientos salud tipo proporción privados públicos"/>
    <x v="1072"/>
    <s v="100-R-12"/>
    <s v="#1774B9"/>
    <s v="990-1089"/>
    <n v="99200012"/>
    <s v="T-1047"/>
    <s v="C-1013"/>
    <s v="FI-993"/>
    <s v="M-1088"/>
  </r>
  <r>
    <x v="1089"/>
    <n v="990"/>
    <x v="0"/>
    <x v="4"/>
    <n v="13"/>
    <x v="58"/>
    <x v="25"/>
    <x v="1"/>
    <x v="13"/>
    <s v="Ninguno"/>
    <s v="Proporción y Cantidad  de Establecimientos de Salud "/>
    <s v="Año 2021"/>
    <s v="Número de Establecimientos"/>
    <s v="Departamento de Estadísticas e Información de la Salud (DEIS) - Ministerio de Salud"/>
    <x v="1089"/>
    <s v="En la región Metropolitana el 72% de los establecimientos de salud son públicos, lo que equivale a 416 establecimientos. "/>
    <s v="Gráfico"/>
    <s v="Región Metropolitana regional establecimientos salud tipo proporción privados públicos"/>
    <x v="1073"/>
    <s v="200-R-13"/>
    <s v="#1774B9"/>
    <s v="990-1090"/>
    <n v="99200013"/>
    <s v="T-1047"/>
    <s v="C-1013"/>
    <s v="FI-993"/>
    <s v="M-1088"/>
  </r>
  <r>
    <x v="1090"/>
    <n v="990"/>
    <x v="0"/>
    <x v="4"/>
    <n v="14"/>
    <x v="58"/>
    <x v="25"/>
    <x v="1"/>
    <x v="14"/>
    <s v="Ninguno"/>
    <s v="Proporción y Cantidad  de Establecimientos de Salud "/>
    <s v="Año 2021"/>
    <s v="Número de Establecimientos"/>
    <s v="Departamento de Estadísticas e Información de la Salud (DEIS) - Ministerio de Salud"/>
    <x v="1090"/>
    <s v="La región de Los Ríos cuenta con 141 establecimientos de salud, de ellos, el 78,0% corresponde a establecimientos públicos."/>
    <s v="Gráfico"/>
    <s v="Región de Los Ríos regional establecimientos salud tipo proporción privados públicos"/>
    <x v="1074"/>
    <s v="100-R-14"/>
    <s v="#1774B9"/>
    <s v="990-1091"/>
    <n v="99200014"/>
    <s v="T-1047"/>
    <s v="C-1013"/>
    <s v="FI-993"/>
    <s v="M-1088"/>
  </r>
  <r>
    <x v="1091"/>
    <n v="990"/>
    <x v="0"/>
    <x v="4"/>
    <n v="15"/>
    <x v="58"/>
    <x v="25"/>
    <x v="1"/>
    <x v="15"/>
    <s v="Ninguno"/>
    <s v="Proporción y Cantidad  de Establecimientos de Salud "/>
    <s v="Año 2021"/>
    <s v="Número de Establecimientos"/>
    <s v="Departamento de Estadísticas e Información de la Salud (DEIS) - Ministerio de Salud"/>
    <x v="1091"/>
    <s v="La región de Arica y Parinacota cuenta con 36 establecimientos de salud, el año 2021, es la única región que cuenta con la misma cantidad de establecimientos privados y públicos, 18 de cada uno."/>
    <s v="Gráfico"/>
    <s v="Región de Arica y Parinacota regional establecimientos salud tipo proporción privados públicos"/>
    <x v="1075"/>
    <s v="100-R-15"/>
    <s v="#1774B9"/>
    <s v="990-1092"/>
    <n v="99200015"/>
    <s v="T-1047"/>
    <s v="C-1013"/>
    <s v="FI-993"/>
    <s v="M-1088"/>
  </r>
  <r>
    <x v="1092"/>
    <n v="990"/>
    <x v="0"/>
    <x v="4"/>
    <n v="16"/>
    <x v="58"/>
    <x v="25"/>
    <x v="1"/>
    <x v="16"/>
    <s v="Ninguno"/>
    <s v="Proporción y Cantidad  de Establecimientos de Salud "/>
    <s v="Año 2021"/>
    <s v="Número de Establecimientos"/>
    <s v="Departamento de Estadísticas e Información de la Salud (DEIS) - Ministerio de Salud"/>
    <x v="1092"/>
    <s v="En la región de Ñuble el 86% de los establecimientos de salud son públicos, lo que equivale a 104 establecimientos. "/>
    <s v="Gráfico"/>
    <s v="Región de Ñuble regional establecimientos salud tipo proporción privados públicos"/>
    <x v="1076"/>
    <s v="100-R-16"/>
    <s v="#1774B9"/>
    <s v="990-1093"/>
    <n v="99200016"/>
    <s v="T-1047"/>
    <s v="C-1013"/>
    <s v="FI-993"/>
    <s v="M-1088"/>
  </r>
  <r>
    <x v="1093"/>
    <n v="990"/>
    <x v="0"/>
    <x v="2"/>
    <n v="0"/>
    <x v="59"/>
    <x v="2"/>
    <x v="0"/>
    <x v="0"/>
    <s v="Región"/>
    <s v="Cantidad de atenciones por concepto de urgencia y región"/>
    <s v="Periodo 2010-2016"/>
    <s v="Número de atenciones médicas"/>
    <s v="Departamento de Estadísticas e Información de la Salud (DEIS) - Ministerio de Salud"/>
    <x v="1093"/>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de Evolución"/>
    <s v="Chile nacional región atenciones médicas salud violencia género concepto urgencia abuso sexual violación anticonceptivo anticoncepción estupro física intrafamiliar emergencia"/>
    <x v="1077"/>
    <s v="300-R"/>
    <s v="#1774B9"/>
    <s v="990-1094"/>
    <n v="99100000"/>
    <s v="T-1040"/>
    <s v="C-996"/>
    <s v="FI-992"/>
    <s v="M-1090"/>
  </r>
  <r>
    <x v="1094"/>
    <n v="990"/>
    <x v="0"/>
    <x v="2"/>
    <n v="1"/>
    <x v="59"/>
    <x v="2"/>
    <x v="1"/>
    <x v="1"/>
    <s v="Ninguno"/>
    <s v="Cantidad de atenciones por concepto de urgencia"/>
    <s v="Periodo 2010-2016"/>
    <s v="Número de atenciones médicas"/>
    <s v="Departamento de Estadísticas e Información de la Salud (DEIS) - Ministerio de Salud"/>
    <x v="1094"/>
    <s v="Las Atenciones en Salud por Violencia de Género se califican de acuerdo al concepto bajo el cual fue ingresada la urgencia. En la región de Tarapacá, el concepto &quot;Otra Violencia&quot; fue el más común durante el periodo 2010-2016,  registrando el año 2010, 585 atenciones."/>
    <s v="Gráfico de Evolución"/>
    <s v="Región de Tarapacá regional atenciones médicas salud violencia género concepto urgencia abuso sexual violación anticonceptivo anticoncepción estupro física intrafamiliar emergencia"/>
    <x v="1078"/>
    <s v="100-R-1"/>
    <s v="#1774B9"/>
    <s v="990-1095"/>
    <n v="99200001"/>
    <s v="T-1040"/>
    <s v="C-996"/>
    <s v="FI-993"/>
    <s v="M-1091"/>
  </r>
  <r>
    <x v="1095"/>
    <n v="990"/>
    <x v="0"/>
    <x v="2"/>
    <n v="2"/>
    <x v="59"/>
    <x v="2"/>
    <x v="1"/>
    <x v="2"/>
    <s v="Ninguno"/>
    <s v="Cantidad de atenciones por concepto de urgencia"/>
    <s v="Periodo 2010-2016"/>
    <s v="Número de atenciones médicas"/>
    <s v="Departamento de Estadísticas e Información de la Salud (DEIS) - Ministerio de Salud"/>
    <x v="1095"/>
    <s v="Las Atenciones en Salud por Violencia de Género se califican de acuerdo al concepto bajo el cual fue ingresada la urgencia. En la región de Antofagasta, el concepto &quot;Otra Violencia&quot; fue el más común durante el periodo 2010-2016, seguido por &quot;Violencia Intrafamiliar&quot; para el año 2016."/>
    <s v="Gráfico de Evolución"/>
    <s v="Región de Antofagasta regional atenciones médicas salud violencia género concepto urgencia abuso sexual violación anticonceptivo anticoncepción estupro física intrafamiliar emergencia"/>
    <x v="1079"/>
    <s v="100-R-2"/>
    <s v="#1774B9"/>
    <s v="990-1096"/>
    <n v="99200002"/>
    <s v="T-1040"/>
    <s v="C-996"/>
    <s v="FI-993"/>
    <s v="M-1091"/>
  </r>
  <r>
    <x v="1096"/>
    <n v="990"/>
    <x v="0"/>
    <x v="2"/>
    <n v="3"/>
    <x v="59"/>
    <x v="2"/>
    <x v="1"/>
    <x v="3"/>
    <s v="Ninguno"/>
    <s v="Cantidad de atenciones por concepto de urgencia"/>
    <s v="Periodo 2010-2016"/>
    <s v="Número de atenciones médicas"/>
    <s v="Departamento de Estadísticas e Información de la Salud (DEIS) - Ministerio de Salud"/>
    <x v="1096"/>
    <s v="Las Atenciones en Salud por Violencia de Género se califican de acuerdo al concepto bajo el cual fue ingresada la urgencia. En la región de Atacama, el concepto &quot;Otra Violencia&quot; fue el más común durante el periodo 2010-2016,  registrando el mayor número de casos, el año 2016, con 2.089 atenciones. "/>
    <s v="Gráfico de Evolución"/>
    <s v="Región de Atacama regional atenciones médicas salud violencia género concepto urgencia abuso sexual violación anticonceptivo anticoncepción estupro física intrafamiliar emergencia"/>
    <x v="1080"/>
    <s v="100-R-3"/>
    <s v="#1774B9"/>
    <s v="990-1097"/>
    <n v="99200003"/>
    <s v="T-1040"/>
    <s v="C-996"/>
    <s v="FI-993"/>
    <s v="M-1091"/>
  </r>
  <r>
    <x v="1097"/>
    <n v="990"/>
    <x v="0"/>
    <x v="2"/>
    <n v="4"/>
    <x v="59"/>
    <x v="2"/>
    <x v="1"/>
    <x v="4"/>
    <s v="Ninguno"/>
    <s v="Cantidad de atenciones por concepto de urgencia"/>
    <s v="Periodo 2010-2016"/>
    <s v="Número de atenciones médicas"/>
    <s v="Departamento de Estadísticas e Información de la Salud (DEIS) - Ministerio de Salud"/>
    <x v="1097"/>
    <s v="Las Atenciones en Salud por Violencia de Género se califican de acuerdo al concepto bajo el cual fue ingresada la urgencia. En la región de Coquimbo, el concepto &quot;Otra Violencia&quot; fue el más común durante el periodo 2010-2016,  registrando el mayor número de casos, el año 2010, con 2.004 atenciones. "/>
    <s v="Gráfico de Evolución"/>
    <s v="Región de Coquimbo regional atenciones médicas salud violencia género concepto urgencia abuso sexual violación anticonceptivo anticoncepción estupro física intrafamiliar emergencia"/>
    <x v="1081"/>
    <s v="100-R-4"/>
    <s v="#1774B9"/>
    <s v="990-1098"/>
    <n v="99200004"/>
    <s v="T-1040"/>
    <s v="C-996"/>
    <s v="FI-993"/>
    <s v="M-1091"/>
  </r>
  <r>
    <x v="1098"/>
    <n v="990"/>
    <x v="0"/>
    <x v="2"/>
    <n v="5"/>
    <x v="59"/>
    <x v="2"/>
    <x v="1"/>
    <x v="5"/>
    <s v="Ninguno"/>
    <s v="Cantidad de atenciones por concepto de urgencia"/>
    <s v="Periodo 2010-2016"/>
    <s v="Número de atenciones médicas"/>
    <s v="Departamento de Estadísticas e Información de la Salud (DEIS) - Ministerio de Salud"/>
    <x v="1098"/>
    <s v="Las Atenciones en Salud por Violencia de Género se califican de acuerdo al concepto bajo el cual fue ingresada la urgencia. En la región de Valparaíso, el concepto &quot;Otra Violencia&quot; fue el más común durante el periodo 2010-2016, seguido por &quot;Violencia Intrafamiliar&quot;, en el año 2016."/>
    <s v="Gráfico de Evolución"/>
    <s v="Región de Valparaíso regional atenciones médicas salud violencia género concepto urgencia abuso sexual violación anticonceptivo anticoncepción estupro física intrafamiliar emergencia"/>
    <x v="1082"/>
    <s v="100-R-5"/>
    <s v="#1774B9"/>
    <s v="990-1099"/>
    <n v="99200005"/>
    <s v="T-1040"/>
    <s v="C-996"/>
    <s v="FI-993"/>
    <s v="M-1091"/>
  </r>
  <r>
    <x v="1099"/>
    <n v="990"/>
    <x v="0"/>
    <x v="2"/>
    <n v="6"/>
    <x v="59"/>
    <x v="2"/>
    <x v="1"/>
    <x v="6"/>
    <s v="Ninguno"/>
    <s v="Cantidad de atenciones por concepto de urgencia"/>
    <s v="Periodo 2010-2016"/>
    <s v="Número de atenciones médicas"/>
    <s v="Departamento de Estadísticas e Información de la Salud (DEIS) - Ministerio de Salud"/>
    <x v="1099"/>
    <s v="Las Atenciones en Salud por Violencia de Género se califican de acuerdo al concepto bajo el cual fue ingresada la urgencia. En la región de O'Higgins, el concepto &quot;Otra Violencia&quot; fue el más común durante el periodo 2010-2016, seguido por &quot;Violencia Intrafamiliar&quot;, en el año 2016."/>
    <s v="Gráfico de Evolución"/>
    <s v="Región de O'Higgins regional atenciones médicas salud violencia género concepto urgencia abuso sexual violación anticonceptivo anticoncepción estupro física intrafamiliar emergencia"/>
    <x v="1083"/>
    <s v="100-R-6"/>
    <s v="#1774B9"/>
    <s v="990-1100"/>
    <n v="99200006"/>
    <s v="T-1040"/>
    <s v="C-996"/>
    <s v="FI-993"/>
    <s v="M-1091"/>
  </r>
  <r>
    <x v="1100"/>
    <n v="990"/>
    <x v="0"/>
    <x v="2"/>
    <n v="7"/>
    <x v="59"/>
    <x v="2"/>
    <x v="1"/>
    <x v="7"/>
    <s v="Ninguno"/>
    <s v="Cantidad de atenciones por concepto de urgencia"/>
    <s v="Periodo 2010-2016"/>
    <s v="Número de atenciones médicas"/>
    <s v="Departamento de Estadísticas e Información de la Salud (DEIS) - Ministerio de Salud"/>
    <x v="1100"/>
    <s v="Las Atenciones en Salud por Violencia de Género se califican de acuerdo al concepto bajo el cual fue ingresada la urgencia. En la región del Maule, el concepto &quot;Otra Violencia&quot; fue el más común durante el periodo 2010-2016,  registrando el mayor número de casos, el año 2016, con 4.932 atenciones."/>
    <s v="Gráfico de Evolución"/>
    <s v="Región de Maule regional atenciones médicas salud violencia género concepto urgencia abuso sexual violación anticonceptivo anticoncepción estupro física intrafamiliar emergencia"/>
    <x v="1084"/>
    <s v="100-R-7"/>
    <s v="#1774B9"/>
    <s v="990-1101"/>
    <n v="99200007"/>
    <s v="T-1040"/>
    <s v="C-996"/>
    <s v="FI-993"/>
    <s v="M-1091"/>
  </r>
  <r>
    <x v="1101"/>
    <n v="990"/>
    <x v="0"/>
    <x v="2"/>
    <n v="8"/>
    <x v="59"/>
    <x v="2"/>
    <x v="1"/>
    <x v="8"/>
    <s v="Ninguno"/>
    <s v="Cantidad de atenciones por concepto de urgencia"/>
    <s v="Periodo 2010-2016"/>
    <s v="Número de atenciones médicas"/>
    <s v="Departamento de Estadísticas e Información de la Salud (DEIS) - Ministerio de Salud"/>
    <x v="1101"/>
    <s v="Las Atenciones en Salud por Violencia de Género se califican de acuerdo al concepto bajo el cual fue ingresada la urgencia. En la región de Biobío, el concepto &quot;Otra Violencia&quot; fue el más común durante el periodo 2010-2016,  registrando el mayor número de casos, el año 2012, con 1.720 atenciones.  "/>
    <s v="Gráfico de Evolución"/>
    <s v="Región del Biobío regional atenciones médicas salud violencia género concepto urgencia abuso sexual violación anticonceptivo anticoncepción estupro física intrafamiliar emergencia"/>
    <x v="1085"/>
    <s v="100-R-8"/>
    <s v="#1774B9"/>
    <s v="990-1102"/>
    <n v="99200008"/>
    <s v="T-1040"/>
    <s v="C-996"/>
    <s v="FI-993"/>
    <s v="M-1091"/>
  </r>
  <r>
    <x v="1102"/>
    <n v="990"/>
    <x v="0"/>
    <x v="2"/>
    <n v="9"/>
    <x v="59"/>
    <x v="2"/>
    <x v="1"/>
    <x v="9"/>
    <s v="Ninguno"/>
    <s v="Cantidad de atenciones por concepto de urgencia"/>
    <s v="Periodo 2010-2016"/>
    <s v="Número de atenciones médicas"/>
    <s v="Departamento de Estadísticas e Información de la Salud (DEIS) - Ministerio de Salud"/>
    <x v="1102"/>
    <s v="Las Atenciones en Salud por Violencia de Género se califican de acuerdo al concepto bajo el cual fue ingresada la urgencia. En la región de La Araucanía, el concepto &quot;Otra Violencia&quot; fue el más común durante el periodo 2010-2016, seguido por &quot;Violencia Intrafamiliar&quot; para el año 2016."/>
    <s v="Gráfico de Evolución"/>
    <s v="Región de La Araucanía regional atenciones médicas salud violencia género concepto urgencia abuso sexual violación anticonceptivo anticoncepción estupro física intrafamiliar emergencia"/>
    <x v="1086"/>
    <s v="100-R-9"/>
    <s v="#1774B9"/>
    <s v="990-1103"/>
    <n v="99200009"/>
    <s v="T-1040"/>
    <s v="C-996"/>
    <s v="FI-993"/>
    <s v="M-1091"/>
  </r>
  <r>
    <x v="1103"/>
    <n v="990"/>
    <x v="0"/>
    <x v="2"/>
    <n v="10"/>
    <x v="59"/>
    <x v="2"/>
    <x v="1"/>
    <x v="10"/>
    <s v="Ninguno"/>
    <s v="Cantidad de atenciones por concepto de urgencia"/>
    <s v="Periodo 2010-2016"/>
    <s v="Número de atenciones médicas"/>
    <s v="Departamento de Estadísticas e Información de la Salud (DEIS) - Ministerio de Salud"/>
    <x v="1103"/>
    <s v="Las Atenciones en Salud por Violencia de Género se califican de acuerdo al concepto bajo el cual fue ingresada la urgencia. En la región de Los Lagos, el concepto &quot;Otra Violencia&quot; fue el más común durante el periodo 2010-2016,  registrando el mayor número de casos, el año 2016, con 4.366 atenciones. "/>
    <s v="Gráfico de Evolución"/>
    <s v="Región de Los Lagos regional atenciones médicas salud violencia género concepto urgencia abuso sexual violación anticonceptivo anticoncepción estupro física intrafamiliar emergencia"/>
    <x v="1087"/>
    <s v="100-R-10"/>
    <s v="#1774B9"/>
    <s v="990-1104"/>
    <n v="99200010"/>
    <s v="T-1040"/>
    <s v="C-996"/>
    <s v="FI-993"/>
    <s v="M-1091"/>
  </r>
  <r>
    <x v="1104"/>
    <n v="990"/>
    <x v="0"/>
    <x v="2"/>
    <n v="11"/>
    <x v="59"/>
    <x v="2"/>
    <x v="1"/>
    <x v="11"/>
    <s v="Ninguno"/>
    <s v="Cantidad de atenciones por concepto de urgencia"/>
    <s v="Periodo 2010-2016"/>
    <s v="Número de atenciones médicas"/>
    <s v="Departamento de Estadísticas e Información de la Salud (DEIS) - Ministerio de Salud"/>
    <x v="1104"/>
    <s v="Las Atenciones en Salud por Violencia de Género se califican de acuerdo al concepto bajo el cual fue ingresada la urgencia. En la región de Aysén, el concepto &quot;Otra Violencia&quot; fue el más común durante el periodo 2010-2016,  registrando el mayor número de casos, el año 2011, con 52 atenciones.  "/>
    <s v="Gráfico de Evolución"/>
    <s v="Región de Aysén regional atenciones médicas salud violencia género concepto urgencia abuso sexual violación anticonceptivo anticoncepción estupro física intrafamiliar emergencia"/>
    <x v="1088"/>
    <s v="100-R-11"/>
    <s v="#1774B9"/>
    <s v="990-1105"/>
    <n v="99200011"/>
    <s v="T-1040"/>
    <s v="C-996"/>
    <s v="FI-993"/>
    <s v="M-1091"/>
  </r>
  <r>
    <x v="1105"/>
    <n v="990"/>
    <x v="0"/>
    <x v="2"/>
    <n v="12"/>
    <x v="59"/>
    <x v="2"/>
    <x v="1"/>
    <x v="12"/>
    <s v="Ninguno"/>
    <s v="Cantidad de atenciones por concepto de urgencia"/>
    <s v="Periodo 2010-2016"/>
    <s v="Número de atenciones médicas"/>
    <s v="Departamento de Estadísticas e Información de la Salud (DEIS) - Ministerio de Salud"/>
    <x v="1105"/>
    <s v="Las Atenciones en Salud por Violencia de Género se califican de acuerdo al concepto bajo el cual fue ingresada la urgencia. En la región de Magallanes, el concepto &quot;Otra Violencia&quot; fue el más común durante el periodo 2010-2016, seguido por &quot;Violencia Intrafamiliar&quot; para el año 2016."/>
    <s v="Gráfico de Evolución"/>
    <s v="Región de Magallanes regional atenciones médicas salud violencia género concepto urgencia abuso sexual violación anticonceptivo anticoncepción estupro física intrafamiliar emergencia"/>
    <x v="1089"/>
    <s v="100-R-12"/>
    <s v="#1774B9"/>
    <s v="990-1106"/>
    <n v="99200012"/>
    <s v="T-1040"/>
    <s v="C-996"/>
    <s v="FI-993"/>
    <s v="M-1091"/>
  </r>
  <r>
    <x v="1106"/>
    <n v="990"/>
    <x v="0"/>
    <x v="2"/>
    <n v="13"/>
    <x v="59"/>
    <x v="2"/>
    <x v="1"/>
    <x v="13"/>
    <s v="Ninguno"/>
    <s v="Cantidad de atenciones por concepto de urgencia"/>
    <s v="Periodo 2010-2016"/>
    <s v="Número de atenciones médicas"/>
    <s v="Departamento de Estadísticas e Información de la Salud (DEIS) - Ministerio de Salud"/>
    <x v="1106"/>
    <s v="Las Atenciones en Salud por Violencia de Género se califican de acuerdo al concepto bajo el cual fue ingresada la urgencia. En la región Metropolitana, el concepto &quot;Otra Violencia&quot; fue el más común durante el periodo 2010-2016, seguido por &quot;Violencia Intrafamiliar&quot; para el año 2016."/>
    <s v="Gráfico de Evolución"/>
    <s v="Región Metropolitana regional atenciones médicas salud violencia género concepto urgencia abuso sexual violación anticonceptivo anticoncepción estupro física intrafamiliar emergencia"/>
    <x v="1090"/>
    <s v="200-R-13"/>
    <s v="#1774B9"/>
    <s v="990-1107"/>
    <n v="99200013"/>
    <s v="T-1040"/>
    <s v="C-996"/>
    <s v="FI-993"/>
    <s v="M-1091"/>
  </r>
  <r>
    <x v="1107"/>
    <n v="990"/>
    <x v="0"/>
    <x v="2"/>
    <n v="14"/>
    <x v="59"/>
    <x v="2"/>
    <x v="1"/>
    <x v="14"/>
    <s v="Ninguno"/>
    <s v="Cantidad de atenciones por concepto de urgencia"/>
    <s v="Periodo 2010-2016"/>
    <s v="Número de atenciones médicas"/>
    <s v="Departamento de Estadísticas e Información de la Salud (DEIS) - Ministerio de Salud"/>
    <x v="1107"/>
    <s v="Las Atenciones en Salud por Violencia de Género se califican de acuerdo al concepto bajo el cual fue ingresada la urgencia. En la región De Los Ríos, el concepto &quot;Otra Violencia&quot; fue el más común durante el periodo 2010-2016, seguido por &quot;Violencia Intrafamiliar&quot; en el año 2016."/>
    <s v="Gráfico de Evolución"/>
    <s v="Región de Los Ríos regional atenciones médicas salud violencia género concepto urgencia abuso sexual violación anticonceptivo anticoncepción estupro física intrafamiliar emergencia"/>
    <x v="1091"/>
    <s v="100-R-14"/>
    <s v="#1774B9"/>
    <s v="990-1108"/>
    <n v="99200014"/>
    <s v="T-1040"/>
    <s v="C-996"/>
    <s v="FI-993"/>
    <s v="M-1091"/>
  </r>
  <r>
    <x v="1108"/>
    <n v="990"/>
    <x v="0"/>
    <x v="2"/>
    <n v="15"/>
    <x v="59"/>
    <x v="2"/>
    <x v="1"/>
    <x v="15"/>
    <s v="Ninguno"/>
    <s v="Cantidad de atenciones por concepto de urgencia"/>
    <s v="Periodo 2010-2016"/>
    <s v="Número de atenciones médicas"/>
    <s v="Departamento de Estadísticas e Información de la Salud (DEIS) - Ministerio de Salud"/>
    <x v="1108"/>
    <s v="En la región de Arica y Parinacota, en el año 2016, las categorías con mayor atenciones en Salud por Violencia de Género son: las categorías &quot;Otra violencia&quot;  y &quot;Violencia Intrafamiliar&quot;."/>
    <s v="Gráfico de Evolución"/>
    <s v="Región de Arica y Parinacota regional atenciones médicas salud violencia género concepto urgencia abuso sexual violación anticonceptivo anticoncepción estupro física intrafamiliar emergencia"/>
    <x v="1092"/>
    <s v="100-R-15"/>
    <s v="#1774B9"/>
    <s v="990-1109"/>
    <n v="99200015"/>
    <s v="T-1040"/>
    <s v="C-996"/>
    <s v="FI-993"/>
    <s v="M-1091"/>
  </r>
  <r>
    <x v="1109"/>
    <n v="990"/>
    <x v="0"/>
    <x v="2"/>
    <n v="16"/>
    <x v="59"/>
    <x v="2"/>
    <x v="1"/>
    <x v="16"/>
    <s v="Ninguno"/>
    <s v="Cantidad de atenciones por concepto de urgencia"/>
    <s v="Periodo 2010-2016"/>
    <s v="Número de atenciones médicas"/>
    <s v="Departamento de Estadísticas e Información de la Salud (DEIS) - Ministerio de Salud"/>
    <x v="1109"/>
    <s v="En la región de Ñuble, en el año 2016, las categorías con mayor atenciones en Salud por Violencia de Género son: &quot;Otra violencia&quot;  y &quot;Violencia Intrafamiliar&quot;."/>
    <s v="Gráfico de Evolución"/>
    <s v="Región de Ñuble regional atenciones médicas salud violencia género concepto urgencia abuso sexual violación anticonceptivo anticoncepción estupro física intrafamiliar emergencia"/>
    <x v="1093"/>
    <s v="100-R-16"/>
    <s v="#1774B9"/>
    <s v="990-1110"/>
    <n v="99200016"/>
    <s v="T-1040"/>
    <s v="C-996"/>
    <s v="FI-993"/>
    <s v="M-1091"/>
  </r>
  <r>
    <x v="1110"/>
    <n v="990"/>
    <x v="0"/>
    <x v="4"/>
    <n v="0"/>
    <x v="58"/>
    <x v="25"/>
    <x v="0"/>
    <x v="0"/>
    <s v="Región"/>
    <s v="Cantidad  de Establecimientos de Salud "/>
    <s v="Año 2021"/>
    <s v="Número de Establecimientos"/>
    <s v="Departamento de Estadísticas e Información de la Salud (DEIS) - Ministerio de Salud"/>
    <x v="1110"/>
    <s v="Las Postas son los establecimientos de la salud que más prevalecen en Chile, alcanzando un total de 1.128. Le siguen los CESFAM con un total de 863 establecimientos. Entre los establecimientos privados, la mayoría corresponden a Laboratorios Clínicos o Dentales y Clínicas."/>
    <s v="Gráfico"/>
    <s v="Chile nacional región establecimientos salud tipo privados públicos hospitales clínicas cesfam sapu postas laboratorios dentales clínicos alta baja media complejidad diálisis vacunatorios consultorio"/>
    <x v="1094"/>
    <s v="300-R"/>
    <s v="#1774B9"/>
    <s v="990-1111"/>
    <n v="99100000"/>
    <s v="T-1047"/>
    <s v="C-1013"/>
    <s v="FI-992"/>
    <s v="M-1089"/>
  </r>
  <r>
    <x v="1111"/>
    <n v="990"/>
    <x v="0"/>
    <x v="4"/>
    <n v="1"/>
    <x v="58"/>
    <x v="25"/>
    <x v="1"/>
    <x v="1"/>
    <s v="Ninguno"/>
    <s v="Cantidad  de Establecimientos de Salud "/>
    <s v="Año 2021"/>
    <s v="Número de Establecimientos"/>
    <s v="Departamento de Estadísticas e Información de la Salud (DEIS) - Ministerio de Salud"/>
    <x v="1111"/>
    <s v="La región de Tarapacá cuenta con 15 Postas y 15 CESFAM, entre los establecimientos públicos. En establecimientos privados, la mayoria corresponde a Laboratorio Clínicos o Dentales, con 13 establecimientos."/>
    <s v="Gráfico"/>
    <s v="Región de Tarapacá regional establecimientos salud tipo privados públicos hospitales clínicas cesfam sapu postas laboratorios dentales clínicos alta baja media complejidad diálisis vacunatorios consultorio"/>
    <x v="1095"/>
    <s v="100-R-1"/>
    <s v="#1774B9"/>
    <s v="990-1112"/>
    <n v="99200001"/>
    <s v="T-1047"/>
    <s v="C-1013"/>
    <s v="FI-993"/>
    <s v="M-1089"/>
  </r>
  <r>
    <x v="1112"/>
    <n v="990"/>
    <x v="0"/>
    <x v="4"/>
    <n v="2"/>
    <x v="58"/>
    <x v="25"/>
    <x v="1"/>
    <x v="2"/>
    <s v="Ninguno"/>
    <s v="Cantidad  de Establecimientos de Salud "/>
    <s v="Año 2021"/>
    <s v="Número de Establecimientos"/>
    <s v="Departamento de Estadísticas e Información de la Salud (DEIS) - Ministerio de Salud"/>
    <x v="1112"/>
    <s v="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
    <s v="Gráfico"/>
    <s v="Región de Antofagasta regional establecimientos salud tipo privados públicos hospitales clínicas cesfam sapu postas laboratorios dentales clínicos alta baja media complejidad diálisis vacunatorios consultorio"/>
    <x v="1096"/>
    <s v="100-R-2"/>
    <s v="#1774B9"/>
    <s v="990-1113"/>
    <n v="99200002"/>
    <s v="T-1047"/>
    <s v="C-1013"/>
    <s v="FI-993"/>
    <s v="M-1089"/>
  </r>
  <r>
    <x v="1113"/>
    <n v="990"/>
    <x v="0"/>
    <x v="4"/>
    <n v="3"/>
    <x v="58"/>
    <x v="25"/>
    <x v="1"/>
    <x v="3"/>
    <s v="Ninguno"/>
    <s v="Cantidad  de Establecimientos de Salud "/>
    <s v="Año 2021"/>
    <s v="Número de Establecimientos"/>
    <s v="Departamento de Estadísticas e Información de la Salud (DEIS) - Ministerio de Salud"/>
    <x v="1113"/>
    <s v="La región de Atacama cuenta con 20 CESFAM entre los establecimientos públicos. En establecimientos privados, la mayoría corresponde a Laboratorios Clínicos o Dentales, con 12 establecimientos."/>
    <s v="Gráfico"/>
    <s v="Región de Atacama regional establecimientos salud tipo privados públicos hospitales clínicas cesfam sapu postas laboratorios dentales clínicos alta baja media complejidad diálisis vacunatorios consultorio"/>
    <x v="1097"/>
    <s v="100-R-3"/>
    <s v="#1774B9"/>
    <s v="990-1114"/>
    <n v="99200003"/>
    <s v="T-1047"/>
    <s v="C-1013"/>
    <s v="FI-993"/>
    <s v="M-1089"/>
  </r>
  <r>
    <x v="1114"/>
    <n v="990"/>
    <x v="0"/>
    <x v="4"/>
    <n v="4"/>
    <x v="58"/>
    <x v="25"/>
    <x v="1"/>
    <x v="4"/>
    <s v="Ninguno"/>
    <s v="Cantidad  de Establecimientos de Salud "/>
    <s v="Año 2021"/>
    <s v="Número de Establecimientos"/>
    <s v="Departamento de Estadísticas e Información de la Salud (DEIS) - Ministerio de Salud"/>
    <x v="1114"/>
    <s v="La región de Coquimbo cuenta con 96 Postas y 41 CESFAM, entre los establecimientos públicos. En establecimientos privados, la mayoria corresponde a Laboratorio Clínicos o Dentales, con 23 establecimientos."/>
    <s v="Gráfico"/>
    <s v="Región de Coquimbo regional establecimientos salud tipo privados públicos hospitales clínicas cesfam sapu postas laboratorios dentales clínicos alta baja media complejidad diálisis vacunatorios consultorio"/>
    <x v="1098"/>
    <s v="100-R-4"/>
    <s v="#1774B9"/>
    <s v="990-1115"/>
    <n v="99200004"/>
    <s v="T-1047"/>
    <s v="C-1013"/>
    <s v="FI-993"/>
    <s v="M-1089"/>
  </r>
  <r>
    <x v="1115"/>
    <n v="990"/>
    <x v="0"/>
    <x v="4"/>
    <n v="5"/>
    <x v="58"/>
    <x v="25"/>
    <x v="1"/>
    <x v="5"/>
    <s v="Ninguno"/>
    <s v="Cantidad  de Establecimientos de Salud "/>
    <s v="Año 2021"/>
    <s v="Número de Establecimientos"/>
    <s v="Departamento de Estadísticas e Información de la Salud (DEIS) - Ministerio de Salud"/>
    <x v="1115"/>
    <s v="La región de Valparaíso cuenta con 100 CESFAM entre los establecimientos públicos. En establecimientos privados, la mayoria corresponde a Laboratorio Clínicos o Dentales, con 31 establecimientos."/>
    <s v="Gráfico"/>
    <s v="Región de Valparaíso regional establecimientos salud tipo privados públicos hospitales clínicas cesfam sapu postas laboratorios dentales clínicos alta baja media complejidad diálisis vacunatorios consultorio"/>
    <x v="1099"/>
    <s v="100-R-5"/>
    <s v="#1774B9"/>
    <s v="990-1116"/>
    <n v="99200005"/>
    <s v="T-1047"/>
    <s v="C-1013"/>
    <s v="FI-993"/>
    <s v="M-1089"/>
  </r>
  <r>
    <x v="1116"/>
    <n v="990"/>
    <x v="0"/>
    <x v="4"/>
    <n v="6"/>
    <x v="58"/>
    <x v="25"/>
    <x v="1"/>
    <x v="6"/>
    <s v="Ninguno"/>
    <s v="Cantidad  de Establecimientos de Salud "/>
    <s v="Año 2021"/>
    <s v="Número de Establecimientos"/>
    <s v="Departamento de Estadísticas e Información de la Salud (DEIS) - Ministerio de Salud"/>
    <x v="1116"/>
    <s v="La región de O'Higgins cuenta con 79 Postas y 45 CESFAM, entre los establecimientos públicos. En establecimientos privados, la mayoria corresponde a Laboratorio Clínicos o Dentales, con 23 establecimientos."/>
    <s v="Gráfico"/>
    <s v="Región de O'Higgins regional establecimientos salud tipo privados públicos hospitales clínicas cesfam sapu postas laboratorios dentales clínicos alta baja media complejidad diálisis vacunatorios consultorio"/>
    <x v="1100"/>
    <s v="100-R-6"/>
    <s v="#1774B9"/>
    <s v="990-1117"/>
    <n v="99200006"/>
    <s v="T-1047"/>
    <s v="C-1013"/>
    <s v="FI-993"/>
    <s v="M-1089"/>
  </r>
  <r>
    <x v="1117"/>
    <n v="990"/>
    <x v="0"/>
    <x v="4"/>
    <n v="7"/>
    <x v="58"/>
    <x v="25"/>
    <x v="1"/>
    <x v="7"/>
    <s v="Ninguno"/>
    <s v="Cantidad  de Establecimientos de Salud "/>
    <s v="Año 2021"/>
    <s v="Número de Establecimientos"/>
    <s v="Departamento de Estadísticas e Información de la Salud (DEIS) - Ministerio de Salud"/>
    <x v="1117"/>
    <s v="La región de Maule cuenta con 162 Postas entre los establecimientos públicos. En establecimientos privados, la mayoria corresponde a Laboratorio Clínicos o Dentales, con 31 establecimientos."/>
    <s v="Gráfico"/>
    <s v="Región de Maule regional establecimientos salud tipo privados públicos hospitales clínicas cesfam sapu postas laboratorios dentales clínicos alta baja media complejidad diálisis vacunatorios consultorio"/>
    <x v="1101"/>
    <s v="100-R-7"/>
    <s v="#1774B9"/>
    <s v="990-1118"/>
    <n v="99200007"/>
    <s v="T-1047"/>
    <s v="C-1013"/>
    <s v="FI-993"/>
    <s v="M-1089"/>
  </r>
  <r>
    <x v="1118"/>
    <n v="990"/>
    <x v="0"/>
    <x v="4"/>
    <n v="8"/>
    <x v="58"/>
    <x v="25"/>
    <x v="1"/>
    <x v="8"/>
    <s v="Ninguno"/>
    <s v="Cantidad  de Establecimientos de Salud "/>
    <s v="Año 2021"/>
    <s v="Número de Establecimientos"/>
    <s v="Departamento de Estadísticas e Información de la Salud (DEIS) - Ministerio de Salud"/>
    <x v="1118"/>
    <s v="La región de Maule cuenta con 162 Postas y 98 CESFAM, entre los establecimientos públicos. En establecimientos privados, la mayoria corresponde a Laboratorio Clínicos o Dentales, con 30 establecimientos."/>
    <s v="Gráfico"/>
    <s v="Región del Biobío regional establecimientos salud tipo privados públicos hospitales clínicas cesfam sapu postas laboratorios dentales clínicos alta baja media complejidad diálisis vacunatorios consultorio"/>
    <x v="1102"/>
    <s v="100-R-8"/>
    <s v="#1774B9"/>
    <s v="990-1119"/>
    <n v="99200008"/>
    <s v="T-1047"/>
    <s v="C-1013"/>
    <s v="FI-993"/>
    <s v="M-1089"/>
  </r>
  <r>
    <x v="1119"/>
    <n v="990"/>
    <x v="0"/>
    <x v="4"/>
    <n v="9"/>
    <x v="58"/>
    <x v="25"/>
    <x v="1"/>
    <x v="9"/>
    <s v="Ninguno"/>
    <s v="Cantidad  de Establecimientos de Salud "/>
    <s v="Año 2021"/>
    <s v="Número de Establecimientos"/>
    <s v="Departamento de Estadísticas e Información de la Salud (DEIS) - Ministerio de Salud"/>
    <x v="1119"/>
    <s v="La región de La Araucanía cuenta con 188 Postas entre los establecimientos públicos. En establecimientos privados, la mayoria corresponde a Laboratorio Clínicos o Dentales, con 21 establecimientos."/>
    <s v="Gráfico"/>
    <s v="Región de La Araucanía regional establecimientos salud tipo privados públicos hospitales clínicas cesfam sapu postas laboratorios dentales clínicos alta baja media complejidad diálisis vacunatorios consultorio"/>
    <x v="1103"/>
    <s v="100-R-9"/>
    <s v="#1774B9"/>
    <s v="990-1120"/>
    <n v="99200009"/>
    <s v="T-1047"/>
    <s v="C-1013"/>
    <s v="FI-993"/>
    <s v="M-1089"/>
  </r>
  <r>
    <x v="1120"/>
    <n v="990"/>
    <x v="0"/>
    <x v="4"/>
    <n v="10"/>
    <x v="58"/>
    <x v="25"/>
    <x v="1"/>
    <x v="10"/>
    <s v="Ninguno"/>
    <s v="Cantidad  de Establecimientos de Salud "/>
    <s v="Año 2021"/>
    <s v="Número de Establecimientos"/>
    <s v="Departamento de Estadísticas e Información de la Salud (DEIS) - Ministerio de Salud"/>
    <x v="1120"/>
    <s v="La región de Los Lagos cuenta con 187 Postas y 66 CESFAM, entre los establecimientos públicos. En establecimientos privados, la mayoria corresponde a Laboratorio Clínicos o Dentales, con 26 establecimientos."/>
    <s v="Gráfico"/>
    <s v="Región de Los Lagos regional establecimientos salud tipo privados públicos hospitales clínicas cesfam sapu postas laboratorios dentales clínicos alta baja media complejidad diálisis vacunatorios consultorio"/>
    <x v="1104"/>
    <s v="100-R-10"/>
    <s v="#1774B9"/>
    <s v="990-1121"/>
    <n v="99200010"/>
    <s v="T-1047"/>
    <s v="C-1013"/>
    <s v="FI-993"/>
    <s v="M-1089"/>
  </r>
  <r>
    <x v="1121"/>
    <n v="990"/>
    <x v="0"/>
    <x v="4"/>
    <n v="11"/>
    <x v="58"/>
    <x v="25"/>
    <x v="1"/>
    <x v="11"/>
    <s v="Ninguno"/>
    <s v="Cantidad  de Establecimientos de Salud "/>
    <s v="Año 2021"/>
    <s v="Número de Establecimientos"/>
    <s v="Departamento de Estadísticas e Información de la Salud (DEIS) - Ministerio de Salud"/>
    <x v="1121"/>
    <s v="La región de Aysén cuenta con 28 Postas y 5 CESFAM, entre los establecimientos públicos. En establecimientos privados, la mayoria corresponde a Laboratorio Clínicos o Dentales, con 2 establecimientos."/>
    <s v="Gráfico"/>
    <s v="Región de Aysén regional establecimientos salud tipo privados públicos hospitales clínicas cesfam sapu postas laboratorios dentales clínicos alta baja media complejidad diálisis vacunatorios consultorio"/>
    <x v="1105"/>
    <s v="100-R-11"/>
    <s v="#1774B9"/>
    <s v="990-1122"/>
    <n v="99200011"/>
    <s v="T-1047"/>
    <s v="C-1013"/>
    <s v="FI-993"/>
    <s v="M-1089"/>
  </r>
  <r>
    <x v="1122"/>
    <n v="990"/>
    <x v="0"/>
    <x v="4"/>
    <n v="12"/>
    <x v="58"/>
    <x v="25"/>
    <x v="1"/>
    <x v="12"/>
    <s v="Ninguno"/>
    <s v="Cantidad  de Establecimientos de Salud "/>
    <s v="Año 2021"/>
    <s v="Número de Establecimientos"/>
    <s v="Departamento de Estadísticas e Información de la Salud (DEIS) - Ministerio de Salud"/>
    <x v="1122"/>
    <s v="La región de Magallanes cuenta con 8 Postas y 9 CESFAM, entre los establecimientos públicos. En establecimientos privados, la mayoria corresponde a Laboratorio Clínicos o Dentales, con 6 establecimientos."/>
    <s v="Gráfico"/>
    <s v="Región de Magallanes regional establecimientos salud tipo privados públicos hospitales clínicas cesfam sapu postas laboratorios dentales clínicos alta baja media complejidad diálisis vacunatorios consultorio"/>
    <x v="1106"/>
    <s v="100-R-12"/>
    <s v="#1774B9"/>
    <s v="990-1123"/>
    <n v="99200012"/>
    <s v="T-1047"/>
    <s v="C-1013"/>
    <s v="FI-993"/>
    <s v="M-1089"/>
  </r>
  <r>
    <x v="1123"/>
    <n v="990"/>
    <x v="0"/>
    <x v="4"/>
    <n v="13"/>
    <x v="58"/>
    <x v="25"/>
    <x v="1"/>
    <x v="13"/>
    <s v="Ninguno"/>
    <s v="Cantidad  de Establecimientos de Salud "/>
    <s v="Año 2021"/>
    <s v="Número de Establecimientos"/>
    <s v="Departamento de Estadísticas e Información de la Salud (DEIS) - Ministerio de Salud"/>
    <x v="1123"/>
    <s v="La región Metropolitana cuenta con 578 establecimientos de salud, los cuales en su mayoría son públicos. De estos, 236 corresponden a CESFAM y 94 a SAPU. De los establecimientos privados existentes, 82 se encuentran dentro de la categoría de Clínicas."/>
    <s v="Gráfico"/>
    <s v="Región Metropolitana regional establecimientos salud tipo privados públicos hospitales clínicas cesfam sapu postas laboratorios dentales clínicos alta baja media complejidad diálisis vacunatorios consultorio"/>
    <x v="1107"/>
    <s v="200-R-13"/>
    <s v="#1774B9"/>
    <s v="990-1124"/>
    <n v="99200013"/>
    <s v="T-1047"/>
    <s v="C-1013"/>
    <s v="FI-993"/>
    <s v="M-1089"/>
  </r>
  <r>
    <x v="1124"/>
    <n v="990"/>
    <x v="0"/>
    <x v="4"/>
    <n v="14"/>
    <x v="58"/>
    <x v="25"/>
    <x v="1"/>
    <x v="14"/>
    <s v="Ninguno"/>
    <s v="Cantidad  de Establecimientos de Salud "/>
    <s v="Año 2021"/>
    <s v="Número de Establecimientos"/>
    <s v="Departamento de Estadísticas e Información de la Salud (DEIS) - Ministerio de Salud"/>
    <x v="1124"/>
    <s v="La región de Los Ríos cuenta con 58 Postas y 34 CESFAM, entre los establecimientos públicos. En establecimientos privados, la mayoria corresponde a Laboratorio Clínicos o Dentales, con 15 establecimientos."/>
    <s v="Gráfico"/>
    <s v="Región de Los Ríos regional establecimientos salud tipo privados públicos hospitales clínicas cesfam sapu postas laboratorios dentales clínicos alta baja media complejidad diálisis vacunatorios consultorio"/>
    <x v="1108"/>
    <s v="100-R-14"/>
    <s v="#1774B9"/>
    <s v="990-1125"/>
    <n v="99200014"/>
    <s v="T-1047"/>
    <s v="C-1013"/>
    <s v="FI-993"/>
    <s v="M-1089"/>
  </r>
  <r>
    <x v="1125"/>
    <n v="990"/>
    <x v="0"/>
    <x v="4"/>
    <n v="15"/>
    <x v="58"/>
    <x v="25"/>
    <x v="1"/>
    <x v="15"/>
    <s v="Ninguno"/>
    <s v="Cantidad  de Establecimientos de Salud "/>
    <s v="Año 2021"/>
    <s v="Número de Establecimientos"/>
    <s v="Departamento de Estadísticas e Información de la Salud (DEIS) - Ministerio de Salud"/>
    <x v="1125"/>
    <s v="La región de Los Ríos cuenta con 7 Postas y 9 CESFAM, entre los establecimientos públicos. En establecimientos privados, la mayoria corresponde a Laboratorio Clínicos o Dentales, con 7 establecimientos."/>
    <s v="Gráfico"/>
    <s v="Región de Arica y Parinacota regional establecimientos salud tipo privados públicos hospitales clínicas cesfam sapu postas laboratorios dentales clínicos alta baja media complejidad diálisis vacunatorios consultorio"/>
    <x v="1109"/>
    <s v="100-R-15"/>
    <s v="#1774B9"/>
    <s v="990-1126"/>
    <n v="99200015"/>
    <s v="T-1047"/>
    <s v="C-1013"/>
    <s v="FI-993"/>
    <s v="M-1089"/>
  </r>
  <r>
    <x v="1126"/>
    <n v="990"/>
    <x v="0"/>
    <x v="4"/>
    <n v="16"/>
    <x v="58"/>
    <x v="25"/>
    <x v="1"/>
    <x v="16"/>
    <s v="Ninguno"/>
    <s v="Cantidad  de Establecimientos de Salud "/>
    <s v="Año 2021"/>
    <s v="Número de Establecimientos"/>
    <s v="Departamento de Estadísticas e Información de la Salud (DEIS) - Ministerio de Salud"/>
    <x v="1126"/>
    <s v="Al observar los establecimientos públicos de la región de Ñuble, la mayoría corresponde a Postas y CESFAM, con 54 y 37 establecimientos respectivamente. En la categoría de establecimientos privados, la mayoría son Laboratorios Clínicos o Dentales, con 10 establecimientos."/>
    <s v="Gráfico"/>
    <s v="Región de Ñuble regional establecimientos salud tipo privados públicos hospitales clínicas cesfam sapu postas laboratorios dentales clínicos alta baja media complejidad diálisis vacunatorios consultorio"/>
    <x v="1110"/>
    <s v="100-R-16"/>
    <s v="#1774B9"/>
    <s v="990-1127"/>
    <n v="99200016"/>
    <s v="T-1047"/>
    <s v="C-1013"/>
    <s v="FI-993"/>
    <s v="M-1089"/>
  </r>
  <r>
    <x v="1127"/>
    <n v="990"/>
    <x v="0"/>
    <x v="12"/>
    <n v="0"/>
    <x v="60"/>
    <x v="19"/>
    <x v="0"/>
    <x v="0"/>
    <s v="Región"/>
    <s v="Cantidad  de Licencias de Conducir profesionales por tipo"/>
    <s v="Periodo 2011-2017"/>
    <s v="Número de Licencias de Conducir"/>
    <s v="Instituto Nacional de Estadísticas (INE)"/>
    <x v="1127"/>
    <s v="En Chile, durante el período 2011-2017, el tipo de licencia de conducir otorgada en mayor cantidad es la profesional clase A2 para &quot;taxis, ambulancias o vehículos motorizados de transporte público y privado de personas con capacidad de 10 a 17 pasajeros, sin contar al conductor&quot;, siendo su peak el año 2011 con 168.401 licencias."/>
    <s v="Gráfico de Evolución"/>
    <s v="Chile nacional región licencias conducir tipo profesional profesionales clase a1 a2 a3 a4 a5"/>
    <x v="1111"/>
    <s v="300-R"/>
    <s v="#1774B9"/>
    <s v="990-1128"/>
    <n v="99100000"/>
    <s v="T-1048"/>
    <s v="C-1017"/>
    <s v="FI-992"/>
    <s v="M-1092"/>
  </r>
  <r>
    <x v="1128"/>
    <n v="990"/>
    <x v="0"/>
    <x v="12"/>
    <n v="1"/>
    <x v="60"/>
    <x v="19"/>
    <x v="1"/>
    <x v="1"/>
    <s v="Ninguno"/>
    <s v="Cantidad  de Licencias de Conducir profesionales por tipo"/>
    <s v="Periodo 2011-2017"/>
    <s v="Número de Licencias de Conducir"/>
    <s v="Instituto Nacional de Estadísticas (INE)"/>
    <x v="1128"/>
    <s v="En la región de Tarapacá, durante el período 2011-2017, las licencias de conducir profesionales clase A2 fueron las otorgadas en mayor cantidad. El máximo anual ocurrió el año 2014, con la entrega de 5.337 licencias."/>
    <s v="Gráfico de Evolución"/>
    <s v="Región de Tarapacá regional licencias conducir tipo profesional profesionales clase a1 a2 a3 a4 a5"/>
    <x v="1112"/>
    <s v="100-R-1"/>
    <s v="#1774B9"/>
    <s v="990-1129"/>
    <n v="99200001"/>
    <s v="T-1048"/>
    <s v="C-1017"/>
    <s v="FI-993"/>
    <s v="M-1092"/>
  </r>
  <r>
    <x v="1129"/>
    <n v="990"/>
    <x v="0"/>
    <x v="12"/>
    <n v="2"/>
    <x v="60"/>
    <x v="19"/>
    <x v="1"/>
    <x v="2"/>
    <s v="Ninguno"/>
    <s v="Cantidad  de Licencias de Conducir profesionales por tipo"/>
    <s v="Periodo 2011-2017"/>
    <s v="Número de Licencias de Conducir"/>
    <s v="Instituto Nacional de Estadísticas (INE)"/>
    <x v="1129"/>
    <s v="En la región de Antofagasta, durante el período 2011-2017, las licencias de conducir profesionales clase A2 fueron las otorgadas en mayor cantidad. El máximo anual ocurrió el año 2011, con la entrega de 9.280 licencias de conducir."/>
    <s v="Gráfico de Evolución"/>
    <s v="Región de Antofagasta regional licencias conducir tipo profesional profesionales clase a1 a2 a3 a4 a5"/>
    <x v="1113"/>
    <s v="100-R-2"/>
    <s v="#1774B9"/>
    <s v="990-1130"/>
    <n v="99200002"/>
    <s v="T-1048"/>
    <s v="C-1017"/>
    <s v="FI-993"/>
    <s v="M-1092"/>
  </r>
  <r>
    <x v="1130"/>
    <n v="990"/>
    <x v="0"/>
    <x v="12"/>
    <n v="3"/>
    <x v="60"/>
    <x v="19"/>
    <x v="1"/>
    <x v="3"/>
    <s v="Ninguno"/>
    <s v="Cantidad  de Licencias de Conducir profesionales por tipo"/>
    <s v="Periodo 2011-2017"/>
    <s v="Número de Licencias de Conducir"/>
    <s v="Instituto Nacional de Estadísticas (INE)"/>
    <x v="1130"/>
    <s v="En la región de Atacama, durante el período 2011-2017, las licencias de conducir profesionales clase A2 fueron las otorgadas en mayor cantidad. El máximo anual ocurrió el año 2011, con la entrega de 6.510 licencias."/>
    <s v="Gráfico de Evolución"/>
    <s v="Región de Atacama regional licencias conducir tipo profesional profesionales clase a1 a2 a3 a4 a5"/>
    <x v="1114"/>
    <s v="100-R-3"/>
    <s v="#1774B9"/>
    <s v="990-1131"/>
    <n v="99200003"/>
    <s v="T-1048"/>
    <s v="C-1017"/>
    <s v="FI-993"/>
    <s v="M-1092"/>
  </r>
  <r>
    <x v="1131"/>
    <n v="990"/>
    <x v="0"/>
    <x v="12"/>
    <n v="4"/>
    <x v="60"/>
    <x v="19"/>
    <x v="1"/>
    <x v="4"/>
    <s v="Ninguno"/>
    <s v="Cantidad  de Licencias de Conducir profesionales por tipo"/>
    <s v="Periodo 2011-2017"/>
    <s v="Número de Licencias de Conducir"/>
    <s v="Instituto Nacional de Estadísticas (INE)"/>
    <x v="1131"/>
    <s v="En la región de Coquimbo, durante el período 2011-2017,  las licencias de conducir profesionales clase A2 fueron las otorgadas en mayor cantidad. El máximo anual ocurrió el año 2011, con la entrega de 9.949 licencias."/>
    <s v="Gráfico de Evolución"/>
    <s v="Región de Coquimbo regional licencias conducir tipo profesional profesionales clase a1 a2 a3 a4 a5"/>
    <x v="1115"/>
    <s v="100-R-4"/>
    <s v="#1774B9"/>
    <s v="990-1132"/>
    <n v="99200004"/>
    <s v="T-1048"/>
    <s v="C-1017"/>
    <s v="FI-993"/>
    <s v="M-1092"/>
  </r>
  <r>
    <x v="1132"/>
    <n v="990"/>
    <x v="0"/>
    <x v="12"/>
    <n v="5"/>
    <x v="60"/>
    <x v="19"/>
    <x v="1"/>
    <x v="5"/>
    <s v="Ninguno"/>
    <s v="Cantidad  de Licencias de Conducir profesionales por tipo"/>
    <s v="Periodo 2011-2017"/>
    <s v="Número de Licencias de Conducir"/>
    <s v="Instituto Nacional de Estadísticas (INE)"/>
    <x v="1132"/>
    <s v="En la región de Valparaíso, durante el período 2011-2017,  las licencias de conducir profesionales clase A2 fueron las otorgadas en mayor cantidad. El máximo anual ocurrió el año 2011, con la entrega de 17.472 licencias."/>
    <s v="Gráfico de Evolución"/>
    <s v="Región de Valparaíso regional licencias conducir tipo profesional profesionales clase a1 a2 a3 a4 a5"/>
    <x v="1116"/>
    <s v="100-R-5"/>
    <s v="#1774B9"/>
    <s v="990-1133"/>
    <n v="99200005"/>
    <s v="T-1048"/>
    <s v="C-1017"/>
    <s v="FI-993"/>
    <s v="M-1092"/>
  </r>
  <r>
    <x v="1133"/>
    <n v="990"/>
    <x v="0"/>
    <x v="12"/>
    <n v="6"/>
    <x v="60"/>
    <x v="19"/>
    <x v="1"/>
    <x v="6"/>
    <s v="Ninguno"/>
    <s v="Cantidad  de Licencias de Conducir profesionales por tipo"/>
    <s v="Periodo 2011-2017"/>
    <s v="Número de Licencias de Conducir"/>
    <s v="Instituto Nacional de Estadísticas (INE)"/>
    <x v="1133"/>
    <s v="En la región de O'Higgins, durante el período 2011-2017,  las licencias de conducir profesionales clase A2 fueron las otorgadas en mayor cantidad. El máximo anual ocurrió el año 2011, con la entrega de 12.289 licencias."/>
    <s v="Gráfico de Evolución"/>
    <s v="Región de O'Higgins regional licencias conducir tipo profesional profesionales clase a1 a2 a3 a4 a5"/>
    <x v="1117"/>
    <s v="100-R-6"/>
    <s v="#1774B9"/>
    <s v="990-1134"/>
    <n v="99200006"/>
    <s v="T-1048"/>
    <s v="C-1017"/>
    <s v="FI-993"/>
    <s v="M-1092"/>
  </r>
  <r>
    <x v="1134"/>
    <n v="990"/>
    <x v="0"/>
    <x v="12"/>
    <n v="7"/>
    <x v="60"/>
    <x v="19"/>
    <x v="1"/>
    <x v="7"/>
    <s v="Ninguno"/>
    <s v="Cantidad  de Licencias de Conducir profesionales por tipo"/>
    <s v="Periodo 2011-2017"/>
    <s v="Número de Licencias de Conducir"/>
    <s v="Instituto Nacional de Estadísticas (INE)"/>
    <x v="1134"/>
    <s v="En la región de Maule, durante el período 2011-2017,  las licencias de conducir profesionales clase A2 fueron las otorgadas en mayor cantidad. El máximo anual ocurrió el año 2011, con la entrega de 11.196 licencias."/>
    <s v="Gráfico de Evolución"/>
    <s v="Región de Maule regional licencias conducir tipo profesional profesionales clase a1 a2 a3 a4 a5"/>
    <x v="1118"/>
    <s v="100-R-7"/>
    <s v="#1774B9"/>
    <s v="990-1135"/>
    <n v="99200007"/>
    <s v="T-1048"/>
    <s v="C-1017"/>
    <s v="FI-993"/>
    <s v="M-1092"/>
  </r>
  <r>
    <x v="1135"/>
    <n v="990"/>
    <x v="0"/>
    <x v="12"/>
    <n v="8"/>
    <x v="60"/>
    <x v="19"/>
    <x v="1"/>
    <x v="8"/>
    <s v="Ninguno"/>
    <s v="Cantidad  de Licencias de Conducir profesionales por tipo"/>
    <s v="Periodo 2011-2017"/>
    <s v="Número de Licencias de Conducir"/>
    <s v="Instituto Nacional de Estadísticas (INE)"/>
    <x v="1135"/>
    <s v="En la región del Biobío, durante el período 2011-2017,  las licencias de conducir profesionales clase A2 fueron las otorgadas en mayor cantidad. El máximo anual ocurrió el año 2014, con la entrega de 15.890 licencias."/>
    <s v="Gráfico de Evolución"/>
    <s v="Región del Biobío regional licencias conducir tipo profesional profesionales clase a1 a2 a3 a4 a5"/>
    <x v="1119"/>
    <s v="100-R-8"/>
    <s v="#1774B9"/>
    <s v="990-1136"/>
    <n v="99200008"/>
    <s v="T-1048"/>
    <s v="C-1017"/>
    <s v="FI-993"/>
    <s v="M-1092"/>
  </r>
  <r>
    <x v="1136"/>
    <n v="990"/>
    <x v="0"/>
    <x v="12"/>
    <n v="9"/>
    <x v="60"/>
    <x v="19"/>
    <x v="1"/>
    <x v="9"/>
    <s v="Ninguno"/>
    <s v="Cantidad  de Licencias de Conducir profesionales por tipo"/>
    <s v="Periodo 2011-2017"/>
    <s v="Número de Licencias de Conducir"/>
    <s v="Instituto Nacional de Estadísticas (INE)"/>
    <x v="1136"/>
    <s v="En la región de La Araucanía, durante el período 2011-2017,  las licencias de conducir profesionales clase A2 fueron las otorgadas en mayor cantidad. El máximo anual ocurrió el año 2015, con la entrega de 9.535 licencias."/>
    <s v="Gráfico de Evolución"/>
    <s v="Región de La Araucanía regional licencias conducir tipo profesional profesionales clase a1 a2 a3 a4 a5"/>
    <x v="1120"/>
    <s v="100-R-9"/>
    <s v="#1774B9"/>
    <s v="990-1137"/>
    <n v="99200009"/>
    <s v="T-1048"/>
    <s v="C-1017"/>
    <s v="FI-993"/>
    <s v="M-1092"/>
  </r>
  <r>
    <x v="1137"/>
    <n v="990"/>
    <x v="0"/>
    <x v="12"/>
    <n v="10"/>
    <x v="60"/>
    <x v="19"/>
    <x v="1"/>
    <x v="10"/>
    <s v="Ninguno"/>
    <s v="Cantidad  de Licencias de Conducir profesionales por tipo"/>
    <s v="Periodo 2011-2017"/>
    <s v="Número de Licencias de Conducir"/>
    <s v="Instituto Nacional de Estadísticas (INE)"/>
    <x v="1137"/>
    <s v="En la región de Los Lagos, durante el período 2011-2017,  las licencias de conducir profesionales clase A2 fueron las otorgadas en mayor cantidad. El máximo anual ocurrió el año 2011, con la entrega de 9.231 licencias."/>
    <s v="Gráfico de Evolución"/>
    <s v="Región de Los Lagos regional licencias conducir tipo profesional profesionales clase a1 a2 a3 a4 a5"/>
    <x v="1121"/>
    <s v="100-R-10"/>
    <s v="#1774B9"/>
    <s v="990-1138"/>
    <n v="99200010"/>
    <s v="T-1048"/>
    <s v="C-1017"/>
    <s v="FI-993"/>
    <s v="M-1092"/>
  </r>
  <r>
    <x v="1138"/>
    <n v="990"/>
    <x v="0"/>
    <x v="12"/>
    <n v="11"/>
    <x v="60"/>
    <x v="19"/>
    <x v="1"/>
    <x v="11"/>
    <s v="Ninguno"/>
    <s v="Cantidad  de Licencias de Conducir profesionales por tipo"/>
    <s v="Periodo 2011-2017"/>
    <s v="Número de Licencias de Conducir"/>
    <s v="Instituto Nacional de Estadísticas (INE)"/>
    <x v="1138"/>
    <s v="En la región de Aysén, durante el período 2011-2017,  las licencias de conducir profesionales clase A2 fueron las otorgadas en mayor cantidad. El máximo anual ocurrió el año 2014, con la entrega de 1.500 licencias."/>
    <s v="Gráfico de Evolución"/>
    <s v="Región de Aysén regional licencias conducir tipo profesional profesionales clase a1 a2 a3 a4 a5"/>
    <x v="1122"/>
    <s v="100-R-11"/>
    <s v="#1774B9"/>
    <s v="990-1139"/>
    <n v="99200011"/>
    <s v="T-1048"/>
    <s v="C-1017"/>
    <s v="FI-993"/>
    <s v="M-1092"/>
  </r>
  <r>
    <x v="1139"/>
    <n v="990"/>
    <x v="0"/>
    <x v="12"/>
    <n v="12"/>
    <x v="60"/>
    <x v="19"/>
    <x v="1"/>
    <x v="12"/>
    <s v="Ninguno"/>
    <s v="Cantidad  de Licencias de Conducir profesionales por tipo"/>
    <s v="Periodo 2011-2017"/>
    <s v="Número de Licencias de Conducir"/>
    <s v="Instituto Nacional de Estadísticas (INE)"/>
    <x v="1139"/>
    <s v="En la región de Magallanes, durante el período 2011-2017,  las licencias de conducir profesionales clase A2 fueron las otorgadas en mayor cantidad. El máximo anual ocurrió el año 2011, con la entrega de 2.986 licencias."/>
    <s v="Gráfico de Evolución"/>
    <s v="Región de Magallanes regional licencias conducir tipo profesional profesionales clase a1 a2 a3 a4 a5"/>
    <x v="1123"/>
    <s v="100-R-12"/>
    <s v="#1774B9"/>
    <s v="990-1140"/>
    <n v="99200012"/>
    <s v="T-1048"/>
    <s v="C-1017"/>
    <s v="FI-993"/>
    <s v="M-1092"/>
  </r>
  <r>
    <x v="1140"/>
    <n v="990"/>
    <x v="0"/>
    <x v="12"/>
    <n v="13"/>
    <x v="60"/>
    <x v="19"/>
    <x v="1"/>
    <x v="13"/>
    <s v="Ninguno"/>
    <s v="Cantidad  de Licencias de Conducir profesionales por tipo"/>
    <s v="Periodo 2011-2017"/>
    <s v="Número de Licencias de Conducir"/>
    <s v="Instituto Nacional de Estadísticas (INE)"/>
    <x v="1140"/>
    <s v="En la región Metropolitana, durante el período 2011-2017,  las licencias de conducir profesionales clase A2 fueron las otorgadas en mayor cantidad. El máximo anual ocurrió el año 2011, con la entrega de 45.732 licencias."/>
    <s v="Gráfico de Evolución"/>
    <s v="Región Metropolitana regional licencias conducir tipo profesional profesionales clase a1 a2 a3 a4 a5"/>
    <x v="1124"/>
    <s v="200-R-13"/>
    <s v="#1774B9"/>
    <s v="990-1141"/>
    <n v="99200013"/>
    <s v="T-1048"/>
    <s v="C-1017"/>
    <s v="FI-993"/>
    <s v="M-1092"/>
  </r>
  <r>
    <x v="1141"/>
    <n v="990"/>
    <x v="0"/>
    <x v="12"/>
    <n v="14"/>
    <x v="60"/>
    <x v="19"/>
    <x v="1"/>
    <x v="14"/>
    <s v="Ninguno"/>
    <s v="Cantidad  de Licencias de Conducir profesionales por tipo"/>
    <s v="Periodo 2011-2017"/>
    <s v="Número de Licencias de Conducir"/>
    <s v="Instituto Nacional de Estadísticas (INE)"/>
    <x v="1141"/>
    <s v="En la región de Los Ríos, durante el período 2011-2017,  las licencias de conducir profesionales clase A2 fueron las otorgadas en mayor cantidad. El máximo anual ocurrió el año 2011, con la entrega de 4.345 licencias."/>
    <s v="Gráfico de Evolución"/>
    <s v="Región de Los Ríos regional licencias conducir tipo profesional profesionales clase a1 a2 a3 a4 a5"/>
    <x v="1125"/>
    <s v="100-R-14"/>
    <s v="#1774B9"/>
    <s v="990-1142"/>
    <n v="99200014"/>
    <s v="T-1048"/>
    <s v="C-1017"/>
    <s v="FI-993"/>
    <s v="M-1092"/>
  </r>
  <r>
    <x v="1142"/>
    <n v="990"/>
    <x v="0"/>
    <x v="12"/>
    <n v="15"/>
    <x v="60"/>
    <x v="19"/>
    <x v="1"/>
    <x v="15"/>
    <s v="Ninguno"/>
    <s v="Cantidad  de Licencias de Conducir profesionales por tipo"/>
    <s v="Periodo 2011-2017"/>
    <s v="Número de Licencias de Conducir"/>
    <s v="Instituto Nacional de Estadísticas (INE)"/>
    <x v="1142"/>
    <s v="En la región de Arica y Parinacota, durante el período 2011-2017,  las licencias de conducir profesionales clase A2 fueron las otorgadas en mayor cantidad. El máximo anual ocurrió el año 2011, con la entrega de 3.732 licencias."/>
    <s v="Gráfico de Evolución"/>
    <s v="Región de Arica y Parinacota regional licencias conducir tipo profesional profesionales clase a1 a2 a3 a4 a5"/>
    <x v="1126"/>
    <s v="100-R-15"/>
    <s v="#1774B9"/>
    <s v="990-1143"/>
    <n v="99200015"/>
    <s v="T-1048"/>
    <s v="C-1017"/>
    <s v="FI-993"/>
    <s v="M-1092"/>
  </r>
  <r>
    <x v="1143"/>
    <n v="990"/>
    <x v="0"/>
    <x v="12"/>
    <n v="16"/>
    <x v="60"/>
    <x v="19"/>
    <x v="1"/>
    <x v="16"/>
    <s v="Ninguno"/>
    <s v="Cantidad  de Licencias de Conducir profesionales por tipo"/>
    <s v="Periodo 2011-2017"/>
    <s v="Número de Licencias de Conducir"/>
    <s v="Instituto Nacional de Estadísticas (INE)"/>
    <x v="1143"/>
    <s v="En la región de Ñuble, durante el período 2011-2017,  las licencias de conducir profesionales clase A2 fueron las otorgadas en mayor cantidad. El máximo anual ocurrió el año 2011, con la entrega de 6.222 licencias."/>
    <s v="Gráfico de Evolución"/>
    <s v="Región de Ñuble regional licencias conducir tipo profesional profesionales clase a1 a2 a3 a4 a5"/>
    <x v="1127"/>
    <s v="100-R-16"/>
    <s v="#1774B9"/>
    <s v="990-1144"/>
    <n v="99200016"/>
    <s v="T-1048"/>
    <s v="C-1017"/>
    <s v="FI-993"/>
    <s v="M-1092"/>
  </r>
  <r>
    <x v="1144"/>
    <n v="990"/>
    <x v="0"/>
    <x v="12"/>
    <n v="0"/>
    <x v="30"/>
    <x v="19"/>
    <x v="0"/>
    <x v="0"/>
    <s v="Región"/>
    <s v="Permisos de circulación anuales por tipo de transporte"/>
    <s v="Periodo 2008-2019"/>
    <s v="Número de permisos de circulación"/>
    <s v="Instituto Nacional de Estadísticas (INE)"/>
    <x v="1144"/>
    <s v="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
    <s v="Gráfico de Evolución"/>
    <s v="Chile nacional región permiso circulación evolución tipo transporte colectivo particular carga"/>
    <x v="1128"/>
    <s v="300-R"/>
    <s v="#1774B9"/>
    <s v="990-1145"/>
    <n v="99100000"/>
    <s v="T-1007"/>
    <s v="C-1017"/>
    <s v="FI-992"/>
    <s v="M-1093"/>
  </r>
  <r>
    <x v="1145"/>
    <n v="990"/>
    <x v="0"/>
    <x v="12"/>
    <n v="1"/>
    <x v="30"/>
    <x v="19"/>
    <x v="1"/>
    <x v="1"/>
    <s v="Ninguno"/>
    <s v="Permisos de circulación anuales por tipo de transporte"/>
    <s v="Periodo 2008-2019"/>
    <s v="Número de permisos de circulación"/>
    <s v="Instituto Nacional de Estadísticas (INE)"/>
    <x v="1145"/>
    <s v="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
    <s v="Gráfico de Evolución"/>
    <s v="Región de Tarapacá regional permiso circulación evolución tipo transporte colectivo particular carga"/>
    <x v="1129"/>
    <s v="100-R-1"/>
    <s v="#1774B9"/>
    <s v="990-1146"/>
    <n v="99200001"/>
    <s v="T-1007"/>
    <s v="C-1017"/>
    <s v="FI-993"/>
    <s v="M-1093"/>
  </r>
  <r>
    <x v="1146"/>
    <n v="990"/>
    <x v="0"/>
    <x v="12"/>
    <n v="2"/>
    <x v="30"/>
    <x v="19"/>
    <x v="1"/>
    <x v="2"/>
    <s v="Ninguno"/>
    <s v="Permisos de circulación anuales por tipo de transporte"/>
    <s v="Periodo 2008-2019"/>
    <s v="Número de permisos de circulación"/>
    <s v="Instituto Nacional de Estadísticas (INE)"/>
    <x v="1146"/>
    <s v="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
    <s v="Gráfico de Evolución"/>
    <s v="Región de Antofagasta regional permiso circulación evolución tipo transporte colectivo particular carga"/>
    <x v="1130"/>
    <s v="100-R-2"/>
    <s v="#1774B9"/>
    <s v="990-1147"/>
    <n v="99200002"/>
    <s v="T-1007"/>
    <s v="C-1017"/>
    <s v="FI-993"/>
    <s v="M-1093"/>
  </r>
  <r>
    <x v="1147"/>
    <n v="990"/>
    <x v="0"/>
    <x v="12"/>
    <n v="3"/>
    <x v="30"/>
    <x v="19"/>
    <x v="1"/>
    <x v="3"/>
    <s v="Ninguno"/>
    <s v="Permisos de circulación anuales por tipo de transporte"/>
    <s v="Periodo 2008-2019"/>
    <s v="Número de permisos de circulación"/>
    <s v="Instituto Nacional de Estadísticas (INE)"/>
    <x v="1147"/>
    <s v="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
    <s v="Gráfico de Evolución"/>
    <s v="Región de Atacama regional permiso circulación evolución tipo transporte colectivo particular carga"/>
    <x v="1131"/>
    <s v="100-R-3"/>
    <s v="#1774B9"/>
    <s v="990-1148"/>
    <n v="99200003"/>
    <s v="T-1007"/>
    <s v="C-1017"/>
    <s v="FI-993"/>
    <s v="M-1093"/>
  </r>
  <r>
    <x v="1148"/>
    <n v="990"/>
    <x v="0"/>
    <x v="12"/>
    <n v="4"/>
    <x v="30"/>
    <x v="19"/>
    <x v="1"/>
    <x v="4"/>
    <s v="Ninguno"/>
    <s v="Permisos de circulación anuales por tipo de transporte"/>
    <s v="Periodo 2008-2019"/>
    <s v="Número de permisos de circulación"/>
    <s v="Instituto Nacional de Estadísticas (INE)"/>
    <x v="1148"/>
    <s v="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
    <s v="Gráfico de Evolución"/>
    <s v="Región de Coquimbo regional permiso circulación evolución tipo transporte colectivo particular carga"/>
    <x v="1132"/>
    <s v="100-R-4"/>
    <s v="#1774B9"/>
    <s v="990-1149"/>
    <n v="99200004"/>
    <s v="T-1007"/>
    <s v="C-1017"/>
    <s v="FI-993"/>
    <s v="M-1093"/>
  </r>
  <r>
    <x v="1149"/>
    <n v="990"/>
    <x v="0"/>
    <x v="12"/>
    <n v="5"/>
    <x v="30"/>
    <x v="19"/>
    <x v="1"/>
    <x v="5"/>
    <s v="Ninguno"/>
    <s v="Permisos de circulación anuales por tipo de transporte"/>
    <s v="Periodo 2008-2019"/>
    <s v="Número de permisos de circulación"/>
    <s v="Instituto Nacional de Estadísticas (INE)"/>
    <x v="1149"/>
    <s v="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
    <s v="Gráfico de Evolución"/>
    <s v="Región de Valparaíso regional permiso circulación evolución tipo transporte colectivo particular carga"/>
    <x v="1133"/>
    <s v="100-R-5"/>
    <s v="#1774B9"/>
    <s v="990-1150"/>
    <n v="99200005"/>
    <s v="T-1007"/>
    <s v="C-1017"/>
    <s v="FI-993"/>
    <s v="M-1093"/>
  </r>
  <r>
    <x v="1150"/>
    <n v="990"/>
    <x v="0"/>
    <x v="12"/>
    <n v="6"/>
    <x v="30"/>
    <x v="19"/>
    <x v="1"/>
    <x v="6"/>
    <s v="Ninguno"/>
    <s v="Permisos de circulación anuales por tipo de transporte"/>
    <s v="Periodo 2008-2019"/>
    <s v="Número de permisos de circulación"/>
    <s v="Instituto Nacional de Estadísticas (INE)"/>
    <x v="1150"/>
    <s v="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
    <s v="Gráfico de Evolución"/>
    <s v="Región de O'Higgins regional permiso circulación evolución tipo transporte colectivo particular carga"/>
    <x v="1134"/>
    <s v="100-R-6"/>
    <s v="#1774B9"/>
    <s v="990-1151"/>
    <n v="99200006"/>
    <s v="T-1007"/>
    <s v="C-1017"/>
    <s v="FI-993"/>
    <s v="M-1093"/>
  </r>
  <r>
    <x v="1151"/>
    <n v="990"/>
    <x v="0"/>
    <x v="12"/>
    <n v="7"/>
    <x v="30"/>
    <x v="19"/>
    <x v="1"/>
    <x v="7"/>
    <s v="Ninguno"/>
    <s v="Permisos de circulación anuales por tipo de transporte"/>
    <s v="Periodo 2008-2019"/>
    <s v="Número de permisos de circulación"/>
    <s v="Instituto Nacional de Estadísticas (INE)"/>
    <x v="1151"/>
    <s v="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
    <s v="Gráfico de Evolución"/>
    <s v="Región de Maule regional permiso circulación evolución tipo transporte colectivo particular carga"/>
    <x v="1135"/>
    <s v="100-R-7"/>
    <s v="#1774B9"/>
    <s v="990-1152"/>
    <n v="99200007"/>
    <s v="T-1007"/>
    <s v="C-1017"/>
    <s v="FI-993"/>
    <s v="M-1093"/>
  </r>
  <r>
    <x v="1152"/>
    <n v="990"/>
    <x v="0"/>
    <x v="12"/>
    <n v="8"/>
    <x v="30"/>
    <x v="19"/>
    <x v="1"/>
    <x v="8"/>
    <s v="Ninguno"/>
    <s v="Permisos de circulación anuales por tipo de transporte"/>
    <s v="Periodo 2008-2019"/>
    <s v="Número de permisos de circulación"/>
    <s v="Instituto Nacional de Estadísticas (INE)"/>
    <x v="1152"/>
    <s v="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
    <s v="Gráfico de Evolución"/>
    <s v="Región del Biobío regional permiso circulación evolución tipo transporte colectivo particular carga"/>
    <x v="1136"/>
    <s v="100-R-8"/>
    <s v="#1774B9"/>
    <s v="990-1153"/>
    <n v="99200008"/>
    <s v="T-1007"/>
    <s v="C-1017"/>
    <s v="FI-993"/>
    <s v="M-1093"/>
  </r>
  <r>
    <x v="1153"/>
    <n v="990"/>
    <x v="0"/>
    <x v="12"/>
    <n v="9"/>
    <x v="30"/>
    <x v="19"/>
    <x v="1"/>
    <x v="9"/>
    <s v="Ninguno"/>
    <s v="Permisos de circulación anuales por tipo de transporte"/>
    <s v="Periodo 2008-2019"/>
    <s v="Número de permisos de circulación"/>
    <s v="Instituto Nacional de Estadísticas (INE)"/>
    <x v="1153"/>
    <s v="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
    <s v="Gráfico de Evolución"/>
    <s v="Región de La Araucanía regional permiso circulación evolución tipo transporte colectivo particular carga"/>
    <x v="1137"/>
    <s v="100-R-9"/>
    <s v="#1774B9"/>
    <s v="990-1154"/>
    <n v="99200009"/>
    <s v="T-1007"/>
    <s v="C-1017"/>
    <s v="FI-993"/>
    <s v="M-1093"/>
  </r>
  <r>
    <x v="1154"/>
    <n v="990"/>
    <x v="0"/>
    <x v="12"/>
    <n v="10"/>
    <x v="30"/>
    <x v="19"/>
    <x v="1"/>
    <x v="10"/>
    <s v="Ninguno"/>
    <s v="Permisos de circulación anuales por tipo de transporte"/>
    <s v="Periodo 2008-2019"/>
    <s v="Número de permisos de circulación"/>
    <s v="Instituto Nacional de Estadísticas (INE)"/>
    <x v="1154"/>
    <s v="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
    <s v="Gráfico de Evolución"/>
    <s v="Región de Los Lagos regional permiso circulación evolución tipo transporte colectivo particular carga"/>
    <x v="1138"/>
    <s v="100-R-10"/>
    <s v="#1774B9"/>
    <s v="990-1155"/>
    <n v="99200010"/>
    <s v="T-1007"/>
    <s v="C-1017"/>
    <s v="FI-993"/>
    <s v="M-1093"/>
  </r>
  <r>
    <x v="1155"/>
    <n v="990"/>
    <x v="0"/>
    <x v="12"/>
    <n v="11"/>
    <x v="30"/>
    <x v="19"/>
    <x v="1"/>
    <x v="11"/>
    <s v="Ninguno"/>
    <s v="Permisos de circulación anuales por tipo de transporte"/>
    <s v="Periodo 2008-2019"/>
    <s v="Número de permisos de circulación"/>
    <s v="Instituto Nacional de Estadísticas (INE)"/>
    <x v="1155"/>
    <s v="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
    <s v="Gráfico de Evolución"/>
    <s v="Región de Aysén regional permiso circulación evolución tipo transporte colectivo particular carga"/>
    <x v="1139"/>
    <s v="100-R-11"/>
    <s v="#1774B9"/>
    <s v="990-1156"/>
    <n v="99200011"/>
    <s v="T-1007"/>
    <s v="C-1017"/>
    <s v="FI-993"/>
    <s v="M-1093"/>
  </r>
  <r>
    <x v="1156"/>
    <n v="990"/>
    <x v="0"/>
    <x v="12"/>
    <n v="12"/>
    <x v="30"/>
    <x v="19"/>
    <x v="1"/>
    <x v="12"/>
    <s v="Ninguno"/>
    <s v="Permisos de circulación anuales por tipo de transporte"/>
    <s v="Periodo 2008-2019"/>
    <s v="Número de permisos de circulación"/>
    <s v="Instituto Nacional de Estadísticas (INE)"/>
    <x v="1156"/>
    <s v="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
    <s v="Gráfico de Evolución"/>
    <s v="Región de Magallanes regional permiso circulación evolución tipo transporte colectivo particular carga"/>
    <x v="1140"/>
    <s v="100-R-12"/>
    <s v="#1774B9"/>
    <s v="990-1157"/>
    <n v="99200012"/>
    <s v="T-1007"/>
    <s v="C-1017"/>
    <s v="FI-993"/>
    <s v="M-1093"/>
  </r>
  <r>
    <x v="1157"/>
    <n v="990"/>
    <x v="0"/>
    <x v="12"/>
    <n v="13"/>
    <x v="30"/>
    <x v="19"/>
    <x v="1"/>
    <x v="13"/>
    <s v="Ninguno"/>
    <s v="Permisos de circulación anuales por tipo de transporte"/>
    <s v="Periodo 2008-2019"/>
    <s v="Número de permisos de circulación"/>
    <s v="Instituto Nacional de Estadísticas (INE)"/>
    <x v="1157"/>
    <s v="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
    <s v="Gráfico de Evolución"/>
    <s v="Región Metropolitana regional permiso circulación evolución tipo transporte colectivo particular carga"/>
    <x v="1141"/>
    <s v="200-R-13"/>
    <s v="#1774B9"/>
    <s v="990-1158"/>
    <n v="99200013"/>
    <s v="T-1007"/>
    <s v="C-1017"/>
    <s v="FI-993"/>
    <s v="M-1093"/>
  </r>
  <r>
    <x v="1158"/>
    <n v="990"/>
    <x v="0"/>
    <x v="12"/>
    <n v="14"/>
    <x v="30"/>
    <x v="19"/>
    <x v="1"/>
    <x v="14"/>
    <s v="Ninguno"/>
    <s v="Permisos de circulación anuales por tipo de transporte"/>
    <s v="Periodo 2008-2019"/>
    <s v="Número de permisos de circulación"/>
    <s v="Instituto Nacional de Estadísticas (INE)"/>
    <x v="1158"/>
    <s v="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
    <s v="Gráfico de Evolución"/>
    <s v="Región de Los Ríos regional permiso circulación evolución tipo transporte colectivo particular carga"/>
    <x v="1142"/>
    <s v="100-R-14"/>
    <s v="#1774B9"/>
    <s v="990-1159"/>
    <n v="99200014"/>
    <s v="T-1007"/>
    <s v="C-1017"/>
    <s v="FI-993"/>
    <s v="M-1093"/>
  </r>
  <r>
    <x v="1159"/>
    <n v="990"/>
    <x v="0"/>
    <x v="12"/>
    <n v="15"/>
    <x v="30"/>
    <x v="19"/>
    <x v="1"/>
    <x v="15"/>
    <s v="Ninguno"/>
    <s v="Permisos de circulación anuales por tipo de transporte"/>
    <s v="Periodo 2008-2019"/>
    <s v="Número de permisos de circulación"/>
    <s v="Instituto Nacional de Estadísticas (INE)"/>
    <x v="1159"/>
    <s v="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
    <s v="Gráfico de Evolución"/>
    <s v="Región de Arica y Parinacota regional permiso circulación evolución tipo transporte colectivo particular carga"/>
    <x v="1143"/>
    <s v="100-R-15"/>
    <s v="#1774B9"/>
    <s v="990-1160"/>
    <n v="99200015"/>
    <s v="T-1007"/>
    <s v="C-1017"/>
    <s v="FI-993"/>
    <s v="M-1093"/>
  </r>
  <r>
    <x v="1160"/>
    <n v="990"/>
    <x v="0"/>
    <x v="12"/>
    <n v="16"/>
    <x v="30"/>
    <x v="19"/>
    <x v="1"/>
    <x v="16"/>
    <s v="Ninguno"/>
    <s v="Permisos de circulación anuales por tipo de transporte"/>
    <s v="Periodo 2008-2019"/>
    <s v="Número de permisos de circulación"/>
    <s v="Instituto Nacional de Estadísticas (INE)"/>
    <x v="1160"/>
    <s v="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
    <s v="Gráfico de Evolución"/>
    <s v="Región de Ñuble regional permiso circulación evolución tipo transporte colectivo particular carga"/>
    <x v="1144"/>
    <s v="100-R-16"/>
    <s v="#1774B9"/>
    <s v="990-1161"/>
    <n v="99200016"/>
    <s v="T-1007"/>
    <s v="C-1017"/>
    <s v="FI-993"/>
    <s v="M-1093"/>
  </r>
  <r>
    <x v="1161"/>
    <n v="990"/>
    <x v="0"/>
    <x v="12"/>
    <n v="0"/>
    <x v="61"/>
    <x v="19"/>
    <x v="0"/>
    <x v="0"/>
    <s v="Región-Año"/>
    <s v="Cantidad  de Licencias de Conducir no profesionales"/>
    <s v="Periodo 2011-2017"/>
    <s v="Número de Licencias de Conducir"/>
    <s v="Instituto Nacional de Estadísticas (INE)"/>
    <x v="1161"/>
    <s v="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
    <s v="Mapa de calor"/>
    <s v="Chile nacional región comuna licencia conducir no profesional"/>
    <x v="1145"/>
    <s v="300-C"/>
    <s v="#1774B9"/>
    <s v="990-1162"/>
    <n v="99100000"/>
    <s v="T-1049"/>
    <s v="C-1017"/>
    <s v="FI-1005"/>
    <s v="M-1094"/>
  </r>
  <r>
    <x v="1162"/>
    <n v="990"/>
    <x v="0"/>
    <x v="12"/>
    <n v="1"/>
    <x v="61"/>
    <x v="19"/>
    <x v="1"/>
    <x v="1"/>
    <s v="Región"/>
    <s v="Cantidad  de Licencias de Conducir no profesionales"/>
    <s v="Periodo 2011-2017"/>
    <s v="Número de Licencias de Conducir"/>
    <s v="Instituto Nacional de Estadísticas (INE)"/>
    <x v="1162"/>
    <s v="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
    <s v="Mapa de calor"/>
    <s v="Región Tarapacá regional comuna licencia conducir no profesional"/>
    <x v="1146"/>
    <s v="100-C-1"/>
    <s v="#1774B9"/>
    <s v="990-1163"/>
    <n v="99200001"/>
    <s v="T-1049"/>
    <s v="C-1017"/>
    <s v="FI-992"/>
    <s v="M-1094"/>
  </r>
  <r>
    <x v="1163"/>
    <n v="990"/>
    <x v="0"/>
    <x v="12"/>
    <n v="2"/>
    <x v="61"/>
    <x v="19"/>
    <x v="1"/>
    <x v="2"/>
    <s v="Región"/>
    <s v="Cantidad  de Licencias de Conducir no profesionales"/>
    <s v="Periodo 2011-2017"/>
    <s v="Número de Licencias de Conducir"/>
    <s v="Instituto Nacional de Estadísticas (INE)"/>
    <x v="1163"/>
    <s v="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
    <s v="Mapa de calor"/>
    <s v="Región Antofagasta regional comuna licencia conducir no profesional"/>
    <x v="1147"/>
    <s v="100-C-2"/>
    <s v="#1774B9"/>
    <s v="990-1164"/>
    <n v="99200002"/>
    <s v="T-1049"/>
    <s v="C-1017"/>
    <s v="FI-992"/>
    <s v="M-1094"/>
  </r>
  <r>
    <x v="1164"/>
    <n v="990"/>
    <x v="0"/>
    <x v="12"/>
    <n v="3"/>
    <x v="61"/>
    <x v="19"/>
    <x v="1"/>
    <x v="3"/>
    <s v="Región"/>
    <s v="Cantidad  de Licencias de Conducir no profesionales"/>
    <s v="Periodo 2011-2017"/>
    <s v="Número de Licencias de Conducir"/>
    <s v="Instituto Nacional de Estadísticas (INE)"/>
    <x v="1164"/>
    <s v="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
    <s v="Mapa de calor"/>
    <s v="Región Atacama regional comuna licencia conducir no profesional"/>
    <x v="1148"/>
    <s v="100-C-3"/>
    <s v="#1774B9"/>
    <s v="990-1165"/>
    <n v="99200003"/>
    <s v="T-1049"/>
    <s v="C-1017"/>
    <s v="FI-992"/>
    <s v="M-1094"/>
  </r>
  <r>
    <x v="1165"/>
    <n v="990"/>
    <x v="0"/>
    <x v="12"/>
    <n v="4"/>
    <x v="61"/>
    <x v="19"/>
    <x v="1"/>
    <x v="4"/>
    <s v="Región"/>
    <s v="Cantidad  de Licencias de Conducir no profesionales"/>
    <s v="Periodo 2011-2017"/>
    <s v="Número de Licencias de Conducir"/>
    <s v="Instituto Nacional de Estadísticas (INE)"/>
    <x v="1165"/>
    <s v="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
    <s v="Mapa de calor"/>
    <s v="Región Coquimbo regional comuna licencia conducir no profesional"/>
    <x v="1149"/>
    <s v="100-C-4"/>
    <s v="#1774B9"/>
    <s v="990-1166"/>
    <n v="99200004"/>
    <s v="T-1049"/>
    <s v="C-1017"/>
    <s v="FI-992"/>
    <s v="M-1094"/>
  </r>
  <r>
    <x v="1166"/>
    <n v="990"/>
    <x v="0"/>
    <x v="12"/>
    <n v="5"/>
    <x v="61"/>
    <x v="19"/>
    <x v="1"/>
    <x v="5"/>
    <s v="Región"/>
    <s v="Cantidad  de Licencias de Conducir no profesionales"/>
    <s v="Periodo 2011-2017"/>
    <s v="Número de Licencias de Conducir"/>
    <s v="Instituto Nacional de Estadísticas (INE)"/>
    <x v="1166"/>
    <s v="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
    <s v="Mapa de calor"/>
    <s v="Región Valparaíso regional comuna licencia conducir no profesional"/>
    <x v="1150"/>
    <s v="100-C-5"/>
    <s v="#1774B9"/>
    <s v="990-1167"/>
    <n v="99200005"/>
    <s v="T-1049"/>
    <s v="C-1017"/>
    <s v="FI-992"/>
    <s v="M-1094"/>
  </r>
  <r>
    <x v="1167"/>
    <n v="990"/>
    <x v="0"/>
    <x v="12"/>
    <n v="6"/>
    <x v="61"/>
    <x v="19"/>
    <x v="1"/>
    <x v="6"/>
    <s v="Región"/>
    <s v="Cantidad  de Licencias de Conducir no profesionales"/>
    <s v="Periodo 2011-2017"/>
    <s v="Número de Licencias de Conducir"/>
    <s v="Instituto Nacional de Estadísticas (INE)"/>
    <x v="1167"/>
    <s v="La cantidad de licencias de conducir del tipo no profesional en la región de O'Higgins, fue mayor en la comuna de Rancagua, el año 2012, con 12.733 licencias. Por otro lado, la menor cantidad de licencias otorgadas se observa el año 2013, en la comuna de Peumo, con 582 licencias."/>
    <s v="Mapa de calor"/>
    <s v="Región O'Higgins regional comuna licencia conducir no profesional"/>
    <x v="1151"/>
    <s v="100-C-6"/>
    <s v="#1774B9"/>
    <s v="990-1168"/>
    <n v="99200006"/>
    <s v="T-1049"/>
    <s v="C-1017"/>
    <s v="FI-992"/>
    <s v="M-1094"/>
  </r>
  <r>
    <x v="1168"/>
    <n v="990"/>
    <x v="0"/>
    <x v="12"/>
    <n v="7"/>
    <x v="61"/>
    <x v="19"/>
    <x v="1"/>
    <x v="7"/>
    <s v="Región"/>
    <s v="Cantidad  de Licencias de Conducir no profesionales"/>
    <s v="Periodo 2011-2017"/>
    <s v="Número de Licencias de Conducir"/>
    <s v="Instituto Nacional de Estadísticas (INE)"/>
    <x v="1168"/>
    <s v="La cantidad de licencias de conducir del tipo no profesional en la región de Maule, fue mayor en la comuna de Talca, el año 2017, con 11.402 licencias. Por otro lado, la menor cantidad de licencias otorgadas se observa el año 2016, en la comuna de Retiro, con 140 licencias."/>
    <s v="Mapa de calor"/>
    <s v="Región Maule regional comuna licencia conducir no profesional"/>
    <x v="1152"/>
    <s v="100-C-7"/>
    <s v="#1774B9"/>
    <s v="990-1169"/>
    <n v="99200007"/>
    <s v="T-1049"/>
    <s v="C-1017"/>
    <s v="FI-992"/>
    <s v="M-1094"/>
  </r>
  <r>
    <x v="1169"/>
    <n v="990"/>
    <x v="0"/>
    <x v="12"/>
    <n v="8"/>
    <x v="61"/>
    <x v="19"/>
    <x v="1"/>
    <x v="8"/>
    <s v="Región"/>
    <s v="Cantidad  de Licencias de Conducir no profesionales"/>
    <s v="Periodo 2011-2017"/>
    <s v="Número de Licencias de Conducir"/>
    <s v="Instituto Nacional de Estadísticas (INE)"/>
    <x v="1169"/>
    <s v="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
    <s v="Mapa de calor"/>
    <s v="Región del Biobío regional comuna licencia conducir no profesional"/>
    <x v="1153"/>
    <s v="100-C-8"/>
    <s v="#1774B9"/>
    <s v="990-1170"/>
    <n v="99200008"/>
    <s v="T-1049"/>
    <s v="C-1017"/>
    <s v="FI-992"/>
    <s v="M-1094"/>
  </r>
  <r>
    <x v="1170"/>
    <n v="990"/>
    <x v="0"/>
    <x v="12"/>
    <n v="9"/>
    <x v="61"/>
    <x v="19"/>
    <x v="1"/>
    <x v="9"/>
    <s v="Región"/>
    <s v="Cantidad  de Licencias de Conducir no profesionales"/>
    <s v="Periodo 2011-2017"/>
    <s v="Número de Licencias de Conducir"/>
    <s v="Instituto Nacional de Estadísticas (INE)"/>
    <x v="1170"/>
    <s v="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
    <s v="Mapa de calor"/>
    <s v="Región La Araucanía regional comuna licencia conducir no profesional"/>
    <x v="1154"/>
    <s v="100-C-9"/>
    <s v="#1774B9"/>
    <s v="990-1171"/>
    <n v="99200009"/>
    <s v="T-1049"/>
    <s v="C-1017"/>
    <s v="FI-992"/>
    <s v="M-1094"/>
  </r>
  <r>
    <x v="1171"/>
    <n v="990"/>
    <x v="0"/>
    <x v="12"/>
    <n v="10"/>
    <x v="61"/>
    <x v="19"/>
    <x v="1"/>
    <x v="10"/>
    <s v="Región"/>
    <s v="Cantidad  de Licencias de Conducir no profesionales"/>
    <s v="Periodo 2011-2017"/>
    <s v="Número de Licencias de Conducir"/>
    <s v="Instituto Nacional de Estadísticas (INE)"/>
    <x v="1171"/>
    <s v="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
    <s v="Mapa de calor"/>
    <s v="Región Los Lagos regional comuna licencia conducir no profesional"/>
    <x v="1155"/>
    <s v="100-C-10"/>
    <s v="#1774B9"/>
    <s v="990-1172"/>
    <n v="99200010"/>
    <s v="T-1049"/>
    <s v="C-1017"/>
    <s v="FI-992"/>
    <s v="M-1094"/>
  </r>
  <r>
    <x v="1172"/>
    <n v="990"/>
    <x v="0"/>
    <x v="12"/>
    <n v="11"/>
    <x v="61"/>
    <x v="19"/>
    <x v="1"/>
    <x v="11"/>
    <s v="Región"/>
    <s v="Cantidad  de Licencias de Conducir no profesionales"/>
    <s v="Periodo 2011-2017"/>
    <s v="Número de Licencias de Conducir"/>
    <s v="Instituto Nacional de Estadísticas (INE)"/>
    <x v="1172"/>
    <s v="La cantidad de licencias de conducir del tipo no profesional en la región de Aysén, fue mayor en la comuna de Coihaique, el año 2014, con 5.042 licencias. Por otro lado, la menor cantidad de licencias otorgadas se observa el año 2013, en la comuna de Cochrane, con 152 licencias."/>
    <s v="Mapa de calor"/>
    <s v="Región Aysén regional comuna licencia conducir no profesional"/>
    <x v="1156"/>
    <s v="100-C-11"/>
    <s v="#1774B9"/>
    <s v="990-1173"/>
    <n v="99200011"/>
    <s v="T-1049"/>
    <s v="C-1017"/>
    <s v="FI-992"/>
    <s v="M-1094"/>
  </r>
  <r>
    <x v="1173"/>
    <n v="990"/>
    <x v="0"/>
    <x v="12"/>
    <n v="12"/>
    <x v="61"/>
    <x v="19"/>
    <x v="1"/>
    <x v="12"/>
    <s v="Región"/>
    <s v="Cantidad  de Licencias de Conducir no profesionales"/>
    <s v="Periodo 2011-2017"/>
    <s v="Número de Licencias de Conducir"/>
    <s v="Instituto Nacional de Estadísticas (INE)"/>
    <x v="1173"/>
    <s v="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
    <s v="Mapa de calor"/>
    <s v="Región Magallanes regional comuna licencia conducir no profesional"/>
    <x v="1157"/>
    <s v="100-C-12"/>
    <s v="#1774B9"/>
    <s v="990-1174"/>
    <n v="99200012"/>
    <s v="T-1049"/>
    <s v="C-1017"/>
    <s v="FI-992"/>
    <s v="M-1094"/>
  </r>
  <r>
    <x v="1174"/>
    <n v="990"/>
    <x v="0"/>
    <x v="12"/>
    <n v="13"/>
    <x v="61"/>
    <x v="19"/>
    <x v="1"/>
    <x v="13"/>
    <s v="Región"/>
    <s v="Cantidad  de Licencias de Conducir no profesionales"/>
    <s v="Periodo 2011-2017"/>
    <s v="Número de Licencias de Conducir"/>
    <s v="Instituto Nacional de Estadísticas (INE)"/>
    <x v="1174"/>
    <s v="La cantidad de licencias de conducir del tipo no profesional en la región Metropolitana, fue mayor en la comuna de Las Condes, el año 2013, con 33.415 licencias. Por otro lado, la menor cantidad de licencias otorgadas se observa el mismo año, en la comuna de Colina, con 604 licencias."/>
    <s v="Mapa de calor"/>
    <s v="Región Metropolitana regional comuna licencia conducir no profesional"/>
    <x v="1158"/>
    <s v="200-C-13"/>
    <s v="#1774B9"/>
    <s v="990-1175"/>
    <n v="99200013"/>
    <s v="T-1049"/>
    <s v="C-1017"/>
    <s v="FI-992"/>
    <s v="M-1094"/>
  </r>
  <r>
    <x v="1175"/>
    <n v="990"/>
    <x v="0"/>
    <x v="12"/>
    <n v="14"/>
    <x v="61"/>
    <x v="19"/>
    <x v="1"/>
    <x v="14"/>
    <s v="Región"/>
    <s v="Cantidad  de Licencias de Conducir no profesionales"/>
    <s v="Periodo 2011-2017"/>
    <s v="Número de Licencias de Conducir"/>
    <s v="Instituto Nacional de Estadísticas (INE)"/>
    <x v="1175"/>
    <s v="La cantidad de licencias de conducir del tipo no profesional en la región de Los Ríos, fue mayor en la comuna de Valdivia, el año 2017, con 9.038 licencias. Por otro lado, la menor cantidad de licencias otorgadas se observa el año 2017, en la comuna de Paillaco, con 742 licencias."/>
    <s v="Mapa de calor"/>
    <s v="Región Los Ríos regional comuna licencia conducir no profesional"/>
    <x v="1159"/>
    <s v="100-C-14"/>
    <s v="#1774B9"/>
    <s v="990-1176"/>
    <n v="99200014"/>
    <s v="T-1049"/>
    <s v="C-1017"/>
    <s v="FI-992"/>
    <s v="M-1094"/>
  </r>
  <r>
    <x v="1176"/>
    <n v="990"/>
    <x v="0"/>
    <x v="12"/>
    <n v="15"/>
    <x v="61"/>
    <x v="19"/>
    <x v="1"/>
    <x v="15"/>
    <s v="Región"/>
    <s v="Cantidad  de Licencias de Conducir no profesionales"/>
    <s v="Periodo 2011-2017"/>
    <s v="Número de Licencias de Conducir"/>
    <s v="Instituto Nacional de Estadísticas (INE)"/>
    <x v="1176"/>
    <s v="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
    <s v="Mapa de calor"/>
    <s v="Región Arica y Parinacota regional comuna licencia conducir no profesional"/>
    <x v="1160"/>
    <s v="100-C-15"/>
    <s v="#1774B9"/>
    <s v="990-1177"/>
    <n v="99200015"/>
    <s v="T-1049"/>
    <s v="C-1017"/>
    <s v="FI-992"/>
    <s v="M-1094"/>
  </r>
  <r>
    <x v="1177"/>
    <n v="990"/>
    <x v="0"/>
    <x v="12"/>
    <n v="16"/>
    <x v="61"/>
    <x v="19"/>
    <x v="1"/>
    <x v="16"/>
    <s v="Región"/>
    <s v="Cantidad  de Licencias de Conducir no profesionales"/>
    <s v="Periodo 2011-2017"/>
    <s v="Número de Licencias de Conducir"/>
    <s v="Instituto Nacional de Estadísticas (INE)"/>
    <x v="1177"/>
    <s v="La cantidad de licencias de conducir del tipo no profesional en la región de Ñuble, fue mayor en la comuna de Chillán, el año 2011, con 14.264 licencias. Por otro lado, la menor cantidad de licencias otorgadas se observa el año 2017, en la comuna de Traguaco, con 103 licencias."/>
    <s v="Mapa de calor"/>
    <s v="Región Ñuble regional comuna licencia conducir no profesional"/>
    <x v="1161"/>
    <s v="100-C-16"/>
    <s v="#1774B9"/>
    <s v="990-1178"/>
    <n v="99200016"/>
    <s v="T-1049"/>
    <s v="C-1017"/>
    <s v="FI-992"/>
    <s v="M-1094"/>
  </r>
  <r>
    <x v="1178"/>
    <n v="990"/>
    <x v="0"/>
    <x v="12"/>
    <n v="0"/>
    <x v="30"/>
    <x v="19"/>
    <x v="0"/>
    <x v="0"/>
    <s v="Región-Año"/>
    <s v="Permisos de circulación anuales de tipo de transporte colectivo"/>
    <s v="Periodo 2008-2019"/>
    <s v="Número de permisos de circulación"/>
    <s v="Instituto Nacional de Estadísticas (INE)"/>
    <x v="1178"/>
    <s v="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
    <s v="Mapa de calor"/>
    <s v="Chile nacional región comuna permiso circulación tipo transporte colectivo"/>
    <x v="1162"/>
    <s v="300-C"/>
    <s v="#1774B9"/>
    <s v="990-1179"/>
    <n v="99100000"/>
    <s v="T-1007"/>
    <s v="C-1017"/>
    <s v="FI-1005"/>
    <s v="M-1095"/>
  </r>
  <r>
    <x v="1179"/>
    <n v="990"/>
    <x v="0"/>
    <x v="12"/>
    <n v="1"/>
    <x v="30"/>
    <x v="19"/>
    <x v="1"/>
    <x v="1"/>
    <s v="Año"/>
    <s v="Permisos de circulación anuales de tipo de transporte colectivo"/>
    <s v="Periodo 2008-2019"/>
    <s v="Número de permisos de circulación"/>
    <s v="Instituto Nacional de Estadísticas (INE)"/>
    <x v="1179"/>
    <s v="Los permisos de circulación de transportes colectivos en la región de Tarapacá fueron mayores en Iquique, el año 2014, con 4.077 permisos. Le sigue Alto Hospicio, el año 2019, con 2.010 permisos de circulación otorgados a transporte colectivo."/>
    <s v="Mapa de calor"/>
    <s v="Región Tarapacá regional comuna permiso circulación tipo transporte colectivo"/>
    <x v="1163"/>
    <s v="100-C-1"/>
    <s v="#1774B9"/>
    <s v="990-1180"/>
    <n v="99200001"/>
    <s v="T-1007"/>
    <s v="C-1017"/>
    <s v="FI-1006"/>
    <s v="M-1095"/>
  </r>
  <r>
    <x v="1180"/>
    <n v="990"/>
    <x v="0"/>
    <x v="12"/>
    <n v="2"/>
    <x v="30"/>
    <x v="19"/>
    <x v="1"/>
    <x v="2"/>
    <s v="Año"/>
    <s v="Permisos de circulación anuales de tipo de transporte colectivo"/>
    <s v="Periodo 2008-2019"/>
    <s v="Número de permisos de circulación"/>
    <s v="Instituto Nacional de Estadísticas (INE)"/>
    <x v="1180"/>
    <s v="Los permisos de circulación de transportes colectivos en la región de Antofagasta fueron mayores en Antofagasta, el año 2015, con 5.168 permisos. Le sigue Calama, el año 2019, con 3.926 permisos de circulación otorgados a transporte colectivo."/>
    <s v="Mapa de calor"/>
    <s v="Región Antofagasta regional comuna permiso circulación tipo transporte colectivo"/>
    <x v="1164"/>
    <s v="100-C-2"/>
    <s v="#1774B9"/>
    <s v="990-1181"/>
    <n v="99200002"/>
    <s v="T-1007"/>
    <s v="C-1017"/>
    <s v="FI-1006"/>
    <s v="M-1095"/>
  </r>
  <r>
    <x v="1181"/>
    <n v="990"/>
    <x v="0"/>
    <x v="12"/>
    <n v="3"/>
    <x v="30"/>
    <x v="19"/>
    <x v="1"/>
    <x v="3"/>
    <s v="Año"/>
    <s v="Permisos de circulación anuales de tipo de transporte colectivo"/>
    <s v="Periodo 2008-2019"/>
    <s v="Número de permisos de circulación"/>
    <s v="Instituto Nacional de Estadísticas (INE)"/>
    <x v="1181"/>
    <s v="Los permisos de circulación de transportes colectivos en la región de Atacama fueron mayores en Copiapó, el año 2018, con 2.713 permisos. Le sigue Chañaral, ese mismo año, con 1.078 permisos de circulación otorgados a transporte colectivo."/>
    <s v="Mapa de calor"/>
    <s v="Región Atacama regional comuna permiso circulación tipo transporte colectivo"/>
    <x v="1165"/>
    <s v="100-C-3"/>
    <s v="#1774B9"/>
    <s v="990-1182"/>
    <n v="99200003"/>
    <s v="T-1007"/>
    <s v="C-1017"/>
    <s v="FI-1006"/>
    <s v="M-1095"/>
  </r>
  <r>
    <x v="1182"/>
    <n v="990"/>
    <x v="0"/>
    <x v="12"/>
    <n v="4"/>
    <x v="30"/>
    <x v="19"/>
    <x v="1"/>
    <x v="4"/>
    <s v="Año"/>
    <s v="Permisos de circulación anuales de tipo de transporte colectivo"/>
    <s v="Periodo 2008-2019"/>
    <s v="Número de permisos de circulación"/>
    <s v="Instituto Nacional de Estadísticas (INE)"/>
    <x v="1182"/>
    <s v="Los permisos de circulación de transportes colectivos en la región de Coquimbo fueron mayores en La Serena, el año 2019, con 3.310 permisos. Le sigue Coquimbo, ese mismo año, con 2.474 permisos de circulación otorgados a transporte colectivo."/>
    <s v="Mapa de calor"/>
    <s v="Región Coquimbo regional comuna permiso circulación tipo transporte colectivo"/>
    <x v="1166"/>
    <s v="100-C-4"/>
    <s v="#1774B9"/>
    <s v="990-1183"/>
    <n v="99200004"/>
    <s v="T-1007"/>
    <s v="C-1017"/>
    <s v="FI-1006"/>
    <s v="M-1095"/>
  </r>
  <r>
    <x v="1183"/>
    <n v="990"/>
    <x v="0"/>
    <x v="12"/>
    <n v="5"/>
    <x v="30"/>
    <x v="19"/>
    <x v="1"/>
    <x v="5"/>
    <s v="Año"/>
    <s v="Permisos de circulación anuales de tipo de transporte colectivo"/>
    <s v="Periodo 2008-2019"/>
    <s v="Número de permisos de circulación"/>
    <s v="Instituto Nacional de Estadísticas (INE)"/>
    <x v="1183"/>
    <s v="Los permisos de circulación de transportes colectivos en la región de Valparaíso fueron mayores en Valparaíso, el año 2018, con 3.903 permisos. Le sigue Viña de Mar, el año 2013, con 3.175 permisos de circulación otorgados a transporte colectivo."/>
    <s v="Mapa de calor"/>
    <s v="Región Valparaíso regional comuna permiso circulación tipo transporte colectivo"/>
    <x v="1167"/>
    <s v="100-C-5"/>
    <s v="#1774B9"/>
    <s v="990-1184"/>
    <n v="99200005"/>
    <s v="T-1007"/>
    <s v="C-1017"/>
    <s v="FI-1006"/>
    <s v="M-1095"/>
  </r>
  <r>
    <x v="1184"/>
    <n v="990"/>
    <x v="0"/>
    <x v="12"/>
    <n v="6"/>
    <x v="30"/>
    <x v="19"/>
    <x v="1"/>
    <x v="6"/>
    <s v="Año"/>
    <s v="Permisos de circulación anuales de tipo de transporte colectivo"/>
    <s v="Periodo 2008-2019"/>
    <s v="Número de permisos de circulación"/>
    <s v="Instituto Nacional de Estadísticas (INE)"/>
    <x v="1184"/>
    <s v="Los permisos de circulación de transportes colectivos en la región de O'Higgins fueron mayores en Rancagua, el año 2017, con 3.830 permisos. Le sigue Codegua, el año 2018, con 1.756 permisos de circulación otorgados a transporte colectivo."/>
    <s v="Mapa de calor"/>
    <s v="Región O'Higgins regional comuna permiso circulación tipo transporte colectivo"/>
    <x v="1168"/>
    <s v="100-C-6"/>
    <s v="#1774B9"/>
    <s v="990-1185"/>
    <n v="99200006"/>
    <s v="T-1007"/>
    <s v="C-1017"/>
    <s v="FI-1006"/>
    <s v="M-1095"/>
  </r>
  <r>
    <x v="1185"/>
    <n v="990"/>
    <x v="0"/>
    <x v="12"/>
    <n v="7"/>
    <x v="30"/>
    <x v="19"/>
    <x v="1"/>
    <x v="7"/>
    <s v="Año"/>
    <s v="Permisos de circulación anuales de tipo de transporte colectivo"/>
    <s v="Periodo 2008-2019"/>
    <s v="Número de permisos de circulación"/>
    <s v="Instituto Nacional de Estadísticas (INE)"/>
    <x v="1185"/>
    <s v="Los permisos de circulación de transportes colectivos en la región de Maule fueron mayores en Talca, el año 2018, con 2.386 permisos. Le sigue Curicó, el año 2019, con 1.739 permisos de circulación otorgados a transporte colectivo."/>
    <s v="Mapa de calor"/>
    <s v="Región Maule regional comuna permiso circulación tipo transporte colectivo"/>
    <x v="1169"/>
    <s v="100-C-7"/>
    <s v="#1774B9"/>
    <s v="990-1186"/>
    <n v="99200007"/>
    <s v="T-1007"/>
    <s v="C-1017"/>
    <s v="FI-1006"/>
    <s v="M-1095"/>
  </r>
  <r>
    <x v="1186"/>
    <n v="990"/>
    <x v="0"/>
    <x v="12"/>
    <n v="8"/>
    <x v="30"/>
    <x v="19"/>
    <x v="1"/>
    <x v="8"/>
    <s v="Año"/>
    <s v="Permisos de circulación anuales de tipo de transporte colectivo"/>
    <s v="Periodo 2008-2019"/>
    <s v="Número de permisos de circulación"/>
    <s v="Instituto Nacional de Estadísticas (INE)"/>
    <x v="1186"/>
    <s v="Los permisos de circulación de transportes colectivos en la región del Biobío fueron mayores en Hualpén, el año 2019, con 2.906 permisos. Le sigue Los Ángeles, ese mismo año, con 2.254 permisos de circulación otorgados a transporte colectivo."/>
    <s v="Mapa de calor"/>
    <s v="Región del Biobío regional comuna permiso circulación tipo transporte colectivo"/>
    <x v="1170"/>
    <s v="100-C-8"/>
    <s v="#1774B9"/>
    <s v="990-1187"/>
    <n v="99200008"/>
    <s v="T-1007"/>
    <s v="C-1017"/>
    <s v="FI-1006"/>
    <s v="M-1095"/>
  </r>
  <r>
    <x v="1187"/>
    <n v="990"/>
    <x v="0"/>
    <x v="12"/>
    <n v="9"/>
    <x v="30"/>
    <x v="19"/>
    <x v="1"/>
    <x v="9"/>
    <s v="Año"/>
    <s v="Permisos de circulación anuales de tipo de transporte colectivo"/>
    <s v="Periodo 2008-2019"/>
    <s v="Número de permisos de circulación"/>
    <s v="Instituto Nacional de Estadísticas (INE)"/>
    <x v="1187"/>
    <s v="Los permisos de circulación de transportes colectivos en la región de Araucanía fueron mayores en Temuco, el año 2010, con 2.770 permisos. Le sigue Padre Las Casas, el año 2018, con 1.137 permisos de circulación otorgados a transporte colectivo."/>
    <s v="Mapa de calor"/>
    <s v="Región La Araucanía regional comuna permiso circulación tipo transporte colectivo"/>
    <x v="1171"/>
    <s v="100-C-9"/>
    <s v="#1774B9"/>
    <s v="990-1188"/>
    <n v="99200009"/>
    <s v="T-1007"/>
    <s v="C-1017"/>
    <s v="FI-1006"/>
    <s v="M-1095"/>
  </r>
  <r>
    <x v="1188"/>
    <n v="990"/>
    <x v="0"/>
    <x v="12"/>
    <n v="10"/>
    <x v="30"/>
    <x v="19"/>
    <x v="1"/>
    <x v="10"/>
    <s v="Año"/>
    <s v="Permisos de circulación anuales de tipo de transporte colectivo"/>
    <s v="Periodo 2008-2019"/>
    <s v="Número de permisos de circulación"/>
    <s v="Instituto Nacional de Estadísticas (INE)"/>
    <x v="1188"/>
    <s v="Los permisos de circulación de transportes colectivos en la región de Los Lagos fueron mayores en Puerto Montt, el año 2019, con 4.174 permisos. Le sigue Osorno, el año 2012, con 1.845 permisos de circulación otorgados a transporte colectivo."/>
    <s v="Mapa de calor"/>
    <s v="Región Los Lagos regional comuna permiso circulación tipo transporte colectivo"/>
    <x v="1172"/>
    <s v="100-C-10"/>
    <s v="#1774B9"/>
    <s v="990-1189"/>
    <n v="99200010"/>
    <s v="T-1007"/>
    <s v="C-1017"/>
    <s v="FI-1006"/>
    <s v="M-1095"/>
  </r>
  <r>
    <x v="1189"/>
    <n v="990"/>
    <x v="0"/>
    <x v="12"/>
    <n v="11"/>
    <x v="30"/>
    <x v="19"/>
    <x v="1"/>
    <x v="11"/>
    <s v="Año"/>
    <s v="Permisos de circulación anuales de tipo de transporte colectivo"/>
    <s v="Periodo 2008-2019"/>
    <s v="Número de permisos de circulación"/>
    <s v="Instituto Nacional de Estadísticas (INE)"/>
    <x v="1189"/>
    <s v="Los permisos de circulación de transportes colectivos en la región de Aysén fueron mayores en Coihaique, ese mismo año, con 1.028 permisos. Le sigue Aisén, el año 2019, con 491 permisos de circulación otorgados a transporte colectivo."/>
    <s v="Mapa de calor"/>
    <s v="Región Aysén regional comuna permiso circulación tipo transporte colectivo"/>
    <x v="1173"/>
    <s v="100-C-11"/>
    <s v="#1774B9"/>
    <s v="990-1190"/>
    <n v="99200011"/>
    <s v="T-1007"/>
    <s v="C-1017"/>
    <s v="FI-1006"/>
    <s v="M-1095"/>
  </r>
  <r>
    <x v="1190"/>
    <n v="990"/>
    <x v="0"/>
    <x v="12"/>
    <n v="12"/>
    <x v="30"/>
    <x v="19"/>
    <x v="1"/>
    <x v="12"/>
    <s v="Año"/>
    <s v="Permisos de circulación anuales de tipo de transporte colectivo"/>
    <s v="Periodo 2008-2019"/>
    <s v="Número de permisos de circulación"/>
    <s v="Instituto Nacional de Estadísticas (INE)"/>
    <x v="1190"/>
    <s v="Los permisos de circulación de transportes colectivos en la región de Magallanes fueron mayores en Punta Arenas, el año 2019, con 2.941 permisos. Le sigue Natales, ese mismo año, con 741 permisos de circulación otorgados a transporte colectivo."/>
    <s v="Mapa de calor"/>
    <s v="Región Magallanes regional comuna permiso circulación tipo transporte colectivo"/>
    <x v="1174"/>
    <s v="100-C-12"/>
    <s v="#1774B9"/>
    <s v="990-1191"/>
    <n v="99200012"/>
    <s v="T-1007"/>
    <s v="C-1017"/>
    <s v="FI-1006"/>
    <s v="M-1095"/>
  </r>
  <r>
    <x v="1191"/>
    <n v="990"/>
    <x v="0"/>
    <x v="12"/>
    <n v="13"/>
    <x v="30"/>
    <x v="19"/>
    <x v="1"/>
    <x v="13"/>
    <s v="Año"/>
    <s v="Permisos de circulación anuales de tipo de transporte colectivo"/>
    <s v="Periodo 2008-2019"/>
    <s v="Número de permisos de circulación"/>
    <s v="Instituto Nacional de Estadísticas (INE)"/>
    <x v="1191"/>
    <s v="Los permisos de circulación de transportes colectivos en la región Metropolitana fueron mayores en Estación Central, el año 2015, con 5.090 permisos. Le sigue Puente Alto, el año 2019, con 5.049 permisos de circulación otorgados a transporte colectivo."/>
    <s v="Mapa de calor"/>
    <s v="Región Metropolitana regional comuna permiso circulación tipo transporte colectivo"/>
    <x v="1175"/>
    <s v="200-C-13"/>
    <s v="#1774B9"/>
    <s v="990-1192"/>
    <n v="99200013"/>
    <s v="T-1007"/>
    <s v="C-1017"/>
    <s v="FI-1006"/>
    <s v="M-1095"/>
  </r>
  <r>
    <x v="1192"/>
    <n v="990"/>
    <x v="0"/>
    <x v="12"/>
    <n v="14"/>
    <x v="30"/>
    <x v="19"/>
    <x v="1"/>
    <x v="14"/>
    <s v="Año"/>
    <s v="Permisos de circulación anuales de tipo de transporte colectivo"/>
    <s v="Periodo 2008-2019"/>
    <s v="Número de permisos de circulación"/>
    <s v="Instituto Nacional de Estadísticas (INE)"/>
    <x v="1192"/>
    <s v="Los permisos de circulación de transportes colectivos en la región de Los Ríos fueron mayores en Valdivia, el año 2019, con 2.224 permisos. Le sigue La Unión, ese mismo año, con 546 permisos de circulación otorgados a transporte colectivo."/>
    <s v="Mapa de calor"/>
    <s v="Región Los Ríos regional comuna permiso circulación tipo transporte colectivo"/>
    <x v="1176"/>
    <s v="100-C-14"/>
    <s v="#1774B9"/>
    <s v="990-1193"/>
    <n v="99200014"/>
    <s v="T-1007"/>
    <s v="C-1017"/>
    <s v="FI-1006"/>
    <s v="M-1095"/>
  </r>
  <r>
    <x v="1193"/>
    <n v="990"/>
    <x v="0"/>
    <x v="12"/>
    <n v="15"/>
    <x v="30"/>
    <x v="19"/>
    <x v="1"/>
    <x v="15"/>
    <s v="Año"/>
    <s v="Permisos de circulación anuales de tipo de transporte colectivo"/>
    <s v="Periodo 2008-2019"/>
    <s v="Número de permisos de circulación"/>
    <s v="Instituto Nacional de Estadísticas (INE)"/>
    <x v="1193"/>
    <s v="Los permisos de circulación de transportes colectivos en la región de Arica y Parinacota fueron mayores en Arica, el año 2019, con 4.418 permisos. Le sigue Putre, el año 2017, con 85 permisos de circulación otorgados a transporte colectivo."/>
    <s v="Mapa de calor"/>
    <s v="Región Arica y Parinacota regional comuna permiso circulación tipo transporte colectivo"/>
    <x v="1177"/>
    <s v="100-C-15"/>
    <s v="#1774B9"/>
    <s v="990-1194"/>
    <n v="99200015"/>
    <s v="T-1007"/>
    <s v="C-1017"/>
    <s v="FI-1006"/>
    <s v="M-1095"/>
  </r>
  <r>
    <x v="1194"/>
    <n v="990"/>
    <x v="0"/>
    <x v="12"/>
    <n v="16"/>
    <x v="30"/>
    <x v="19"/>
    <x v="1"/>
    <x v="16"/>
    <s v="Año"/>
    <s v="Permisos de circulación anuales de tipo de transporte colectivo"/>
    <s v="Periodo 2008-2019"/>
    <s v="Número de permisos de circulación"/>
    <s v="Instituto Nacional de Estadísticas (INE)"/>
    <x v="1194"/>
    <s v="Los permisos de circulación de transportes colectivos en la región de Ñuble fueron mayores en Chillán, el año 2019, con 1.513 permisos. Le sigue Chillán Viejo, el año 2013, con 1.260 permisos de circulación otorgados a transporte colectivo."/>
    <s v="Mapa de calor"/>
    <s v="Región Ñuble regional comuna permiso circulación tipo transporte colectivo"/>
    <x v="1178"/>
    <s v="100-C-16"/>
    <s v="#1774B9"/>
    <s v="990-1195"/>
    <n v="99200016"/>
    <s v="T-1007"/>
    <s v="C-1017"/>
    <s v="FI-1006"/>
    <s v="M-1095"/>
  </r>
  <r>
    <x v="1195"/>
    <n v="990"/>
    <x v="0"/>
    <x v="12"/>
    <n v="0"/>
    <x v="61"/>
    <x v="19"/>
    <x v="0"/>
    <x v="0"/>
    <s v="Región-Comuna"/>
    <s v="Cantidad de Licencias de Conducir por clase"/>
    <s v="Periodo 2011-2017"/>
    <s v="Número de Licencias de Conducir"/>
    <s v="Instituto Nacional de Estadísticas (INE)"/>
    <x v="1195"/>
    <s v="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
    <s v="Gráfico de Evolución"/>
    <s v="Chile nacional región comuna licencia de conducir clase evolución profesional no profesional especial A1 A2 A3 A4 A5 B C D E F"/>
    <x v="1179"/>
    <s v="300-C"/>
    <s v="#1774B9"/>
    <s v="990-1196"/>
    <n v="99100000"/>
    <s v="T-1049"/>
    <s v="C-1017"/>
    <s v="FI-995"/>
    <s v="M-1114"/>
  </r>
  <r>
    <x v="1196"/>
    <n v="990"/>
    <x v="0"/>
    <x v="12"/>
    <n v="1"/>
    <x v="61"/>
    <x v="19"/>
    <x v="1"/>
    <x v="1"/>
    <s v="Región"/>
    <s v="Cantidad de Licencias de Conducir por clase"/>
    <s v="Periodo 2011-2017"/>
    <s v="Número de Licencias de Conducir"/>
    <s v="Instituto Nacional de Estadísticas (INE)"/>
    <x v="1196"/>
    <s v="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
    <s v="Gráfico de Evolución"/>
    <s v="Región de Tarapacá regional comuna licencia de conducir clase evolución profesional no profesional especial A1 A2 A3 A4 A5 B C D E F"/>
    <x v="1180"/>
    <s v="100-C-1"/>
    <s v="#1774B9"/>
    <s v="990-1197"/>
    <n v="99200001"/>
    <s v="T-1049"/>
    <s v="C-1017"/>
    <s v="FI-992"/>
    <s v="M-1114"/>
  </r>
  <r>
    <x v="1197"/>
    <n v="990"/>
    <x v="0"/>
    <x v="12"/>
    <n v="2"/>
    <x v="61"/>
    <x v="19"/>
    <x v="1"/>
    <x v="2"/>
    <s v="Región"/>
    <s v="Cantidad de Licencias de Conducir por clase"/>
    <s v="Periodo 2011-2017"/>
    <s v="Número de Licencias de Conducir"/>
    <s v="Instituto Nacional de Estadísticas (INE)"/>
    <x v="1197"/>
    <s v="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
    <s v="Gráfico de Evolución"/>
    <s v="Región de Antofagasta regional comuna licencia de conducir clase evolución profesional no profesional especial A1 A2 A3 A4 A5 B C D E F"/>
    <x v="1181"/>
    <s v="100-C-2"/>
    <s v="#1774B9"/>
    <s v="990-1198"/>
    <n v="99200002"/>
    <s v="T-1049"/>
    <s v="C-1017"/>
    <s v="FI-992"/>
    <s v="M-1114"/>
  </r>
  <r>
    <x v="1198"/>
    <n v="990"/>
    <x v="0"/>
    <x v="12"/>
    <n v="3"/>
    <x v="61"/>
    <x v="19"/>
    <x v="1"/>
    <x v="3"/>
    <s v="Región"/>
    <s v="Cantidad de Licencias de Conducir por clase"/>
    <s v="Periodo 2011-2017"/>
    <s v="Número de Licencias de Conducir"/>
    <s v="Instituto Nacional de Estadísticas (INE)"/>
    <x v="1198"/>
    <s v="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
    <s v="Gráfico de Evolución"/>
    <s v="Región de Atacama regional comuna licencia de conducir clase evolución profesional no profesional especial A1 A2 A3 A4 A5 B C D E F"/>
    <x v="1182"/>
    <s v="100-C-3"/>
    <s v="#1774B9"/>
    <s v="990-1199"/>
    <n v="99200003"/>
    <s v="T-1049"/>
    <s v="C-1017"/>
    <s v="FI-992"/>
    <s v="M-1114"/>
  </r>
  <r>
    <x v="1199"/>
    <n v="990"/>
    <x v="0"/>
    <x v="12"/>
    <n v="4"/>
    <x v="61"/>
    <x v="19"/>
    <x v="1"/>
    <x v="4"/>
    <s v="Región"/>
    <s v="Cantidad de Licencias de Conducir por clase"/>
    <s v="Periodo 2011-2017"/>
    <s v="Número de Licencias de Conducir"/>
    <s v="Instituto Nacional de Estadísticas (INE)"/>
    <x v="1199"/>
    <s v="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
    <s v="Gráfico de Evolución"/>
    <s v="Región de Coquimbo regional comuna licencia de conducir clase evolución profesional no profesional especial A1 A2 A3 A4 A5 B C D E F"/>
    <x v="1183"/>
    <s v="100-C-4"/>
    <s v="#1774B9"/>
    <s v="990-1200"/>
    <n v="99200004"/>
    <s v="T-1049"/>
    <s v="C-1017"/>
    <s v="FI-992"/>
    <s v="M-1114"/>
  </r>
  <r>
    <x v="1200"/>
    <n v="990"/>
    <x v="0"/>
    <x v="12"/>
    <n v="5"/>
    <x v="61"/>
    <x v="19"/>
    <x v="1"/>
    <x v="5"/>
    <s v="Región"/>
    <s v="Cantidad de Licencias de Conducir por clase"/>
    <s v="Periodo 2011-2017"/>
    <s v="Número de Licencias de Conducir"/>
    <s v="Instituto Nacional de Estadísticas (INE)"/>
    <x v="1200"/>
    <s v="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
    <s v="Gráfico de Evolución"/>
    <s v="Región de Valparaíso regional comuna licencia de conducir clase evolución profesional no profesional especial A1 A2 A3 A4 A5 B C D E F"/>
    <x v="1184"/>
    <s v="100-C-5"/>
    <s v="#1774B9"/>
    <s v="990-1201"/>
    <n v="99200005"/>
    <s v="T-1049"/>
    <s v="C-1017"/>
    <s v="FI-992"/>
    <s v="M-1114"/>
  </r>
  <r>
    <x v="1201"/>
    <n v="990"/>
    <x v="0"/>
    <x v="12"/>
    <n v="6"/>
    <x v="61"/>
    <x v="19"/>
    <x v="1"/>
    <x v="6"/>
    <s v="Región"/>
    <s v="Cantidad de Licencias de Conducir por clase"/>
    <s v="Periodo 2011-2017"/>
    <s v="Número de Licencias de Conducir"/>
    <s v="Instituto Nacional de Estadísticas (INE)"/>
    <x v="1201"/>
    <s v="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
    <s v="Gráfico de Evolución"/>
    <s v="Región de O'Higgins regional comuna licencia de conducir clase evolución profesional no profesional especial A1 A2 A3 A4 A5 B C D E F"/>
    <x v="1185"/>
    <s v="100-C-6"/>
    <s v="#1774B9"/>
    <s v="990-1202"/>
    <n v="99200006"/>
    <s v="T-1049"/>
    <s v="C-1017"/>
    <s v="FI-992"/>
    <s v="M-1114"/>
  </r>
  <r>
    <x v="1202"/>
    <n v="990"/>
    <x v="0"/>
    <x v="12"/>
    <n v="7"/>
    <x v="61"/>
    <x v="19"/>
    <x v="1"/>
    <x v="7"/>
    <s v="Región"/>
    <s v="Cantidad de Licencias de Conducir por clase"/>
    <s v="Periodo 2011-2017"/>
    <s v="Número de Licencias de Conducir"/>
    <s v="Instituto Nacional de Estadísticas (INE)"/>
    <x v="1202"/>
    <s v="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
    <s v="Gráfico de Evolución"/>
    <s v="Región de Maule regional comuna licencia de conducir clase evolución profesional no profesional especial A1 A2 A3 A4 A5 B C D E F"/>
    <x v="1186"/>
    <s v="100-C-7"/>
    <s v="#1774B9"/>
    <s v="990-1203"/>
    <n v="99200007"/>
    <s v="T-1049"/>
    <s v="C-1017"/>
    <s v="FI-992"/>
    <s v="M-1114"/>
  </r>
  <r>
    <x v="1203"/>
    <n v="990"/>
    <x v="0"/>
    <x v="12"/>
    <n v="8"/>
    <x v="61"/>
    <x v="19"/>
    <x v="1"/>
    <x v="8"/>
    <s v="Región"/>
    <s v="Cantidad de Licencias de Conducir por clase"/>
    <s v="Periodo 2011-2017"/>
    <s v="Número de Licencias de Conducir"/>
    <s v="Instituto Nacional de Estadísticas (INE)"/>
    <x v="1203"/>
    <s v="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
    <s v="Gráfico de Evolución"/>
    <s v="Región del Biobío regional comuna licencia de conducir clase evolución profesional no profesional especial A1 A2 A3 A4 A5 B C D E F"/>
    <x v="1187"/>
    <s v="100-C-8"/>
    <s v="#1774B9"/>
    <s v="990-1204"/>
    <n v="99200008"/>
    <s v="T-1049"/>
    <s v="C-1017"/>
    <s v="FI-992"/>
    <s v="M-1114"/>
  </r>
  <r>
    <x v="1204"/>
    <n v="990"/>
    <x v="0"/>
    <x v="12"/>
    <n v="9"/>
    <x v="61"/>
    <x v="19"/>
    <x v="1"/>
    <x v="9"/>
    <s v="Región"/>
    <s v="Cantidad de Licencias de Conducir por clase"/>
    <s v="Periodo 2011-2017"/>
    <s v="Número de Licencias de Conducir"/>
    <s v="Instituto Nacional de Estadísticas (INE)"/>
    <x v="1204"/>
    <s v="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
    <s v="Gráfico de Evolución"/>
    <s v="Región de La Araucanía regional comuna licencia de conducir clase evolución profesional no profesional especial A1 A2 A3 A4 A5 B C D E F"/>
    <x v="1188"/>
    <s v="100-C-9"/>
    <s v="#1774B9"/>
    <s v="990-1205"/>
    <n v="99200009"/>
    <s v="T-1049"/>
    <s v="C-1017"/>
    <s v="FI-992"/>
    <s v="M-1114"/>
  </r>
  <r>
    <x v="1205"/>
    <n v="990"/>
    <x v="0"/>
    <x v="12"/>
    <n v="10"/>
    <x v="61"/>
    <x v="19"/>
    <x v="1"/>
    <x v="10"/>
    <s v="Región"/>
    <s v="Cantidad de Licencias de Conducir por clase"/>
    <s v="Periodo 2011-2017"/>
    <s v="Número de Licencias de Conducir"/>
    <s v="Instituto Nacional de Estadísticas (INE)"/>
    <x v="1205"/>
    <s v="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
    <s v="Gráfico de Evolución"/>
    <s v="Región de Los Lagos regional comuna licencia de conducir clase evolución profesional no profesional especial A1 A2 A3 A4 A5 B C D E F"/>
    <x v="1189"/>
    <s v="100-C-10"/>
    <s v="#1774B9"/>
    <s v="990-1206"/>
    <n v="99200010"/>
    <s v="T-1049"/>
    <s v="C-1017"/>
    <s v="FI-992"/>
    <s v="M-1114"/>
  </r>
  <r>
    <x v="1206"/>
    <n v="990"/>
    <x v="0"/>
    <x v="12"/>
    <n v="11"/>
    <x v="61"/>
    <x v="19"/>
    <x v="1"/>
    <x v="11"/>
    <s v="Región"/>
    <s v="Cantidad de Licencias de Conducir por clase"/>
    <s v="Periodo 2011-2017"/>
    <s v="Número de Licencias de Conducir"/>
    <s v="Instituto Nacional de Estadísticas (INE)"/>
    <x v="1206"/>
    <s v="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
    <s v="Gráfico de Evolución"/>
    <s v="Región de Aysén regional comuna licencia de conducir clase evolución profesional no profesional especial A1 A2 A3 A4 A5 B C D E F"/>
    <x v="1190"/>
    <s v="100-C-11"/>
    <s v="#1774B9"/>
    <s v="990-1207"/>
    <n v="99200011"/>
    <s v="T-1049"/>
    <s v="C-1017"/>
    <s v="FI-992"/>
    <s v="M-1114"/>
  </r>
  <r>
    <x v="1207"/>
    <n v="990"/>
    <x v="0"/>
    <x v="12"/>
    <n v="12"/>
    <x v="61"/>
    <x v="19"/>
    <x v="1"/>
    <x v="12"/>
    <s v="Región"/>
    <s v="Cantidad de Licencias de Conducir por clase"/>
    <s v="Periodo 2011-2017"/>
    <s v="Número de Licencias de Conducir"/>
    <s v="Instituto Nacional de Estadísticas (INE)"/>
    <x v="1207"/>
    <s v="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
    <s v="Gráfico de Evolución"/>
    <s v="Región de Magallanes regional comuna licencia de conducir clase evolución profesional no profesional especial A1 A2 A3 A4 A5 B C D E F"/>
    <x v="1191"/>
    <s v="100-C-12"/>
    <s v="#1774B9"/>
    <s v="990-1208"/>
    <n v="99200012"/>
    <s v="T-1049"/>
    <s v="C-1017"/>
    <s v="FI-992"/>
    <s v="M-1114"/>
  </r>
  <r>
    <x v="1208"/>
    <n v="990"/>
    <x v="0"/>
    <x v="12"/>
    <n v="13"/>
    <x v="61"/>
    <x v="19"/>
    <x v="1"/>
    <x v="13"/>
    <s v="Región"/>
    <s v="Cantidad de Licencias de Conducir por clase"/>
    <s v="Periodo 2011-2017"/>
    <s v="Número de Licencias de Conducir"/>
    <s v="Instituto Nacional de Estadísticas (INE)"/>
    <x v="1208"/>
    <s v="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
    <s v="Gráfico de Evolución"/>
    <s v="Región Metropolitana regional comuna licencia de conducir clase evolución profesional no profesional especial A1 A2 A3 A4 A5 B C D E F"/>
    <x v="1192"/>
    <s v="200-C-13"/>
    <s v="#1774B9"/>
    <s v="990-1209"/>
    <n v="99200013"/>
    <s v="T-1049"/>
    <s v="C-1017"/>
    <s v="FI-992"/>
    <s v="M-1114"/>
  </r>
  <r>
    <x v="1209"/>
    <n v="990"/>
    <x v="0"/>
    <x v="12"/>
    <n v="14"/>
    <x v="61"/>
    <x v="19"/>
    <x v="1"/>
    <x v="14"/>
    <s v="Región"/>
    <s v="Cantidad de Licencias de Conducir por clase"/>
    <s v="Periodo 2011-2017"/>
    <s v="Número de Licencias de Conducir"/>
    <s v="Instituto Nacional de Estadísticas (INE)"/>
    <x v="1209"/>
    <s v="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
    <s v="Gráfico de Evolución"/>
    <s v="Región de Los Ríos regional comuna licencia de conducir clase evolución profesional no profesional especial A1 A2 A3 A4 A5 B C D E F"/>
    <x v="1193"/>
    <s v="100-C-14"/>
    <s v="#1774B9"/>
    <s v="990-1210"/>
    <n v="99200014"/>
    <s v="T-1049"/>
    <s v="C-1017"/>
    <s v="FI-992"/>
    <s v="M-1114"/>
  </r>
  <r>
    <x v="1210"/>
    <n v="990"/>
    <x v="0"/>
    <x v="12"/>
    <n v="15"/>
    <x v="61"/>
    <x v="19"/>
    <x v="1"/>
    <x v="15"/>
    <s v="Región"/>
    <s v="Cantidad de Licencias de Conducir por clase"/>
    <s v="Periodo 2011-2017"/>
    <s v="Número de Licencias de Conducir"/>
    <s v="Instituto Nacional de Estadísticas (INE)"/>
    <x v="1210"/>
    <s v="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
    <s v="Gráfico de Evolución"/>
    <s v="Región de Arica y Parinacota regional comuna licencia de conducir clase evolución profesional no profesional especial A1 A2 A3 A4 A5 B C D E F"/>
    <x v="1194"/>
    <s v="100-C-15"/>
    <s v="#1774B9"/>
    <s v="990-1211"/>
    <n v="99200015"/>
    <s v="T-1049"/>
    <s v="C-1017"/>
    <s v="FI-992"/>
    <s v="M-1114"/>
  </r>
  <r>
    <x v="1211"/>
    <n v="990"/>
    <x v="0"/>
    <x v="12"/>
    <n v="16"/>
    <x v="61"/>
    <x v="19"/>
    <x v="1"/>
    <x v="16"/>
    <s v="Región"/>
    <s v="Cantidad de Licencias de Conducir por clase"/>
    <s v="Periodo 2011-2017"/>
    <s v="Número de Licencias de Conducir"/>
    <s v="Instituto Nacional de Estadísticas (INE)"/>
    <x v="1211"/>
    <s v="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
    <s v="Gráfico de Evolución"/>
    <s v="Región de Ñuble regional comuna licencia de conducir clase evolución profesional no profesional especial A1 A2 A3 A4 A5 B C D E F"/>
    <x v="1195"/>
    <s v="100-C-16"/>
    <s v="#1774B9"/>
    <s v="990-1212"/>
    <n v="99200016"/>
    <s v="T-1049"/>
    <s v="C-1017"/>
    <s v="FI-992"/>
    <s v="M-1114"/>
  </r>
  <r>
    <x v="1212"/>
    <n v="990"/>
    <x v="0"/>
    <x v="10"/>
    <n v="0"/>
    <x v="22"/>
    <x v="13"/>
    <x v="0"/>
    <x v="0"/>
    <s v="Ninguno"/>
    <s v="Capacidad instalada de generación por Tipo de Energía"/>
    <s v="Año 2021"/>
    <s v="MW"/>
    <s v="Comisión Nacional de Energía (CNE)"/>
    <x v="1212"/>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x v="1196"/>
    <s v="300-R"/>
    <s v="#1774B9"/>
    <s v="990-1213"/>
    <n v="99100000"/>
    <s v="T-1041"/>
    <s v="C-1000"/>
    <s v="FI-993"/>
    <s v="M-1096"/>
  </r>
  <r>
    <x v="1213"/>
    <n v="990"/>
    <x v="0"/>
    <x v="10"/>
    <n v="1"/>
    <x v="22"/>
    <x v="13"/>
    <x v="1"/>
    <x v="1"/>
    <s v="Ninguno"/>
    <s v="Capacidad instalada de generación por Tipo de Energía"/>
    <s v="Año 2021"/>
    <s v="MW"/>
    <s v="Comisión Nacional de Energía (CNE)"/>
    <x v="1213"/>
    <s v="La Región de Tarapacá, en el año 2021, cuenta con centrales eléctricas con 4 tipos de energía: solar, fuel oil nº6, petróleo diesel y minihidráulica de pasada. Las centrales solares poseen la mayor capacidad instalada con 263 MW."/>
    <s v="Gráfico"/>
    <s v="Región de Tarapacá regional capacidad instalada potencia neta mw ernc tipo energía gas natural solar geotérmica mini hidráulica pasada petróleo diesel biogas"/>
    <x v="1197"/>
    <s v="100-R-1"/>
    <s v="#1774B9"/>
    <s v="990-1214"/>
    <n v="99200001"/>
    <s v="T-1041"/>
    <s v="C-1000"/>
    <s v="FI-993"/>
    <s v="M-1096"/>
  </r>
  <r>
    <x v="1214"/>
    <n v="990"/>
    <x v="0"/>
    <x v="10"/>
    <n v="2"/>
    <x v="22"/>
    <x v="13"/>
    <x v="1"/>
    <x v="2"/>
    <s v="Ninguno"/>
    <s v="Capacidad instalada de generación por Tipo de Energía"/>
    <s v="Año 2021"/>
    <s v="MW"/>
    <s v="Comisión Nacional de Energía (CNE)"/>
    <x v="1214"/>
    <s v="La Región de Antofagasta, en el año 2021, cuenta con centrales eléctricas con 8 tipos de energía: carbón, gas natural, solar, petróleo diesel, eólica, hidráulica de pasada, geotérmica y de cogeneración. Las centrales a carbón poseen la mayor capacidad instalada con 2.303 MW."/>
    <s v="Gráfico"/>
    <s v="Región de Antofagasta regional capacidad instalada potencia neta mw ernc tipo energía gas natural solar geotérmica mini hidráulica pasada petróleo diesel biogas"/>
    <x v="1198"/>
    <s v="100-R-2"/>
    <s v="#1774B9"/>
    <s v="990-1215"/>
    <n v="99200002"/>
    <s v="T-1041"/>
    <s v="C-1000"/>
    <s v="FI-993"/>
    <s v="M-1096"/>
  </r>
  <r>
    <x v="1215"/>
    <n v="990"/>
    <x v="0"/>
    <x v="10"/>
    <n v="3"/>
    <x v="22"/>
    <x v="13"/>
    <x v="1"/>
    <x v="3"/>
    <s v="Ninguno"/>
    <s v="Capacidad instalada de generación por Tipo de Energía"/>
    <s v="Año 2021"/>
    <s v="MW"/>
    <s v="Comisión Nacional de Energía (CNE)"/>
    <x v="1215"/>
    <s v="La Región de Atacama, en el año 2021, cuenta con centrales eléctricas con 5 tipos de energía: solar, eólica, carbón-petcoke, petróleo diesel y minihidráulica de pasada. Las centrales solares poseen la mayor capacidad instalada con 951 MW."/>
    <s v="Gráfico"/>
    <s v="Región de Atacama regional capacidad instalada potencia neta mw ernc tipo energía gas natural solar geotérmica mini hidráulica pasada petróleo diesel biogas"/>
    <x v="1199"/>
    <s v="100-R-3"/>
    <s v="#1774B9"/>
    <s v="990-1216"/>
    <n v="99200003"/>
    <s v="T-1041"/>
    <s v="C-1000"/>
    <s v="FI-993"/>
    <s v="M-1096"/>
  </r>
  <r>
    <x v="1216"/>
    <n v="990"/>
    <x v="0"/>
    <x v="10"/>
    <n v="4"/>
    <x v="22"/>
    <x v="13"/>
    <x v="1"/>
    <x v="4"/>
    <s v="Ninguno"/>
    <s v="Capacidad instalada de generación por Tipo de Energía"/>
    <s v="Año 2021"/>
    <s v="MW"/>
    <s v="Comisión Nacional de Energía (CNE)"/>
    <x v="1216"/>
    <s v="La Región de Coquimbo, en el año 2021, cuenta con centrales eléctricas con 4 tipos de energía: eólica, petróleo diesel, solar y minihidráulica de pasada. Las centrales eólicas poseen la mayor capacidad instalada con 689 MW."/>
    <s v="Gráfico"/>
    <s v="Región de Coquimbo regional capacidad instalada potencia neta mw ernc tipo energía gas natural solar geotérmica mini hidráulica pasada petróleo diesel biogas"/>
    <x v="1200"/>
    <s v="100-R-4"/>
    <s v="#1774B9"/>
    <s v="990-1217"/>
    <n v="99200004"/>
    <s v="T-1041"/>
    <s v="C-1000"/>
    <s v="FI-993"/>
    <s v="M-1096"/>
  </r>
  <r>
    <x v="1217"/>
    <n v="990"/>
    <x v="0"/>
    <x v="10"/>
    <n v="5"/>
    <x v="22"/>
    <x v="13"/>
    <x v="1"/>
    <x v="5"/>
    <s v="Ninguno"/>
    <s v="Capacidad instalada de generación por Tipo de Energía"/>
    <s v="Año 2021"/>
    <s v="MW"/>
    <s v="Comisión Nacional de Energía (CNE)"/>
    <x v="1217"/>
    <s v="La Región de Valparaíso, en el año 2021, cuenta con centrales eléctricas con 7 tipos de energía: gas natural, carbón, petróleo diesel, hidráulica de pasada, solar, biogas y minihidráulica de pasada. Las centrales a gas natural poseen la mayor capacidad instalada con 1.528 MW."/>
    <s v="Gráfico"/>
    <s v="Región de Valparaíso regional capacidad instalada potencia neta mw ernc tipo energía gas natural solar geotérmica mini hidráulica pasada petróleo diesel biogas"/>
    <x v="1201"/>
    <s v="100-R-5"/>
    <s v="#1774B9"/>
    <s v="990-1218"/>
    <n v="99200005"/>
    <s v="T-1041"/>
    <s v="C-1000"/>
    <s v="FI-993"/>
    <s v="M-1096"/>
  </r>
  <r>
    <x v="1218"/>
    <n v="990"/>
    <x v="0"/>
    <x v="10"/>
    <n v="6"/>
    <x v="22"/>
    <x v="13"/>
    <x v="1"/>
    <x v="6"/>
    <s v="Ninguno"/>
    <s v="Capacidad instalada de generación por Tipo de Energía"/>
    <s v="Año 2021"/>
    <s v="MW"/>
    <s v="Comisión Nacional de Energía (CNE)"/>
    <x v="1218"/>
    <s v="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
    <s v="Gráfico"/>
    <s v="Región de O'Higgins regional capacidad instalada potencia neta mw ernc tipo energía gas natural solar geotérmica mini hidráulica pasada petróleo diesel biogas"/>
    <x v="1202"/>
    <s v="100-R-6"/>
    <s v="#1774B9"/>
    <s v="990-1219"/>
    <n v="99200006"/>
    <s v="T-1041"/>
    <s v="C-1000"/>
    <s v="FI-993"/>
    <s v="M-1096"/>
  </r>
  <r>
    <x v="1219"/>
    <n v="990"/>
    <x v="0"/>
    <x v="10"/>
    <n v="7"/>
    <x v="22"/>
    <x v="13"/>
    <x v="1"/>
    <x v="7"/>
    <s v="Ninguno"/>
    <s v="Capacidad instalada de generación por Tipo de Energía"/>
    <s v="Año 2021"/>
    <s v="MW"/>
    <s v="Comisión Nacional de Energía (CNE)"/>
    <x v="1219"/>
    <s v="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
    <s v="Gráfico"/>
    <s v="Región de Maule regional capacidad instalada potencia neta mw ernc tipo energía gas natural solar geotérmica mini hidráulica pasada petróleo diesel biogas"/>
    <x v="1203"/>
    <s v="100-R-7"/>
    <s v="#1774B9"/>
    <s v="990-1220"/>
    <n v="99200007"/>
    <s v="T-1041"/>
    <s v="C-1000"/>
    <s v="FI-993"/>
    <s v="M-1096"/>
  </r>
  <r>
    <x v="1220"/>
    <n v="990"/>
    <x v="0"/>
    <x v="10"/>
    <n v="8"/>
    <x v="22"/>
    <x v="13"/>
    <x v="1"/>
    <x v="8"/>
    <s v="Ninguno"/>
    <s v="Capacidad instalada de generación por Tipo de Energía"/>
    <s v="Año 2021"/>
    <s v="MW"/>
    <s v="Comisión Nacional de Energía (CNE)"/>
    <x v="1220"/>
    <s v="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
    <s v="Gráfico"/>
    <s v="Región del Biobío regional capacidad instalada potencia neta mw ernc tipo energía gas natural solar geotérmica mini hidráulica pasada petróleo diesel biogas"/>
    <x v="1204"/>
    <s v="100-R-8"/>
    <s v="#1774B9"/>
    <s v="990-1221"/>
    <n v="99200008"/>
    <s v="T-1041"/>
    <s v="C-1000"/>
    <s v="FI-993"/>
    <s v="M-1096"/>
  </r>
  <r>
    <x v="1221"/>
    <n v="990"/>
    <x v="0"/>
    <x v="10"/>
    <n v="9"/>
    <x v="22"/>
    <x v="13"/>
    <x v="1"/>
    <x v="9"/>
    <s v="Ninguno"/>
    <s v="Capacidad instalada de generación por Tipo de Energía"/>
    <s v="Año 2021"/>
    <s v="MW"/>
    <s v="Comisión Nacional de Energía (CNE)"/>
    <x v="1221"/>
    <s v="La Región de Araucanía, en el año 2021, cuenta con centrales eléctricas con 4 tipos de energía: eólica, minihidráulica de pasada, biomasa y petróleo diesel. Las centrales eólicas poseen la mayor capacidad instalada con 381 MW."/>
    <s v="Gráfico"/>
    <s v="Región de La Araucanía regional capacidad instalada potencia neta mw ernc tipo energía gas natural solar geotérmica mini hidráulica pasada petróleo diesel biogas"/>
    <x v="1205"/>
    <s v="100-R-9"/>
    <s v="#1774B9"/>
    <s v="990-1222"/>
    <n v="99200009"/>
    <s v="T-1041"/>
    <s v="C-1000"/>
    <s v="FI-993"/>
    <s v="M-1096"/>
  </r>
  <r>
    <x v="1222"/>
    <n v="990"/>
    <x v="0"/>
    <x v="10"/>
    <n v="10"/>
    <x v="22"/>
    <x v="13"/>
    <x v="1"/>
    <x v="10"/>
    <s v="Ninguno"/>
    <s v="Capacidad instalada de generación por Tipo de Energía"/>
    <s v="Año 2021"/>
    <s v="MW"/>
    <s v="Comisión Nacional de Energía (CNE)"/>
    <x v="1222"/>
    <s v="La Región de Los Lagos, en el año 2021, cuenta con centrales eléctricas con 5 tipos de energía: eólica, petróleo diesel, hidráulica de embalse, minihidráulica de pasada e hidráulica de pasada. Las centrales eólicas poseen la mayor capacidad instalada con 228 MW."/>
    <s v="Gráfico"/>
    <s v="Región de Los Lagos regional capacidad instalada potencia neta mw ernc tipo energía gas natural solar geotérmica mini hidráulica pasada petróleo diesel biogas"/>
    <x v="1206"/>
    <s v="100-R-10"/>
    <s v="#1774B9"/>
    <s v="990-1223"/>
    <n v="99200010"/>
    <s v="T-1041"/>
    <s v="C-1000"/>
    <s v="FI-993"/>
    <s v="M-1096"/>
  </r>
  <r>
    <x v="1223"/>
    <n v="990"/>
    <x v="0"/>
    <x v="10"/>
    <n v="11"/>
    <x v="22"/>
    <x v="13"/>
    <x v="1"/>
    <x v="11"/>
    <s v="Ninguno"/>
    <s v="Capacidad instalada de generación por Tipo de Energía"/>
    <s v="Año 2021"/>
    <s v="MW"/>
    <s v="Comisión Nacional de Energía (CNE)"/>
    <x v="1223"/>
    <s v="La Región de Aysén, en el año 2021, cuenta con centrales eléctricas con 3 tipos de energía: petróleo diesel, hidráulica de pasada y eólica. Las centrales a petróleo diesel poseen la mayor capacidad instalada con 34 MW."/>
    <s v="Gráfico"/>
    <s v="Región de Aysén regional capacidad instalada potencia neta mw ernc tipo energía gas natural solar geotérmica mini hidráulica pasada petróleo diesel biogas"/>
    <x v="1207"/>
    <s v="100-R-11"/>
    <s v="#1774B9"/>
    <s v="990-1224"/>
    <n v="99200011"/>
    <s v="T-1041"/>
    <s v="C-1000"/>
    <s v="FI-993"/>
    <s v="M-1096"/>
  </r>
  <r>
    <x v="1224"/>
    <n v="990"/>
    <x v="0"/>
    <x v="10"/>
    <n v="12"/>
    <x v="22"/>
    <x v="13"/>
    <x v="1"/>
    <x v="12"/>
    <s v="Ninguno"/>
    <s v="Capacidad instalada de generación por Tipo de Energía"/>
    <s v="Año 2021"/>
    <s v="MW"/>
    <s v="Comisión Nacional de Energía (CNE)"/>
    <x v="1224"/>
    <s v="La Región de Magallanes, en el año 2021, cuenta con centrales eléctricas con 3 tipos de energía: gas natural, petróleo diesel y eólica. Las centrales a gas natural poseen la mayor capacidad instalada con 89 MW."/>
    <s v="Gráfico"/>
    <s v="Región de Magallanes regional capacidad instalada potencia neta mw ernc tipo energía gas natural solar geotérmica mini hidráulica pasada petróleo diesel biogas"/>
    <x v="1208"/>
    <s v="100-R-12"/>
    <s v="#1774B9"/>
    <s v="990-1225"/>
    <n v="99200012"/>
    <s v="T-1041"/>
    <s v="C-1000"/>
    <s v="FI-993"/>
    <s v="M-1096"/>
  </r>
  <r>
    <x v="1225"/>
    <n v="990"/>
    <x v="0"/>
    <x v="10"/>
    <n v="13"/>
    <x v="22"/>
    <x v="13"/>
    <x v="1"/>
    <x v="13"/>
    <s v="Ninguno"/>
    <s v="Capacidad instalada de generación por Tipo de Energía"/>
    <s v="Año 2021"/>
    <s v="MW"/>
    <s v="Comisión Nacional de Energía (CNE)"/>
    <x v="1225"/>
    <s v="La Región Metropolitana, en el año 2021, cuenta con centrales eléctricas con 6 tipos de energía: gas natural, solar, hidráulica de pasada, petróleo diesel, minihidráulica de pasada y biogas. Las centrales a gas natural poseen la mayor capacidad instalada con 426 MW."/>
    <s v="Gráfico"/>
    <s v="Región Metropolitana regional capacidad instalada potencia neta mw ernc tipo energía gas natural solar geotérmica mini hidráulica pasada petróleo diesel biogas"/>
    <x v="1209"/>
    <s v="200-R-13"/>
    <s v="#1774B9"/>
    <s v="990-1226"/>
    <n v="99200013"/>
    <s v="T-1041"/>
    <s v="C-1000"/>
    <s v="FI-993"/>
    <s v="M-1096"/>
  </r>
  <r>
    <x v="1226"/>
    <n v="990"/>
    <x v="0"/>
    <x v="10"/>
    <n v="14"/>
    <x v="22"/>
    <x v="13"/>
    <x v="1"/>
    <x v="14"/>
    <s v="Ninguno"/>
    <s v="Capacidad instalada de generación por Tipo de Energía"/>
    <s v="Año 2021"/>
    <s v="MW"/>
    <s v="Comisión Nacional de Energía (CNE)"/>
    <x v="1226"/>
    <s v="La Región de Los Ríos, en el año 2021, cuenta con centrales eléctricas con 4 tipos de energía: petróleo diesel, hidráulica de pasada, minihidráulica de pasada y biomasa-petróleo N°6. Las centrales a petróleo diesel poseen la mayor capacidad instalada con 127 MW."/>
    <s v="Gráfico"/>
    <s v="Región de Los Ríos regional capacidad instalada potencia neta mw ernc tipo energía gas natural solar geotérmica mini hidráulica pasada petróleo diesel biogas"/>
    <x v="1210"/>
    <s v="100-R-14"/>
    <s v="#1774B9"/>
    <s v="990-1227"/>
    <n v="99200014"/>
    <s v="T-1041"/>
    <s v="C-1000"/>
    <s v="FI-993"/>
    <s v="M-1096"/>
  </r>
  <r>
    <x v="1227"/>
    <n v="990"/>
    <x v="0"/>
    <x v="10"/>
    <n v="15"/>
    <x v="22"/>
    <x v="13"/>
    <x v="1"/>
    <x v="15"/>
    <s v="Ninguno"/>
    <s v="Capacidad instalada de generación por Tipo de Energía"/>
    <s v="Año 2021"/>
    <s v="MW"/>
    <s v="Comisión Nacional de Energía (CNE)"/>
    <x v="1227"/>
    <s v="La Región de Arica y Parinacota, en el año 2021, cuenta con centrales eléctricas con 4 tipos de energía: petróleo diesel, hidráulica de pasada, solar y minihidráulica de pasada. Las centrales a petróleo diesel poseen la mayor capacidad instalada con 13 MW."/>
    <s v="Gráfico"/>
    <s v="Región de Arica y Parinacota regional capacidad instalada potencia neta mw ernc tipo energía gas natural solar geotérmica mini hidráulica pasada petróleo diesel biogas"/>
    <x v="1211"/>
    <s v="100-R-15"/>
    <s v="#1774B9"/>
    <s v="990-1228"/>
    <n v="99200015"/>
    <s v="T-1041"/>
    <s v="C-1000"/>
    <s v="FI-993"/>
    <s v="M-1096"/>
  </r>
  <r>
    <x v="1228"/>
    <n v="990"/>
    <x v="0"/>
    <x v="10"/>
    <n v="16"/>
    <x v="22"/>
    <x v="13"/>
    <x v="1"/>
    <x v="16"/>
    <s v="Ninguno"/>
    <s v="Capacidad instalada de generación por Tipo de Energía"/>
    <s v="Año 2021"/>
    <s v="MW"/>
    <s v="Comisión Nacional de Energía (CNE)"/>
    <x v="1228"/>
    <s v="La Región de Ñuble, en el año 2021, cuenta con centrales eléctricas con 5 tipos de energía: biomasa, solar, minihidráulica de pasada, petróleo diesel y biomasa-petróleo N°6. Las centrales a biomasa poseen la mayor capacidad instalada con 57 MW."/>
    <s v="Gráfico"/>
    <s v="Región de Ñuble regional capacidad instalada potencia neta mw ernc tipo energía gas natural solar geotérmica mini hidráulica pasada petróleo diesel biogas"/>
    <x v="1212"/>
    <s v="100-R-16"/>
    <s v="#1774B9"/>
    <s v="990-1229"/>
    <n v="99200016"/>
    <s v="T-1041"/>
    <s v="C-1000"/>
    <s v="FI-993"/>
    <s v="M-1096"/>
  </r>
  <r>
    <x v="1229"/>
    <n v="990"/>
    <x v="0"/>
    <x v="10"/>
    <n v="0"/>
    <x v="62"/>
    <x v="13"/>
    <x v="0"/>
    <x v="0"/>
    <s v="Ninguno"/>
    <s v="Top 10 Propietarios con mayor capacidad instalada"/>
    <s v="Año 2021"/>
    <s v="MW"/>
    <s v="Comisión Nacional de Energía (CNE)"/>
    <x v="1229"/>
    <s v="En Chile, para el año 2021, ENEL GENERACIÓN CHILE es la empresa que tiene la mayor capacidad instalada de centrales eléctricas, con 5.176 (MW). Le siguen COLBÚN y ENGIE, con 3.092 y 1.606 (MW), respectivamente."/>
    <s v="Ranking"/>
    <s v="Chile nacional centrales energía capacidad instalada dueños propietarios mayor"/>
    <x v="1213"/>
    <n v="0"/>
    <s v="#1774B9"/>
    <s v="990-1230"/>
    <n v="99100000"/>
    <s v="T-1057"/>
    <s v="C-1000"/>
    <s v="FI-993"/>
    <s v="M-1097"/>
  </r>
  <r>
    <x v="1230"/>
    <n v="990"/>
    <x v="0"/>
    <x v="10"/>
    <n v="0"/>
    <x v="63"/>
    <x v="13"/>
    <x v="0"/>
    <x v="0"/>
    <s v="Ninguno"/>
    <s v="Cantidad de Centrales de Energía Renovable No Convencional "/>
    <s v="Año 2021"/>
    <s v="Número de Centrales"/>
    <s v="Comisión Nacional de Energía (CNE)"/>
    <x v="1230"/>
    <s v="A nivel nacional, la región Metropolitana tiene mayor cantidad de centrales eléctricas de energía renovable, alcanzando 73. Por otro lado, la región de Los Lagos es la que cuenta con más centrales eléctricas de energía no renovable, con 43."/>
    <s v="Gráfico"/>
    <s v="Chile nacional región centrales energía renovable no comparación"/>
    <x v="1214"/>
    <n v="0"/>
    <s v="#1774B9"/>
    <s v="990-1231"/>
    <n v="99100000"/>
    <s v="T-1058"/>
    <s v="C-1000"/>
    <s v="FI-993"/>
    <e v="#N/A"/>
  </r>
  <r>
    <x v="1231"/>
    <n v="990"/>
    <x v="0"/>
    <x v="10"/>
    <n v="0"/>
    <x v="64"/>
    <x v="13"/>
    <x v="0"/>
    <x v="0"/>
    <s v="Región-Comuna"/>
    <s v="Cantidad de Centrales de Energía Renovable No Convencional por Comuna"/>
    <s v="Año 2021"/>
    <s v="Número de Centrales"/>
    <s v="Comisión Nacional de Energía (CNE)"/>
    <x v="1231"/>
    <s v="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
    <s v="Mapa de calor"/>
    <s v="Chile nacional región comuna centrales eléctrica energía renovable no convencional ERNC"/>
    <x v="1215"/>
    <s v="300-C"/>
    <s v="#1774B9"/>
    <s v="990-1232"/>
    <n v="99100000"/>
    <s v="T-1050"/>
    <s v="C-1000"/>
    <s v="FI-995"/>
    <s v="M-1098"/>
  </r>
  <r>
    <x v="1232"/>
    <n v="990"/>
    <x v="0"/>
    <x v="10"/>
    <n v="1"/>
    <x v="64"/>
    <x v="13"/>
    <x v="1"/>
    <x v="1"/>
    <s v="Comuna"/>
    <s v="Cantidad de Centrales de Energía Renovable No Convencional por Comuna"/>
    <s v="Año 2021"/>
    <s v="Número de Centrales"/>
    <s v="Comisión Nacional de Energía (CNE)"/>
    <x v="1232"/>
    <s v="La comuna de Pozo Almonte en la Región de Tarapacá, para el año 2021, es la que posee mayor cantidad de centrales de Energía Renovable No Convencional (8), lo que representa el 72,7% de estas centrales para la región."/>
    <s v="Mapa de calor"/>
    <s v="Región de Tarapacá regional comuna centrales eléctrica energía renovable no convencional ERNC"/>
    <x v="1216"/>
    <s v="100-C-1"/>
    <s v="#1774B9"/>
    <s v="990-1233"/>
    <n v="99200001"/>
    <s v="T-1050"/>
    <s v="C-1000"/>
    <s v="FI-991"/>
    <s v="M-1098"/>
  </r>
  <r>
    <x v="1233"/>
    <n v="990"/>
    <x v="0"/>
    <x v="10"/>
    <n v="2"/>
    <x v="64"/>
    <x v="13"/>
    <x v="1"/>
    <x v="2"/>
    <s v="Comuna"/>
    <s v="Cantidad de Centrales de Energía Renovable No Convencional por Comuna"/>
    <s v="Año 2021"/>
    <s v="Número de Centrales"/>
    <s v="Comisión Nacional de Energía (CNE)"/>
    <x v="1233"/>
    <s v="La comuna de Calama en la Región de Antofagasta, para el año 2021, es la que posee mayor cantidad de centrales de Energía Renovable No Convencional (8), lo que representa el 36,4% de estas centrales para la región."/>
    <s v="Mapa de calor"/>
    <s v="Región de Antofagasta regional comuna centrales eléctrica energía renovable no convencional ERNC"/>
    <x v="1217"/>
    <s v="100-C-2"/>
    <s v="#1774B9"/>
    <s v="990-1234"/>
    <n v="99200002"/>
    <s v="T-1050"/>
    <s v="C-1000"/>
    <s v="FI-991"/>
    <s v="M-1098"/>
  </r>
  <r>
    <x v="1234"/>
    <n v="990"/>
    <x v="0"/>
    <x v="10"/>
    <n v="3"/>
    <x v="64"/>
    <x v="13"/>
    <x v="1"/>
    <x v="3"/>
    <s v="Comuna"/>
    <s v="Cantidad de Centrales de Energía Renovable No Convencional por Comuna"/>
    <s v="Año 2021"/>
    <s v="Número de Centrales"/>
    <s v="Comisión Nacional de Energía (CNE)"/>
    <x v="1234"/>
    <s v="La comuna de Copiapó en la Región de Atacama, para el año 2021, es la que posee mayor cantidad de centrales de Energía Renovable No Convencional (8), lo que representa el 27,6% de estas centrales para la región."/>
    <s v="Mapa de calor"/>
    <s v="Región de Atacama regional comuna centrales eléctrica energía renovable no convencional ERNC"/>
    <x v="1218"/>
    <s v="100-C-3"/>
    <s v="#1774B9"/>
    <s v="990-1235"/>
    <n v="99200003"/>
    <s v="T-1050"/>
    <s v="C-1000"/>
    <s v="FI-991"/>
    <s v="M-1098"/>
  </r>
  <r>
    <x v="1235"/>
    <n v="990"/>
    <x v="0"/>
    <x v="10"/>
    <n v="4"/>
    <x v="64"/>
    <x v="13"/>
    <x v="1"/>
    <x v="4"/>
    <s v="Comuna"/>
    <s v="Cantidad de Centrales de Energía Renovable No Convencional por Comuna"/>
    <s v="Año 2021"/>
    <s v="Número de Centrales"/>
    <s v="Comisión Nacional de Energía (CNE)"/>
    <x v="1235"/>
    <s v="La comuna de Ovalle en la Región de Coquimbo, para el año 2021, es la que posee mayor cantidad de centrales de Energía Renovable No Convencional (16), lo que representa el 34,8% de estas centrales para la región."/>
    <s v="Mapa de calor"/>
    <s v="Región de Coquimbo regional comuna centrales eléctrica energía renovable no convencional ERNC"/>
    <x v="1219"/>
    <s v="100-C-4"/>
    <s v="#1774B9"/>
    <s v="990-1236"/>
    <n v="99200004"/>
    <s v="T-1050"/>
    <s v="C-1000"/>
    <s v="FI-991"/>
    <s v="M-1098"/>
  </r>
  <r>
    <x v="1236"/>
    <n v="990"/>
    <x v="0"/>
    <x v="10"/>
    <n v="5"/>
    <x v="64"/>
    <x v="13"/>
    <x v="1"/>
    <x v="5"/>
    <s v="Comuna"/>
    <s v="Cantidad de Centrales de Energía Renovable No Convencional por Comuna"/>
    <s v="Año 2021"/>
    <s v="Número de Centrales"/>
    <s v="Comisión Nacional de Energía (CNE)"/>
    <x v="1236"/>
    <s v="La comuna de La Ligua en la Región de Valparaíso, para el año 2021, es la que posee mayor cantidad de centrales de Energía Renovable No Convencional (6), lo que representa el 13,0% de estas centrales para la región."/>
    <s v="Mapa de calor"/>
    <s v="Región de Valparaíso regional comuna centrales eléctrica energía renovable no convencional ERNC"/>
    <x v="1220"/>
    <s v="100-C-5"/>
    <s v="#1774B9"/>
    <s v="990-1237"/>
    <n v="99200005"/>
    <s v="T-1050"/>
    <s v="C-1000"/>
    <s v="FI-991"/>
    <s v="M-1098"/>
  </r>
  <r>
    <x v="1237"/>
    <n v="990"/>
    <x v="0"/>
    <x v="10"/>
    <n v="6"/>
    <x v="64"/>
    <x v="13"/>
    <x v="1"/>
    <x v="6"/>
    <s v="Comuna"/>
    <s v="Cantidad de Centrales de Energía Renovable No Convencional por Comuna"/>
    <s v="Año 2021"/>
    <s v="Número de Centrales"/>
    <s v="Comisión Nacional de Energía (CNE)"/>
    <x v="1237"/>
    <s v="Las comunas de Mostazal y Chimbarongo en la Región de O'Higgins, para el año 2021, son las que poseen mayor cantidad de centrales de Energía Renovable No Convencional (6 cada una), lo que representa el 10,9% de estas centrales para la región (21,8% sumando ambas comunas)."/>
    <s v="Mapa de calor"/>
    <s v="Región de O'Higgins regional comuna centrales eléctrica energía renovable no convencional ERNC"/>
    <x v="1221"/>
    <s v="100-C-6"/>
    <s v="#1774B9"/>
    <s v="990-1238"/>
    <n v="99200006"/>
    <s v="T-1050"/>
    <s v="C-1000"/>
    <s v="FI-991"/>
    <s v="M-1098"/>
  </r>
  <r>
    <x v="1238"/>
    <n v="990"/>
    <x v="0"/>
    <x v="10"/>
    <n v="7"/>
    <x v="64"/>
    <x v="13"/>
    <x v="1"/>
    <x v="7"/>
    <s v="Comuna"/>
    <s v="Cantidad de Centrales de Energía Renovable No Convencional por Comuna"/>
    <s v="Año 2021"/>
    <s v="Número de Centrales"/>
    <s v="Comisión Nacional de Energía (CNE)"/>
    <x v="1238"/>
    <s v="La comuna de San Clemente en la Región de Maule, para el año 2021, es la que posee mayor cantidad de centrales de Energía Renovable No Convencional (7), lo que representa el 14,9% de estas centrales para la región."/>
    <s v="Mapa de calor"/>
    <s v="Región de Maule regional comuna centrales eléctrica energía renovable no convencional ERNC"/>
    <x v="1222"/>
    <s v="100-C-7"/>
    <s v="#1774B9"/>
    <s v="990-1239"/>
    <n v="99200007"/>
    <s v="T-1050"/>
    <s v="C-1000"/>
    <s v="FI-991"/>
    <s v="M-1098"/>
  </r>
  <r>
    <x v="1239"/>
    <n v="990"/>
    <x v="0"/>
    <x v="10"/>
    <n v="8"/>
    <x v="64"/>
    <x v="13"/>
    <x v="1"/>
    <x v="8"/>
    <s v="Comuna"/>
    <s v="Cantidad de Centrales de Energía Renovable No Convencional por Comuna"/>
    <s v="Año 2021"/>
    <s v="Número de Centrales"/>
    <s v="Comisión Nacional de Energía (CNE)"/>
    <x v="1239"/>
    <s v="La comuna de Mulchén en la Región del Biobío, para el año 2021, es la que posee mayor cantidad de centrales de Energía Renovable No Convencional (11), lo que representa el 25,0% de estas centrales para la región."/>
    <s v="Mapa de calor"/>
    <s v="Región del Biobío regional comuna centrales eléctrica energía renovable no convencional ERNC"/>
    <x v="1223"/>
    <s v="100-C-8"/>
    <s v="#1774B9"/>
    <s v="990-1240"/>
    <n v="99200008"/>
    <s v="T-1050"/>
    <s v="C-1000"/>
    <s v="FI-991"/>
    <s v="M-1098"/>
  </r>
  <r>
    <x v="1240"/>
    <n v="990"/>
    <x v="0"/>
    <x v="10"/>
    <n v="9"/>
    <x v="64"/>
    <x v="13"/>
    <x v="1"/>
    <x v="9"/>
    <s v="Comuna"/>
    <s v="Cantidad de Centrales de Energía Renovable No Convencional por Comuna"/>
    <s v="Año 2021"/>
    <s v="Número de Centrales"/>
    <s v="Comisión Nacional de Energía (CNE)"/>
    <x v="1240"/>
    <s v="La comuna de Melipeuco en la Región de Araucanía, para el año 2021, es la que posee mayor cantidad de centrales de Energía Renovable No Convencional (5), lo que representa el 23,8% de estas centrales para la región."/>
    <s v="Mapa de calor"/>
    <s v="Región de La Araucanía regional comuna centrales eléctrica energía renovable no convencional ERNC"/>
    <x v="1224"/>
    <s v="100-C-9"/>
    <s v="#1774B9"/>
    <s v="990-1241"/>
    <n v="99200009"/>
    <s v="T-1050"/>
    <s v="C-1000"/>
    <s v="FI-991"/>
    <s v="M-1098"/>
  </r>
  <r>
    <x v="1241"/>
    <n v="990"/>
    <x v="0"/>
    <x v="10"/>
    <n v="10"/>
    <x v="64"/>
    <x v="13"/>
    <x v="1"/>
    <x v="10"/>
    <s v="Comuna"/>
    <s v="Cantidad de Centrales de Energía Renovable No Convencional por Comuna"/>
    <s v="Año 2021"/>
    <s v="Número de Centrales"/>
    <s v="Comisión Nacional de Energía (CNE)"/>
    <x v="1241"/>
    <s v="La comuna de Puyehue en la Región de Los Lagos, para el año 2021, es la que posee mayor cantidad de centrales de Energía Renovable No Convencional (6), lo que representa el 24,0% de estas centrales para la región."/>
    <s v="Mapa de calor"/>
    <s v="Región de Los Lagos regional comuna centrales eléctrica energía renovable no convencional ERNC"/>
    <x v="1225"/>
    <s v="100-C-10"/>
    <s v="#1774B9"/>
    <s v="990-1242"/>
    <n v="99200010"/>
    <s v="T-1050"/>
    <s v="C-1000"/>
    <s v="FI-991"/>
    <s v="M-1098"/>
  </r>
  <r>
    <x v="1242"/>
    <n v="990"/>
    <x v="0"/>
    <x v="10"/>
    <n v="11"/>
    <x v="64"/>
    <x v="13"/>
    <x v="1"/>
    <x v="11"/>
    <s v="Comuna"/>
    <s v="Cantidad de Centrales de Energía Renovable No Convencional por Comuna"/>
    <s v="Año 2021"/>
    <s v="Número de Centrales"/>
    <s v="Comisión Nacional de Energía (CNE)"/>
    <x v="1242"/>
    <s v="La comuna de Coihaique en la Región de Aysén, para el año 2021, es la que posee mayor cantidad de centrales de Energía Renovable No Convencional (7), lo que representa el 58,3% de estas centrales para la región."/>
    <s v="Mapa de calor"/>
    <s v="Región de Aysén regional comuna centrales eléctrica energía renovable no convencional ERNC"/>
    <x v="1226"/>
    <s v="100-C-11"/>
    <s v="#1774B9"/>
    <s v="990-1243"/>
    <n v="99200011"/>
    <s v="T-1050"/>
    <s v="C-1000"/>
    <s v="FI-991"/>
    <s v="M-1098"/>
  </r>
  <r>
    <x v="1243"/>
    <n v="990"/>
    <x v="0"/>
    <x v="10"/>
    <n v="12"/>
    <x v="64"/>
    <x v="13"/>
    <x v="1"/>
    <x v="12"/>
    <s v="Comuna"/>
    <s v="Cantidad de Centrales de Energía Renovable No Convencional por Comuna"/>
    <s v="Año 2021"/>
    <s v="Número de Centrales"/>
    <s v="Comisión Nacional de Energía (CNE)"/>
    <x v="1243"/>
    <s v="La comuna de Punta Arenas en la Región de Magallanes, para el año 2021, es la única que posee centrales de Energía Renovable No Convencional (3), lo que representa el 100% de estas centrales para la región."/>
    <s v="Mapa de calor"/>
    <s v="Región de Magallanes regional comuna centrales eléctrica energía renovable no convencional ERNC"/>
    <x v="1227"/>
    <s v="100-C-12"/>
    <s v="#1774B9"/>
    <s v="990-1244"/>
    <n v="99200012"/>
    <s v="T-1050"/>
    <s v="C-1000"/>
    <s v="FI-991"/>
    <s v="M-1098"/>
  </r>
  <r>
    <x v="1244"/>
    <n v="990"/>
    <x v="0"/>
    <x v="10"/>
    <n v="13"/>
    <x v="64"/>
    <x v="13"/>
    <x v="1"/>
    <x v="13"/>
    <s v="Comuna"/>
    <s v="Cantidad de Centrales de Energía Renovable No Convencional por Comuna"/>
    <s v="Año 2021"/>
    <s v="Número de Centrales"/>
    <s v="Comisión Nacional de Energía (CNE)"/>
    <x v="1244"/>
    <s v="La comuna de San Pedro en la Región Metropolitana, para el año 2021, es la que posee mayor cantidad de centrales de Energía Renovable No Convencional (11), lo que representa el 16,2% de estas centrales para la región."/>
    <s v="Mapa de calor"/>
    <s v="Región Metropolitana regional comuna centrales eléctrica energía renovable no convencional ERNC"/>
    <x v="1228"/>
    <s v="200-C-13"/>
    <s v="#1774B9"/>
    <s v="990-1245"/>
    <n v="99200013"/>
    <s v="T-1050"/>
    <s v="C-1000"/>
    <s v="FI-991"/>
    <s v="M-1098"/>
  </r>
  <r>
    <x v="1245"/>
    <n v="990"/>
    <x v="0"/>
    <x v="10"/>
    <n v="14"/>
    <x v="64"/>
    <x v="13"/>
    <x v="1"/>
    <x v="14"/>
    <s v="Comuna"/>
    <s v="Cantidad de Centrales de Energía Renovable No Convencional por Comuna"/>
    <s v="Año 2021"/>
    <s v="Número de Centrales"/>
    <s v="Comisión Nacional de Energía (CNE)"/>
    <x v="1245"/>
    <s v="La comuna de Río Bueno en la Región de Los Ríos, para el año 2021, es la que posee mayor cantidad de centrales de Energía Renovable No Convencional (10), lo que representa el 47,6% de estas centrales para la región."/>
    <s v="Mapa de calor"/>
    <s v="Región de Los Ríos regional comuna centrales eléctrica energía renovable no convencional ERNC"/>
    <x v="1229"/>
    <s v="100-C-14"/>
    <s v="#1774B9"/>
    <s v="990-1246"/>
    <n v="99200014"/>
    <s v="T-1050"/>
    <s v="C-1000"/>
    <s v="FI-991"/>
    <s v="M-1098"/>
  </r>
  <r>
    <x v="1246"/>
    <n v="990"/>
    <x v="0"/>
    <x v="10"/>
    <n v="15"/>
    <x v="64"/>
    <x v="13"/>
    <x v="1"/>
    <x v="15"/>
    <s v="Comuna"/>
    <s v="Cantidad de Centrales de Energía Renovable No Convencional por Comuna"/>
    <s v="Año 2021"/>
    <s v="Número de Centrales"/>
    <s v="Comisión Nacional de Energía (CNE)"/>
    <x v="1246"/>
    <s v="La comuna de Putre en la Región de Arica y Parinacota, para el año 2021, es la que posee mayor cantidad de centrales de Energía Renovable No Convencional (2), lo que representa el 50,0% de estas centrales para la región."/>
    <s v="Mapa de calor"/>
    <s v="Región de Arica y Parinacota regional comuna centrales eléctrica energía renovable no convencional ERNC"/>
    <x v="1230"/>
    <s v="100-C-15"/>
    <s v="#1774B9"/>
    <s v="990-1247"/>
    <n v="99200015"/>
    <s v="T-1050"/>
    <s v="C-1000"/>
    <s v="FI-991"/>
    <s v="M-1098"/>
  </r>
  <r>
    <x v="1247"/>
    <n v="990"/>
    <x v="0"/>
    <x v="10"/>
    <n v="16"/>
    <x v="64"/>
    <x v="13"/>
    <x v="1"/>
    <x v="16"/>
    <s v="Comuna"/>
    <s v="Cantidad de Centrales de Energía Renovable No Convencional por Comuna"/>
    <s v="Año 2021"/>
    <s v="Número de Centrales"/>
    <s v="Comisión Nacional de Energía (CNE)"/>
    <x v="1247"/>
    <s v="La comuna de Bulnes en la Región de Ñuble, para el año 2021, es la que posee mayor cantidad de centrales de Energía Renovable No Convencional (3), lo que representa el 17,6% de estas centrales para la región."/>
    <s v="Mapa de calor"/>
    <s v="Región de Ñuble regional comuna centrales eléctrica energía renovable no convencional ERNC"/>
    <x v="1231"/>
    <s v="100-C-16"/>
    <s v="#1774B9"/>
    <s v="990-1248"/>
    <n v="99200016"/>
    <s v="T-1050"/>
    <s v="C-1000"/>
    <s v="FI-991"/>
    <s v="M-1098"/>
  </r>
  <r>
    <x v="1248"/>
    <n v="990"/>
    <x v="0"/>
    <x v="10"/>
    <n v="0"/>
    <x v="22"/>
    <x v="13"/>
    <x v="0"/>
    <x v="0"/>
    <s v="Ninguno"/>
    <s v="Capacidad instalada de generación por Región"/>
    <s v="Año 2021"/>
    <s v="MW"/>
    <s v="Comisión Nacional de Energía (CNE)"/>
    <x v="1248"/>
    <s v="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eléctricas generación energía proporción"/>
    <x v="1232"/>
    <n v="0"/>
    <s v="#1774B9"/>
    <s v="990-1249"/>
    <n v="99100000"/>
    <s v="T-1041"/>
    <s v="C-1000"/>
    <s v="FI-993"/>
    <s v="M-1023"/>
  </r>
  <r>
    <x v="1249"/>
    <n v="990"/>
    <x v="0"/>
    <x v="4"/>
    <n v="0"/>
    <x v="65"/>
    <x v="25"/>
    <x v="0"/>
    <x v="0"/>
    <s v="Ninguno"/>
    <s v="Top 10 Comunas con más farmacias"/>
    <s v="Año 2021"/>
    <s v="Número de Farmacias"/>
    <s v="Ministerio de Salud"/>
    <x v="1249"/>
    <s v="Las 10 comunas que cuentan con la mayor cantidad de farmacias se encuentran en las regiones dd Biobío, Maule, Metropolitana y Valparaíso. La gran maytyoría se concentra en la Región Metropolitana, específicamente en la comuna de Santiago."/>
    <s v="Ranking"/>
    <s v="Chile nacional región establecimientos salud farmacias número cantidad salud ranking top 10"/>
    <x v="1233"/>
    <n v="0"/>
    <s v="#1774B9"/>
    <s v="990-1250"/>
    <n v="99100000"/>
    <s v="T-1051"/>
    <s v="C-1013"/>
    <s v="FI-993"/>
    <s v="M-1099"/>
  </r>
  <r>
    <x v="1250"/>
    <n v="990"/>
    <x v="0"/>
    <x v="4"/>
    <n v="0"/>
    <x v="65"/>
    <x v="25"/>
    <x v="0"/>
    <x v="0"/>
    <s v="Región"/>
    <s v="Cantidad  de Farmacias por Región"/>
    <s v="Año 2021"/>
    <s v="Número de Farmacias"/>
    <s v="Ministerio de Salud"/>
    <x v="1250"/>
    <s v="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
    <s v="Mapa de calor"/>
    <s v="Chile nacional región establecimientos salud farmacias número cantidad salud"/>
    <x v="1234"/>
    <n v="0"/>
    <s v="#1774B9"/>
    <s v="990-1251"/>
    <n v="99100000"/>
    <s v="T-1051"/>
    <s v="C-1013"/>
    <s v="FI-992"/>
    <s v="M-1100"/>
  </r>
  <r>
    <x v="1251"/>
    <n v="990"/>
    <x v="0"/>
    <x v="4"/>
    <n v="0"/>
    <x v="65"/>
    <x v="25"/>
    <x v="0"/>
    <x v="0"/>
    <s v="Región-Comuna"/>
    <s v="Cantidad  de Farmacias de Turno por Comuna"/>
    <s v="Año 2021"/>
    <s v="Número de Farmacias"/>
    <s v="Ministerio de Salud"/>
    <x v="1251"/>
    <s v="Las farmacias de turno son aquellas que atienden en horario nocturno por orden del SEREMI. En el mapa se observa aquellas comunas que registran farmacias de turno a la fecha, con el detalle de nombre y ubicación."/>
    <s v="Mapa de calor"/>
    <s v="Chile nacional región comuna establecimientos salud farmacias turno urgencias salud"/>
    <x v="1235"/>
    <s v="300-C"/>
    <s v="#1774B9"/>
    <s v="990-1252"/>
    <n v="99100000"/>
    <s v="T-1051"/>
    <s v="C-1013"/>
    <s v="FI-995"/>
    <s v="M-1101"/>
  </r>
  <r>
    <x v="1252"/>
    <n v="990"/>
    <x v="0"/>
    <x v="4"/>
    <n v="1"/>
    <x v="65"/>
    <x v="25"/>
    <x v="1"/>
    <x v="1"/>
    <s v="Región"/>
    <s v="Cantidad  de Farmacias de Turno por Comuna"/>
    <s v="Año 2021"/>
    <s v="Número de Farmacias"/>
    <s v="Ministerio de Salud"/>
    <x v="1252"/>
    <s v="Las farmacias de turno son aquellas que atienden en horario nocturno por orden del SEREMI. En el mapa se observa aquellas comunas que registran farmacias de turno a la fecha, con el detalle de nombre y ubicación."/>
    <s v="Mapa de calor"/>
    <s v="Región de Tarapacá regional comuna establecimientos salud farmacias turno urgencias salud"/>
    <x v="1236"/>
    <s v="100-C-1"/>
    <s v="#1774B9"/>
    <s v="990-1253"/>
    <n v="99200001"/>
    <s v="T-1051"/>
    <s v="C-1013"/>
    <s v="FI-992"/>
    <s v="M-1101"/>
  </r>
  <r>
    <x v="1253"/>
    <n v="990"/>
    <x v="0"/>
    <x v="4"/>
    <n v="2"/>
    <x v="65"/>
    <x v="25"/>
    <x v="1"/>
    <x v="2"/>
    <s v="Región"/>
    <s v="Cantidad  de Farmacias de Turno por Comuna"/>
    <s v="Año 2021"/>
    <s v="Número de Farmacias"/>
    <s v="Ministerio de Salud"/>
    <x v="1253"/>
    <s v="Las farmacias de turno son aquellas que atienden en horario nocturno por orden del SEREMI. En el mapa se observa aquellas comunas que registran farmacias de turno a la fecha, con el detalle de nombre y ubicación."/>
    <s v="Mapa de calor"/>
    <s v="Región de Antofagasta regional comuna establecimientos salud farmacias turno urgencias salud"/>
    <x v="1237"/>
    <s v="100-C-2"/>
    <s v="#1774B9"/>
    <s v="990-1254"/>
    <n v="99200002"/>
    <s v="T-1051"/>
    <s v="C-1013"/>
    <s v="FI-992"/>
    <s v="M-1101"/>
  </r>
  <r>
    <x v="1254"/>
    <n v="990"/>
    <x v="0"/>
    <x v="4"/>
    <n v="3"/>
    <x v="65"/>
    <x v="25"/>
    <x v="1"/>
    <x v="3"/>
    <s v="Región"/>
    <s v="Cantidad  de Farmacias de Turno por Comuna"/>
    <s v="Año 2021"/>
    <s v="Número de Farmacias"/>
    <s v="Ministerio de Salud"/>
    <x v="1254"/>
    <s v="Las farmacias de turno son aquellas que atienden en horario nocturno por orden del SEREMI. En el mapa se observa aquellas comunas que registran farmacias de turno a la fecha, con el detalle de nombre y ubicación."/>
    <s v="Mapa de calor"/>
    <s v="Región de Atacama regional comuna establecimientos salud farmacias turno urgencias salud"/>
    <x v="1238"/>
    <s v="100-C-3"/>
    <s v="#1774B9"/>
    <s v="990-1255"/>
    <n v="99200003"/>
    <s v="T-1051"/>
    <s v="C-1013"/>
    <s v="FI-992"/>
    <s v="M-1101"/>
  </r>
  <r>
    <x v="1255"/>
    <n v="990"/>
    <x v="0"/>
    <x v="4"/>
    <n v="4"/>
    <x v="65"/>
    <x v="25"/>
    <x v="1"/>
    <x v="4"/>
    <s v="Región"/>
    <s v="Cantidad  de Farmacias de Turno por Comuna"/>
    <s v="Año 2021"/>
    <s v="Número de Farmacias"/>
    <s v="Ministerio de Salud"/>
    <x v="1255"/>
    <s v="Las farmacias de turno son aquellas que atienden en horario nocturno por orden del SEREMI. En el mapa se observa aquellas comunas que registran farmacias de turno a la fecha, con el detalle de nombre y ubicación."/>
    <s v="Mapa de calor"/>
    <s v="Región de Coquimbo regional comuna establecimientos salud farmacias turno urgencias salud"/>
    <x v="1239"/>
    <s v="100-C-4"/>
    <s v="#1774B9"/>
    <s v="990-1256"/>
    <n v="99200004"/>
    <s v="T-1051"/>
    <s v="C-1013"/>
    <s v="FI-992"/>
    <s v="M-1101"/>
  </r>
  <r>
    <x v="1256"/>
    <n v="990"/>
    <x v="0"/>
    <x v="4"/>
    <n v="5"/>
    <x v="65"/>
    <x v="25"/>
    <x v="1"/>
    <x v="5"/>
    <s v="Región"/>
    <s v="Cantidad  de Farmacias de Turno por Comuna"/>
    <s v="Año 2021"/>
    <s v="Número de Farmacias"/>
    <s v="Ministerio de Salud"/>
    <x v="1256"/>
    <s v="Las farmacias de turno son aquellas que atienden en horario nocturno por orden del SEREMI. En el mapa se observa aquellas comunas que registran farmacias de turno a la fecha, con el detalle de nombre y ubicación."/>
    <s v="Mapa de calor"/>
    <s v="Región de Valparaíso regional comuna establecimientos salud farmacias turno urgencias salud"/>
    <x v="1240"/>
    <s v="100-C-5"/>
    <s v="#1774B9"/>
    <s v="990-1257"/>
    <n v="99200005"/>
    <s v="T-1051"/>
    <s v="C-1013"/>
    <s v="FI-992"/>
    <s v="M-1101"/>
  </r>
  <r>
    <x v="1257"/>
    <n v="990"/>
    <x v="0"/>
    <x v="4"/>
    <n v="6"/>
    <x v="65"/>
    <x v="25"/>
    <x v="1"/>
    <x v="6"/>
    <s v="Región"/>
    <s v="Cantidad  de Farmacias de Turno por Comuna"/>
    <s v="Año 2021"/>
    <s v="Número de Farmacias"/>
    <s v="Ministerio de Salud"/>
    <x v="1257"/>
    <s v="Las farmacias de turno son aquellas que atienden en horario nocturno por orden del SEREMI. En el mapa se observa aquellas comunas que registran farmacias de turno a la fecha, con el detalle de nombre y ubicación."/>
    <s v="Mapa de calor"/>
    <s v="Región de O'Higgins regional comuna establecimientos salud farmacias turno urgencias salud"/>
    <x v="1241"/>
    <s v="100-C-6"/>
    <s v="#1774B9"/>
    <s v="990-1258"/>
    <n v="99200006"/>
    <s v="T-1051"/>
    <s v="C-1013"/>
    <s v="FI-992"/>
    <s v="M-1101"/>
  </r>
  <r>
    <x v="1258"/>
    <n v="990"/>
    <x v="0"/>
    <x v="4"/>
    <n v="7"/>
    <x v="65"/>
    <x v="25"/>
    <x v="1"/>
    <x v="7"/>
    <s v="Región"/>
    <s v="Cantidad  de Farmacias de Turno por Comuna"/>
    <s v="Año 2021"/>
    <s v="Número de Farmacias"/>
    <s v="Ministerio de Salud"/>
    <x v="1258"/>
    <s v="Las farmacias de turno son aquellas que atienden en horario nocturno por orden del SEREMI. En el mapa se observa aquellas comunas que registran farmacias de turno a la fecha, con el detalle de nombre y ubicación."/>
    <s v="Mapa de calor"/>
    <s v="Región de Maule regional comuna establecimientos salud farmacias turno urgencias salud"/>
    <x v="1242"/>
    <s v="100-C-7"/>
    <s v="#1774B9"/>
    <s v="990-1259"/>
    <n v="99200007"/>
    <s v="T-1051"/>
    <s v="C-1013"/>
    <s v="FI-992"/>
    <s v="M-1101"/>
  </r>
  <r>
    <x v="1259"/>
    <n v="990"/>
    <x v="0"/>
    <x v="4"/>
    <n v="8"/>
    <x v="65"/>
    <x v="25"/>
    <x v="1"/>
    <x v="8"/>
    <s v="Región"/>
    <s v="Cantidad  de Farmacias de Turno por Comuna"/>
    <s v="Año 2021"/>
    <s v="Número de Farmacias"/>
    <s v="Ministerio de Salud"/>
    <x v="1259"/>
    <s v="Las farmacias de turno son aquellas que atienden en horario nocturno por orden del SEREMI. En el mapa se observa aquellas comunas que registran farmacias de turno a la fecha, con el detalle de nombre y ubicación."/>
    <s v="Mapa de calor"/>
    <s v="Región del Biobío regional comuna establecimientos salud farmacias turno urgencias salud"/>
    <x v="1243"/>
    <s v="100-C-8"/>
    <s v="#1774B9"/>
    <s v="990-1260"/>
    <n v="99200008"/>
    <s v="T-1051"/>
    <s v="C-1013"/>
    <s v="FI-992"/>
    <s v="M-1101"/>
  </r>
  <r>
    <x v="1260"/>
    <n v="990"/>
    <x v="0"/>
    <x v="4"/>
    <n v="9"/>
    <x v="65"/>
    <x v="25"/>
    <x v="1"/>
    <x v="9"/>
    <s v="Región"/>
    <s v="Cantidad  de Farmacias de Turno por Comuna"/>
    <s v="Año 2021"/>
    <s v="Número de Farmacias"/>
    <s v="Ministerio de Salud"/>
    <x v="1260"/>
    <s v="Las farmacias de turno son aquellas que atienden en horario nocturno por orden del SEREMI. En el mapa se observa aquellas comunas que registran farmacias de turno a la fecha, con el detalle de nombre y ubicación."/>
    <s v="Mapa de calor"/>
    <s v="Región de La Araucanía regional comuna establecimientos salud farmacias turno urgencias salud"/>
    <x v="1244"/>
    <s v="100-C-9"/>
    <s v="#1774B9"/>
    <s v="990-1261"/>
    <n v="99200009"/>
    <s v="T-1051"/>
    <s v="C-1013"/>
    <s v="FI-992"/>
    <s v="M-1101"/>
  </r>
  <r>
    <x v="1261"/>
    <n v="990"/>
    <x v="0"/>
    <x v="4"/>
    <n v="10"/>
    <x v="65"/>
    <x v="25"/>
    <x v="1"/>
    <x v="10"/>
    <s v="Región"/>
    <s v="Cantidad  de Farmacias de Turno por Comuna"/>
    <s v="Año 2021"/>
    <s v="Número de Farmacias"/>
    <s v="Ministerio de Salud"/>
    <x v="1261"/>
    <s v="Las farmacias de turno son aquellas que atienden en horario nocturno por orden del SEREMI. En el mapa se observa aquellas comunas que registran farmacias de turno a la fecha, con el detalle de nombre y ubicación."/>
    <s v="Mapa de calor"/>
    <s v="Región de Los Lagos regional comuna establecimientos salud farmacias turno urgencias salud"/>
    <x v="1245"/>
    <s v="100-C-10"/>
    <s v="#1774B9"/>
    <s v="990-1262"/>
    <n v="99200010"/>
    <s v="T-1051"/>
    <s v="C-1013"/>
    <s v="FI-992"/>
    <s v="M-1101"/>
  </r>
  <r>
    <x v="1262"/>
    <n v="990"/>
    <x v="0"/>
    <x v="4"/>
    <n v="11"/>
    <x v="65"/>
    <x v="25"/>
    <x v="1"/>
    <x v="11"/>
    <s v="Región"/>
    <s v="Cantidad  de Farmacias de Turno por Comuna"/>
    <s v="Año 2021"/>
    <s v="Número de Farmacias"/>
    <s v="Ministerio de Salud"/>
    <x v="1262"/>
    <s v="Las farmacias de turno son aquellas que atienden en horario nocturno por orden del SEREMI. En el mapa se observa aquellas comunas que registran farmacias de turno a la fecha, con el detalle de nombre y ubicación."/>
    <s v="Mapa de calor"/>
    <s v="Región de Aysén regional comuna establecimientos salud farmacias turno urgencias salud"/>
    <x v="1246"/>
    <s v="100-C-11"/>
    <s v="#1774B9"/>
    <s v="990-1263"/>
    <n v="99200011"/>
    <s v="T-1051"/>
    <s v="C-1013"/>
    <s v="FI-992"/>
    <s v="M-1101"/>
  </r>
  <r>
    <x v="1263"/>
    <n v="990"/>
    <x v="0"/>
    <x v="4"/>
    <n v="12"/>
    <x v="65"/>
    <x v="25"/>
    <x v="1"/>
    <x v="12"/>
    <s v="Región"/>
    <s v="Cantidad  de Farmacias de Turno por Comuna"/>
    <s v="Año 2021"/>
    <s v="Número de Farmacias"/>
    <s v="Ministerio de Salud"/>
    <x v="1263"/>
    <s v="Las farmacias de turno son aquellas que atienden en horario nocturno por orden del SEREMI. En el mapa se observa aquellas comunas que registran farmacias de turno a la fecha, con el detalle de nombre y ubicación."/>
    <s v="Mapa de calor"/>
    <s v="Región de Magallanes regional comuna establecimientos salud farmacias turno urgencias salud"/>
    <x v="1247"/>
    <s v="100-C-12"/>
    <s v="#1774B9"/>
    <s v="990-1264"/>
    <n v="99200012"/>
    <s v="T-1051"/>
    <s v="C-1013"/>
    <s v="FI-992"/>
    <s v="M-1101"/>
  </r>
  <r>
    <x v="1264"/>
    <n v="990"/>
    <x v="0"/>
    <x v="4"/>
    <n v="13"/>
    <x v="65"/>
    <x v="25"/>
    <x v="1"/>
    <x v="13"/>
    <s v="Región"/>
    <s v="Cantidad  de Farmacias de Turno por Comuna"/>
    <s v="Año 2021"/>
    <s v="Número de Farmacias"/>
    <s v="Ministerio de Salud"/>
    <x v="1264"/>
    <s v="Las farmacias de turno son aquellas que atienden en horario nocturno por orden del SEREMI. En el mapa se observa aquellas comunas que registran farmacias de turno a la fecha, con el detalle de nombre y ubicación."/>
    <s v="Mapa de calor"/>
    <s v="Región Metropolitana regional comuna establecimientos salud farmacias turno urgencias salud"/>
    <x v="1248"/>
    <s v="200-C-13"/>
    <s v="#1774B9"/>
    <s v="990-1265"/>
    <n v="99200013"/>
    <s v="T-1051"/>
    <s v="C-1013"/>
    <s v="FI-992"/>
    <s v="M-1101"/>
  </r>
  <r>
    <x v="1265"/>
    <n v="990"/>
    <x v="0"/>
    <x v="4"/>
    <n v="14"/>
    <x v="65"/>
    <x v="25"/>
    <x v="1"/>
    <x v="14"/>
    <s v="Región"/>
    <s v="Cantidad  de Farmacias de Turno por Comuna"/>
    <s v="Año 2021"/>
    <s v="Número de Farmacias"/>
    <s v="Ministerio de Salud"/>
    <x v="1265"/>
    <s v="Las farmacias de turno son aquellas que atienden en horario nocturno por orden del SEREMI. En el mapa se observa aquellas comunas que registran farmacias de turno a la fecha, con el detalle de nombre y ubicación."/>
    <s v="Mapa de calor"/>
    <s v="Región de Los Ríos regional comuna establecimientos salud farmacias turno urgencias salud"/>
    <x v="1249"/>
    <s v="100-C-14"/>
    <s v="#1774B9"/>
    <s v="990-1266"/>
    <n v="99200014"/>
    <s v="T-1051"/>
    <s v="C-1013"/>
    <s v="FI-992"/>
    <s v="M-1101"/>
  </r>
  <r>
    <x v="1266"/>
    <n v="990"/>
    <x v="0"/>
    <x v="4"/>
    <n v="16"/>
    <x v="65"/>
    <x v="25"/>
    <x v="1"/>
    <x v="16"/>
    <s v="Región"/>
    <s v="Cantidad  de Farmacias de Turno por Comuna"/>
    <s v="Año 2021"/>
    <s v="Número de Farmacias"/>
    <s v="Ministerio de Salud"/>
    <x v="1266"/>
    <s v="Las farmacias de turno son aquellas que atienden en horario nocturno por orden del SEREMI. En el mapa se observa aquellas comunas que registran farmacias de turno a la fecha, con el detalle de nombre y ubicación."/>
    <s v="Mapa de calor"/>
    <s v="Región de Ñuble regional comuna establecimientos salud farmacias turno urgencias salud"/>
    <x v="1250"/>
    <s v="100-C-16"/>
    <s v="#1774B9"/>
    <s v="990-1267"/>
    <n v="99200016"/>
    <s v="T-1051"/>
    <s v="C-1013"/>
    <s v="FI-992"/>
    <s v="M-1101"/>
  </r>
  <r>
    <x v="1267"/>
    <n v="990"/>
    <x v="0"/>
    <x v="4"/>
    <n v="0"/>
    <x v="65"/>
    <x v="25"/>
    <x v="0"/>
    <x v="0"/>
    <s v="Región"/>
    <s v="Cantidad  de Farmacias de Turno por Región"/>
    <s v="Año 2021"/>
    <s v="Número de Farmacias"/>
    <s v="Ministerio de Salud"/>
    <x v="1267"/>
    <s v="La cantidad de farmacias de turno por región varía de acuerdo a la cantidad de comunas que la conforman. A nivel nacional las regiones con mayor cantidad de farmacias de turno se concentran en la zona central."/>
    <s v="Mapa de calor"/>
    <s v="Chile nacional región establecimientos salud farmacias turno urgencias salud"/>
    <x v="1251"/>
    <n v="0"/>
    <s v="#1774B9"/>
    <s v="990-1268"/>
    <n v="99100000"/>
    <s v="T-1051"/>
    <s v="C-1013"/>
    <s v="FI-992"/>
    <s v="M-1102"/>
  </r>
  <r>
    <x v="1268"/>
    <n v="990"/>
    <x v="0"/>
    <x v="9"/>
    <n v="0"/>
    <x v="7"/>
    <x v="26"/>
    <x v="0"/>
    <x v="0"/>
    <s v="Detalle"/>
    <s v="Valor (USD) de Exportaciones de Productos del Mar"/>
    <s v="Periodo 2018-2021"/>
    <s v="USD"/>
    <s v="Servicio Nacional de Aduanas"/>
    <x v="1268"/>
    <s v="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
    <s v="Gráfico de Evolución"/>
    <s v="Chile nacional comercio exterior exportaciones usd valor dólar productos mar mariscos salmón truchas"/>
    <x v="1252"/>
    <n v="0"/>
    <s v="#1774B9"/>
    <s v="990-1269"/>
    <n v="99100000"/>
    <s v="T-1031"/>
    <s v="C-1014"/>
    <s v="FI-1007"/>
    <s v="M-1103"/>
  </r>
  <r>
    <x v="1269"/>
    <n v="990"/>
    <x v="0"/>
    <x v="9"/>
    <n v="0"/>
    <x v="7"/>
    <x v="26"/>
    <x v="0"/>
    <x v="0"/>
    <s v="Tipo de Producto"/>
    <s v="Valor (USD) de Exportaciones según Tipo de Producto"/>
    <s v="Periodo 2015-2021"/>
    <s v="USD"/>
    <s v="Servicio Nacional de Aduanas"/>
    <x v="1269"/>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x v="1253"/>
    <n v="0"/>
    <s v="#1774B9"/>
    <s v="990-1270"/>
    <n v="99100000"/>
    <s v="T-1031"/>
    <s v="C-1014"/>
    <s v="FI-1008"/>
    <s v="M-1104"/>
  </r>
  <r>
    <x v="1270"/>
    <n v="990"/>
    <x v="0"/>
    <x v="9"/>
    <n v="0"/>
    <x v="23"/>
    <x v="26"/>
    <x v="0"/>
    <x v="0"/>
    <s v="Ninguno"/>
    <s v="Valor (USD) de Importaciones por Región"/>
    <s v="Año 2021"/>
    <s v="USD"/>
    <s v="Servicio Nacional de Aduanas"/>
    <x v="1270"/>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x v="1254"/>
    <n v="0"/>
    <s v="#1774B9"/>
    <s v="990-1271"/>
    <n v="99100000"/>
    <s v="T-1042"/>
    <s v="C-1014"/>
    <s v="FI-993"/>
    <s v="M-1105"/>
  </r>
  <r>
    <x v="1271"/>
    <n v="990"/>
    <x v="0"/>
    <x v="9"/>
    <n v="0"/>
    <x v="23"/>
    <x v="26"/>
    <x v="0"/>
    <x v="0"/>
    <s v="Región"/>
    <s v="Peso (kg) de Importaciones por Región"/>
    <s v="Periodo 2015-2021"/>
    <s v="Kilogramo"/>
    <s v="Servicio Nacional de Aduanas"/>
    <x v="127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x v="1255"/>
    <s v="300-R"/>
    <s v="#1774B9"/>
    <s v="990-1272"/>
    <n v="99100000"/>
    <s v="T-1042"/>
    <s v="C-1014"/>
    <s v="FI-992"/>
    <s v="M-1106"/>
  </r>
  <r>
    <x v="1272"/>
    <n v="990"/>
    <x v="0"/>
    <x v="9"/>
    <n v="1"/>
    <x v="23"/>
    <x v="26"/>
    <x v="1"/>
    <x v="1"/>
    <s v="Ninguno"/>
    <s v="Peso (kg) de Importaciones por Región"/>
    <s v="Periodo 2015-2021"/>
    <s v="Kilogramo"/>
    <s v="Servicio Nacional de Aduanas"/>
    <x v="1272"/>
    <s v="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
    <s v="Gráfico de Evolución"/>
    <s v="Región de Tarapacá regional comercio exterior economía importaciones volúmen kilogramo entrada terminal transporte marítimo aéreo terrestre otro"/>
    <x v="1256"/>
    <s v="100-R-1"/>
    <s v="#1774B9"/>
    <s v="990-1273"/>
    <n v="99200001"/>
    <s v="T-1042"/>
    <s v="C-1014"/>
    <s v="FI-993"/>
    <s v="M-1106"/>
  </r>
  <r>
    <x v="1273"/>
    <n v="990"/>
    <x v="0"/>
    <x v="9"/>
    <n v="2"/>
    <x v="23"/>
    <x v="26"/>
    <x v="1"/>
    <x v="2"/>
    <s v="Ninguno"/>
    <s v="Peso (kg) de Importaciones por Región"/>
    <s v="Periodo 2015-2021"/>
    <s v="Kilogramo"/>
    <s v="Servicio Nacional de Aduanas"/>
    <x v="1273"/>
    <s v="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
    <s v="Gráfico de Evolución"/>
    <s v="Región de Antofagasta regional comercio exterior economía importaciones volúmen kilogramo entrada terminal transporte marítimo aéreo terrestre otro"/>
    <x v="1257"/>
    <s v="100-R-2"/>
    <s v="#1774B9"/>
    <s v="990-1274"/>
    <n v="99200002"/>
    <s v="T-1042"/>
    <s v="C-1014"/>
    <s v="FI-993"/>
    <s v="M-1106"/>
  </r>
  <r>
    <x v="1274"/>
    <n v="990"/>
    <x v="0"/>
    <x v="9"/>
    <n v="3"/>
    <x v="23"/>
    <x v="26"/>
    <x v="1"/>
    <x v="3"/>
    <s v="Ninguno"/>
    <s v="Peso (kg) de Importaciones por Región"/>
    <s v="Periodo 2015-2021"/>
    <s v="Kilogramo"/>
    <s v="Servicio Nacional de Aduanas"/>
    <x v="1274"/>
    <s v="Las importaciones desde la Región de Atacama, durante el periodo 2015-2021, ingresaron principalmente por vía marítima y terrestre. El mayor volumen de importaciones se produjo el 4to trimestre de 2019, cuando ingresaron 1.540.654.751 Kg mediante transporte terrestre. "/>
    <s v="Gráfico de Evolución"/>
    <s v="Región de Atacama regional comercio exterior economía importaciones volúmen kilogramo entrada terminal transporte marítimo aéreo terrestre otro"/>
    <x v="1258"/>
    <s v="100-R-3"/>
    <s v="#1774B9"/>
    <s v="990-1275"/>
    <n v="99200003"/>
    <s v="T-1042"/>
    <s v="C-1014"/>
    <s v="FI-993"/>
    <s v="M-1106"/>
  </r>
  <r>
    <x v="1275"/>
    <n v="990"/>
    <x v="0"/>
    <x v="9"/>
    <n v="4"/>
    <x v="23"/>
    <x v="26"/>
    <x v="1"/>
    <x v="4"/>
    <s v="Ninguno"/>
    <s v="Peso (kg) de Importaciones por Región"/>
    <s v="Periodo 2015-2021"/>
    <s v="Kilogramo"/>
    <s v="Servicio Nacional de Aduanas"/>
    <x v="1275"/>
    <s v="Las importaciones desde la Región de Coquimbo, durante el periodo 2015-2021, ingresaron únicamente por vía marítima. El mayor volumen de importaciones se produjo el 2do trimestre 2019, cuando ingresaron 86.226.058 Kg. "/>
    <s v="Gráfico de Evolución"/>
    <s v="Región de Coquimbo regional comercio exterior economía importaciones volúmen kilogramo entrada terminal transporte marítimo aéreo terrestre otro"/>
    <x v="1259"/>
    <s v="100-R-4"/>
    <s v="#1774B9"/>
    <s v="990-1276"/>
    <n v="99200004"/>
    <s v="T-1042"/>
    <s v="C-1014"/>
    <s v="FI-993"/>
    <s v="M-1106"/>
  </r>
  <r>
    <x v="1276"/>
    <n v="990"/>
    <x v="0"/>
    <x v="9"/>
    <n v="5"/>
    <x v="23"/>
    <x v="26"/>
    <x v="1"/>
    <x v="5"/>
    <s v="Ninguno"/>
    <s v="Peso (kg) de Importaciones por Región"/>
    <s v="Periodo 2015-2021"/>
    <s v="Kilogramo"/>
    <s v="Servicio Nacional de Aduanas"/>
    <x v="1276"/>
    <s v="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
    <s v="Gráfico de Evolución"/>
    <s v="Región de Valparaíso regional comercio exterior economía importaciones volúmen kilogramo entrada terminal transporte marítimo aéreo terrestre otro"/>
    <x v="1260"/>
    <s v="100-R-5"/>
    <s v="#1774B9"/>
    <s v="990-1277"/>
    <n v="99200005"/>
    <s v="T-1042"/>
    <s v="C-1014"/>
    <s v="FI-993"/>
    <s v="M-1106"/>
  </r>
  <r>
    <x v="1277"/>
    <n v="990"/>
    <x v="0"/>
    <x v="9"/>
    <n v="6"/>
    <x v="23"/>
    <x v="26"/>
    <x v="1"/>
    <x v="6"/>
    <s v="Ninguno"/>
    <s v="Peso (kg) de Importaciones por Región"/>
    <s v="Periodo 2015-2021"/>
    <s v="Kilogramo"/>
    <s v="Servicio Nacional de Aduanas"/>
    <x v="1277"/>
    <s v="Las importaciones desde la Región de O'Higgins, durante el periodo 2015-2021, ingresaron únicamente por vía marítima. El mayor volumen de importaciones se produjo el 1er trimestre 2017, cuando ingresaron 2.209.483.994 Kg."/>
    <s v="Gráfico de Evolución"/>
    <s v="Región de O'Higgins regional comercio exterior economía importaciones volúmen kilogramo entrada terminal transporte marítimo aéreo terrestre otro"/>
    <x v="1261"/>
    <s v="100-R-6"/>
    <s v="#1774B9"/>
    <s v="990-1278"/>
    <n v="99200006"/>
    <s v="T-1042"/>
    <s v="C-1014"/>
    <s v="FI-993"/>
    <s v="M-1106"/>
  </r>
  <r>
    <x v="1278"/>
    <n v="990"/>
    <x v="0"/>
    <x v="9"/>
    <n v="7"/>
    <x v="23"/>
    <x v="26"/>
    <x v="1"/>
    <x v="7"/>
    <s v="Ninguno"/>
    <s v="Peso (kg) de Importaciones por Región"/>
    <s v="Periodo 2015-2021"/>
    <s v="Kilogramo"/>
    <s v="Servicio Nacional de Aduanas"/>
    <x v="1278"/>
    <s v="Las importaciones desde la Región de Maule, durante el periodo 2015-2021, ingresaron únicamente por vía terrestre. El mayor volumen de importaciones se produjo el 4to trimestre de 2019, cuando ingresaron 1.893.934 Kg."/>
    <s v="Gráfico de Evolución"/>
    <s v="Región de Maule regional comercio exterior economía importaciones volúmen kilogramo entrada terminal transporte marítimo aéreo terrestre otro"/>
    <x v="1262"/>
    <s v="100-R-7"/>
    <s v="#1774B9"/>
    <s v="990-1279"/>
    <n v="99200007"/>
    <s v="T-1042"/>
    <s v="C-1014"/>
    <s v="FI-993"/>
    <s v="M-1106"/>
  </r>
  <r>
    <x v="1279"/>
    <n v="990"/>
    <x v="0"/>
    <x v="9"/>
    <n v="8"/>
    <x v="23"/>
    <x v="26"/>
    <x v="1"/>
    <x v="8"/>
    <s v="Ninguno"/>
    <s v="Peso (kg) de Importaciones por Región"/>
    <s v="Periodo 2015-2021"/>
    <s v="Kilogramo"/>
    <s v="Servicio Nacional de Aduanas"/>
    <x v="1279"/>
    <s v="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
    <s v="Gráfico de Evolución"/>
    <s v="Región del Biobío regional comercio exterior economía importaciones volúmen kilogramo entrada terminal transporte marítimo aéreo terrestre otro"/>
    <x v="1263"/>
    <s v="100-R-8"/>
    <s v="#1774B9"/>
    <s v="990-1280"/>
    <n v="99200008"/>
    <s v="T-1042"/>
    <s v="C-1014"/>
    <s v="FI-993"/>
    <s v="M-1106"/>
  </r>
  <r>
    <x v="1280"/>
    <n v="990"/>
    <x v="0"/>
    <x v="9"/>
    <n v="9"/>
    <x v="23"/>
    <x v="26"/>
    <x v="1"/>
    <x v="9"/>
    <s v="Ninguno"/>
    <s v="Peso (kg) de Importaciones por Región"/>
    <s v="Periodo 2015-2021"/>
    <s v="Kilogramo"/>
    <s v="Servicio Nacional de Aduanas"/>
    <x v="1280"/>
    <s v="Las importaciones desde la Región de Araucanía, durante el periodo 2015-2021, ingresaron únicamente por vía terrestre. El mayor volumen de importaciones se produjo el 4to trimestre de 2018, cuando ingresaron 171.205.327 Kg. "/>
    <s v="Gráfico de Evolución"/>
    <s v="Región de La Araucanía regional comercio exterior economía importaciones volúmen kilogramo entrada terminal transporte marítimo aéreo terrestre otro"/>
    <x v="1264"/>
    <s v="100-R-9"/>
    <s v="#1774B9"/>
    <s v="990-1281"/>
    <n v="99200009"/>
    <s v="T-1042"/>
    <s v="C-1014"/>
    <s v="FI-993"/>
    <s v="M-1106"/>
  </r>
  <r>
    <x v="1281"/>
    <n v="990"/>
    <x v="0"/>
    <x v="9"/>
    <n v="10"/>
    <x v="23"/>
    <x v="26"/>
    <x v="1"/>
    <x v="10"/>
    <s v="Ninguno"/>
    <s v="Peso (kg) de Importaciones por Región"/>
    <s v="Periodo 2015-2021"/>
    <s v="Kilogramo"/>
    <s v="Servicio Nacional de Aduanas"/>
    <x v="1281"/>
    <s v="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
    <s v="Gráfico de Evolución"/>
    <s v="Región de Los Lagos regional comercio exterior economía importaciones volúmen kilogramo entrada terminal transporte marítimo aéreo terrestre otro"/>
    <x v="1265"/>
    <s v="100-R-10"/>
    <s v="#1774B9"/>
    <s v="990-1282"/>
    <n v="99200010"/>
    <s v="T-1042"/>
    <s v="C-1014"/>
    <s v="FI-993"/>
    <s v="M-1106"/>
  </r>
  <r>
    <x v="1282"/>
    <n v="990"/>
    <x v="0"/>
    <x v="9"/>
    <n v="11"/>
    <x v="23"/>
    <x v="26"/>
    <x v="1"/>
    <x v="11"/>
    <s v="Ninguno"/>
    <s v="Peso (kg) de Importaciones por Región"/>
    <s v="Periodo 2015-2021"/>
    <s v="Kilogramo"/>
    <s v="Servicio Nacional de Aduanas"/>
    <x v="1282"/>
    <s v="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
    <s v="Gráfico de Evolución"/>
    <s v="Región de Aysén regional comercio exterior economía importaciones volúmen kilogramo entrada terminal transporte marítimo aéreo terrestre otro"/>
    <x v="1266"/>
    <s v="100-R-11"/>
    <s v="#1774B9"/>
    <s v="990-1283"/>
    <n v="99200011"/>
    <s v="T-1042"/>
    <s v="C-1014"/>
    <s v="FI-993"/>
    <s v="M-1106"/>
  </r>
  <r>
    <x v="1283"/>
    <n v="990"/>
    <x v="0"/>
    <x v="9"/>
    <n v="12"/>
    <x v="23"/>
    <x v="26"/>
    <x v="1"/>
    <x v="12"/>
    <s v="Ninguno"/>
    <s v="Peso (kg) de Importaciones por Región"/>
    <s v="Periodo 2015-2021"/>
    <s v="Kilogramo"/>
    <s v="Servicio Nacional de Aduanas"/>
    <x v="1283"/>
    <s v="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
    <s v="Gráfico de Evolución"/>
    <s v="Región de Magallanes regional comercio exterior economía importaciones volúmen kilogramo entrada terminal transporte marítimo aéreo terrestre otro"/>
    <x v="1267"/>
    <s v="100-R-12"/>
    <s v="#1774B9"/>
    <s v="990-1284"/>
    <n v="99200012"/>
    <s v="T-1042"/>
    <s v="C-1014"/>
    <s v="FI-993"/>
    <s v="M-1106"/>
  </r>
  <r>
    <x v="1284"/>
    <n v="990"/>
    <x v="0"/>
    <x v="9"/>
    <n v="13"/>
    <x v="23"/>
    <x v="26"/>
    <x v="1"/>
    <x v="13"/>
    <s v="Ninguno"/>
    <s v="Peso (kg) de Importaciones por Región"/>
    <s v="Periodo 2015-2021"/>
    <s v="Kilogramo"/>
    <s v="Servicio Nacional de Aduanas"/>
    <x v="1284"/>
    <s v="Las importaciones desde la Región de Metropolitana, durante el periodo 2015-2021, ingresaron únicamente por vía aérea. El mayor volumen de importaciones se produjo el 4to trimestre de 2017, cuando ingresaron 348.131.004 Kg. "/>
    <s v="Gráfico de Evolución"/>
    <s v="Región Metropolitana regional comercio exterior economía importaciones volúmen kilogramo entrada terminal transporte marítimo aéreo terrestre otro"/>
    <x v="1268"/>
    <s v="200-R-13"/>
    <s v="#1774B9"/>
    <s v="990-1285"/>
    <n v="99200013"/>
    <s v="T-1042"/>
    <s v="C-1014"/>
    <s v="FI-993"/>
    <s v="M-1106"/>
  </r>
  <r>
    <x v="1285"/>
    <n v="990"/>
    <x v="0"/>
    <x v="9"/>
    <n v="14"/>
    <x v="23"/>
    <x v="26"/>
    <x v="1"/>
    <x v="14"/>
    <s v="Ninguno"/>
    <s v="Peso (kg) de Importaciones por Región"/>
    <s v="Periodo 2015-2021"/>
    <s v="Kilogramo"/>
    <s v="Servicio Nacional de Aduanas"/>
    <x v="1285"/>
    <s v="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
    <s v="Gráfico de Evolución"/>
    <s v="Región de Los Ríos regional comercio exterior economía importaciones volúmen kilogramo entrada terminal transporte marítimo aéreo terrestre otro"/>
    <x v="1269"/>
    <s v="100-R-14"/>
    <s v="#1774B9"/>
    <s v="990-1286"/>
    <n v="99200014"/>
    <s v="T-1042"/>
    <s v="C-1014"/>
    <s v="FI-993"/>
    <s v="M-1106"/>
  </r>
  <r>
    <x v="1286"/>
    <n v="990"/>
    <x v="0"/>
    <x v="9"/>
    <n v="15"/>
    <x v="23"/>
    <x v="26"/>
    <x v="1"/>
    <x v="15"/>
    <s v="Ninguno"/>
    <s v="Peso (kg) de Importaciones por Región"/>
    <s v="Periodo 2015-2021"/>
    <s v="Kilogramo"/>
    <s v="Servicio Nacional de Aduanas"/>
    <x v="1286"/>
    <s v="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
    <s v="Gráfico de Evolución"/>
    <s v="Región de Arica y Parinacota regional comercio exterior economía importaciones volúmen kilogramo entrada terminal transporte marítimo aéreo terrestre otro"/>
    <x v="1270"/>
    <s v="100-R-15"/>
    <s v="#1774B9"/>
    <s v="990-1287"/>
    <n v="99200015"/>
    <s v="T-1042"/>
    <s v="C-1014"/>
    <s v="FI-993"/>
    <s v="M-1106"/>
  </r>
  <r>
    <x v="1287"/>
    <n v="990"/>
    <x v="0"/>
    <x v="9"/>
    <n v="0"/>
    <x v="7"/>
    <x v="26"/>
    <x v="0"/>
    <x v="0"/>
    <s v="Región"/>
    <s v="Valor (USD) de Exportaciones por Región"/>
    <s v="Periodo 2015-2021"/>
    <s v="USD"/>
    <s v="Servicio Nacional de Aduanas"/>
    <x v="1287"/>
    <s v="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
    <s v="Gráfico de Evolución"/>
    <s v="Chile nacional región comercio exterior economía exportaciones valor dólar usd salida lugar terminal"/>
    <x v="1271"/>
    <s v="300-R"/>
    <s v="#1774B9"/>
    <s v="990-1288"/>
    <n v="99100000"/>
    <s v="T-1031"/>
    <s v="C-1014"/>
    <s v="FI-992"/>
    <s v="M-1107"/>
  </r>
  <r>
    <x v="1288"/>
    <n v="990"/>
    <x v="0"/>
    <x v="9"/>
    <n v="1"/>
    <x v="7"/>
    <x v="26"/>
    <x v="1"/>
    <x v="1"/>
    <s v="Ninguno"/>
    <s v="Valor (USD) de Exportaciones por Región"/>
    <s v="Periodo 2015-2021"/>
    <s v="USD"/>
    <s v="Servicio Nacional de Aduanas"/>
    <x v="1288"/>
    <s v="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
    <s v="Gráfico de Evolución"/>
    <s v="Región de Tarapacá regional comercio exterior economía exportaciones valor dólar usd salida lugar terminal"/>
    <x v="1272"/>
    <s v="100-R-1"/>
    <s v="#1774B9"/>
    <s v="990-1289"/>
    <n v="99200001"/>
    <s v="T-1031"/>
    <s v="C-1014"/>
    <s v="FI-993"/>
    <s v="M-1107"/>
  </r>
  <r>
    <x v="1289"/>
    <n v="990"/>
    <x v="0"/>
    <x v="9"/>
    <n v="2"/>
    <x v="7"/>
    <x v="26"/>
    <x v="1"/>
    <x v="2"/>
    <s v="Ninguno"/>
    <s v="Valor (USD) de Exportaciones por Región"/>
    <s v="Periodo 2015-2021"/>
    <s v="USD"/>
    <s v="Servicio Nacional de Aduanas"/>
    <x v="1289"/>
    <s v="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
    <s v="Gráfico de Evolución"/>
    <s v="Región de Antofagasta regional comercio exterior economía exportaciones valor dólar usd salida lugar terminal"/>
    <x v="1273"/>
    <s v="100-R-2"/>
    <s v="#1774B9"/>
    <s v="990-1290"/>
    <n v="99200002"/>
    <s v="T-1031"/>
    <s v="C-1014"/>
    <s v="FI-993"/>
    <s v="M-1107"/>
  </r>
  <r>
    <x v="1290"/>
    <n v="990"/>
    <x v="0"/>
    <x v="9"/>
    <n v="3"/>
    <x v="7"/>
    <x v="26"/>
    <x v="1"/>
    <x v="3"/>
    <s v="Ninguno"/>
    <s v="Valor (USD) de Exportaciones por Región"/>
    <s v="Periodo 2015-2021"/>
    <s v="USD"/>
    <s v="Servicio Nacional de Aduanas"/>
    <x v="1290"/>
    <s v="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
    <s v="Gráfico de Evolución"/>
    <s v="Región de Atacama regional comercio exterior economía exportaciones valor dólar usd salida lugar terminal"/>
    <x v="1274"/>
    <s v="100-R-3"/>
    <s v="#1774B9"/>
    <s v="990-1291"/>
    <n v="99200003"/>
    <s v="T-1031"/>
    <s v="C-1014"/>
    <s v="FI-993"/>
    <s v="M-1107"/>
  </r>
  <r>
    <x v="1291"/>
    <n v="990"/>
    <x v="0"/>
    <x v="9"/>
    <n v="4"/>
    <x v="7"/>
    <x v="26"/>
    <x v="1"/>
    <x v="4"/>
    <s v="Ninguno"/>
    <s v="Valor (USD) de Exportaciones por Región"/>
    <s v="Periodo 2015-2021"/>
    <s v="USD"/>
    <s v="Servicio Nacional de Aduanas"/>
    <x v="1291"/>
    <s v="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
    <s v="Gráfico de Evolución"/>
    <s v="Región de Coquimbo regional comercio exterior economía exportaciones valor dólar usd salida lugar terminal"/>
    <x v="1275"/>
    <s v="100-R-4"/>
    <s v="#1774B9"/>
    <s v="990-1292"/>
    <n v="99200004"/>
    <s v="T-1031"/>
    <s v="C-1014"/>
    <s v="FI-993"/>
    <s v="M-1107"/>
  </r>
  <r>
    <x v="1292"/>
    <n v="990"/>
    <x v="0"/>
    <x v="9"/>
    <n v="5"/>
    <x v="7"/>
    <x v="26"/>
    <x v="1"/>
    <x v="5"/>
    <s v="Ninguno"/>
    <s v="Valor (USD) de Exportaciones por Región"/>
    <s v="Periodo 2015-2021"/>
    <s v="USD"/>
    <s v="Servicio Nacional de Aduanas"/>
    <x v="1292"/>
    <s v="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
    <s v="Gráfico de Evolución"/>
    <s v="Región de Valparaíso regional comercio exterior economía exportaciones valor dólar usd salida lugar terminal"/>
    <x v="1276"/>
    <s v="100-R-5"/>
    <s v="#1774B9"/>
    <s v="990-1293"/>
    <n v="99200005"/>
    <s v="T-1031"/>
    <s v="C-1014"/>
    <s v="FI-993"/>
    <s v="M-1107"/>
  </r>
  <r>
    <x v="1293"/>
    <n v="990"/>
    <x v="0"/>
    <x v="9"/>
    <n v="6"/>
    <x v="7"/>
    <x v="26"/>
    <x v="1"/>
    <x v="6"/>
    <s v="Ninguno"/>
    <s v="Valor (USD) de Exportaciones por Región"/>
    <s v="Periodo 2015-2021"/>
    <s v="USD"/>
    <s v="Servicio Nacional de Aduanas"/>
    <x v="1293"/>
    <s v="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
    <s v="Gráfico de Evolución"/>
    <s v="Región de O'Higgins regional comercio exterior economía exportaciones valor dólar usd salida lugar terminal"/>
    <x v="1277"/>
    <s v="100-R-6"/>
    <s v="#1774B9"/>
    <s v="990-1294"/>
    <n v="99200006"/>
    <s v="T-1031"/>
    <s v="C-1014"/>
    <s v="FI-993"/>
    <s v="M-1107"/>
  </r>
  <r>
    <x v="1294"/>
    <n v="990"/>
    <x v="0"/>
    <x v="9"/>
    <n v="7"/>
    <x v="7"/>
    <x v="26"/>
    <x v="1"/>
    <x v="7"/>
    <s v="Ninguno"/>
    <s v="Valor (USD) de Exportaciones por Región"/>
    <s v="Periodo 2015-2021"/>
    <s v="USD"/>
    <s v="Servicio Nacional de Aduanas"/>
    <x v="1294"/>
    <s v="Las exportaciones desde la Región de Maule, durante el periodo 2015-2021, presenta un único valor el 4to trimestre de 2020, ascendiendo a 44.177 USD, los cuales fueron exportados por el puerto de Constitución."/>
    <s v="Gráfico de Evolución"/>
    <s v="Región de Maule regional comercio exterior economía exportaciones valor dólar usd salida lugar terminal"/>
    <x v="1278"/>
    <s v="100-R-7"/>
    <s v="#1774B9"/>
    <s v="990-1295"/>
    <n v="99200007"/>
    <s v="T-1031"/>
    <s v="C-1014"/>
    <s v="FI-993"/>
    <s v="M-1107"/>
  </r>
  <r>
    <x v="1295"/>
    <n v="990"/>
    <x v="0"/>
    <x v="9"/>
    <n v="8"/>
    <x v="7"/>
    <x v="26"/>
    <x v="1"/>
    <x v="8"/>
    <s v="Ninguno"/>
    <s v="Valor (USD) de Exportaciones por Región"/>
    <s v="Periodo 2015-2021"/>
    <s v="USD"/>
    <s v="Servicio Nacional de Aduanas"/>
    <x v="1295"/>
    <s v="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
    <s v="Gráfico de Evolución"/>
    <s v="Región del Biobío regional comercio exterior economía exportaciones valor dólar usd salida lugar terminal"/>
    <x v="1279"/>
    <s v="100-R-8"/>
    <s v="#1774B9"/>
    <s v="990-1296"/>
    <n v="99200008"/>
    <s v="T-1031"/>
    <s v="C-1014"/>
    <s v="FI-993"/>
    <s v="M-1107"/>
  </r>
  <r>
    <x v="1296"/>
    <n v="990"/>
    <x v="0"/>
    <x v="9"/>
    <n v="9"/>
    <x v="7"/>
    <x v="26"/>
    <x v="1"/>
    <x v="9"/>
    <s v="Ninguno"/>
    <s v="Valor (USD) de Exportaciones por Región"/>
    <s v="Periodo 2015-2021"/>
    <s v="USD"/>
    <s v="Servicio Nacional de Aduanas"/>
    <x v="1296"/>
    <s v="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
    <s v="Gráfico de Evolución"/>
    <s v="Región de La Araucanía regional comercio exterior economía exportaciones valor dólar usd salida lugar terminal"/>
    <x v="1280"/>
    <s v="100-R-9"/>
    <s v="#1774B9"/>
    <s v="990-1297"/>
    <n v="99200009"/>
    <s v="T-1031"/>
    <s v="C-1014"/>
    <s v="FI-993"/>
    <s v="M-1107"/>
  </r>
  <r>
    <x v="1297"/>
    <n v="990"/>
    <x v="0"/>
    <x v="9"/>
    <n v="10"/>
    <x v="7"/>
    <x v="26"/>
    <x v="1"/>
    <x v="10"/>
    <s v="Ninguno"/>
    <s v="Valor (USD) de Exportaciones por Región"/>
    <s v="Periodo 2015-2021"/>
    <s v="USD"/>
    <s v="Servicio Nacional de Aduanas"/>
    <x v="1297"/>
    <s v="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
    <s v="Gráfico de Evolución"/>
    <s v="Región de Los Lagos regional comercio exterior economía exportaciones valor dólar usd salida lugar terminal"/>
    <x v="1281"/>
    <s v="100-R-10"/>
    <s v="#1774B9"/>
    <s v="990-1298"/>
    <n v="99200010"/>
    <s v="T-1031"/>
    <s v="C-1014"/>
    <s v="FI-993"/>
    <s v="M-1107"/>
  </r>
  <r>
    <x v="1298"/>
    <n v="990"/>
    <x v="0"/>
    <x v="9"/>
    <n v="11"/>
    <x v="7"/>
    <x v="26"/>
    <x v="1"/>
    <x v="11"/>
    <s v="Ninguno"/>
    <s v="Valor (USD) de Exportaciones por Región"/>
    <s v="Periodo 2015-2021"/>
    <s v="USD"/>
    <s v="Servicio Nacional de Aduanas"/>
    <x v="1298"/>
    <s v="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
    <s v="Gráfico de Evolución"/>
    <s v="Región de Aysén regional comercio exterior economía exportaciones valor dólar usd salida lugar terminal"/>
    <x v="1282"/>
    <s v="100-R-11"/>
    <s v="#1774B9"/>
    <s v="990-1299"/>
    <n v="99200011"/>
    <s v="T-1031"/>
    <s v="C-1014"/>
    <s v="FI-993"/>
    <s v="M-1107"/>
  </r>
  <r>
    <x v="1299"/>
    <n v="990"/>
    <x v="0"/>
    <x v="9"/>
    <n v="12"/>
    <x v="7"/>
    <x v="26"/>
    <x v="1"/>
    <x v="12"/>
    <s v="Ninguno"/>
    <s v="Valor (USD) de Exportaciones por Región"/>
    <s v="Periodo 2015-2021"/>
    <s v="USD"/>
    <s v="Servicio Nacional de Aduanas"/>
    <x v="1299"/>
    <s v="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
    <s v="Gráfico de Evolución"/>
    <s v="Región de Magallanes regional comercio exterior economía exportaciones valor dólar usd salida lugar terminal"/>
    <x v="1283"/>
    <s v="100-R-12"/>
    <s v="#1774B9"/>
    <s v="990-1300"/>
    <n v="99200012"/>
    <s v="T-1031"/>
    <s v="C-1014"/>
    <s v="FI-993"/>
    <s v="M-1107"/>
  </r>
  <r>
    <x v="1300"/>
    <n v="990"/>
    <x v="0"/>
    <x v="9"/>
    <n v="13"/>
    <x v="7"/>
    <x v="26"/>
    <x v="1"/>
    <x v="13"/>
    <s v="Ninguno"/>
    <s v="Valor (USD) de Exportaciones por Región"/>
    <s v="Periodo 2015-2021"/>
    <s v="USD"/>
    <s v="Servicio Nacional de Aduanas"/>
    <x v="1300"/>
    <s v="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
    <s v="Gráfico de Evolución"/>
    <s v="Región Metropolitana regional comercio exterior economía exportaciones valor dólar usd salida lugar terminal"/>
    <x v="1284"/>
    <s v="200-R-13"/>
    <s v="#1774B9"/>
    <s v="990-1301"/>
    <n v="99200013"/>
    <s v="T-1031"/>
    <s v="C-1014"/>
    <s v="FI-993"/>
    <s v="M-1107"/>
  </r>
  <r>
    <x v="1301"/>
    <n v="990"/>
    <x v="0"/>
    <x v="9"/>
    <n v="14"/>
    <x v="7"/>
    <x v="26"/>
    <x v="1"/>
    <x v="14"/>
    <s v="Ninguno"/>
    <s v="Valor (USD) de Exportaciones por Región"/>
    <s v="Periodo 2015-2021"/>
    <s v="USD"/>
    <s v="Servicio Nacional de Aduanas"/>
    <x v="1301"/>
    <s v="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
    <s v="Gráfico de Evolución"/>
    <s v="Región de Los Ríos regional comercio exterior economía exportaciones valor dólar usd salida lugar terminal"/>
    <x v="1285"/>
    <s v="100-R-14"/>
    <s v="#1774B9"/>
    <s v="990-1302"/>
    <n v="99200014"/>
    <s v="T-1031"/>
    <s v="C-1014"/>
    <s v="FI-993"/>
    <s v="M-1107"/>
  </r>
  <r>
    <x v="1302"/>
    <n v="990"/>
    <x v="0"/>
    <x v="9"/>
    <n v="15"/>
    <x v="7"/>
    <x v="26"/>
    <x v="1"/>
    <x v="15"/>
    <s v="Ninguno"/>
    <s v="Valor (USD) de Exportaciones por Región"/>
    <s v="Periodo 2015-2021"/>
    <s v="USD"/>
    <s v="Servicio Nacional de Aduanas"/>
    <x v="1302"/>
    <s v="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
    <s v="Gráfico de Evolución"/>
    <s v="Región de Arica y Parinacota regional comercio exterior economía exportaciones valor dólar usd salida lugar terminal"/>
    <x v="1286"/>
    <s v="100-R-15"/>
    <s v="#1774B9"/>
    <s v="990-1303"/>
    <n v="99200015"/>
    <s v="T-1031"/>
    <s v="C-1014"/>
    <s v="FI-993"/>
    <s v="M-1107"/>
  </r>
  <r>
    <x v="1303"/>
    <n v="990"/>
    <x v="0"/>
    <x v="9"/>
    <n v="0"/>
    <x v="7"/>
    <x v="26"/>
    <x v="0"/>
    <x v="0"/>
    <s v="Región"/>
    <s v="Peso (kg) de Exportaciones por Región"/>
    <s v="Periodo 2015-2021"/>
    <s v="Kilogramo"/>
    <s v="Servicio Nacional de Aduanas"/>
    <x v="1303"/>
    <s v="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
    <s v="Gráfico de Evolución"/>
    <s v="Chile nacional región comercio exterior economía exportaciones peso volumen kilogramo kg evolución"/>
    <x v="1287"/>
    <s v="300-R"/>
    <s v="#1774B9"/>
    <s v="990-1304"/>
    <n v="99100000"/>
    <s v="T-1031"/>
    <s v="C-1014"/>
    <s v="FI-992"/>
    <s v="M-1108"/>
  </r>
  <r>
    <x v="1304"/>
    <n v="990"/>
    <x v="0"/>
    <x v="9"/>
    <n v="0"/>
    <x v="66"/>
    <x v="26"/>
    <x v="0"/>
    <x v="0"/>
    <s v="Región"/>
    <s v="Peso (kg) de Exportaciones e Importaciones por Región"/>
    <s v="Periodo 2015-2021"/>
    <s v="Kilogramo"/>
    <s v="Servicio Nacional de Aduanas"/>
    <x v="1304"/>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x v="1288"/>
    <s v="300-R"/>
    <s v="#1774B9"/>
    <s v="990-1305"/>
    <n v="99100000"/>
    <s v="T-1052"/>
    <s v="C-1014"/>
    <s v="FI-992"/>
    <s v="M-1109"/>
  </r>
  <r>
    <x v="1305"/>
    <n v="990"/>
    <x v="0"/>
    <x v="9"/>
    <n v="1"/>
    <x v="66"/>
    <x v="26"/>
    <x v="1"/>
    <x v="1"/>
    <s v="Ninguno"/>
    <s v="Peso (kg) de Exportaciones e Importaciones por Región"/>
    <s v="Periodo 2015-2021"/>
    <s v="Kilogramo"/>
    <s v="Servicio Nacional de Aduanas"/>
    <x v="1305"/>
    <s v="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
    <s v="Gráfico de Evolución"/>
    <s v="Región de Tarapacá regional comercio exterior economía exportaciones importaciones peso volumen kilogramos kg evolución diferencia balanza"/>
    <x v="1289"/>
    <s v="100-R-1"/>
    <s v="#1774B9"/>
    <s v="990-1306"/>
    <n v="99200001"/>
    <s v="T-1052"/>
    <s v="C-1014"/>
    <s v="FI-993"/>
    <s v="M-1109"/>
  </r>
  <r>
    <x v="1306"/>
    <n v="990"/>
    <x v="0"/>
    <x v="9"/>
    <n v="2"/>
    <x v="66"/>
    <x v="26"/>
    <x v="1"/>
    <x v="2"/>
    <s v="Ninguno"/>
    <s v="Peso (kg) de Exportaciones e Importaciones por Región"/>
    <s v="Periodo 2015-2021"/>
    <s v="Kilogramo"/>
    <s v="Servicio Nacional de Aduanas"/>
    <x v="1306"/>
    <s v="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
    <s v="Gráfico de Evolución"/>
    <s v="Región de Antofagasta regional comercio exterior economía exportaciones importaciones peso volumen kilogramos kg evolución diferencia balanza"/>
    <x v="1290"/>
    <s v="100-R-2"/>
    <s v="#1774B9"/>
    <s v="990-1307"/>
    <n v="99200002"/>
    <s v="T-1052"/>
    <s v="C-1014"/>
    <s v="FI-993"/>
    <s v="M-1109"/>
  </r>
  <r>
    <x v="1307"/>
    <n v="990"/>
    <x v="0"/>
    <x v="9"/>
    <n v="3"/>
    <x v="66"/>
    <x v="26"/>
    <x v="1"/>
    <x v="3"/>
    <s v="Ninguno"/>
    <s v="Peso (kg) de Exportaciones e Importaciones por Región"/>
    <s v="Periodo 2015-2021"/>
    <s v="Kilogramo"/>
    <s v="Servicio Nacional de Aduanas"/>
    <x v="1307"/>
    <s v="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
    <s v="Gráfico de Evolución"/>
    <s v="Región de Atacama regional comercio exterior economía exportaciones importaciones peso volumen kilogramos kg evolución diferencia balanza"/>
    <x v="1291"/>
    <s v="100-R-3"/>
    <s v="#1774B9"/>
    <s v="990-1308"/>
    <n v="99200003"/>
    <s v="T-1052"/>
    <s v="C-1014"/>
    <s v="FI-993"/>
    <s v="M-1109"/>
  </r>
  <r>
    <x v="1308"/>
    <n v="990"/>
    <x v="0"/>
    <x v="9"/>
    <n v="4"/>
    <x v="66"/>
    <x v="26"/>
    <x v="1"/>
    <x v="4"/>
    <s v="Ninguno"/>
    <s v="Peso (kg) de Exportaciones e Importaciones por Región"/>
    <s v="Periodo 2015-2021"/>
    <s v="Kilogramo"/>
    <s v="Servicio Nacional de Aduanas"/>
    <x v="1308"/>
    <s v="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
    <s v="Gráfico de Evolución"/>
    <s v="Región de Coquimbo regional comercio exterior economía exportaciones importaciones peso volumen kilogramos kg evolución diferencia balanza"/>
    <x v="1292"/>
    <s v="100-R-4"/>
    <s v="#1774B9"/>
    <s v="990-1309"/>
    <n v="99200004"/>
    <s v="T-1052"/>
    <s v="C-1014"/>
    <s v="FI-993"/>
    <s v="M-1109"/>
  </r>
  <r>
    <x v="1309"/>
    <n v="990"/>
    <x v="0"/>
    <x v="9"/>
    <n v="5"/>
    <x v="66"/>
    <x v="26"/>
    <x v="1"/>
    <x v="5"/>
    <s v="Ninguno"/>
    <s v="Peso (kg) de Exportaciones e Importaciones por Región"/>
    <s v="Periodo 2015-2021"/>
    <s v="Kilogramo"/>
    <s v="Servicio Nacional de Aduanas"/>
    <x v="1309"/>
    <s v="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
    <s v="Gráfico de Evolución"/>
    <s v="Región de Valparaíso regional comercio exterior economía exportaciones importaciones peso volumen kilogramos kg evolución diferencia balanza"/>
    <x v="1293"/>
    <s v="100-R-5"/>
    <s v="#1774B9"/>
    <s v="990-1310"/>
    <n v="99200005"/>
    <s v="T-1052"/>
    <s v="C-1014"/>
    <s v="FI-993"/>
    <s v="M-1109"/>
  </r>
  <r>
    <x v="1310"/>
    <n v="990"/>
    <x v="0"/>
    <x v="9"/>
    <n v="6"/>
    <x v="66"/>
    <x v="26"/>
    <x v="1"/>
    <x v="6"/>
    <s v="Ninguno"/>
    <s v="Peso (kg) de Exportaciones e Importaciones por Región"/>
    <s v="Periodo 2015-2021"/>
    <s v="Kilogramo"/>
    <s v="Servicio Nacional de Aduanas"/>
    <x v="1310"/>
    <s v="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
    <s v="Gráfico de Evolución"/>
    <s v="Región de O'Higgins regional comercio exterior economía exportaciones importaciones peso volumen kilogramos kg evolución diferencia balanza"/>
    <x v="1294"/>
    <s v="100-R-6"/>
    <s v="#1774B9"/>
    <s v="990-1311"/>
    <n v="99200006"/>
    <s v="T-1052"/>
    <s v="C-1014"/>
    <s v="FI-993"/>
    <s v="M-1109"/>
  </r>
  <r>
    <x v="1311"/>
    <n v="990"/>
    <x v="0"/>
    <x v="9"/>
    <n v="7"/>
    <x v="66"/>
    <x v="26"/>
    <x v="1"/>
    <x v="7"/>
    <s v="Ninguno"/>
    <s v="Peso (kg) de Exportaciones e Importaciones por Región"/>
    <s v="Periodo 2015-2021"/>
    <s v="Kilogramo"/>
    <s v="Servicio Nacional de Aduanas"/>
    <x v="1311"/>
    <s v="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
    <s v="Gráfico de Evolución"/>
    <s v="Región de Maule regional comercio exterior economía exportaciones importaciones peso volumen kilogramos kg evolución diferencia balanza"/>
    <x v="1295"/>
    <s v="100-R-7"/>
    <s v="#1774B9"/>
    <s v="990-1312"/>
    <n v="99200007"/>
    <s v="T-1052"/>
    <s v="C-1014"/>
    <s v="FI-993"/>
    <s v="M-1109"/>
  </r>
  <r>
    <x v="1312"/>
    <n v="990"/>
    <x v="0"/>
    <x v="9"/>
    <n v="8"/>
    <x v="66"/>
    <x v="26"/>
    <x v="1"/>
    <x v="8"/>
    <s v="Ninguno"/>
    <s v="Peso (kg) de Exportaciones e Importaciones por Región"/>
    <s v="Periodo 2015-2021"/>
    <s v="Kilogramo"/>
    <s v="Servicio Nacional de Aduanas"/>
    <x v="1312"/>
    <s v="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
    <s v="Gráfico de Evolución"/>
    <s v="Región del Biobío regional comercio exterior economía exportaciones importaciones peso volumen kilogramos kg evolución diferencia balanza"/>
    <x v="1296"/>
    <s v="100-R-8"/>
    <s v="#1774B9"/>
    <s v="990-1313"/>
    <n v="99200008"/>
    <s v="T-1052"/>
    <s v="C-1014"/>
    <s v="FI-993"/>
    <s v="M-1109"/>
  </r>
  <r>
    <x v="1313"/>
    <n v="990"/>
    <x v="0"/>
    <x v="9"/>
    <n v="9"/>
    <x v="66"/>
    <x v="26"/>
    <x v="1"/>
    <x v="9"/>
    <s v="Ninguno"/>
    <s v="Peso (kg) de Exportaciones e Importaciones por Región"/>
    <s v="Periodo 2015-2021"/>
    <s v="Kilogramo"/>
    <s v="Servicio Nacional de Aduanas"/>
    <x v="1313"/>
    <s v="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
    <s v="Gráfico de Evolución"/>
    <s v="Región de La Araucanía regional comercio exterior economía exportaciones importaciones peso volumen kilogramos kg evolución diferencia balanza"/>
    <x v="1297"/>
    <s v="100-R-9"/>
    <s v="#1774B9"/>
    <s v="990-1314"/>
    <n v="99200009"/>
    <s v="T-1052"/>
    <s v="C-1014"/>
    <s v="FI-993"/>
    <s v="M-1109"/>
  </r>
  <r>
    <x v="1314"/>
    <n v="990"/>
    <x v="0"/>
    <x v="9"/>
    <n v="10"/>
    <x v="66"/>
    <x v="26"/>
    <x v="1"/>
    <x v="10"/>
    <s v="Ninguno"/>
    <s v="Peso (kg) de Exportaciones e Importaciones por Región"/>
    <s v="Periodo 2015-2021"/>
    <s v="Kilogramo"/>
    <s v="Servicio Nacional de Aduanas"/>
    <x v="1314"/>
    <s v="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
    <s v="Gráfico de Evolución"/>
    <s v="Región de Los Lagos regional comercio exterior economía exportaciones importaciones peso volumen kilogramos kg evolución diferencia balanza"/>
    <x v="1298"/>
    <s v="100-R-10"/>
    <s v="#1774B9"/>
    <s v="990-1315"/>
    <n v="99200010"/>
    <s v="T-1052"/>
    <s v="C-1014"/>
    <s v="FI-993"/>
    <s v="M-1109"/>
  </r>
  <r>
    <x v="1315"/>
    <n v="990"/>
    <x v="0"/>
    <x v="9"/>
    <n v="11"/>
    <x v="66"/>
    <x v="26"/>
    <x v="1"/>
    <x v="11"/>
    <s v="Ninguno"/>
    <s v="Peso (kg) de Exportaciones e Importaciones por Región"/>
    <s v="Periodo 2015-2021"/>
    <s v="Kilogramo"/>
    <s v="Servicio Nacional de Aduanas"/>
    <x v="1315"/>
    <s v="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
    <s v="Gráfico de Evolución"/>
    <s v="Región de Aysén regional comercio exterior economía exportaciones importaciones peso volumen kilogramos kg evolución diferencia balanza"/>
    <x v="1299"/>
    <s v="100-R-11"/>
    <s v="#1774B9"/>
    <s v="990-1316"/>
    <n v="99200011"/>
    <s v="T-1052"/>
    <s v="C-1014"/>
    <s v="FI-993"/>
    <s v="M-1109"/>
  </r>
  <r>
    <x v="1316"/>
    <n v="990"/>
    <x v="0"/>
    <x v="9"/>
    <n v="12"/>
    <x v="66"/>
    <x v="26"/>
    <x v="1"/>
    <x v="12"/>
    <s v="Ninguno"/>
    <s v="Peso (kg) de Exportaciones e Importaciones por Región"/>
    <s v="Periodo 2015-2021"/>
    <s v="Kilogramo"/>
    <s v="Servicio Nacional de Aduanas"/>
    <x v="1316"/>
    <s v="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
    <s v="Gráfico de Evolución"/>
    <s v="Región de Magallanes regional comercio exterior economía exportaciones importaciones peso volumen kilogramos kg evolución diferencia balanza"/>
    <x v="1300"/>
    <s v="100-R-12"/>
    <s v="#1774B9"/>
    <s v="990-1317"/>
    <n v="99200012"/>
    <s v="T-1052"/>
    <s v="C-1014"/>
    <s v="FI-993"/>
    <s v="M-1109"/>
  </r>
  <r>
    <x v="1317"/>
    <n v="990"/>
    <x v="0"/>
    <x v="9"/>
    <n v="13"/>
    <x v="66"/>
    <x v="26"/>
    <x v="1"/>
    <x v="13"/>
    <s v="Ninguno"/>
    <s v="Peso (kg) de Exportaciones e Importaciones por Región"/>
    <s v="Periodo 2015-2021"/>
    <s v="Kilogramo"/>
    <s v="Servicio Nacional de Aduanas"/>
    <x v="1317"/>
    <s v="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
    <s v="Gráfico de Evolución"/>
    <s v="Región Metropolitana regional comercio exterior economía exportaciones importaciones peso volumen kilogramos kg evolución diferencia balanza"/>
    <x v="1301"/>
    <s v="200-R-13"/>
    <s v="#1774B9"/>
    <s v="990-1318"/>
    <n v="99200013"/>
    <s v="T-1052"/>
    <s v="C-1014"/>
    <s v="FI-993"/>
    <s v="M-1109"/>
  </r>
  <r>
    <x v="1318"/>
    <n v="990"/>
    <x v="0"/>
    <x v="9"/>
    <n v="14"/>
    <x v="66"/>
    <x v="26"/>
    <x v="1"/>
    <x v="14"/>
    <s v="Ninguno"/>
    <s v="Peso (kg) de Exportaciones e Importaciones por Región"/>
    <s v="Periodo 2015-2021"/>
    <s v="Kilogramo"/>
    <s v="Servicio Nacional de Aduanas"/>
    <x v="1318"/>
    <s v="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
    <s v="Gráfico de Evolución"/>
    <s v="Región de Los Ríos regional comercio exterior economía exportaciones importaciones peso volumen kilogramos kg evolución diferencia balanza"/>
    <x v="1302"/>
    <s v="100-R-14"/>
    <s v="#1774B9"/>
    <s v="990-1319"/>
    <n v="99200014"/>
    <s v="T-1052"/>
    <s v="C-1014"/>
    <s v="FI-993"/>
    <s v="M-1109"/>
  </r>
  <r>
    <x v="1319"/>
    <n v="990"/>
    <x v="0"/>
    <x v="9"/>
    <n v="15"/>
    <x v="66"/>
    <x v="26"/>
    <x v="1"/>
    <x v="15"/>
    <s v="Ninguno"/>
    <s v="Peso (kg) de Exportaciones e Importaciones por Región"/>
    <s v="Periodo 2015-2021"/>
    <s v="Kilogramo"/>
    <s v="Servicio Nacional de Aduanas"/>
    <x v="1319"/>
    <s v="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
    <s v="Gráfico de Evolución"/>
    <s v="Región de Arica y Parinacota regional comercio exterior economía exportaciones importaciones peso volumen kilogramos kg evolución diferencia balanza"/>
    <x v="1303"/>
    <s v="100-R-15"/>
    <s v="#1774B9"/>
    <s v="990-1320"/>
    <n v="99200015"/>
    <s v="T-1052"/>
    <s v="C-1014"/>
    <s v="FI-993"/>
    <s v="M-1109"/>
  </r>
  <r>
    <x v="1320"/>
    <n v="990"/>
    <x v="0"/>
    <x v="3"/>
    <n v="0"/>
    <x v="67"/>
    <x v="24"/>
    <x v="0"/>
    <x v="0"/>
    <s v="Región-Comuna"/>
    <s v="Cantidad de Parques Urbanos por Comuna"/>
    <s v="Año 2020"/>
    <s v="Número de Parques Urbanos"/>
    <s v="Sistema Nacional de Información Municipal"/>
    <x v="1320"/>
    <s v="Los parques urbanos en Chile, el año 2020, se encuentran principalmente en las comunas de Antofagasta y Aisén, con 40 y 25 parques, respectivamente."/>
    <s v="Mapa de calor"/>
    <s v="Chile nacional región comuna parques urbanos gestión municipal territorial gobierno regional municipal municipalidad"/>
    <x v="1304"/>
    <s v="300-C"/>
    <s v="#1774B9"/>
    <s v="990-1321"/>
    <n v="99100000"/>
    <s v="T-1053"/>
    <s v="C-1015"/>
    <s v="FI-995"/>
    <s v="M-1110"/>
  </r>
  <r>
    <x v="1321"/>
    <n v="990"/>
    <x v="0"/>
    <x v="3"/>
    <n v="1"/>
    <x v="67"/>
    <x v="24"/>
    <x v="1"/>
    <x v="1"/>
    <s v="Comuna"/>
    <s v="Cantidad de Parques Urbanos por Comuna"/>
    <s v="Año 2020"/>
    <s v="Número de Parques Urbanos"/>
    <s v="Sistema Nacional de Información Municipal"/>
    <x v="1321"/>
    <s v="Los parques urbanos en la región de Tarapacá, el año 2020, se encuentran principalmente en las comunas de Iquique y Alto Hospicio, con 6 y 6 parques, respectivamente. En el otro extremo se encuentran Colchane, Camiña, Huara y Pozo Almonte (0 parques cada una)."/>
    <s v="Mapa de calor"/>
    <s v="Región de Tarapacá regional comuna establecimientos salud farmacias turno urgencias salud"/>
    <x v="1305"/>
    <s v="100-C-1"/>
    <s v="#1774B9"/>
    <s v="990-1322"/>
    <n v="99200001"/>
    <s v="T-1053"/>
    <s v="C-1015"/>
    <s v="FI-991"/>
    <s v="M-1110"/>
  </r>
  <r>
    <x v="1322"/>
    <n v="990"/>
    <x v="0"/>
    <x v="3"/>
    <n v="2"/>
    <x v="67"/>
    <x v="24"/>
    <x v="1"/>
    <x v="2"/>
    <s v="Comuna"/>
    <s v="Cantidad de Parques Urbanos por Comuna"/>
    <s v="Año 2020"/>
    <s v="Número de Parques Urbanos"/>
    <s v="Sistema Nacional de Información Municipal"/>
    <x v="1322"/>
    <s v="Los parques urbanos en la región de Antofagasta, el año 2020, se encuentran principalmente en las comunas de Antofasta y Calama, con 40 y 17 parques, respectivamente. En el otro extremo se encuentran Ollagüe y Mejillones (0 parques cada una)."/>
    <s v="Mapa de calor"/>
    <s v="Región de Antofagasta regional comuna establecimientos salud farmacias turno urgencias salud"/>
    <x v="1306"/>
    <s v="100-C-2"/>
    <s v="#1774B9"/>
    <s v="990-1323"/>
    <n v="99200002"/>
    <s v="T-1053"/>
    <s v="C-1015"/>
    <s v="FI-991"/>
    <s v="M-1110"/>
  </r>
  <r>
    <x v="1323"/>
    <n v="990"/>
    <x v="0"/>
    <x v="3"/>
    <n v="3"/>
    <x v="67"/>
    <x v="24"/>
    <x v="1"/>
    <x v="3"/>
    <s v="Comuna"/>
    <s v="Cantidad de Parques Urbanos por Comuna"/>
    <s v="Año 2020"/>
    <s v="Número de Parques Urbanos"/>
    <s v="Sistema Nacional de Información Municipal"/>
    <x v="1323"/>
    <s v="Los parques urbanos en la región de Atacama, el año 2020, se encuentran principalmente en las comunas de Diego de Alamagro y Copiapó, con 2 y 2 parques, respectivamente. En el otro extremo se encuentran Chañaral, Alto del Carmen y Freirina (0 parques cada una)."/>
    <s v="Mapa de calor"/>
    <s v="Región de Atacama regional comuna establecimientos salud farmacias turno urgencias salud"/>
    <x v="1307"/>
    <s v="100-C-3"/>
    <s v="#1774B9"/>
    <s v="990-1324"/>
    <n v="99200003"/>
    <s v="T-1053"/>
    <s v="C-1015"/>
    <s v="FI-991"/>
    <s v="M-1110"/>
  </r>
  <r>
    <x v="1324"/>
    <n v="990"/>
    <x v="0"/>
    <x v="3"/>
    <n v="4"/>
    <x v="67"/>
    <x v="24"/>
    <x v="1"/>
    <x v="4"/>
    <s v="Comuna"/>
    <s v="Cantidad de Parques Urbanos por Comuna"/>
    <s v="Año 2020"/>
    <s v="Número de Parques Urbanos"/>
    <s v="Sistema Nacional de Información Municipal"/>
    <x v="1324"/>
    <s v="Los parques urbanos en la región de Coquimbo, el año 2020, se encuentran principalmente en la comuna de La Serena, con 8 parques. En el otro extremo se encuentran Paiguano, Río Hurtado, Combarbalá, Punitaqui y Canela (0 parques cada una)."/>
    <s v="Mapa de calor"/>
    <s v="Región de Coquimbo regional comuna establecimientos salud farmacias turno urgencias salud"/>
    <x v="1308"/>
    <s v="100-C-4"/>
    <s v="#1774B9"/>
    <s v="990-1325"/>
    <n v="99200004"/>
    <s v="T-1053"/>
    <s v="C-1015"/>
    <s v="FI-991"/>
    <s v="M-1110"/>
  </r>
  <r>
    <x v="1325"/>
    <n v="990"/>
    <x v="0"/>
    <x v="3"/>
    <n v="5"/>
    <x v="67"/>
    <x v="24"/>
    <x v="1"/>
    <x v="5"/>
    <s v="Comuna"/>
    <s v="Cantidad de Parques Urbanos por Comuna"/>
    <s v="Año 2020"/>
    <s v="Número de Parques Urbanos"/>
    <s v="Sistema Nacional de Información Municipal"/>
    <x v="1325"/>
    <s v="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
    <s v="Mapa de calor"/>
    <s v="Región de Valparaíso regional comuna establecimientos salud farmacias turno urgencias salud"/>
    <x v="1309"/>
    <s v="100-C-5"/>
    <s v="#1774B9"/>
    <s v="990-1326"/>
    <n v="99200005"/>
    <s v="T-1053"/>
    <s v="C-1015"/>
    <s v="FI-991"/>
    <s v="M-1110"/>
  </r>
  <r>
    <x v="1326"/>
    <n v="990"/>
    <x v="0"/>
    <x v="3"/>
    <n v="6"/>
    <x v="67"/>
    <x v="24"/>
    <x v="1"/>
    <x v="6"/>
    <s v="Comuna"/>
    <s v="Cantidad de Parques Urbanos por Comuna"/>
    <s v="Año 2020"/>
    <s v="Número de Parques Urbanos"/>
    <s v="Sistema Nacional de Información Municipal"/>
    <x v="1326"/>
    <s v="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
    <s v="Mapa de calor"/>
    <s v="Región de O'Higgins regional comuna establecimientos salud farmacias turno urgencias salud"/>
    <x v="1310"/>
    <s v="100-C-6"/>
    <s v="#1774B9"/>
    <s v="990-1327"/>
    <n v="99200006"/>
    <s v="T-1053"/>
    <s v="C-1015"/>
    <s v="FI-991"/>
    <s v="M-1110"/>
  </r>
  <r>
    <x v="1327"/>
    <n v="990"/>
    <x v="0"/>
    <x v="3"/>
    <n v="7"/>
    <x v="67"/>
    <x v="24"/>
    <x v="1"/>
    <x v="7"/>
    <s v="Comuna"/>
    <s v="Cantidad de Parques Urbanos por Comuna"/>
    <s v="Año 2020"/>
    <s v="Número de Parques Urbanos"/>
    <s v="Sistema Nacional de Información Municipal"/>
    <x v="1327"/>
    <s v="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
    <s v="Mapa de calor"/>
    <s v="Región de Maule regional comuna establecimientos salud farmacias turno urgencias salud"/>
    <x v="1311"/>
    <s v="100-C-7"/>
    <s v="#1774B9"/>
    <s v="990-1328"/>
    <n v="99200007"/>
    <s v="T-1053"/>
    <s v="C-1015"/>
    <s v="FI-991"/>
    <s v="M-1110"/>
  </r>
  <r>
    <x v="1328"/>
    <n v="990"/>
    <x v="0"/>
    <x v="3"/>
    <n v="8"/>
    <x v="67"/>
    <x v="24"/>
    <x v="1"/>
    <x v="8"/>
    <s v="Comuna"/>
    <s v="Cantidad de Parques Urbanos por Comuna"/>
    <s v="Año 2020"/>
    <s v="Número de Parques Urbanos"/>
    <s v="Sistema Nacional de Información Municipal"/>
    <x v="1328"/>
    <s v="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
    <s v="Mapa de calor"/>
    <s v="Región del Biobío regional comuna establecimientos salud farmacias turno urgencias salud"/>
    <x v="1312"/>
    <s v="100-C-8"/>
    <s v="#1774B9"/>
    <s v="990-1329"/>
    <n v="99200008"/>
    <s v="T-1053"/>
    <s v="C-1015"/>
    <s v="FI-991"/>
    <s v="M-1110"/>
  </r>
  <r>
    <x v="1329"/>
    <n v="990"/>
    <x v="0"/>
    <x v="3"/>
    <n v="9"/>
    <x v="67"/>
    <x v="24"/>
    <x v="1"/>
    <x v="9"/>
    <s v="Comuna"/>
    <s v="Cantidad de Parques Urbanos por Comuna"/>
    <s v="Año 2020"/>
    <s v="Número de Parques Urbanos"/>
    <s v="Sistema Nacional de Información Municipal"/>
    <x v="1329"/>
    <s v="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
    <s v="Mapa de calor"/>
    <s v="Región de La Araucanía regional comuna establecimientos salud farmacias turno urgencias salud"/>
    <x v="1313"/>
    <s v="100-C-9"/>
    <s v="#1774B9"/>
    <s v="990-1330"/>
    <n v="99200009"/>
    <s v="T-1053"/>
    <s v="C-1015"/>
    <s v="FI-991"/>
    <s v="M-1110"/>
  </r>
  <r>
    <x v="1330"/>
    <n v="990"/>
    <x v="0"/>
    <x v="3"/>
    <n v="10"/>
    <x v="67"/>
    <x v="24"/>
    <x v="1"/>
    <x v="10"/>
    <s v="Comuna"/>
    <s v="Cantidad de Parques Urbanos por Comuna"/>
    <s v="Año 2020"/>
    <s v="Número de Parques Urbanos"/>
    <s v="Sistema Nacional de Información Municipal"/>
    <x v="1330"/>
    <s v="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
    <s v="Mapa de calor"/>
    <s v="Región de Los Lagos regional comuna establecimientos salud farmacias turno urgencias salud"/>
    <x v="1314"/>
    <s v="100-C-10"/>
    <s v="#1774B9"/>
    <s v="990-1331"/>
    <n v="99200010"/>
    <s v="T-1053"/>
    <s v="C-1015"/>
    <s v="FI-991"/>
    <s v="M-1110"/>
  </r>
  <r>
    <x v="1331"/>
    <n v="990"/>
    <x v="0"/>
    <x v="3"/>
    <n v="11"/>
    <x v="67"/>
    <x v="24"/>
    <x v="1"/>
    <x v="11"/>
    <s v="Comuna"/>
    <s v="Cantidad de Parques Urbanos por Comuna"/>
    <s v="Año 2020"/>
    <s v="Número de Parques Urbanos"/>
    <s v="Sistema Nacional de Información Municipal"/>
    <x v="1331"/>
    <s v="Los parques urbanos en la región de Aysén, el año 2020, se encuentran principalmente en las comunas de Aisén y Lago Verde, con 25 y 4 parques, respectivamente. En el otro extremo se encuentran Cisnes, Coihaique, Río Ibáñez y Tortel (0 parques cada una)."/>
    <s v="Mapa de calor"/>
    <s v="Región de Aysén regional comuna establecimientos salud farmacias turno urgencias salud"/>
    <x v="1315"/>
    <s v="100-C-11"/>
    <s v="#1774B9"/>
    <s v="990-1332"/>
    <n v="99200011"/>
    <s v="T-1053"/>
    <s v="C-1015"/>
    <s v="FI-991"/>
    <s v="M-1110"/>
  </r>
  <r>
    <x v="1332"/>
    <n v="990"/>
    <x v="0"/>
    <x v="3"/>
    <n v="12"/>
    <x v="67"/>
    <x v="24"/>
    <x v="1"/>
    <x v="12"/>
    <s v="Comuna"/>
    <s v="Cantidad de Parques Urbanos por Comuna"/>
    <s v="Año 2020"/>
    <s v="Número de Parques Urbanos"/>
    <s v="Sistema Nacional de Información Municipal"/>
    <x v="1332"/>
    <s v="Los parques urbanos en la región de Magallanes, el año 2020, se encuentran principalmente en las comunas de Punta Arenas, con 5 y  parques, respectivamente. En el otro extremo se encuentran Torres del Paine, Río Verde, San Gregorio, Porvenir y Timaukel (0 parques cada una)."/>
    <s v="Mapa de calor"/>
    <s v="Región de Magallanes regional comuna establecimientos salud farmacias turno urgencias salud"/>
    <x v="1316"/>
    <s v="100-C-12"/>
    <s v="#1774B9"/>
    <s v="990-1333"/>
    <n v="99200012"/>
    <s v="T-1053"/>
    <s v="C-1015"/>
    <s v="FI-991"/>
    <s v="M-1110"/>
  </r>
  <r>
    <x v="1333"/>
    <n v="990"/>
    <x v="0"/>
    <x v="3"/>
    <n v="13"/>
    <x v="67"/>
    <x v="24"/>
    <x v="1"/>
    <x v="13"/>
    <s v="Comuna"/>
    <s v="Cantidad de Parques Urbanos por Comuna"/>
    <s v="Año 2020"/>
    <s v="Número de Parques Urbanos"/>
    <s v="Sistema Nacional de Información Municipal"/>
    <x v="1333"/>
    <s v="Los parques urbanos en la región Metropolitana, el año 2020, se encuentran principalmente en las comunas de Ñuñoa y Colina, con 20 y 14 parques, respectivamente. En el otro extremo se encuentran San José de Maipo, Pirque, Calera de Tango, Isla Maipo y El Monte (0 parques cada una)."/>
    <s v="Mapa de calor"/>
    <s v="Región Metropolitana regional comuna establecimientos salud farmacias turno urgencias salud"/>
    <x v="1317"/>
    <s v="200-C-13"/>
    <s v="#1774B9"/>
    <s v="990-1334"/>
    <n v="99200013"/>
    <s v="T-1053"/>
    <s v="C-1015"/>
    <s v="FI-991"/>
    <s v="M-1110"/>
  </r>
  <r>
    <x v="1334"/>
    <n v="990"/>
    <x v="0"/>
    <x v="3"/>
    <n v="14"/>
    <x v="67"/>
    <x v="24"/>
    <x v="1"/>
    <x v="14"/>
    <s v="Comuna"/>
    <s v="Cantidad de Parques Urbanos por Comuna"/>
    <s v="Año 2020"/>
    <s v="Número de Parques Urbanos"/>
    <s v="Sistema Nacional de Información Municipal"/>
    <x v="1334"/>
    <s v="Los parques urbanos en la región de Los Ríos, el año 2020, se encuentran principalmente en la comuna de Valdivia, con 5 parques. En el otro extremo se encuentran Futrono, Paillaco y Río Bueno (0 parques cada una)."/>
    <s v="Mapa de calor"/>
    <s v="Región de Los Ríos regional comuna establecimientos salud farmacias turno urgencias salud"/>
    <x v="1318"/>
    <s v="100-C-14"/>
    <s v="#1774B9"/>
    <s v="990-1335"/>
    <n v="99200014"/>
    <s v="T-1053"/>
    <s v="C-1015"/>
    <s v="FI-991"/>
    <s v="M-1110"/>
  </r>
  <r>
    <x v="1335"/>
    <n v="990"/>
    <x v="0"/>
    <x v="3"/>
    <n v="15"/>
    <x v="67"/>
    <x v="24"/>
    <x v="1"/>
    <x v="15"/>
    <s v="Comuna"/>
    <s v="Cantidad de Parques Urbanos por Comuna"/>
    <s v="Año 2020"/>
    <s v="Número de Parques Urbanos"/>
    <s v="Sistema Nacional de Información Municipal"/>
    <x v="1335"/>
    <s v="Los parques urbanos en la región de Arica y Parinacota, el año 2020, se encuentran principalmente en la comuna de Arica, con 19 parques. En el otro extremo se encuentran General Lagos, Putre y Camarones (0 parques cada una)."/>
    <s v="Mapa de calor"/>
    <s v="Región de Arica y Parinacota regional comuna establecimientos salud farmacias turno urgencias salud"/>
    <x v="1319"/>
    <s v="100-C-15"/>
    <s v="#1774B9"/>
    <s v="990-1336"/>
    <n v="99200015"/>
    <s v="T-1053"/>
    <s v="C-1015"/>
    <s v="FI-991"/>
    <s v="M-1110"/>
  </r>
  <r>
    <x v="1336"/>
    <n v="990"/>
    <x v="0"/>
    <x v="3"/>
    <n v="16"/>
    <x v="67"/>
    <x v="24"/>
    <x v="1"/>
    <x v="16"/>
    <s v="Comuna"/>
    <s v="Cantidad de Parques Urbanos por Comuna"/>
    <s v="Año 2020"/>
    <s v="Número de Parques Urbanos"/>
    <s v="Sistema Nacional de Información Municipal"/>
    <x v="1336"/>
    <s v="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
    <s v="Mapa de calor"/>
    <s v="Región de Ñuble regional comuna establecimientos salud farmacias turno urgencias salud"/>
    <x v="1320"/>
    <s v="100-C-16"/>
    <s v="#1774B9"/>
    <s v="990-1337"/>
    <n v="99200016"/>
    <s v="T-1053"/>
    <s v="C-1015"/>
    <s v="FI-991"/>
    <s v="M-1110"/>
  </r>
  <r>
    <x v="1337"/>
    <n v="990"/>
    <x v="0"/>
    <x v="3"/>
    <n v="0"/>
    <x v="68"/>
    <x v="24"/>
    <x v="0"/>
    <x v="0"/>
    <s v="Región-Comuna"/>
    <s v="Cantidad de Plazas Públicas por Comuna"/>
    <s v="Año 2020"/>
    <s v="Número de Plazas Públicas"/>
    <s v="Sistema Nacional de Información Municipal"/>
    <x v="1337"/>
    <s v="Las plazas públicas en Chile, el año 2020, se encuentran principalmente en las comunas de de Puente Alto y Maipú, con 1.714 y 1.652 plazas, respectivamente. En el otro extremo se encuentran Río Verde, Porvenir y Camarones (0 plazas)."/>
    <s v="Mapa de calor"/>
    <s v="Chile nacional región comuna plazas públicas gestión municipal territorial gobierno regional municipal municipalidad"/>
    <x v="1321"/>
    <s v="300-C"/>
    <s v="#1774B9"/>
    <s v="990-1338"/>
    <n v="99100000"/>
    <s v="T-1054"/>
    <s v="C-1015"/>
    <s v="FI-995"/>
    <s v="M-1111"/>
  </r>
  <r>
    <x v="1338"/>
    <n v="990"/>
    <x v="0"/>
    <x v="3"/>
    <n v="1"/>
    <x v="68"/>
    <x v="24"/>
    <x v="1"/>
    <x v="1"/>
    <s v="Comuna"/>
    <s v="Cantidad de Plazas Públicas por Comuna"/>
    <s v="Año 2020"/>
    <s v="Número de Plazas Públicas"/>
    <s v="Sistema Nacional de Información Municipal"/>
    <x v="1338"/>
    <s v="Las plazas públicas en la región de Tarapacá, el año 2020, se encuentran principalmente en las comunas de Iquique y Alto Hospicio, con 133 y 67 plazas, respectivamente. En el otro extremo se encuentran Pica (9 plazas) y Huara (1 plaza)."/>
    <s v="Mapa de calor"/>
    <s v="Región de Tarapacá regional comuna plazas públicas gestión municipal territorial gobierno regional municipal municipalidad"/>
    <x v="1322"/>
    <s v="100-C-1"/>
    <s v="#1774B9"/>
    <s v="990-1339"/>
    <n v="99200001"/>
    <s v="T-1054"/>
    <s v="C-1015"/>
    <s v="FI-991"/>
    <s v="M-1111"/>
  </r>
  <r>
    <x v="1339"/>
    <n v="990"/>
    <x v="0"/>
    <x v="3"/>
    <n v="2"/>
    <x v="68"/>
    <x v="24"/>
    <x v="1"/>
    <x v="2"/>
    <s v="Comuna"/>
    <s v="Cantidad de Plazas Públicas por Comuna"/>
    <s v="Año 2020"/>
    <s v="Número de Plazas Públicas"/>
    <s v="Sistema Nacional de Información Municipal"/>
    <x v="1339"/>
    <s v="Las plazas públicas en la región de Antofagasta, el año 2020, se encuentran principalmente en las comunas de Antofagasta y Calama, con 151 y 98 plazas, respectivamente. En el otro extremo se encuentran Taltal (8 plazas) y Ollagüe (2 plazas)."/>
    <s v="Mapa de calor"/>
    <s v="Región de Antofagasta regional comuna plazas públicas gestión municipal territorial gobierno regional municipal municipalidad"/>
    <x v="1323"/>
    <s v="100-C-2"/>
    <s v="#1774B9"/>
    <s v="990-1340"/>
    <n v="99200002"/>
    <s v="T-1054"/>
    <s v="C-1015"/>
    <s v="FI-991"/>
    <s v="M-1111"/>
  </r>
  <r>
    <x v="1340"/>
    <n v="990"/>
    <x v="0"/>
    <x v="3"/>
    <n v="3"/>
    <x v="68"/>
    <x v="24"/>
    <x v="1"/>
    <x v="3"/>
    <s v="Comuna"/>
    <s v="Cantidad de Plazas Públicas por Comuna"/>
    <s v="Año 2020"/>
    <s v="Número de Plazas Públicas"/>
    <s v="Sistema Nacional de Información Municipal"/>
    <x v="1340"/>
    <s v="Las plazas públicas en la región de Atacama, el año 2020, se encuentran principalmente en las comunas de Copiapó y Vallenar, con 152 y 127 plazas, respectivamente. En el otro extremo se encuentran Diego de Almagro (5 plazas) y Tierra Amarilla (2 plazas)."/>
    <s v="Mapa de calor"/>
    <s v="Región de Atacama regional comuna plazas públicas gestión municipal territorial gobierno regional municipal municipalidad"/>
    <x v="1324"/>
    <s v="100-C-3"/>
    <s v="#1774B9"/>
    <s v="990-1341"/>
    <n v="99200003"/>
    <s v="T-1054"/>
    <s v="C-1015"/>
    <s v="FI-991"/>
    <s v="M-1111"/>
  </r>
  <r>
    <x v="1341"/>
    <n v="990"/>
    <x v="0"/>
    <x v="3"/>
    <n v="4"/>
    <x v="68"/>
    <x v="24"/>
    <x v="1"/>
    <x v="4"/>
    <s v="Comuna"/>
    <s v="Cantidad de Plazas Públicas por Comuna"/>
    <s v="Año 2020"/>
    <s v="Número de Plazas Públicas"/>
    <s v="Sistema Nacional de Información Municipal"/>
    <x v="1341"/>
    <s v="Las plazas públicas en la región de Coquimbo, el año 2020, se encuentran principalmente en las comunas de Coquimbo y La Serena, con 945 y 917 plazas, respectivamente. En el otro extremo se encuentran Salamanca, La Higuera, Río Hurtado  (12 plazas) e Illapel (7 plazas)."/>
    <s v="Mapa de calor"/>
    <s v="Región de Coquimbo regional comuna plazas públicas gestión municipal territorial gobierno regional municipal municipalidad"/>
    <x v="1325"/>
    <s v="100-C-4"/>
    <s v="#1774B9"/>
    <s v="990-1342"/>
    <n v="99200004"/>
    <s v="T-1054"/>
    <s v="C-1015"/>
    <s v="FI-991"/>
    <s v="M-1111"/>
  </r>
  <r>
    <x v="1342"/>
    <n v="990"/>
    <x v="0"/>
    <x v="3"/>
    <n v="5"/>
    <x v="68"/>
    <x v="24"/>
    <x v="1"/>
    <x v="5"/>
    <s v="Comuna"/>
    <s v="Cantidad de Plazas Públicas por Comuna"/>
    <s v="Año 2020"/>
    <s v="Número de Plazas Públicas"/>
    <s v="Sistema Nacional de Información Municipal"/>
    <x v="1342"/>
    <s v="Las plazas públicas en la región de Valparaíso, el año 2020, se encuentran principalmente en las comunas de Quilpué y Limache, con 351 y 311 plazas, respectivamente. En el otro extremo se encuentran Putaendo (2 plazas) y Santa María (1 plaza)."/>
    <s v="Mapa de calor"/>
    <s v="Región de Valparaíso regional comuna plazas públicas gestión municipal territorial gobierno regional municipal municipalidad"/>
    <x v="1326"/>
    <s v="100-C-5"/>
    <s v="#1774B9"/>
    <s v="990-1343"/>
    <n v="99200005"/>
    <s v="T-1054"/>
    <s v="C-1015"/>
    <s v="FI-991"/>
    <s v="M-1111"/>
  </r>
  <r>
    <x v="1343"/>
    <n v="990"/>
    <x v="0"/>
    <x v="3"/>
    <n v="6"/>
    <x v="68"/>
    <x v="24"/>
    <x v="1"/>
    <x v="6"/>
    <s v="Comuna"/>
    <s v="Cantidad de Plazas Públicas por Comuna"/>
    <s v="Año 2020"/>
    <s v="Número de Plazas Públicas"/>
    <s v="Sistema Nacional de Información Municipal"/>
    <x v="1343"/>
    <s v="Las plazas públicas en la región de O'Higgins, el año 2020, se encuentran principalmente en las comunas de Rancagua y Machalí, con 1.023 y 376 plazas, respectivamente. En el otro extremo se encuentran Pumanque (7 plazas) y Litueche (4 plazas)."/>
    <s v="Mapa de calor"/>
    <s v="Región de O'Higgins regional comuna plazas públicas gestión municipal territorial gobierno regional municipal municipalidad"/>
    <x v="1327"/>
    <s v="100-C-6"/>
    <s v="#1774B9"/>
    <s v="990-1344"/>
    <n v="99200006"/>
    <s v="T-1054"/>
    <s v="C-1015"/>
    <s v="FI-991"/>
    <s v="M-1111"/>
  </r>
  <r>
    <x v="1344"/>
    <n v="990"/>
    <x v="0"/>
    <x v="3"/>
    <n v="7"/>
    <x v="68"/>
    <x v="24"/>
    <x v="1"/>
    <x v="7"/>
    <s v="Comuna"/>
    <s v="Cantidad de Plazas Públicas por Comuna"/>
    <s v="Año 2020"/>
    <s v="Número de Plazas Públicas"/>
    <s v="Sistema Nacional de Información Municipal"/>
    <x v="1344"/>
    <s v="Las plazas públicas en la región de Maule, el año 2020, se encuentran principalmente en las comunas de Talca y Curicó, con 998 y 685 plazas, respectivamente. En el otro extremo se encuentran Villa Alegre, San Rafael (1 plazas) y Colbún (2 plazas)."/>
    <s v="Mapa de calor"/>
    <s v="Región de Maule regional comuna plazas públicas gestión municipal territorial gobierno regional municipal municipalidad"/>
    <x v="1328"/>
    <s v="100-C-7"/>
    <s v="#1774B9"/>
    <s v="990-1345"/>
    <n v="99200007"/>
    <s v="T-1054"/>
    <s v="C-1015"/>
    <s v="FI-991"/>
    <s v="M-1111"/>
  </r>
  <r>
    <x v="1345"/>
    <n v="990"/>
    <x v="0"/>
    <x v="3"/>
    <n v="8"/>
    <x v="68"/>
    <x v="24"/>
    <x v="1"/>
    <x v="8"/>
    <s v="Comuna"/>
    <s v="Cantidad de Plazas Públicas por Comuna"/>
    <s v="Año 2020"/>
    <s v="Número de Plazas Públicas"/>
    <s v="Sistema Nacional de Información Municipal"/>
    <x v="1345"/>
    <s v="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
    <s v="Mapa de calor"/>
    <s v="Región del Biobío regional comuna plazas públicas gestión municipal territorial gobierno regional municipal municipalidad"/>
    <x v="1329"/>
    <s v="100-C-8"/>
    <s v="#1774B9"/>
    <s v="990-1346"/>
    <n v="99200008"/>
    <s v="T-1054"/>
    <s v="C-1015"/>
    <s v="FI-991"/>
    <s v="M-1111"/>
  </r>
  <r>
    <x v="1346"/>
    <n v="990"/>
    <x v="0"/>
    <x v="3"/>
    <n v="9"/>
    <x v="68"/>
    <x v="24"/>
    <x v="1"/>
    <x v="9"/>
    <s v="Comuna"/>
    <s v="Cantidad de Plazas Públicas por Comuna"/>
    <s v="Año 2020"/>
    <s v="Número de Plazas Públicas"/>
    <s v="Sistema Nacional de Información Municipal"/>
    <x v="1346"/>
    <s v="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
    <s v="Mapa de calor"/>
    <s v="Región de La Araucanía regional comuna plazas públicas gestión municipal territorial gobierno regional municipal municipalidad"/>
    <x v="1330"/>
    <s v="100-C-9"/>
    <s v="#1774B9"/>
    <s v="990-1347"/>
    <n v="99200009"/>
    <s v="T-1054"/>
    <s v="C-1015"/>
    <s v="FI-991"/>
    <s v="M-1111"/>
  </r>
  <r>
    <x v="1347"/>
    <n v="990"/>
    <x v="0"/>
    <x v="3"/>
    <n v="10"/>
    <x v="68"/>
    <x v="24"/>
    <x v="1"/>
    <x v="10"/>
    <s v="Comuna"/>
    <s v="Cantidad de Plazas Públicas por Comuna"/>
    <s v="Año 2020"/>
    <s v="Número de Plazas Públicas"/>
    <s v="Sistema Nacional de Información Municipal"/>
    <x v="1347"/>
    <s v="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
    <s v="Mapa de calor"/>
    <s v="Región de Los Lagos regional comuna plazas públicas gestión municipal territorial gobierno regional municipal municipalidad"/>
    <x v="1331"/>
    <s v="100-C-10"/>
    <s v="#1774B9"/>
    <s v="990-1348"/>
    <n v="99200010"/>
    <s v="T-1054"/>
    <s v="C-1015"/>
    <s v="FI-991"/>
    <s v="M-1111"/>
  </r>
  <r>
    <x v="1348"/>
    <n v="990"/>
    <x v="0"/>
    <x v="3"/>
    <n v="11"/>
    <x v="68"/>
    <x v="24"/>
    <x v="1"/>
    <x v="11"/>
    <s v="Comuna"/>
    <s v="Cantidad de Plazas Públicas por Comuna"/>
    <s v="Año 2020"/>
    <s v="Número de Plazas Públicas"/>
    <s v="Sistema Nacional de Información Municipal"/>
    <x v="1348"/>
    <s v="Las plazas públicas en la región de Aysén, el año 2020, se encuentran principalmente en las comunas de Coihaique y Chile Chico, con 335 y 27 plazas, respectivamente. En el otro extremo se encuentran Aisén (5 plazas) y Lago Verde (3 plazas)."/>
    <s v="Mapa de calor"/>
    <s v="Región de Aysén regional comuna plazas públicas gestión municipal territorial gobierno regional municipal municipalidad"/>
    <x v="1332"/>
    <s v="100-C-11"/>
    <s v="#1774B9"/>
    <s v="990-1349"/>
    <n v="99200011"/>
    <s v="T-1054"/>
    <s v="C-1015"/>
    <s v="FI-991"/>
    <s v="M-1111"/>
  </r>
  <r>
    <x v="1349"/>
    <n v="990"/>
    <x v="0"/>
    <x v="3"/>
    <n v="12"/>
    <x v="68"/>
    <x v="24"/>
    <x v="1"/>
    <x v="12"/>
    <s v="Comuna"/>
    <s v="Cantidad de Plazas Públicas por Comuna"/>
    <s v="Año 2020"/>
    <s v="Número de Plazas Públicas"/>
    <s v="Sistema Nacional de Información Municipal"/>
    <x v="1349"/>
    <s v="Las plazas públicas en la región de Magallanes, el año 2020, se encuentran principalmente en las comunas de Punta Arenas y Natales, con 61 y 52 plazas, respectivamente. En el otro extremo se encuentran Timaukel (1 plaza) y Río Verde, Porvenir (0 plazas)."/>
    <s v="Mapa de calor"/>
    <s v="Región de Magallanes regional comuna plazas públicas gestión municipal territorial gobierno regional municipal municipalidad"/>
    <x v="1333"/>
    <s v="100-C-12"/>
    <s v="#1774B9"/>
    <s v="990-1350"/>
    <n v="99200012"/>
    <s v="T-1054"/>
    <s v="C-1015"/>
    <s v="FI-991"/>
    <s v="M-1111"/>
  </r>
  <r>
    <x v="1350"/>
    <n v="990"/>
    <x v="0"/>
    <x v="3"/>
    <n v="13"/>
    <x v="68"/>
    <x v="24"/>
    <x v="1"/>
    <x v="13"/>
    <s v="Comuna"/>
    <s v="Cantidad de Plazas Públicas por Comuna"/>
    <s v="Año 2020"/>
    <s v="Número de Plazas Públicas"/>
    <s v="Sistema Nacional de Información Municipal"/>
    <x v="1350"/>
    <s v="Las plazas públicas en la región Metropolitana, el año 2020, se encuentran principalmente en las comunas de Puente Alto y Maipú, con 1.714 y 1.652 plazas, respectivamente. En el otro extremo se encuentran Calera de Tango, Pirque (4 plazas) y El Monte (2 plazas)."/>
    <s v="Mapa de calor"/>
    <s v="Región Metropolitana regional comuna plazas públicas gestión municipal territorial gobierno regional municipal municipalidad"/>
    <x v="1334"/>
    <s v="200-C-13"/>
    <s v="#1774B9"/>
    <s v="990-1351"/>
    <n v="99200013"/>
    <s v="T-1054"/>
    <s v="C-1015"/>
    <s v="FI-991"/>
    <s v="M-1111"/>
  </r>
  <r>
    <x v="1351"/>
    <n v="990"/>
    <x v="0"/>
    <x v="3"/>
    <n v="14"/>
    <x v="68"/>
    <x v="24"/>
    <x v="1"/>
    <x v="14"/>
    <s v="Comuna"/>
    <s v="Cantidad de Plazas Públicas por Comuna"/>
    <s v="Año 2020"/>
    <s v="Número de Plazas Públicas"/>
    <s v="Sistema Nacional de Información Municipal"/>
    <x v="1351"/>
    <s v="Las plazas públicas en la región de Los Ríos, el año 2020, se encuentran principalmente en las comunas de La Unión y Panguipulli, con 137 y 47 plazas, respectivamente. En el otro extremo se encuentran Máfil, Los Lagos, Corral y Río Bueno (2 plazas)."/>
    <s v="Mapa de calor"/>
    <s v="Región de Los Ríos regional comuna plazas públicas gestión municipal territorial gobierno regional municipal municipalidad"/>
    <x v="1335"/>
    <s v="100-C-14"/>
    <s v="#1774B9"/>
    <s v="990-1352"/>
    <n v="99200014"/>
    <s v="T-1054"/>
    <s v="C-1015"/>
    <s v="FI-991"/>
    <s v="M-1111"/>
  </r>
  <r>
    <x v="1352"/>
    <n v="990"/>
    <x v="0"/>
    <x v="3"/>
    <n v="15"/>
    <x v="68"/>
    <x v="24"/>
    <x v="1"/>
    <x v="15"/>
    <s v="Comuna"/>
    <s v="Cantidad de Plazas Públicas por Comuna"/>
    <s v="Año 2020"/>
    <s v="Número de Plazas Públicas"/>
    <s v="Sistema Nacional de Información Municipal"/>
    <x v="1352"/>
    <s v="Las plazas públicas en la región de Arica y Parinacota, el año 2020, se encuentran principalmente en las comunas de Arica, con 177 plazas. En el otro extremo se encuentran Putre (1 plaza) y Camarones (0 plazas)."/>
    <s v="Mapa de calor"/>
    <s v="Región de Arica y Parinacota regional comuna plazas públicas gestión municipal territorial gobierno regional municipal municipalidad"/>
    <x v="1336"/>
    <s v="100-C-15"/>
    <s v="#1774B9"/>
    <s v="990-1353"/>
    <n v="99200015"/>
    <s v="T-1054"/>
    <s v="C-1015"/>
    <s v="FI-991"/>
    <s v="M-1111"/>
  </r>
  <r>
    <x v="1353"/>
    <n v="990"/>
    <x v="0"/>
    <x v="3"/>
    <n v="16"/>
    <x v="68"/>
    <x v="24"/>
    <x v="1"/>
    <x v="16"/>
    <s v="Comuna"/>
    <s v="Cantidad de Plazas Públicas por Comuna"/>
    <s v="Año 2020"/>
    <s v="Número de Plazas Públicas"/>
    <s v="Sistema Nacional de Información Municipal"/>
    <x v="1353"/>
    <s v="Las plazas públicas en la región de Ñuble, el año 2020, se encuentran principalmente en las comunas de Chillán y San Carlos, con 492 y 56 plazas, respectivamente. En el otro extremo se encuentran Yungay (2 plazas) y Quirihue, San Nicolás, Portezuelo, Treguaco y Peumo (1 plaza)."/>
    <s v="Mapa de calor"/>
    <s v="Región de Ñuble regional comuna plazas públicas gestión municipal territorial gobierno regional municipal municipalidad"/>
    <x v="1337"/>
    <s v="100-C-16"/>
    <s v="#1774B9"/>
    <s v="990-1354"/>
    <n v="99200016"/>
    <s v="T-1054"/>
    <s v="C-1015"/>
    <s v="FI-991"/>
    <s v="M-1111"/>
  </r>
  <r>
    <x v="1354"/>
    <n v="990"/>
    <x v="0"/>
    <x v="3"/>
    <n v="0"/>
    <x v="69"/>
    <x v="24"/>
    <x v="0"/>
    <x v="0"/>
    <s v="Región"/>
    <s v="Superficie (m2)"/>
    <s v="Periodo 2001-2020"/>
    <s v="m2"/>
    <s v="Sistema Nacional de Información Municipal"/>
    <x v="1354"/>
    <s v="En Chile, durante el periodo 2001-2020, las comunas de Illapel y Lago Verde destacan por tener mayor superficie de áreas verdes mantenidas por habitante. El máximo lo alcanzó Illapel el año 2010 con 210,72 m2/hab, seguido de Lago Verde el año 2015 con 180,72 m2/hab."/>
    <s v="Gráfico de Evolución"/>
    <s v="regional comuna áreas verdes mantenidas superficie m2 habitante gestión municipal territorial gobierno regional municipal municipalidad Chile"/>
    <x v="1338"/>
    <s v="300-C"/>
    <s v="#1774B9"/>
    <s v="990-1355"/>
    <n v="99100000"/>
    <s v="T-1059"/>
    <s v="C-1015"/>
    <s v="FI-992"/>
    <s v="M-1112"/>
  </r>
  <r>
    <x v="1355"/>
    <n v="990"/>
    <x v="0"/>
    <x v="3"/>
    <n v="1"/>
    <x v="69"/>
    <x v="24"/>
    <x v="1"/>
    <x v="1"/>
    <s v="Ninguno"/>
    <s v="Superficie (m2)"/>
    <s v="Periodo 2001-2020"/>
    <s v="m2"/>
    <s v="Sistema Nacional de Información Municipal"/>
    <x v="1355"/>
    <s v="En la región de Tarapacá, durante el periodo 2001-2020, las comunas de Huara y Pica destacan por tener mayor superficie de áreas verdes mantenidas por habitante. El máximo lo alcanzó Huara el año 2003 con 14,98 m2/hab, seguido de Pica el año 2020 con 12,77 m2/hab."/>
    <s v="Gráfico de Evolución"/>
    <s v="regional comuna áreas verdes mantenidas superficie m2 habitante gestión municipal territorial gobierno regional municipal municipalidad Región de Tarapacá"/>
    <x v="1339"/>
    <s v="100-C-1"/>
    <s v="#1774B9"/>
    <s v="990-1356"/>
    <n v="99200001"/>
    <s v="T-1059"/>
    <s v="C-1015"/>
    <s v="FI-993"/>
    <s v="M-1112"/>
  </r>
  <r>
    <x v="1356"/>
    <n v="990"/>
    <x v="0"/>
    <x v="3"/>
    <n v="2"/>
    <x v="69"/>
    <x v="24"/>
    <x v="1"/>
    <x v="2"/>
    <s v="Ninguno"/>
    <s v="Superficie (m2)"/>
    <s v="Periodo 2001-2020"/>
    <s v="m2"/>
    <s v="Sistema Nacional de Información Municipal"/>
    <x v="1356"/>
    <s v="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
    <s v="Gráfico de Evolución"/>
    <s v="regional comuna áreas verdes mantenidas superficie m2 habitante gestión municipal territorial gobierno regional municipal municipalidad Región de Antofagasta"/>
    <x v="1340"/>
    <s v="100-C-2"/>
    <s v="#1774B9"/>
    <s v="990-1357"/>
    <n v="99200002"/>
    <s v="T-1059"/>
    <s v="C-1015"/>
    <s v="FI-993"/>
    <s v="M-1112"/>
  </r>
  <r>
    <x v="1357"/>
    <n v="990"/>
    <x v="0"/>
    <x v="3"/>
    <n v="3"/>
    <x v="69"/>
    <x v="24"/>
    <x v="1"/>
    <x v="3"/>
    <s v="Ninguno"/>
    <s v="Superficie (m2)"/>
    <s v="Periodo 2001-2020"/>
    <s v="m2"/>
    <s v="Sistema Nacional de Información Municipal"/>
    <x v="1357"/>
    <s v="En la región de Atacama, durante el periodo 2001-2020, las comunas de Chañaral y Caldera destacan por tener mayor superficie de áreas verdes mantenidas por habitante. El máximo lo alcanzó Chañaral el año 2019 con 30,65 m2/hab, seguido de Caldera el año 2017 con 10,66 m2/hab."/>
    <s v="Gráfico de Evolución"/>
    <s v="regional comuna áreas verdes mantenidas superficie m2 habitante gestión municipal territorial gobierno regional municipal municipalidad Región de Atacama"/>
    <x v="1341"/>
    <s v="100-C-3"/>
    <s v="#1774B9"/>
    <s v="990-1358"/>
    <n v="99200003"/>
    <s v="T-1059"/>
    <s v="C-1015"/>
    <s v="FI-993"/>
    <s v="M-1112"/>
  </r>
  <r>
    <x v="1358"/>
    <n v="990"/>
    <x v="0"/>
    <x v="3"/>
    <n v="4"/>
    <x v="69"/>
    <x v="24"/>
    <x v="1"/>
    <x v="4"/>
    <s v="Ninguno"/>
    <s v="Superficie (m2)"/>
    <s v="Periodo 2001-2020"/>
    <s v="m2"/>
    <s v="Sistema Nacional de Información Municipal"/>
    <x v="1358"/>
    <s v="En la región de Coquimbo, durante el periodo 2001-2020, las comunas de Illapel y Paiguano destacan por tener mayor superficie de áreas verdes mantenidas por habitante. El máximo lo alcanzó Illapel el año 2010 con 210,72 m2/hab, seguido de Paiguano el año 2008 con 17,57 m2/hab."/>
    <s v="Gráfico de Evolución"/>
    <s v="regional comuna áreas verdes mantenidas superficie m2 habitante gestión municipal territorial gobierno regional municipal municipalidad Región de Coquimbo"/>
    <x v="1342"/>
    <s v="100-C-4"/>
    <s v="#1774B9"/>
    <s v="990-1359"/>
    <n v="99200004"/>
    <s v="T-1059"/>
    <s v="C-1015"/>
    <s v="FI-993"/>
    <s v="M-1112"/>
  </r>
  <r>
    <x v="1359"/>
    <n v="990"/>
    <x v="0"/>
    <x v="3"/>
    <n v="5"/>
    <x v="69"/>
    <x v="24"/>
    <x v="1"/>
    <x v="5"/>
    <s v="Ninguno"/>
    <s v="Superficie (m2)"/>
    <s v="Periodo 2001-2020"/>
    <s v="m2"/>
    <s v="Sistema Nacional de Información Municipal"/>
    <x v="1359"/>
    <s v="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
    <s v="Gráfico de Evolución"/>
    <s v="regional comuna áreas verdes mantenidas superficie m2 habitante gestión municipal territorial gobierno regional municipal municipalidad Región de Valparaíso"/>
    <x v="1343"/>
    <s v="100-C-5"/>
    <s v="#1774B9"/>
    <s v="990-1360"/>
    <n v="99200005"/>
    <s v="T-1059"/>
    <s v="C-1015"/>
    <s v="FI-993"/>
    <s v="M-1112"/>
  </r>
  <r>
    <x v="1360"/>
    <n v="990"/>
    <x v="0"/>
    <x v="3"/>
    <n v="6"/>
    <x v="69"/>
    <x v="24"/>
    <x v="1"/>
    <x v="6"/>
    <s v="Ninguno"/>
    <s v="Superficie (m2)"/>
    <s v="Periodo 2001-2020"/>
    <s v="m2"/>
    <s v="Sistema Nacional de Información Municipal"/>
    <x v="1360"/>
    <s v="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
    <s v="Gráfico de Evolución"/>
    <s v="regional comuna áreas verdes mantenidas superficie m2 habitante gestión municipal territorial gobierno regional municipal municipalidad Región de O'Higgins"/>
    <x v="1344"/>
    <s v="100-C-6"/>
    <s v="#1774B9"/>
    <s v="990-1361"/>
    <n v="99200006"/>
    <s v="T-1059"/>
    <s v="C-1015"/>
    <s v="FI-993"/>
    <s v="M-1112"/>
  </r>
  <r>
    <x v="1361"/>
    <n v="990"/>
    <x v="0"/>
    <x v="3"/>
    <n v="7"/>
    <x v="69"/>
    <x v="24"/>
    <x v="1"/>
    <x v="7"/>
    <s v="Ninguno"/>
    <s v="Superficie (m2)"/>
    <s v="Periodo 2001-2020"/>
    <s v="m2"/>
    <s v="Sistema Nacional de Información Municipal"/>
    <x v="1361"/>
    <s v="En la región de Maule, durante el periodo 2001-2020, las comunas de Parral y Pelluhue destacan por tener mayor superficie de áreas verdes mantenidas por habitante. El máximo lo alcanzó Parral el año 2010 con 87,83 m2/hab, seguido de Pelluhue el año 2019 con 44,90 m2/hab."/>
    <s v="Gráfico de Evolución"/>
    <s v="regional comuna áreas verdes mantenidas superficie m2 habitante gestión municipal territorial gobierno regional municipal municipalidad Región de Maule"/>
    <x v="1345"/>
    <s v="100-C-7"/>
    <s v="#1774B9"/>
    <s v="990-1362"/>
    <n v="99200007"/>
    <s v="T-1059"/>
    <s v="C-1015"/>
    <s v="FI-993"/>
    <s v="M-1112"/>
  </r>
  <r>
    <x v="1362"/>
    <n v="990"/>
    <x v="0"/>
    <x v="3"/>
    <n v="8"/>
    <x v="69"/>
    <x v="24"/>
    <x v="1"/>
    <x v="8"/>
    <s v="Ninguno"/>
    <s v="Superficie (m2)"/>
    <s v="Periodo 2001-2020"/>
    <s v="m2"/>
    <s v="Sistema Nacional de Información Municipal"/>
    <x v="1362"/>
    <s v="En la región del Biobío, durante el periodo 2001-2020, las comunas de Negrete y Lota destacan por tener mayor superficie de áreas verdes mantenidas por habitante. El máximo lo alcanzó Negrete el año 2020 con 23,97 m2/hab, seguido de Lota el año 2007 con 18,61 m2/hab."/>
    <s v="Gráfico de Evolución"/>
    <s v="regional comuna áreas verdes mantenidas superficie m2 habitante gestión municipal territorial gobierno regional municipal municipalidad Región del Biobío"/>
    <x v="1346"/>
    <s v="100-C-8"/>
    <s v="#1774B9"/>
    <s v="990-1363"/>
    <n v="99200008"/>
    <s v="T-1059"/>
    <s v="C-1015"/>
    <s v="FI-993"/>
    <s v="M-1112"/>
  </r>
  <r>
    <x v="1363"/>
    <n v="990"/>
    <x v="0"/>
    <x v="3"/>
    <n v="9"/>
    <x v="69"/>
    <x v="24"/>
    <x v="1"/>
    <x v="9"/>
    <s v="Ninguno"/>
    <s v="Superficie (m2)"/>
    <s v="Periodo 2001-2020"/>
    <s v="m2"/>
    <s v="Sistema Nacional de Información Municipal"/>
    <x v="1363"/>
    <s v="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
    <s v="Gráfico de Evolución"/>
    <s v="regional comuna áreas verdes mantenidas superficie m2 habitante gestión municipal territorial gobierno regional municipal municipalidad Región de La Araucanía"/>
    <x v="1347"/>
    <s v="100-C-9"/>
    <s v="#1774B9"/>
    <s v="990-1364"/>
    <n v="99200009"/>
    <s v="T-1059"/>
    <s v="C-1015"/>
    <s v="FI-993"/>
    <s v="M-1112"/>
  </r>
  <r>
    <x v="1364"/>
    <n v="990"/>
    <x v="0"/>
    <x v="3"/>
    <n v="10"/>
    <x v="69"/>
    <x v="24"/>
    <x v="1"/>
    <x v="10"/>
    <s v="Ninguno"/>
    <s v="Superficie (m2)"/>
    <s v="Periodo 2001-2020"/>
    <s v="m2"/>
    <s v="Sistema Nacional de Información Municipal"/>
    <x v="1364"/>
    <s v="En la región de Los Lagos, durante el periodo 2001-2020, las comunas de Futaleufú y Palena destacan por tener mayor superficie de áreas verdes mantenidas por habitante. El máximo lo alcanzó Futaleufú el año 2020 con 85,00 m2/hab, seguido de Palena el año 2010 con 29,06 m2/hab."/>
    <s v="Gráfico de Evolución"/>
    <s v="regional comuna áreas verdes mantenidas superficie m2 habitante gestión municipal territorial gobierno regional municipal municipalidad Región de Los Lagos"/>
    <x v="1348"/>
    <s v="100-C-10"/>
    <s v="#1774B9"/>
    <s v="990-1365"/>
    <n v="99200010"/>
    <s v="T-1059"/>
    <s v="C-1015"/>
    <s v="FI-993"/>
    <s v="M-1112"/>
  </r>
  <r>
    <x v="1365"/>
    <n v="990"/>
    <x v="0"/>
    <x v="3"/>
    <n v="11"/>
    <x v="69"/>
    <x v="24"/>
    <x v="1"/>
    <x v="11"/>
    <s v="Ninguno"/>
    <s v="Superficie (m2)"/>
    <s v="Periodo 2001-2020"/>
    <s v="m2"/>
    <s v="Sistema Nacional de Información Municipal"/>
    <x v="1365"/>
    <s v="En la región de Aysén, durante el periodo 2001-2020, las comunas de Lago Verde y O'Higgins destacan por tener mayor superficie de áreas verdes mantenidas por habitante. El máximo lo alcanzó Lago Verde el año 2015 con 180,72 m2/hab, seguido de O'Higgins el año 2014 con 148,38 m2/hab."/>
    <s v="Gráfico de Evolución"/>
    <s v="regional comuna áreas verdes mantenidas superficie m2 habitante gestión municipal territorial gobierno regional municipal municipalidad Región de Aysén"/>
    <x v="1349"/>
    <s v="100-C-11"/>
    <s v="#1774B9"/>
    <s v="990-1366"/>
    <n v="99200011"/>
    <s v="T-1059"/>
    <s v="C-1015"/>
    <s v="FI-993"/>
    <s v="M-1112"/>
  </r>
  <r>
    <x v="1366"/>
    <n v="990"/>
    <x v="0"/>
    <x v="3"/>
    <n v="12"/>
    <x v="69"/>
    <x v="24"/>
    <x v="1"/>
    <x v="12"/>
    <s v="Ninguno"/>
    <s v="Superficie (m2)"/>
    <s v="Periodo 2001-2020"/>
    <s v="m2"/>
    <s v="Sistema Nacional de Información Municipal"/>
    <x v="1366"/>
    <s v="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
    <s v="Gráfico de Evolución"/>
    <s v="regional comuna áreas verdes mantenidas superficie m2 habitante gestión municipal territorial gobierno regional municipal municipalidad Región de Magallanes"/>
    <x v="1350"/>
    <s v="100-C-12"/>
    <s v="#1774B9"/>
    <s v="990-1367"/>
    <n v="99200012"/>
    <s v="T-1059"/>
    <s v="C-1015"/>
    <s v="FI-993"/>
    <s v="M-1112"/>
  </r>
  <r>
    <x v="1367"/>
    <n v="990"/>
    <x v="0"/>
    <x v="3"/>
    <n v="13"/>
    <x v="69"/>
    <x v="24"/>
    <x v="1"/>
    <x v="13"/>
    <s v="Ninguno"/>
    <s v="Superficie (m2)"/>
    <s v="Periodo 2001-2020"/>
    <s v="m2"/>
    <s v="Sistema Nacional de Información Municipal"/>
    <x v="1367"/>
    <s v="En la región Metropolitana, durante el periodo 2001-2020, las comunas de Tiltil y Pirque destacan por tener mayor superficie de áreas verdes mantenidas por habitante. El máximo lo alcanzó Tiltil el año 2010 con 118,96 m2/hab, seguido de Pirque el año 2001 con 20,69 m2/hab."/>
    <s v="Gráfico de Evolución"/>
    <s v="regional comuna áreas verdes mantenidas superficie m2 habitante gestión municipal territorial gobierno regional municipal municipalidad Región Metropolitana"/>
    <x v="1351"/>
    <s v="200-C-13"/>
    <s v="#1774B9"/>
    <s v="990-1368"/>
    <n v="99200013"/>
    <s v="T-1059"/>
    <s v="C-1015"/>
    <s v="FI-993"/>
    <s v="M-1112"/>
  </r>
  <r>
    <x v="1368"/>
    <n v="990"/>
    <x v="0"/>
    <x v="3"/>
    <n v="14"/>
    <x v="69"/>
    <x v="24"/>
    <x v="1"/>
    <x v="14"/>
    <s v="Ninguno"/>
    <s v="Superficie (m2)"/>
    <s v="Periodo 2001-2020"/>
    <s v="m2"/>
    <s v="Sistema Nacional de Información Municipal"/>
    <x v="1368"/>
    <s v="En la región de Los Ríos, durante el periodo 2001-2020, las comunas de Lago Ranco y Futrono destacan por tener mayor superficie de áreas verdes mantenidas por habitante. El máximo lo alcanzó Lago Ranco el año 2008 con 32,97 m2/hab, seguido de Futrono el año 2013 con 31,61 m2/hab."/>
    <s v="Gráfico de Evolución"/>
    <s v="regional comuna áreas verdes mantenidas superficie m2 habitante gestión municipal territorial gobierno regional municipal municipalidad Región de Los Ríos"/>
    <x v="1352"/>
    <s v="100-C-14"/>
    <s v="#1774B9"/>
    <s v="990-1369"/>
    <n v="99200014"/>
    <s v="T-1059"/>
    <s v="C-1015"/>
    <s v="FI-993"/>
    <s v="M-1112"/>
  </r>
  <r>
    <x v="1369"/>
    <n v="990"/>
    <x v="0"/>
    <x v="3"/>
    <n v="15"/>
    <x v="69"/>
    <x v="24"/>
    <x v="1"/>
    <x v="15"/>
    <s v="Ninguno"/>
    <s v="Superficie (m2)"/>
    <s v="Periodo 2001-2020"/>
    <s v="m2"/>
    <s v="Sistema Nacional de Información Municipal"/>
    <x v="1369"/>
    <s v="En la región de Arica y Parinacota, durante el periodo 2001-2020, las comunas de Putre y Arica destacan por tener mayor superficie de áreas verdes mantenidas por habitante. El máximo lo alcanzó Putre el año 2013 con 34,56 m2/hab, seguido de Arica el año 2001 con 4,06 m2/hab."/>
    <s v="Gráfico de Evolución"/>
    <s v="regional comuna áreas verdes mantenidas superficie m2 habitante gestión municipal territorial gobierno regional municipal municipalidad Región de Arica y Parinacota"/>
    <x v="1353"/>
    <s v="100-C-15"/>
    <s v="#1774B9"/>
    <s v="990-1370"/>
    <n v="99200015"/>
    <s v="T-1059"/>
    <s v="C-1015"/>
    <s v="FI-993"/>
    <s v="M-1112"/>
  </r>
  <r>
    <x v="1370"/>
    <n v="990"/>
    <x v="0"/>
    <x v="3"/>
    <n v="16"/>
    <x v="69"/>
    <x v="24"/>
    <x v="1"/>
    <x v="16"/>
    <s v="Ninguno"/>
    <s v="Superficie (m2)"/>
    <s v="Periodo 2001-2020"/>
    <s v="m2"/>
    <s v="Sistema Nacional de Información Municipal"/>
    <x v="1370"/>
    <s v="En la región de Ñuble, durante el periodo 2001-2020, las comunas de Coelemu y San Nicolás destacan por tener mayor superficie de áreas verdes mantenidas por habitante. El máximo lo alcanzó Coelemu el año 2009 con 78,45 m2/hab, seguido de San Nicolás el año 2007 con 29,93 m2/hab."/>
    <s v="Gráfico de Evolución"/>
    <s v="regional comuna áreas verdes mantenidas superficie m2 habitante gestión municipal territorial gobierno regional municipal municipalidad Región de Ñuble"/>
    <x v="1354"/>
    <s v="100-C-16"/>
    <s v="#1774B9"/>
    <s v="990-1371"/>
    <n v="99200016"/>
    <s v="T-1059"/>
    <s v="C-1015"/>
    <s v="FI-993"/>
    <s v="M-1112"/>
  </r>
  <r>
    <x v="1371"/>
    <n v="990"/>
    <x v="0"/>
    <x v="4"/>
    <n v="0"/>
    <x v="70"/>
    <x v="27"/>
    <x v="0"/>
    <x v="0"/>
    <s v="Ninguno"/>
    <s v="Población que tuvo al menos una Consulta Mentale"/>
    <s v="Periodo 2009-2017"/>
    <s v="N° de casos"/>
    <s v="Encuestas CASEN"/>
    <x v="1371"/>
    <s v="El promedio anual de la población que tuvo al menos una consulta mental es de 345.298 personas. Los años 2011, 2015 y 2017 superan esta cifra en más de 10.000 consultas, según los resultados de las encuestas CASEN."/>
    <s v="Gráfico de Evolución"/>
    <s v="Chile nacional salud mental consultas porcentaje proporción población evolución"/>
    <x v="1355"/>
    <n v="0"/>
    <s v="#1774B9"/>
    <s v="990-1372"/>
    <n v="99100000"/>
    <s v="T-1060"/>
    <s v="C-1018"/>
    <s v="FI-993"/>
    <e v="#N/A"/>
  </r>
  <r>
    <x v="1372"/>
    <n v="990"/>
    <x v="0"/>
    <x v="4"/>
    <n v="0"/>
    <x v="70"/>
    <x v="27"/>
    <x v="0"/>
    <x v="0"/>
    <s v="Ninguno"/>
    <s v="Tasa Cada 100 mil habitantes"/>
    <s v="Periodo 2009-2017"/>
    <s v="Tasa"/>
    <s v="Encuestas CASEN"/>
    <x v="1372"/>
    <s v="La Región Metropolitana presentó la tasa más alta de consultas mentales el año 2015 y 2017, alcanzando las 3.384 y 2.907 consultas (cada 100 mil habitantes) respectivamente. La Región de Ñuble presentó la tasa mas alta el año 2013 y la región de Valparaíso el año 2011."/>
    <s v="Gráfico de Evolución"/>
    <s v="Chile nacional región salud mental consultas tasa cada 100 cien mil habitantes evolución"/>
    <x v="1356"/>
    <s v="300-R"/>
    <s v="#1774B9"/>
    <s v="990-1373"/>
    <n v="99100000"/>
    <s v="T-1060"/>
    <s v="C-1018"/>
    <s v="FI-993"/>
    <s v="M-1115"/>
  </r>
  <r>
    <x v="1373"/>
    <n v="990"/>
    <x v="0"/>
    <x v="4"/>
    <n v="0"/>
    <x v="70"/>
    <x v="27"/>
    <x v="0"/>
    <x v="0"/>
    <s v="Región"/>
    <s v="Tasa Cada 100 mil habitantes"/>
    <s v="Periodo 2009-2017"/>
    <s v="Tasa"/>
    <s v="Encuestas CASEN"/>
    <x v="1373"/>
    <s v="A nivel nacional, la comuna de Vitacura de la Región Metropolitana presentó la mayor tasa de consultas mentales, con 9.196 atenciones cada 100 mil habitantes, el año 2013. Para el mismo año y región, la menor tasa la presentó la comuna de Independencia, con 83 consultas."/>
    <s v="Gráfico de Evolución"/>
    <s v="Chile nacional región comuna salud mental consultas tasa cada 100 cien mil habitantes evolución"/>
    <x v="1357"/>
    <s v="300-C"/>
    <s v="#1774B9"/>
    <s v="990-1374"/>
    <n v="99100000"/>
    <s v="T-1060"/>
    <s v="C-1018"/>
    <s v="FI-992"/>
    <s v="M-1115"/>
  </r>
  <r>
    <x v="1374"/>
    <n v="990"/>
    <x v="0"/>
    <x v="4"/>
    <n v="1"/>
    <x v="70"/>
    <x v="27"/>
    <x v="1"/>
    <x v="1"/>
    <s v="Ninguno"/>
    <s v="Tasa Cada 100 mil habitantes"/>
    <s v="Periodo 2009-2017"/>
    <s v="Tasa"/>
    <s v="Encuestas CASEN"/>
    <x v="1374"/>
    <s v="En la región de Tarapacá, la comuna de Pozo Almonte presentó la mayor tasa de consultas mentales, con 2952 atenciones cada 100 mil habitantes, el año 2015. La menor tasa la presentó la comuna de Camiña con 265 atenciones, el año 2011."/>
    <s v="Gráfico de Evolución"/>
    <s v="Región de Tarapacá regional comuna salud mental consultas tasa cada 100 cien mil habitantes evolución"/>
    <x v="1358"/>
    <s v="100-C-1"/>
    <s v="#1774B9"/>
    <s v="990-1375"/>
    <n v="99200001"/>
    <s v="T-1060"/>
    <s v="C-1018"/>
    <s v="FI-993"/>
    <s v="M-1115"/>
  </r>
  <r>
    <x v="1375"/>
    <n v="990"/>
    <x v="0"/>
    <x v="4"/>
    <n v="2"/>
    <x v="70"/>
    <x v="27"/>
    <x v="1"/>
    <x v="2"/>
    <s v="Ninguno"/>
    <s v="Tasa Cada 100 mil habitantes"/>
    <s v="Periodo 2009-2017"/>
    <s v="Tasa"/>
    <s v="Encuestas CASEN"/>
    <x v="1375"/>
    <s v="En la región de Antofagasta, la comuna de Mejillones presentó la mayor tasa de consultas mentales, con 2698 atenciones cada 100 mil habitantes, el año 2017. La menor tasa la presentó la comuna de María Elena con 189 atenciones, el año 2011."/>
    <s v="Gráfico de Evolución"/>
    <s v="Región de Antofagasta regional comuna salud mental consultas tasa cada 100 cien mil habitantes evolución"/>
    <x v="1359"/>
    <s v="100-C-2"/>
    <s v="#1774B9"/>
    <s v="990-1376"/>
    <n v="99200002"/>
    <s v="T-1060"/>
    <s v="C-1018"/>
    <s v="FI-993"/>
    <s v="M-1115"/>
  </r>
  <r>
    <x v="1376"/>
    <n v="990"/>
    <x v="0"/>
    <x v="4"/>
    <n v="3"/>
    <x v="70"/>
    <x v="27"/>
    <x v="1"/>
    <x v="3"/>
    <s v="Ninguno"/>
    <s v="Tasa Cada 100 mil habitantes"/>
    <s v="Periodo 2009-2017"/>
    <s v="Tasa"/>
    <s v="Encuestas CASEN"/>
    <x v="1376"/>
    <s v="En la región de Atacama, la comuna de Caldera presentó la mayor tasa de consultas mentales, con 3.573 atenciones cada 100 mil habitantes, el año 2009. La menor tasa la presentó la comuna de Chañaral con 384 atenciones, el año 2009."/>
    <s v="Gráfico de Evolución"/>
    <s v="Región de Atacama regional comuna salud mental consultas tasa cada 100 cien mil habitantes evolución"/>
    <x v="1360"/>
    <s v="100-C-3"/>
    <s v="#1774B9"/>
    <s v="990-1377"/>
    <n v="99200003"/>
    <s v="T-1060"/>
    <s v="C-1018"/>
    <s v="FI-993"/>
    <s v="M-1115"/>
  </r>
  <r>
    <x v="1377"/>
    <n v="990"/>
    <x v="0"/>
    <x v="4"/>
    <n v="4"/>
    <x v="70"/>
    <x v="27"/>
    <x v="1"/>
    <x v="4"/>
    <s v="Ninguno"/>
    <s v="Tasa Cada 100 mil habitantes"/>
    <s v="Periodo 2009-2017"/>
    <s v="Tasa"/>
    <s v="Encuestas CASEN"/>
    <x v="1377"/>
    <s v="En la región de Coquimbo, la comuna de La Higuera presentó la mayor tasa de consultas mentales, con 5.118 atenciones cada 100 mil habitantes, el año 2015. La menor tasa la presentó la comuna de Canela con 290 atenciones, el año 2015."/>
    <s v="Gráfico de Evolución"/>
    <s v="Región de Coquimbo regional comuna salud mental consultas tasa cada 100 cien mil habitantes evolución"/>
    <x v="1361"/>
    <s v="100-C-4"/>
    <s v="#1774B9"/>
    <s v="990-1378"/>
    <n v="99200004"/>
    <s v="T-1060"/>
    <s v="C-1018"/>
    <s v="FI-993"/>
    <s v="M-1115"/>
  </r>
  <r>
    <x v="1378"/>
    <n v="990"/>
    <x v="0"/>
    <x v="4"/>
    <n v="5"/>
    <x v="70"/>
    <x v="27"/>
    <x v="1"/>
    <x v="5"/>
    <s v="Ninguno"/>
    <s v="Tasa Cada 100 mil habitantes"/>
    <s v="Periodo 2009-2017"/>
    <s v="Tasa"/>
    <s v="Encuestas CASEN"/>
    <x v="1378"/>
    <s v="En la región de Valparaíso, la comuna de Casablanca presentó la mayor tasa de consultas mentales, con 8.157 atenciones cada 100 mil habitantes, el año 2011. La menor tasa la presentó la comuna de La Ligua con 168 atenciones, el año 2017."/>
    <s v="Gráfico de Evolución"/>
    <s v="Región de Valparaíso regional comuna salud mental consultas tasa cada 100 cien mil habitantes evolución"/>
    <x v="1362"/>
    <s v="100-C-5"/>
    <s v="#1774B9"/>
    <s v="990-1379"/>
    <n v="99200005"/>
    <s v="T-1060"/>
    <s v="C-1018"/>
    <s v="FI-993"/>
    <s v="M-1115"/>
  </r>
  <r>
    <x v="1379"/>
    <n v="990"/>
    <x v="0"/>
    <x v="4"/>
    <n v="6"/>
    <x v="70"/>
    <x v="27"/>
    <x v="1"/>
    <x v="6"/>
    <s v="Ninguno"/>
    <s v="Tasa Cada 100 mil habitantes"/>
    <s v="Periodo 2009-2017"/>
    <s v="Tasa"/>
    <s v="Encuestas CASEN"/>
    <x v="1379"/>
    <s v="En la región de O´Higgins, la comuna de Navidad presentó la mayor tasa de consultas mentales, con 7.478 atenciones cada 100 mil habitantes, el año 2015. La menor tasa la presentó la comuna de Marchihue con 139 atenciones, el año 2015."/>
    <s v="Gráfico de Evolución"/>
    <s v="Región de O'Higgins regional comuna salud mental consultas tasa cada 100 cien mil habitantes evolución"/>
    <x v="1363"/>
    <s v="100-C-6"/>
    <s v="#1774B9"/>
    <s v="990-1380"/>
    <n v="99200006"/>
    <s v="T-1060"/>
    <s v="C-1018"/>
    <s v="FI-993"/>
    <s v="M-1115"/>
  </r>
  <r>
    <x v="1380"/>
    <n v="990"/>
    <x v="0"/>
    <x v="4"/>
    <n v="7"/>
    <x v="70"/>
    <x v="27"/>
    <x v="1"/>
    <x v="7"/>
    <s v="Ninguno"/>
    <s v="Tasa Cada 100 mil habitantes"/>
    <s v="Periodo 2009-2017"/>
    <s v="Tasa"/>
    <s v="Encuestas CASEN"/>
    <x v="1380"/>
    <s v="En la región de Maule, la comuna de Maule presentó la mayor tasa de consultas mentales, con 7.314 atenciones cada 100 mil habitantes, el año 2017. La menor tasa la presentó la comuna de Yerbas Buenas con 99 atenciones, el año 2013."/>
    <s v="Gráfico de Evolución"/>
    <s v="Región de Maule regional comuna salud mental consultas tasa cada 100 cien mil habitantes evolución"/>
    <x v="1364"/>
    <s v="100-C-7"/>
    <s v="#1774B9"/>
    <s v="990-1381"/>
    <n v="99200007"/>
    <s v="T-1060"/>
    <s v="C-1018"/>
    <s v="FI-993"/>
    <s v="M-1115"/>
  </r>
  <r>
    <x v="1381"/>
    <n v="990"/>
    <x v="0"/>
    <x v="4"/>
    <n v="8"/>
    <x v="70"/>
    <x v="27"/>
    <x v="1"/>
    <x v="8"/>
    <s v="Ninguno"/>
    <s v="Tasa Cada 100 mil habitantes"/>
    <s v="Periodo 2009-2017"/>
    <s v="Tasa"/>
    <s v="Encuestas CASEN"/>
    <x v="1381"/>
    <s v="En la región de Biobío, la comuna de Chiguayante presentó la mayor tasa de consultas mentales, con 5.151 atenciones cada 100 mil habitantes, el año 2017. La menor tasa la presentó la comuna de Los Álamos con 110 atenciones, el año 2013."/>
    <s v="Gráfico de Evolución"/>
    <s v="Región del Biobío regional comuna salud mental consultas tasa cada 100 cien mil habitantes evolución"/>
    <x v="1365"/>
    <s v="100-C-8"/>
    <s v="#1774B9"/>
    <s v="990-1382"/>
    <n v="99200008"/>
    <s v="T-1060"/>
    <s v="C-1018"/>
    <s v="FI-993"/>
    <s v="M-1115"/>
  </r>
  <r>
    <x v="1382"/>
    <n v="990"/>
    <x v="0"/>
    <x v="4"/>
    <n v="9"/>
    <x v="70"/>
    <x v="27"/>
    <x v="1"/>
    <x v="9"/>
    <s v="Ninguno"/>
    <s v="Tasa Cada 100 mil habitantes"/>
    <s v="Periodo 2009-2017"/>
    <s v="Tasa"/>
    <s v="Encuestas CASEN"/>
    <x v="1382"/>
    <s v="En la región de La Araucanía, la comuna de Gorbea presentó la mayor tasa de consultas mentales con 7.604 atenciones cada 100 mil habitantes, el año 2013. La menor tasa la presentó la comuna de Galvarino con 164 atenciones, el año 2009."/>
    <s v="Gráfico de Evolución"/>
    <s v="Región de La Araucanía regional comuna salud mental consultas tasa cada 100 cien mil habitantes evolución"/>
    <x v="1366"/>
    <s v="100-C-9"/>
    <s v="#1774B9"/>
    <s v="990-1383"/>
    <n v="99200009"/>
    <s v="T-1060"/>
    <s v="C-1018"/>
    <s v="FI-993"/>
    <s v="M-1115"/>
  </r>
  <r>
    <x v="1383"/>
    <n v="990"/>
    <x v="0"/>
    <x v="4"/>
    <n v="10"/>
    <x v="70"/>
    <x v="27"/>
    <x v="1"/>
    <x v="10"/>
    <s v="Ninguno"/>
    <s v="Tasa Cada 100 mil habitantes"/>
    <s v="Periodo 2009-2017"/>
    <s v="Tasa"/>
    <s v="Encuestas CASEN"/>
    <x v="1383"/>
    <s v="En la región de Los Lagos, la comuna de Curaco de Veléz presentó la mayor tasa de consultas mentales con 5.850 atenciones cada 100 mil habitantes, el año 2013. La menor tasa la presentó la comuna de Quinchao con 268 atenciones, el año 2017."/>
    <s v="Gráfico de Evolución"/>
    <s v="Región de Los Lagos regional comuna salud mental consultas tasa cada 100 cien mil habitantes evolución"/>
    <x v="1367"/>
    <s v="100-C-10"/>
    <s v="#1774B9"/>
    <s v="990-1384"/>
    <n v="99200010"/>
    <s v="T-1060"/>
    <s v="C-1018"/>
    <s v="FI-993"/>
    <s v="M-1115"/>
  </r>
  <r>
    <x v="1384"/>
    <n v="990"/>
    <x v="0"/>
    <x v="4"/>
    <n v="11"/>
    <x v="70"/>
    <x v="27"/>
    <x v="1"/>
    <x v="11"/>
    <s v="Ninguno"/>
    <s v="Tasa Cada 100 mil habitantes"/>
    <s v="Periodo 2009-2017"/>
    <s v="Tasa"/>
    <s v="Encuestas CASEN"/>
    <x v="1384"/>
    <s v="En la región de Aysén, la comuna de Río Ibáñez presentó la mayor tasa de consultas mentales, con 3.745 atenciones cada 100 mil habitantes, el año 2013. La menor tasa la presentó la comuna de Chile Chico con 449 atenciones, el año 2009."/>
    <s v="Gráfico de Evolución"/>
    <s v="Región de Aysén regional comuna salud mental consultas tasa cada 100 cien mil habitantes evolución"/>
    <x v="1368"/>
    <s v="100-C-11"/>
    <s v="#1774B9"/>
    <s v="990-1385"/>
    <n v="99200011"/>
    <s v="T-1060"/>
    <s v="C-1018"/>
    <s v="FI-993"/>
    <s v="M-1115"/>
  </r>
  <r>
    <x v="1385"/>
    <n v="990"/>
    <x v="0"/>
    <x v="4"/>
    <n v="12"/>
    <x v="70"/>
    <x v="27"/>
    <x v="1"/>
    <x v="12"/>
    <s v="Ninguno"/>
    <s v="Tasa Cada 100 mil habitantes"/>
    <s v="Periodo 2009-2017"/>
    <s v="Tasa"/>
    <s v="Encuestas CASEN"/>
    <x v="1385"/>
    <s v="En la región de Magallanes, la comuna de Punta Arenas presentó la mayor tasa de consultas mentales, con 3.703 atenciones cada 100 mil habitantes, el año 2009. La menor tasa la presentó la comuna de Porvenir con 280 atenciones, el año 2011."/>
    <s v="Gráfico de Evolución"/>
    <s v="Región de Magallanes regional comuna salud mental consultas tasa cada 100 cien mil habitantes evolución"/>
    <x v="1369"/>
    <s v="100-C-12"/>
    <s v="#1774B9"/>
    <s v="990-1386"/>
    <n v="99200012"/>
    <s v="T-1060"/>
    <s v="C-1018"/>
    <s v="FI-993"/>
    <s v="M-1115"/>
  </r>
  <r>
    <x v="1386"/>
    <n v="990"/>
    <x v="0"/>
    <x v="4"/>
    <n v="13"/>
    <x v="70"/>
    <x v="27"/>
    <x v="1"/>
    <x v="13"/>
    <s v="Ninguno"/>
    <s v="Tasa Cada 100 mil habitantes"/>
    <s v="Periodo 2009-2017"/>
    <s v="Tasa"/>
    <s v="Encuestas CASEN"/>
    <x v="1386"/>
    <s v="En la región Metropolitana, la comuna de Vitacura presentó la mayor tasa de consultas mentales, con 9.196 atenciones cada 100 mil habitantes, el año 2013. La menor tasa la presentó la comuna de Independencia con 83 atenciones, el año 2013."/>
    <s v="Gráfico de Evolución"/>
    <s v="Región Metropolitana regional comuna salud mental consultas tasa cada 100 cien mil habitantes evolución"/>
    <x v="1370"/>
    <s v="200-C-13"/>
    <s v="#1774B9"/>
    <s v="990-1387"/>
    <n v="99200013"/>
    <s v="T-1060"/>
    <s v="C-1018"/>
    <s v="FI-993"/>
    <s v="M-1115"/>
  </r>
  <r>
    <x v="1387"/>
    <n v="990"/>
    <x v="0"/>
    <x v="4"/>
    <n v="14"/>
    <x v="70"/>
    <x v="27"/>
    <x v="1"/>
    <x v="14"/>
    <s v="Ninguno"/>
    <s v="Tasa Cada 100 mil habitantes"/>
    <s v="Periodo 2009-2017"/>
    <s v="Tasa"/>
    <s v="Encuestas CASEN"/>
    <x v="1387"/>
    <s v="En la región de Los Ríos, la comuna de Paillaco presentó la mayor tasa de consultas mentales, con 4.026 atenciones cada 100 mil habitantes, el año 2017. La menor tasa la presentó la comuna de Mariquina con 115 atenciones, el año 2009."/>
    <s v="Gráfico de Evolución"/>
    <s v="Región de Los Ríos regional comuna salud mental consultas tasa cada 100 cien mil habitantes evolución"/>
    <x v="1371"/>
    <s v="100-C-14"/>
    <s v="#1774B9"/>
    <s v="990-1388"/>
    <n v="99200014"/>
    <s v="T-1060"/>
    <s v="C-1018"/>
    <s v="FI-993"/>
    <s v="M-1115"/>
  </r>
  <r>
    <x v="1388"/>
    <n v="990"/>
    <x v="0"/>
    <x v="4"/>
    <n v="15"/>
    <x v="70"/>
    <x v="27"/>
    <x v="1"/>
    <x v="15"/>
    <s v="Ninguno"/>
    <s v="Tasa Cada 100 mil habitantes"/>
    <s v="Periodo 2009-2017"/>
    <s v="Tasa"/>
    <s v="Encuestas CASEN"/>
    <x v="1388"/>
    <s v="En la región de Arica y Parinacota, la comuna de Camarones presentó la mayor tasa de consultas mentales, con 6.816 atenciones cada 100 mil habitantes, el año 2013. La menor tasa la presentó la comuna de Putre con 304 atenciones, el año 2013."/>
    <s v="Gráfico de Evolución"/>
    <s v="Región de Arica y Parinacota regional comuna salud mental consultas tasa cada 100 cien mil habitantes evolución"/>
    <x v="1372"/>
    <s v="100-C-15"/>
    <s v="#1774B10"/>
    <s v="990-1389"/>
    <n v="99200015"/>
    <s v="T-1060"/>
    <s v="C-1018"/>
    <s v="FI-993"/>
    <s v="M-1115"/>
  </r>
  <r>
    <x v="1389"/>
    <n v="990"/>
    <x v="0"/>
    <x v="4"/>
    <n v="16"/>
    <x v="70"/>
    <x v="27"/>
    <x v="1"/>
    <x v="16"/>
    <s v="Ninguno"/>
    <s v="Tasa Cada 100 mil habitantes"/>
    <s v="Periodo 2009-2017"/>
    <s v="Tasa"/>
    <s v="Encuestas CASEN"/>
    <x v="1389"/>
    <s v="En la región de Ñuble, la comuna de Ñiquén presentó la mayor tasa de consultas mentales, con 5.830 atenciones cada 100 mil habitantes, el año 2009. La menor tasa la presentó la comuna de Ninhue con 294 atenciones, el año 2011."/>
    <s v="Gráfico de Evolución"/>
    <s v="Región de Ñuble regional comuna salud mental consultas tasa cada 100 cien mil habitantes evolución"/>
    <x v="1373"/>
    <s v="100-C-16"/>
    <s v="#1774B11"/>
    <s v="990-1390"/>
    <n v="99200016"/>
    <s v="T-1060"/>
    <s v="C-1018"/>
    <s v="FI-993"/>
    <s v="M-1115"/>
  </r>
  <r>
    <x v="1390"/>
    <n v="990"/>
    <x v="0"/>
    <x v="14"/>
    <n v="0"/>
    <x v="71"/>
    <x v="28"/>
    <x v="0"/>
    <x v="0"/>
    <s v="Año"/>
    <s v="Cantidad de conexiones de internet fija por comuna"/>
    <s v="Periodo 2007-2019"/>
    <s v="Número de suscripciones"/>
    <s v="Biblioteca del Congreso Nacional"/>
    <x v="1390"/>
    <s v="El top 10 de comunas con mayor cantidad de conexiones a internet fijo tanto para el año 2018 como para el 2019, es Santiago, Maipú, Puente Alto, La Florida, Viña del Mar, Antofagasta, Providencia, Ñuñoa y Temuco. "/>
    <s v="Ranking"/>
    <s v="ranking conexiones internet fija chile país suscripciones comunas cantidad"/>
    <x v="1374"/>
    <n v="0"/>
    <s v="#1774B12"/>
    <s v="990-1391"/>
    <n v="99100000"/>
    <s v="T-1065"/>
    <s v="C-1022"/>
    <s v="FI-1006"/>
    <s v="M-1116"/>
  </r>
  <r>
    <x v="1391"/>
    <n v="990"/>
    <x v="0"/>
    <x v="14"/>
    <n v="0"/>
    <x v="71"/>
    <x v="28"/>
    <x v="0"/>
    <x v="0"/>
    <s v="Región"/>
    <s v="Cantidad de conexiones de internet fija por comuna"/>
    <s v="Año 2019"/>
    <s v="Número de suscripciones"/>
    <s v="Biblioteca del Congreso Nacional"/>
    <x v="1391"/>
    <s v="En el año 2019, a nivel nacional, la comuna que presentó mayor cantidad de conexiones a Internet fija fue la comuna de Santiago con 173.222 conexiones, en segundo lugar Maipú con 133.689 conexiones, ambas comunas pertenecientes a la región Metropolitana. "/>
    <s v="Mapa de calor"/>
    <s v="Chile conexión internet fija comuna región conexiones suscripciones país"/>
    <x v="1375"/>
    <s v="300-C"/>
    <s v="#1774B13"/>
    <s v="990-1392"/>
    <n v="99100000"/>
    <s v="T-1065"/>
    <s v="C-1022"/>
    <s v="FI-992"/>
    <s v="M-1116"/>
  </r>
  <r>
    <x v="1392"/>
    <n v="990"/>
    <x v="0"/>
    <x v="14"/>
    <n v="1"/>
    <x v="71"/>
    <x v="28"/>
    <x v="1"/>
    <x v="1"/>
    <s v="Ninguno"/>
    <s v="Cantidad de conexiones de internet fija por comuna"/>
    <s v="Año 2019"/>
    <s v="Número de suscripciones"/>
    <s v="Biblioteca del Congreso Nacional"/>
    <x v="1392"/>
    <s v="En la región de Tarapacá, la comuna de Iquique, registraba la mayor cantidad de conexiones de internet fija, con 50.579 conexiones, en el año 2019.  En el mismo año, la comuna de Camiña registraba sólo 1 conexión."/>
    <s v="Mapa de calor"/>
    <s v="Región de Tarapacá conexión internet fija comuna región conexiones suscripciones "/>
    <x v="1376"/>
    <s v="100-C-1"/>
    <s v="#1774B14"/>
    <s v="990-1393"/>
    <n v="99200001"/>
    <s v="T-1065"/>
    <s v="C-1022"/>
    <s v="FI-993"/>
    <s v="M-1116"/>
  </r>
  <r>
    <x v="1393"/>
    <n v="990"/>
    <x v="0"/>
    <x v="14"/>
    <n v="2"/>
    <x v="71"/>
    <x v="28"/>
    <x v="1"/>
    <x v="2"/>
    <s v="Ninguno"/>
    <s v="Cantidad de conexiones de internet fija por comuna"/>
    <s v="Año 2019"/>
    <s v="Número de suscripciones"/>
    <s v="Biblioteca del Congreso Nacional"/>
    <x v="1393"/>
    <s v="En la región de Antofagasta, la comuna de Iquique, registraba la mayor cantidad de conexiones de internet fija, con 94.039 conexiones, en el año 2019.  En el mismo año, la comuna de Ollagüe no registraba conexiones."/>
    <s v="Mapa de calor"/>
    <s v="Región de Antofagasta conexión internet fija comuna región conexiones suscripciones "/>
    <x v="1377"/>
    <s v="100-C-2"/>
    <s v="#1774B15"/>
    <s v="990-1394"/>
    <n v="99200002"/>
    <s v="T-1065"/>
    <s v="C-1022"/>
    <s v="FI-993"/>
    <s v="M-1116"/>
  </r>
  <r>
    <x v="1394"/>
    <n v="990"/>
    <x v="0"/>
    <x v="14"/>
    <n v="3"/>
    <x v="71"/>
    <x v="28"/>
    <x v="1"/>
    <x v="3"/>
    <s v="Ninguno"/>
    <s v="Cantidad de conexiones de internet fija por comuna"/>
    <s v="Año 2019"/>
    <s v="Número de suscripciones"/>
    <s v="Biblioteca del Congreso Nacional"/>
    <x v="1394"/>
    <s v="En la región de Atacama, la comuna de Copiapó, registraba la mayor cantidad de conexiones de internet fija, con 45.612 conexiones, en el año 2019.  En el mismo año, la comuna de Alto del Carmen registraba sólo 2 conexiones."/>
    <s v="Mapa de calor"/>
    <s v="Región de Atacama conexión internet fija comuna región conexiones suscripciones "/>
    <x v="1378"/>
    <s v="100-C-3"/>
    <s v="#1774B16"/>
    <s v="990-1395"/>
    <n v="99200003"/>
    <s v="T-1065"/>
    <s v="C-1022"/>
    <s v="FI-993"/>
    <s v="M-1116"/>
  </r>
  <r>
    <x v="1395"/>
    <n v="990"/>
    <x v="0"/>
    <x v="14"/>
    <n v="4"/>
    <x v="71"/>
    <x v="28"/>
    <x v="1"/>
    <x v="4"/>
    <s v="Ninguno"/>
    <s v="Cantidad de conexiones de internet fija por comuna"/>
    <s v="Año 2019"/>
    <s v="Número de suscripciones"/>
    <s v="Biblioteca del Congreso Nacional"/>
    <x v="1395"/>
    <s v="En la región de Coquimbo, la comuna de Combarbalá, registraba la mayor cantidad de conexiones de internet fija, con 70.319 conexiones, en el año 2019.  En el mismo año, la comuna de Río Hurtado registraba sólo 4 conexiones."/>
    <s v="Mapa de calor"/>
    <s v="Región de Coquimbo conexión internet fija comuna región conexiones suscripciones "/>
    <x v="1379"/>
    <s v="100-C-4"/>
    <s v="#1774B17"/>
    <s v="990-1396"/>
    <n v="99200004"/>
    <s v="T-1065"/>
    <s v="C-1022"/>
    <s v="FI-993"/>
    <s v="M-1116"/>
  </r>
  <r>
    <x v="1396"/>
    <n v="990"/>
    <x v="0"/>
    <x v="14"/>
    <n v="5"/>
    <x v="71"/>
    <x v="28"/>
    <x v="1"/>
    <x v="5"/>
    <s v="Ninguno"/>
    <s v="Cantidad de conexiones de internet fija por comuna"/>
    <s v="Año 2019"/>
    <s v="Número de suscripciones"/>
    <s v="Biblioteca del Congreso Nacional"/>
    <x v="1396"/>
    <s v="En la región de Valparaíso, la comuna de Viña del Mar, registraba la mayor cantidad de conexiones de internet fija, con 98.146 conexiones, en el año 2019.  En el mismo año, la comuna de Juan Fernández registraba sólo 2 conexiones."/>
    <s v="Mapa de calor"/>
    <s v="Región de Valparaíso conexión internet fija comuna región conexiones suscripciones "/>
    <x v="1380"/>
    <s v="100-C-5"/>
    <s v="#1774B18"/>
    <s v="990-1397"/>
    <n v="99200005"/>
    <s v="T-1065"/>
    <s v="C-1022"/>
    <s v="FI-993"/>
    <s v="M-1116"/>
  </r>
  <r>
    <x v="1397"/>
    <n v="990"/>
    <x v="0"/>
    <x v="14"/>
    <n v="6"/>
    <x v="71"/>
    <x v="28"/>
    <x v="1"/>
    <x v="6"/>
    <s v="Ninguno"/>
    <s v="Cantidad de conexiones de internet fija por comuna"/>
    <s v="Año 2019"/>
    <s v="Número de suscripciones"/>
    <s v="Biblioteca del Congreso Nacional"/>
    <x v="1397"/>
    <s v="En la región de O'Higgins, la comuna de Rancagua, registraba la mayor cantidad de conexiones de internet fija, con 62.159 conexiones, en el año 2019.  En el mismo año, la comuna de Paredones  no registraba conexiones."/>
    <s v="Mapa de calor"/>
    <s v="Región de O'Higgins conexión internet fija comuna región conexiones suscripciones "/>
    <x v="1381"/>
    <s v="100-C-6"/>
    <s v="#1774B19"/>
    <s v="990-1398"/>
    <n v="99200006"/>
    <s v="T-1065"/>
    <s v="C-1022"/>
    <s v="FI-993"/>
    <s v="M-1116"/>
  </r>
  <r>
    <x v="1398"/>
    <n v="990"/>
    <x v="0"/>
    <x v="14"/>
    <n v="7"/>
    <x v="71"/>
    <x v="28"/>
    <x v="1"/>
    <x v="7"/>
    <s v="Ninguno"/>
    <s v="Cantidad de conexiones de internet fija por comuna"/>
    <s v="Año 2019"/>
    <s v="Número de suscripciones"/>
    <s v="Biblioteca del Congreso Nacional"/>
    <x v="1398"/>
    <s v="En la región del Maule, la comuna de Talca, registraba la mayor cantidad de conexiones de internet fija, con 59.263 conexiones, el año 2019.  En el mismo año, la comuna de Vichuquén registraba sólo 2 conexiones."/>
    <s v="Mapa de calor"/>
    <s v="Región de Maule conexión internet fija comuna región conexiones suscripciones "/>
    <x v="1382"/>
    <s v="100-C-7"/>
    <s v="#1774B20"/>
    <s v="990-1399"/>
    <n v="99200007"/>
    <s v="T-1065"/>
    <s v="C-1022"/>
    <s v="FI-993"/>
    <s v="M-1116"/>
  </r>
  <r>
    <x v="1399"/>
    <n v="990"/>
    <x v="0"/>
    <x v="14"/>
    <n v="8"/>
    <x v="71"/>
    <x v="28"/>
    <x v="1"/>
    <x v="8"/>
    <s v="Ninguno"/>
    <s v="Cantidad de conexiones de internet fija por comuna"/>
    <s v="Año 2019"/>
    <s v="Número de suscripciones"/>
    <s v="Biblioteca del Congreso Nacional"/>
    <x v="1399"/>
    <s v="En la región del Biobío, la comuna de Talcahuano, registraba la mayor cantidad de conexiones de internet fija, con 44.242 conexiones, el año 2019.  En el mismo año, la comuna de Tirúa registraba sólo 2 conexiones."/>
    <s v="Mapa de calor"/>
    <s v="Región del Biobío conexión internet fija comuna región conexiones suscripciones "/>
    <x v="1383"/>
    <s v="100-C-8"/>
    <s v="#1774B21"/>
    <s v="990-1400"/>
    <n v="99200008"/>
    <s v="T-1065"/>
    <s v="C-1022"/>
    <s v="FI-993"/>
    <s v="M-1116"/>
  </r>
  <r>
    <x v="1400"/>
    <n v="990"/>
    <x v="0"/>
    <x v="14"/>
    <n v="9"/>
    <x v="71"/>
    <x v="28"/>
    <x v="1"/>
    <x v="9"/>
    <s v="Ninguno"/>
    <s v="Cantidad de conexiones de internet fija por comuna"/>
    <s v="Año 2019"/>
    <s v="Número de suscripciones"/>
    <s v="Biblioteca del Congreso Nacional"/>
    <x v="1400"/>
    <s v="En la región de La Araucanía, la comuna de Temuco, registraba la mayor cantidad de conexiones de internet fija, con 74.877 conexiones, el año 2019.  En el mismo año, la comuna de Los Sauces registraba sólo 4 conexiones."/>
    <s v="Mapa de calor"/>
    <s v="Región de La Araucanía conexión internet fija comuna región conexiones suscripciones "/>
    <x v="1384"/>
    <s v="100-C-9"/>
    <s v="#1774B22"/>
    <s v="990-1401"/>
    <n v="99200009"/>
    <s v="T-1065"/>
    <s v="C-1022"/>
    <s v="FI-993"/>
    <s v="M-1116"/>
  </r>
  <r>
    <x v="1401"/>
    <n v="990"/>
    <x v="0"/>
    <x v="14"/>
    <n v="10"/>
    <x v="71"/>
    <x v="28"/>
    <x v="1"/>
    <x v="10"/>
    <s v="Ninguno"/>
    <s v="Cantidad de conexiones de internet fija por comuna"/>
    <s v="Año 2019"/>
    <s v="Número de suscripciones"/>
    <s v="Biblioteca del Congreso Nacional"/>
    <x v="1401"/>
    <s v="En la región de Los Lagos , la comuna de Puerto Montt, registraba la mayor cantidad de conexiones de internet fija, con 45.760 conexiones, el año 2019.  En el mismo año, la comuna de San Juan de la Costa registraba sólo 2 conexiones."/>
    <s v="Mapa de calor"/>
    <s v="Región de Los Lagos conexión internet fija comuna región conexiones suscripciones "/>
    <x v="1385"/>
    <s v="100-C-10"/>
    <s v="#1774B23"/>
    <s v="990-1402"/>
    <n v="99200010"/>
    <s v="T-1065"/>
    <s v="C-1022"/>
    <s v="FI-993"/>
    <s v="M-1116"/>
  </r>
  <r>
    <x v="1402"/>
    <n v="990"/>
    <x v="0"/>
    <x v="14"/>
    <n v="11"/>
    <x v="71"/>
    <x v="28"/>
    <x v="1"/>
    <x v="11"/>
    <s v="Ninguno"/>
    <s v="Cantidad de conexiones de internet fija por comuna"/>
    <s v="Año 2019"/>
    <s v="Número de suscripciones"/>
    <s v="Biblioteca del Congreso Nacional"/>
    <x v="1402"/>
    <s v="En la región de Aysén, la comuna de Aisén, registraba la mayor cantidad de conexiones de internet fija, con 4.886 conexiones, el año 2019.  En el mismo año, la comuna de O'Higgins no registraba conexiones."/>
    <s v="Mapa de calor"/>
    <s v="Región de Aysén conexión internet fija comuna región conexiones suscripciones "/>
    <x v="1386"/>
    <s v="100-C-11"/>
    <s v="#1774B24"/>
    <s v="990-1403"/>
    <n v="99200011"/>
    <s v="T-1065"/>
    <s v="C-1022"/>
    <s v="FI-993"/>
    <s v="M-1116"/>
  </r>
  <r>
    <x v="1403"/>
    <n v="990"/>
    <x v="0"/>
    <x v="14"/>
    <n v="12"/>
    <x v="71"/>
    <x v="28"/>
    <x v="1"/>
    <x v="12"/>
    <s v="Ninguno"/>
    <s v="Cantidad de conexiones de internet fija por comuna"/>
    <s v="Año 2019"/>
    <s v="Número de suscripciones"/>
    <s v="Biblioteca del Congreso Nacional"/>
    <x v="1403"/>
    <s v="En la región de Magallanes, la comuna de Punta Arenas, registraba la mayor cantidad de conexiones de internet fija, con 35.376 conexiones, el año 2019.  En el mismo año, las comunas de Cabo de Hornos y Río Verde no registraban conexiones."/>
    <s v="Mapa de calor"/>
    <s v="Región de Magallanes conexión internet fija comuna región conexiones suscripciones "/>
    <x v="1387"/>
    <s v="100-C-12"/>
    <s v="#1774B25"/>
    <s v="990-1404"/>
    <n v="99200012"/>
    <s v="T-1065"/>
    <s v="C-1022"/>
    <s v="FI-993"/>
    <s v="M-1116"/>
  </r>
  <r>
    <x v="1404"/>
    <n v="990"/>
    <x v="0"/>
    <x v="14"/>
    <n v="13"/>
    <x v="71"/>
    <x v="28"/>
    <x v="1"/>
    <x v="13"/>
    <s v="Ninguno"/>
    <s v="Cantidad de conexiones de internet fija por comuna"/>
    <s v="Año 2019"/>
    <s v="Número de suscripciones"/>
    <s v="Biblioteca del Congreso Nacional"/>
    <x v="1404"/>
    <s v="En la región Metropolitana, la comuna de Santiago, registraba la mayor cantidad de conexiones de internet fija, con 173.222 conexiones, el año 2019.  En el mismo año, las comunas de Alhué y San José registraban sólo 6 conexiones cada una."/>
    <s v="Mapa de calor"/>
    <s v="Región Metropolitana conexión internet fija comuna región conexiones suscripciones "/>
    <x v="1388"/>
    <s v="200-C-13"/>
    <s v="#1774B26"/>
    <s v="990-1405"/>
    <n v="99200013"/>
    <s v="T-1065"/>
    <s v="C-1022"/>
    <s v="FI-993"/>
    <s v="M-1116"/>
  </r>
  <r>
    <x v="1405"/>
    <n v="990"/>
    <x v="0"/>
    <x v="14"/>
    <n v="14"/>
    <x v="71"/>
    <x v="28"/>
    <x v="1"/>
    <x v="14"/>
    <s v="Ninguno"/>
    <s v="Cantidad de conexiones de internet fija por comuna"/>
    <s v="Año 2019"/>
    <s v="Número de suscripciones"/>
    <s v="Biblioteca del Congreso Nacional"/>
    <x v="1405"/>
    <s v="En la región de Los Ríos, la comuna de Valdivia, registraba la mayor cantidad de conexiones de internet fija, con 40.030 conexiones, el año 2019.  En el mismo año, la comuna de Lago Ranco registraba 138 conexiones."/>
    <s v="Mapa de calor"/>
    <s v="Región de Los Ríos conexión internet fija comuna región conexiones suscripciones "/>
    <x v="1389"/>
    <s v="100-C-14"/>
    <s v="#1774B27"/>
    <s v="990-1406"/>
    <n v="99200014"/>
    <s v="T-1065"/>
    <s v="C-1022"/>
    <s v="FI-993"/>
    <s v="M-1116"/>
  </r>
  <r>
    <x v="1406"/>
    <n v="990"/>
    <x v="0"/>
    <x v="14"/>
    <n v="15"/>
    <x v="71"/>
    <x v="28"/>
    <x v="1"/>
    <x v="15"/>
    <s v="Ninguno"/>
    <s v="Cantidad de conexiones de internet fija por comuna"/>
    <s v="Año 2019"/>
    <s v="Número de suscripciones"/>
    <s v="Biblioteca del Congreso Nacional"/>
    <x v="1406"/>
    <s v="En la región de Arica y Parinacota , la comuna de Arica, registraba la mayor cantidad de conexiones de internet fija, con 4.268 conexiones, el año 2019.  En el mismo año, la comuna de General Lagos no registraba conexiones."/>
    <s v="Mapa de calor"/>
    <s v="Región de Arica y Parinacota conexión internet fija comuna región conexiones suscripciones "/>
    <x v="1390"/>
    <s v="100-C-15"/>
    <s v="#1774B28"/>
    <s v="990-1407"/>
    <n v="99200015"/>
    <s v="T-1065"/>
    <s v="C-1022"/>
    <s v="FI-993"/>
    <s v="M-1116"/>
  </r>
  <r>
    <x v="1407"/>
    <n v="990"/>
    <x v="0"/>
    <x v="14"/>
    <n v="16"/>
    <x v="71"/>
    <x v="28"/>
    <x v="1"/>
    <x v="16"/>
    <s v="Ninguno"/>
    <s v="Cantidad de conexiones de internet fija por comuna"/>
    <s v="Año 2019"/>
    <s v="Número de suscripciones"/>
    <s v="Biblioteca del Congreso Nacional"/>
    <x v="1407"/>
    <s v="En la región del Ñuble, la comuna de Chillán, registraba la mayor cantidad de conexiones de internet fija, con 42.293 conexiones, el año 2019.  En el mismo año, la comuna de Treguaco registraba sólo 4 conexiones."/>
    <s v="Mapa de calor"/>
    <s v="Región de Ñuble conexión internet fija comuna región conexiones suscripciones "/>
    <x v="1391"/>
    <s v="100-C-16"/>
    <s v="#1774B29"/>
    <s v="990-1408"/>
    <n v="99200016"/>
    <s v="T-1065"/>
    <s v="C-1022"/>
    <s v="FI-993"/>
    <s v="M-1116"/>
  </r>
  <r>
    <x v="1408"/>
    <n v="990"/>
    <x v="0"/>
    <x v="14"/>
    <n v="0"/>
    <x v="72"/>
    <x v="29"/>
    <x v="0"/>
    <x v="0"/>
    <s v="Región-Comuna"/>
    <s v="Cantidad suscriptores a televisión de pago por región y comuna"/>
    <s v="Periodo 2007-2019"/>
    <s v="Número de suscripciones"/>
    <s v="Biblioteca del Congreso Nacional"/>
    <x v="1408"/>
    <s v="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
    <s v="Gráfico de Evolución"/>
    <s v="cantidad suscripciones televisión pago regional región comuna Chile evolución"/>
    <x v="1392"/>
    <s v="300-C"/>
    <s v="#1774B30"/>
    <s v="990-1409"/>
    <n v="99100000"/>
    <s v="T-1066"/>
    <s v="C-1023"/>
    <s v="FI-995"/>
    <s v="M-1117"/>
  </r>
  <r>
    <x v="1409"/>
    <n v="990"/>
    <x v="0"/>
    <x v="14"/>
    <n v="1"/>
    <x v="72"/>
    <x v="29"/>
    <x v="1"/>
    <x v="1"/>
    <s v="Comuna"/>
    <s v="Cantidad suscriptores a televisión de pago por comuna"/>
    <s v="Periodo 2007-2019"/>
    <s v="Número de suscripciones"/>
    <s v="Biblioteca del Congreso Nacional"/>
    <x v="1409"/>
    <s v="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
    <s v="Gráfico de Evolución"/>
    <s v="región de Tarapacá cantidad suscripciones televisión pago regional comuna Chile evolución"/>
    <x v="1393"/>
    <s v="100-C-1"/>
    <s v="#1774B31"/>
    <s v="990-1410"/>
    <n v="99200001"/>
    <s v="T-1066"/>
    <s v="C-1023"/>
    <s v="FI-991"/>
    <s v="M-1118"/>
  </r>
  <r>
    <x v="1410"/>
    <n v="990"/>
    <x v="0"/>
    <x v="14"/>
    <n v="2"/>
    <x v="72"/>
    <x v="29"/>
    <x v="1"/>
    <x v="2"/>
    <s v="Comuna"/>
    <s v="Cantidad suscriptores a televisión de pago por comuna"/>
    <s v="Periodo 2007-2019"/>
    <s v="Número de suscripciones"/>
    <s v="Biblioteca del Congreso Nacional"/>
    <x v="1410"/>
    <s v="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
    <s v="Gráfico de Evolución"/>
    <s v="región de Antofagasta cantidad suscripciones televisión pago regional comuna Chile evolución"/>
    <x v="1394"/>
    <s v="100-C-2"/>
    <s v="#1774B32"/>
    <s v="990-1411"/>
    <n v="99200002"/>
    <s v="T-1066"/>
    <s v="C-1023"/>
    <s v="FI-991"/>
    <s v="M-1118"/>
  </r>
  <r>
    <x v="1411"/>
    <n v="990"/>
    <x v="0"/>
    <x v="14"/>
    <n v="3"/>
    <x v="72"/>
    <x v="29"/>
    <x v="1"/>
    <x v="3"/>
    <s v="Comuna"/>
    <s v="Cantidad suscriptores a televisión de pago por comuna"/>
    <s v="Periodo 2007-2019"/>
    <s v="Número de suscripciones"/>
    <s v="Biblioteca del Congreso Nacional"/>
    <x v="1411"/>
    <s v="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
    <s v="Gráfico de Evolución"/>
    <s v="región de Atacama cantidad suscripciones televisión pago regional comuna Chile evolución"/>
    <x v="1395"/>
    <s v="100-C-3"/>
    <s v="#1774B33"/>
    <s v="990-1412"/>
    <n v="99200003"/>
    <s v="T-1066"/>
    <s v="C-1023"/>
    <s v="FI-991"/>
    <s v="M-1118"/>
  </r>
  <r>
    <x v="1412"/>
    <n v="990"/>
    <x v="0"/>
    <x v="14"/>
    <n v="4"/>
    <x v="72"/>
    <x v="29"/>
    <x v="1"/>
    <x v="4"/>
    <s v="Comuna"/>
    <s v="Cantidad suscriptores a televisión de pago por comuna"/>
    <s v="Periodo 2007-2019"/>
    <s v="Número de suscripciones"/>
    <s v="Biblioteca del Congreso Nacional"/>
    <x v="1412"/>
    <s v="En la región de Coquimbo, el año 2008, se registró la mayor diferencia en la cantidad de suscriptores a televisión de pago con respecto al año anterior, con una variación porcentual de 36,6%, reflejando un aumento de 12.972 suscriptores. "/>
    <s v="Gráfico de Evolución"/>
    <s v="región de Coquimbo cantidad suscripciones televisión pago regional comuna Chile evolución"/>
    <x v="1396"/>
    <s v="100-C-4"/>
    <s v="#1774B34"/>
    <s v="990-1413"/>
    <n v="99200004"/>
    <s v="T-1066"/>
    <s v="C-1023"/>
    <s v="FI-991"/>
    <s v="M-1118"/>
  </r>
  <r>
    <x v="1413"/>
    <n v="990"/>
    <x v="0"/>
    <x v="14"/>
    <n v="5"/>
    <x v="72"/>
    <x v="29"/>
    <x v="1"/>
    <x v="5"/>
    <s v="Comuna"/>
    <s v="Cantidad suscriptores a televisión de pago por comuna"/>
    <s v="Periodo 2007-2019"/>
    <s v="Número de suscripciones"/>
    <s v="Biblioteca del Congreso Nacional"/>
    <x v="1413"/>
    <s v="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
    <s v="Gráfico de Evolución"/>
    <s v="región de Valparaíso cantidad suscripciones televisión pago regional comuna Chile evolución"/>
    <x v="1397"/>
    <s v="100-C-5"/>
    <s v="#1774B35"/>
    <s v="990-1414"/>
    <n v="99200005"/>
    <s v="T-1066"/>
    <s v="C-1023"/>
    <s v="FI-991"/>
    <s v="M-1118"/>
  </r>
  <r>
    <x v="1414"/>
    <n v="990"/>
    <x v="0"/>
    <x v="14"/>
    <n v="6"/>
    <x v="72"/>
    <x v="29"/>
    <x v="1"/>
    <x v="6"/>
    <s v="Comuna"/>
    <s v="Cantidad suscriptores a televisión de pago por comuna"/>
    <s v="Periodo 2007-2019"/>
    <s v="Número de suscripciones"/>
    <s v="Biblioteca del Congreso Nacional"/>
    <x v="1414"/>
    <s v="En la región de O'Higgins, el año 2008, se registró la mayor diferencia en la cantidad de suscriptores a televisión de pago con respecto al año anterior, con una variación porcentual de 32,9%, reflejando un aumento de 17.237 suscriptores. "/>
    <s v="Gráfico de Evolución"/>
    <s v="región de O'Higgins cantidad suscripciones televisión pago regional comuna Chile evolución"/>
    <x v="1398"/>
    <s v="100-C-6"/>
    <s v="#1774B36"/>
    <s v="990-1415"/>
    <n v="99200006"/>
    <s v="T-1066"/>
    <s v="C-1023"/>
    <s v="FI-991"/>
    <s v="M-1118"/>
  </r>
  <r>
    <x v="1415"/>
    <n v="990"/>
    <x v="0"/>
    <x v="14"/>
    <n v="7"/>
    <x v="72"/>
    <x v="29"/>
    <x v="1"/>
    <x v="7"/>
    <s v="Comuna"/>
    <s v="Cantidad suscriptores a televisión de pago por comuna"/>
    <s v="Periodo 2007-2019"/>
    <s v="Número de suscripciones"/>
    <s v="Biblioteca del Congreso Nacional"/>
    <x v="1415"/>
    <s v="En la región de Maule, el año 2013, se registró la mayor diferencia en la cantidad de suscriptores a televisión de pago con respecto al año anterior, con una variación de 36.219 suscriptores. "/>
    <s v="Gráfico de Evolución"/>
    <s v="región de Maule cantidad suscripciones televisión pago regional comuna Chile evolución"/>
    <x v="1399"/>
    <s v="100-C-7"/>
    <s v="#1774B37"/>
    <s v="990-1416"/>
    <n v="99200007"/>
    <s v="T-1066"/>
    <s v="C-1023"/>
    <s v="FI-991"/>
    <s v="M-1118"/>
  </r>
  <r>
    <x v="1416"/>
    <n v="990"/>
    <x v="0"/>
    <x v="14"/>
    <n v="8"/>
    <x v="72"/>
    <x v="29"/>
    <x v="1"/>
    <x v="8"/>
    <s v="Comuna"/>
    <s v="Cantidad suscriptores a televisión de pago por comuna"/>
    <s v="Periodo 2007-2019"/>
    <s v="Número de suscripciones"/>
    <s v="Biblioteca del Congreso Nacional"/>
    <x v="1416"/>
    <s v="En la región de Biobío, el año 2010, se registró la mayor diferencia en la cantidad de suscriptores a televisión de pago con respecto al año anterior, con una variación de 55.145 suscriptores. "/>
    <s v="Gráfico de Evolución"/>
    <s v="región del Biobío cantidad suscripciones televisión pago regional comuna Chile evolución"/>
    <x v="1400"/>
    <s v="100-C-8"/>
    <s v="#1774B38"/>
    <s v="990-1417"/>
    <n v="99200008"/>
    <s v="T-1066"/>
    <s v="C-1023"/>
    <s v="FI-991"/>
    <s v="M-1118"/>
  </r>
  <r>
    <x v="1417"/>
    <n v="990"/>
    <x v="0"/>
    <x v="14"/>
    <n v="9"/>
    <x v="72"/>
    <x v="29"/>
    <x v="1"/>
    <x v="9"/>
    <s v="Comuna"/>
    <s v="Cantidad suscriptores a televisión de pago por comuna"/>
    <s v="Periodo 2007-2019"/>
    <s v="Número de suscripciones"/>
    <s v="Biblioteca del Congreso Nacional"/>
    <x v="1417"/>
    <s v="En la región de La Araucanía, el año 2013, se registró la mayor diferencia en la cantidad de suscriptores a televisión de pago con respecto al año anterior, con una variación de 28.687 suscriptores. "/>
    <s v="Gráfico de Evolución"/>
    <s v="región de La Araucanía cantidad suscripciones televisión pago regional comuna Chile evolución"/>
    <x v="1401"/>
    <s v="100-C-9"/>
    <s v="#1774B39"/>
    <s v="990-1418"/>
    <n v="99200009"/>
    <s v="T-1066"/>
    <s v="C-1023"/>
    <s v="FI-991"/>
    <s v="M-1118"/>
  </r>
  <r>
    <x v="1418"/>
    <n v="990"/>
    <x v="0"/>
    <x v="14"/>
    <n v="10"/>
    <x v="72"/>
    <x v="29"/>
    <x v="1"/>
    <x v="10"/>
    <s v="Comuna"/>
    <s v="Cantidad suscriptores a televisión de pago por comuna"/>
    <s v="Periodo 2007-2019"/>
    <s v="Número de suscripciones"/>
    <s v="Biblioteca del Congreso Nacional"/>
    <x v="1418"/>
    <s v="La cantidad de suscriptores a televisión de pago en la región de Los Lagos aumentó constantemente entre los años 2008 y 2018, pasando de 54.299 a 162.444 suscriptores. "/>
    <s v="Gráfico de Evolución"/>
    <s v="región de Los Lagos cantidad suscripciones televisión pago regional comuna Chile evolución"/>
    <x v="1402"/>
    <s v="100-C-10"/>
    <s v="#1774B40"/>
    <s v="990-1419"/>
    <n v="99200010"/>
    <s v="T-1066"/>
    <s v="C-1023"/>
    <s v="FI-991"/>
    <s v="M-1118"/>
  </r>
  <r>
    <x v="1419"/>
    <n v="990"/>
    <x v="0"/>
    <x v="14"/>
    <n v="11"/>
    <x v="72"/>
    <x v="29"/>
    <x v="1"/>
    <x v="11"/>
    <s v="Comuna"/>
    <s v="Cantidad suscriptores a televisión de pago por comuna"/>
    <s v="Periodo 2007-2019"/>
    <s v="Número de suscripciones"/>
    <s v="Biblioteca del Congreso Nacional"/>
    <x v="1419"/>
    <s v="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
    <s v="Gráfico de Evolución"/>
    <s v="región de Aysén cantidad suscripciones televisión pago regional comuna Chile evolución"/>
    <x v="1403"/>
    <s v="100-C-11"/>
    <s v="#1774B41"/>
    <s v="990-1420"/>
    <n v="99200011"/>
    <s v="T-1066"/>
    <s v="C-1023"/>
    <s v="FI-991"/>
    <s v="M-1118"/>
  </r>
  <r>
    <x v="1420"/>
    <n v="990"/>
    <x v="0"/>
    <x v="14"/>
    <n v="12"/>
    <x v="72"/>
    <x v="29"/>
    <x v="1"/>
    <x v="12"/>
    <s v="Comuna"/>
    <s v="Cantidad suscriptores a televisión de pago por comuna"/>
    <s v="Periodo 2007-2019"/>
    <s v="Número de suscripciones"/>
    <s v="Biblioteca del Congreso Nacional"/>
    <x v="1420"/>
    <s v="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
    <s v="Gráfico de Evolución"/>
    <s v="región de Magallanes cantidad suscripciones televisión pago regional comuna Chile evolución"/>
    <x v="1404"/>
    <s v="100-C-12"/>
    <s v="#1774B42"/>
    <s v="990-1421"/>
    <n v="99200012"/>
    <s v="T-1066"/>
    <s v="C-1023"/>
    <s v="FI-991"/>
    <s v="M-1118"/>
  </r>
  <r>
    <x v="1421"/>
    <n v="990"/>
    <x v="0"/>
    <x v="14"/>
    <n v="13"/>
    <x v="72"/>
    <x v="29"/>
    <x v="1"/>
    <x v="13"/>
    <s v="Comuna"/>
    <s v="Cantidad suscriptores a televisión de pago por comuna"/>
    <s v="Periodo 2007-2019"/>
    <s v="Número de suscripciones"/>
    <s v="Biblioteca del Congreso Nacional"/>
    <x v="1421"/>
    <s v="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
    <s v="Gráfico de Evolución"/>
    <s v="región Metropolitana cantidad suscripciones televisión pago regional comuna Chile evolución"/>
    <x v="1405"/>
    <s v="200-C-13"/>
    <s v="#1774B43"/>
    <s v="990-1422"/>
    <n v="99200013"/>
    <s v="T-1066"/>
    <s v="C-1023"/>
    <s v="FI-991"/>
    <s v="M-1118"/>
  </r>
  <r>
    <x v="1422"/>
    <n v="990"/>
    <x v="0"/>
    <x v="14"/>
    <n v="14"/>
    <x v="72"/>
    <x v="29"/>
    <x v="1"/>
    <x v="14"/>
    <s v="Comuna"/>
    <s v="Cantidad suscriptores a televisión de pago por comuna"/>
    <s v="Periodo 2007-2019"/>
    <s v="Número de suscripciones"/>
    <s v="Biblioteca del Congreso Nacional"/>
    <x v="1422"/>
    <s v="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
    <s v="Gráfico de Evolución"/>
    <s v="región de Los Ríos cantidad suscripciones televisión pago regional comuna Chile evolución"/>
    <x v="1406"/>
    <s v="100-C-14"/>
    <s v="#1774B44"/>
    <s v="990-1423"/>
    <n v="99200014"/>
    <s v="T-1066"/>
    <s v="C-1023"/>
    <s v="FI-991"/>
    <s v="M-1118"/>
  </r>
  <r>
    <x v="1423"/>
    <n v="990"/>
    <x v="0"/>
    <x v="14"/>
    <n v="15"/>
    <x v="72"/>
    <x v="29"/>
    <x v="1"/>
    <x v="15"/>
    <s v="Comuna"/>
    <s v="Cantidad suscriptores a televisión de pago por comuna"/>
    <s v="Periodo 2007-2019"/>
    <s v="Número de suscripciones"/>
    <s v="Biblioteca del Congreso Nacional"/>
    <x v="1423"/>
    <s v="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
    <s v="Gráfico de Evolución"/>
    <s v="región de Arica y Parinacota cantidad suscripciones televisión pago regional comuna Chile evolución"/>
    <x v="1407"/>
    <s v="100-C-15"/>
    <s v="#1774B45"/>
    <s v="990-1424"/>
    <n v="99200015"/>
    <s v="T-1066"/>
    <s v="C-1023"/>
    <s v="FI-991"/>
    <s v="M-1118"/>
  </r>
  <r>
    <x v="1424"/>
    <n v="990"/>
    <x v="0"/>
    <x v="14"/>
    <n v="16"/>
    <x v="72"/>
    <x v="29"/>
    <x v="1"/>
    <x v="16"/>
    <s v="Comuna"/>
    <s v="Cantidad suscriptores a televisión de pago por comuna"/>
    <s v="Periodo 2007-2019"/>
    <s v="Número de suscripciones"/>
    <s v="Biblioteca del Congreso Nacional"/>
    <x v="1424"/>
    <s v="La cantidad de suscriptores a televisión de pago en la región de Ñuble aumentó constantemente entre los años 2008 y 2018, pasando de 21.562 suscriptores a 72.846. En el año 2019, sin embargo, ocurrió una baja de 314 suscripciones."/>
    <s v="Gráfico de Evolución"/>
    <s v="región de Ñuble cantidad suscripciones televisión pago regional comuna Chile evolución"/>
    <x v="1408"/>
    <s v="100-C-16"/>
    <s v="#1774B46"/>
    <s v="990-1425"/>
    <n v="99200016"/>
    <s v="T-1066"/>
    <s v="C-1023"/>
    <s v="FI-991"/>
    <s v="M-1118"/>
  </r>
  <r>
    <x v="1425"/>
    <n v="990"/>
    <x v="0"/>
    <x v="14"/>
    <n v="0"/>
    <x v="72"/>
    <x v="29"/>
    <x v="0"/>
    <x v="0"/>
    <s v="Región"/>
    <s v="Cantidad suscriptores a televisión de pago por región y comuna"/>
    <s v="Año 2019"/>
    <s v="Número de suscripciones"/>
    <s v="Biblioteca del Congreso Nacional"/>
    <x v="1425"/>
    <s v="A nivel nacional, la comuna que tuvo la mayor cantidad de suscripciones de televisión de pago en el año 2019 fue Puente Alto, con 108.225. Le siguieron Las Condes, con 99.920, Santiago, con 92.963 y Maipú, con 92.186 suscriptores."/>
    <s v="Nube de palabras"/>
    <s v="ranking suscripciones televisión pago regional comuna país Chile"/>
    <x v="1409"/>
    <s v="300-C"/>
    <s v="#1774B47"/>
    <s v="990-1426"/>
    <n v="99100000"/>
    <s v="T-1066"/>
    <s v="C-1023"/>
    <s v="FI-992"/>
    <s v="M-1117"/>
  </r>
  <r>
    <x v="1426"/>
    <n v="990"/>
    <x v="0"/>
    <x v="14"/>
    <n v="1"/>
    <x v="72"/>
    <x v="29"/>
    <x v="1"/>
    <x v="1"/>
    <s v="Ninguno"/>
    <s v="Cantidad suscriptores a televisión de pago por comuna"/>
    <s v="Año 2019"/>
    <s v="Número de suscripciones"/>
    <s v="Biblioteca del Congreso Nacional"/>
    <x v="1426"/>
    <s v="En el año 2019, la comuna con más suscripciones a televisión de pago en la región de Tarapacá fue Iquique, con 35.732. Al contrario, la que tuvo menos suscritos fue Colchane, con 22."/>
    <s v="Nube de palabras"/>
    <s v="región de Tarapacá ranking suscripciones televisión pago comuna país Chile"/>
    <x v="1410"/>
    <s v="100-C-1"/>
    <s v="#1774B48"/>
    <s v="990-1427"/>
    <n v="99200001"/>
    <s v="T-1066"/>
    <s v="C-1023"/>
    <s v="FI-993"/>
    <s v="M-1118"/>
  </r>
  <r>
    <x v="1427"/>
    <n v="990"/>
    <x v="0"/>
    <x v="14"/>
    <n v="2"/>
    <x v="72"/>
    <x v="29"/>
    <x v="1"/>
    <x v="2"/>
    <s v="Ninguno"/>
    <s v="Cantidad suscriptores a televisión de pago por comuna"/>
    <s v="Año 2019"/>
    <s v="Número de suscripciones"/>
    <s v="Biblioteca del Congreso Nacional"/>
    <x v="1427"/>
    <s v="En el año 2019, la comuna con más suscripciones a televisión de pago en la región de Antofagasta fue Antofagasta, con 83.566. Al contrario, la que tuvo menos suscritos fue Ollagüe, con 58."/>
    <s v="Nube de palabras"/>
    <s v="región de Antofagasta ranking suscripciones televisión pago comuna país Chile"/>
    <x v="1411"/>
    <s v="100-C-2"/>
    <s v="#1774B49"/>
    <s v="990-1428"/>
    <n v="99200002"/>
    <s v="T-1066"/>
    <s v="C-1023"/>
    <s v="FI-993"/>
    <s v="M-1118"/>
  </r>
  <r>
    <x v="1428"/>
    <n v="990"/>
    <x v="0"/>
    <x v="14"/>
    <n v="3"/>
    <x v="72"/>
    <x v="29"/>
    <x v="1"/>
    <x v="3"/>
    <s v="Ninguno"/>
    <s v="Cantidad suscriptores a televisión de pago por comuna"/>
    <s v="Año 2019"/>
    <s v="Número de suscripciones"/>
    <s v="Biblioteca del Congreso Nacional"/>
    <x v="1428"/>
    <s v="En el año 2019, la comuna con más suscripciones a televisión de pago en la región de Atacama fue Copiapó, con 28.336. Al contrario, la que tuvo menos suscritos fue Alto del Carmen, con 959."/>
    <s v="Nube de palabras"/>
    <s v="región de Atacama ranking suscripciones televisión pago comuna país Chile"/>
    <x v="1412"/>
    <s v="100-C-3"/>
    <s v="#1774B50"/>
    <s v="990-1429"/>
    <n v="99200003"/>
    <s v="T-1066"/>
    <s v="C-1023"/>
    <s v="FI-993"/>
    <s v="M-1118"/>
  </r>
  <r>
    <x v="1429"/>
    <n v="990"/>
    <x v="0"/>
    <x v="14"/>
    <n v="4"/>
    <x v="72"/>
    <x v="29"/>
    <x v="1"/>
    <x v="4"/>
    <s v="Ninguno"/>
    <s v="Cantidad suscriptores a televisión de pago por comuna"/>
    <s v="Año 2019"/>
    <s v="Número de suscripciones"/>
    <s v="Biblioteca del Congreso Nacional"/>
    <x v="1429"/>
    <s v="En el año 2019, la comuna con más suscripciones a televisión de pago en la región de Coquimbo fue Coquimbo, con 45.052. Al contrario, la que tuvo menos suscritos fue Río Hurtado, con 682."/>
    <s v="Nube de palabras"/>
    <s v="región de Coquimbo ranking suscripciones televisión pago comuna país Chile"/>
    <x v="1413"/>
    <s v="100-C-4"/>
    <s v="#1774B51"/>
    <s v="990-1430"/>
    <n v="99200004"/>
    <s v="T-1066"/>
    <s v="C-1023"/>
    <s v="FI-993"/>
    <s v="M-1118"/>
  </r>
  <r>
    <x v="1430"/>
    <n v="990"/>
    <x v="0"/>
    <x v="14"/>
    <n v="5"/>
    <x v="72"/>
    <x v="29"/>
    <x v="1"/>
    <x v="5"/>
    <s v="Ninguno"/>
    <s v="Cantidad suscriptores a televisión de pago por comuna"/>
    <s v="Año 2019"/>
    <s v="Número de suscripciones"/>
    <s v="Biblioteca del Congreso Nacional"/>
    <x v="1430"/>
    <s v="En el año 2019, la comuna con más suscripciones a televisión de pago en la región de Valparaíso fue Viña del Mar, con 87.417. Al contrario, la que tuvo menos suscritos fue Isla de Pascua, con 8."/>
    <s v="Nube de palabras"/>
    <s v="región de Valparaíso ranking suscripciones televisión pago comuna país Chile"/>
    <x v="1414"/>
    <s v="100-C-5"/>
    <s v="#1774B52"/>
    <s v="990-1431"/>
    <n v="99200005"/>
    <s v="T-1066"/>
    <s v="C-1023"/>
    <s v="FI-993"/>
    <s v="M-1118"/>
  </r>
  <r>
    <x v="1431"/>
    <n v="990"/>
    <x v="0"/>
    <x v="14"/>
    <n v="6"/>
    <x v="72"/>
    <x v="29"/>
    <x v="1"/>
    <x v="6"/>
    <s v="Ninguno"/>
    <s v="Cantidad suscriptores a televisión de pago por comuna"/>
    <s v="Año 2019"/>
    <s v="Número de suscripciones"/>
    <s v="Biblioteca del Congreso Nacional"/>
    <x v="1431"/>
    <s v="En el año 2019, la comuna con más suscripciones a televisión de pago en la región de O'Higgins fue Rancagua, con 52.102. Al contrario, la que tuvo menos suscritos fue La Estrella, con 566."/>
    <s v="Nube de palabras"/>
    <s v="región de O'Higgins ranking suscripciones televisión pago comuna país Chile"/>
    <x v="1415"/>
    <s v="100-C-6"/>
    <s v="#1774B53"/>
    <s v="990-1432"/>
    <n v="99200006"/>
    <s v="T-1066"/>
    <s v="C-1023"/>
    <s v="FI-993"/>
    <s v="M-1118"/>
  </r>
  <r>
    <x v="1432"/>
    <n v="990"/>
    <x v="0"/>
    <x v="14"/>
    <n v="7"/>
    <x v="72"/>
    <x v="29"/>
    <x v="1"/>
    <x v="7"/>
    <s v="Ninguno"/>
    <s v="Cantidad suscriptores a televisión de pago por comuna"/>
    <s v="Año 2019"/>
    <s v="Número de suscripciones"/>
    <s v="Biblioteca del Congreso Nacional"/>
    <x v="1432"/>
    <s v="En el año 2019, la comuna con más suscripciones a televisión de pago en la región de Maule fue Curicó, con 33.660. Al contrario, la que tuvo menos suscritos fue Empedrado, con 373."/>
    <s v="Nube de palabras"/>
    <s v="región de Maule ranking suscripciones televisión pago comuna país Chile"/>
    <x v="1416"/>
    <s v="100-C-7"/>
    <s v="#1774B54"/>
    <s v="990-1433"/>
    <n v="99200007"/>
    <s v="T-1066"/>
    <s v="C-1023"/>
    <s v="FI-993"/>
    <s v="M-1118"/>
  </r>
  <r>
    <x v="1433"/>
    <n v="990"/>
    <x v="0"/>
    <x v="14"/>
    <n v="8"/>
    <x v="72"/>
    <x v="29"/>
    <x v="1"/>
    <x v="8"/>
    <s v="Ninguno"/>
    <s v="Cantidad suscriptores a televisión de pago por comuna"/>
    <s v="Año 2019"/>
    <s v="Número de suscripciones"/>
    <s v="Biblioteca del Congreso Nacional"/>
    <x v="1433"/>
    <s v="En el año 2019, la comuna con más suscripciones a televisión de pago en la región de Biobío fue Concepción, con 49.930. Al contrario, la que tuvo menos suscritos fue San Rosendo, con 301."/>
    <s v="Nube de palabras"/>
    <s v="región del Biobío ranking suscripciones televisión pago comuna país Chile"/>
    <x v="1417"/>
    <s v="100-C-8"/>
    <s v="#1774B55"/>
    <s v="990-1434"/>
    <n v="99200008"/>
    <s v="T-1066"/>
    <s v="C-1023"/>
    <s v="FI-993"/>
    <s v="M-1118"/>
  </r>
  <r>
    <x v="1434"/>
    <n v="990"/>
    <x v="0"/>
    <x v="14"/>
    <n v="9"/>
    <x v="72"/>
    <x v="29"/>
    <x v="1"/>
    <x v="9"/>
    <s v="Ninguno"/>
    <s v="Cantidad suscriptores a televisión de pago por comuna"/>
    <s v="Año 2019"/>
    <s v="Número de suscripciones"/>
    <s v="Biblioteca del Congreso Nacional"/>
    <x v="1434"/>
    <s v="En el año 2019, la comuna con más suscripciones a televisión de pago en la región de La Araucanía fue Temuco, con 48.555. Al contrario, la que tuvo menos suscritos fue Los Sauces, con 715."/>
    <s v="Nube de palabras"/>
    <s v="región de La Araucanía ranking suscripciones televisión pago comuna país Chile"/>
    <x v="1418"/>
    <s v="100-C-9"/>
    <s v="#1774B56"/>
    <s v="990-1435"/>
    <n v="99200009"/>
    <s v="T-1066"/>
    <s v="C-1023"/>
    <s v="FI-993"/>
    <s v="M-1118"/>
  </r>
  <r>
    <x v="1435"/>
    <n v="990"/>
    <x v="0"/>
    <x v="14"/>
    <n v="10"/>
    <x v="72"/>
    <x v="29"/>
    <x v="1"/>
    <x v="10"/>
    <s v="Ninguno"/>
    <s v="Cantidad suscriptores a televisión de pago por comuna"/>
    <s v="Año 2019"/>
    <s v="Número de suscripciones"/>
    <s v="Biblioteca del Congreso Nacional"/>
    <x v="1435"/>
    <s v="En el año 2019, la comuna con más suscripciones a televisión de pago en la región de Los Lagos fue Puerto Montt, con 51.755. Al contrario, la que tuvo menos suscritos fue Palena, con 333."/>
    <s v="Nube de palabras"/>
    <s v="región de Los Lagos ranking suscripciones televisión pago comuna país Chile"/>
    <x v="1419"/>
    <s v="100-C-10"/>
    <s v="#1774B57"/>
    <s v="990-1436"/>
    <n v="99200010"/>
    <s v="T-1066"/>
    <s v="C-1023"/>
    <s v="FI-993"/>
    <s v="M-1118"/>
  </r>
  <r>
    <x v="1436"/>
    <n v="990"/>
    <x v="0"/>
    <x v="14"/>
    <n v="11"/>
    <x v="72"/>
    <x v="29"/>
    <x v="1"/>
    <x v="11"/>
    <s v="Ninguno"/>
    <s v="Cantidad suscriptores a televisión de pago por comuna"/>
    <s v="Año 2019"/>
    <s v="Número de suscripciones"/>
    <s v="Biblioteca del Congreso Nacional"/>
    <x v="1436"/>
    <s v="En el año 2019, la comuna con más suscripciones a televisión de pago en la región de Aysén fue Guaitecas, con 13.894. Al contrario, la que tuvo menos suscritos fue Tortel, con 140."/>
    <s v="Nube de palabras"/>
    <s v="región de Aysén ranking suscripciones televisión pago comuna país Chile"/>
    <x v="1420"/>
    <s v="100-C-11"/>
    <s v="#1774B58"/>
    <s v="990-1437"/>
    <n v="99200011"/>
    <s v="T-1066"/>
    <s v="C-1023"/>
    <s v="FI-993"/>
    <s v="M-1118"/>
  </r>
  <r>
    <x v="1437"/>
    <n v="990"/>
    <x v="0"/>
    <x v="14"/>
    <n v="12"/>
    <x v="72"/>
    <x v="29"/>
    <x v="1"/>
    <x v="12"/>
    <s v="Ninguno"/>
    <s v="Cantidad suscriptores a televisión de pago por comuna"/>
    <s v="Año 2019"/>
    <s v="Número de suscripciones"/>
    <s v="Biblioteca del Congreso Nacional"/>
    <x v="1437"/>
    <s v="En el año 2019, la comuna con más suscripciones a televisión de pago en la región de Magallanes fue Punta Arenas, con 26.196. Al contrario, la que tuvo menos suscritos fue Río Verde, con 19."/>
    <s v="Nube de palabras"/>
    <s v="región de Magallanes ranking suscripciones televisión pago comuna país Chile"/>
    <x v="1421"/>
    <s v="100-C-12"/>
    <s v="#1774B59"/>
    <s v="990-1438"/>
    <n v="99200012"/>
    <s v="T-1066"/>
    <s v="C-1023"/>
    <s v="FI-993"/>
    <s v="M-1118"/>
  </r>
  <r>
    <x v="1438"/>
    <n v="990"/>
    <x v="0"/>
    <x v="14"/>
    <n v="13"/>
    <x v="72"/>
    <x v="29"/>
    <x v="1"/>
    <x v="13"/>
    <s v="Ninguno"/>
    <s v="Cantidad suscriptores a televisión de pago por comuna"/>
    <s v="Año 2019"/>
    <s v="Número de suscripciones"/>
    <s v="Biblioteca del Congreso Nacional"/>
    <x v="1438"/>
    <s v="En el año 2019, la comuna con más suscripciones a televisión de pago en la región Metropolitana fue Puente Alto, con 108.225. Al contrario, la que tuvo menos suscritos fue Alhué, con 1.026."/>
    <s v="Nube de palabras"/>
    <s v="región Metropolitana ranking suscripciones televisión pago comuna país Chile"/>
    <x v="1422"/>
    <s v="200-C-13"/>
    <s v="#1774B60"/>
    <s v="990-1439"/>
    <n v="99200013"/>
    <s v="T-1066"/>
    <s v="C-1023"/>
    <s v="FI-993"/>
    <s v="M-1118"/>
  </r>
  <r>
    <x v="1439"/>
    <n v="990"/>
    <x v="0"/>
    <x v="14"/>
    <n v="14"/>
    <x v="72"/>
    <x v="29"/>
    <x v="1"/>
    <x v="14"/>
    <s v="Ninguno"/>
    <s v="Cantidad suscriptores a televisión de pago por comuna"/>
    <s v="Año 2019"/>
    <s v="Número de suscripciones"/>
    <s v="Biblioteca del Congreso Nacional"/>
    <x v="1439"/>
    <s v="En el año 2019, la comuna con más suscripciones a televisión de pago en la región de Los Ríos fue Valdivia, con 35.044. Al contrario, la que tuvo menos suscritos fue Corral, con 1.045."/>
    <s v="Nube de palabras"/>
    <s v="región de Los Ríos ranking suscripciones televisión pago comuna país Chile"/>
    <x v="1423"/>
    <s v="100-C-14"/>
    <s v="#1774B61"/>
    <s v="990-1440"/>
    <n v="99200014"/>
    <s v="T-1066"/>
    <s v="C-1023"/>
    <s v="FI-993"/>
    <s v="M-1118"/>
  </r>
  <r>
    <x v="1440"/>
    <n v="990"/>
    <x v="0"/>
    <x v="14"/>
    <n v="15"/>
    <x v="72"/>
    <x v="29"/>
    <x v="1"/>
    <x v="15"/>
    <s v="Ninguno"/>
    <s v="Cantidad suscriptores a televisión de pago por comuna"/>
    <s v="Año 2019"/>
    <s v="Número de suscripciones"/>
    <s v="Biblioteca del Congreso Nacional"/>
    <x v="1440"/>
    <s v="En el año 2019, la comuna con más suscripciones a televisión de pago en la región de Arica y Parinacota fue Arica, con 4.352. Al contrario, la que tuvo menos suscritos fue General Lagos, con 10."/>
    <s v="Nube de palabras"/>
    <s v="región de Arica y Parinacota ranking suscripciones televisión pago comuna país Chile"/>
    <x v="1424"/>
    <s v="100-C-15"/>
    <s v="#1774B62"/>
    <s v="990-1441"/>
    <n v="99200015"/>
    <s v="T-1066"/>
    <s v="C-1023"/>
    <s v="FI-993"/>
    <s v="M-1118"/>
  </r>
  <r>
    <x v="1441"/>
    <n v="990"/>
    <x v="0"/>
    <x v="14"/>
    <n v="16"/>
    <x v="72"/>
    <x v="29"/>
    <x v="1"/>
    <x v="16"/>
    <s v="Ninguno"/>
    <s v="Cantidad suscriptores a televisión de pago por comuna"/>
    <s v="Año 2019"/>
    <s v="Número de suscripciones"/>
    <s v="Biblioteca del Congreso Nacional"/>
    <x v="1441"/>
    <s v="En el año 2019, la comuna con más suscripciones a televisión de pago en la región de Ñuble fue Chillán, con 35.767. Al contrario, la que tuvo menos suscritos fue Treguaco, con 478."/>
    <s v="Nube de palabras"/>
    <s v="región de Ñuble ranking suscripciones televisión pago comuna país Chile"/>
    <x v="1425"/>
    <s v="100-C-16"/>
    <s v="#1774B63"/>
    <s v="990-1442"/>
    <n v="99200016"/>
    <s v="T-1066"/>
    <s v="C-1023"/>
    <s v="FI-993"/>
    <s v="M-1118"/>
  </r>
  <r>
    <x v="1442"/>
    <n v="990"/>
    <x v="0"/>
    <x v="6"/>
    <n v="0"/>
    <x v="73"/>
    <x v="17"/>
    <x v="0"/>
    <x v="0"/>
    <s v="Región-Comuna"/>
    <s v="Cantidad de personas por región y comuna"/>
    <s v="Año 2017"/>
    <s v="Personas"/>
    <s v="Instituto Nacional de Estadísticas (INE)"/>
    <x v="1442"/>
    <s v="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
    <s v="Mapa de calor"/>
    <s v="población pueblos originarios indígenas etnia comunal Chile"/>
    <x v="1426"/>
    <s v="300-C"/>
    <s v="#1774B64"/>
    <s v="990-1443"/>
    <n v="99100000"/>
    <s v="T-1067"/>
    <s v="C-1012"/>
    <s v="FI-995"/>
    <s v="M-1119"/>
  </r>
  <r>
    <x v="1443"/>
    <n v="990"/>
    <x v="0"/>
    <x v="6"/>
    <n v="1"/>
    <x v="73"/>
    <x v="17"/>
    <x v="1"/>
    <x v="1"/>
    <s v="Comuna"/>
    <s v="Cantidad de personas por comuna"/>
    <s v="Año 2017"/>
    <s v="Personas"/>
    <s v="Instituto Nacional de Estadísticas (INE)"/>
    <x v="1443"/>
    <s v=" En la región de Tarapacá, la comuna con  mayor cantidad de personas que se autoidentifican como indígena es Iquique con 33.021 personas, le sigue Alto Hospicio con 32.079 personas.   "/>
    <s v="Mapa de calor"/>
    <s v="región de Tarapacá población pueblos originarios indígenas etnia comunal Chile "/>
    <x v="1427"/>
    <s v="100-C-1"/>
    <s v="#1774B65"/>
    <s v="990-1444"/>
    <n v="99200001"/>
    <s v="T-1067"/>
    <s v="C-1012"/>
    <s v="FI-991"/>
    <s v="M-1120"/>
  </r>
  <r>
    <x v="1444"/>
    <n v="990"/>
    <x v="0"/>
    <x v="6"/>
    <n v="2"/>
    <x v="73"/>
    <x v="17"/>
    <x v="1"/>
    <x v="2"/>
    <s v="Comuna"/>
    <s v="Cantidad de personas por comuna"/>
    <s v="Año 2017"/>
    <s v="Personas"/>
    <s v="Instituto Nacional de Estadísticas (INE)"/>
    <x v="1444"/>
    <s v="Las comunas con más de 25.000 personas que se autoidentifican como indígenas en la Región de Antofagas son Antofagasta y Calama. En tanto María Elena y Ollahue son las que tienen menor cantidad."/>
    <s v="Mapa de calor"/>
    <s v="región de Antofagasta población pueblos originarios indígenas etnia comunal Chile "/>
    <x v="1428"/>
    <s v="100-C-2"/>
    <s v="#1774B66"/>
    <s v="990-1445"/>
    <n v="99200002"/>
    <s v="T-1067"/>
    <s v="C-1012"/>
    <s v="FI-991"/>
    <s v="M-1120"/>
  </r>
  <r>
    <x v="1445"/>
    <n v="990"/>
    <x v="0"/>
    <x v="6"/>
    <n v="3"/>
    <x v="73"/>
    <x v="17"/>
    <x v="1"/>
    <x v="3"/>
    <s v="Comuna"/>
    <s v="Cantidad de personas por comuna"/>
    <s v="Año 2017"/>
    <s v="Personas"/>
    <s v="Instituto Nacional de Estadísticas (INE)"/>
    <x v="1445"/>
    <s v="En la región de Atacama, la comuna con  mayor cantidad de personas que se autoidentifican como indígena es Copiapó con 27.078 personas, le sigue Vallenar con 12.369 personas."/>
    <s v="Mapa de calor"/>
    <s v="región de Atacama población pueblos originarios indígenas etnia comunal Chile "/>
    <x v="1429"/>
    <s v="100-C-3"/>
    <s v="#1774B67"/>
    <s v="990-1446"/>
    <n v="99200003"/>
    <s v="T-1067"/>
    <s v="C-1012"/>
    <s v="FI-991"/>
    <s v="M-1120"/>
  </r>
  <r>
    <x v="1446"/>
    <n v="990"/>
    <x v="0"/>
    <x v="6"/>
    <n v="4"/>
    <x v="73"/>
    <x v="17"/>
    <x v="1"/>
    <x v="4"/>
    <s v="Comuna"/>
    <s v="Cantidad de personas por comuna"/>
    <s v="Año 2017"/>
    <s v="Personas"/>
    <s v="Instituto Nacional de Estadísticas (INE)"/>
    <x v="1446"/>
    <s v="Mapa de cantidad de personas que se autoidentifican como Indígena a escala comunal de la región de Coquimbo para el año 2017 según el INE."/>
    <s v="Mapa de calor"/>
    <s v="región de Coquimbo población pueblos originarios indígenas etnia comunal Chile "/>
    <x v="1430"/>
    <s v="100-C-4"/>
    <s v="#1774B68"/>
    <s v="990-1447"/>
    <n v="99200004"/>
    <s v="T-1067"/>
    <s v="C-1012"/>
    <s v="FI-991"/>
    <s v="M-1120"/>
  </r>
  <r>
    <x v="1447"/>
    <n v="990"/>
    <x v="0"/>
    <x v="6"/>
    <n v="5"/>
    <x v="73"/>
    <x v="17"/>
    <x v="1"/>
    <x v="5"/>
    <s v="Comuna"/>
    <s v="Cantidad de personas por comuna"/>
    <s v="Año 2017"/>
    <s v="Personas"/>
    <s v="Instituto Nacional de Estadísticas (INE)"/>
    <x v="1447"/>
    <s v=" En la región de Valparaíso, la comuna con  mayor cantidad de personas que se autoidentifican como indígena es Viña del Mar con 20.573 personas, le sigue Valparaíso con 20.153 personas. "/>
    <s v="Mapa de calor"/>
    <s v="región de Valparaíso población pueblos originarios indígenas etnia comunal Chile "/>
    <x v="1431"/>
    <s v="100-C-5"/>
    <s v="#1774B69"/>
    <s v="990-1448"/>
    <n v="99200005"/>
    <s v="T-1067"/>
    <s v="C-1012"/>
    <s v="FI-991"/>
    <s v="M-1120"/>
  </r>
  <r>
    <x v="1448"/>
    <n v="990"/>
    <x v="0"/>
    <x v="6"/>
    <n v="6"/>
    <x v="73"/>
    <x v="17"/>
    <x v="1"/>
    <x v="6"/>
    <s v="Comuna"/>
    <s v="Cantidad de personas por comuna"/>
    <s v="Año 2017"/>
    <s v="Personas"/>
    <s v="Instituto Nacional de Estadísticas (INE)"/>
    <x v="1448"/>
    <s v="En la región de O'Higgins, la comuna con  mayor cantidad de personas que se autoidentifican como indígena es Rancagua con 18.461 personas, le sigue San Fernando con 4.281 personas. "/>
    <s v="Mapa de calor"/>
    <s v="región de O'Higgins población pueblos originarios indígenas etnia comunal Chile "/>
    <x v="1432"/>
    <s v="100-C-6"/>
    <s v="#1774B70"/>
    <s v="990-1449"/>
    <n v="99200006"/>
    <s v="T-1067"/>
    <s v="C-1012"/>
    <s v="FI-991"/>
    <s v="M-1120"/>
  </r>
  <r>
    <x v="1449"/>
    <n v="990"/>
    <x v="0"/>
    <x v="6"/>
    <n v="7"/>
    <x v="73"/>
    <x v="17"/>
    <x v="1"/>
    <x v="7"/>
    <s v="Comuna"/>
    <s v="Cantidad de personas por comuna"/>
    <s v="Año 2017"/>
    <s v="Personas"/>
    <s v="Instituto Nacional de Estadísticas (INE)"/>
    <x v="1449"/>
    <s v=" En la región de  Maule, la comuna con  mayor cantidad de personas que se autoidentifican como indígena es Curicó con 9.298 personas, le sigue Talca con 9.280 personas. "/>
    <s v="Mapa de calor"/>
    <s v="región de Maule población pueblos originarios indígenas etnia comunal Chile "/>
    <x v="1433"/>
    <s v="100-C-7"/>
    <s v="#1774B71"/>
    <s v="990-1450"/>
    <n v="99200007"/>
    <s v="T-1067"/>
    <s v="C-1012"/>
    <s v="FI-991"/>
    <s v="M-1120"/>
  </r>
  <r>
    <x v="1450"/>
    <n v="990"/>
    <x v="0"/>
    <x v="6"/>
    <n v="8"/>
    <x v="73"/>
    <x v="17"/>
    <x v="1"/>
    <x v="8"/>
    <s v="Comuna"/>
    <s v="Cantidad de personas por comuna"/>
    <s v="Año 2017"/>
    <s v="Personas"/>
    <s v="Instituto Nacional de Estadísticas (INE)"/>
    <x v="1450"/>
    <s v="Mapa de cantidad de personas que se autoidentifican como Indígena a escala comunal de la región de Biobío para el año 2017 según el INE"/>
    <s v="Mapa de calor"/>
    <s v="región del Biobío población pueblos originarios indígenas etnia comunal Chile "/>
    <x v="1434"/>
    <s v="100-C-8"/>
    <s v="#1774B72"/>
    <s v="990-1451"/>
    <n v="99200008"/>
    <s v="T-1067"/>
    <s v="C-1012"/>
    <s v="FI-991"/>
    <s v="M-1120"/>
  </r>
  <r>
    <x v="1451"/>
    <n v="990"/>
    <x v="0"/>
    <x v="6"/>
    <n v="9"/>
    <x v="73"/>
    <x v="17"/>
    <x v="1"/>
    <x v="9"/>
    <s v="Comuna"/>
    <s v="Cantidad de personas por comuna"/>
    <s v="Año 2017"/>
    <s v="Personas"/>
    <s v="Instituto Nacional de Estadísticas (INE)"/>
    <x v="1451"/>
    <s v=" Las comunas con más de 25.000 personas que se autoidentifican como indígenas en la Región de Araucanía son Temuco con 68.369 y Padre Las Casas con 37.197. En tanto Renaico es la que tiene menor cantidad."/>
    <s v="Mapa de calor"/>
    <s v="región de La Araucanía población pueblos originarios indígenas etnia comunal Chile "/>
    <x v="1435"/>
    <s v="100-C-9"/>
    <s v="#1774B73"/>
    <s v="990-1452"/>
    <n v="99200009"/>
    <s v="T-1067"/>
    <s v="C-1012"/>
    <s v="FI-991"/>
    <s v="M-1120"/>
  </r>
  <r>
    <x v="1452"/>
    <n v="990"/>
    <x v="0"/>
    <x v="6"/>
    <n v="10"/>
    <x v="73"/>
    <x v="17"/>
    <x v="1"/>
    <x v="10"/>
    <s v="Comuna"/>
    <s v="Cantidad de personas por comuna"/>
    <s v="Año 2017"/>
    <s v="Personas"/>
    <s v="Instituto Nacional de Estadísticas (INE)"/>
    <x v="1452"/>
    <s v=" Las comunas con más de 25.000 personas que se autoidentifican como indígenas en la Región de Los Lagos son Puerto Montt con 52.483 y Osorno con 47.257. En tanto Cochamó, Futaleufú y Palena son las que tienen menor cantidad. "/>
    <s v="Mapa de calor"/>
    <s v="región de Los Lagos población pueblos originarios indígenas etnia comunal Chile "/>
    <x v="1436"/>
    <s v="100-C-10"/>
    <s v="#1774B74"/>
    <s v="990-1453"/>
    <n v="99200010"/>
    <s v="T-1067"/>
    <s v="C-1012"/>
    <s v="FI-991"/>
    <s v="M-1120"/>
  </r>
  <r>
    <x v="1453"/>
    <n v="990"/>
    <x v="0"/>
    <x v="6"/>
    <n v="11"/>
    <x v="73"/>
    <x v="17"/>
    <x v="1"/>
    <x v="11"/>
    <s v="Comuna"/>
    <s v="Cantidad de personas por comuna"/>
    <s v="Año 2017"/>
    <s v="Personas"/>
    <s v="Instituto Nacional de Estadísticas (INE)"/>
    <x v="1453"/>
    <s v="Mapa de cantidad de personas que se autoidentifican como Indígena a escala comunal de la región de Aysén para el año 2017 según el INE."/>
    <s v="Mapa de calor"/>
    <s v="región de Aysén población pueblos originarios indígenas etnia comunal Chile "/>
    <x v="1437"/>
    <s v="100-C-11"/>
    <s v="#1774B75"/>
    <s v="990-1454"/>
    <n v="99200011"/>
    <s v="T-1067"/>
    <s v="C-1012"/>
    <s v="FI-991"/>
    <s v="M-1120"/>
  </r>
  <r>
    <x v="1454"/>
    <n v="990"/>
    <x v="0"/>
    <x v="6"/>
    <n v="12"/>
    <x v="73"/>
    <x v="17"/>
    <x v="1"/>
    <x v="12"/>
    <s v="Comuna"/>
    <s v="Cantidad de personas por comuna"/>
    <s v="Año 2017"/>
    <s v="Personas"/>
    <s v="Instituto Nacional de Estadísticas (INE)"/>
    <x v="1454"/>
    <s v="La comuna con más de 25.000 personas que se autoidentifican como indígenas en la Región de Magallanes es Punta Arenas con 28.334 personas. "/>
    <s v="Mapa de calor"/>
    <s v="región de Magallanes población pueblos originarios indígenas etnia comunal Chile "/>
    <x v="1438"/>
    <s v="100-C-12"/>
    <s v="#1774B76"/>
    <s v="990-1455"/>
    <n v="99200012"/>
    <s v="T-1067"/>
    <s v="C-1012"/>
    <s v="FI-991"/>
    <s v="M-1120"/>
  </r>
  <r>
    <x v="1455"/>
    <n v="990"/>
    <x v="0"/>
    <x v="6"/>
    <n v="13"/>
    <x v="73"/>
    <x v="17"/>
    <x v="1"/>
    <x v="13"/>
    <s v="Comuna"/>
    <s v="Cantidad de personas por comuna"/>
    <s v="Año 2017"/>
    <s v="Personas"/>
    <s v="Instituto Nacional de Estadísticas (INE)"/>
    <x v="1455"/>
    <s v="En la región de  Metropolitana, la comuna con  mayor cantidad de personas que se autoidentifican como indígena es Puente Alto con 62.337, le sigue Maipú con 51.728 personas. "/>
    <s v="Mapa de calor"/>
    <s v="región Metropolitana población pueblos originarios indígenas etnia comunal Chile "/>
    <x v="1439"/>
    <s v="200-C-13"/>
    <s v="#1774B77"/>
    <s v="990-1456"/>
    <n v="99200013"/>
    <s v="T-1067"/>
    <s v="C-1012"/>
    <s v="FI-991"/>
    <s v="M-1120"/>
  </r>
  <r>
    <x v="1456"/>
    <n v="990"/>
    <x v="0"/>
    <x v="6"/>
    <n v="14"/>
    <x v="73"/>
    <x v="17"/>
    <x v="1"/>
    <x v="14"/>
    <s v="Comuna"/>
    <s v="Cantidad de personas por comuna"/>
    <s v="Año 2017"/>
    <s v="Personas"/>
    <s v="Instituto Nacional de Estadísticas (INE)"/>
    <x v="1456"/>
    <s v="Las comunas con más de 25.000 personas que se autoidentifican como indígenas en la Región de Los Ríos es Valdivia con 28.868. En tanto Máfil y Corral son la que tienen menor cantidad de personas."/>
    <s v="Mapa de calor"/>
    <s v="región de Los Ríos población pueblos originarios indígenas etnia comunal Chile "/>
    <x v="1440"/>
    <s v="100-C-14"/>
    <s v="#1774B78"/>
    <s v="990-1457"/>
    <n v="99200014"/>
    <s v="T-1067"/>
    <s v="C-1012"/>
    <s v="FI-991"/>
    <s v="M-1120"/>
  </r>
  <r>
    <x v="1457"/>
    <n v="990"/>
    <x v="0"/>
    <x v="6"/>
    <n v="15"/>
    <x v="73"/>
    <x v="17"/>
    <x v="1"/>
    <x v="15"/>
    <s v="Comuna"/>
    <s v="Cantidad de personas por comuna"/>
    <s v="Año 2017"/>
    <s v="Personas"/>
    <s v="Instituto Nacional de Estadísticas (INE)"/>
    <x v="1457"/>
    <s v="Mapa de cantidad de personas que se autoidentifican como Indígena a escala comunal de la región de Arica y Parinacota para el año 2017 según el INE."/>
    <s v="Mapa de calor"/>
    <s v="región de Arica y Parinacota población pueblos originarios indígenas etnia comunal Chile "/>
    <x v="1441"/>
    <s v="100-C-15"/>
    <s v="#1774B79"/>
    <s v="990-1458"/>
    <n v="99200015"/>
    <s v="T-1067"/>
    <s v="C-1012"/>
    <s v="FI-991"/>
    <s v="M-1120"/>
  </r>
  <r>
    <x v="1458"/>
    <n v="990"/>
    <x v="0"/>
    <x v="6"/>
    <n v="16"/>
    <x v="73"/>
    <x v="17"/>
    <x v="1"/>
    <x v="16"/>
    <s v="Comuna"/>
    <s v="Cantidad de personas por comuna"/>
    <s v="Año 2017"/>
    <s v="Personas"/>
    <s v="Instituto Nacional de Estadísticas (INE)"/>
    <x v="1458"/>
    <s v="Mapa de cantidad de personas que se autoidentifican como Indígena a escala comunal de la región de Ñuble para el año 2017 según el INE."/>
    <s v="Mapa de calor"/>
    <s v="región de Ñuble población pueblos originarios indígenas etnia comunal Chile "/>
    <x v="1442"/>
    <s v="100-C-16"/>
    <s v="#1774B80"/>
    <s v="990-1459"/>
    <n v="99200016"/>
    <s v="T-1067"/>
    <s v="C-1012"/>
    <s v="FI-991"/>
    <s v="M-1120"/>
  </r>
  <r>
    <x v="1459"/>
    <n v="990"/>
    <x v="0"/>
    <x v="6"/>
    <n v="0"/>
    <x v="74"/>
    <x v="17"/>
    <x v="0"/>
    <x v="0"/>
    <s v="Región-Comuna"/>
    <s v="Cantidad de personas por región y comuna "/>
    <s v="Año 2017"/>
    <s v="Personas"/>
    <s v="Instituto Nacional de Estadísticas (INE)"/>
    <x v="1459"/>
    <s v="La región con mayor cantidad de personas autoidentificadas como indígenas, que superan los 100 años de edad, es la región Metropolinada con 141 personas, seguidas de La Araucanía y los Lagos con 85 y 38 personas respectivamente."/>
    <s v="Gráfico"/>
    <s v="población pueblos originarios indígenas etnia edad regional Chile"/>
    <x v="1443"/>
    <s v="300-C"/>
    <s v="#1774B81"/>
    <s v="990-1460"/>
    <n v="99100000"/>
    <e v="#N/A"/>
    <s v="C-1012"/>
    <s v="FI-995"/>
    <s v="M-1121"/>
  </r>
  <r>
    <x v="1460"/>
    <n v="990"/>
    <x v="0"/>
    <x v="6"/>
    <n v="1"/>
    <x v="74"/>
    <x v="17"/>
    <x v="1"/>
    <x v="1"/>
    <s v="Ninguno"/>
    <s v="Cantidad de personas por rango etario"/>
    <s v="Año 2017"/>
    <s v="Personas"/>
    <s v="Instituto Nacional de Estadísticas (INE)"/>
    <x v="1460"/>
    <s v="En la región de Tarapacá, el mayor grupo etario de personas autoidentificadas como indígena, para el año 2017, fue de &quot;5 a 9&quot; con 7.788 personas, seguido por el rango de &quot;25 a 29&quot; con 7.372 personas."/>
    <s v="Gráfico"/>
    <s v="región de Tarapacá población pueblos originarios indígenas etnia edad Chile "/>
    <x v="1444"/>
    <s v="100-C-1"/>
    <s v="#1774B82"/>
    <s v="990-1461"/>
    <n v="99200001"/>
    <e v="#N/A"/>
    <s v="C-1012"/>
    <s v="FI-993"/>
    <s v="M-1122"/>
  </r>
  <r>
    <x v="1461"/>
    <n v="990"/>
    <x v="0"/>
    <x v="6"/>
    <n v="2"/>
    <x v="74"/>
    <x v="17"/>
    <x v="1"/>
    <x v="2"/>
    <s v="Ninguno"/>
    <s v="Cantidad de personas por rango etario"/>
    <s v="Año 2017"/>
    <s v="Personas"/>
    <s v="Instituto Nacional de Estadísticas (INE)"/>
    <x v="1460"/>
    <s v="En la región de Antofagasta, el mayor grupo etario de personas autoidentificadas como indígena para el año 2017  fue de &quot;25 a 29&quot; con 7.698 personas, seguido por el rango de &quot;20 a 24&quot;con 7.188 indígenas."/>
    <s v="Gráfico"/>
    <s v="región de Antofagasta población pueblos originarios indígenas etnia edad Chile "/>
    <x v="1445"/>
    <s v="100-C-2"/>
    <s v="#1774B83"/>
    <s v="990-1462"/>
    <n v="99200002"/>
    <e v="#N/A"/>
    <s v="C-1012"/>
    <s v="FI-993"/>
    <s v="M-1122"/>
  </r>
  <r>
    <x v="1462"/>
    <n v="990"/>
    <x v="0"/>
    <x v="6"/>
    <n v="3"/>
    <x v="74"/>
    <x v="17"/>
    <x v="1"/>
    <x v="3"/>
    <s v="Ninguno"/>
    <s v="Cantidad de personas por rango etario"/>
    <s v="Año 2017"/>
    <s v="Personas"/>
    <s v="Instituto Nacional de Estadísticas (INE)"/>
    <x v="1460"/>
    <s v="Gráfico por grupo etario  de cantidad de personas que se autoidentifican como indígena en la región de Atacama para el año 2017, según el INE._x000a_"/>
    <s v="Gráfico"/>
    <s v="región de Atacama población pueblos originarios indígenas etnia edad Chile "/>
    <x v="1446"/>
    <s v="100-C-3"/>
    <s v="#1774B84"/>
    <s v="990-1463"/>
    <n v="99200003"/>
    <e v="#N/A"/>
    <s v="C-1012"/>
    <s v="FI-993"/>
    <s v="M-1122"/>
  </r>
  <r>
    <x v="1463"/>
    <n v="990"/>
    <x v="0"/>
    <x v="6"/>
    <n v="4"/>
    <x v="74"/>
    <x v="17"/>
    <x v="1"/>
    <x v="4"/>
    <s v="Ninguno"/>
    <s v="Cantidad de personas por rango etario"/>
    <s v="Año 2017"/>
    <s v="Personas"/>
    <s v="Instituto Nacional de Estadísticas (INE)"/>
    <x v="1460"/>
    <s v="En la región de Coquimbo, el mayor grupo etario de personas autoidentificadas como indígena para el año 2017  fue de &quot;5 a 9&quot; con 5.570 personas, seguido por el rango de &quot;15 a 19&quot; con 5.310 indígenas."/>
    <s v="Gráfico"/>
    <s v="región de Coquimbo población pueblos originarios indígenas etnia edad Chile "/>
    <x v="1447"/>
    <s v="100-C-4"/>
    <s v="#1774B85"/>
    <s v="990-1464"/>
    <n v="99200004"/>
    <e v="#N/A"/>
    <s v="C-1012"/>
    <s v="FI-993"/>
    <s v="M-1122"/>
  </r>
  <r>
    <x v="1464"/>
    <n v="990"/>
    <x v="0"/>
    <x v="6"/>
    <n v="5"/>
    <x v="74"/>
    <x v="17"/>
    <x v="1"/>
    <x v="5"/>
    <s v="Ninguno"/>
    <s v="Cantidad de personas por rango etario"/>
    <s v="Año 2017"/>
    <s v="Personas"/>
    <s v="Instituto Nacional de Estadísticas (INE)"/>
    <x v="1460"/>
    <s v="Gráfico por grupo etario  de cantidad de personas que se autoidentifican como indígena en la región de Valparaíso para el año 2017, según el INE."/>
    <s v="Gráfico"/>
    <s v="región de Valparaíso población pueblos originarios indígenas etnia edad Chile "/>
    <x v="1448"/>
    <s v="100-C-5"/>
    <s v="#1774B86"/>
    <s v="990-1465"/>
    <n v="99200005"/>
    <e v="#N/A"/>
    <s v="C-1012"/>
    <s v="FI-993"/>
    <s v="M-1122"/>
  </r>
  <r>
    <x v="1465"/>
    <n v="990"/>
    <x v="0"/>
    <x v="6"/>
    <n v="6"/>
    <x v="74"/>
    <x v="17"/>
    <x v="1"/>
    <x v="6"/>
    <s v="Ninguno"/>
    <s v="Cantidad de personas por rango etario"/>
    <s v="Año 2017"/>
    <s v="Personas"/>
    <s v="Instituto Nacional de Estadísticas (INE)"/>
    <x v="1460"/>
    <s v="Gráfico por grupo etario  de cantidad de personas que se autoidentifican como indígena en la región de O'Higgins para el año 2017, según el INE."/>
    <s v="Gráfico"/>
    <s v="región de O'Higgins población pueblos originarios indígenas etnia edad Chile "/>
    <x v="1449"/>
    <s v="100-C-6"/>
    <s v="#1774B87"/>
    <s v="990-1466"/>
    <n v="99200006"/>
    <e v="#N/A"/>
    <s v="C-1012"/>
    <s v="FI-993"/>
    <s v="M-1122"/>
  </r>
  <r>
    <x v="1466"/>
    <n v="990"/>
    <x v="0"/>
    <x v="6"/>
    <n v="7"/>
    <x v="74"/>
    <x v="17"/>
    <x v="1"/>
    <x v="7"/>
    <s v="Ninguno"/>
    <s v="Cantidad de personas por rango etario"/>
    <s v="Año 2017"/>
    <s v="Personas"/>
    <s v="Instituto Nacional de Estadísticas (INE)"/>
    <x v="1460"/>
    <s v="En la región del Maule, el mayor grupo etario de personas autoidentificadas como indígena para el año 2017  fue de &quot;5 a 9&quot; con 3.793 personas, seguido por el rango de &quot;25 a 29&quot; con 3.728 indígenas."/>
    <s v="Gráfico"/>
    <s v="región de Maule población pueblos originarios indígenas etnia edad Chile "/>
    <x v="1450"/>
    <s v="100-C-7"/>
    <s v="#1774B88"/>
    <s v="990-1467"/>
    <n v="99200007"/>
    <e v="#N/A"/>
    <s v="C-1012"/>
    <s v="FI-993"/>
    <s v="M-1122"/>
  </r>
  <r>
    <x v="1467"/>
    <n v="990"/>
    <x v="0"/>
    <x v="6"/>
    <n v="8"/>
    <x v="74"/>
    <x v="17"/>
    <x v="1"/>
    <x v="8"/>
    <s v="Ninguno"/>
    <s v="Cantidad de personas por rango etario"/>
    <s v="Año 2017"/>
    <s v="Personas"/>
    <s v="Instituto Nacional de Estadísticas (INE)"/>
    <x v="1460"/>
    <s v="En la región del Biobío, el mayor grupo etario de personas autoidentificadas como indígena para el año 2017  fue de &quot;5 a 9&quot; con 13.753 personas, seguido por el rango de &quot;20 a 24&quot; con 13.652 indígenas."/>
    <s v="Gráfico"/>
    <s v="región del Biobío población pueblos originarios indígenas etnia edad Chile "/>
    <x v="1451"/>
    <s v="100-C-8"/>
    <s v="#1774B89"/>
    <s v="990-1468"/>
    <n v="99200008"/>
    <e v="#N/A"/>
    <s v="C-1012"/>
    <s v="FI-993"/>
    <s v="M-1122"/>
  </r>
  <r>
    <x v="1468"/>
    <n v="990"/>
    <x v="0"/>
    <x v="6"/>
    <n v="9"/>
    <x v="74"/>
    <x v="17"/>
    <x v="1"/>
    <x v="9"/>
    <s v="Ninguno"/>
    <s v="Cantidad de personas por rango etario"/>
    <s v="Año 2017"/>
    <s v="Personas"/>
    <s v="Instituto Nacional de Estadísticas (INE)"/>
    <x v="1460"/>
    <s v=" Gráfico por grupo etario  de cantidad de personas que se autoidentifican como indígena en la región de la Araucanía para el año 2017, según el INE."/>
    <s v="Gráfico"/>
    <s v="región de La Araucanía población pueblos originarios indígenas etnia edad Chile "/>
    <x v="1452"/>
    <s v="100-C-9"/>
    <s v="#1774B90"/>
    <s v="990-1469"/>
    <n v="99200009"/>
    <e v="#N/A"/>
    <s v="C-1012"/>
    <s v="FI-993"/>
    <s v="M-1122"/>
  </r>
  <r>
    <x v="1469"/>
    <n v="990"/>
    <x v="0"/>
    <x v="6"/>
    <n v="10"/>
    <x v="74"/>
    <x v="17"/>
    <x v="1"/>
    <x v="10"/>
    <s v="Ninguno"/>
    <s v="Cantidad de personas por rango etario"/>
    <s v="Año 2017"/>
    <s v="Personas"/>
    <s v="Instituto Nacional de Estadísticas (INE)"/>
    <x v="1460"/>
    <s v="En la región de Los Lagos el grupo etario de &quot;40 a 44&quot; años, corresponde al 7,1% del total de las personas que se autoidentifican como  indígena en la región al año 2017."/>
    <s v="Gráfico"/>
    <s v="región de Los Lagos población pueblos originarios indígenas etnia edad Chile "/>
    <x v="1453"/>
    <s v="100-C-10"/>
    <s v="#1774B91"/>
    <s v="990-1470"/>
    <n v="99200010"/>
    <e v="#N/A"/>
    <s v="C-1012"/>
    <s v="FI-993"/>
    <s v="M-1122"/>
  </r>
  <r>
    <x v="1470"/>
    <n v="990"/>
    <x v="0"/>
    <x v="6"/>
    <n v="11"/>
    <x v="74"/>
    <x v="17"/>
    <x v="1"/>
    <x v="11"/>
    <s v="Ninguno"/>
    <s v="Cantidad de personas por rango etario"/>
    <s v="Año 2017"/>
    <s v="Personas"/>
    <s v="Instituto Nacional de Estadísticas (INE)"/>
    <x v="1460"/>
    <s v="En la región de Aysén el grupo etario de &quot;40 a 44&quot; años, corresponde al 6,9% del total de las personas que se autoidentifican como indígena en la región al año 2017."/>
    <s v="Gráfico"/>
    <s v="región de Aysén población pueblos originarios indígenas etnia edad Chile "/>
    <x v="1454"/>
    <s v="100-C-11"/>
    <s v="#1774B92"/>
    <s v="990-1471"/>
    <n v="99200011"/>
    <e v="#N/A"/>
    <s v="C-1012"/>
    <s v="FI-993"/>
    <s v="M-1122"/>
  </r>
  <r>
    <x v="1471"/>
    <n v="990"/>
    <x v="0"/>
    <x v="6"/>
    <n v="12"/>
    <x v="74"/>
    <x v="17"/>
    <x v="1"/>
    <x v="12"/>
    <s v="Ninguno"/>
    <s v="Cantidad de personas por rango etario"/>
    <s v="Año 2017"/>
    <s v="Personas"/>
    <s v="Instituto Nacional de Estadísticas (INE)"/>
    <x v="1460"/>
    <s v="En la región de Magallanes, el mayor grupo etario de personas autoidentificadas como indígena para el año 2017  fue de &quot;25 a 29&quot; con 3.607 personas, seguido por el rango de &quot;15 a 19&quot; con 3.353 indígenas."/>
    <s v="Gráfico"/>
    <s v="región de Magallanes población pueblos originarios indígenas etnia edad Chile "/>
    <x v="1455"/>
    <s v="100-C-12"/>
    <s v="#1774B93"/>
    <s v="990-1472"/>
    <n v="99200012"/>
    <e v="#N/A"/>
    <s v="C-1012"/>
    <s v="FI-993"/>
    <s v="M-1122"/>
  </r>
  <r>
    <x v="1472"/>
    <n v="990"/>
    <x v="0"/>
    <x v="6"/>
    <n v="13"/>
    <x v="74"/>
    <x v="17"/>
    <x v="1"/>
    <x v="13"/>
    <s v="Ninguno"/>
    <s v="Cantidad de personas por rango etario"/>
    <s v="Año 2017"/>
    <s v="Personas"/>
    <s v="Instituto Nacional de Estadísticas (INE)"/>
    <x v="1460"/>
    <s v="En la región de Metropolitana, el mayor grupo etario de personas autoidentificadas como indígena para el año 2017  fue de &quot;25 a 29&quot; con 62.378 personas, seguido por el rango de &quot;15 a 19&quot; con 60.139 indígenas."/>
    <s v="Gráfico"/>
    <s v="región Metropolitana población pueblos originarios indígenas etnia edad Chile "/>
    <x v="1456"/>
    <s v="200-C-13"/>
    <s v="#1774B94"/>
    <s v="990-1473"/>
    <n v="99200013"/>
    <e v="#N/A"/>
    <s v="C-1012"/>
    <s v="FI-993"/>
    <s v="M-1122"/>
  </r>
  <r>
    <x v="1473"/>
    <n v="990"/>
    <x v="0"/>
    <x v="6"/>
    <n v="14"/>
    <x v="74"/>
    <x v="17"/>
    <x v="1"/>
    <x v="14"/>
    <s v="Ninguno"/>
    <s v="Cantidad de personas por rango etario"/>
    <s v="Año 2017"/>
    <s v="Personas"/>
    <s v="Instituto Nacional de Estadísticas (INE)"/>
    <x v="1460"/>
    <s v="En la región de Los Ríos el grupo etario de &quot;40 a 44&quot; años, corresponde al 6,6% del total de las personas que se autoidentifican como indígena en la región al año 2017."/>
    <s v="Gráfico"/>
    <s v="región de Los Ríos población pueblos originarios indígenas etnia edad Chile "/>
    <x v="1457"/>
    <s v="100-C-14"/>
    <s v="#1774B95"/>
    <s v="990-1474"/>
    <n v="99200014"/>
    <e v="#N/A"/>
    <s v="C-1012"/>
    <s v="FI-993"/>
    <s v="M-1122"/>
  </r>
  <r>
    <x v="1474"/>
    <n v="990"/>
    <x v="0"/>
    <x v="6"/>
    <n v="15"/>
    <x v="74"/>
    <x v="17"/>
    <x v="1"/>
    <x v="15"/>
    <s v="Ninguno"/>
    <s v="Cantidad de personas por rango etario"/>
    <s v="Año 2017"/>
    <s v="Personas"/>
    <s v="Instituto Nacional de Estadísticas (INE)"/>
    <x v="1460"/>
    <s v="En la región de Arica y Parinacota, el mayor grupo etario de personas autoidentificadas como indígena para el año 2017  fue de &quot;5 a 9&quot; con 7.050 personas, seguido por el rango de &quot;20 a 24&quot; con 6.929 indígenas."/>
    <s v="Gráfico"/>
    <s v="región de Arica y Parinacota población pueblos originarios indígenas etnia edad Chile "/>
    <x v="1458"/>
    <s v="100-C-15"/>
    <s v="#1774B96"/>
    <s v="990-1475"/>
    <n v="99200015"/>
    <e v="#N/A"/>
    <s v="C-1012"/>
    <s v="FI-993"/>
    <s v="M-1122"/>
  </r>
  <r>
    <x v="1475"/>
    <n v="990"/>
    <x v="0"/>
    <x v="6"/>
    <n v="16"/>
    <x v="74"/>
    <x v="17"/>
    <x v="1"/>
    <x v="16"/>
    <s v="Ninguno"/>
    <s v="Cantidad de personas por rango etario"/>
    <s v="Año 2017"/>
    <s v="Personas"/>
    <s v="Instituto Nacional de Estadísticas (INE)"/>
    <x v="1460"/>
    <s v="En la región de Ñuble el grupo etario de &quot;40 a 44&quot; años, corresponde al 6,5% del total de las personas que se autoidentifican como indígena en la región al año 2017."/>
    <s v="Gráfico"/>
    <s v="región de Ñuble población pueblos originarios indígenas etnia edad Chile "/>
    <x v="1459"/>
    <s v="100-C-16"/>
    <s v="#1774B97"/>
    <s v="990-1476"/>
    <n v="99200016"/>
    <e v="#N/A"/>
    <s v="C-1012"/>
    <s v="FI-993"/>
    <s v="M-1122"/>
  </r>
  <r>
    <x v="1476"/>
    <n v="990"/>
    <x v="0"/>
    <x v="6"/>
    <n v="0"/>
    <x v="73"/>
    <x v="17"/>
    <x v="0"/>
    <x v="0"/>
    <s v="Ninguno"/>
    <s v="Cantidad de personas por pueblo indígena"/>
    <s v="Año 2017"/>
    <s v="Personas"/>
    <s v="Instituto Nacional de Estadísticas (INE)"/>
    <x v="1461"/>
    <s v="En Chile, para el año 2017, el pueblo indígena con mayor cantidad de personas autoidentificadas como indígena, fue el Pueblo Mapuche con 1.745.147 personas, mientras el pueblo Yagán o Yámana  fue el pueblo con menor cantidad, con 1.600 personas. "/>
    <s v="Nube de palabras"/>
    <s v="población pueblos originarios indígenas etnia Chile"/>
    <x v="1460"/>
    <n v="0"/>
    <s v="#1774B98"/>
    <s v="990-1477"/>
    <n v="99100000"/>
    <s v="T-1067"/>
    <s v="C-1012"/>
    <s v="FI-993"/>
    <s v="M-1123"/>
  </r>
  <r>
    <x v="1477"/>
    <n v="990"/>
    <x v="0"/>
    <x v="6"/>
    <n v="0"/>
    <x v="73"/>
    <x v="17"/>
    <x v="0"/>
    <x v="0"/>
    <s v="Ninguno"/>
    <s v="Cantidad de personas por pueblo indígena por región"/>
    <s v="Año 2017"/>
    <s v="Personas"/>
    <s v="Instituto Nacional de Estadísticas (INE)"/>
    <x v="1462"/>
    <s v="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quot;Otro&quot;, referido a otros pueblos indígenas, originarios, tribales u otras etnias declaradas por la población censada, y “Pueblo Ignorado&quot; referido a la población que se declaró perteneciente a un pueblo indígena u originario pero cuyo pueblo específico no fue declarado o posible de clasificar."/>
    <s v="Gráfico"/>
    <s v="Chile población pueblos originarios indígenas etnia regional"/>
    <x v="1461"/>
    <s v="300-R"/>
    <s v="#1774B99"/>
    <s v="990-1478"/>
    <n v="99100000"/>
    <s v="T-1067"/>
    <s v="C-1012"/>
    <s v="FI-993"/>
    <s v="M-1124"/>
  </r>
  <r>
    <x v="1478"/>
    <n v="990"/>
    <x v="0"/>
    <x v="6"/>
    <n v="1"/>
    <x v="73"/>
    <x v="17"/>
    <x v="1"/>
    <x v="1"/>
    <s v="Ninguno"/>
    <s v="Cantidad de personas por pueblo indígena"/>
    <s v="Año 2017"/>
    <s v="Personas"/>
    <s v="Instituto Nacional de Estadísticas (INE)"/>
    <x v="1463"/>
    <s v="En la región de Tarapacá, el pueblo Aymara presenta  mayor porcentaje de personas autoidentificada como indígena para el año 2017  con un 61,2 %, mientras que el pueblo indíegna con menor porcentaje es el Colla con un 1% ."/>
    <s v="Gráfico"/>
    <s v="región de Tarapacá población pueblos originarios indígenas etnia "/>
    <x v="1462"/>
    <s v="100-R-1"/>
    <s v="#1774B100"/>
    <s v="990-1479"/>
    <n v="99200001"/>
    <s v="T-1067"/>
    <s v="C-1012"/>
    <s v="FI-993"/>
    <s v="M-1123"/>
  </r>
  <r>
    <x v="1479"/>
    <n v="990"/>
    <x v="0"/>
    <x v="6"/>
    <n v="2"/>
    <x v="73"/>
    <x v="17"/>
    <x v="1"/>
    <x v="2"/>
    <s v="Ninguno"/>
    <s v="Cantidad de personas por pueblo indígena"/>
    <s v="Año 2017"/>
    <s v="Personas"/>
    <s v="Instituto Nacional de Estadísticas (INE)"/>
    <x v="1464"/>
    <s v="En la región de Antofagasta, el pueblo Likan Antai presenta  mayor porcentaje de personas autoidentificada como indígena para el año 2017  con un 30,7 %, mientras que el pueblo indíegna con menor porcentaje es el Colla con un 1,2% ._x000a_"/>
    <s v="Gráfico"/>
    <s v="región de Antofagasta población pueblos originarios indígenas etnia "/>
    <x v="1463"/>
    <s v="100-R-2"/>
    <s v="#1774B101"/>
    <s v="990-1480"/>
    <n v="99200002"/>
    <s v="T-1067"/>
    <s v="C-1012"/>
    <s v="FI-993"/>
    <s v="M-1123"/>
  </r>
  <r>
    <x v="1480"/>
    <n v="990"/>
    <x v="0"/>
    <x v="6"/>
    <n v="3"/>
    <x v="73"/>
    <x v="17"/>
    <x v="1"/>
    <x v="3"/>
    <s v="Ninguno"/>
    <s v="Cantidad de personas por pueblo indígena"/>
    <s v="Año 2017"/>
    <s v="Personas"/>
    <s v="Instituto Nacional de Estadísticas (INE)"/>
    <x v="1465"/>
    <s v="En la región de Atacama, el pueblo Diaguita presenta  mayor porcentaje de personas autoidentificada como indígena para el año 2017 con un 47,6 %, mientras que el pueblo indígena con menor porcentaje es el Likan Antai con un 0,7% ."/>
    <s v="Gráfico"/>
    <s v="región de Atacama población pueblos originarios indígenas etnia "/>
    <x v="1464"/>
    <s v="100-R-3"/>
    <s v="#1774B102"/>
    <s v="990-1481"/>
    <n v="99200003"/>
    <s v="T-1067"/>
    <s v="C-1012"/>
    <s v="FI-993"/>
    <s v="M-1123"/>
  </r>
  <r>
    <x v="1481"/>
    <n v="990"/>
    <x v="0"/>
    <x v="6"/>
    <n v="4"/>
    <x v="73"/>
    <x v="17"/>
    <x v="1"/>
    <x v="4"/>
    <s v="Ninguno"/>
    <s v="Cantidad de personas por pueblo indígena"/>
    <s v="Año 2017"/>
    <s v="Personas"/>
    <s v="Instituto Nacional de Estadísticas (INE)"/>
    <x v="1466"/>
    <s v="En la región de Coquimbo, el pueblo Diaguita presenta  mayor porcentaje de personas autoidentificada como indígena para el año 2017 con un 40,8 %, mientras que el pueblo indígena con menor porcentaje es el Yagán o Yámana con un 0,1% ."/>
    <s v="Gráfico"/>
    <s v="región de Coquimbo población pueblos originarios indígenas etnia "/>
    <x v="1465"/>
    <s v="100-R-4"/>
    <s v="#1774B103"/>
    <s v="990-1482"/>
    <n v="99200004"/>
    <s v="T-1067"/>
    <s v="C-1012"/>
    <s v="FI-993"/>
    <s v="M-1123"/>
  </r>
  <r>
    <x v="1482"/>
    <n v="990"/>
    <x v="0"/>
    <x v="6"/>
    <n v="5"/>
    <x v="73"/>
    <x v="17"/>
    <x v="1"/>
    <x v="5"/>
    <s v="Ninguno"/>
    <s v="Cantidad de personas por pueblo indígena"/>
    <s v="Año 2017"/>
    <s v="Personas"/>
    <s v="Instituto Nacional de Estadísticas (INE)"/>
    <x v="1467"/>
    <s v="En la región de Valparaíso, el pueblo Mapuche presenta  mayor porcentaje de personas autoidentificada como indígena para el año 2017 con un 77,3 %, mientras que el pueblo indígena con menor porcentaje es el Yagán o Yámana con un 0,1% ."/>
    <s v="Gráfico"/>
    <s v="región de Valparaíso población pueblos originarios indígenas etnia "/>
    <x v="1466"/>
    <s v="100-R-5"/>
    <s v="#1774B104"/>
    <s v="990-1483"/>
    <n v="99200005"/>
    <s v="T-1067"/>
    <s v="C-1012"/>
    <s v="FI-993"/>
    <s v="M-1123"/>
  </r>
  <r>
    <x v="1483"/>
    <n v="990"/>
    <x v="0"/>
    <x v="6"/>
    <n v="6"/>
    <x v="73"/>
    <x v="17"/>
    <x v="1"/>
    <x v="6"/>
    <s v="Ninguno"/>
    <s v="Cantidad de personas por pueblo indígena"/>
    <s v="Año 2017"/>
    <s v="Personas"/>
    <s v="Instituto Nacional de Estadísticas (INE)"/>
    <x v="1468"/>
    <s v="En la región de  O'Higgins, el pueblo Mapuche presenta  mayor porcentaje de personas autoidentificada como indígena para el año 2017 con un 90 %, mientras que el pueblo indígena con menor porcentaje es el Yagán o Yámana con un 0,1% ."/>
    <s v="Gráfico"/>
    <s v="región de O'Higgins población pueblos originarios indígenas etnia "/>
    <x v="1467"/>
    <s v="100-R-6"/>
    <s v="#1774B105"/>
    <s v="990-1484"/>
    <n v="99200006"/>
    <s v="T-1067"/>
    <s v="C-1012"/>
    <s v="FI-993"/>
    <s v="M-1123"/>
  </r>
  <r>
    <x v="1484"/>
    <n v="990"/>
    <x v="0"/>
    <x v="6"/>
    <n v="7"/>
    <x v="73"/>
    <x v="17"/>
    <x v="1"/>
    <x v="7"/>
    <s v="Ninguno"/>
    <s v="Cantidad de personas por pueblo indígena"/>
    <s v="Año 2017"/>
    <s v="Personas"/>
    <s v="Instituto Nacional de Estadísticas (INE)"/>
    <x v="1469"/>
    <s v="En la región del Maule, el pueblo Mapuche presenta  mayor porcentaje de personas autoidentificada como indígena para el año 2017 con un 90 %, mientras que el pueblo indígena con menor porcentaje es el Yagán o Yámana con un 0,1% ."/>
    <s v="Gráfico"/>
    <s v="región de Maule población pueblos originarios indígenas etnia "/>
    <x v="1468"/>
    <s v="100-R-7"/>
    <s v="#1774B106"/>
    <s v="990-1485"/>
    <n v="99200007"/>
    <s v="T-1067"/>
    <s v="C-1012"/>
    <s v="FI-993"/>
    <s v="M-1123"/>
  </r>
  <r>
    <x v="1485"/>
    <n v="990"/>
    <x v="0"/>
    <x v="6"/>
    <n v="8"/>
    <x v="73"/>
    <x v="17"/>
    <x v="1"/>
    <x v="8"/>
    <s v="Ninguno"/>
    <s v="Cantidad de personas por pueblo indígena"/>
    <s v="Año 2017"/>
    <s v="Personas"/>
    <s v="Instituto Nacional de Estadísticas (INE)"/>
    <x v="1470"/>
    <s v="En la región del Biobío, el pueblo Mapuche presenta  mayor porcentaje de personas autoidentificada como indígena para el año 2017 con un 94,9 %, mientras que el pueblo indígena con menor porcentaje es el Yagán o Yámana con un 0,1% ."/>
    <s v="Gráfico"/>
    <s v="región de Biobío población pueblos originarios indígenas etnia "/>
    <x v="1469"/>
    <s v="100-R-8"/>
    <s v="#1774B107"/>
    <s v="990-1486"/>
    <n v="99200008"/>
    <s v="T-1067"/>
    <s v="C-1012"/>
    <s v="FI-993"/>
    <s v="M-1123"/>
  </r>
  <r>
    <x v="1486"/>
    <n v="990"/>
    <x v="0"/>
    <x v="6"/>
    <n v="9"/>
    <x v="73"/>
    <x v="17"/>
    <x v="1"/>
    <x v="9"/>
    <s v="Ninguno"/>
    <s v="Cantidad de personas por pueblo indígena"/>
    <s v="Año 2017"/>
    <s v="Personas"/>
    <s v="Instituto Nacional de Estadísticas (INE)"/>
    <x v="1471"/>
    <s v="En la región de La Araucanía, el pueblo Mapuche presenta  mayor porcentaje de personas autoidentificada como indígena para el año 2017 con un 97,8 %, mientras que el pueblo indígena con menor porcentaje es el Yagán o Yámana con un 0% ."/>
    <s v="Gráfico"/>
    <s v="región de La Araucanía población pueblos originarios indígenas etnia "/>
    <x v="1470"/>
    <s v="100-R-9"/>
    <s v="#1774B108"/>
    <s v="990-1487"/>
    <n v="99200009"/>
    <s v="T-1067"/>
    <s v="C-1012"/>
    <s v="FI-993"/>
    <s v="M-1123"/>
  </r>
  <r>
    <x v="1487"/>
    <n v="990"/>
    <x v="0"/>
    <x v="6"/>
    <n v="10"/>
    <x v="73"/>
    <x v="17"/>
    <x v="1"/>
    <x v="10"/>
    <s v="Ninguno"/>
    <s v="Cantidad de personas por pueblo indígena"/>
    <s v="Año 2017"/>
    <s v="Personas"/>
    <s v="Instituto Nacional de Estadísticas (INE)"/>
    <x v="1472"/>
    <s v="En la región de Los Lagos, el pueblo Mapuche presenta  mayor porcentaje de personas autoidentificada como indígena para el año 2017 con un 96,5 %, mientras que el pueblo indígena con menor porcentaje es el Colla con 0% ."/>
    <s v="Gráfico"/>
    <s v="región de Los Lagos población pueblos originarios indígenas etnia "/>
    <x v="1471"/>
    <s v="100-R-10"/>
    <s v="#1774B109"/>
    <s v="990-1488"/>
    <n v="99200010"/>
    <s v="T-1067"/>
    <s v="C-1012"/>
    <s v="FI-993"/>
    <s v="M-1123"/>
  </r>
  <r>
    <x v="1488"/>
    <n v="990"/>
    <x v="0"/>
    <x v="6"/>
    <n v="11"/>
    <x v="73"/>
    <x v="17"/>
    <x v="1"/>
    <x v="11"/>
    <s v="Ninguno"/>
    <s v="Cantidad de personas por pueblo indígena"/>
    <s v="Año 2017"/>
    <s v="Personas"/>
    <s v="Instituto Nacional de Estadísticas (INE)"/>
    <x v="1473"/>
    <s v="En la región de Aysén, el pueblo Mapuche presenta  mayor porcentaje de personas autoidentificada como indígena para el año 2017 con un 95,2 %, mientras que el pueblo indígena con menor porcentaje es el Colla con 0% ."/>
    <s v="Gráfico"/>
    <s v="región de Aysén población pueblos originarios indígenas etnia "/>
    <x v="1472"/>
    <s v="100-R-11"/>
    <s v="#1774B110"/>
    <s v="990-1489"/>
    <n v="99200011"/>
    <s v="T-1067"/>
    <s v="C-1012"/>
    <s v="FI-993"/>
    <s v="M-1123"/>
  </r>
  <r>
    <x v="1489"/>
    <n v="990"/>
    <x v="0"/>
    <x v="6"/>
    <n v="12"/>
    <x v="73"/>
    <x v="17"/>
    <x v="1"/>
    <x v="12"/>
    <s v="Ninguno"/>
    <s v="Cantidad de personas por pueblo indígena"/>
    <s v="Año 2017"/>
    <s v="Personas"/>
    <s v="Instituto Nacional de Estadísticas (INE)"/>
    <x v="1474"/>
    <s v="En la región de Magallanes, el pueblo Mapuche presenta  mayor porcentaje de personas autoidentificada como indígena para el año 2017 con un 93,1 %, seguido por el pueblo Kawésqar con un 2,5%  mientras que el pueblo indígena con menor porcentaje es el Colla con 0% ."/>
    <s v="Gráfico"/>
    <s v="región de Magallanes población pueblos originarios indígenas etnia "/>
    <x v="1473"/>
    <s v="100-R-12"/>
    <s v="#1774B111"/>
    <s v="990-1490"/>
    <n v="99200012"/>
    <s v="T-1067"/>
    <s v="C-1012"/>
    <s v="FI-993"/>
    <s v="M-1123"/>
  </r>
  <r>
    <x v="1490"/>
    <n v="990"/>
    <x v="0"/>
    <x v="6"/>
    <n v="13"/>
    <x v="73"/>
    <x v="17"/>
    <x v="1"/>
    <x v="13"/>
    <s v="Ninguno"/>
    <s v="Cantidad de personas por pueblo indígena"/>
    <s v="Año 2017"/>
    <s v="Personas"/>
    <s v="Instituto Nacional de Estadísticas (INE)"/>
    <x v="1475"/>
    <s v="En la región de Metropolitana, el pueblo Mapuche presenta  mayor porcentaje de personas autoidentificada como indígena para el año 2017 con un 88,5 %,  mientras que el pueblo indígena con menor porcentaje es el Yagán o Yámana con 0,1% ."/>
    <s v="Gráfico"/>
    <s v="región Metropolitana población pueblos originarios indígenas etnia "/>
    <x v="1474"/>
    <s v="200-R-13"/>
    <s v="#1774B112"/>
    <s v="990-1491"/>
    <n v="99200013"/>
    <s v="T-1067"/>
    <s v="C-1012"/>
    <s v="FI-993"/>
    <s v="M-1123"/>
  </r>
  <r>
    <x v="1491"/>
    <n v="990"/>
    <x v="0"/>
    <x v="6"/>
    <n v="14"/>
    <x v="73"/>
    <x v="17"/>
    <x v="1"/>
    <x v="14"/>
    <s v="Ninguno"/>
    <s v="Cantidad de personas por pueblo indígena"/>
    <s v="Año 2017"/>
    <s v="Personas"/>
    <s v="Instituto Nacional de Estadísticas (INE)"/>
    <x v="1476"/>
    <s v="En la región de Metropolitana, el pueblo Mapuche presenta  mayor porcentaje de personas autoidentificada como indígena para el año 2017 con un 96,8%,  mientras que el pueblo indígena con menor porcentaje es el Likan Antai con 0% ."/>
    <s v="Gráfico"/>
    <s v="región de Los Ríos población pueblos originarios indígenas etnia "/>
    <x v="1475"/>
    <s v="100-R-14"/>
    <s v="#1774B113"/>
    <s v="990-1492"/>
    <n v="99200014"/>
    <s v="T-1067"/>
    <s v="C-1012"/>
    <s v="FI-993"/>
    <s v="M-1123"/>
  </r>
  <r>
    <x v="1492"/>
    <n v="990"/>
    <x v="0"/>
    <x v="6"/>
    <n v="15"/>
    <x v="73"/>
    <x v="17"/>
    <x v="1"/>
    <x v="15"/>
    <s v="Ninguno"/>
    <s v="Cantidad de personas por pueblo indígena"/>
    <s v="Año 2017"/>
    <s v="Personas"/>
    <s v="Instituto Nacional de Estadísticas (INE)"/>
    <x v="1477"/>
    <s v="En la región de Arica y Parinacota, el pueblo Aymara presenta  mayor porcentaje de personas autoidentificada como indígena para el año 2017 con un 75,3%, seguido por el pueblo Mapuche con un 10%,  mientras que el pueblo indígena con menor porcentaje es el Yagán o Yámana% ."/>
    <s v="Gráfico"/>
    <s v="región de Arica y Parinacota población pueblos originarios indígenas etnia "/>
    <x v="1476"/>
    <s v="100-R-15"/>
    <s v="#1774B114"/>
    <s v="990-1493"/>
    <n v="99200015"/>
    <s v="T-1067"/>
    <s v="C-1012"/>
    <s v="FI-993"/>
    <s v="M-1123"/>
  </r>
  <r>
    <x v="1493"/>
    <n v="990"/>
    <x v="0"/>
    <x v="6"/>
    <n v="16"/>
    <x v="73"/>
    <x v="17"/>
    <x v="1"/>
    <x v="16"/>
    <s v="Ninguno"/>
    <s v="Cantidad de personas por pueblo indígena"/>
    <s v="Año 2017"/>
    <s v="Personas"/>
    <s v="Instituto Nacional de Estadísticas (INE)"/>
    <x v="1478"/>
    <s v="En la región de Ñuble, el pueblo Mapuche presenta  mayor porcentaje de personas autoidentificada como indígena para el año 2017 con un 89,5%,   mientras que el pueblo indígena con menor porcentaje es el Yagán o Yámana con un 0,1% ."/>
    <s v="Gráfico"/>
    <s v="región de Ñuble población pueblos originarios indígenas etnia "/>
    <x v="1477"/>
    <s v="100-R-16"/>
    <s v="#1774B115"/>
    <s v="990-1494"/>
    <n v="99200016"/>
    <s v="T-1067"/>
    <s v="C-1012"/>
    <s v="FI-993"/>
    <s v="M-1123"/>
  </r>
  <r>
    <x v="1494"/>
    <n v="990"/>
    <x v="0"/>
    <x v="6"/>
    <n v="0"/>
    <x v="27"/>
    <x v="17"/>
    <x v="0"/>
    <x v="0"/>
    <s v="Ninguno"/>
    <s v="Cantidad de personas por región por sexo"/>
    <s v="Año 2017"/>
    <s v="Personas"/>
    <s v="Instituto Nacional de Estadísticas (INE)"/>
    <x v="1479"/>
    <s v="Sólo en las regiones de Ñuble, O´Higgins, Maule, Aysén y Antofagasta, se observa una mayor presencia de hombres pertenecientes a pueblos indígenas. En las regiones restantes la presencia de mujeres pertenecientes a pueblos indígenas es mayor que la de hombres."/>
    <s v="Gráfico"/>
    <s v="Chile población pueblos originarios indígenas etnia sexo hombre mujer "/>
    <x v="1478"/>
    <s v="300-R"/>
    <s v="#1774B116"/>
    <s v="990-1495"/>
    <n v="99100000"/>
    <s v="T-1004"/>
    <s v="C-1012"/>
    <s v="FI-993"/>
    <s v="M-1125"/>
  </r>
  <r>
    <x v="1495"/>
    <n v="990"/>
    <x v="0"/>
    <x v="6"/>
    <n v="1"/>
    <x v="27"/>
    <x v="17"/>
    <x v="1"/>
    <x v="1"/>
    <s v="Ninguno"/>
    <s v="Cantidad de personas por región por sexo"/>
    <s v="Año 2017"/>
    <s v="Personas"/>
    <s v="Instituto Nacional de Estadísticas (INE)"/>
    <x v="1480"/>
    <s v="En la región de Tarapacá, el mayor porcentaje de personas que se autoidentifican con un pueblo indígenas es de género femenino alcanzando el 50,2% del total."/>
    <s v="Gráfico"/>
    <s v="Región de Tarapacá población pueblos originarios indígenas etnia sexo hombre mujer "/>
    <x v="1479"/>
    <s v="100-R-1"/>
    <s v="#1774B117"/>
    <s v="990-1496"/>
    <n v="99200001"/>
    <s v="T-1004"/>
    <s v="C-1012"/>
    <s v="FI-993"/>
    <s v="M-1125"/>
  </r>
  <r>
    <x v="1496"/>
    <n v="990"/>
    <x v="0"/>
    <x v="6"/>
    <n v="2"/>
    <x v="27"/>
    <x v="17"/>
    <x v="1"/>
    <x v="2"/>
    <s v="Ninguno"/>
    <s v="Cantidad de personas por región por sexo"/>
    <s v="Año 2017"/>
    <s v="Personas"/>
    <s v="Instituto Nacional de Estadísticas (INE)"/>
    <x v="1481"/>
    <s v="En la región de Antofagasta, el mayor porcentaje de personas que se autoidentifican con un pueblo indígenas es de género Masculino alcanzando el 51,3% del total."/>
    <s v="Gráfico"/>
    <s v="Región de Antofagasta población pueblos originarios indígenas etnia sexo hombre mujer "/>
    <x v="1480"/>
    <s v="100-R-2"/>
    <s v="#1774B118"/>
    <s v="990-1497"/>
    <n v="99200002"/>
    <s v="T-1004"/>
    <s v="C-1012"/>
    <s v="FI-993"/>
    <s v="M-1125"/>
  </r>
  <r>
    <x v="1497"/>
    <n v="990"/>
    <x v="0"/>
    <x v="6"/>
    <n v="3"/>
    <x v="27"/>
    <x v="17"/>
    <x v="1"/>
    <x v="3"/>
    <s v="Ninguno"/>
    <s v="Cantidad de personas por región por sexo"/>
    <s v="Año 2017"/>
    <s v="Personas"/>
    <s v="Instituto Nacional de Estadísticas (INE)"/>
    <x v="1482"/>
    <s v="Del total de personas que se autoidentifican como indígena en la región de Atacama, el 49,9% son hombres y el 50,1% son mujeres."/>
    <s v="Gráfico"/>
    <s v="Región de Atacama población pueblos originarios indígenas etnia sexo hombre mujer "/>
    <x v="1481"/>
    <s v="100-R-3"/>
    <s v="#1774B119"/>
    <s v="990-1498"/>
    <n v="99200003"/>
    <s v="T-1004"/>
    <s v="C-1012"/>
    <s v="FI-993"/>
    <s v="M-1125"/>
  </r>
  <r>
    <x v="1498"/>
    <n v="990"/>
    <x v="0"/>
    <x v="6"/>
    <n v="4"/>
    <x v="27"/>
    <x v="17"/>
    <x v="1"/>
    <x v="4"/>
    <s v="Ninguno"/>
    <s v="Cantidad de personas por región por sexo"/>
    <s v="Año 2017"/>
    <s v="Personas"/>
    <s v="Instituto Nacional de Estadísticas (INE)"/>
    <x v="1483"/>
    <s v="En la región de Coquimbo, el mayor porcentaje de personas que se autoidentifican con un pueblo indígenas es de género femenino alcanzando el 50,1% del total."/>
    <s v="Gráfico"/>
    <s v="Región de Coquimbo población pueblos originarios indígenas etnia sexo hombre mujer "/>
    <x v="1482"/>
    <s v="100-R-4"/>
    <s v="#1774B120"/>
    <s v="990-1499"/>
    <n v="99200004"/>
    <s v="T-1004"/>
    <s v="C-1012"/>
    <s v="FI-993"/>
    <s v="M-1125"/>
  </r>
  <r>
    <x v="1499"/>
    <n v="990"/>
    <x v="0"/>
    <x v="6"/>
    <n v="5"/>
    <x v="27"/>
    <x v="17"/>
    <x v="1"/>
    <x v="5"/>
    <s v="Ninguno"/>
    <s v="Cantidad de personas por región por sexo"/>
    <s v="Año 2017"/>
    <s v="Personas"/>
    <s v="Instituto Nacional de Estadísticas (INE)"/>
    <x v="1484"/>
    <s v="Del total de personas que se autoidentifican como indígena en la región de Valparaíso, el 49,4% son hombres y el 50,6% son mujeres."/>
    <s v="Gráfico"/>
    <s v="Región de Valparaíso población pueblos originarios indígenas etnia sexo hombre mujer "/>
    <x v="1483"/>
    <s v="100-R-5"/>
    <s v="#1774B121"/>
    <s v="990-1500"/>
    <n v="99200005"/>
    <s v="T-1004"/>
    <s v="C-1012"/>
    <s v="FI-993"/>
    <s v="M-1125"/>
  </r>
  <r>
    <x v="1500"/>
    <n v="990"/>
    <x v="0"/>
    <x v="6"/>
    <n v="6"/>
    <x v="27"/>
    <x v="17"/>
    <x v="1"/>
    <x v="6"/>
    <s v="Ninguno"/>
    <s v="Cantidad de personas por región por sexo"/>
    <s v="Año 2017"/>
    <s v="Personas"/>
    <s v="Instituto Nacional de Estadísticas (INE)"/>
    <x v="1485"/>
    <s v=" Del total de personas que se autoidentifican como indígena en la región de O'Higgins, el 51,7% son hombres y el 48,3% son mujeres"/>
    <s v="Gráfico"/>
    <s v="Región de O'Higgins población pueblos originarios indígenas etnia sexo hombre mujer "/>
    <x v="1484"/>
    <s v="100-R-6"/>
    <s v="#1774B122"/>
    <s v="990-1501"/>
    <n v="99200006"/>
    <s v="T-1004"/>
    <s v="C-1012"/>
    <s v="FI-993"/>
    <s v="M-1125"/>
  </r>
  <r>
    <x v="1501"/>
    <n v="990"/>
    <x v="0"/>
    <x v="6"/>
    <n v="7"/>
    <x v="27"/>
    <x v="17"/>
    <x v="1"/>
    <x v="7"/>
    <s v="Ninguno"/>
    <s v="Cantidad de personas por región por sexo"/>
    <s v="Año 2017"/>
    <s v="Personas"/>
    <s v="Instituto Nacional de Estadísticas (INE)"/>
    <x v="1486"/>
    <s v="En la región de Maule, el mayor porcentaje de personas que se autoidentifican con un pueblo indígenas es de género masculino alcanzando el 50,9% del total."/>
    <s v="Gráfico"/>
    <s v="Región de Maule población pueblos originarios indígenas etnia sexo hombre mujer "/>
    <x v="1485"/>
    <s v="100-R-7"/>
    <s v="#1774B123"/>
    <s v="990-1502"/>
    <n v="99200007"/>
    <s v="T-1004"/>
    <s v="C-1012"/>
    <s v="FI-993"/>
    <s v="M-1125"/>
  </r>
  <r>
    <x v="1502"/>
    <n v="990"/>
    <x v="0"/>
    <x v="6"/>
    <n v="8"/>
    <x v="27"/>
    <x v="17"/>
    <x v="1"/>
    <x v="8"/>
    <s v="Ninguno"/>
    <s v="Cantidad de personas por región por sexo"/>
    <s v="Año 2017"/>
    <s v="Personas"/>
    <s v="Instituto Nacional de Estadísticas (INE)"/>
    <x v="1487"/>
    <s v="Del total de personas que se autoidentifican como indígena en la región del Biobío, el 49% son hombres y el 51% son mujeres."/>
    <s v="Gráfico"/>
    <s v="Región del Biobío población pueblos originarios indígenas etnia sexo hombre mujer "/>
    <x v="1486"/>
    <s v="100-R-8"/>
    <s v="#1774B124"/>
    <s v="990-1503"/>
    <n v="99200008"/>
    <s v="T-1004"/>
    <s v="C-1012"/>
    <s v="FI-993"/>
    <s v="M-1125"/>
  </r>
  <r>
    <x v="1503"/>
    <n v="990"/>
    <x v="0"/>
    <x v="6"/>
    <n v="9"/>
    <x v="27"/>
    <x v="17"/>
    <x v="1"/>
    <x v="9"/>
    <s v="Ninguno"/>
    <s v="Cantidad de personas por región por sexo"/>
    <s v="Año 2017"/>
    <s v="Personas"/>
    <s v="Instituto Nacional de Estadísticas (INE)"/>
    <x v="1488"/>
    <s v="En la región de La Araucanía, el mayor porcentaje de personas que se autoidentifican con un pueblo indígenas es de género femenino alcanzando el 51% del total."/>
    <s v="Gráfico"/>
    <s v="Región de La Araucanía población pueblos originarios indígenas etnia sexo hombre mujer "/>
    <x v="1487"/>
    <s v="100-R-9"/>
    <s v="#1774B125"/>
    <s v="990-1504"/>
    <n v="99200009"/>
    <s v="T-1004"/>
    <s v="C-1012"/>
    <s v="FI-993"/>
    <s v="M-1125"/>
  </r>
  <r>
    <x v="1504"/>
    <n v="990"/>
    <x v="0"/>
    <x v="6"/>
    <n v="10"/>
    <x v="27"/>
    <x v="17"/>
    <x v="1"/>
    <x v="10"/>
    <s v="Ninguno"/>
    <s v="Cantidad de personas por región por sexo"/>
    <s v="Año 2017"/>
    <s v="Personas"/>
    <s v="Instituto Nacional de Estadísticas (INE)"/>
    <x v="1489"/>
    <s v="En la región de Los Lagos, el mayor porcentaje de personas que se autoidentifican con un pueblo indígenas es de género femenino alcanzando el 51,8% del total."/>
    <s v="Gráfico"/>
    <s v="Región de Los Lagos población pueblos originarios indígenas etnia sexo hombre mujer "/>
    <x v="1488"/>
    <s v="100-R-10"/>
    <s v="#1774B126"/>
    <s v="990-1505"/>
    <n v="99200010"/>
    <s v="T-1004"/>
    <s v="C-1012"/>
    <s v="FI-993"/>
    <s v="M-1125"/>
  </r>
  <r>
    <x v="1505"/>
    <n v="990"/>
    <x v="0"/>
    <x v="6"/>
    <n v="11"/>
    <x v="27"/>
    <x v="17"/>
    <x v="1"/>
    <x v="11"/>
    <s v="Ninguno"/>
    <s v="Cantidad de personas por región por sexo"/>
    <s v="Año 2017"/>
    <s v="Personas"/>
    <s v="Instituto Nacional de Estadísticas (INE)"/>
    <x v="1490"/>
    <s v="Del total de personas que se autoidentifican como indígena en la región de Aysén, el 50,6% son hombres y el 49,4% son mujeres."/>
    <s v="Gráfico"/>
    <s v="Región de Aysén población pueblos originarios indígenas etnia sexo hombre mujer "/>
    <x v="1489"/>
    <s v="100-R-11"/>
    <s v="#1774B127"/>
    <s v="990-1506"/>
    <n v="99200011"/>
    <s v="T-1004"/>
    <s v="C-1012"/>
    <s v="FI-993"/>
    <s v="M-1125"/>
  </r>
  <r>
    <x v="1506"/>
    <n v="990"/>
    <x v="0"/>
    <x v="6"/>
    <n v="12"/>
    <x v="27"/>
    <x v="17"/>
    <x v="1"/>
    <x v="12"/>
    <s v="Ninguno"/>
    <s v="Cantidad de personas por región por sexo"/>
    <s v="Año 2017"/>
    <s v="Personas"/>
    <s v="Instituto Nacional de Estadísticas (INE)"/>
    <x v="1491"/>
    <s v="Del total de personas que se autoidentifican como indígena en la región de Magallanes, el 49,7% son hombres y el 50,3% son mujeres."/>
    <s v="Gráfico"/>
    <s v="Región de Magallanes población pueblos originarios indígenas etnia sexo hombre mujer "/>
    <x v="1490"/>
    <s v="100-R-12"/>
    <s v="#1774B128"/>
    <s v="990-1507"/>
    <n v="99200012"/>
    <s v="T-1004"/>
    <s v="C-1012"/>
    <s v="FI-993"/>
    <s v="M-1125"/>
  </r>
  <r>
    <x v="1507"/>
    <n v="990"/>
    <x v="0"/>
    <x v="6"/>
    <n v="13"/>
    <x v="27"/>
    <x v="17"/>
    <x v="1"/>
    <x v="13"/>
    <s v="Ninguno"/>
    <s v="Cantidad de personas por región por sexo"/>
    <s v="Año 2017"/>
    <s v="Personas"/>
    <s v="Instituto Nacional de Estadísticas (INE)"/>
    <x v="1492"/>
    <s v="En la región Metropolitana, el mayor porcentaje de personas que se autoidentifican con un pueblo indígenas es de género femenino alcanzando el 50,7% del total."/>
    <s v="Gráfico"/>
    <s v="Región Metropolitana población pueblos originarios indígenas etnia sexo hombre mujer "/>
    <x v="1491"/>
    <s v="200-R-13"/>
    <s v="#1774B129"/>
    <s v="990-1508"/>
    <n v="99200013"/>
    <s v="T-1004"/>
    <s v="C-1012"/>
    <s v="FI-993"/>
    <s v="M-1125"/>
  </r>
  <r>
    <x v="1508"/>
    <n v="990"/>
    <x v="0"/>
    <x v="6"/>
    <n v="14"/>
    <x v="27"/>
    <x v="17"/>
    <x v="1"/>
    <x v="14"/>
    <s v="Ninguno"/>
    <s v="Cantidad de personas por región por sexo"/>
    <s v="Año 2017"/>
    <s v="Personas"/>
    <s v="Instituto Nacional de Estadísticas (INE)"/>
    <x v="1493"/>
    <s v="En la región de Los Ríos, el mayor porcentaje de personas que se autoidentifican con un pueblo indígenas es de género femenino alcanzando el 51,2% del total."/>
    <s v="Gráfico"/>
    <s v="Región de Los Ríos población pueblos originarios indígenas etnia sexo hombre mujer "/>
    <x v="1492"/>
    <s v="100-R-14"/>
    <s v="#1774B130"/>
    <s v="990-1509"/>
    <n v="99200014"/>
    <s v="T-1004"/>
    <s v="C-1012"/>
    <s v="FI-993"/>
    <s v="M-1125"/>
  </r>
  <r>
    <x v="1509"/>
    <n v="990"/>
    <x v="0"/>
    <x v="6"/>
    <n v="15"/>
    <x v="27"/>
    <x v="17"/>
    <x v="1"/>
    <x v="15"/>
    <s v="Ninguno"/>
    <s v="Cantidad de personas por región por sexo"/>
    <s v="Año 2017"/>
    <s v="Personas"/>
    <s v="Instituto Nacional de Estadísticas (INE)"/>
    <x v="1494"/>
    <s v=" Del total de personas que se autoidentifican como indígena en la región de Arica y Parinacota, el 48,5% son hombres y el 51,5% son mujeres."/>
    <s v="Gráfico"/>
    <s v="Región de Arica y Parinacota población pueblos originarios indígenas etnia sexo hombre mujer "/>
    <x v="1493"/>
    <s v="100-R-15"/>
    <s v="#1774B131"/>
    <s v="990-1510"/>
    <n v="99200015"/>
    <s v="T-1004"/>
    <s v="C-1012"/>
    <s v="FI-993"/>
    <s v="M-1125"/>
  </r>
  <r>
    <x v="1510"/>
    <n v="990"/>
    <x v="0"/>
    <x v="6"/>
    <n v="16"/>
    <x v="27"/>
    <x v="17"/>
    <x v="1"/>
    <x v="16"/>
    <s v="Ninguno"/>
    <s v="Cantidad de personas por región por sexo"/>
    <s v="Año 2017"/>
    <s v="Personas"/>
    <s v="Instituto Nacional de Estadísticas (INE)"/>
    <x v="1495"/>
    <s v=" Del total de personas que se autoidentifican como indígena en la región de Ñuble, el 50,2% son hombres y el 49,8% son mujeres."/>
    <s v="Gráfico"/>
    <s v="Región de Ñuble población pueblos originarios indígenas etnia sexo hombre mujer "/>
    <x v="1494"/>
    <s v="100-R-16"/>
    <s v="#1774B132"/>
    <s v="990-1511"/>
    <n v="99200016"/>
    <s v="T-1004"/>
    <s v="C-1012"/>
    <s v="FI-993"/>
    <s v="M-1125"/>
  </r>
  <r>
    <x v="1511"/>
    <n v="990"/>
    <x v="0"/>
    <x v="0"/>
    <n v="0"/>
    <x v="75"/>
    <x v="30"/>
    <x v="0"/>
    <x v="0"/>
    <s v="Fecha"/>
    <s v="Tasa de desocupación nacional por fecha"/>
    <s v="Periodo 1986-2021"/>
    <s v="Tasa "/>
    <s v="Banco Central"/>
    <x v="1496"/>
    <s v="En Chile, la tasa de desocupación alcanzó su máximo en febrero de 1986 con un valor de 13,5. Luego, comienza a disminuir gradualmente hasta febrero de 1998, alcanzando su valor más bajo en todo el periodo observado con 5,1. En mayo de 2021, esta cifra llega a un valor de 10,3."/>
    <s v="Gráfico de Evolución"/>
    <s v="tasa de desocupación nacional mensual Chile trabajo evolución "/>
    <x v="1495"/>
    <n v="0"/>
    <s v="#1774B133"/>
    <s v="990-1512"/>
    <n v="99100000"/>
    <s v="T-1068"/>
    <s v="C-1005"/>
    <s v="FI-1010"/>
    <s v="M-1126"/>
  </r>
  <r>
    <x v="1512"/>
    <n v="990"/>
    <x v="0"/>
    <x v="0"/>
    <n v="0"/>
    <x v="76"/>
    <x v="30"/>
    <x v="0"/>
    <x v="0"/>
    <s v="Fecha"/>
    <s v="Variación de la fuerza de trabajo por fecha"/>
    <s v="Periodo 1986-2021"/>
    <s v="Porcentaje (%)"/>
    <s v="Banco Central"/>
    <x v="1497"/>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
    <s v="Gráfico de Evolución"/>
    <s v="evolución variación porcentaje fuerza de trabajo Chile mensual año anterior "/>
    <x v="1496"/>
    <n v="0"/>
    <s v="#1774B134"/>
    <s v="990-1513"/>
    <n v="99100000"/>
    <s v="T-1069"/>
    <s v="C-1005"/>
    <s v="FI-1010"/>
    <s v="M-1127"/>
  </r>
  <r>
    <x v="1513"/>
    <n v="990"/>
    <x v="0"/>
    <x v="0"/>
    <n v="0"/>
    <x v="77"/>
    <x v="30"/>
    <x v="0"/>
    <x v="0"/>
    <s v="Fecha"/>
    <s v="Variación de desocupados por fecha"/>
    <s v="Periodo 1986-2021"/>
    <s v="Porcentaje (%)"/>
    <s v="Banco Central"/>
    <x v="1498"/>
    <s v="La variación en la cantidad de desocupados a nivel nacional encontró su máximo en junio de 1999, con un valor de 85,8%. En noviembre de 2010 se observó el valor mínimo de esta variación con -29,5%. A mayo de 2021, se alcanzó una variación de -4,6%."/>
    <s v="Gráfico de Evolución"/>
    <s v="evolución variación porcentaje desocupados Chile mensual año anterior "/>
    <x v="1497"/>
    <n v="0"/>
    <s v="#1774B135"/>
    <s v="990-1514"/>
    <n v="99100000"/>
    <s v="T-1070"/>
    <s v="C-1005"/>
    <s v="FI-1010"/>
    <s v="M-1128"/>
  </r>
  <r>
    <x v="1514"/>
    <n v="990"/>
    <x v="0"/>
    <x v="9"/>
    <n v="0"/>
    <x v="78"/>
    <x v="31"/>
    <x v="0"/>
    <x v="0"/>
    <s v="Región-Fecha"/>
    <s v="Índice de producción minera por fecha"/>
    <s v="Periodo 2014-2021"/>
    <s v="Índice de producción minera"/>
    <s v="Instituto Nacional de Estadísticas (INE)"/>
    <x v="1499"/>
    <s v="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
    <s v="Gráfico de Evolución"/>
    <s v="evolución Chile nacional índice de producción minera minería IPMin"/>
    <x v="1498"/>
    <s v="300-R"/>
    <s v="#1774B136"/>
    <s v="990-1515"/>
    <n v="99100000"/>
    <s v="T-1071"/>
    <s v="C-1024"/>
    <s v="FI-1011"/>
    <s v="M-1129"/>
  </r>
  <r>
    <x v="1515"/>
    <n v="990"/>
    <x v="0"/>
    <x v="9"/>
    <n v="1"/>
    <x v="78"/>
    <x v="31"/>
    <x v="1"/>
    <x v="1"/>
    <s v="Fecha"/>
    <s v="Índice de producción minera por fecha"/>
    <s v="Periodo 2014-2021"/>
    <s v="Índice de producción minera"/>
    <s v="Instituto Nacional de Estadísticas (INE)"/>
    <x v="1500"/>
    <s v="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
    <s v="Gráfico de Evolución"/>
    <s v="Región de Tarapacá evolución Chile índice de producción minera minería IPMin"/>
    <x v="1499"/>
    <s v="100-R-1"/>
    <s v="#1774B137"/>
    <s v="990-1516"/>
    <n v="99200001"/>
    <s v="T-1071"/>
    <s v="C-1024"/>
    <s v="FI-1010"/>
    <s v="M-1129"/>
  </r>
  <r>
    <x v="1516"/>
    <n v="990"/>
    <x v="0"/>
    <x v="9"/>
    <n v="2"/>
    <x v="78"/>
    <x v="31"/>
    <x v="1"/>
    <x v="2"/>
    <s v="Fecha"/>
    <s v="Índice de producción minera por fecha"/>
    <s v="Periodo 2014-2021"/>
    <s v="Índice de producción minera"/>
    <s v="Instituto Nacional de Estadísticas (INE)"/>
    <x v="1501"/>
    <s v="En la Región de Antofagasta, en los últimos 3 años, el  Índice de Producción Minera (IPMin) alcanzó su valor máximo con 116,7 puntos en diciembre del año 2019. Sin embargo, en febrero del año 2021, el índice presentó un descenso marcando 84,6 puntos."/>
    <s v="Gráfico de Evolución"/>
    <s v="Región de Antofagasta evolución Chile índice de producción minera minería IPMin"/>
    <x v="1500"/>
    <s v="100-R-2"/>
    <s v="#1774B138"/>
    <s v="990-1517"/>
    <n v="99200002"/>
    <s v="T-1071"/>
    <s v="C-1024"/>
    <s v="FI-1010"/>
    <s v="M-1129"/>
  </r>
  <r>
    <x v="1517"/>
    <n v="990"/>
    <x v="0"/>
    <x v="9"/>
    <n v="3"/>
    <x v="78"/>
    <x v="31"/>
    <x v="1"/>
    <x v="3"/>
    <s v="Fecha"/>
    <s v="Índice de producción minera por fecha"/>
    <s v="Periodo 2014-2021"/>
    <s v="Índice de producción minera"/>
    <s v="Instituto Nacional de Estadísticas (INE)"/>
    <x v="1502"/>
    <s v="En la Región de Atacama, en los últimos 3 años, el  Índice de Producción Minera (IPMin), alcanzó su valor máximo en diciembre del año 2019, con 110,5 puntos. Sin embargo, en noviembre del año 2020, el índice presentó un descenso marcando 78,4  puntos. "/>
    <s v="Gráfico de Evolución"/>
    <s v="Región de Atacama evolución Chile índice de producción minera minería IPMin"/>
    <x v="1501"/>
    <s v="100-R-3"/>
    <s v="#1774B139"/>
    <s v="990-1518"/>
    <n v="99200003"/>
    <s v="T-1071"/>
    <s v="C-1024"/>
    <s v="FI-1010"/>
    <s v="M-1129"/>
  </r>
  <r>
    <x v="1518"/>
    <n v="990"/>
    <x v="0"/>
    <x v="9"/>
    <n v="4"/>
    <x v="78"/>
    <x v="31"/>
    <x v="1"/>
    <x v="4"/>
    <s v="Fecha"/>
    <s v="Índice de producción minera por fecha"/>
    <s v="Periodo 2014-2021"/>
    <s v="Índice de producción minera"/>
    <s v="Instituto Nacional de Estadísticas (INE)"/>
    <x v="1503"/>
    <s v="En la Región de Coquimbo, los últimos 3 años, el  Índice de Producción Minera (IPMin) alcanzó su valor máximo con 94,6 puntos en marzo del año 2020. Sin embargo, en marzo del año 2021 el índice presentó un descenso marcando 83,9 puntos."/>
    <s v="Gráfico de Evolución"/>
    <s v="Región de Coquimbo evolución Chile índice de producción minera minería IPMin"/>
    <x v="1502"/>
    <s v="100-R-4"/>
    <s v="#1774B140"/>
    <s v="990-1519"/>
    <n v="99200004"/>
    <s v="T-1071"/>
    <s v="C-1024"/>
    <s v="FI-1010"/>
    <s v="M-1129"/>
  </r>
  <r>
    <x v="1519"/>
    <n v="990"/>
    <x v="0"/>
    <x v="9"/>
    <n v="0"/>
    <x v="78"/>
    <x v="31"/>
    <x v="0"/>
    <x v="0"/>
    <s v="Región-Fecha"/>
    <s v="Producción de cobre por fecha"/>
    <s v="Periodo 2014-2021"/>
    <s v="Toneladas métricas de contenido fino (tmf)"/>
    <s v="Instituto Nacional de Estadísticas (INE)"/>
    <x v="1504"/>
    <s v="La producción de cobre en toneladas métricas de contenido fino (tmf) alcanzó el máximo, con una producción de 568.394 toneladas métricas, en diciembre del año 2018. La producción más baja, con 277.690 tmf, se registró en febrero del año 2017."/>
    <s v="Gráfico de Evolución"/>
    <s v=" evolución Chile toneladas méticas contenido fino producción cobre minería tmf "/>
    <x v="1503"/>
    <s v="300-R"/>
    <s v="#1774B141"/>
    <s v="990-1520"/>
    <n v="99100000"/>
    <s v="T-1071"/>
    <s v="C-1024"/>
    <s v="FI-1011"/>
    <s v="M-1130"/>
  </r>
  <r>
    <x v="1520"/>
    <n v="990"/>
    <x v="0"/>
    <x v="9"/>
    <n v="1"/>
    <x v="78"/>
    <x v="31"/>
    <x v="1"/>
    <x v="1"/>
    <s v="Región-Fecha"/>
    <s v="Producción de cobre por fecha"/>
    <s v="Periodo 2014-2021"/>
    <s v="Toneladas métricas de contenido fino (tmf)"/>
    <s v="Instituto Nacional de Estadísticas (INE)"/>
    <x v="1505"/>
    <s v="En la Región de Tarapacá, en los últimos 3 años, la producción de cobre en toneladas métricas de contenido fino (tmf) alcanzó el máximo, con una producción de 66.900 tmf, en mayo del año 2020. La producción más baja, con 46.516 tmf, se registró en febrero del año 2019. "/>
    <s v="Gráfico de Evolución"/>
    <s v=" evolución región de Tarapacá producción cobre toneladas contenido fino tmf "/>
    <x v="1504"/>
    <s v="100-R-1"/>
    <s v="#1774B142"/>
    <s v="990-1521"/>
    <n v="99200001"/>
    <s v="T-1071"/>
    <s v="C-1024"/>
    <s v="FI-1011"/>
    <s v="M-1130"/>
  </r>
  <r>
    <x v="1521"/>
    <n v="990"/>
    <x v="0"/>
    <x v="9"/>
    <n v="2"/>
    <x v="78"/>
    <x v="31"/>
    <x v="1"/>
    <x v="2"/>
    <s v="Región-Fecha"/>
    <s v="Producción de cobre por fecha"/>
    <s v="Periodo 2014-2021"/>
    <s v="Toneladas métricas de contenido fino (tmf)"/>
    <s v="Instituto Nacional de Estadísticas (INE)"/>
    <x v="1506"/>
    <s v="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
    <s v="Gráfico de Evolución"/>
    <s v=" evolución región de Antofagasta producción cobre toneladas contenido fino tmf"/>
    <x v="1505"/>
    <s v="100-R-2"/>
    <s v="#1774B143"/>
    <s v="990-1522"/>
    <n v="99200002"/>
    <s v="T-1071"/>
    <s v="C-1024"/>
    <s v="FI-1011"/>
    <s v="M-1130"/>
  </r>
  <r>
    <x v="1522"/>
    <n v="990"/>
    <x v="0"/>
    <x v="9"/>
    <n v="3"/>
    <x v="78"/>
    <x v="31"/>
    <x v="1"/>
    <x v="3"/>
    <s v="Región-Fecha"/>
    <s v="Producción de cobre por fecha"/>
    <s v="Periodo 2014-2021"/>
    <s v="Toneladas métricas de contenido fino (tmf)"/>
    <s v="Instituto Nacional de Estadísticas (INE)"/>
    <x v="1507"/>
    <s v="En la Región de Atacama, en los últimos 3 años, la producción de cobre en toneladas métricas de contenido fino (tmf) alcanzó el máximo, con una producción de 48.548 tmf, en diciembre del año 2019. La producción más baja, con 28.625 tmf, se registró en noviembre del año 2020. "/>
    <s v="Gráfico de Evolución"/>
    <s v=" evolución región de Atacama producción cobre toneladas contenido fino tmf "/>
    <x v="1506"/>
    <s v="100-R-3"/>
    <s v="#1774B144"/>
    <s v="990-1523"/>
    <n v="99200003"/>
    <s v="T-1071"/>
    <s v="C-1024"/>
    <s v="FI-1011"/>
    <s v="M-1130"/>
  </r>
  <r>
    <x v="1523"/>
    <n v="990"/>
    <x v="0"/>
    <x v="9"/>
    <n v="4"/>
    <x v="78"/>
    <x v="31"/>
    <x v="1"/>
    <x v="4"/>
    <s v="Región-Fecha"/>
    <s v="Producción de cobre por fecha"/>
    <s v="Periodo 2014-2021"/>
    <s v="Toneladas métricas de contenido fino (tmf)"/>
    <s v="Instituto Nacional de Estadísticas (INE)"/>
    <x v="1508"/>
    <s v="En la Región de Coquimbo, en los últimos 3 años, la producción de cobre en toneladas métricas de contenido fino (tmf) alcanzó el máximo, con una producción de 121.215 tmf, en marzo del año 2020. La producción más baja, con 105.432 tmf, se registró en marzo del año 2021. "/>
    <s v="Gráfico de Evolución"/>
    <s v=" evolución región de Coquimbo producción cobre toneladas contenido fino tmf "/>
    <x v="1507"/>
    <s v="100-R-4"/>
    <s v="#1774B145"/>
    <s v="990-1524"/>
    <n v="99200004"/>
    <s v="T-1071"/>
    <s v="C-1024"/>
    <s v="FI-1011"/>
    <s v="M-1130"/>
  </r>
  <r>
    <x v="1524"/>
    <n v="990"/>
    <x v="0"/>
    <x v="9"/>
    <n v="5"/>
    <x v="78"/>
    <x v="31"/>
    <x v="1"/>
    <x v="5"/>
    <s v="Región-Fecha"/>
    <s v="Producción de cobre por fecha"/>
    <s v="Periodo 2014-2021"/>
    <s v="Toneladas métricas de contenido fino (tmf)"/>
    <s v="Instituto Nacional de Estadísticas (INE)"/>
    <x v="1509"/>
    <s v="En la Región de Valparaíso, en los últimos 3 años, la producción de cobre en toneladas métricas de contenido fino (tmf) alcanzó el máximo, con una producción de 26.087 tmf, en agosto del año 2020. La producción más baja, con 19.080 tmf, se registró en abril del año 2021. "/>
    <s v="Gráfico de Evolución"/>
    <s v=" evolución región de Valparaíso producción cobre toneladas contenido fino tmf "/>
    <x v="1508"/>
    <s v="100-R-5"/>
    <s v="#1774B146"/>
    <s v="990-1525"/>
    <n v="99200005"/>
    <s v="T-1071"/>
    <s v="C-1024"/>
    <s v="FI-1011"/>
    <s v="M-1130"/>
  </r>
  <r>
    <x v="1525"/>
    <n v="990"/>
    <x v="0"/>
    <x v="9"/>
    <n v="0"/>
    <x v="78"/>
    <x v="31"/>
    <x v="0"/>
    <x v="0"/>
    <s v="Región-Fecha"/>
    <s v="Producción de cloruro de sodio por fecha"/>
    <s v="Periodo 2014-2021"/>
    <s v="Toneladas"/>
    <s v="Instituto Nacional de Estadísticas (INE)"/>
    <x v="1510"/>
    <s v="La producción cloruro de sodio en toneladas (t) alcanzó su máximo en julio de 2015, con una producción de 1.153.490 t. La producción más baja, con 431.393 t, se registró en enero del año 2014."/>
    <s v="Gráfico de Evolución"/>
    <s v=" evolución chile producción de cloruro sodio toneladas minería mensual "/>
    <x v="1509"/>
    <n v="0"/>
    <s v="#1774B147"/>
    <s v="990-1526"/>
    <n v="99100000"/>
    <s v="T-1071"/>
    <s v="C-1024"/>
    <s v="FI-1011"/>
    <s v="M-1131"/>
  </r>
  <r>
    <x v="1526"/>
    <n v="990"/>
    <x v="0"/>
    <x v="9"/>
    <n v="0"/>
    <x v="78"/>
    <x v="31"/>
    <x v="0"/>
    <x v="0"/>
    <s v="Región-Fecha"/>
    <s v="Producción de hierro por fecha"/>
    <s v="Periodo 2014-2021"/>
    <s v="Toneladas métricas (tm) "/>
    <s v="Instituto Nacional de Estadísticas (INE)"/>
    <x v="1511"/>
    <s v="La producción de hierro en toneladas métricas (tm) alcanzó su máximo, con una producción de 890.000 tm, en septiembre del año 2020. La producción más baja, con 120.172 tm se registró en marzo del año 2016."/>
    <s v="Gráfico de Evolución "/>
    <s v=" evolución chile producción de hierro toneladas métricas tm minería mensual"/>
    <x v="1510"/>
    <n v="0"/>
    <s v="#1774B148"/>
    <s v="990-1527"/>
    <n v="99100000"/>
    <s v="T-1071"/>
    <s v="C-1024"/>
    <s v="FI-1011"/>
    <s v="M-1132"/>
  </r>
  <r>
    <x v="1527"/>
    <n v="990"/>
    <x v="0"/>
    <x v="15"/>
    <n v="0"/>
    <x v="79"/>
    <x v="32"/>
    <x v="0"/>
    <x v="0"/>
    <s v="Región-Fecha"/>
    <s v="Número de pernoctaciones por fecha"/>
    <s v="Periodo 2016-2021"/>
    <s v="Número de pernoctaciones"/>
    <s v="Instituto Nacional de Estadísticas (INE)"/>
    <x v="1512"/>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x v="1511"/>
    <s v="300-R"/>
    <s v="#1774B149"/>
    <s v="990-1528"/>
    <n v="99100000"/>
    <s v="T-1072"/>
    <s v="C-1025"/>
    <s v="FI-1011"/>
    <s v="M-1133"/>
  </r>
  <r>
    <x v="1528"/>
    <n v="990"/>
    <x v="0"/>
    <x v="15"/>
    <n v="1"/>
    <x v="79"/>
    <x v="32"/>
    <x v="1"/>
    <x v="1"/>
    <s v="Fecha"/>
    <s v="Número de pernoctaciones por fecha"/>
    <s v="Periodo 2016-2021"/>
    <s v="Número de pernoctaciones"/>
    <s v="Instituto Nacional de Estadísticas (INE)"/>
    <x v="1513"/>
    <s v="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
    <s v="Gráfico de Evolución"/>
    <s v="Región de Tarapacá evolucion chile número pernoctaciones mensual "/>
    <x v="1512"/>
    <s v="100-R-1"/>
    <s v="#1774B150"/>
    <s v="990-1529"/>
    <n v="99200001"/>
    <s v="T-1072"/>
    <s v="C-1025"/>
    <s v="FI-1010"/>
    <s v="M-1133"/>
  </r>
  <r>
    <x v="1529"/>
    <n v="990"/>
    <x v="0"/>
    <x v="15"/>
    <n v="2"/>
    <x v="79"/>
    <x v="32"/>
    <x v="1"/>
    <x v="2"/>
    <s v="Fecha"/>
    <s v="Número de pernoctaciones por fecha"/>
    <s v="Periodo 2016-2021"/>
    <s v="Número de pernoctaciones"/>
    <s v="Instituto Nacional de Estadísticas (INE)"/>
    <x v="1514"/>
    <s v="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
    <s v="Gráfico de Evolución"/>
    <s v="Región de Antofagasta evolucion chile número pernoctaciones mensual "/>
    <x v="1513"/>
    <s v="100-R-2"/>
    <s v="#1774B151"/>
    <s v="990-1530"/>
    <n v="99200002"/>
    <s v="T-1072"/>
    <s v="C-1025"/>
    <s v="FI-1010"/>
    <s v="M-1133"/>
  </r>
  <r>
    <x v="1530"/>
    <n v="990"/>
    <x v="0"/>
    <x v="15"/>
    <n v="3"/>
    <x v="79"/>
    <x v="32"/>
    <x v="1"/>
    <x v="3"/>
    <s v="Fecha"/>
    <s v="Número de pernoctaciones por fecha"/>
    <s v="Periodo 2016-2021"/>
    <s v="Número de pernoctaciones"/>
    <s v="Instituto Nacional de Estadísticas (INE)"/>
    <x v="1515"/>
    <s v="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
    <s v="Gráfico de Evolución"/>
    <s v="Región de Atacama evolucion chile número pernoctaciones mensual "/>
    <x v="1514"/>
    <s v="100-R-3"/>
    <s v="#1774B152"/>
    <s v="990-1531"/>
    <n v="99200003"/>
    <s v="T-1072"/>
    <s v="C-1025"/>
    <s v="FI-1010"/>
    <s v="M-1133"/>
  </r>
  <r>
    <x v="1531"/>
    <n v="990"/>
    <x v="0"/>
    <x v="15"/>
    <n v="4"/>
    <x v="79"/>
    <x v="32"/>
    <x v="1"/>
    <x v="4"/>
    <s v="Fecha"/>
    <s v="Número de pernoctaciones por fecha"/>
    <s v="Periodo 2016-2021"/>
    <s v="Número de pernoctaciones"/>
    <s v="Instituto Nacional de Estadísticas (INE)"/>
    <x v="1516"/>
    <s v="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
    <s v="Gráfico de Evolución"/>
    <s v="Región de Coquimbo evolucion chile número pernoctaciones mensual "/>
    <x v="1515"/>
    <s v="100-R-4"/>
    <s v="#1774B153"/>
    <s v="990-1532"/>
    <n v="99200004"/>
    <s v="T-1072"/>
    <s v="C-1025"/>
    <s v="FI-1010"/>
    <s v="M-1133"/>
  </r>
  <r>
    <x v="1532"/>
    <n v="990"/>
    <x v="0"/>
    <x v="15"/>
    <n v="5"/>
    <x v="79"/>
    <x v="32"/>
    <x v="1"/>
    <x v="5"/>
    <s v="Fecha"/>
    <s v="Número de pernoctaciones por fecha"/>
    <s v="Periodo 2016-2021"/>
    <s v="Número de pernoctaciones"/>
    <s v="Instituto Nacional de Estadísticas (INE)"/>
    <x v="1517"/>
    <s v="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
    <s v="Gráfico de Evolución"/>
    <s v="Región de Valparaíso evolucion chile número pernoctaciones mensual "/>
    <x v="1516"/>
    <s v="100-R-5"/>
    <s v="#1774B154"/>
    <s v="990-1533"/>
    <n v="99200005"/>
    <s v="T-1072"/>
    <s v="C-1025"/>
    <s v="FI-1010"/>
    <s v="M-1133"/>
  </r>
  <r>
    <x v="1533"/>
    <n v="990"/>
    <x v="0"/>
    <x v="15"/>
    <n v="6"/>
    <x v="79"/>
    <x v="32"/>
    <x v="1"/>
    <x v="6"/>
    <s v="Fecha"/>
    <s v="Número de pernoctaciones por fecha"/>
    <s v="Periodo 2016-2021"/>
    <s v="Número de pernoctaciones"/>
    <s v="Instituto Nacional de Estadísticas (INE)"/>
    <x v="1518"/>
    <s v="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
    <s v="Gráfico de Evolución"/>
    <s v="Región de O'Higgins evolucion chile número pernoctaciones mensual "/>
    <x v="1517"/>
    <s v="100-R-6"/>
    <s v="#1774B155"/>
    <s v="990-1534"/>
    <n v="99200006"/>
    <s v="T-1072"/>
    <s v="C-1025"/>
    <s v="FI-1010"/>
    <s v="M-1133"/>
  </r>
  <r>
    <x v="1534"/>
    <n v="990"/>
    <x v="0"/>
    <x v="15"/>
    <n v="7"/>
    <x v="79"/>
    <x v="32"/>
    <x v="1"/>
    <x v="7"/>
    <s v="Fecha"/>
    <s v="Número de pernoctaciones por fecha"/>
    <s v="Periodo 2016-2021"/>
    <s v="Número de pernoctaciones"/>
    <s v="Instituto Nacional de Estadísticas (INE)"/>
    <x v="1519"/>
    <s v="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
    <s v="Gráfico de Evolución"/>
    <s v="Región de Maule evolucion chile número pernoctaciones mensual "/>
    <x v="1518"/>
    <s v="100-R-7"/>
    <s v="#1774B156"/>
    <s v="990-1535"/>
    <n v="99200007"/>
    <s v="T-1072"/>
    <s v="C-1025"/>
    <s v="FI-1010"/>
    <s v="M-1133"/>
  </r>
  <r>
    <x v="1535"/>
    <n v="990"/>
    <x v="0"/>
    <x v="15"/>
    <n v="8"/>
    <x v="79"/>
    <x v="32"/>
    <x v="1"/>
    <x v="8"/>
    <s v="Fecha"/>
    <s v="Número de pernoctaciones por fecha"/>
    <s v="Periodo 2016-2021"/>
    <s v="Número de pernoctaciones"/>
    <s v="Instituto Nacional de Estadísticas (INE)"/>
    <x v="1520"/>
    <s v="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
    <s v="Gráfico de Evolución"/>
    <s v="Región del Biobío evolucion chile número pernoctaciones mensual "/>
    <x v="1519"/>
    <s v="100-R-8"/>
    <s v="#1774B157"/>
    <s v="990-1536"/>
    <n v="99200008"/>
    <s v="T-1072"/>
    <s v="C-1025"/>
    <s v="FI-1010"/>
    <s v="M-1133"/>
  </r>
  <r>
    <x v="1536"/>
    <n v="990"/>
    <x v="0"/>
    <x v="15"/>
    <n v="9"/>
    <x v="79"/>
    <x v="32"/>
    <x v="1"/>
    <x v="9"/>
    <s v="Fecha"/>
    <s v="Número de pernoctaciones por fecha"/>
    <s v="Periodo 2016-2021"/>
    <s v="Número de pernoctaciones"/>
    <s v="Instituto Nacional de Estadísticas (INE)"/>
    <x v="1521"/>
    <s v="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
    <s v="Gráfico de Evolución"/>
    <s v="Región de La Araucanía evolucion chile número pernoctaciones mensual "/>
    <x v="1520"/>
    <s v="100-R-9"/>
    <s v="#1774B158"/>
    <s v="990-1537"/>
    <n v="99200009"/>
    <s v="T-1072"/>
    <s v="C-1025"/>
    <s v="FI-1010"/>
    <s v="M-1133"/>
  </r>
  <r>
    <x v="1537"/>
    <n v="990"/>
    <x v="0"/>
    <x v="15"/>
    <n v="10"/>
    <x v="79"/>
    <x v="32"/>
    <x v="1"/>
    <x v="10"/>
    <s v="Fecha"/>
    <s v="Número de pernoctaciones por fecha"/>
    <s v="Periodo 2016-2021"/>
    <s v="Número de pernoctaciones"/>
    <s v="Instituto Nacional de Estadísticas (INE)"/>
    <x v="1522"/>
    <s v="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
    <s v="Gráfico de Evolución"/>
    <s v="Región de Los Lagos evolucion chile número pernoctaciones mensual "/>
    <x v="1521"/>
    <s v="100-R-10"/>
    <s v="#1774B159"/>
    <s v="990-1538"/>
    <n v="99200010"/>
    <s v="T-1072"/>
    <s v="C-1025"/>
    <s v="FI-1010"/>
    <s v="M-1133"/>
  </r>
  <r>
    <x v="1538"/>
    <n v="990"/>
    <x v="0"/>
    <x v="15"/>
    <n v="11"/>
    <x v="79"/>
    <x v="32"/>
    <x v="1"/>
    <x v="11"/>
    <s v="Fecha"/>
    <s v="Número de pernoctaciones por fecha"/>
    <s v="Periodo 2016-2021"/>
    <s v="Número de pernoctaciones"/>
    <s v="Instituto Nacional de Estadísticas (INE)"/>
    <x v="1523"/>
    <s v="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
    <s v="Gráfico de Evolución"/>
    <s v="Región de Aysén evolucion chile número pernoctaciones mensual "/>
    <x v="1522"/>
    <s v="100-R-11"/>
    <s v="#1774B160"/>
    <s v="990-1539"/>
    <n v="99200011"/>
    <s v="T-1072"/>
    <s v="C-1025"/>
    <s v="FI-1010"/>
    <s v="M-1133"/>
  </r>
  <r>
    <x v="1539"/>
    <n v="990"/>
    <x v="0"/>
    <x v="15"/>
    <n v="12"/>
    <x v="79"/>
    <x v="32"/>
    <x v="1"/>
    <x v="12"/>
    <s v="Fecha"/>
    <s v="Número de pernoctaciones por fecha"/>
    <s v="Periodo 2016-2021"/>
    <s v="Número de pernoctaciones"/>
    <s v="Instituto Nacional de Estadísticas (INE)"/>
    <x v="1524"/>
    <s v="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
    <s v="Gráfico de Evolución"/>
    <s v="Región de Magallanes evolucion chile número pernoctaciones mensual "/>
    <x v="1523"/>
    <s v="100-R-12"/>
    <s v="#1774B161"/>
    <s v="990-1540"/>
    <n v="99200012"/>
    <s v="T-1072"/>
    <s v="C-1025"/>
    <s v="FI-1010"/>
    <s v="M-1133"/>
  </r>
  <r>
    <x v="1540"/>
    <n v="990"/>
    <x v="0"/>
    <x v="15"/>
    <n v="13"/>
    <x v="79"/>
    <x v="32"/>
    <x v="1"/>
    <x v="13"/>
    <s v="Fecha"/>
    <s v="Número de pernoctaciones por fecha"/>
    <s v="Periodo 2016-2021"/>
    <s v="Número de pernoctaciones"/>
    <s v="Instituto Nacional de Estadísticas (INE)"/>
    <x v="1525"/>
    <s v="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
    <s v="Gráfico de Evolución"/>
    <s v="Región Metropolitana evolucion chile número pernoctaciones mensual "/>
    <x v="1524"/>
    <s v="200-R-13"/>
    <s v="#1774B162"/>
    <s v="990-1541"/>
    <n v="99200013"/>
    <s v="T-1072"/>
    <s v="C-1025"/>
    <s v="FI-1010"/>
    <s v="M-1133"/>
  </r>
  <r>
    <x v="1541"/>
    <n v="990"/>
    <x v="0"/>
    <x v="15"/>
    <n v="14"/>
    <x v="79"/>
    <x v="32"/>
    <x v="1"/>
    <x v="14"/>
    <s v="Fecha"/>
    <s v="Número de pernoctaciones por fecha"/>
    <s v="Periodo 2016-2021"/>
    <s v="Número de pernoctaciones"/>
    <s v="Instituto Nacional de Estadísticas (INE)"/>
    <x v="1526"/>
    <s v="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
    <s v="Gráfico de Evolución"/>
    <s v="Región de Los Ríos evolucion chile número pernoctaciones mensual "/>
    <x v="1525"/>
    <s v="100-R-14"/>
    <s v="#1774B163"/>
    <s v="990-1542"/>
    <n v="99200014"/>
    <s v="T-1072"/>
    <s v="C-1025"/>
    <s v="FI-1010"/>
    <s v="M-1133"/>
  </r>
  <r>
    <x v="1542"/>
    <n v="990"/>
    <x v="0"/>
    <x v="15"/>
    <n v="15"/>
    <x v="79"/>
    <x v="32"/>
    <x v="1"/>
    <x v="15"/>
    <s v="Fecha"/>
    <s v="Número de pernoctaciones por fecha"/>
    <s v="Periodo 2016-2021"/>
    <s v="Número de pernoctaciones"/>
    <s v="Instituto Nacional de Estadísticas (INE)"/>
    <x v="1527"/>
    <s v="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
    <s v="Gráfico de Evolución"/>
    <s v="Región de Arica y Parinacota evolucion chile número pernoctaciones mensual "/>
    <x v="1526"/>
    <s v="100-R-15"/>
    <s v="#1774B164"/>
    <s v="990-1543"/>
    <n v="99200015"/>
    <s v="T-1072"/>
    <s v="C-1025"/>
    <s v="FI-1010"/>
    <s v="M-1133"/>
  </r>
  <r>
    <x v="1543"/>
    <n v="990"/>
    <x v="0"/>
    <x v="15"/>
    <n v="16"/>
    <x v="79"/>
    <x v="32"/>
    <x v="1"/>
    <x v="16"/>
    <s v="Fecha"/>
    <s v="Número de pernoctaciones por fecha"/>
    <s v="Periodo 2016-2021"/>
    <s v="Número de pernoctaciones"/>
    <s v="Instituto Nacional de Estadísticas (INE)"/>
    <x v="1528"/>
    <s v="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
    <s v="Gráfico de Evolución"/>
    <s v="Región de Ñuble evolucion chile número pernoctaciones mensual "/>
    <x v="1527"/>
    <s v="100-R-16"/>
    <s v="#1774B165"/>
    <s v="990-1544"/>
    <n v="99200016"/>
    <s v="T-1072"/>
    <s v="C-1025"/>
    <s v="FI-1010"/>
    <s v="M-1133"/>
  </r>
  <r>
    <x v="1544"/>
    <n v="990"/>
    <x v="0"/>
    <x v="15"/>
    <n v="0"/>
    <x v="80"/>
    <x v="32"/>
    <x v="0"/>
    <x v="0"/>
    <s v="Región-Fecha"/>
    <s v="Precio promedio de habitación ocupada por fecha"/>
    <s v="Periodo 2016-2021"/>
    <s v="CLP"/>
    <s v="Instituto Nacional de Estadísticas (INE)"/>
    <x v="1529"/>
    <s v="Entre julio de 2016 y febrero de 2020, el precio promedio por habitación ocupada fluctuó entre los 45.054 y los 56.719 pesos chilenos. En mayo de 2020, se registra el precio promedio mínimo de 36.138 pesos chilenos."/>
    <s v="Gráfico de Evolución"/>
    <s v="Chile nacional evolución precio promedio clp habitación ocupada mensual"/>
    <x v="1528"/>
    <s v="300-R"/>
    <s v="#1774B166"/>
    <s v="990-1545"/>
    <n v="99100000"/>
    <s v="T-1073"/>
    <s v="C-1025"/>
    <s v="FI-1011"/>
    <s v="M-1134"/>
  </r>
  <r>
    <x v="1545"/>
    <n v="990"/>
    <x v="0"/>
    <x v="15"/>
    <n v="1"/>
    <x v="80"/>
    <x v="32"/>
    <x v="1"/>
    <x v="1"/>
    <s v="Fecha"/>
    <s v="Precio promedio de habitación ocupada por fecha"/>
    <s v="Periodo 2016-2021"/>
    <s v="CLP"/>
    <s v="Instituto Nacional de Estadísticas (INE)"/>
    <x v="1530"/>
    <s v="En la región de Tarapacá, el precio promedio por habitación ocupada entre julio de 2016 y mayo de 2021 fluctuó entre los 33.309 y los 52.395,7 pesos chilenos. "/>
    <s v="Gráfico de Evolución"/>
    <s v="Región de Tarapacá evolución precio promedio clp habitación ocupada mensual "/>
    <x v="1529"/>
    <s v="100-R-1"/>
    <s v="#1774B167"/>
    <s v="990-1546"/>
    <n v="99200001"/>
    <s v="T-1073"/>
    <s v="C-1025"/>
    <s v="FI-1010"/>
    <s v="M-1134"/>
  </r>
  <r>
    <x v="1546"/>
    <n v="990"/>
    <x v="0"/>
    <x v="15"/>
    <n v="2"/>
    <x v="80"/>
    <x v="32"/>
    <x v="1"/>
    <x v="2"/>
    <s v="Fecha"/>
    <s v="Precio promedio de habitación ocupada por fecha"/>
    <s v="Periodo 2016-2021"/>
    <s v="CLP"/>
    <s v="Instituto Nacional de Estadísticas (INE)"/>
    <x v="1531"/>
    <s v="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
    <s v="Gráfico de Evolución"/>
    <s v="Región de Antofagasta evolución precio promedio clp habitación ocupada mensual "/>
    <x v="1530"/>
    <s v="100-R-2"/>
    <s v="#1774B168"/>
    <s v="990-1547"/>
    <n v="99200002"/>
    <s v="T-1073"/>
    <s v="C-1025"/>
    <s v="FI-1010"/>
    <s v="M-1134"/>
  </r>
  <r>
    <x v="1547"/>
    <n v="990"/>
    <x v="0"/>
    <x v="15"/>
    <n v="3"/>
    <x v="80"/>
    <x v="32"/>
    <x v="1"/>
    <x v="3"/>
    <s v="Fecha"/>
    <s v="Precio promedio de habitación ocupada por fecha"/>
    <s v="Periodo 2016-2021"/>
    <s v="CLP"/>
    <s v="Instituto Nacional de Estadísticas (INE)"/>
    <x v="1532"/>
    <s v="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
    <s v="Gráfico de Evolución"/>
    <s v="Región de Atacama evolución precio promedio clp habitación ocupada mensual "/>
    <x v="1531"/>
    <s v="100-R-3"/>
    <s v="#1774B169"/>
    <s v="990-1548"/>
    <n v="99200003"/>
    <s v="T-1073"/>
    <s v="C-1025"/>
    <s v="FI-1010"/>
    <s v="M-1134"/>
  </r>
  <r>
    <x v="1548"/>
    <n v="990"/>
    <x v="0"/>
    <x v="15"/>
    <n v="4"/>
    <x v="80"/>
    <x v="32"/>
    <x v="1"/>
    <x v="4"/>
    <s v="Fecha"/>
    <s v="Precio promedio de habitación ocupada por fecha"/>
    <s v="Periodo 2016-2021"/>
    <s v="CLP"/>
    <s v="Instituto Nacional de Estadísticas (INE)"/>
    <x v="1533"/>
    <s v="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
    <s v="Gráfico de Evolución"/>
    <s v="Región de Coquimbo evolución precio promedio clp habitación ocupada mensual "/>
    <x v="1532"/>
    <s v="100-R-4"/>
    <s v="#1774B170"/>
    <s v="990-1549"/>
    <n v="99200004"/>
    <s v="T-1073"/>
    <s v="C-1025"/>
    <s v="FI-1010"/>
    <s v="M-1134"/>
  </r>
  <r>
    <x v="1549"/>
    <n v="990"/>
    <x v="0"/>
    <x v="15"/>
    <n v="5"/>
    <x v="80"/>
    <x v="32"/>
    <x v="1"/>
    <x v="5"/>
    <s v="Fecha"/>
    <s v="Precio promedio de habitación ocupada por fecha"/>
    <s v="Periodo 2016-2021"/>
    <s v="CLP"/>
    <s v="Instituto Nacional de Estadísticas (INE)"/>
    <x v="1534"/>
    <s v="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
    <s v="Gráfico de Evolución"/>
    <s v="Región de Valparaíso evolución precio promedio clp habitación ocupada mensual "/>
    <x v="1533"/>
    <s v="100-R-5"/>
    <s v="#1774B171"/>
    <s v="990-1550"/>
    <n v="99200005"/>
    <s v="T-1073"/>
    <s v="C-1025"/>
    <s v="FI-1010"/>
    <s v="M-1134"/>
  </r>
  <r>
    <x v="1550"/>
    <n v="990"/>
    <x v="0"/>
    <x v="15"/>
    <n v="6"/>
    <x v="80"/>
    <x v="32"/>
    <x v="1"/>
    <x v="6"/>
    <s v="Fecha"/>
    <s v="Precio promedio de habitación ocupada por fecha"/>
    <s v="Periodo 2016-2021"/>
    <s v="CLP"/>
    <s v="Instituto Nacional de Estadísticas (INE)"/>
    <x v="1535"/>
    <s v="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
    <s v="Gráfico de Evolución"/>
    <s v="Región de O'Higgins evolución precio promedio clp habitación ocupada mensual "/>
    <x v="1534"/>
    <s v="100-R-6"/>
    <s v="#1774B172"/>
    <s v="990-1551"/>
    <n v="99200006"/>
    <s v="T-1073"/>
    <s v="C-1025"/>
    <s v="FI-1010"/>
    <s v="M-1134"/>
  </r>
  <r>
    <x v="1551"/>
    <n v="990"/>
    <x v="0"/>
    <x v="15"/>
    <n v="7"/>
    <x v="80"/>
    <x v="32"/>
    <x v="1"/>
    <x v="7"/>
    <s v="Fecha"/>
    <s v="Precio promedio de habitación ocupada por fecha"/>
    <s v="Periodo 2016-2021"/>
    <s v="CLP"/>
    <s v="Instituto Nacional de Estadísticas (INE)"/>
    <x v="1536"/>
    <s v="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
    <s v="Gráfico de Evolución"/>
    <s v="Región de Maule evolución precio promedio clp habitación ocupada mensual "/>
    <x v="1535"/>
    <s v="100-R-7"/>
    <s v="#1774B173"/>
    <s v="990-1552"/>
    <n v="99200007"/>
    <s v="T-1073"/>
    <s v="C-1025"/>
    <s v="FI-1010"/>
    <s v="M-1134"/>
  </r>
  <r>
    <x v="1552"/>
    <n v="990"/>
    <x v="0"/>
    <x v="15"/>
    <n v="8"/>
    <x v="80"/>
    <x v="32"/>
    <x v="1"/>
    <x v="8"/>
    <s v="Fecha"/>
    <s v="Precio promedio de habitación ocupada por fecha"/>
    <s v="Periodo 2016-2021"/>
    <s v="CLP"/>
    <s v="Instituto Nacional de Estadísticas (INE)"/>
    <x v="1537"/>
    <s v="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
    <s v="Gráfico de Evolución"/>
    <s v="Región del Biobío evolución precio promedio clp habitación ocupada mensual "/>
    <x v="1536"/>
    <s v="100-R-8"/>
    <s v="#1774B174"/>
    <s v="990-1553"/>
    <n v="99200008"/>
    <s v="T-1073"/>
    <s v="C-1025"/>
    <s v="FI-1010"/>
    <s v="M-1134"/>
  </r>
  <r>
    <x v="1553"/>
    <n v="990"/>
    <x v="0"/>
    <x v="15"/>
    <n v="9"/>
    <x v="80"/>
    <x v="32"/>
    <x v="1"/>
    <x v="9"/>
    <s v="Fecha"/>
    <s v="Precio promedio de habitación ocupada por fecha"/>
    <s v="Periodo 2016-2021"/>
    <s v="CLP"/>
    <s v="Instituto Nacional de Estadísticas (INE)"/>
    <x v="1538"/>
    <s v="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
    <s v="Gráfico de Evolución"/>
    <s v="Región de La Araucanía evolución precio promedio clp habitación ocupada mensual "/>
    <x v="1537"/>
    <s v="100-R-9"/>
    <s v="#1774B175"/>
    <s v="990-1554"/>
    <n v="99200009"/>
    <s v="T-1073"/>
    <s v="C-1025"/>
    <s v="FI-1010"/>
    <s v="M-1134"/>
  </r>
  <r>
    <x v="1554"/>
    <n v="990"/>
    <x v="0"/>
    <x v="15"/>
    <n v="10"/>
    <x v="80"/>
    <x v="32"/>
    <x v="1"/>
    <x v="10"/>
    <s v="Fecha"/>
    <s v="Precio promedio de habitación ocupada por fecha"/>
    <s v="Periodo 2016-2021"/>
    <s v="CLP"/>
    <s v="Instituto Nacional de Estadísticas (INE)"/>
    <x v="1539"/>
    <s v="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
    <s v="Gráfico de Evolución"/>
    <s v="Región de Los Lagos evolución precio promedio clp habitación ocupada mensual "/>
    <x v="1538"/>
    <s v="100-R-10"/>
    <s v="#1774B176"/>
    <s v="990-1555"/>
    <n v="99200010"/>
    <s v="T-1073"/>
    <s v="C-1025"/>
    <s v="FI-1010"/>
    <s v="M-1134"/>
  </r>
  <r>
    <x v="1555"/>
    <n v="990"/>
    <x v="0"/>
    <x v="15"/>
    <n v="11"/>
    <x v="80"/>
    <x v="32"/>
    <x v="1"/>
    <x v="11"/>
    <s v="Fecha"/>
    <s v="Precio promedio de habitación ocupada por fecha"/>
    <s v="Periodo 2016-2021"/>
    <s v="CLP"/>
    <s v="Instituto Nacional de Estadísticas (INE)"/>
    <x v="1540"/>
    <s v="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
    <s v="Gráfico de Evolución"/>
    <s v="Región de Aysén evolución precio promedio clp habitación ocupada mensual "/>
    <x v="1539"/>
    <s v="100-R-11"/>
    <s v="#1774B177"/>
    <s v="990-1556"/>
    <n v="99200011"/>
    <s v="T-1073"/>
    <s v="C-1025"/>
    <s v="FI-1010"/>
    <s v="M-1134"/>
  </r>
  <r>
    <x v="1556"/>
    <n v="990"/>
    <x v="0"/>
    <x v="15"/>
    <n v="12"/>
    <x v="80"/>
    <x v="32"/>
    <x v="1"/>
    <x v="12"/>
    <s v="Fecha"/>
    <s v="Precio promedio de habitación ocupada por fecha"/>
    <s v="Periodo 2016-2021"/>
    <s v="CLP"/>
    <s v="Instituto Nacional de Estadísticas (INE)"/>
    <x v="1541"/>
    <s v="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
    <s v="Gráfico de Evolución"/>
    <s v="Región de Magallanes evolución precio promedio clp habitación ocupada mensual "/>
    <x v="1540"/>
    <s v="100-R-12"/>
    <s v="#1774B178"/>
    <s v="990-1557"/>
    <n v="99200012"/>
    <s v="T-1073"/>
    <s v="C-1025"/>
    <s v="FI-1010"/>
    <s v="M-1134"/>
  </r>
  <r>
    <x v="1557"/>
    <n v="990"/>
    <x v="0"/>
    <x v="15"/>
    <n v="13"/>
    <x v="80"/>
    <x v="32"/>
    <x v="1"/>
    <x v="13"/>
    <s v="Fecha"/>
    <s v="Precio promedio de habitación ocupada por fecha"/>
    <s v="Periodo 2016-2021"/>
    <s v="CLP"/>
    <s v="Instituto Nacional de Estadísticas (INE)"/>
    <x v="1542"/>
    <s v="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
    <s v="Gráfico de Evolución"/>
    <s v="Región Metropolitana evolución precio promedio clp habitación ocupada mensual "/>
    <x v="1541"/>
    <s v="200-R-13"/>
    <s v="#1774B179"/>
    <s v="990-1558"/>
    <n v="99200013"/>
    <s v="T-1073"/>
    <s v="C-1025"/>
    <s v="FI-1010"/>
    <s v="M-1134"/>
  </r>
  <r>
    <x v="1558"/>
    <n v="990"/>
    <x v="0"/>
    <x v="15"/>
    <n v="14"/>
    <x v="80"/>
    <x v="32"/>
    <x v="1"/>
    <x v="14"/>
    <s v="Fecha"/>
    <s v="Precio promedio de habitación ocupada por fecha"/>
    <s v="Periodo 2016-2021"/>
    <s v="CLP"/>
    <s v="Instituto Nacional de Estadísticas (INE)"/>
    <x v="1543"/>
    <s v="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
    <s v="Gráfico de Evolución"/>
    <s v="Región de Los Ríos evolución precio promedio clp habitación ocupada mensual "/>
    <x v="1542"/>
    <s v="100-R-14"/>
    <s v="#1774B180"/>
    <s v="990-1559"/>
    <n v="99200014"/>
    <s v="T-1073"/>
    <s v="C-1025"/>
    <s v="FI-1010"/>
    <s v="M-1134"/>
  </r>
  <r>
    <x v="1559"/>
    <n v="990"/>
    <x v="0"/>
    <x v="15"/>
    <n v="15"/>
    <x v="80"/>
    <x v="32"/>
    <x v="1"/>
    <x v="15"/>
    <s v="Fecha"/>
    <s v="Precio promedio de habitación ocupada por fecha"/>
    <s v="Periodo 2016-2021"/>
    <s v="CLP"/>
    <s v="Instituto Nacional de Estadísticas (INE)"/>
    <x v="1544"/>
    <s v="En la región de Arica y Parinacota, el precio promedio por habitación ocupada entre julio de 2016 y junio de 2020 fluctuó entre los 30.962,1 y los 40.467,2 pesos chilenos. A partir de julio, el precio promedio aumentó considerablemente, alcanzando un máximo de 50.037,8 pesos chilenos."/>
    <s v="Gráfico de Evolución"/>
    <s v="Región de Arica y Parinacota evolución precio promedio clp habitación ocupada mensual "/>
    <x v="1543"/>
    <s v="100-R-15"/>
    <s v="#1774B181"/>
    <s v="990-1560"/>
    <n v="99200015"/>
    <s v="T-1073"/>
    <s v="C-1025"/>
    <s v="FI-1010"/>
    <s v="M-1134"/>
  </r>
  <r>
    <x v="1560"/>
    <n v="990"/>
    <x v="0"/>
    <x v="15"/>
    <n v="16"/>
    <x v="80"/>
    <x v="32"/>
    <x v="1"/>
    <x v="16"/>
    <s v="Fecha"/>
    <s v="Precio promedio de habitación ocupada por fecha"/>
    <s v="Periodo 2016-2021"/>
    <s v="CLP"/>
    <s v="Instituto Nacional de Estadísticas (INE)"/>
    <x v="1545"/>
    <s v="En la región de Ñuble, el precio promedio por habitación ocupada entre septiembre de 2018 y junio de 2021 fluctuó entre los 34.483,7 pesos chilenos, observados en el mes de mayo de 2021, y los 84.018,5 pesos chilenos, observados en julio de 2019."/>
    <s v="Gráfico de Evolución"/>
    <s v="Región de Ñuble evolución precio promedio clp habitación ocupada mensual "/>
    <x v="1544"/>
    <s v="100-R-16"/>
    <s v="#1774B182"/>
    <s v="990-1561"/>
    <n v="99200016"/>
    <s v="T-1073"/>
    <s v="C-1025"/>
    <s v="FI-1010"/>
    <s v="M-1134"/>
  </r>
  <r>
    <x v="1561"/>
    <n v="990"/>
    <x v="0"/>
    <x v="5"/>
    <n v="0"/>
    <x v="81"/>
    <x v="33"/>
    <x v="0"/>
    <x v="0"/>
    <s v="Región-Fecha"/>
    <s v="Desembarque industrial por fecha"/>
    <s v="Periodo 2014-2021"/>
    <s v="Toneladas"/>
    <s v="Servicio Nacional de Pesca y Acuicultura (SERNAPESCA)"/>
    <x v="1546"/>
    <s v="Durante el mes de febrero del año 2020, el desembarque pesquero industrial registró su máximo valor, con 104.563 toneladas. Sin embargo, se produce una disminución significativa en septiembre del mismo año, en el que se registró 2.514 toneladas."/>
    <s v="Gráfico de Evolución"/>
    <s v="Chile pesca industrial evolución mensual pesquero desembarco toneladas región regional"/>
    <x v="1545"/>
    <n v="0"/>
    <s v="#1774B183"/>
    <s v="990-1562"/>
    <n v="99100000"/>
    <s v="T-1074"/>
    <s v="C-1021"/>
    <s v="FI-1011"/>
    <s v="M-1135"/>
  </r>
  <r>
    <x v="1562"/>
    <n v="990"/>
    <x v="0"/>
    <x v="5"/>
    <n v="0"/>
    <x v="82"/>
    <x v="33"/>
    <x v="0"/>
    <x v="0"/>
    <s v="Fecha"/>
    <s v="Desembarque artesanal por fecha"/>
    <s v="Periodo 2014-2021"/>
    <s v="Toneladas"/>
    <s v="Servicio Nacional de Pesca y Acuicultura (SERNAPESCA)"/>
    <x v="1547"/>
    <s v="En el mes de febrero del año 2019, se registra un máximo de toneladas de desembarque artesanal de algas, con 19.841 toneladas. Las especies desembarcadas, en orden decreciente de toneladas son:  Pelillo, Luga Negra, Luga Roja, Huiro y Cochayuyo.  "/>
    <s v="Gráfico de Evolución"/>
    <s v="Chile pesca artesanal evolución mensual pesquero desembarco toneladas región regional"/>
    <x v="1546"/>
    <n v="0"/>
    <s v="#1774B184"/>
    <s v="990-1563"/>
    <n v="99100000"/>
    <s v="T-1075"/>
    <s v="C-1021"/>
    <s v="FI-1010"/>
    <s v="M-1136"/>
  </r>
  <r>
    <x v="1563"/>
    <n v="990"/>
    <x v="0"/>
    <x v="5"/>
    <n v="0"/>
    <x v="83"/>
    <x v="33"/>
    <x v="0"/>
    <x v="0"/>
    <s v="Fecha"/>
    <s v="Cosecha acuícola por fecha"/>
    <s v="Periodo 2014-2021"/>
    <s v="Toneladas"/>
    <s v="Servicio Nacional de Pesca y Acuicultura (SERNAPESCA)"/>
    <x v="1548"/>
    <s v="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
    <s v="Gráfico de Evolución"/>
    <s v="Chile evolución salmón atlántico plateado coho trucha arcoiris cosecha toneladas mensual"/>
    <x v="1547"/>
    <n v="0"/>
    <s v="#1774B185"/>
    <s v="990-1564"/>
    <n v="99100000"/>
    <s v="T-1076"/>
    <s v="C-1021"/>
    <s v="FI-1010"/>
    <s v="M-1137"/>
  </r>
  <r>
    <x v="1564"/>
    <n v="990"/>
    <x v="0"/>
    <x v="3"/>
    <n v="0"/>
    <x v="67"/>
    <x v="24"/>
    <x v="0"/>
    <x v="0"/>
    <s v="Región-Comuna"/>
    <s v="Superficie de parques urbanos por comuna"/>
    <s v="Año 2019"/>
    <s v="Hectáreas"/>
    <s v="Sistema Nacional de Información Municipal"/>
    <x v="154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x v="1548"/>
    <s v="300-C"/>
    <s v="#1774B186"/>
    <s v="990-1565"/>
    <n v="99100000"/>
    <s v="T-1053"/>
    <s v="C-1015"/>
    <s v="FI-995"/>
    <s v="M-1138"/>
  </r>
  <r>
    <x v="1565"/>
    <n v="990"/>
    <x v="0"/>
    <x v="3"/>
    <n v="1"/>
    <x v="67"/>
    <x v="24"/>
    <x v="1"/>
    <x v="1"/>
    <s v="Comuna"/>
    <s v="Superficie de parques urbanos por comuna"/>
    <s v="Año 2019"/>
    <s v="Hectáreas"/>
    <s v="Sistema Nacional de Información Municipal"/>
    <x v="1550"/>
    <s v="En la región de Tarapacá, el año 2019, las comunas de Iquique y Pica destacan por tener mayor superficie de parques urbanos. El máximo se observa en Iquique con 9.48 ha, seguido de Pica con 2.07 ha."/>
    <s v="Mapa de calor"/>
    <s v="Región Tarapacá calor Chile comunas comunal parques urbanos municipal municipio superficie hectáreas"/>
    <x v="1549"/>
    <s v="100-C-1"/>
    <s v="#1774B187"/>
    <s v="990-1566"/>
    <n v="99200001"/>
    <s v="T-1053"/>
    <s v="C-1015"/>
    <s v="FI-991"/>
    <s v="M-1138"/>
  </r>
  <r>
    <x v="1566"/>
    <n v="990"/>
    <x v="0"/>
    <x v="3"/>
    <n v="2"/>
    <x v="67"/>
    <x v="24"/>
    <x v="1"/>
    <x v="2"/>
    <s v="Comuna"/>
    <s v="Superficie de parques urbanos por comuna"/>
    <s v="Año 2019"/>
    <s v="Hectáreas"/>
    <s v="Sistema Nacional de Información Municipal"/>
    <x v="1551"/>
    <s v="En la región de Antofagasta, el año 2019, las comunas de Antofagasta y Calama destacan por tener mayor superficie de parques urbanos. El máximo se observa en Antofagasta con 26,95 ha, seguido de Calama con 18,09 ha."/>
    <s v="Mapa de calor"/>
    <s v="Región Antofagasta calor Chile comunas comunal parques urbanos municipal municipio superficie hectáreas"/>
    <x v="1550"/>
    <s v="100-C-2"/>
    <s v="#1774B188"/>
    <s v="990-1567"/>
    <n v="99200002"/>
    <s v="T-1053"/>
    <s v="C-1015"/>
    <s v="FI-991"/>
    <s v="M-1138"/>
  </r>
  <r>
    <x v="1567"/>
    <n v="990"/>
    <x v="0"/>
    <x v="3"/>
    <n v="3"/>
    <x v="67"/>
    <x v="24"/>
    <x v="1"/>
    <x v="3"/>
    <s v="Comuna"/>
    <s v="Superficie de parques urbanos por comuna"/>
    <s v="Año 2019"/>
    <s v="Hectáreas"/>
    <s v="Sistema Nacional de Información Municipal"/>
    <x v="1552"/>
    <s v="En la región de Atacama, el año 2019, las comunas de Huasco y Vallenar destacan por tener mayor superficie de parques urbanos. El máximo se observa en Huasco con 5,86 ha, seguido de Vallenar con 5,80 ha."/>
    <s v="Mapa de calor"/>
    <s v="Región Atacama calor Chile comunas comunal parques urbanos municipal municipio superficie hectáreas"/>
    <x v="1551"/>
    <s v="100-C-3"/>
    <s v="#1774B189"/>
    <s v="990-1568"/>
    <n v="99200003"/>
    <s v="T-1053"/>
    <s v="C-1015"/>
    <s v="FI-991"/>
    <s v="M-1138"/>
  </r>
  <r>
    <x v="1568"/>
    <n v="990"/>
    <x v="0"/>
    <x v="3"/>
    <n v="4"/>
    <x v="67"/>
    <x v="24"/>
    <x v="1"/>
    <x v="4"/>
    <s v="Comuna"/>
    <s v="Superficie de parques urbanos por comuna"/>
    <s v="Año 2019"/>
    <s v="Hectáreas"/>
    <s v="Sistema Nacional de Información Municipal"/>
    <x v="1553"/>
    <s v="En la región de Coquimbo, el año 2019, las comunas de La Serena y Vicuña destacan por tener mayor superficie de parques urbanos. El máximo se observa en La Serena con 119,66 ha, seguido de Vicuña con 19,00 ha."/>
    <s v="Mapa de calor"/>
    <s v="Región Coquimbo calor Chile comunas comunal parques urbanos municipal municipio superficie hectáreas"/>
    <x v="1552"/>
    <s v="100-C-4"/>
    <s v="#1774B190"/>
    <s v="990-1569"/>
    <n v="99200004"/>
    <s v="T-1053"/>
    <s v="C-1015"/>
    <s v="FI-991"/>
    <s v="M-1138"/>
  </r>
  <r>
    <x v="1569"/>
    <n v="990"/>
    <x v="0"/>
    <x v="3"/>
    <n v="5"/>
    <x v="67"/>
    <x v="24"/>
    <x v="1"/>
    <x v="5"/>
    <s v="Comuna"/>
    <s v="Superficie de parques urbanos por comuna"/>
    <s v="Año 2019"/>
    <s v="Hectáreas"/>
    <s v="Sistema Nacional de Información Municipal"/>
    <x v="1554"/>
    <s v="En la región de Valparaíso, el año 2019, las comunas de Viña del Mar y Quillota destacan por tener mayor superficie de parques urbanos. El máximo se observa en Viña del Mar con 56,70 ha, seguido de Quillota con 19,77 ha."/>
    <s v="Mapa de calor"/>
    <s v="Región Valparaíso calor Chile comunas comunal parques urbanos municipal municipio superficie hectáreas"/>
    <x v="1553"/>
    <s v="100-C-5"/>
    <s v="#1774B191"/>
    <s v="990-1570"/>
    <n v="99200005"/>
    <s v="T-1053"/>
    <s v="C-1015"/>
    <s v="FI-991"/>
    <s v="M-1138"/>
  </r>
  <r>
    <x v="1570"/>
    <n v="990"/>
    <x v="0"/>
    <x v="3"/>
    <n v="6"/>
    <x v="67"/>
    <x v="24"/>
    <x v="1"/>
    <x v="6"/>
    <s v="Comuna"/>
    <s v="Superficie de parques urbanos por comuna"/>
    <s v="Año 2019"/>
    <s v="Hectáreas"/>
    <s v="Sistema Nacional de Información Municipal"/>
    <x v="1555"/>
    <s v="En la región de O'Higgins, el año 2019, las comunas de Rancagua y Santa Cruz destacan por tener mayor superficie de parques urbanos. El máximo se observa en Rancagua con 29,89 ha, seguido de Santa Cruz con 24,00 ha."/>
    <s v="Mapa de calor"/>
    <s v="Región O'Higgins calor Chile comunas comunal parques urbanos municipal municipio superficie hectáreas"/>
    <x v="1554"/>
    <s v="100-C-6"/>
    <s v="#1774B192"/>
    <s v="990-1571"/>
    <n v="99200006"/>
    <s v="T-1053"/>
    <s v="C-1015"/>
    <s v="FI-991"/>
    <s v="M-1138"/>
  </r>
  <r>
    <x v="1571"/>
    <n v="990"/>
    <x v="0"/>
    <x v="3"/>
    <n v="7"/>
    <x v="67"/>
    <x v="24"/>
    <x v="1"/>
    <x v="7"/>
    <s v="Comuna"/>
    <s v="Superficie de parques urbanos por comuna"/>
    <s v="Año 2019"/>
    <s v="Hectáreas"/>
    <s v="Sistema Nacional de Información Municipal"/>
    <x v="1556"/>
    <s v="En la región de Maule, el año 2019, las comunas de Chanco y Talca destacan por tener mayor superficie de parques urbanos. El máximo se observa en Chanco con 190,00 ha, seguido de Talca con 46,27 ha."/>
    <s v="Mapa de calor"/>
    <s v="Región Maule calor Chile comunas comunal parques urbanos municipal municipio superficie hectáreas"/>
    <x v="1555"/>
    <s v="100-C-7"/>
    <s v="#1774B193"/>
    <s v="990-1572"/>
    <n v="99200007"/>
    <s v="T-1053"/>
    <s v="C-1015"/>
    <s v="FI-991"/>
    <s v="M-1138"/>
  </r>
  <r>
    <x v="1572"/>
    <n v="990"/>
    <x v="0"/>
    <x v="3"/>
    <n v="8"/>
    <x v="67"/>
    <x v="24"/>
    <x v="1"/>
    <x v="8"/>
    <s v="Comuna"/>
    <s v="Superficie de parques urbanos por comuna"/>
    <s v="Año 2019"/>
    <s v="Hectáreas"/>
    <s v="Sistema Nacional de Información Municipal"/>
    <x v="1557"/>
    <s v="En la región del Biobío, el año 2019, las comunas de Talcahuano y Los Ángeles destacan por tener mayor superficie de parques urbanos. El máximo se observa en Talcahuano con 38,07 ha, seguido de Los Ángeles con 32,78 ha."/>
    <s v="Mapa de calor"/>
    <s v="Región del Biobío calor Chile comunas comunal parques urbanos municipal municipio superficie hectáreas"/>
    <x v="1556"/>
    <s v="100-C-8"/>
    <s v="#1774B194"/>
    <s v="990-1573"/>
    <n v="99200008"/>
    <s v="T-1053"/>
    <s v="C-1015"/>
    <s v="FI-991"/>
    <s v="M-1138"/>
  </r>
  <r>
    <x v="1573"/>
    <n v="990"/>
    <x v="0"/>
    <x v="3"/>
    <n v="9"/>
    <x v="67"/>
    <x v="24"/>
    <x v="1"/>
    <x v="9"/>
    <s v="Comuna"/>
    <s v="Superficie de parques urbanos por comuna"/>
    <s v="Año 2019"/>
    <s v="Hectáreas"/>
    <s v="Sistema Nacional de Información Municipal"/>
    <x v="1558"/>
    <s v="En la región de La Araucanía, el año 2019, las comunas de Lautaro y Temuco destacan por tener mayor superficie de parques urbanos. El máximo se observa en Lautaro con 38,00 ha, seguido de Temuco con 27,63 ha."/>
    <s v="Mapa de calor"/>
    <s v="Región La Araucanía calor Chile comunas comunal parques urbanos municipal municipio superficie hectáreas"/>
    <x v="1557"/>
    <s v="100-C-9"/>
    <s v="#1774B195"/>
    <s v="990-1574"/>
    <n v="99200009"/>
    <s v="T-1053"/>
    <s v="C-1015"/>
    <s v="FI-991"/>
    <s v="M-1138"/>
  </r>
  <r>
    <x v="1574"/>
    <n v="990"/>
    <x v="0"/>
    <x v="3"/>
    <n v="10"/>
    <x v="67"/>
    <x v="24"/>
    <x v="1"/>
    <x v="10"/>
    <s v="Comuna"/>
    <s v="Superficie de parques urbanos por comuna"/>
    <s v="Año 2019"/>
    <s v="Hectáreas"/>
    <s v="Sistema Nacional de Información Municipal"/>
    <x v="1559"/>
    <s v="En la región de Los Lagos, el año 2019, las comunas de Osorno y Maullín destacan por tener mayor superficie de parques urbanos. El máximo se observa en Osorno con 55,98 ha, seguido de Maullín con 18,52 ha."/>
    <s v="Mapa de calor"/>
    <s v="Región Los Lagos calor Chile comunas comunal parques urbanos municipal municipio superficie hectáreas"/>
    <x v="1558"/>
    <s v="100-C-10"/>
    <s v="#1774B196"/>
    <s v="990-1575"/>
    <n v="99200010"/>
    <s v="T-1053"/>
    <s v="C-1015"/>
    <s v="FI-991"/>
    <s v="M-1138"/>
  </r>
  <r>
    <x v="1575"/>
    <n v="990"/>
    <x v="0"/>
    <x v="3"/>
    <n v="11"/>
    <x v="67"/>
    <x v="24"/>
    <x v="1"/>
    <x v="11"/>
    <s v="Comuna"/>
    <s v="Superficie de parques urbanos por comuna"/>
    <s v="Año 2019"/>
    <s v="Hectáreas"/>
    <s v="Sistema Nacional de Información Municipal"/>
    <x v="1560"/>
    <s v="En la región de Aysén, el año 2019, las comunas de Cochrane y Lago Verde destacan por tener mayor superficie de parques urbanos. El máximo se observa en Cochrane con 4,57 ha, seguido de Lago Verde con 2,14 ha."/>
    <s v="Mapa de calor"/>
    <s v="Región Aysén calor Chile comunas comunal parques urbanos municipal municipio superficie hectáreas"/>
    <x v="1559"/>
    <s v="100-C-11"/>
    <s v="#1774B197"/>
    <s v="990-1576"/>
    <n v="99200011"/>
    <s v="T-1053"/>
    <s v="C-1015"/>
    <s v="FI-991"/>
    <s v="M-1138"/>
  </r>
  <r>
    <x v="1576"/>
    <n v="990"/>
    <x v="0"/>
    <x v="3"/>
    <n v="12"/>
    <x v="67"/>
    <x v="24"/>
    <x v="1"/>
    <x v="12"/>
    <s v="Comuna"/>
    <s v="Superficie de parques urbanos por comuna"/>
    <s v="Año 2019"/>
    <s v="Hectáreas"/>
    <s v="Sistema Nacional de Información Municipal"/>
    <x v="1561"/>
    <s v="En la región de Magallanes, el año 2019, las comunas de Cabo de Hornos y Punta Arenas destacan por tener mayor superficie de parques urbanos. El máximo se observa en Cabo de Hornos con 1.687,91 ha, seguido de Punta Arenas con 29,03 ha."/>
    <s v="Mapa de calor"/>
    <s v="Región Magallanes calor Chile comunas comunal parques urbanos municipal municipio superficie hectáreas"/>
    <x v="1560"/>
    <s v="100-C-12"/>
    <s v="#1774B198"/>
    <s v="990-1577"/>
    <n v="99200012"/>
    <s v="T-1053"/>
    <s v="C-1015"/>
    <s v="FI-991"/>
    <s v="M-1138"/>
  </r>
  <r>
    <x v="1577"/>
    <n v="990"/>
    <x v="0"/>
    <x v="3"/>
    <n v="13"/>
    <x v="67"/>
    <x v="24"/>
    <x v="1"/>
    <x v="13"/>
    <s v="Comuna"/>
    <s v="Superficie de parques urbanos por comuna"/>
    <s v="Año 2019"/>
    <s v="Hectáreas"/>
    <s v="Sistema Nacional de Información Municipal"/>
    <x v="1562"/>
    <s v="En la región Metropolitana, el año 2019, las comunas de Huechuraba y Santiago destacan por tener mayor superficie de parques urbanos. El máximo se observa en Huechuraba con 188,14 ha, seguido de Santiago con 157,80 ha."/>
    <s v="Mapa de calor"/>
    <s v="Región Metropolitana calor Chile comunas comunal parques urbanos municipal municipio superficie hectáreas"/>
    <x v="1561"/>
    <s v="200-C-13"/>
    <s v="#1774B199"/>
    <s v="990-1578"/>
    <n v="99200013"/>
    <s v="T-1053"/>
    <s v="C-1015"/>
    <s v="FI-991"/>
    <s v="M-1138"/>
  </r>
  <r>
    <x v="1578"/>
    <n v="990"/>
    <x v="0"/>
    <x v="3"/>
    <n v="14"/>
    <x v="67"/>
    <x v="24"/>
    <x v="1"/>
    <x v="14"/>
    <s v="Comuna"/>
    <s v="Superficie de parques urbanos por comuna"/>
    <s v="Año 2019"/>
    <s v="Hectáreas"/>
    <s v="Sistema Nacional de Información Municipal"/>
    <x v="1563"/>
    <s v="En la región de Los Ríos, el año 2019, las comunas de Valdivia y Máfil destacan por tener mayor superficie de parques urbanos. El máximo se observa en Valdivia con 32,24 ha, seguido de Máfil con 10,00 ha."/>
    <s v="Mapa de calor"/>
    <s v="Región Los Ríos calor Chile comunas comunal parques urbanos municipal municipio superficie hectáreas"/>
    <x v="1562"/>
    <s v="100-C-14"/>
    <s v="#1774B200"/>
    <s v="990-1579"/>
    <n v="99200014"/>
    <s v="T-1053"/>
    <s v="C-1015"/>
    <s v="FI-991"/>
    <s v="M-1138"/>
  </r>
  <r>
    <x v="1579"/>
    <n v="990"/>
    <x v="0"/>
    <x v="3"/>
    <n v="15"/>
    <x v="67"/>
    <x v="24"/>
    <x v="1"/>
    <x v="15"/>
    <s v="Comuna"/>
    <s v="Superficie de parques urbanos por comuna"/>
    <s v="Año 2019"/>
    <s v="Hectáreas"/>
    <s v="Sistema Nacional de Información Municipal"/>
    <x v="1564"/>
    <s v="En la región de Arica y Parinacota, el año 2019, la comuna de Arica destaca por tener mayor superficie de parques urbanos. El máximo se observa en esta comuna con 15,32 ha."/>
    <s v="Mapa de calor"/>
    <s v="Región Arica y Parinacota calor Chile comunas comunal parques urbanos municipal municipio superficie hectáreas"/>
    <x v="1563"/>
    <s v="100-C-15"/>
    <s v="#1774B201"/>
    <s v="990-1580"/>
    <n v="99200015"/>
    <s v="T-1053"/>
    <s v="C-1015"/>
    <s v="FI-991"/>
    <s v="M-1138"/>
  </r>
  <r>
    <x v="1580"/>
    <n v="990"/>
    <x v="0"/>
    <x v="3"/>
    <n v="16"/>
    <x v="67"/>
    <x v="24"/>
    <x v="1"/>
    <x v="16"/>
    <s v="Comuna"/>
    <s v="Superficie de parques urbanos por comuna"/>
    <s v="Año 2019"/>
    <s v="Hectáreas"/>
    <s v="Sistema Nacional de Información Municipal"/>
    <x v="1565"/>
    <s v="En la región de Ñuble, el año 2019, las comunas de San Carlos y Chillán destacan por tener mayor superficie de parques urbanos. El máximo se observa en San Carlos con 8,22 ha, seguido de Chillán con 7,10 ha."/>
    <s v="Mapa de calor"/>
    <s v="Región Ñuble calor Chile comunas comunal parques urbanos municipal municipio superficie hectáreas"/>
    <x v="1564"/>
    <s v="100-C-16"/>
    <s v="#1774B202"/>
    <s v="990-1581"/>
    <n v="99200016"/>
    <s v="T-1053"/>
    <s v="C-1015"/>
    <s v="FI-991"/>
    <s v="M-1138"/>
  </r>
  <r>
    <x v="1581"/>
    <n v="990"/>
    <x v="0"/>
    <x v="3"/>
    <n v="0"/>
    <x v="68"/>
    <x v="24"/>
    <x v="0"/>
    <x v="0"/>
    <s v="Región-Comuna"/>
    <s v="Superficie de plazas públicas por comuna"/>
    <s v="Año 2019"/>
    <s v="Hectáreas"/>
    <s v="Sistema Nacional de Información Municipal"/>
    <x v="1566"/>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x v="1565"/>
    <s v="300-C"/>
    <s v="#1774B203"/>
    <s v="990-1582"/>
    <n v="99100000"/>
    <s v="T-1054"/>
    <s v="C-1015"/>
    <s v="FI-995"/>
    <s v="M-1139"/>
  </r>
  <r>
    <x v="1582"/>
    <n v="990"/>
    <x v="0"/>
    <x v="3"/>
    <n v="1"/>
    <x v="68"/>
    <x v="24"/>
    <x v="1"/>
    <x v="1"/>
    <s v="Comuna"/>
    <s v="Superficie de plazas públicas por comuna"/>
    <s v="Año 2019"/>
    <s v="Hectáreas"/>
    <s v="Sistema Nacional de Información Municipal"/>
    <x v="1567"/>
    <s v="En la región de Tarapacá, el año 2019, las comunas de Alto Hospicio e Iquique destacan por tener mayor superficie de plazas públicas. El máximo se observa en Alto Hospicio con 13,03 ha, seguido de Iquique con 5,85 ha."/>
    <s v="Mapa de calor"/>
    <s v="Región Tarapacá calor Chile comunas comunal plazas públicas municipal municipio superficie hectáreas"/>
    <x v="1566"/>
    <s v="100-C-1"/>
    <s v="#1774B204"/>
    <s v="990-1583"/>
    <n v="99200001"/>
    <s v="T-1054"/>
    <s v="C-1015"/>
    <s v="FI-991"/>
    <s v="M-1139"/>
  </r>
  <r>
    <x v="1583"/>
    <n v="990"/>
    <x v="0"/>
    <x v="3"/>
    <n v="2"/>
    <x v="68"/>
    <x v="24"/>
    <x v="1"/>
    <x v="2"/>
    <s v="Comuna"/>
    <s v="Superficie de plazas públicas por comuna"/>
    <s v="Año 2019"/>
    <s v="Hectáreas"/>
    <s v="Sistema Nacional de Información Municipal"/>
    <x v="1568"/>
    <s v="En la región de Antofagasta, el año 2019, las comunas de Antofagasta y Calama destacan por tener mayor superficie de plazas públicas. El máximo se observa en Antofagasta con 40,98 ha, seguido de Calama con 28,32 ha."/>
    <s v="Mapa de calor"/>
    <s v="Región Antofagasta calor Chile comunas comunal plazas públicas municipal municipio superficie hectáreas"/>
    <x v="1567"/>
    <s v="100-C-2"/>
    <s v="#1774B205"/>
    <s v="990-1584"/>
    <n v="99200002"/>
    <s v="T-1054"/>
    <s v="C-1015"/>
    <s v="FI-991"/>
    <s v="M-1139"/>
  </r>
  <r>
    <x v="1584"/>
    <n v="990"/>
    <x v="0"/>
    <x v="3"/>
    <n v="3"/>
    <x v="68"/>
    <x v="24"/>
    <x v="1"/>
    <x v="3"/>
    <s v="Comuna"/>
    <s v="Superficie de plazas públicas por comuna"/>
    <s v="Año 2019"/>
    <s v="Hectáreas"/>
    <s v="Sistema Nacional de Información Municipal"/>
    <x v="1569"/>
    <s v="En la región de Atacama, el año 2019, las comunas de Caldera y Vallenar destacan por tener mayor superficie de plazas públicas. El máximo se observa en Caldera con 17,04 ha, seguido de Vallenar con 10,22 ha."/>
    <s v="Mapa de calor"/>
    <s v="Región Atacama calor Chile comunas comunal plazas públicas municipal municipio superficie hectáreas"/>
    <x v="1568"/>
    <s v="100-C-3"/>
    <s v="#1774B206"/>
    <s v="990-1585"/>
    <n v="99200003"/>
    <s v="T-1054"/>
    <s v="C-1015"/>
    <s v="FI-991"/>
    <s v="M-1139"/>
  </r>
  <r>
    <x v="1585"/>
    <n v="990"/>
    <x v="0"/>
    <x v="3"/>
    <n v="4"/>
    <x v="68"/>
    <x v="24"/>
    <x v="1"/>
    <x v="4"/>
    <s v="Comuna"/>
    <s v="Superficie de plazas públicas por comuna"/>
    <s v="Año 2019"/>
    <s v="Hectáreas"/>
    <s v="Sistema Nacional de Información Municipal"/>
    <x v="1570"/>
    <s v="En la región de Coquimbo, el año 2019, las comunas de Coquimbo y La Serena destacan por tener mayor superficie de plazas públicas. El máximo se observa en Coquimbo con 149,92 ha, seguido de La Serena con 94,15 ha."/>
    <s v="Mapa de calor"/>
    <s v="Región Coquimbo calor Chile comunas comunal plazas públicas municipal municipio superficie hectáreas"/>
    <x v="1569"/>
    <s v="100-C-4"/>
    <s v="#1774B207"/>
    <s v="990-1586"/>
    <n v="99200004"/>
    <s v="T-1054"/>
    <s v="C-1015"/>
    <s v="FI-991"/>
    <s v="M-1139"/>
  </r>
  <r>
    <x v="1586"/>
    <n v="990"/>
    <x v="0"/>
    <x v="3"/>
    <n v="5"/>
    <x v="68"/>
    <x v="24"/>
    <x v="1"/>
    <x v="5"/>
    <s v="Comuna"/>
    <s v="Superficie de plazas públicas por comuna"/>
    <s v="Año 2019"/>
    <s v="Hectáreas"/>
    <s v="Sistema Nacional de Información Municipal"/>
    <x v="1571"/>
    <s v="En la región de Valparaíso, el año 2019, las comunas de Viña del Mar y Valparaíso destacan por tener mayor superficie de plazas públicas. El máximo se observa en Viña del Mar con 80,99 ha, seguido de Valparaíso con 46,45 ha."/>
    <s v="Mapa de calor"/>
    <s v="Región Valparaíso calor Chile comunas comunal plazas públicas municipal municipio superficie hectáreas"/>
    <x v="1570"/>
    <s v="100-C-5"/>
    <s v="#1774B208"/>
    <s v="990-1587"/>
    <n v="99200005"/>
    <s v="T-1054"/>
    <s v="C-1015"/>
    <s v="FI-991"/>
    <s v="M-1139"/>
  </r>
  <r>
    <x v="1587"/>
    <n v="990"/>
    <x v="0"/>
    <x v="3"/>
    <n v="6"/>
    <x v="68"/>
    <x v="24"/>
    <x v="1"/>
    <x v="6"/>
    <s v="Comuna"/>
    <s v="Superficie de plazas públicas por comuna"/>
    <s v="Año 2019"/>
    <s v="Hectáreas"/>
    <s v="Sistema Nacional de Información Municipal"/>
    <x v="1572"/>
    <s v="En la región de Ohiggins, el año 2019, las comunas de Rancagua y Machalí destacan por tener mayor superficie de plazas públicas. El máximo se observa en Rancagua con 162,89 ha, seguido de Machalí con 38,60 ha."/>
    <s v="Mapa de calor"/>
    <s v="Región O'Higgins calor Chile comunas comunal plazas públicas municipal municipio superficie hectáreas"/>
    <x v="1571"/>
    <s v="100-C-6"/>
    <s v="#1774B209"/>
    <s v="990-1588"/>
    <n v="99200006"/>
    <s v="T-1054"/>
    <s v="C-1015"/>
    <s v="FI-991"/>
    <s v="M-1139"/>
  </r>
  <r>
    <x v="1588"/>
    <n v="990"/>
    <x v="0"/>
    <x v="3"/>
    <n v="7"/>
    <x v="68"/>
    <x v="24"/>
    <x v="1"/>
    <x v="7"/>
    <s v="Comuna"/>
    <s v="Superficie de plazas públicas por comuna"/>
    <s v="Año 2019"/>
    <s v="Hectáreas"/>
    <s v="Sistema Nacional de Información Municipal"/>
    <x v="1573"/>
    <s v="En la región de Maule, el año 2019, las comunas de Talca y Curicó destacan por tener mayor superficie de plazas públicas. El máximo se observa en Talca con 132,96 ha, seguido de Curicó con 71,18 ha."/>
    <s v="Mapa de calor"/>
    <s v="Región Maule calor Chile comunas comunal plazas públicas municipal municipio superficie hectáreas"/>
    <x v="1572"/>
    <s v="100-C-7"/>
    <s v="#1774B210"/>
    <s v="990-1589"/>
    <n v="99200007"/>
    <s v="T-1054"/>
    <s v="C-1015"/>
    <s v="FI-991"/>
    <s v="M-1139"/>
  </r>
  <r>
    <x v="1589"/>
    <n v="990"/>
    <x v="0"/>
    <x v="3"/>
    <n v="8"/>
    <x v="68"/>
    <x v="24"/>
    <x v="1"/>
    <x v="8"/>
    <s v="Comuna"/>
    <s v="Superficie de plazas públicas por comuna"/>
    <s v="Año 2019"/>
    <s v="Hectáreas"/>
    <s v="Sistema Nacional de Información Municipal"/>
    <x v="1574"/>
    <s v="En la región de Biobío, el año 2019, las comunas de San Pedro de la Paz y Los Ángeles destacan por tener mayor superficie de plazas públicas. El máximo se observa en San Pedro de la Paz con 126,54 ha, seguido de Los Ángeles con 97,76 ha."/>
    <s v="Mapa de calor"/>
    <s v="Región del Biobío calor Chile comunas comunal plazas públicas municipal municipio superficie hectáreas"/>
    <x v="1573"/>
    <s v="100-C-8"/>
    <s v="#1774B211"/>
    <s v="990-1590"/>
    <n v="99200008"/>
    <s v="T-1054"/>
    <s v="C-1015"/>
    <s v="FI-991"/>
    <s v="M-1139"/>
  </r>
  <r>
    <x v="1590"/>
    <n v="990"/>
    <x v="0"/>
    <x v="3"/>
    <n v="9"/>
    <x v="68"/>
    <x v="24"/>
    <x v="1"/>
    <x v="9"/>
    <s v="Comuna"/>
    <s v="Superficie de plazas públicas por comuna"/>
    <s v="Año 2019"/>
    <s v="Hectáreas"/>
    <s v="Sistema Nacional de Información Municipal"/>
    <x v="1575"/>
    <s v="En la región de Araucanía, el año 2019, las comunas de Villarrica y Angol destacan por tener mayor superficie de plazas públicas. El máximo se observa en Villarrica con 22,39 ha, seguido de Angol con 20,90 ha."/>
    <s v="Mapa de calor"/>
    <s v="Región La Araucanía calor Chile comunas comunal plazas públicas municipal municipio superficie hectáreas"/>
    <x v="1574"/>
    <s v="100-C-9"/>
    <s v="#1774B212"/>
    <s v="990-1591"/>
    <n v="99200009"/>
    <s v="T-1054"/>
    <s v="C-1015"/>
    <s v="FI-991"/>
    <s v="M-1139"/>
  </r>
  <r>
    <x v="1591"/>
    <n v="990"/>
    <x v="0"/>
    <x v="3"/>
    <n v="10"/>
    <x v="68"/>
    <x v="24"/>
    <x v="1"/>
    <x v="10"/>
    <s v="Comuna"/>
    <s v="Superficie de plazas públicas por comuna"/>
    <s v="Año 2019"/>
    <s v="Hectáreas"/>
    <s v="Sistema Nacional de Información Municipal"/>
    <x v="1576"/>
    <s v="En la región de Los Lagos, el año 2019, las comunas de Puerto Montt y Osorno destacan por tener mayor superficie de plazas públicas. El máximo se observa en Puerto Montt con 88,24 ha, seguido de Osorno con 63,33 ha."/>
    <s v="Mapa de calor"/>
    <s v="Región Los Lagos calor Chile comunas comunal plazas públicas municipal municipio superficie hectáreas"/>
    <x v="1575"/>
    <s v="100-C-10"/>
    <s v="#1774B213"/>
    <s v="990-1592"/>
    <n v="99200010"/>
    <s v="T-1054"/>
    <s v="C-1015"/>
    <s v="FI-991"/>
    <s v="M-1139"/>
  </r>
  <r>
    <x v="1592"/>
    <n v="990"/>
    <x v="0"/>
    <x v="3"/>
    <n v="11"/>
    <x v="68"/>
    <x v="24"/>
    <x v="1"/>
    <x v="11"/>
    <s v="Comuna"/>
    <s v="Superficie de plazas públicas por comuna"/>
    <s v="Año 2019"/>
    <s v="Hectáreas"/>
    <s v="Sistema Nacional de Información Municipal"/>
    <x v="1577"/>
    <s v="En la región de Aysén, el año 2019, las comunas de Coihaique y Chile Chico destacan por tener mayor superficie de plazas públicas. El máximo se observa en Coihaique con 41,87 ha, seguido de Chile Chico con 4,91 ha."/>
    <s v="Mapa de calor"/>
    <s v="Región Aysén calor Chile comunas comunal plazas públicas municipal municipio superficie hectáreas"/>
    <x v="1576"/>
    <s v="100-C-11"/>
    <s v="#1774B214"/>
    <s v="990-1593"/>
    <n v="99200011"/>
    <s v="T-1054"/>
    <s v="C-1015"/>
    <s v="FI-991"/>
    <s v="M-1139"/>
  </r>
  <r>
    <x v="1593"/>
    <n v="990"/>
    <x v="0"/>
    <x v="3"/>
    <n v="12"/>
    <x v="68"/>
    <x v="24"/>
    <x v="1"/>
    <x v="12"/>
    <s v="Comuna"/>
    <s v="Superficie de plazas públicas por comuna"/>
    <s v="Año 2019"/>
    <s v="Hectáreas"/>
    <s v="Sistema Nacional de Información Municipal"/>
    <x v="1578"/>
    <s v="En la región de Magallanes, el año 2019, las comunas de Natales y Punta Arenas destacan por tener mayor superficie de plazas públicas. El máximo se observa en Natales con 9,45 ha, seguido de Punta Arenas con 2,80 ha."/>
    <s v="Mapa de calor"/>
    <s v="Región Magallanes calor Chile comunas comunal plazas públicas municipal municipio superficie hectáreas"/>
    <x v="1577"/>
    <s v="100-C-12"/>
    <s v="#1774B215"/>
    <s v="990-1594"/>
    <n v="99200012"/>
    <s v="T-1054"/>
    <s v="C-1015"/>
    <s v="FI-991"/>
    <s v="M-1139"/>
  </r>
  <r>
    <x v="1594"/>
    <n v="990"/>
    <x v="0"/>
    <x v="3"/>
    <n v="13"/>
    <x v="68"/>
    <x v="24"/>
    <x v="1"/>
    <x v="13"/>
    <s v="Comuna"/>
    <s v="Superficie de plazas públicas por comuna"/>
    <s v="Año 2019"/>
    <s v="Hectáreas"/>
    <s v="Sistema Nacional de Información Municipal"/>
    <x v="1579"/>
    <s v="En la región Metropolitana, el año 2019, las comunas de Maipú y Puente Alto destacan por tener mayor superficie de plazas públicas. El máximo se observa en Maipú con 266,11 ha, seguido de Puente Alto con 257,67 ha."/>
    <s v="Mapa de calor"/>
    <s v="Región Metropolitana calor Chile comunas comunal plazas públicas municipal municipio superficie hectáreas"/>
    <x v="1578"/>
    <s v="200-C-13"/>
    <s v="#1774B216"/>
    <s v="990-1595"/>
    <n v="99200013"/>
    <s v="T-1054"/>
    <s v="C-1015"/>
    <s v="FI-991"/>
    <s v="M-1139"/>
  </r>
  <r>
    <x v="1595"/>
    <n v="990"/>
    <x v="0"/>
    <x v="3"/>
    <n v="14"/>
    <x v="68"/>
    <x v="24"/>
    <x v="1"/>
    <x v="14"/>
    <s v="Comuna"/>
    <s v="Superficie de plazas públicas por comuna"/>
    <s v="Año 2019"/>
    <s v="Hectáreas"/>
    <s v="Sistema Nacional de Información Municipal"/>
    <x v="1580"/>
    <s v="En la región de Los Ríos, el año 2019, las comunas de La Unión y Valdivia destacan por tener mayor superficie de plazas públicas. El máximo se observa en La Unión con 22,57 ha, seguido de Valdivia con 11,21 ha."/>
    <s v="Mapa de calor"/>
    <s v="Región Los Ríos calor Chile comunas comunal plazas públicas municipal municipio superficie hectáreas"/>
    <x v="1579"/>
    <s v="100-C-14"/>
    <s v="#1774B217"/>
    <s v="990-1596"/>
    <n v="99200014"/>
    <s v="T-1054"/>
    <s v="C-1015"/>
    <s v="FI-991"/>
    <s v="M-1139"/>
  </r>
  <r>
    <x v="1596"/>
    <n v="990"/>
    <x v="0"/>
    <x v="3"/>
    <n v="15"/>
    <x v="68"/>
    <x v="24"/>
    <x v="1"/>
    <x v="15"/>
    <s v="Comuna"/>
    <s v="Superficie de plazas públicas por comuna"/>
    <s v="Año 2019"/>
    <s v="Hectáreas"/>
    <s v="Sistema Nacional de Información Municipal"/>
    <x v="1581"/>
    <s v="En la región de Arica y Parinacota, el año 2019, las comunas de Arica y Putre destacan por tener mayor superficie de plazas públicas. El máximo se observa en Arica con 35,83 ha, seguido de Putre con 1,24 ha."/>
    <s v="Mapa de calor"/>
    <s v="Región Arica y Parinacota calor Chile comunas comunal plazas públicas municipal municipio superficie hectáreas"/>
    <x v="1580"/>
    <s v="100-C-15"/>
    <s v="#1774B218"/>
    <s v="990-1597"/>
    <n v="99200015"/>
    <s v="T-1054"/>
    <s v="C-1015"/>
    <s v="FI-991"/>
    <s v="M-1139"/>
  </r>
  <r>
    <x v="1597"/>
    <n v="990"/>
    <x v="0"/>
    <x v="3"/>
    <n v="16"/>
    <x v="68"/>
    <x v="24"/>
    <x v="1"/>
    <x v="16"/>
    <s v="Comuna"/>
    <s v="Superficie de plazas públicas por comuna"/>
    <s v="Año 2019"/>
    <s v="Hectáreas"/>
    <s v="Sistema Nacional de Información Municipal"/>
    <x v="1582"/>
    <s v="En la región de Ñuble, el año 2019, las comunas de Chillán y San Carlos destacan por tener mayor superficie de plazas públicas. El máximo se observa en Chillán con 64,50 ha, seguido de San Carlos con 16,88 ha."/>
    <s v="Mapa de calor"/>
    <s v="Región Ñuble calor Chile comunas comunal plazas públicas municipal municipio superficie hectáreas"/>
    <x v="1581"/>
    <s v="100-C-16"/>
    <s v="#1774B219"/>
    <s v="990-1598"/>
    <n v="99200016"/>
    <s v="T-1054"/>
    <s v="C-1015"/>
    <s v="FI-991"/>
    <s v="M-1139"/>
  </r>
  <r>
    <x v="1598"/>
    <n v="990"/>
    <x v="0"/>
    <x v="9"/>
    <n v="0"/>
    <x v="23"/>
    <x v="26"/>
    <x v="0"/>
    <x v="0"/>
    <s v="Fecha"/>
    <s v="Valor de importaciones por fecha"/>
    <s v="Periodo 2015-2021"/>
    <s v="USD"/>
    <s v="Aduana de Chile"/>
    <x v="1583"/>
    <s v="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
    <s v="Gráfico de Evolución"/>
    <s v="evolución Chile nacional producto importado importación comercio exterior internacional valor USD mundial minería alimentos fruta"/>
    <x v="1582"/>
    <n v="0"/>
    <s v="#1774B220"/>
    <s v="990-1599"/>
    <n v="99100000"/>
    <s v="T-1042"/>
    <s v="C-1014"/>
    <s v="FI-1010"/>
    <s v="M-1140"/>
  </r>
  <r>
    <x v="1599"/>
    <n v="990"/>
    <x v="0"/>
    <x v="9"/>
    <n v="0"/>
    <x v="84"/>
    <x v="26"/>
    <x v="0"/>
    <x v="0"/>
    <s v="Fecha"/>
    <s v="Valor de importaciones y exportaciones por fecha"/>
    <s v="Periodo 2015-2021"/>
    <s v="USD"/>
    <s v="Aduana de Chile"/>
    <x v="1584"/>
    <s v="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x v="1583"/>
    <n v="0"/>
    <s v="#1774B221"/>
    <s v="990-1600"/>
    <n v="99100000"/>
    <s v="T-1077"/>
    <s v="C-1014"/>
    <s v="FI-1010"/>
    <s v="M-1141"/>
  </r>
  <r>
    <x v="1600"/>
    <n v="990"/>
    <x v="0"/>
    <x v="9"/>
    <n v="0"/>
    <x v="7"/>
    <x v="26"/>
    <x v="0"/>
    <x v="0"/>
    <s v="País"/>
    <s v="Valor de exportaciones acumuladas por país de destino"/>
    <s v="Periodo 2015-2021"/>
    <s v="USD"/>
    <s v="Servicio Nacional de Aduanas"/>
    <x v="1585"/>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x v="1584"/>
    <n v="0"/>
    <s v="#1774B222"/>
    <s v="990-1601"/>
    <n v="99100000"/>
    <s v="T-1031"/>
    <s v="C-1014"/>
    <s v="FI-1012"/>
    <s v="M-1142"/>
  </r>
  <r>
    <x v="1601"/>
    <n v="990"/>
    <x v="0"/>
    <x v="9"/>
    <n v="0"/>
    <x v="23"/>
    <x v="26"/>
    <x v="0"/>
    <x v="0"/>
    <s v="Ninguno"/>
    <s v="Valor de importaciones de alimentos por país de origen"/>
    <s v="Año 2021"/>
    <s v="USD"/>
    <s v="Aduana de Chile"/>
    <x v="1586"/>
    <s v="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
    <s v="Mapa de calor"/>
    <s v="nacional Chile importación comercio exterior internacional valor USD mundial argentina brasil USA alimentos país origen"/>
    <x v="1585"/>
    <n v="0"/>
    <s v="#1774B223"/>
    <s v="990-1602"/>
    <n v="99100000"/>
    <s v="T-1042"/>
    <s v="C-1014"/>
    <s v="FI-993"/>
    <s v="M-1143"/>
  </r>
  <r>
    <x v="1602"/>
    <n v="990"/>
    <x v="0"/>
    <x v="9"/>
    <n v="0"/>
    <x v="7"/>
    <x v="26"/>
    <x v="0"/>
    <x v="0"/>
    <s v="Detalle"/>
    <s v="Valor de exportaciones por producto minero"/>
    <s v="Periodo 2015-2021"/>
    <s v="USD"/>
    <s v="Servicio Nacional de Aduanas"/>
    <x v="1587"/>
    <s v="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
    <s v="Gráfico de Evolución"/>
    <s v="evolución nacional exportación comercio exterior internacional valor USD mundial chile producto minero minería detalle cobre"/>
    <x v="1586"/>
    <n v="0"/>
    <s v="#1774B224"/>
    <s v="990-1603"/>
    <n v="99100000"/>
    <s v="T-1031"/>
    <s v="C-1014"/>
    <s v="FI-1007"/>
    <s v="M-1144"/>
  </r>
  <r>
    <x v="1603"/>
    <n v="990"/>
    <x v="0"/>
    <x v="9"/>
    <n v="0"/>
    <x v="85"/>
    <x v="34"/>
    <x v="0"/>
    <x v="0"/>
    <s v="Región-Fecha"/>
    <s v="Índice de Producción Manufacturera"/>
    <s v="Periodo 2014-2021"/>
    <s v="Índice"/>
    <s v="Instituto Nacional de Estadísticas (INE)"/>
    <x v="1588"/>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x v="1587"/>
    <s v="300-R"/>
    <s v="#1774B225"/>
    <s v="990-1604"/>
    <n v="99100000"/>
    <s v="T-1078"/>
    <e v="#N/A"/>
    <s v="FI-1011"/>
    <s v="M-1145"/>
  </r>
  <r>
    <x v="1604"/>
    <n v="990"/>
    <x v="0"/>
    <x v="9"/>
    <n v="5"/>
    <x v="85"/>
    <x v="34"/>
    <x v="1"/>
    <x v="5"/>
    <s v="Fecha"/>
    <s v="Índice de Producción Manufacturera"/>
    <s v="Periodo 2014-2021"/>
    <s v="Índice"/>
    <s v="Instituto Nacional de Estadísticas (INE)"/>
    <x v="1589"/>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x v="1588"/>
    <s v="100-R-5"/>
    <s v="#1774B226"/>
    <s v="990-1605"/>
    <n v="99200005"/>
    <s v="T-1078"/>
    <e v="#N/A"/>
    <s v="FI-1010"/>
    <s v="M-1145"/>
  </r>
  <r>
    <x v="1605"/>
    <n v="990"/>
    <x v="0"/>
    <x v="9"/>
    <n v="6"/>
    <x v="85"/>
    <x v="34"/>
    <x v="1"/>
    <x v="6"/>
    <s v="Fecha"/>
    <s v="Índice de Producción Manufacturera"/>
    <s v="Periodo 2014-2021"/>
    <s v="Índice"/>
    <s v="Instituto Nacional de Estadísticas (INE)"/>
    <x v="1590"/>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x v="1589"/>
    <s v="100-R-6"/>
    <s v="#1774B227"/>
    <s v="990-1606"/>
    <n v="99200006"/>
    <s v="T-1078"/>
    <e v="#N/A"/>
    <s v="FI-1010"/>
    <s v="M-1145"/>
  </r>
  <r>
    <x v="1606"/>
    <n v="990"/>
    <x v="0"/>
    <x v="9"/>
    <n v="8"/>
    <x v="85"/>
    <x v="34"/>
    <x v="1"/>
    <x v="8"/>
    <s v="Fecha"/>
    <s v="Índice de Producción Manufacturera"/>
    <s v="Periodo 2014-2021"/>
    <s v="Índice"/>
    <s v="Instituto Nacional de Estadísticas (INE)"/>
    <x v="1591"/>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x v="1590"/>
    <s v="100-R-8"/>
    <s v="#1774B228"/>
    <s v="990-1607"/>
    <n v="99200008"/>
    <s v="T-1078"/>
    <e v="#N/A"/>
    <s v="FI-1010"/>
    <s v="M-1145"/>
  </r>
  <r>
    <x v="1607"/>
    <n v="990"/>
    <x v="0"/>
    <x v="9"/>
    <n v="9"/>
    <x v="85"/>
    <x v="34"/>
    <x v="1"/>
    <x v="9"/>
    <s v="Fecha"/>
    <s v="Índice de Producción Manufacturera"/>
    <s v="Periodo 2014-2021"/>
    <s v="Índice"/>
    <s v="Instituto Nacional de Estadísticas (INE)"/>
    <x v="1592"/>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x v="1591"/>
    <s v="100-R-9"/>
    <s v="#1774B229"/>
    <s v="990-1608"/>
    <n v="99200009"/>
    <s v="T-1078"/>
    <e v="#N/A"/>
    <s v="FI-1010"/>
    <s v="M-1145"/>
  </r>
  <r>
    <x v="1608"/>
    <n v="990"/>
    <x v="0"/>
    <x v="9"/>
    <n v="14"/>
    <x v="85"/>
    <x v="34"/>
    <x v="1"/>
    <x v="14"/>
    <s v="Fecha"/>
    <s v="Índice de Producción Manufacturera"/>
    <s v="Periodo 2014-2021"/>
    <s v="Índice"/>
    <s v="Instituto Nacional de Estadísticas (INE)"/>
    <x v="1593"/>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x v="1592"/>
    <s v="100-R-14"/>
    <s v="#1774B230"/>
    <s v="990-1609"/>
    <n v="99200014"/>
    <s v="T-1078"/>
    <e v="#N/A"/>
    <s v="FI-1010"/>
    <s v="M-1145"/>
  </r>
  <r>
    <x v="1609"/>
    <n v="990"/>
    <x v="0"/>
    <x v="9"/>
    <n v="0"/>
    <x v="86"/>
    <x v="34"/>
    <x v="0"/>
    <x v="0"/>
    <s v="Región-Fecha"/>
    <s v="Cantidad de Supermercados con tres o más cajas instaladas"/>
    <s v="Periodo 2014-2021"/>
    <s v="Número de supermercados"/>
    <s v="Instituto Nacional de Estadísticas (INE)"/>
    <x v="1594"/>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x v="1593"/>
    <s v="300-R"/>
    <s v="#1774B231"/>
    <s v="990-1610"/>
    <n v="99100000"/>
    <s v="T-1079"/>
    <e v="#N/A"/>
    <s v="FI-1011"/>
    <s v="M-1146"/>
  </r>
  <r>
    <x v="1610"/>
    <n v="990"/>
    <x v="0"/>
    <x v="9"/>
    <n v="1"/>
    <x v="86"/>
    <x v="34"/>
    <x v="1"/>
    <x v="1"/>
    <s v="Fecha"/>
    <s v="Cantidad de Supermercados con tres o más cajas instaladas"/>
    <s v="Periodo 2014-2021"/>
    <s v="Número de supermercados"/>
    <s v="Instituto Nacional de Estadísticas (INE)"/>
    <x v="1595"/>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x v="1594"/>
    <s v="100-R-1"/>
    <s v="#1774B232"/>
    <s v="990-1611"/>
    <n v="99200001"/>
    <s v="T-1079"/>
    <e v="#N/A"/>
    <s v="FI-1010"/>
    <s v="M-1146"/>
  </r>
  <r>
    <x v="1611"/>
    <n v="990"/>
    <x v="0"/>
    <x v="9"/>
    <n v="2"/>
    <x v="86"/>
    <x v="34"/>
    <x v="1"/>
    <x v="2"/>
    <s v="Fecha"/>
    <s v="Cantidad de Supermercados con tres o más cajas instaladas"/>
    <s v="Periodo 2014-2021"/>
    <s v="Número de supermercados"/>
    <s v="Instituto Nacional de Estadísticas (INE)"/>
    <x v="1596"/>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x v="1595"/>
    <s v="100-R-2"/>
    <s v="#1774B233"/>
    <s v="990-1612"/>
    <n v="99200002"/>
    <s v="T-1079"/>
    <e v="#N/A"/>
    <s v="FI-1010"/>
    <s v="M-1146"/>
  </r>
  <r>
    <x v="1612"/>
    <n v="990"/>
    <x v="0"/>
    <x v="9"/>
    <n v="3"/>
    <x v="86"/>
    <x v="34"/>
    <x v="1"/>
    <x v="3"/>
    <s v="Fecha"/>
    <s v="Cantidad de Supermercados con tres o más cajas instaladas"/>
    <s v="Periodo 2014-2021"/>
    <s v="Número de supermercados"/>
    <s v="Instituto Nacional de Estadísticas (INE)"/>
    <x v="1597"/>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x v="1596"/>
    <s v="100-R-3"/>
    <s v="#1774B234"/>
    <s v="990-1613"/>
    <n v="99200003"/>
    <s v="T-1079"/>
    <e v="#N/A"/>
    <s v="FI-1010"/>
    <s v="M-1146"/>
  </r>
  <r>
    <x v="1613"/>
    <n v="990"/>
    <x v="0"/>
    <x v="9"/>
    <n v="4"/>
    <x v="86"/>
    <x v="34"/>
    <x v="1"/>
    <x v="4"/>
    <s v="Fecha"/>
    <s v="Cantidad de Supermercados con tres o más cajas instaladas"/>
    <s v="Periodo 2014-2021"/>
    <s v="Número de supermercados"/>
    <s v="Instituto Nacional de Estadísticas (INE)"/>
    <x v="1598"/>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x v="1597"/>
    <s v="100-R-4"/>
    <s v="#1774B235"/>
    <s v="990-1614"/>
    <n v="99200004"/>
    <s v="T-1079"/>
    <e v="#N/A"/>
    <s v="FI-1010"/>
    <s v="M-1146"/>
  </r>
  <r>
    <x v="1614"/>
    <n v="990"/>
    <x v="0"/>
    <x v="9"/>
    <n v="5"/>
    <x v="86"/>
    <x v="34"/>
    <x v="1"/>
    <x v="5"/>
    <s v="Fecha"/>
    <s v="Cantidad de Supermercados con tres o más cajas instaladas"/>
    <s v="Periodo 2014-2021"/>
    <s v="Número de supermercados"/>
    <s v="Instituto Nacional de Estadísticas (INE)"/>
    <x v="1599"/>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x v="1598"/>
    <s v="100-R-5"/>
    <s v="#1774B236"/>
    <s v="990-1615"/>
    <n v="99200005"/>
    <s v="T-1079"/>
    <e v="#N/A"/>
    <s v="FI-1010"/>
    <s v="M-1146"/>
  </r>
  <r>
    <x v="1615"/>
    <n v="990"/>
    <x v="0"/>
    <x v="9"/>
    <n v="6"/>
    <x v="86"/>
    <x v="34"/>
    <x v="1"/>
    <x v="6"/>
    <s v="Fecha"/>
    <s v="Cantidad de Supermercados con tres o más cajas instaladas"/>
    <s v="Periodo 2014-2021"/>
    <s v="Número de supermercados"/>
    <s v="Instituto Nacional de Estadísticas (INE)"/>
    <x v="1600"/>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x v="1599"/>
    <s v="100-R-6"/>
    <s v="#1774B237"/>
    <s v="990-1616"/>
    <n v="99200006"/>
    <s v="T-1079"/>
    <e v="#N/A"/>
    <s v="FI-1010"/>
    <s v="M-1146"/>
  </r>
  <r>
    <x v="1616"/>
    <n v="990"/>
    <x v="0"/>
    <x v="9"/>
    <n v="7"/>
    <x v="86"/>
    <x v="34"/>
    <x v="1"/>
    <x v="7"/>
    <s v="Fecha"/>
    <s v="Cantidad de Supermercados con tres o más cajas instaladas"/>
    <s v="Periodo 2014-2021"/>
    <s v="Número de supermercados"/>
    <s v="Instituto Nacional de Estadísticas (INE)"/>
    <x v="1601"/>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x v="1600"/>
    <s v="100-R-7"/>
    <s v="#1774B238"/>
    <s v="990-1617"/>
    <n v="99200007"/>
    <s v="T-1079"/>
    <e v="#N/A"/>
    <s v="FI-1010"/>
    <s v="M-1146"/>
  </r>
  <r>
    <x v="1617"/>
    <n v="990"/>
    <x v="0"/>
    <x v="9"/>
    <n v="8"/>
    <x v="86"/>
    <x v="34"/>
    <x v="1"/>
    <x v="8"/>
    <s v="Fecha"/>
    <s v="Cantidad de Supermercados con tres o más cajas instaladas"/>
    <s v="Periodo 2014-2021"/>
    <s v="Número de supermercados"/>
    <s v="Instituto Nacional de Estadísticas (INE)"/>
    <x v="1602"/>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x v="1601"/>
    <s v="100-R-8"/>
    <s v="#1774B239"/>
    <s v="990-1618"/>
    <n v="99200008"/>
    <s v="T-1079"/>
    <e v="#N/A"/>
    <s v="FI-1010"/>
    <s v="M-1146"/>
  </r>
  <r>
    <x v="1618"/>
    <n v="990"/>
    <x v="0"/>
    <x v="9"/>
    <n v="9"/>
    <x v="86"/>
    <x v="34"/>
    <x v="1"/>
    <x v="9"/>
    <s v="Fecha"/>
    <s v="Cantidad de Supermercados con tres o más cajas instaladas"/>
    <s v="Periodo 2014-2021"/>
    <s v="Número de supermercados"/>
    <s v="Instituto Nacional de Estadísticas (INE)"/>
    <x v="1603"/>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x v="1602"/>
    <s v="100-R-9"/>
    <s v="#1774B240"/>
    <s v="990-1619"/>
    <n v="99200009"/>
    <s v="T-1079"/>
    <e v="#N/A"/>
    <s v="FI-1010"/>
    <s v="M-1146"/>
  </r>
  <r>
    <x v="1619"/>
    <n v="990"/>
    <x v="0"/>
    <x v="9"/>
    <n v="10"/>
    <x v="86"/>
    <x v="34"/>
    <x v="1"/>
    <x v="10"/>
    <s v="Fecha"/>
    <s v="Cantidad de Supermercados con tres o más cajas instaladas"/>
    <s v="Periodo 2014-2021"/>
    <s v="Número de supermercados"/>
    <s v="Instituto Nacional de Estadísticas (INE)"/>
    <x v="1604"/>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x v="1603"/>
    <s v="100-R-10"/>
    <s v="#1774B241"/>
    <s v="990-1620"/>
    <n v="99200010"/>
    <s v="T-1079"/>
    <e v="#N/A"/>
    <s v="FI-1010"/>
    <s v="M-1146"/>
  </r>
  <r>
    <x v="1620"/>
    <n v="990"/>
    <x v="0"/>
    <x v="9"/>
    <n v="11"/>
    <x v="86"/>
    <x v="34"/>
    <x v="1"/>
    <x v="11"/>
    <s v="Fecha"/>
    <s v="Cantidad de Supermercados con tres o más cajas instaladas"/>
    <s v="Periodo 2014-2021"/>
    <s v="Número de supermercados"/>
    <s v="Instituto Nacional de Estadísticas (INE)"/>
    <x v="1605"/>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x v="1604"/>
    <s v="100-R-11"/>
    <s v="#1774B242"/>
    <s v="990-1621"/>
    <n v="99200011"/>
    <s v="T-1079"/>
    <e v="#N/A"/>
    <s v="FI-1010"/>
    <s v="M-1146"/>
  </r>
  <r>
    <x v="1621"/>
    <n v="990"/>
    <x v="0"/>
    <x v="9"/>
    <n v="12"/>
    <x v="86"/>
    <x v="34"/>
    <x v="1"/>
    <x v="12"/>
    <s v="Fecha"/>
    <s v="Cantidad de Supermercados con tres o más cajas instaladas"/>
    <s v="Periodo 2014-2021"/>
    <s v="Número de supermercados"/>
    <s v="Instituto Nacional de Estadísticas (INE)"/>
    <x v="1606"/>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x v="1605"/>
    <s v="100-R-12"/>
    <s v="#1774B243"/>
    <s v="990-1622"/>
    <n v="99200012"/>
    <s v="T-1079"/>
    <e v="#N/A"/>
    <s v="FI-1010"/>
    <s v="M-1146"/>
  </r>
  <r>
    <x v="1622"/>
    <n v="990"/>
    <x v="0"/>
    <x v="9"/>
    <n v="13"/>
    <x v="86"/>
    <x v="34"/>
    <x v="1"/>
    <x v="13"/>
    <s v="Fecha"/>
    <s v="Cantidad de Supermercados con tres o más cajas instaladas"/>
    <s v="Periodo 2014-2021"/>
    <s v="Número de supermercados"/>
    <s v="Instituto Nacional de Estadísticas (INE)"/>
    <x v="1607"/>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x v="1606"/>
    <s v="200-R-13"/>
    <s v="#1774B244"/>
    <s v="990-1623"/>
    <n v="99200013"/>
    <s v="T-1079"/>
    <e v="#N/A"/>
    <s v="FI-1010"/>
    <s v="M-1146"/>
  </r>
  <r>
    <x v="1623"/>
    <n v="990"/>
    <x v="0"/>
    <x v="9"/>
    <n v="14"/>
    <x v="86"/>
    <x v="34"/>
    <x v="1"/>
    <x v="14"/>
    <s v="Fecha"/>
    <s v="Cantidad de Supermercados con tres o más cajas instaladas"/>
    <s v="Periodo 2014-2021"/>
    <s v="Número de supermercados"/>
    <s v="Instituto Nacional de Estadísticas (INE)"/>
    <x v="1608"/>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x v="1607"/>
    <s v="100-R-14"/>
    <s v="#1774B245"/>
    <s v="990-1624"/>
    <n v="99200014"/>
    <s v="T-1079"/>
    <e v="#N/A"/>
    <s v="FI-1010"/>
    <s v="M-1146"/>
  </r>
  <r>
    <x v="1624"/>
    <n v="990"/>
    <x v="0"/>
    <x v="9"/>
    <n v="15"/>
    <x v="86"/>
    <x v="34"/>
    <x v="1"/>
    <x v="15"/>
    <s v="Fecha"/>
    <s v="Cantidad de Supermercados con tres o más cajas instaladas"/>
    <s v="Periodo 2014-2021"/>
    <s v="Número de supermercados"/>
    <s v="Instituto Nacional de Estadísticas (INE)"/>
    <x v="1609"/>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x v="1608"/>
    <s v="100-R-15"/>
    <s v="#1774B246"/>
    <s v="990-1625"/>
    <n v="99200015"/>
    <s v="T-1079"/>
    <e v="#N/A"/>
    <s v="FI-1010"/>
    <s v="M-1146"/>
  </r>
  <r>
    <x v="1625"/>
    <n v="990"/>
    <x v="0"/>
    <x v="9"/>
    <n v="16"/>
    <x v="86"/>
    <x v="34"/>
    <x v="1"/>
    <x v="16"/>
    <s v="Fecha"/>
    <s v="Cantidad de Supermercados con tres o más cajas instaladas"/>
    <s v="Periodo 2014-2021"/>
    <s v="Número de supermercados"/>
    <s v="Instituto Nacional de Estadísticas (INE)"/>
    <x v="1610"/>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x v="1609"/>
    <s v="100-R-16"/>
    <s v="#1774B247"/>
    <s v="990-1626"/>
    <n v="99200016"/>
    <s v="T-1079"/>
    <e v="#N/A"/>
    <s v="FI-1010"/>
    <s v="M-1146"/>
  </r>
  <r>
    <x v="1626"/>
    <n v="990"/>
    <x v="0"/>
    <x v="9"/>
    <n v="0"/>
    <x v="85"/>
    <x v="34"/>
    <x v="0"/>
    <x v="0"/>
    <s v="Región-Fecha"/>
    <s v="Índice de Elaboración de Productos Alimenticios"/>
    <s v="Periodo 2014-2021"/>
    <s v="Índice"/>
    <s v="Instituto Nacional de Estadísticas (INE)"/>
    <x v="1611"/>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x v="1610"/>
    <s v="300-R"/>
    <s v="#1774B248"/>
    <s v="990-1627"/>
    <n v="99100000"/>
    <s v="T-1078"/>
    <e v="#N/A"/>
    <s v="FI-1011"/>
    <s v="M-1147"/>
  </r>
  <r>
    <x v="1627"/>
    <n v="990"/>
    <x v="0"/>
    <x v="9"/>
    <n v="5"/>
    <x v="85"/>
    <x v="34"/>
    <x v="1"/>
    <x v="5"/>
    <s v="Fecha"/>
    <s v="Índice de Elaboración de Productos Alimenticios"/>
    <s v="Periodo 2014-2021"/>
    <s v="Índice"/>
    <s v="Instituto Nacional de Estadísticas (INE)"/>
    <x v="1612"/>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x v="1611"/>
    <s v="100-R-5"/>
    <s v="#1774B249"/>
    <s v="990-1628"/>
    <n v="99200005"/>
    <s v="T-1078"/>
    <e v="#N/A"/>
    <s v="FI-1010"/>
    <s v="M-1147"/>
  </r>
  <r>
    <x v="1628"/>
    <n v="990"/>
    <x v="0"/>
    <x v="9"/>
    <n v="6"/>
    <x v="85"/>
    <x v="34"/>
    <x v="1"/>
    <x v="6"/>
    <s v="Fecha"/>
    <s v="Índice de Elaboración de Productos Alimenticios"/>
    <s v="Periodo 2014-2021"/>
    <s v="Índice"/>
    <s v="Instituto Nacional de Estadísticas (INE)"/>
    <x v="1613"/>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x v="1612"/>
    <s v="100-R-6"/>
    <s v="#1774B250"/>
    <s v="990-1629"/>
    <n v="99200006"/>
    <s v="T-1078"/>
    <e v="#N/A"/>
    <s v="FI-1010"/>
    <s v="M-1147"/>
  </r>
  <r>
    <x v="1629"/>
    <n v="990"/>
    <x v="0"/>
    <x v="9"/>
    <n v="8"/>
    <x v="85"/>
    <x v="34"/>
    <x v="1"/>
    <x v="8"/>
    <s v="Fecha"/>
    <s v="Índice de Elaboración de Productos Alimenticios"/>
    <s v="Periodo 2014-2021"/>
    <s v="Índice"/>
    <s v="Instituto Nacional de Estadísticas (INE)"/>
    <x v="1614"/>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x v="1613"/>
    <s v="100-R-8"/>
    <s v="#1774B251"/>
    <s v="990-1630"/>
    <n v="99200008"/>
    <s v="T-1078"/>
    <e v="#N/A"/>
    <s v="FI-1010"/>
    <s v="M-1147"/>
  </r>
  <r>
    <x v="1630"/>
    <n v="990"/>
    <x v="0"/>
    <x v="9"/>
    <n v="14"/>
    <x v="85"/>
    <x v="34"/>
    <x v="1"/>
    <x v="14"/>
    <s v="Fecha"/>
    <s v="Índice de Elaboración de Productos Alimenticios"/>
    <s v="Periodo 2014-2021"/>
    <s v="Índice"/>
    <s v="Instituto Nacional de Estadísticas (INE)"/>
    <x v="1615"/>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x v="1614"/>
    <s v="100-R-14"/>
    <s v="#1774B252"/>
    <s v="990-1631"/>
    <n v="99200014"/>
    <s v="T-1078"/>
    <e v="#N/A"/>
    <s v="FI-1010"/>
    <s v="M-1147"/>
  </r>
  <r>
    <x v="1631"/>
    <n v="990"/>
    <x v="0"/>
    <x v="9"/>
    <n v="0"/>
    <x v="85"/>
    <x v="34"/>
    <x v="0"/>
    <x v="0"/>
    <s v="Fecha"/>
    <s v="Índice de Fabricación de Productos Farmacéuticos"/>
    <s v="Periodo 2014-2021"/>
    <s v="Índice"/>
    <s v="Instituto Nacional de Estadísticas (INE)"/>
    <x v="1616"/>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x v="1615"/>
    <n v="0"/>
    <s v="#1774B253"/>
    <s v="990-1632"/>
    <n v="99100000"/>
    <s v="T-1078"/>
    <e v="#N/A"/>
    <s v="FI-1010"/>
    <s v="M-1148"/>
  </r>
  <r>
    <x v="1632"/>
    <n v="990"/>
    <x v="0"/>
    <x v="9"/>
    <n v="0"/>
    <x v="85"/>
    <x v="34"/>
    <x v="0"/>
    <x v="0"/>
    <s v="Región-Fecha"/>
    <s v="índice de Fabricación de Sustancias y Productos Químicos"/>
    <s v="Periodo 2014-2021"/>
    <s v="Índice"/>
    <s v="Instituto Nacional de Estadísticas (INE)"/>
    <x v="1617"/>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x v="1616"/>
    <s v="300-R"/>
    <s v="#1774B254"/>
    <s v="990-1633"/>
    <n v="99100000"/>
    <s v="T-1078"/>
    <e v="#N/A"/>
    <s v="FI-1011"/>
    <s v="M-1149"/>
  </r>
  <r>
    <x v="1633"/>
    <n v="990"/>
    <x v="0"/>
    <x v="9"/>
    <n v="5"/>
    <x v="85"/>
    <x v="34"/>
    <x v="1"/>
    <x v="5"/>
    <s v="Fecha"/>
    <s v="índice de Fabricación de Sustancias y Productos Químicos"/>
    <s v="Periodo 2014-2021"/>
    <s v="Índice"/>
    <s v="Instituto Nacional de Estadísticas (INE)"/>
    <x v="1618"/>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x v="1617"/>
    <s v="100-R-5"/>
    <s v="#1774B255"/>
    <s v="990-1634"/>
    <n v="99200005"/>
    <s v="T-1078"/>
    <e v="#N/A"/>
    <s v="FI-1010"/>
    <s v="M-1149"/>
  </r>
  <r>
    <x v="1634"/>
    <n v="990"/>
    <x v="0"/>
    <x v="9"/>
    <n v="6"/>
    <x v="85"/>
    <x v="34"/>
    <x v="1"/>
    <x v="6"/>
    <s v="Fecha"/>
    <s v="índice de Fabricación de Sustancias y Productos Químicos"/>
    <s v="Periodo 2014-2021"/>
    <s v="Índice"/>
    <s v="Instituto Nacional de Estadísticas (INE)"/>
    <x v="1619"/>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x v="1618"/>
    <s v="100-R-6"/>
    <s v="#1774B256"/>
    <s v="990-1635"/>
    <n v="99200006"/>
    <s v="T-1078"/>
    <e v="#N/A"/>
    <s v="FI-1010"/>
    <s v="M-1149"/>
  </r>
  <r>
    <x v="1635"/>
    <n v="990"/>
    <x v="0"/>
    <x v="9"/>
    <n v="8"/>
    <x v="85"/>
    <x v="34"/>
    <x v="1"/>
    <x v="8"/>
    <s v="Fecha"/>
    <s v="índice de Fabricación de Sustancias y Productos Químicos"/>
    <s v="Periodo 2014-2021"/>
    <s v="Índice"/>
    <s v="Instituto Nacional de Estadísticas (INE)"/>
    <x v="1620"/>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x v="1619"/>
    <s v="100-R-8"/>
    <s v="#1774B257"/>
    <s v="990-1636"/>
    <n v="99200008"/>
    <s v="T-1078"/>
    <e v="#N/A"/>
    <s v="FI-1010"/>
    <s v="M-1149"/>
  </r>
  <r>
    <x v="1636"/>
    <n v="990"/>
    <x v="0"/>
    <x v="12"/>
    <n v="0"/>
    <x v="87"/>
    <x v="19"/>
    <x v="0"/>
    <x v="0"/>
    <s v="Región-Fecha"/>
    <s v="Pasada de vehículos por plazas de peajes y pórticos de autopistas interurbanas"/>
    <s v="Periodo 2014-2021"/>
    <s v="Número de vehículos"/>
    <s v="Ministerio de Transportes y Telecomunicaciones"/>
    <x v="1621"/>
    <s v="En el año 2021, desde enero a mayo, han pasado un promedio de 27.643.458 vehículos por plazas de peaje y pórticos de autopistas interurbanas, con un peak de 30.849.162 vehículos en febrero y un mínimo de 21.906.513 vehículos en abril."/>
    <s v="Gráfico de Evolución"/>
    <s v="vehículos autos peaje pórtico autopistas interurbanas nacional chile"/>
    <x v="1620"/>
    <s v="300-R"/>
    <s v="#1774B258"/>
    <s v="990-1637"/>
    <n v="99100000"/>
    <e v="#N/A"/>
    <s v="C-1017"/>
    <s v="FI-1011"/>
    <s v="M-1150"/>
  </r>
  <r>
    <x v="1637"/>
    <n v="990"/>
    <x v="0"/>
    <x v="12"/>
    <n v="5"/>
    <x v="87"/>
    <x v="19"/>
    <x v="1"/>
    <x v="5"/>
    <s v="Fecha"/>
    <s v="Pasada de vehículos por plazas de peajes y pórticos de autopistas interurbanas"/>
    <s v="Periodo 2014-2021"/>
    <s v="Número de vehículos"/>
    <s v="Ministerio de Transportes y Telecomunicaciones"/>
    <x v="1622"/>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x v="1621"/>
    <s v="100-R-5"/>
    <s v="#1774B259"/>
    <s v="990-1638"/>
    <n v="99200005"/>
    <e v="#N/A"/>
    <s v="C-1017"/>
    <s v="FI-1010"/>
    <s v="M-1150"/>
  </r>
  <r>
    <x v="1638"/>
    <n v="990"/>
    <x v="0"/>
    <x v="12"/>
    <n v="8"/>
    <x v="87"/>
    <x v="19"/>
    <x v="1"/>
    <x v="8"/>
    <s v="Fecha"/>
    <s v="Pasada de vehículos por plazas de peajes y pórticos de autopistas interurbanas"/>
    <s v="Periodo 2014-2021"/>
    <s v="Número de vehículos"/>
    <s v="Ministerio de Transportes y Telecomunicaciones"/>
    <x v="1623"/>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x v="1622"/>
    <s v="100-R-8"/>
    <s v="#1774B260"/>
    <s v="990-1639"/>
    <n v="99200008"/>
    <e v="#N/A"/>
    <s v="C-1017"/>
    <s v="FI-1010"/>
    <s v="M-1150"/>
  </r>
  <r>
    <x v="1639"/>
    <n v="990"/>
    <x v="0"/>
    <x v="12"/>
    <n v="13"/>
    <x v="87"/>
    <x v="19"/>
    <x v="1"/>
    <x v="13"/>
    <s v="Fecha"/>
    <s v="Pasada de vehículos por plazas de peajes y pórticos de autopistas interurbanas"/>
    <s v="Periodo 2014-2021"/>
    <s v="Número de vehículos"/>
    <s v="Ministerio de Transportes y Telecomunicaciones"/>
    <x v="1624"/>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x v="1623"/>
    <s v="200-R-13"/>
    <s v="#1774B261"/>
    <s v="990-1640"/>
    <n v="99200013"/>
    <e v="#N/A"/>
    <s v="C-1017"/>
    <s v="FI-1010"/>
    <s v="M-1150"/>
  </r>
  <r>
    <x v="1640"/>
    <n v="990"/>
    <x v="0"/>
    <x v="12"/>
    <n v="16"/>
    <x v="87"/>
    <x v="19"/>
    <x v="1"/>
    <x v="16"/>
    <s v="Fecha"/>
    <s v="Pasada de vehículos por plazas de peajes y pórticos de autopistas interurbanas"/>
    <s v="Periodo 2014-2021"/>
    <s v="Número de vehículos"/>
    <s v="Ministerio de Transportes y Telecomunicaciones"/>
    <x v="1625"/>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x v="1624"/>
    <s v="100-R-16"/>
    <s v="#1774B262"/>
    <s v="990-1641"/>
    <n v="99200016"/>
    <e v="#N/A"/>
    <s v="C-1017"/>
    <s v="FI-1010"/>
    <s v="M-1150"/>
  </r>
  <r>
    <x v="1641"/>
    <n v="990"/>
    <x v="0"/>
    <x v="12"/>
    <n v="0"/>
    <x v="88"/>
    <x v="21"/>
    <x v="0"/>
    <x v="0"/>
    <s v="Región-Fecha"/>
    <s v="Parque vehicular de taxis"/>
    <s v="Periodo 2014-2021"/>
    <s v="Número de vehículos"/>
    <s v="Ministerio de Transportes y Telecomunicaciones"/>
    <x v="1626"/>
    <s v="En el período comprendido entre los años 2014 y 2021, el parque vehicular de taxis a nivel nacional alcanzó su mínimo en marzo de 2014, con 100.611 vehículos. El máximo se registró en junio de 2016, con 103.345 taxis. El promedio nacional es de 102.373 vehículos."/>
    <s v="Gráfico de Evolución"/>
    <s v="taxis parque vehicular cantidad vehículos transporte nacional chile"/>
    <x v="1625"/>
    <s v="300-R"/>
    <s v="#1774B263"/>
    <s v="990-1642"/>
    <n v="99100000"/>
    <s v="T-1081"/>
    <s v="C-1003"/>
    <s v="FI-1011"/>
    <s v="M-1151"/>
  </r>
  <r>
    <x v="1642"/>
    <n v="990"/>
    <x v="0"/>
    <x v="12"/>
    <n v="1"/>
    <x v="88"/>
    <x v="21"/>
    <x v="1"/>
    <x v="1"/>
    <s v="Fecha"/>
    <s v="Parque vehicular de taxis"/>
    <s v="Periodo 2014-2021"/>
    <s v="Número de vehículos"/>
    <s v="Ministerio de Transportes y Telecomunicaciones"/>
    <x v="1627"/>
    <s v="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
    <s v="Gráfico de Evolución"/>
    <s v="taxis parque vehicular cantidad vehículos transporte región tarapacá"/>
    <x v="1626"/>
    <s v="100-R-1"/>
    <s v="#1774B264"/>
    <s v="990-1643"/>
    <n v="99200001"/>
    <s v="T-1081"/>
    <s v="C-1003"/>
    <s v="FI-1010"/>
    <s v="M-1151"/>
  </r>
  <r>
    <x v="1643"/>
    <n v="990"/>
    <x v="0"/>
    <x v="12"/>
    <n v="2"/>
    <x v="88"/>
    <x v="21"/>
    <x v="1"/>
    <x v="2"/>
    <s v="Fecha"/>
    <s v="Parque vehicular de taxis"/>
    <s v="Periodo 2014-2021"/>
    <s v="Número de vehículos"/>
    <s v="Ministerio de Transportes y Telecomunicaciones"/>
    <x v="1628"/>
    <s v="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
    <s v="Gráfico de Evolución"/>
    <s v="taxis parque vehicular cantidad vehículos transporte región antofagasta"/>
    <x v="1627"/>
    <s v="100-R-2"/>
    <s v="#1774B265"/>
    <s v="990-1644"/>
    <n v="99200002"/>
    <s v="T-1081"/>
    <s v="C-1003"/>
    <s v="FI-1010"/>
    <s v="M-1151"/>
  </r>
  <r>
    <x v="1644"/>
    <n v="990"/>
    <x v="0"/>
    <x v="12"/>
    <n v="3"/>
    <x v="88"/>
    <x v="21"/>
    <x v="1"/>
    <x v="3"/>
    <s v="Fecha"/>
    <s v="Parque vehicular de taxis"/>
    <s v="Periodo 2014-2021"/>
    <s v="Número de vehículos"/>
    <s v="Ministerio de Transportes y Telecomunicaciones"/>
    <x v="1629"/>
    <s v="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
    <s v="Gráfico de Evolución"/>
    <s v="taxis parque vehicular cantidad vehículos transporte región atacama"/>
    <x v="1628"/>
    <s v="100-R-3"/>
    <s v="#1774B266"/>
    <s v="990-1645"/>
    <n v="99200003"/>
    <s v="T-1081"/>
    <s v="C-1003"/>
    <s v="FI-1010"/>
    <s v="M-1151"/>
  </r>
  <r>
    <x v="1645"/>
    <n v="990"/>
    <x v="0"/>
    <x v="12"/>
    <n v="4"/>
    <x v="88"/>
    <x v="21"/>
    <x v="1"/>
    <x v="4"/>
    <s v="Fecha"/>
    <s v="Parque vehicular de taxis"/>
    <s v="Periodo 2014-2021"/>
    <s v="Número de vehículos"/>
    <s v="Ministerio de Transportes y Telecomunicaciones"/>
    <x v="1630"/>
    <s v="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
    <s v="Gráfico de Evolución"/>
    <s v="taxis parque vehicular cantidad vehículos transporte región coquimbo"/>
    <x v="1629"/>
    <s v="100-R-4"/>
    <s v="#1774B267"/>
    <s v="990-1646"/>
    <n v="99200004"/>
    <s v="T-1081"/>
    <s v="C-1003"/>
    <s v="FI-1010"/>
    <s v="M-1151"/>
  </r>
  <r>
    <x v="1646"/>
    <n v="990"/>
    <x v="0"/>
    <x v="12"/>
    <n v="5"/>
    <x v="88"/>
    <x v="21"/>
    <x v="1"/>
    <x v="5"/>
    <s v="Fecha"/>
    <s v="Parque vehicular de taxis"/>
    <s v="Periodo 2014-2021"/>
    <s v="Número de vehículos"/>
    <s v="Ministerio de Transportes y Telecomunicaciones"/>
    <x v="1631"/>
    <s v="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
    <s v="Gráfico de Evolución"/>
    <s v="taxis parque vehicular cantidad vehículos transporte región valparaíso"/>
    <x v="1630"/>
    <s v="100-R-5"/>
    <s v="#1774B268"/>
    <s v="990-1647"/>
    <n v="99200005"/>
    <s v="T-1081"/>
    <s v="C-1003"/>
    <s v="FI-1010"/>
    <s v="M-1151"/>
  </r>
  <r>
    <x v="1647"/>
    <n v="990"/>
    <x v="0"/>
    <x v="12"/>
    <n v="6"/>
    <x v="88"/>
    <x v="21"/>
    <x v="1"/>
    <x v="6"/>
    <s v="Fecha"/>
    <s v="Parque vehicular de taxis"/>
    <s v="Periodo 2014-2021"/>
    <s v="Número de vehículos"/>
    <s v="Ministerio de Transportes y Telecomunicaciones"/>
    <x v="1632"/>
    <s v="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
    <s v="Gráfico de Evolución"/>
    <s v="taxis parque vehicular cantidad vehículos transporte región ohiggins"/>
    <x v="1631"/>
    <s v="100-R-6"/>
    <s v="#1774B269"/>
    <s v="990-1648"/>
    <n v="99200006"/>
    <s v="T-1081"/>
    <s v="C-1003"/>
    <s v="FI-1010"/>
    <s v="M-1151"/>
  </r>
  <r>
    <x v="1648"/>
    <n v="990"/>
    <x v="0"/>
    <x v="12"/>
    <n v="7"/>
    <x v="88"/>
    <x v="21"/>
    <x v="1"/>
    <x v="7"/>
    <s v="Fecha"/>
    <s v="Parque vehicular de taxis"/>
    <s v="Periodo 2014-2021"/>
    <s v="Número de vehículos"/>
    <s v="Ministerio de Transportes y Telecomunicaciones"/>
    <x v="1633"/>
    <s v="En el período comprendido entre los años 2014 y 2021, el parque vehicular de taxis en la región del Maule alcanzó su mínimo en septiembre 2018, con 4.323 vehículos. El máximo se registró en marzo 2021, con 4.411 taxis. El promedio regional es de 4.366 vehículos. "/>
    <s v="Gráfico de Evolución"/>
    <s v="taxis parque vehicular cantidad vehículos transporte región maule"/>
    <x v="1632"/>
    <s v="100-R-7"/>
    <s v="#1774B270"/>
    <s v="990-1649"/>
    <n v="99200007"/>
    <s v="T-1081"/>
    <s v="C-1003"/>
    <s v="FI-1010"/>
    <s v="M-1151"/>
  </r>
  <r>
    <x v="1649"/>
    <n v="990"/>
    <x v="0"/>
    <x v="12"/>
    <n v="8"/>
    <x v="88"/>
    <x v="21"/>
    <x v="1"/>
    <x v="8"/>
    <s v="Fecha"/>
    <s v="Parque vehicular de taxis"/>
    <s v="Periodo 2014-2021"/>
    <s v="Número de vehículos"/>
    <s v="Ministerio de Transportes y Telecomunicaciones"/>
    <x v="1634"/>
    <s v="En la región del Biobío, el parque vehicular de taxis disminuyó significamente, pasando de 6.974 vehículos en diciembre del 2018 a 4.902 en marzo del 2019, cifra que se ha mantenido relativamente constante hasta la fecha. "/>
    <s v="Gráfico de Evolución"/>
    <s v="taxis parque vehicular cantidad vehículos transporte región biobío"/>
    <x v="1633"/>
    <s v="100-R-8"/>
    <s v="#1774B271"/>
    <s v="990-1650"/>
    <n v="99200008"/>
    <s v="T-1081"/>
    <s v="C-1003"/>
    <s v="FI-1010"/>
    <s v="M-1151"/>
  </r>
  <r>
    <x v="1650"/>
    <n v="990"/>
    <x v="0"/>
    <x v="12"/>
    <n v="9"/>
    <x v="88"/>
    <x v="21"/>
    <x v="1"/>
    <x v="9"/>
    <s v="Fecha"/>
    <s v="Parque vehicular de taxis"/>
    <s v="Periodo 2014-2021"/>
    <s v="Número de vehículos"/>
    <s v="Ministerio de Transportes y Telecomunicaciones"/>
    <x v="1635"/>
    <s v="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
    <s v="Gráfico de Evolución"/>
    <s v="taxis parque vehicular cantidad vehículos transporte región araucanía"/>
    <x v="1634"/>
    <s v="100-R-9"/>
    <s v="#1774B272"/>
    <s v="990-1651"/>
    <n v="99200009"/>
    <s v="T-1081"/>
    <s v="C-1003"/>
    <s v="FI-1010"/>
    <s v="M-1151"/>
  </r>
  <r>
    <x v="1651"/>
    <n v="990"/>
    <x v="0"/>
    <x v="12"/>
    <n v="10"/>
    <x v="88"/>
    <x v="21"/>
    <x v="1"/>
    <x v="10"/>
    <s v="Fecha"/>
    <s v="Parque vehicular de taxis"/>
    <s v="Periodo 2014-2021"/>
    <s v="Número de vehículos"/>
    <s v="Ministerio de Transportes y Telecomunicaciones"/>
    <x v="1636"/>
    <s v="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
    <s v="Gráfico de Evolución"/>
    <s v="taxis parque vehicular cantidad vehículos transporte región los lagos"/>
    <x v="1635"/>
    <s v="100-R-10"/>
    <s v="#1774B273"/>
    <s v="990-1652"/>
    <n v="99200010"/>
    <s v="T-1081"/>
    <s v="C-1003"/>
    <s v="FI-1010"/>
    <s v="M-1151"/>
  </r>
  <r>
    <x v="1652"/>
    <n v="990"/>
    <x v="0"/>
    <x v="12"/>
    <n v="11"/>
    <x v="88"/>
    <x v="21"/>
    <x v="1"/>
    <x v="11"/>
    <s v="Fecha"/>
    <s v="Parque vehicular de taxis"/>
    <s v="Periodo 2014-2021"/>
    <s v="Número de vehículos"/>
    <s v="Ministerio de Transportes y Telecomunicaciones"/>
    <x v="1637"/>
    <s v="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
    <s v="Gráfico de Evolución"/>
    <s v="taxis parque vehicular cantidad vehículos transporte región aysén"/>
    <x v="1636"/>
    <s v="100-R-11"/>
    <s v="#1774B274"/>
    <s v="990-1653"/>
    <n v="99200011"/>
    <s v="T-1081"/>
    <s v="C-1003"/>
    <s v="FI-1010"/>
    <s v="M-1151"/>
  </r>
  <r>
    <x v="1653"/>
    <n v="990"/>
    <x v="0"/>
    <x v="12"/>
    <n v="12"/>
    <x v="88"/>
    <x v="21"/>
    <x v="1"/>
    <x v="12"/>
    <s v="Fecha"/>
    <s v="Parque vehicular de taxis"/>
    <s v="Periodo 2014-2021"/>
    <s v="Número de vehículos"/>
    <s v="Ministerio de Transportes y Telecomunicaciones"/>
    <x v="1638"/>
    <s v="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
    <s v="Gráfico de Evolución"/>
    <s v="taxis parque vehicular cantidad vehículos transporte región magallanes"/>
    <x v="1637"/>
    <s v="100-R-12"/>
    <s v="#1774B275"/>
    <s v="990-1654"/>
    <n v="99200012"/>
    <s v="T-1081"/>
    <s v="C-1003"/>
    <s v="FI-1010"/>
    <s v="M-1151"/>
  </r>
  <r>
    <x v="1654"/>
    <n v="990"/>
    <x v="0"/>
    <x v="12"/>
    <n v="13"/>
    <x v="88"/>
    <x v="21"/>
    <x v="1"/>
    <x v="13"/>
    <s v="Fecha"/>
    <s v="Parque vehicular de taxis"/>
    <s v="Periodo 2014-2021"/>
    <s v="Número de vehículos"/>
    <s v="Ministerio de Transportes y Telecomunicaciones"/>
    <x v="1639"/>
    <s v="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
    <s v="Gráfico de Evolución"/>
    <s v="taxis parque vehicular cantidad vehículos transporte región metropolitana"/>
    <x v="1638"/>
    <s v="200-R-13"/>
    <s v="#1774B276"/>
    <s v="990-1655"/>
    <n v="99200013"/>
    <s v="T-1081"/>
    <s v="C-1003"/>
    <s v="FI-1010"/>
    <s v="M-1151"/>
  </r>
  <r>
    <x v="1655"/>
    <n v="990"/>
    <x v="0"/>
    <x v="12"/>
    <n v="14"/>
    <x v="88"/>
    <x v="21"/>
    <x v="1"/>
    <x v="14"/>
    <s v="Fecha"/>
    <s v="Parque vehicular de taxis"/>
    <s v="Periodo 2014-2021"/>
    <s v="Número de vehículos"/>
    <s v="Ministerio de Transportes y Telecomunicaciones"/>
    <x v="1640"/>
    <s v="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
    <s v="Gráfico de Evolución"/>
    <s v="taxis parque vehicular cantidad vehículos transporte región los ríos"/>
    <x v="1639"/>
    <s v="100-R-14"/>
    <s v="#1774B277"/>
    <s v="990-1656"/>
    <n v="99200014"/>
    <s v="T-1081"/>
    <s v="C-1003"/>
    <s v="FI-1010"/>
    <s v="M-1151"/>
  </r>
  <r>
    <x v="1656"/>
    <n v="990"/>
    <x v="0"/>
    <x v="12"/>
    <n v="15"/>
    <x v="88"/>
    <x v="21"/>
    <x v="1"/>
    <x v="15"/>
    <s v="Fecha"/>
    <s v="Parque vehicular de taxis"/>
    <s v="Periodo 2014-2021"/>
    <s v="Número de vehículos"/>
    <s v="Ministerio de Transportes y Telecomunicaciones"/>
    <x v="1641"/>
    <s v="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
    <s v="Gráfico de Evolución"/>
    <s v="taxis parque vehicular cantidad vehículos transporte región arica parinacota"/>
    <x v="1640"/>
    <s v="100-R-15"/>
    <s v="#1774B278"/>
    <s v="990-1657"/>
    <n v="99200015"/>
    <s v="T-1081"/>
    <s v="C-1003"/>
    <s v="FI-1010"/>
    <s v="M-1151"/>
  </r>
  <r>
    <x v="1657"/>
    <n v="990"/>
    <x v="0"/>
    <x v="12"/>
    <n v="16"/>
    <x v="88"/>
    <x v="21"/>
    <x v="1"/>
    <x v="16"/>
    <s v="Fecha"/>
    <s v="Parque vehicular de taxis"/>
    <s v="Periodo 2014-2021"/>
    <s v="Número de vehículos"/>
    <s v="Ministerio de Transportes y Telecomunicaciones"/>
    <x v="1642"/>
    <s v="En el período comprendido entre los años 2014 y 2021, el parque vehicular de taxis en la región de Ñuble alcanzó su mínimo en diciembre de 2020, con 2.015 vehículos. El máximo se registró en junio de 2020, con 2.062 taxis. El promedio regional es de 2.049 vehículos."/>
    <s v="Gráfico de Evolución"/>
    <s v="taxis parque vehicular cantidad vehículos transporte región ñuble"/>
    <x v="1641"/>
    <s v="100-R-16"/>
    <s v="#1774B279"/>
    <s v="990-1658"/>
    <n v="99200016"/>
    <s v="T-1081"/>
    <s v="C-1003"/>
    <s v="FI-1010"/>
    <s v="M-1151"/>
  </r>
  <r>
    <x v="1658"/>
    <n v="990"/>
    <x v="0"/>
    <x v="9"/>
    <n v="0"/>
    <x v="89"/>
    <x v="34"/>
    <x v="0"/>
    <x v="0"/>
    <s v="Región-Fecha"/>
    <s v="Movimiento de Carga Portuaria"/>
    <s v="Periodo 2014-2021"/>
    <s v="Toneladas"/>
    <s v="Ministerio de Transportes y Telecomunicaciones"/>
    <x v="1643"/>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x v="1642"/>
    <s v="300-R"/>
    <s v="#1774B280"/>
    <s v="990-1659"/>
    <n v="99100000"/>
    <s v="T-1082"/>
    <e v="#N/A"/>
    <s v="FI-1011"/>
    <s v="M-1152"/>
  </r>
  <r>
    <x v="1659"/>
    <n v="990"/>
    <x v="0"/>
    <x v="9"/>
    <n v="1"/>
    <x v="89"/>
    <x v="34"/>
    <x v="1"/>
    <x v="1"/>
    <s v="Fecha"/>
    <s v="Movimiento de Carga Portuaria"/>
    <s v="Periodo 2014-2021"/>
    <s v="Toneladas"/>
    <s v="Ministerio de Transportes y Telecomunicaciones"/>
    <x v="1644"/>
    <s v="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
    <s v="Gráfico de Evolución"/>
    <s v="movimiento transporte carga portuaria embarque exterior región tarapacá"/>
    <x v="1643"/>
    <s v="100-R-1"/>
    <s v="#1774B281"/>
    <s v="990-1660"/>
    <n v="99200001"/>
    <s v="T-1082"/>
    <e v="#N/A"/>
    <s v="FI-1010"/>
    <s v="M-1152"/>
  </r>
  <r>
    <x v="1660"/>
    <n v="990"/>
    <x v="0"/>
    <x v="9"/>
    <n v="5"/>
    <x v="89"/>
    <x v="34"/>
    <x v="1"/>
    <x v="5"/>
    <s v="Fecha"/>
    <s v="Movimiento de Carga Portuaria"/>
    <s v="Periodo 2014-2021"/>
    <s v="Toneladas"/>
    <s v="Ministerio de Transportes y Telecomunicaciones"/>
    <x v="1645"/>
    <s v="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
    <s v="Gráfico de Evolución"/>
    <s v="movimiento transporte carga portuaria embarque exterior región valparaíso"/>
    <x v="1644"/>
    <s v="100-R-5"/>
    <s v="#1774B282"/>
    <s v="990-1661"/>
    <n v="99200005"/>
    <s v="T-1082"/>
    <e v="#N/A"/>
    <s v="FI-1010"/>
    <s v="M-1152"/>
  </r>
  <r>
    <x v="1661"/>
    <n v="990"/>
    <x v="0"/>
    <x v="9"/>
    <n v="8"/>
    <x v="89"/>
    <x v="34"/>
    <x v="1"/>
    <x v="8"/>
    <s v="Fecha"/>
    <s v="Movimiento de Carga Portuaria"/>
    <s v="Periodo 2014-2021"/>
    <s v="Toneladas"/>
    <s v="Ministerio de Transportes y Telecomunicaciones"/>
    <x v="1646"/>
    <s v="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
    <s v="Gráfico de Evolución"/>
    <s v="movimiento transporte carga portuaria embarque exterior región biobío"/>
    <x v="1645"/>
    <s v="100-R-8"/>
    <s v="#1774B283"/>
    <s v="990-1662"/>
    <n v="99200008"/>
    <s v="T-1082"/>
    <e v="#N/A"/>
    <s v="FI-1010"/>
    <s v="M-1152"/>
  </r>
  <r>
    <x v="1662"/>
    <n v="990"/>
    <x v="0"/>
    <x v="8"/>
    <n v="0"/>
    <x v="90"/>
    <x v="22"/>
    <x v="0"/>
    <x v="0"/>
    <s v="Fecha"/>
    <s v="Superficie Autorizada Habitacional de Obras Nuevas"/>
    <s v="Periodo 2014-2021"/>
    <s v="m2"/>
    <s v="Instituto Nacional de Estadísticas (INE)"/>
    <x v="1647"/>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evolución superficie autorizada habitacional obras nuevas vivienda construcción nacional chile"/>
    <x v="1646"/>
    <s v="300-R"/>
    <s v="#1774B284"/>
    <s v="990-1663"/>
    <n v="99100000"/>
    <s v="T-1083"/>
    <s v="C-1011"/>
    <s v="FI-1010"/>
    <s v="M-1153"/>
  </r>
  <r>
    <x v="1663"/>
    <n v="990"/>
    <x v="0"/>
    <x v="8"/>
    <n v="1"/>
    <x v="90"/>
    <x v="22"/>
    <x v="1"/>
    <x v="1"/>
    <s v="Región-Fecha"/>
    <s v="Superficie Autorizada Habitacional de Obras Nuevas"/>
    <s v="Periodo 2014-2021"/>
    <s v="m2"/>
    <s v="Instituto Nacional de Estadísticas (INE)"/>
    <x v="1648"/>
    <s v="En la Región de Tarapacá, durante el periodo 2014-2021, el máximo de &quot;Superficie Autorizada Habitacional (Obras Nuevas)&quot; se verifica en julio de 2015 con 110.292 m2. En promedio se autorizan del orden de 18.103 m2 mensualmente en el periodo señalado."/>
    <s v="Gráfico de Evolución"/>
    <s v="evolución superficie autorizada habitacional obras nuevas vivienda construcción región tarapacá"/>
    <x v="1647"/>
    <s v="100-R-1"/>
    <s v="#1774B285"/>
    <s v="990-1664"/>
    <n v="99200001"/>
    <s v="T-1083"/>
    <s v="C-1011"/>
    <s v="FI-1011"/>
    <s v="M-1153"/>
  </r>
  <r>
    <x v="1664"/>
    <n v="990"/>
    <x v="0"/>
    <x v="8"/>
    <n v="2"/>
    <x v="90"/>
    <x v="22"/>
    <x v="1"/>
    <x v="2"/>
    <s v="Fecha"/>
    <s v="Superficie Autorizada Habitacional de Obras Nuevas"/>
    <s v="Periodo 2014-2021"/>
    <s v="m2"/>
    <s v="Instituto Nacional de Estadísticas (INE)"/>
    <x v="1649"/>
    <s v="En la Región de Antofagasta, durante el periodo 2014-2021, el máximo de &quot;Superficie Autorizada Habitacional (Obras Nuevas)&quot; se verifica en mayo de 2019 con 296.118 m2. En promedio se autorizan del orden de 27.080 m2 mensualmente en el periodo señalado."/>
    <s v="Gráfico de Evolución"/>
    <s v="evolución superficie autorizada habitacional obras nuevas vivienda construcción región antofagasta"/>
    <x v="1648"/>
    <s v="100-R-2"/>
    <s v="#1774B286"/>
    <s v="990-1665"/>
    <n v="99200002"/>
    <s v="T-1083"/>
    <s v="C-1011"/>
    <s v="FI-1010"/>
    <s v="M-1153"/>
  </r>
  <r>
    <x v="1665"/>
    <n v="990"/>
    <x v="0"/>
    <x v="8"/>
    <n v="3"/>
    <x v="90"/>
    <x v="22"/>
    <x v="1"/>
    <x v="3"/>
    <s v="Fecha"/>
    <s v="Superficie Autorizada Habitacional de Obras Nuevas"/>
    <s v="Periodo 2014-2021"/>
    <s v="m2"/>
    <s v="Instituto Nacional de Estadísticas (INE)"/>
    <x v="1650"/>
    <s v="En la Región de Atacama, durante el periodo 2014-2021, el máximo de &quot;Superficie Autorizada Habitacional (Obras Nuevas)&quot; se verifica en noviembre de 2015 con 65.262 m2. En promedio se autorizan del orden de 9.270 m2 mensualmente en el periodo señalado."/>
    <s v="Gráfico de Evolución"/>
    <s v="evolución superficie autorizada habitacional obras nuevas vivienda construcción región atacama"/>
    <x v="1649"/>
    <s v="100-R-3"/>
    <s v="#1774B287"/>
    <s v="990-1666"/>
    <n v="99200003"/>
    <s v="T-1083"/>
    <s v="C-1011"/>
    <s v="FI-1010"/>
    <s v="M-1153"/>
  </r>
  <r>
    <x v="1666"/>
    <n v="990"/>
    <x v="0"/>
    <x v="8"/>
    <n v="4"/>
    <x v="90"/>
    <x v="22"/>
    <x v="1"/>
    <x v="4"/>
    <s v="Fecha"/>
    <s v="Superficie Autorizada Habitacional de Obras Nuevas"/>
    <s v="Periodo 2014-2021"/>
    <s v="m2"/>
    <s v="Instituto Nacional de Estadísticas (INE)"/>
    <x v="1651"/>
    <s v="En la Región de Coquimbo, durante el periodo 2014-2021, el máximo de &quot;Superficie Autorizada Habitacional (Obras Nuevas)&quot; se verifica en octubre de 2019 con 155.751 m2. En promedio se autorizan del orden de 42.640 m2 mensualmente en el periodo señalado."/>
    <s v="Gráfico de Evolución"/>
    <s v="evolución superficie autorizada habitacional obras nuevas vivienda construcción región coquimbo"/>
    <x v="1650"/>
    <s v="100-R-4"/>
    <s v="#1774B288"/>
    <s v="990-1667"/>
    <n v="99200004"/>
    <s v="T-1083"/>
    <s v="C-1011"/>
    <s v="FI-1010"/>
    <s v="M-1153"/>
  </r>
  <r>
    <x v="1667"/>
    <n v="990"/>
    <x v="0"/>
    <x v="8"/>
    <n v="5"/>
    <x v="90"/>
    <x v="22"/>
    <x v="1"/>
    <x v="5"/>
    <s v="Fecha"/>
    <s v="Superficie Autorizada Habitacional de Obras Nuevas"/>
    <s v="Periodo 2014-2021"/>
    <s v="m2"/>
    <s v="Instituto Nacional de Estadísticas (INE)"/>
    <x v="1652"/>
    <s v="En la Región de Valparaíso, durante el periodo 2014-2021, el máximo de &quot;Superficie Autorizada Habitacional (Obras Nuevas)&quot; se verifica en diciembre de 2015 con 357.821 m2. En promedio se autorizan del orden de 110.028 m2 mensualmente en el periodo señalado."/>
    <s v="Gráfico de Evolución"/>
    <s v="evolución superficie autorizada habitacional obras nuevas vivienda construcción región valparaíso"/>
    <x v="1651"/>
    <s v="100-R-5"/>
    <s v="#1774B289"/>
    <s v="990-1668"/>
    <n v="99200005"/>
    <s v="T-1083"/>
    <s v="C-1011"/>
    <s v="FI-1010"/>
    <s v="M-1153"/>
  </r>
  <r>
    <x v="1668"/>
    <n v="990"/>
    <x v="0"/>
    <x v="8"/>
    <n v="6"/>
    <x v="90"/>
    <x v="22"/>
    <x v="1"/>
    <x v="6"/>
    <s v="Fecha"/>
    <s v="Superficie Autorizada Habitacional de Obras Nuevas"/>
    <s v="Periodo 2014-2021"/>
    <s v="m2"/>
    <s v="Instituto Nacional de Estadísticas (INE)"/>
    <x v="1653"/>
    <s v="En la Región de O'Higgins, durante el periodo 2014-2021, el máximo de &quot;Superficie Autorizada Habitacional (Obras Nuevas)&quot; se verifica en mayo de 2018 con 140.490 m2. En promedio se autorizan del orden de 42.554 m2 mensualmente en el periodo señalado."/>
    <s v="Gráfico de Evolución"/>
    <s v="evolución superficie autorizada habitacional obras nuevas vivienda construcción región ohiggins"/>
    <x v="1652"/>
    <s v="100-R-6"/>
    <s v="#1774B290"/>
    <s v="990-1669"/>
    <n v="99200006"/>
    <s v="T-1083"/>
    <s v="C-1011"/>
    <s v="FI-1010"/>
    <s v="M-1153"/>
  </r>
  <r>
    <x v="1669"/>
    <n v="990"/>
    <x v="0"/>
    <x v="8"/>
    <n v="7"/>
    <x v="90"/>
    <x v="22"/>
    <x v="1"/>
    <x v="7"/>
    <s v="Fecha"/>
    <s v="Superficie Autorizada Habitacional de Obras Nuevas"/>
    <s v="Periodo 2014-2021"/>
    <s v="m2"/>
    <s v="Instituto Nacional de Estadísticas (INE)"/>
    <x v="1654"/>
    <s v="En la Región de Maule, durante el periodo 2014-2021, el máximo de &quot;Superficie Autorizada Habitacional (Obras Nuevas)&quot; se verifica en enero de 2020 con 164.975 m2. En promedio se autorizan del orden de 54.645 m2 mensualmente en el periodo señalado."/>
    <s v="Gráfico de Evolución"/>
    <s v="evolución superficie autorizada habitacional obras nuevas vivienda construcción región maule"/>
    <x v="1653"/>
    <s v="100-R-7"/>
    <s v="#1774B291"/>
    <s v="990-1670"/>
    <n v="99200007"/>
    <s v="T-1083"/>
    <s v="C-1011"/>
    <s v="FI-1010"/>
    <s v="M-1153"/>
  </r>
  <r>
    <x v="1670"/>
    <n v="990"/>
    <x v="0"/>
    <x v="8"/>
    <n v="8"/>
    <x v="90"/>
    <x v="22"/>
    <x v="1"/>
    <x v="8"/>
    <s v="Fecha"/>
    <s v="Superficie Autorizada Habitacional de Obras Nuevas"/>
    <s v="Periodo 2014-2021"/>
    <s v="m2"/>
    <s v="Instituto Nacional de Estadísticas (INE)"/>
    <x v="1655"/>
    <s v="En la Región del Biobío, durante el periodo 2014-2021, el máximo de &quot;Superficie Autorizada Habitacional (Obras Nuevas)&quot; se verifica en diciembre de 2015 con 250.598 m2. En promedio se autorizan del orden de 101.130 m2 mensualmente en el periodo señalado."/>
    <s v="Gráfico de Evolución"/>
    <s v="evolución superficie autorizada habitacional obras nuevas vivienda construcción región biobío"/>
    <x v="1654"/>
    <s v="100-R-8"/>
    <s v="#1774B292"/>
    <s v="990-1671"/>
    <n v="99200008"/>
    <s v="T-1083"/>
    <s v="C-1011"/>
    <s v="FI-1010"/>
    <s v="M-1153"/>
  </r>
  <r>
    <x v="1671"/>
    <n v="990"/>
    <x v="0"/>
    <x v="8"/>
    <n v="9"/>
    <x v="90"/>
    <x v="22"/>
    <x v="1"/>
    <x v="9"/>
    <s v="Fecha"/>
    <s v="Superficie Autorizada Habitacional de Obras Nuevas"/>
    <s v="Periodo 2014-2021"/>
    <s v="m2"/>
    <s v="Instituto Nacional de Estadísticas (INE)"/>
    <x v="1656"/>
    <s v="En la Región de La Araucanía, durante el periodo 2014-2021, el máximo de &quot;Superficie Autorizada Habitacional (Obras Nuevas)&quot; se verifica en mayo de 2018 con 126.568 m2. En promedio se autorizan del orden de 54.180 m2 mensualmente en el periodo señalado."/>
    <s v="Gráfico de Evolución"/>
    <s v="evolución superficie autorizada habitacional obras nuevas vivienda construcción región araucanía"/>
    <x v="1655"/>
    <s v="100-R-9"/>
    <s v="#1774B293"/>
    <s v="990-1672"/>
    <n v="99200009"/>
    <s v="T-1083"/>
    <s v="C-1011"/>
    <s v="FI-1010"/>
    <s v="M-1153"/>
  </r>
  <r>
    <x v="1672"/>
    <n v="990"/>
    <x v="0"/>
    <x v="8"/>
    <n v="10"/>
    <x v="90"/>
    <x v="22"/>
    <x v="1"/>
    <x v="10"/>
    <s v="Fecha"/>
    <s v="Superficie Autorizada Habitacional de Obras Nuevas"/>
    <s v="Periodo 2014-2021"/>
    <s v="m2"/>
    <s v="Instituto Nacional de Estadísticas (INE)"/>
    <x v="1657"/>
    <s v="En la Región de Los Lagos, durante el periodo 2014-2021, el máximo de &quot;Superficie Autorizada Habitacional (Obras Nuevas)&quot; se verifica en abril de 2014 con 111.084 m2. En promedio se autorizan del orden de 35.003 m2 mensualmente en el periodo señalado."/>
    <s v="Gráfico de Evolución"/>
    <s v="evolución superficie autorizada habitacional obras nuevas vivienda construcción región los lagos"/>
    <x v="1656"/>
    <s v="100-R-10"/>
    <s v="#1774B294"/>
    <s v="990-1673"/>
    <n v="99200010"/>
    <s v="T-1083"/>
    <s v="C-1011"/>
    <s v="FI-1010"/>
    <s v="M-1153"/>
  </r>
  <r>
    <x v="1673"/>
    <n v="990"/>
    <x v="0"/>
    <x v="8"/>
    <n v="11"/>
    <x v="90"/>
    <x v="22"/>
    <x v="1"/>
    <x v="11"/>
    <s v="Fecha"/>
    <s v="Superficie Autorizada Habitacional de Obras Nuevas"/>
    <s v="Periodo 2014-2021"/>
    <s v="m2"/>
    <s v="Instituto Nacional de Estadísticas (INE)"/>
    <x v="1658"/>
    <s v="En la Región de Aysén, durante el periodo 2014-2021, el máximo de &quot;Superficie Autorizada Habitacional (Obras Nuevas)&quot; se verifica en julio de 2020 con 20.037 m2. En promedio se autorizan del orden de 4.534 m2 mensualmente en el periodo señalado."/>
    <s v="Gráfico de Evolución"/>
    <s v="evolución superficie autorizada habitacional obras nuevas vivienda construcción región aysén"/>
    <x v="1657"/>
    <s v="100-R-11"/>
    <s v="#1774B295"/>
    <s v="990-1674"/>
    <n v="99200011"/>
    <s v="T-1083"/>
    <s v="C-1011"/>
    <s v="FI-1010"/>
    <s v="M-1153"/>
  </r>
  <r>
    <x v="1674"/>
    <n v="990"/>
    <x v="0"/>
    <x v="8"/>
    <n v="12"/>
    <x v="90"/>
    <x v="22"/>
    <x v="1"/>
    <x v="12"/>
    <s v="Fecha"/>
    <s v="Superficie Autorizada Habitacional de Obras Nuevas"/>
    <s v="Periodo 2014-2021"/>
    <s v="m2"/>
    <s v="Instituto Nacional de Estadísticas (INE)"/>
    <x v="1659"/>
    <s v="En la Región de Magallanes, durante el periodo 2014-2021, el máximo de &quot;Superficie Autorizada Habitacional (Obras Nuevas)&quot; se verifica en agosto de 2018 con 27.477 m2. En promedio se autorizan del orden de 5.875 m2 mensualmente en el periodo señalado."/>
    <s v="Gráfico de Evolución"/>
    <s v="evolución superficie autorizada habitacional obras nuevas vivienda construcción región magallanes"/>
    <x v="1658"/>
    <s v="100-R-12"/>
    <s v="#1774B296"/>
    <s v="990-1675"/>
    <n v="99200012"/>
    <s v="T-1083"/>
    <s v="C-1011"/>
    <s v="FI-1010"/>
    <s v="M-1153"/>
  </r>
  <r>
    <x v="1675"/>
    <n v="990"/>
    <x v="0"/>
    <x v="8"/>
    <n v="13"/>
    <x v="90"/>
    <x v="22"/>
    <x v="1"/>
    <x v="13"/>
    <s v="Fecha"/>
    <s v="Superficie Autorizada Habitacional de Obras Nuevas"/>
    <s v="Periodo 2014-2021"/>
    <s v="m2"/>
    <s v="Instituto Nacional de Estadísticas (INE)"/>
    <x v="1660"/>
    <s v="En la Región Metropolitana, durante el periodo 2014-2021, el máximo de &quot;Superficie Autorizada Habitacional (Obras Nuevas)&quot; se verifica en diciembre de 2015 con 1.490.038 m2. En promedio se autorizan del orden de 437.510 m2 mensualmente en el periodo señalado."/>
    <s v="Gráfico de Evolución"/>
    <s v="evolución superficie autorizada habitacional obras nuevas vivienda construcción región metropolitana"/>
    <x v="1659"/>
    <s v="200-R-13"/>
    <s v="#1774B297"/>
    <s v="990-1676"/>
    <n v="99200013"/>
    <s v="T-1083"/>
    <s v="C-1011"/>
    <s v="FI-1010"/>
    <s v="M-1153"/>
  </r>
  <r>
    <x v="1676"/>
    <n v="990"/>
    <x v="0"/>
    <x v="8"/>
    <n v="14"/>
    <x v="90"/>
    <x v="22"/>
    <x v="1"/>
    <x v="14"/>
    <s v="Fecha"/>
    <s v="Superficie Autorizada Habitacional de Obras Nuevas"/>
    <s v="Periodo 2014-2021"/>
    <s v="m2"/>
    <s v="Instituto Nacional de Estadísticas (INE)"/>
    <x v="1661"/>
    <s v="En la Región de Los Ríos, durante el periodo 2014-2021, el máximo de &quot;Superficie Autorizada Habitacional (Obras Nuevas)&quot; se verifica en mayo de 2018 con 71.736 m2. En promedio se autorizan del orden de 18.799 m2 mensualmente en el periodo señalado."/>
    <s v="Gráfico de Evolución"/>
    <s v="evolución superficie autorizada habitacional obras nuevas vivienda construcción región los ríos"/>
    <x v="1660"/>
    <s v="100-R-14"/>
    <s v="#1774B298"/>
    <s v="990-1677"/>
    <n v="99200014"/>
    <s v="T-1083"/>
    <s v="C-1011"/>
    <s v="FI-1010"/>
    <s v="M-1153"/>
  </r>
  <r>
    <x v="1677"/>
    <n v="990"/>
    <x v="0"/>
    <x v="8"/>
    <n v="15"/>
    <x v="90"/>
    <x v="22"/>
    <x v="1"/>
    <x v="15"/>
    <s v="Fecha"/>
    <s v="Superficie Autorizada Habitacional de Obras Nuevas"/>
    <s v="Periodo 2014-2021"/>
    <s v="m2"/>
    <s v="Instituto Nacional de Estadísticas (INE)"/>
    <x v="1662"/>
    <s v="En la Región de Arica y Parinacota, durante el periodo 2014-2021, el máximo de &quot;Superficie Autorizada Habitacional (Obras Nuevas)&quot; se verifica en agosto de 2020 con 105.493 m2. En promedio se autorizan del orden de 10.691 m2 mensualmente en el periodo señalado."/>
    <s v="Gráfico de Evolución"/>
    <s v="evolución superficie autorizada habitacional obras nuevas vivienda construcción región arica parinacota"/>
    <x v="1661"/>
    <s v="100-R-15"/>
    <s v="#1774B299"/>
    <s v="990-1678"/>
    <n v="99200015"/>
    <s v="T-1083"/>
    <s v="C-1011"/>
    <s v="FI-1010"/>
    <s v="M-1153"/>
  </r>
  <r>
    <x v="1678"/>
    <n v="990"/>
    <x v="0"/>
    <x v="8"/>
    <n v="16"/>
    <x v="90"/>
    <x v="22"/>
    <x v="1"/>
    <x v="16"/>
    <s v="Fecha"/>
    <s v="Superficie Autorizada Habitacional de Obras Nuevas"/>
    <s v="Periodo 2014-2021"/>
    <s v="m2"/>
    <s v="Instituto Nacional de Estadísticas (INE)"/>
    <x v="1663"/>
    <s v="En la Región de Ñuble, durante el periodo 2014-2021, el máximo de &quot;Superficie Autorizada Habitacional (Obras Nuevas)&quot; se verifica en noviembre de 2019 con 72.267 m2. En promedio se autorizan del orden de 23.934 m2 mensualmente en el periodo señalado."/>
    <s v="Gráfico de Evolución"/>
    <s v="evolución superficie autorizada habitacional obras nuevas vivienda construcción región ñuble"/>
    <x v="1662"/>
    <s v="100-R-16"/>
    <s v="#1774B300"/>
    <s v="990-1679"/>
    <n v="99200016"/>
    <s v="T-1083"/>
    <s v="C-1011"/>
    <s v="FI-1010"/>
    <s v="M-1153"/>
  </r>
  <r>
    <x v="1679"/>
    <n v="990"/>
    <x v="0"/>
    <x v="8"/>
    <n v="0"/>
    <x v="91"/>
    <x v="22"/>
    <x v="0"/>
    <x v="0"/>
    <s v="Región-Fecha"/>
    <s v="Viviendas Autorizadas"/>
    <s v="Periodo 2014-2021"/>
    <s v="Número de viviendas autorizadas"/>
    <s v="Instituto Nacional de Estadísticas (INE)"/>
    <x v="1664"/>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evolución número cantidad viviendas autorizadas vivienda nacional chile"/>
    <x v="1663"/>
    <s v="300-R"/>
    <s v="#1774B301"/>
    <s v="990-1680"/>
    <n v="99100000"/>
    <s v="T-1084"/>
    <s v="C-1011"/>
    <s v="FI-1011"/>
    <s v="M-1154"/>
  </r>
  <r>
    <x v="1680"/>
    <n v="990"/>
    <x v="0"/>
    <x v="8"/>
    <n v="1"/>
    <x v="91"/>
    <x v="22"/>
    <x v="1"/>
    <x v="1"/>
    <s v="Fecha"/>
    <s v="Viviendas Autorizadas"/>
    <s v="Periodo 2014-2021"/>
    <s v="Número de viviendas autorizadas"/>
    <s v="Instituto Nacional de Estadísticas (INE)"/>
    <x v="1665"/>
    <s v="En la Región de Tarapacá, durante el periodo 2014-2021, el máximo de &quot;Viviendas Autorizadas&quot; se verifica en Diciembre de 2015 con 1.391 viviendas. En promedio se autorizan 228 viviendas mensualmente en el periodo señalado."/>
    <s v="Gráfico de Evolución"/>
    <s v="evolución número cantidad viviendas autorizadas vivienda región tarapacá"/>
    <x v="1664"/>
    <s v="100-R-1"/>
    <s v="#1774B302"/>
    <s v="990-1681"/>
    <n v="99200001"/>
    <s v="T-1084"/>
    <s v="C-1011"/>
    <s v="FI-1010"/>
    <s v="M-1154"/>
  </r>
  <r>
    <x v="1681"/>
    <n v="990"/>
    <x v="0"/>
    <x v="8"/>
    <n v="2"/>
    <x v="91"/>
    <x v="22"/>
    <x v="1"/>
    <x v="2"/>
    <s v="Fecha"/>
    <s v="Viviendas Autorizadas"/>
    <s v="Periodo 2014-2021"/>
    <s v="Número de viviendas autorizadas"/>
    <s v="Instituto Nacional de Estadísticas (INE)"/>
    <x v="1666"/>
    <s v="En la Región de Antofagasta, durante el periodo 2014-2021, el máximo de &quot;Viviendas Autorizadas&quot; se verifica en mayo de 2019 con 3.199 viviendas. En promedio se autorizan 329 viviendas mensualmente en el periodo señalado."/>
    <s v="Gráfico de Evolución"/>
    <s v="evolución número cantidad viviendas autorizadas vivienda región antofagasta"/>
    <x v="1665"/>
    <s v="100-R-2"/>
    <s v="#1774B303"/>
    <s v="990-1682"/>
    <n v="99200002"/>
    <s v="T-1084"/>
    <s v="C-1011"/>
    <s v="FI-1010"/>
    <s v="M-1154"/>
  </r>
  <r>
    <x v="1682"/>
    <n v="990"/>
    <x v="0"/>
    <x v="8"/>
    <n v="3"/>
    <x v="91"/>
    <x v="22"/>
    <x v="1"/>
    <x v="3"/>
    <s v="Fecha"/>
    <s v="Viviendas Autorizadas"/>
    <s v="Periodo 2014-2021"/>
    <s v="Número de viviendas autorizadas"/>
    <s v="Instituto Nacional de Estadísticas (INE)"/>
    <x v="1667"/>
    <s v="En la Región de Atacama, durante el periodo 2014-2021, el máximo de &quot;Viviendas Autorizadas&quot; se verifica en noviembre de 2015 con 1.091 viviendas. En promedio se autorizan 161 viviendas mensualmente en el periodo señalado."/>
    <s v="Gráfico de Evolución"/>
    <s v="evolución número cantidad viviendas autorizadas vivienda región atacama"/>
    <x v="1666"/>
    <s v="100-R-3"/>
    <s v="#1774B304"/>
    <s v="990-1683"/>
    <n v="99200003"/>
    <s v="T-1084"/>
    <s v="C-1011"/>
    <s v="FI-1010"/>
    <s v="M-1154"/>
  </r>
  <r>
    <x v="1683"/>
    <n v="990"/>
    <x v="0"/>
    <x v="8"/>
    <n v="4"/>
    <x v="91"/>
    <x v="22"/>
    <x v="1"/>
    <x v="4"/>
    <s v="Fecha"/>
    <s v="Viviendas Autorizadas"/>
    <s v="Periodo 2014-2021"/>
    <s v="Número de viviendas autorizadas"/>
    <s v="Instituto Nacional de Estadísticas (INE)"/>
    <x v="1668"/>
    <s v="En la Región de Coquimbo, durante el periodo 2014-2021, el máximo de &quot;Viviendas Autorizadas&quot; se verifica en diciembre de 2015 con 2.463 viviendas. En promedio se autorizan 688 viviendas mensualmente en el periodo señalado."/>
    <s v="Gráfico de Evolución"/>
    <s v="evolución número cantidad viviendas autorizadas vivienda región coquimbo"/>
    <x v="1667"/>
    <s v="100-R-4"/>
    <s v="#1774B305"/>
    <s v="990-1684"/>
    <n v="99200004"/>
    <s v="T-1084"/>
    <s v="C-1011"/>
    <s v="FI-1010"/>
    <s v="M-1154"/>
  </r>
  <r>
    <x v="1684"/>
    <n v="990"/>
    <x v="0"/>
    <x v="8"/>
    <n v="6"/>
    <x v="91"/>
    <x v="22"/>
    <x v="1"/>
    <x v="6"/>
    <s v="Fecha"/>
    <s v="Viviendas Autorizadas"/>
    <s v="Periodo 2014-2021"/>
    <s v="Número de viviendas autorizadas"/>
    <s v="Instituto Nacional de Estadísticas (INE)"/>
    <x v="1669"/>
    <s v="En la Región de O'Higgins, durante el periodo 2014-2021, el máximo de &quot;Viviendas Autorizadas&quot; se verifica en enero de 2014 con 1.996 viviendas. En promedio se autorizan 662 viviendas mensualmente en el periodo señalado."/>
    <s v="Gráfico de Evolución"/>
    <s v="evolución número cantidad viviendas autorizadas vivienda región ohiggins"/>
    <x v="1668"/>
    <s v="100-R-6"/>
    <s v="#1774B307"/>
    <s v="990-1685"/>
    <n v="99200006"/>
    <s v="T-1084"/>
    <s v="C-1011"/>
    <s v="FI-1010"/>
    <s v="M-1154"/>
  </r>
  <r>
    <x v="1685"/>
    <n v="990"/>
    <x v="0"/>
    <x v="8"/>
    <n v="7"/>
    <x v="91"/>
    <x v="22"/>
    <x v="1"/>
    <x v="7"/>
    <s v="Fecha"/>
    <s v="Viviendas Autorizadas"/>
    <s v="Periodo 2014-2021"/>
    <s v="Número de viviendas autorizadas"/>
    <s v="Instituto Nacional de Estadísticas (INE)"/>
    <x v="1670"/>
    <s v="En la Región de Maule, durante el periodo 2014-2021, el máximo de &quot;Viviendas Autorizadas&quot; se verifica en enero de 2020 con 2.333 viviendas. En promedio se autorizan 1.006 viviendas mensualmente en el periodo señalado."/>
    <s v="Gráfico de Evolución"/>
    <s v="evolución número cantidad viviendas autorizadas vivienda región maule"/>
    <x v="1669"/>
    <s v="100-R-7"/>
    <s v="#1774B308"/>
    <s v="990-1686"/>
    <n v="99200007"/>
    <s v="T-1084"/>
    <s v="C-1011"/>
    <s v="FI-1010"/>
    <s v="M-1154"/>
  </r>
  <r>
    <x v="1686"/>
    <n v="990"/>
    <x v="0"/>
    <x v="8"/>
    <n v="8"/>
    <x v="91"/>
    <x v="22"/>
    <x v="1"/>
    <x v="8"/>
    <s v="Fecha"/>
    <s v="Viviendas Autorizadas"/>
    <s v="Periodo 2014-2021"/>
    <s v="Número de viviendas autorizadas"/>
    <s v="Instituto Nacional de Estadísticas (INE)"/>
    <x v="1671"/>
    <s v="En la Región del Biobío, durante el periodo 2014-2021, el máximo de &quot;Viviendas Autorizadas&quot; se verifica en enero de 2018 con 4.251 viviendas. En promedio se autorizan 1.743 viviendas mensualmente en el periodo señalado."/>
    <s v="Gráfico de Evolución"/>
    <s v="evolución número cantidad viviendas autorizadas vivienda región biobío"/>
    <x v="1670"/>
    <s v="100-R-8"/>
    <s v="#1774B309"/>
    <s v="990-1687"/>
    <n v="99200008"/>
    <s v="T-1084"/>
    <s v="C-1011"/>
    <s v="FI-1010"/>
    <s v="M-1154"/>
  </r>
  <r>
    <x v="1687"/>
    <n v="990"/>
    <x v="0"/>
    <x v="8"/>
    <n v="9"/>
    <x v="91"/>
    <x v="22"/>
    <x v="1"/>
    <x v="9"/>
    <s v="Fecha"/>
    <s v="Viviendas Autorizadas"/>
    <s v="Periodo 2014-2021"/>
    <s v="Número de viviendas autorizadas"/>
    <s v="Instituto Nacional de Estadísticas (INE)"/>
    <x v="1672"/>
    <s v="En la Región de Araucanía, durante el periodo 2014-2021, el máximo de &quot;Viviendas Autorizadas&quot; se verifica en abril de 2019 con 2.128 viviendas. En promedio se autorizan 1.049 viviendas mensualmente en el periodo señalado."/>
    <s v="Gráfico de Evolución"/>
    <s v="evolución número cantidad viviendas autorizadas vivienda región araucanía"/>
    <x v="1671"/>
    <s v="100-R-9"/>
    <s v="#1774B310"/>
    <s v="990-1688"/>
    <n v="99200009"/>
    <s v="T-1084"/>
    <s v="C-1011"/>
    <s v="FI-1010"/>
    <s v="M-1154"/>
  </r>
  <r>
    <x v="1688"/>
    <n v="990"/>
    <x v="0"/>
    <x v="8"/>
    <n v="10"/>
    <x v="91"/>
    <x v="22"/>
    <x v="1"/>
    <x v="10"/>
    <s v="Fecha"/>
    <s v="Viviendas Autorizadas"/>
    <s v="Periodo 2014-2021"/>
    <s v="Número de viviendas autorizadas"/>
    <s v="Instituto Nacional de Estadísticas (INE)"/>
    <x v="1673"/>
    <s v="En la Región de Los Lagos, durante el periodo 2014-2021, el máximo de &quot;Viviendas Autorizadas&quot; se verifica en abril de 2014 con 1.819 viviendas. En promedio se autorizan 580 viviendas mensualmente en el periodo señalado."/>
    <s v="Gráfico de Evolución"/>
    <s v="evolución número cantidad viviendas autorizadas vivienda región los lagos"/>
    <x v="1672"/>
    <s v="100-R-10"/>
    <s v="#1774B311"/>
    <s v="990-1689"/>
    <n v="99200010"/>
    <s v="T-1084"/>
    <s v="C-1011"/>
    <s v="FI-1010"/>
    <s v="M-1154"/>
  </r>
  <r>
    <x v="1689"/>
    <n v="990"/>
    <x v="0"/>
    <x v="8"/>
    <n v="11"/>
    <x v="91"/>
    <x v="22"/>
    <x v="1"/>
    <x v="11"/>
    <s v="Fecha"/>
    <s v="Viviendas Autorizadas"/>
    <s v="Periodo 2014-2021"/>
    <s v="Número de viviendas autorizadas"/>
    <s v="Instituto Nacional de Estadísticas (INE)"/>
    <x v="1674"/>
    <s v="En la Región de Aysén, durante el periodo 2014-2021, el máximo de &quot;Viviendas Autorizadas&quot; se verifica en julio de 2020 con 384 viviendas. En promedio se autorizan 70 viviendas mensualmente en el periodo señalado."/>
    <s v="Gráfico de Evolución"/>
    <s v="evolución número cantidad viviendas autorizadas vivienda región aysén"/>
    <x v="1673"/>
    <s v="100-R-11"/>
    <s v="#1774B312"/>
    <s v="990-1690"/>
    <n v="99200011"/>
    <s v="T-1084"/>
    <s v="C-1011"/>
    <s v="FI-1010"/>
    <s v="M-1154"/>
  </r>
  <r>
    <x v="1690"/>
    <n v="990"/>
    <x v="0"/>
    <x v="8"/>
    <n v="12"/>
    <x v="91"/>
    <x v="22"/>
    <x v="1"/>
    <x v="12"/>
    <s v="Fecha"/>
    <s v="Viviendas Autorizadas"/>
    <s v="Periodo 2014-2021"/>
    <s v="Número de viviendas autorizadas"/>
    <s v="Instituto Nacional de Estadísticas (INE)"/>
    <x v="1675"/>
    <s v="En la Región de Magallanes, durante el periodo 2014-2021, el máximo de &quot;Viviendas Autorizadas&quot; se verifica en agosto de 2018 con 448 viviendas. En promedio se autorizan 108 viviendas mensualmente en el periodo señalado."/>
    <s v="Gráfico de Evolución"/>
    <s v="evolución número cantidad viviendas autorizadas vivienda región magallanes"/>
    <x v="1674"/>
    <s v="100-R-12"/>
    <s v="#1774B313"/>
    <s v="990-1691"/>
    <n v="99200012"/>
    <s v="T-1084"/>
    <s v="C-1011"/>
    <s v="FI-1010"/>
    <s v="M-1154"/>
  </r>
  <r>
    <x v="1691"/>
    <n v="990"/>
    <x v="0"/>
    <x v="8"/>
    <n v="13"/>
    <x v="91"/>
    <x v="22"/>
    <x v="1"/>
    <x v="13"/>
    <s v="Fecha"/>
    <s v="Viviendas Autorizadas"/>
    <s v="Periodo 2014-2021"/>
    <s v="Número de viviendas autorizadas"/>
    <s v="Instituto Nacional de Estadísticas (INE)"/>
    <x v="1676"/>
    <s v="En la Región Metropolitana, durante el periodo 2014-2021, el máximo de &quot;Viviendas Autorizadas&quot; se verifica en diciembre de 2015 con 16.363 viviendas. En promedio se autorizan 5.460 viviendas mensualmente en el periodo señalado."/>
    <s v="Gráfico de Evolución"/>
    <s v="evolución número cantidad viviendas autorizadas vivienda región metropolitana"/>
    <x v="1675"/>
    <s v="200-R-13"/>
    <s v="#1774B314"/>
    <s v="990-1692"/>
    <n v="99200013"/>
    <s v="T-1084"/>
    <s v="C-1011"/>
    <s v="FI-1010"/>
    <s v="M-1154"/>
  </r>
  <r>
    <x v="1692"/>
    <n v="990"/>
    <x v="0"/>
    <x v="8"/>
    <n v="14"/>
    <x v="91"/>
    <x v="22"/>
    <x v="1"/>
    <x v="14"/>
    <s v="Fecha"/>
    <s v="Viviendas Autorizadas"/>
    <s v="Periodo 2014-2021"/>
    <s v="Número de viviendas autorizadas"/>
    <s v="Instituto Nacional de Estadísticas (INE)"/>
    <x v="1677"/>
    <s v="En la Región de Los Ríos, durante el periodo 2014-2021, el máximo de &quot;Viviendas Autorizadas&quot; se verifica en mayo de 2018 con 1.044 viviendas. En promedio se autorizan 313 viviendas mensualmente en el periodo señalado."/>
    <s v="Gráfico de Evolución"/>
    <s v="evolución número cantidad viviendas autorizadas vivienda región los ríos"/>
    <x v="1676"/>
    <s v="100-R-14"/>
    <s v="#1774B315"/>
    <s v="990-1693"/>
    <n v="99200014"/>
    <s v="T-1084"/>
    <s v="C-1011"/>
    <s v="FI-1010"/>
    <s v="M-1154"/>
  </r>
  <r>
    <x v="1693"/>
    <n v="990"/>
    <x v="0"/>
    <x v="8"/>
    <n v="15"/>
    <x v="91"/>
    <x v="22"/>
    <x v="1"/>
    <x v="15"/>
    <s v="Fecha"/>
    <s v="Viviendas Autorizadas"/>
    <s v="Periodo 2014-2021"/>
    <s v="Número de viviendas autorizadas"/>
    <s v="Instituto Nacional de Estadísticas (INE)"/>
    <x v="1678"/>
    <s v="En la Región de Arica y Parinacota, durante el periodo 2014-2021, el máximo de &quot;Viviendas Autorizadas&quot; se verifica en agosto de 2020 con 1.108 viviendas. En promedio se autorizan 155 viviendas mensualmente en el periodo señalado."/>
    <s v="Gráfico de Evolución"/>
    <s v="evolución número cantidad viviendas autorizadas vivienda región arica parinacota"/>
    <x v="1677"/>
    <s v="100-R-15"/>
    <s v="#1774B316"/>
    <s v="990-1694"/>
    <n v="99200015"/>
    <s v="T-1084"/>
    <s v="C-1011"/>
    <s v="FI-1010"/>
    <s v="M-1154"/>
  </r>
  <r>
    <x v="1694"/>
    <n v="990"/>
    <x v="0"/>
    <x v="8"/>
    <n v="16"/>
    <x v="91"/>
    <x v="22"/>
    <x v="1"/>
    <x v="16"/>
    <s v="Fecha"/>
    <s v="Viviendas Autorizadas"/>
    <s v="Periodo 2014-2021"/>
    <s v="Número de viviendas autorizadas"/>
    <s v="Instituto Nacional de Estadísticas (INE)"/>
    <x v="1679"/>
    <s v="En la Región de Ñuble, durante el periodo 2014-2021, el máximo de &quot;Viviendas Autorizadas&quot; se verifica en julio de 2019 con 916 viviendas. En promedio se autorizan 414 viviendas mensualmente en el periodo señalado."/>
    <s v="Gráfico de Evolución"/>
    <s v="evolución número cantidad viviendas autorizadas vivienda región ñuble"/>
    <x v="1678"/>
    <s v="100-R-16"/>
    <s v="#1774B317"/>
    <s v="990-1695"/>
    <n v="99200016"/>
    <s v="T-1084"/>
    <s v="C-1011"/>
    <s v="FI-1010"/>
    <s v="M-1154"/>
  </r>
  <r>
    <x v="1695"/>
    <n v="990"/>
    <x v="0"/>
    <x v="8"/>
    <n v="0"/>
    <x v="92"/>
    <x v="22"/>
    <x v="0"/>
    <x v="0"/>
    <s v="Región-Fecha"/>
    <s v="Superficie Autorizada No Habitacional de Ampliaciones"/>
    <s v="Periodo 2014-2021"/>
    <s v="m2"/>
    <s v="Instituto Nacional de Estadísticas (INE)"/>
    <x v="1680"/>
    <s v="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
    <s v="Gráfico de Evolución"/>
    <s v="superficie no-habitacional autorizada ampliaciones icef industria comercio establecimientos financieros construcción nacional chile"/>
    <x v="1679"/>
    <s v="300-R"/>
    <s v="#1774B318"/>
    <s v="990-1696"/>
    <n v="99100000"/>
    <s v="T-1085"/>
    <s v="C-1011"/>
    <s v="FI-1011"/>
    <e v="#N/A"/>
  </r>
  <r>
    <x v="1696"/>
    <n v="990"/>
    <x v="0"/>
    <x v="8"/>
    <n v="1"/>
    <x v="92"/>
    <x v="22"/>
    <x v="1"/>
    <x v="1"/>
    <s v="Fecha"/>
    <s v="Superficie Autorizada No Habitacional de Ampliaciones"/>
    <s v="Periodo 2014-2021"/>
    <s v="m2"/>
    <s v="Instituto Nacional de Estadísticas (INE)"/>
    <x v="1681"/>
    <s v="En la Región de Tarapacá, durante el periodo 2014-2021, el máximo de &quot;Superficie Autorizada NO Habitacional (Ampliaciones)&quot; se verifica en octubre de 2014 con 25.071 m2, siendo esta superficie en su totalidad para ampliaciones de &quot;ICEF (Industria, Comercio y Establecimiento Financieros)&quot;, mientras que el máximo de autorizaciones para ampliaciones de &quot;Servicios&quot; se produce en mayo de 2016 con 11.755 m2."/>
    <s v="Gráfico de Evolución"/>
    <s v="superficie no-habitacional autorizada ampliaciones servicios icef industria comercio establecimientos financieros construcción Región de Tarapacá"/>
    <x v="1680"/>
    <s v="100-R-1"/>
    <s v="#1774B319"/>
    <s v="990-1697"/>
    <n v="99200001"/>
    <s v="T-1085"/>
    <s v="C-1011"/>
    <s v="FI-1010"/>
    <e v="#N/A"/>
  </r>
  <r>
    <x v="1697"/>
    <n v="990"/>
    <x v="0"/>
    <x v="8"/>
    <n v="2"/>
    <x v="92"/>
    <x v="22"/>
    <x v="1"/>
    <x v="2"/>
    <s v="Fecha"/>
    <s v="Superficie Autorizada No Habitacional de Ampliaciones"/>
    <s v="Periodo 2014-2021"/>
    <s v="m2"/>
    <s v="Instituto Nacional de Estadísticas (INE)"/>
    <x v="1682"/>
    <s v="En la Región de Antofagasta, durante el periodo 2014-2021, el máximo de &quot;Superficie Autorizada NO Habitacional (Ampliaciones)&quot; se verifica en febrero de 2015 con 30.420 m2, fecha en que también se produce el máximo de autorizaciones para ampliaciones de &quot;ICEF (Industria, Comercio y Establecimiento Financieros)&quot; con 29.825 m2. Por su parte, el máximo de autorizaciones para ampliaciones de &quot;Servicios&quot; se produce en octubre de 2014 con 19.705 m2."/>
    <s v="Gráfico de Evolución"/>
    <s v="superficie no-habitacional autorizada ampliaciones servicios icef industria comercio establecimientos financieros construcción Región de Antofagasta"/>
    <x v="1681"/>
    <s v="100-R-2"/>
    <s v="#1774B320"/>
    <s v="990-1698"/>
    <n v="99200002"/>
    <s v="T-1085"/>
    <s v="C-1011"/>
    <s v="FI-1010"/>
    <e v="#N/A"/>
  </r>
  <r>
    <x v="1698"/>
    <n v="990"/>
    <x v="0"/>
    <x v="8"/>
    <n v="3"/>
    <x v="92"/>
    <x v="22"/>
    <x v="1"/>
    <x v="3"/>
    <s v="Fecha"/>
    <s v="Superficie Autorizada No Habitacional de Ampliaciones"/>
    <s v="Periodo 2014-2021"/>
    <s v="m2"/>
    <s v="Instituto Nacional de Estadísticas (INE)"/>
    <x v="1683"/>
    <s v="En la Región de Atacama, durante el periodo 2014-2021, el máximo de &quot;Superficie Autorizada NO Habitacional (Ampliaciones)&quot; se verifica en enero de 2017 con 12.820 m2. Por su parte, el máximo de autorizaciones para ampliaciones de &quot;ICEF (Industria, Comercio y Establecimiento Financieros)&quot; se observa en marzo de 2019 con 12.147 m2, mientras que el máximo de autorizaciones para ampliaciones de &quot;Servicios&quot; se produce en abril de 2018 con 3.535 m2."/>
    <s v="Gráfico de Evolución"/>
    <s v="superficie no-habitacional autorizada ampliaciones servicios icef industria comercio establecimientos financieros construcción Región de Atacama"/>
    <x v="1682"/>
    <s v="100-R-3"/>
    <s v="#1774B321"/>
    <s v="990-1699"/>
    <n v="99200003"/>
    <s v="T-1085"/>
    <s v="C-1011"/>
    <s v="FI-1010"/>
    <e v="#N/A"/>
  </r>
  <r>
    <x v="1699"/>
    <n v="990"/>
    <x v="0"/>
    <x v="8"/>
    <n v="4"/>
    <x v="92"/>
    <x v="22"/>
    <x v="1"/>
    <x v="4"/>
    <s v="Fecha"/>
    <s v="Superficie Autorizada No Habitacional de Ampliaciones"/>
    <s v="Periodo 2014-2021"/>
    <s v="m2"/>
    <s v="Instituto Nacional de Estadísticas (INE)"/>
    <x v="1684"/>
    <s v="En la Región de Coquimbo, durante el periodo 2014-2021, el máximo de &quot;Superficie Autorizada NO Habitacional (Ampliaciones)&quot; se verifica en diciembre de 2014 con 39.350 m2. Por su parte, el máximo de autorizaciones para ampliaciones de &quot;ICEF (Industria, Comercio y Establecimiento Financieros)&quot; se observa en enero de 2019 con 16.874 m2, mientras que el máximo de autorizaciones para ampliaciones de &quot;Servicios&quot; se produce en diciembre de 2014 con 37.220 m2."/>
    <s v="Gráfico de Evolución"/>
    <s v="superficie no-habitacional autorizada ampliaciones servicios icef industria comercio establecimientos financieros construcción Región de Coquimbo"/>
    <x v="1683"/>
    <s v="100-R-4"/>
    <s v="#1774B322"/>
    <s v="990-1700"/>
    <n v="99200004"/>
    <s v="T-1085"/>
    <s v="C-1011"/>
    <s v="FI-1010"/>
    <e v="#N/A"/>
  </r>
  <r>
    <x v="1700"/>
    <n v="990"/>
    <x v="0"/>
    <x v="8"/>
    <n v="5"/>
    <x v="92"/>
    <x v="22"/>
    <x v="1"/>
    <x v="5"/>
    <s v="Fecha"/>
    <s v="Superficie Autorizada No Habitacional de Ampliaciones"/>
    <s v="Periodo 2014-2021"/>
    <s v="m2"/>
    <s v="Instituto Nacional de Estadísticas (INE)"/>
    <x v="1685"/>
    <s v="En la Región de Valparaíso, durante el periodo 2014-2021, el máximo de &quot;Superficie Autorizada NO Habitacional (Ampliaciones)&quot; se verifica en abril de 2021 con 42.862 m2. fecha en que también se produce el máximo de autorizaciones para ampliaciones de &quot;ICEF (Industria, Comercio y Establecimiento Financieros)&quot; con 40.609 m2. Por su parte, el máximo de autorizaciones para ampliaciones de &quot;Servicios&quot; se produce en marzo de 2021 con 22.379 m2."/>
    <s v="Gráfico de Evolución"/>
    <s v="superficie no-habitacional autorizada ampliaciones servicios icef industria comercio establecimientos financieros construcción Región de Valparaíso"/>
    <x v="1684"/>
    <s v="100-R-5"/>
    <s v="#1774B323"/>
    <s v="990-1701"/>
    <n v="99200005"/>
    <s v="T-1085"/>
    <s v="C-1011"/>
    <s v="FI-1010"/>
    <e v="#N/A"/>
  </r>
  <r>
    <x v="1701"/>
    <n v="990"/>
    <x v="0"/>
    <x v="8"/>
    <n v="6"/>
    <x v="92"/>
    <x v="22"/>
    <x v="1"/>
    <x v="6"/>
    <s v="Fecha"/>
    <s v="Superficie Autorizada No Habitacional de Ampliaciones"/>
    <s v="Periodo 2014-2021"/>
    <s v="m2"/>
    <s v="Instituto Nacional de Estadísticas (INE)"/>
    <x v="1686"/>
    <s v="En la Región de O'Higgins, durante el periodo 2014-2021, el máximo de &quot;Superficie Autorizada NO Habitacional (Ampliaciones)&quot; se verifica en septiembre de 2020 con 74.349 m2. fecha en que también se produce el máximo de autorizaciones para ampliaciones de &quot;ICEF (Industria, Comercio y Establecimiento Financieros)&quot; con 73.313 m2. Por su parte, el máximo de autorizaciones para ampliaciones de &quot;Servicios&quot; se produce en agosto de 2014 con 12.950 m2."/>
    <s v="Gráfico de Evolución"/>
    <s v="superficie no-habitacional autorizada ampliaciones servicios icef industria comercio establecimientos financieros construcción Región de O'Higgins"/>
    <x v="1685"/>
    <s v="100-R-6"/>
    <s v="#1774B324"/>
    <s v="990-1702"/>
    <n v="99200006"/>
    <s v="T-1085"/>
    <s v="C-1011"/>
    <s v="FI-1010"/>
    <e v="#N/A"/>
  </r>
  <r>
    <x v="1702"/>
    <n v="990"/>
    <x v="0"/>
    <x v="8"/>
    <n v="7"/>
    <x v="92"/>
    <x v="22"/>
    <x v="1"/>
    <x v="7"/>
    <s v="Fecha"/>
    <s v="Superficie Autorizada No Habitacional de Ampliaciones"/>
    <s v="Periodo 2014-2021"/>
    <s v="m2"/>
    <s v="Instituto Nacional de Estadísticas (INE)"/>
    <x v="1687"/>
    <s v="En la Región de Maule, durante el periodo 2014-2021, el máximo de &quot;Superficie Autorizada NO Habitacional (Ampliaciones)&quot; se verifica en marzo de 2017 con 83.541 m2. En ese mismo mes, se observan tanto el máximo de autorizaciones para ampliaciones de &quot;ICEF (Industria, Comercio y Establecimiento Financieros)&quot; con 48.897 m2, como el máximo de autorizaciones para ampliaciones de &quot;Servicios&quot; con 34.644 m2."/>
    <s v="Gráfico de Evolución"/>
    <s v="superficie no-habitacional autorizada ampliaciones servicios icef industria comercio establecimientos financieros construcción Región de Maule"/>
    <x v="1686"/>
    <s v="100-R-7"/>
    <s v="#1774B325"/>
    <s v="990-1703"/>
    <n v="99200007"/>
    <s v="T-1085"/>
    <s v="C-1011"/>
    <s v="FI-1010"/>
    <e v="#N/A"/>
  </r>
  <r>
    <x v="1703"/>
    <n v="990"/>
    <x v="0"/>
    <x v="8"/>
    <n v="8"/>
    <x v="92"/>
    <x v="22"/>
    <x v="1"/>
    <x v="8"/>
    <s v="Fecha"/>
    <s v="Superficie Autorizada No Habitacional de Ampliaciones"/>
    <s v="Periodo 2014-2021"/>
    <s v="m2"/>
    <s v="Instituto Nacional de Estadísticas (INE)"/>
    <x v="1688"/>
    <s v="En la Región del Biobío, durante el periodo 2014-2021, el máximo de &quot;Superficie Autorizada NO Habitacional (Ampliaciones)&quot; se verifica en octubre de 2014 con 80.035 m2, fecha en que también se produce el máximo de autorizaciones para ampliaciones de &quot;ICEF (Industria, Comercio y Establecimiento Financieros)&quot; con 74.359 m2. Por su parte, el máximo de autorizaciones para ampliaciones de &quot;Servicios&quot; se produce en octubre de 2016 con 63.153 m2."/>
    <s v="Gráfico de Evolución"/>
    <s v="superficie no-habitacional autorizada ampliaciones servicios icef industria comercio establecimientos financieros construcción Región del Biobío"/>
    <x v="1687"/>
    <s v="100-R-8"/>
    <s v="#1774B326"/>
    <s v="990-1704"/>
    <n v="99200008"/>
    <s v="T-1085"/>
    <s v="C-1011"/>
    <s v="FI-1010"/>
    <e v="#N/A"/>
  </r>
  <r>
    <x v="1704"/>
    <n v="990"/>
    <x v="0"/>
    <x v="8"/>
    <n v="9"/>
    <x v="92"/>
    <x v="22"/>
    <x v="1"/>
    <x v="9"/>
    <s v="Fecha"/>
    <s v="Superficie Autorizada No Habitacional de Ampliaciones"/>
    <s v="Periodo 2014-2021"/>
    <s v="m2"/>
    <s v="Instituto Nacional de Estadísticas (INE)"/>
    <x v="1689"/>
    <s v="En la Región de La Araucanía, durante el periodo 2014-2021, el máximo de &quot;Superficie Autorizada NO Habitacional (Ampliaciones)&quot; se verifica en marzo de 2019 con 37.784 m2, fecha en que también se produce el máximo de autorizaciones para ampliaciones de &quot;ICEF (Industria, Comercio y Establecimiento Financieros)&quot; con 34.867 m2. Por su parte, el máximo de autorizaciones para ampliaciones de &quot;Servicios&quot; se produce en agosto de 2020 con 9.439 m2."/>
    <s v="Gráfico de Evolución"/>
    <s v="superficie no-habitacional autorizada ampliaciones servicios icef industria comercio establecimientos financieros construcción Región de La Araucanía"/>
    <x v="1688"/>
    <s v="100-R-9"/>
    <s v="#1774B327"/>
    <s v="990-1705"/>
    <n v="99200009"/>
    <s v="T-1085"/>
    <s v="C-1011"/>
    <s v="FI-1010"/>
    <e v="#N/A"/>
  </r>
  <r>
    <x v="1705"/>
    <n v="990"/>
    <x v="0"/>
    <x v="8"/>
    <n v="10"/>
    <x v="92"/>
    <x v="22"/>
    <x v="1"/>
    <x v="10"/>
    <s v="Fecha"/>
    <s v="Superficie Autorizada No Habitacional de Ampliaciones"/>
    <s v="Periodo 2014-2021"/>
    <s v="m2"/>
    <s v="Instituto Nacional de Estadísticas (INE)"/>
    <x v="1690"/>
    <s v="En la Región de Los Lagos, durante el periodo 2014-2021, el máximo de &quot;Superficie Autorizada NO Habitacional (Ampliaciones)&quot; se verifica en enero de 2019 con 38.171 m2, fecha en que también se produce el máximo de autorizaciones para ampliaciones de &quot;ICEF (Industria, Comercio y Establecimiento Financieros)&quot; con 36.589 m2. Por su parte, el máximo de autorizaciones para ampliaciones de &quot;Servicios&quot; se produce en octubre de 2017 con 14.254 m2."/>
    <s v="Gráfico de Evolución"/>
    <s v="superficie no-habitacional autorizada ampliaciones servicios icef industria comercio establecimientos financieros construcción Región de Los Lagos"/>
    <x v="1689"/>
    <s v="100-R-10"/>
    <s v="#1774B328"/>
    <s v="990-1706"/>
    <n v="99200010"/>
    <s v="T-1085"/>
    <s v="C-1011"/>
    <s v="FI-1010"/>
    <e v="#N/A"/>
  </r>
  <r>
    <x v="1706"/>
    <n v="990"/>
    <x v="0"/>
    <x v="8"/>
    <n v="11"/>
    <x v="92"/>
    <x v="22"/>
    <x v="1"/>
    <x v="11"/>
    <s v="Fecha"/>
    <s v="Superficie Autorizada No Habitacional de Ampliaciones"/>
    <s v="Periodo 2014-2021"/>
    <s v="m2"/>
    <s v="Instituto Nacional de Estadísticas (INE)"/>
    <x v="1691"/>
    <s v="En la Región de Aysén, durante el periodo 2014-2021, el máximo de &quot;Superficie Autorizada NO Habitacional (Ampliaciones)&quot; se verifica en febrero de 2015 con 3.374 m2, las cuales corresponden en su totalidad a ampliaciones de &quot;Servicios&quot;. Por su parte, el máximo de autorizaciones para ampliaciones de &quot;ICEF (Industria, Comercio y Establecimiento Financieros)&quot; se observa en diciembre de 2017 m2 con 1.651 m2."/>
    <s v="Gráfico de Evolución"/>
    <s v="superficie no-habitacional autorizada ampliaciones servicios icef industria comercio establecimientos financieros construcción Región de Aysén"/>
    <x v="1690"/>
    <s v="100-R-11"/>
    <s v="#1774B329"/>
    <s v="990-1707"/>
    <n v="99200011"/>
    <s v="T-1085"/>
    <s v="C-1011"/>
    <s v="FI-1010"/>
    <e v="#N/A"/>
  </r>
  <r>
    <x v="1707"/>
    <n v="990"/>
    <x v="0"/>
    <x v="8"/>
    <n v="12"/>
    <x v="92"/>
    <x v="22"/>
    <x v="1"/>
    <x v="12"/>
    <s v="Fecha"/>
    <s v="Superficie Autorizada No Habitacional de Ampliaciones"/>
    <s v="Periodo 2014-2021"/>
    <s v="m2"/>
    <s v="Instituto Nacional de Estadísticas (INE)"/>
    <x v="1692"/>
    <s v="En la Región de Magallanes, durante el periodo 2014-2021, el máximo de &quot;Superficie Autorizada NO Habitacional (Ampliaciones)&quot; se verifica en abril de 2014 con 9.907 m2, fecha en que también se produce el máximo de autorizaciones para ampliaciones de &quot;ICEF (Industria, Comercio y Establecimiento Financieros)&quot; con 9.490 m2. Por su parte, el máximo de autorizaciones para ampliaciones de &quot;Servicios&quot; se produce en febrero de 2019 con 4.436 m2."/>
    <s v="Gráfico de Evolución"/>
    <s v="superficie no-habitacional autorizada ampliaciones servicios icef industria comercio establecimientos financieros construcción Región de Magallanes"/>
    <x v="1691"/>
    <s v="100-R-12"/>
    <s v="#1774B330"/>
    <s v="990-1708"/>
    <n v="99200012"/>
    <s v="T-1085"/>
    <s v="C-1011"/>
    <s v="FI-1010"/>
    <e v="#N/A"/>
  </r>
  <r>
    <x v="1708"/>
    <n v="990"/>
    <x v="0"/>
    <x v="8"/>
    <n v="13"/>
    <x v="92"/>
    <x v="22"/>
    <x v="1"/>
    <x v="13"/>
    <s v="Fecha"/>
    <s v="Superficie Autorizada No Habitacional de Ampliaciones"/>
    <s v="Periodo 2014-2021"/>
    <s v="m2"/>
    <s v="Instituto Nacional de Estadísticas (INE)"/>
    <x v="1693"/>
    <s v="En la Región Metropolitana, durante el periodo 2014-2021, el máximo de &quot;Superficie Autorizada NO Habitacional (Ampliaciones)&quot; se verifica en diciembre de 2020 con 195.015 m2, fecha en que también se produce el máximo de autorizaciones para ampliaciones de &quot;ICEF (Industria, Comercio y Establecimiento Financieros)&quot; con 174.811 m2. Por su parte, el máximo de autorizaciones para ampliaciones de &quot;Servicios&quot; se produce en octubre de 2018 con 109.097 m2."/>
    <s v="Gráfico de Evolución"/>
    <s v="superficie no-habitacional autorizada ampliaciones servicios icef industria comercio establecimientos financieros construcción Región Metropolitana"/>
    <x v="1692"/>
    <s v="200-R-13"/>
    <s v="#1774B331"/>
    <s v="990-1709"/>
    <n v="99200013"/>
    <s v="T-1085"/>
    <s v="C-1011"/>
    <s v="FI-1010"/>
    <e v="#N/A"/>
  </r>
  <r>
    <x v="1709"/>
    <n v="990"/>
    <x v="0"/>
    <x v="8"/>
    <n v="14"/>
    <x v="92"/>
    <x v="22"/>
    <x v="1"/>
    <x v="14"/>
    <s v="Fecha"/>
    <s v="Superficie Autorizada No Habitacional de Ampliaciones"/>
    <s v="Periodo 2014-2021"/>
    <s v="m2"/>
    <s v="Instituto Nacional de Estadísticas (INE)"/>
    <x v="1694"/>
    <s v="En la Región de Los Ríos, durante el periodo 2014-2021, el máximo de &quot;Superficie Autorizada NO Habitacional (Ampliaciones)&quot; se verifica en marzo de 2018 con 15.281 m2, fecha en que también se produce el máximo de autorizaciones para ampliaciones de &quot;ICEF (Industria, Comercio y Establecimiento Financieros)&quot; con 15.106 m2. Por su parte, el máximo de autorizaciones para ampliaciones de &quot;Servicios&quot; se produce en noviembre de 2014 con 4.155 m2."/>
    <s v="Gráfico de Evolución"/>
    <s v="superficie no-habitacional autorizada ampliaciones servicios icef industria comercio establecimientos financieros construcción Región de Los Ríos"/>
    <x v="1693"/>
    <s v="100-R-14"/>
    <s v="#1774B332"/>
    <s v="990-1710"/>
    <n v="99200014"/>
    <s v="T-1085"/>
    <s v="C-1011"/>
    <s v="FI-1010"/>
    <e v="#N/A"/>
  </r>
  <r>
    <x v="1710"/>
    <n v="990"/>
    <x v="0"/>
    <x v="8"/>
    <n v="15"/>
    <x v="92"/>
    <x v="22"/>
    <x v="1"/>
    <x v="15"/>
    <s v="Fecha"/>
    <s v="Superficie Autorizada No Habitacional de Ampliaciones"/>
    <s v="Periodo 2014-2021"/>
    <s v="m2"/>
    <s v="Instituto Nacional de Estadísticas (INE)"/>
    <x v="1695"/>
    <s v="En la Región de Arica y Parinacota, durante el periodo 2014-2021, el máximo de &quot;Superficie Autorizada NO Habitacional (Ampliaciones)&quot; se verifica en septiembre de 2019 con 8.256 m2, fecha en que también se produce el máximo de autorizaciones para ampliaciones de &quot;ICEF (Industria, Comercio y Establecimiento Financieros)&quot; con 7.135 m2. Por su parte, el máximo de autorizaciones para ampliaciones de &quot;Servicios&quot; se produce en septiembre de 2014 con 6.442 m2."/>
    <s v="Gráfico de Evolución"/>
    <s v="superficie no-habitacional autorizada ampliaciones servicios icef industria comercio establecimientos financieros construcción Región de Arica y Parinacota"/>
    <x v="1694"/>
    <s v="100-R-15"/>
    <s v="#1774B333"/>
    <s v="990-1711"/>
    <n v="99200015"/>
    <s v="T-1085"/>
    <s v="C-1011"/>
    <s v="FI-1010"/>
    <e v="#N/A"/>
  </r>
  <r>
    <x v="1711"/>
    <n v="990"/>
    <x v="0"/>
    <x v="8"/>
    <n v="16"/>
    <x v="92"/>
    <x v="22"/>
    <x v="1"/>
    <x v="16"/>
    <s v="Fecha"/>
    <s v="Superficie Autorizada No Habitacional de Ampliaciones"/>
    <s v="Periodo 2014-2021"/>
    <s v="m2"/>
    <s v="Instituto Nacional de Estadísticas (INE)"/>
    <x v="1696"/>
    <s v="En la Región de Ñuble, durante el periodo 2014-2021, el máximo de &quot;Superficie Autorizada NO Habitacional (Ampliaciones)&quot; se verifica en noviembre de 2020 con 5.535 m2, fecha en que también se produce el máximo de autorizaciones para ampliaciones de &quot;ICEF (Industria, Comercio y Establecimiento Financieros)&quot; con 4.918 m2. Por u parte, el máximo de autorizaciones para ampliaciones de &quot;Servicios&quot; se produce en diciembre de 2018 con 3.631 m2."/>
    <s v="Gráfico de Evolución"/>
    <s v="superficie no-habitacional autorizada ampliaciones servicios icef industria comercio establecimientos financieros construcción Región de Ñuble"/>
    <x v="1695"/>
    <s v="100-R-16"/>
    <s v="#1774B334"/>
    <s v="990-1712"/>
    <n v="99200016"/>
    <s v="T-1085"/>
    <s v="C-1011"/>
    <s v="FI-1010"/>
    <e v="#N/A"/>
  </r>
  <r>
    <x v="1712"/>
    <n v="990"/>
    <x v="0"/>
    <x v="6"/>
    <n v="0"/>
    <x v="93"/>
    <x v="10"/>
    <x v="0"/>
    <x v="0"/>
    <s v="Región"/>
    <s v="Variación de Frecuencia de Casos Policiales de Robo con Violencia o Intimidación"/>
    <s v="Periodo 2019-2020"/>
    <s v="Porcentaje"/>
    <s v="Centro de Estudios y Análisis del Delito (CEAD) de la Subsecretaría de Prevención del Delito"/>
    <x v="1697"/>
    <s v="Las comunas en las que los casos policiales de robo con violencia o intimidación aumentaron en más de un 100% entre los años 2019 y 2020 fueron 7: Lonquimay (300%), Pelarco (250%), San Rafael (200%), Estrella (150%), Coinco (140%), Longaví (136%) y Ránquil (133%)."/>
    <s v="Gráfico"/>
    <s v="social variación frecuencia casos policiales robo violencia intimidación delitos nacional chile"/>
    <x v="1696"/>
    <s v="300-C"/>
    <s v="#1774B335"/>
    <s v="990-1713"/>
    <n v="99100000"/>
    <s v="T-1086"/>
    <s v="C-998"/>
    <s v="FI-992"/>
    <s v="M-1156"/>
  </r>
  <r>
    <x v="1713"/>
    <n v="990"/>
    <x v="0"/>
    <x v="6"/>
    <n v="1"/>
    <x v="93"/>
    <x v="10"/>
    <x v="1"/>
    <x v="1"/>
    <s v="Ninguno"/>
    <s v="Variación de Frecuencia de Casos Policiales de Robo con Violencia o Intimidación"/>
    <s v="Periodo 2019-2020"/>
    <s v="Porcentaje"/>
    <s v="Centro de Estudios y Análisis del Delito (CEAD) de la Subsecretaría de Prevención del Delito"/>
    <x v="1698"/>
    <s v="En la región de Tarapacá, la comuna de Colchane presenta el mayor incremento de casos policiales de robo con violencia o intimidación entre los años 2019 y 2020, aumentando en un 50%. En tanto la comuna de Pica presenta la mayor baja, disminuyendo en un rango del 50% al 74%."/>
    <s v="Gráfico"/>
    <s v="social variación frecuencia casos policiales robo violencia intimidación delitos región tarapacá"/>
    <x v="1697"/>
    <s v="100-C-1"/>
    <s v="#1774B336"/>
    <s v="990-1714"/>
    <n v="99200001"/>
    <s v="T-1086"/>
    <s v="C-998"/>
    <s v="FI-993"/>
    <s v="M-1156"/>
  </r>
  <r>
    <x v="1714"/>
    <n v="990"/>
    <x v="0"/>
    <x v="6"/>
    <n v="2"/>
    <x v="93"/>
    <x v="10"/>
    <x v="1"/>
    <x v="2"/>
    <s v="Ninguno"/>
    <s v="Variación de Frecuencia de Casos Policiales de Robo con Violencia o Intimidación"/>
    <s v="Periodo 2019-2020"/>
    <s v="Porcentaje"/>
    <s v="Centro de Estudios y Análisis del Delito (CEAD) de la Subsecretaría de Prevención del Delito"/>
    <x v="1699"/>
    <s v="En la región de Antofagasta, la comuna de María Elena presenta el mayor incremento casos policiales de robo con violencia o intimidación entre los años 2019 y 2020, aumentando en un 17%. En tanto, la comuna de Ollagüe presenta la mayor baja, disminuyendo en un 100%."/>
    <s v="Gráfico"/>
    <s v="social variación frecuencia casos policiales robo violencia intimidación delitos región antofagasta"/>
    <x v="1698"/>
    <s v="100-C-2"/>
    <s v="#1774B337"/>
    <s v="990-1715"/>
    <n v="99200002"/>
    <s v="T-1086"/>
    <s v="C-998"/>
    <s v="FI-993"/>
    <s v="M-1156"/>
  </r>
  <r>
    <x v="1715"/>
    <n v="990"/>
    <x v="0"/>
    <x v="6"/>
    <n v="3"/>
    <x v="93"/>
    <x v="10"/>
    <x v="1"/>
    <x v="3"/>
    <s v="Ninguno"/>
    <s v="Variación de Frecuencia de Casos Policiales de Robo con Violencia o Intimidación"/>
    <s v="Periodo 2019-2020"/>
    <s v="Porcentaje"/>
    <s v="Centro de Estudios y Análisis del Delito (CEAD) de la Subsecretaría de Prevención del Delito"/>
    <x v="1700"/>
    <s v="En la región de Atacama, la comuna de Huasco presenta el mayor incremento de casos policiales de robo con violencia o intimidación entre los años 2019 y 2020, aumentando en un 73%. En tanto, la comuna de Chañaral presenta la mayor baja, disminuyendo en un 41%."/>
    <s v="Gráfico"/>
    <s v="social variación frecuencia casos policiales robo violencia intimidación delitos región atacama"/>
    <x v="1699"/>
    <s v="100-C-3"/>
    <s v="#1774B338"/>
    <s v="990-1716"/>
    <n v="99200003"/>
    <s v="T-1086"/>
    <s v="C-998"/>
    <s v="FI-993"/>
    <s v="M-1156"/>
  </r>
  <r>
    <x v="1716"/>
    <n v="990"/>
    <x v="0"/>
    <x v="6"/>
    <n v="4"/>
    <x v="93"/>
    <x v="10"/>
    <x v="1"/>
    <x v="4"/>
    <s v="Ninguno"/>
    <s v="Variación de Frecuencia de Casos Policiales de Robo con Violencia o Intimidación"/>
    <s v="Periodo 2019-2020"/>
    <s v="Porcentaje"/>
    <s v="Centro de Estudios y Análisis del Delito (CEAD) de la Subsecretaría de Prevención del Delito"/>
    <x v="1701"/>
    <s v="En la región de Coquimbo, la comuna de Punitaqui presenta el mayor incremento de casos policiales de robo con violencia o intimidación entre los años 2019 y 2020, aumentando en un 29%. En tanto, la comuna de Canela presenta la mayor baja, disminuyendo en un 80%."/>
    <s v="Gráfico"/>
    <s v="social variación frecuencia casos policiales robo violencia intimidación delitos región coquimbo"/>
    <x v="1700"/>
    <s v="100-C-4"/>
    <s v="#1774B339"/>
    <s v="990-1717"/>
    <n v="99200004"/>
    <s v="T-1086"/>
    <s v="C-998"/>
    <s v="FI-993"/>
    <s v="M-1156"/>
  </r>
  <r>
    <x v="1717"/>
    <n v="990"/>
    <x v="0"/>
    <x v="6"/>
    <n v="5"/>
    <x v="93"/>
    <x v="10"/>
    <x v="1"/>
    <x v="5"/>
    <s v="Ninguno"/>
    <s v="Variación de Frecuencia de Casos Policiales de Robo con Violencia o Intimidación"/>
    <s v="Periodo 2019-2020"/>
    <s v="Porcentaje"/>
    <s v="Centro de Estudios y Análisis del Delito (CEAD) de la Subsecretaría de Prevención del Delito"/>
    <x v="1702"/>
    <s v="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
    <s v="Gráfico"/>
    <s v="social variación frecuencia casos policiales robo violencia intimidación delitos región valparaíso"/>
    <x v="1701"/>
    <s v="100-C-5"/>
    <s v="#1774B340"/>
    <s v="990-1718"/>
    <n v="99200005"/>
    <s v="T-1086"/>
    <s v="C-998"/>
    <s v="FI-993"/>
    <s v="M-1156"/>
  </r>
  <r>
    <x v="1718"/>
    <n v="990"/>
    <x v="0"/>
    <x v="6"/>
    <n v="6"/>
    <x v="93"/>
    <x v="10"/>
    <x v="1"/>
    <x v="6"/>
    <s v="Ninguno"/>
    <s v="Variación de Frecuencia de Casos Policiales de Robo con Violencia o Intimidación"/>
    <s v="Periodo 2019-2020"/>
    <s v="Porcentaje"/>
    <s v="Centro de Estudios y Análisis del Delito (CEAD) de la Subsecretaría de Prevención del Delito"/>
    <x v="1703"/>
    <s v="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
    <s v="Gráfico"/>
    <s v="social variación frecuencia casos policiales robo violencia intimidación delitos región ohiggins"/>
    <x v="1702"/>
    <s v="100-C-6"/>
    <s v="#1774B341"/>
    <s v="990-1719"/>
    <n v="99200006"/>
    <s v="T-1086"/>
    <s v="C-998"/>
    <s v="FI-993"/>
    <s v="M-1156"/>
  </r>
  <r>
    <x v="1719"/>
    <n v="990"/>
    <x v="0"/>
    <x v="6"/>
    <n v="7"/>
    <x v="93"/>
    <x v="10"/>
    <x v="1"/>
    <x v="7"/>
    <s v="Ninguno"/>
    <s v="Variación de Frecuencia de Casos Policiales de Robo con Violencia o Intimidación"/>
    <s v="Periodo 2019-2020"/>
    <s v="Porcentaje"/>
    <s v="Centro de Estudios y Análisis del Delito (CEAD) de la Subsecretaría de Prevención del Delito"/>
    <x v="1704"/>
    <s v="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
    <s v="Gráfico"/>
    <s v="social variación frecuencia casos policiales robo violencia intimidación delitos región maule"/>
    <x v="1703"/>
    <s v="100-C-7"/>
    <s v="#1774B342"/>
    <s v="990-1720"/>
    <n v="99200007"/>
    <s v="T-1086"/>
    <s v="C-998"/>
    <s v="FI-993"/>
    <s v="M-1156"/>
  </r>
  <r>
    <x v="1720"/>
    <n v="990"/>
    <x v="0"/>
    <x v="6"/>
    <n v="8"/>
    <x v="93"/>
    <x v="10"/>
    <x v="1"/>
    <x v="8"/>
    <s v="Ninguno"/>
    <s v="Variación de Frecuencia de Casos Policiales de Robo con Violencia o Intimidación"/>
    <s v="Periodo 2019-2020"/>
    <s v="Porcentaje"/>
    <s v="Centro de Estudios y Análisis del Delito (CEAD) de la Subsecretaría de Prevención del Delito"/>
    <x v="1705"/>
    <s v="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
    <s v="Gráfico"/>
    <s v="social variación frecuencia casos policiales robo violencia intimidación delitos región biobío"/>
    <x v="1704"/>
    <s v="100-C-8"/>
    <s v="#1774B343"/>
    <s v="990-1721"/>
    <n v="99200008"/>
    <s v="T-1086"/>
    <s v="C-998"/>
    <s v="FI-993"/>
    <s v="M-1156"/>
  </r>
  <r>
    <x v="1721"/>
    <n v="990"/>
    <x v="0"/>
    <x v="6"/>
    <n v="9"/>
    <x v="93"/>
    <x v="10"/>
    <x v="1"/>
    <x v="9"/>
    <s v="Ninguno"/>
    <s v="Variación de Frecuencia de Casos Policiales de Robo con Violencia o Intimidación"/>
    <s v="Periodo 2019-2020"/>
    <s v="Porcentaje"/>
    <s v="Centro de Estudios y Análisis del Delito (CEAD) de la Subsecretaría de Prevención del Delito"/>
    <x v="1706"/>
    <s v="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
    <s v="Gráfico"/>
    <s v="social variación frecuencia casos policiales robo violencia intimidación delitos región araucanía"/>
    <x v="1705"/>
    <s v="100-C-9"/>
    <s v="#1774B344"/>
    <s v="990-1722"/>
    <n v="99200009"/>
    <s v="T-1086"/>
    <s v="C-998"/>
    <s v="FI-993"/>
    <s v="M-1156"/>
  </r>
  <r>
    <x v="1722"/>
    <n v="990"/>
    <x v="0"/>
    <x v="6"/>
    <n v="10"/>
    <x v="93"/>
    <x v="10"/>
    <x v="1"/>
    <x v="10"/>
    <s v="Ninguno"/>
    <s v="Variación de Frecuencia de Casos Policiales de Robo con Violencia o Intimidación"/>
    <s v="Periodo 2019-2020"/>
    <s v="Porcentaje"/>
    <s v="Centro de Estudios y Análisis del Delito (CEAD) de la Subsecretaría de Prevención del Delito"/>
    <x v="1707"/>
    <s v="En la región de Los Lagos la comuna que presenta un mayor aumento en los casos policiales de robo con violencia o intimidación, entre los años 2019 y 2020, es Quinchao con un 100% de incremento. Por su parte la comuna de Puerto Octay presenta la mayor baja, disminuyendo en un 100%. "/>
    <s v="Gráfico"/>
    <s v="social variación frecuencia casos policiales robo violencia intimidación delitos región los lagos"/>
    <x v="1706"/>
    <s v="100-C-10"/>
    <s v="#1774B345"/>
    <s v="990-1723"/>
    <n v="99200010"/>
    <s v="T-1086"/>
    <s v="C-998"/>
    <s v="FI-993"/>
    <s v="M-1156"/>
  </r>
  <r>
    <x v="1723"/>
    <n v="990"/>
    <x v="0"/>
    <x v="6"/>
    <n v="11"/>
    <x v="93"/>
    <x v="10"/>
    <x v="1"/>
    <x v="11"/>
    <s v="Ninguno"/>
    <s v="Variación de Frecuencia de Casos Policiales de Robo con Violencia o Intimidación"/>
    <s v="Periodo 2019-2020"/>
    <s v="Porcentaje"/>
    <s v="Centro de Estudios y Análisis del Delito (CEAD) de la Subsecretaría de Prevención del Delito"/>
    <x v="1708"/>
    <s v="En la comuna de Cisne en la región Aysén se observa la mayor baja en los casos policiales de robo con violencia o intimidación, entre los años 2019 y 2020, disminuyendo en un 100%."/>
    <s v="Gráfico"/>
    <s v="social variación frecuencia casos policiales robo violencia intimidación delitos región aysén"/>
    <x v="1707"/>
    <s v="100-C-11"/>
    <s v="#1774B346"/>
    <s v="990-1724"/>
    <n v="99200011"/>
    <s v="T-1086"/>
    <s v="C-998"/>
    <s v="FI-993"/>
    <s v="M-1156"/>
  </r>
  <r>
    <x v="1724"/>
    <n v="990"/>
    <x v="0"/>
    <x v="6"/>
    <n v="12"/>
    <x v="93"/>
    <x v="10"/>
    <x v="1"/>
    <x v="12"/>
    <s v="Ninguno"/>
    <s v="Variación de Frecuencia de Casos Policiales de Robo con Violencia o Intimidación"/>
    <s v="Periodo 2019-2020"/>
    <s v="Porcentaje"/>
    <s v="Centro de Estudios y Análisis del Delito (CEAD) de la Subsecretaría de Prevención del Delito"/>
    <x v="1709"/>
    <s v="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
    <s v="Gráfico"/>
    <s v="social variación frecuencia casos policiales robo violencia intimidación delitos región magallanes"/>
    <x v="1708"/>
    <s v="100-C-12"/>
    <s v="#1774B347"/>
    <s v="990-1725"/>
    <n v="99200012"/>
    <s v="T-1086"/>
    <s v="C-998"/>
    <s v="FI-993"/>
    <s v="M-1156"/>
  </r>
  <r>
    <x v="1725"/>
    <n v="990"/>
    <x v="0"/>
    <x v="6"/>
    <n v="13"/>
    <x v="93"/>
    <x v="10"/>
    <x v="1"/>
    <x v="13"/>
    <s v="Ninguno"/>
    <s v="Variación de Frecuencia de Casos Policiales de Robo con Violencia o Intimidación"/>
    <s v="Periodo 2019-2020"/>
    <s v="Porcentaje"/>
    <s v="Centro de Estudios y Análisis del Delito (CEAD) de la Subsecretaría de Prevención del Delito"/>
    <x v="1710"/>
    <s v="Las comunas de la región Metropolitana en las que más aumentaron los casos policiales de robo con violencia o intimidación, entre los años 2019 y 2020 son: María Pinto (45%) y Lo Barnechea (11%). Por su parte, la comuna de Alhué presenta la mayor baja, disminuyendo en un 50%."/>
    <s v="Gráfico"/>
    <s v="social variación frecuencia casos policiales robo violencia intimidación delitos región metropolitana"/>
    <x v="1709"/>
    <s v="200-C-13"/>
    <s v="#1774B348"/>
    <s v="990-1726"/>
    <n v="99200013"/>
    <s v="T-1086"/>
    <s v="C-998"/>
    <s v="FI-993"/>
    <s v="M-1156"/>
  </r>
  <r>
    <x v="1726"/>
    <n v="990"/>
    <x v="0"/>
    <x v="6"/>
    <n v="14"/>
    <x v="93"/>
    <x v="10"/>
    <x v="1"/>
    <x v="14"/>
    <s v="Ninguno"/>
    <s v="Variación de Frecuencia de Casos Policiales de Robo con Violencia o Intimidación"/>
    <s v="Periodo 2019-2020"/>
    <s v="Porcentaje"/>
    <s v="Centro de Estudios y Análisis del Delito (CEAD) de la Subsecretaría de Prevención del Delito"/>
    <x v="1711"/>
    <s v="Las comunas de la región de Los Ríos en las que más aumentaron los casos policiales de robo con violencia o intimidación, entre los años 2019 y 2020 son: Lago Ranco (100%) y La Unión (47%). Por su parte, la comuna de Panguipulli presenta la mayor baja, disminuyendo en un 52%."/>
    <s v="Gráfico"/>
    <s v="social variación frecuencia casos policiales robo violencia intimidación delitos región los ríos"/>
    <x v="1710"/>
    <s v="100-C-14"/>
    <s v="#1774B349"/>
    <s v="990-1727"/>
    <n v="99200014"/>
    <s v="T-1086"/>
    <s v="C-998"/>
    <s v="FI-993"/>
    <s v="M-1156"/>
  </r>
  <r>
    <x v="1727"/>
    <n v="990"/>
    <x v="0"/>
    <x v="6"/>
    <n v="15"/>
    <x v="93"/>
    <x v="10"/>
    <x v="1"/>
    <x v="15"/>
    <s v="Ninguno"/>
    <s v="Variación de Frecuencia de Casos Policiales de Robo con Violencia o Intimidación"/>
    <s v="Periodo 2019-2020"/>
    <s v="Porcentaje"/>
    <s v="Centro de Estudios y Análisis del Delito (CEAD) de la Subsecretaría de Prevención del Delito"/>
    <x v="1712"/>
    <s v="En la región de Arica y Parinacota, la comuna de Camarones presenta la mayor baja en la frecuencia de los casos policiales de robo con violencia o intimidación entre los años 2019 y 2020, disminuyendo en un 100%. "/>
    <s v="Gráfico"/>
    <s v="social variación frecuencia casos policiales robo violencia intimidación delitos región arica parinacota"/>
    <x v="1711"/>
    <s v="100-C-15"/>
    <s v="#1774B350"/>
    <s v="990-1728"/>
    <n v="99200015"/>
    <s v="T-1086"/>
    <s v="C-998"/>
    <s v="FI-993"/>
    <s v="M-1156"/>
  </r>
  <r>
    <x v="1728"/>
    <n v="990"/>
    <x v="0"/>
    <x v="6"/>
    <n v="16"/>
    <x v="93"/>
    <x v="10"/>
    <x v="1"/>
    <x v="16"/>
    <s v="Ninguno"/>
    <s v="Variación de Frecuencia de Casos Policiales de Robo con Violencia o Intimidación"/>
    <s v="Periodo 2019-2020"/>
    <s v="Porcentaje"/>
    <s v="Centro de Estudios y Análisis del Delito (CEAD) de la Subsecretaría de Prevención del Delito"/>
    <x v="1713"/>
    <s v="Las comunas de la región de Ñuble, en las que más aumentaron los casos policiales de robo con violencia o intimidación, entre los años 2019 y 2020 son: Ránquil (133%), Pemuco (100%) y Quirihue (83%). Por su parte, la comuna de Ninhue presentan la mayor baja, disminuyendo en un 100%."/>
    <s v="Gráfico"/>
    <s v="social variación frecuencia casos policiales robo violencia intimidación delitos región ñuble"/>
    <x v="1712"/>
    <s v="100-C-16"/>
    <s v="#1774B351"/>
    <s v="990-1729"/>
    <n v="99200016"/>
    <s v="T-1086"/>
    <s v="C-998"/>
    <s v="FI-993"/>
    <s v="M-1156"/>
  </r>
  <r>
    <x v="1729"/>
    <n v="990"/>
    <x v="0"/>
    <x v="6"/>
    <n v="0"/>
    <x v="94"/>
    <x v="10"/>
    <x v="0"/>
    <x v="0"/>
    <s v="Región"/>
    <s v="Variación de Frecuencia de Casos Policiales de Homicidio"/>
    <s v="Periodo 2019-2020"/>
    <s v="Porcentaje"/>
    <s v="Centro de Estudios y Análisis del Delito (CEAD) de la Subsecretaría de Prevención del Delito"/>
    <x v="1714"/>
    <s v="Las comunas en las que los casos policiales de homicidio aumentaron en más de un 100% entre los años 2019 y 2020 fueron: Constitución (300%), Macul (300%), Peñaflor (200%), Hualpén (200%), Licantén (200%), Longaví (200%), Valparaíso (200%), La Serena (133%), Los Ángeles (133%) y La Cisterna (133%)."/>
    <s v="Gráfico"/>
    <s v="Chile social variación frecuencia casos policiales homicidios delitos anual "/>
    <x v="1713"/>
    <s v="300-C"/>
    <s v="#1774B352"/>
    <s v="990-1730"/>
    <n v="99100000"/>
    <s v="T-1087"/>
    <s v="C-998"/>
    <s v="FI-992"/>
    <s v="M-1157"/>
  </r>
  <r>
    <x v="1730"/>
    <n v="990"/>
    <x v="0"/>
    <x v="6"/>
    <n v="1"/>
    <x v="94"/>
    <x v="10"/>
    <x v="1"/>
    <x v="1"/>
    <s v="Ninguno"/>
    <s v="Variación de Frecuencia de Casos Policiales de Homicidio"/>
    <s v="Periodo 2019-2020"/>
    <s v="Porcentaje"/>
    <s v="Centro de Estudios y Análisis del Delito (CEAD) de la Subsecretaría de Prevención del Delito"/>
    <x v="1715"/>
    <s v="La comuna de Pozo Almonte en la región de Tarapacá presenta la mayor baja en los casos policiales de homicidio entre los años 2019 y 2020, disminuyendo en un 100%."/>
    <s v="Gráfico"/>
    <s v="Región de Tarapacá social variación frecuencia casos policiales homicidios delitos anual "/>
    <x v="1714"/>
    <s v="100-C-1"/>
    <s v="#1774B353"/>
    <s v="990-1731"/>
    <n v="99200001"/>
    <s v="T-1087"/>
    <s v="C-998"/>
    <s v="FI-993"/>
    <s v="M-1157"/>
  </r>
  <r>
    <x v="1731"/>
    <n v="990"/>
    <x v="0"/>
    <x v="6"/>
    <n v="2"/>
    <x v="94"/>
    <x v="10"/>
    <x v="1"/>
    <x v="2"/>
    <s v="Ninguno"/>
    <s v="Variación de Frecuencia de Casos Policiales de Homicidio"/>
    <s v="Periodo 2019-2020"/>
    <s v="Porcentaje"/>
    <s v="Centro de Estudios y Análisis del Delito (CEAD) de la Subsecretaría de Prevención del Delito"/>
    <x v="1716"/>
    <s v="En la región de Antofagasta, la comuna de Antofagasta presenta el mayor incremento en los casos policiales de homicidios, entre los años 2019- 2020, aumentando un 60%. "/>
    <s v="Gráfico"/>
    <s v="Región de Antofagasta social variación frecuencia casos policiales homicidios delitos anual "/>
    <x v="1715"/>
    <s v="100-C-2"/>
    <s v="#1774B354"/>
    <s v="990-1732"/>
    <n v="99200002"/>
    <s v="T-1087"/>
    <s v="C-998"/>
    <s v="FI-993"/>
    <s v="M-1157"/>
  </r>
  <r>
    <x v="1732"/>
    <n v="990"/>
    <x v="0"/>
    <x v="6"/>
    <n v="3"/>
    <x v="94"/>
    <x v="10"/>
    <x v="1"/>
    <x v="3"/>
    <s v="Ninguno"/>
    <s v="Variación de Frecuencia de Casos Policiales de Homicidio"/>
    <s v="Periodo 2019-2020"/>
    <s v="Porcentaje"/>
    <s v="Centro de Estudios y Análisis del Delito (CEAD) de la Subsecretaría de Prevención del Delito"/>
    <x v="1717"/>
    <s v="La comuna de Copiapó en la región de Atacama presenta una baja del rango del 25% en los casos policiales de homicidio entre los años 2019 y 2020. Por su parte Vallenar no presenta variaciones."/>
    <s v="Gráfico"/>
    <s v="Región de Atacama social variación frecuencia casos policiales homicidios delitos anual "/>
    <x v="1716"/>
    <s v="100-C-3"/>
    <s v="#1774B355"/>
    <s v="990-1733"/>
    <n v="99200003"/>
    <s v="T-1087"/>
    <s v="C-998"/>
    <s v="FI-993"/>
    <s v="M-1157"/>
  </r>
  <r>
    <x v="1733"/>
    <n v="990"/>
    <x v="0"/>
    <x v="6"/>
    <n v="4"/>
    <x v="94"/>
    <x v="10"/>
    <x v="1"/>
    <x v="4"/>
    <s v="Ninguno"/>
    <s v="Variación de Frecuencia de Casos Policiales de Homicidio"/>
    <s v="Periodo 2019-2020"/>
    <s v="Porcentaje"/>
    <s v="Centro de Estudios y Análisis del Delito (CEAD) de la Subsecretaría de Prevención del Delito"/>
    <x v="1718"/>
    <s v="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
    <s v="Gráfico"/>
    <s v="Región de Coquimbo social variación frecuencia casos policiales homicidios delitos anual "/>
    <x v="1717"/>
    <s v="100-C-4"/>
    <s v="#1774B356"/>
    <s v="990-1734"/>
    <n v="99200004"/>
    <s v="T-1087"/>
    <s v="C-998"/>
    <s v="FI-993"/>
    <s v="M-1157"/>
  </r>
  <r>
    <x v="1734"/>
    <n v="990"/>
    <x v="0"/>
    <x v="6"/>
    <n v="5"/>
    <x v="94"/>
    <x v="10"/>
    <x v="1"/>
    <x v="5"/>
    <s v="Ninguno"/>
    <s v="Variación de Frecuencia de Casos Policiales de Homicidio"/>
    <s v="Periodo 2019-2020"/>
    <s v="Porcentaje"/>
    <s v="Centro de Estudios y Análisis del Delito (CEAD) de la Subsecretaría de Prevención del Delito"/>
    <x v="1719"/>
    <s v="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
    <s v="Gráfico"/>
    <s v="Región de Valparaíso social variación frecuencia casos policiales homicidios delitos anual "/>
    <x v="1718"/>
    <s v="100-C-5"/>
    <s v="#1774B357"/>
    <s v="990-1735"/>
    <n v="99200005"/>
    <s v="T-1087"/>
    <s v="C-998"/>
    <s v="FI-993"/>
    <s v="M-1157"/>
  </r>
  <r>
    <x v="1735"/>
    <n v="990"/>
    <x v="0"/>
    <x v="6"/>
    <n v="6"/>
    <x v="94"/>
    <x v="10"/>
    <x v="1"/>
    <x v="6"/>
    <s v="Ninguno"/>
    <s v="Variación de Frecuencia de Casos Policiales de Homicidio"/>
    <s v="Periodo 2019-2020"/>
    <s v="Porcentaje"/>
    <s v="Centro de Estudios y Análisis del Delito (CEAD) de la Subsecretaría de Prevención del Delito"/>
    <x v="1720"/>
    <s v="En la región de O'Higgins, las comunas que presentan las mayores bajas son Litueche, Marchihue, Coltauco, Lolol y Chimbarongo, disminuyendo en un 100%. Por su parte Mostazal y San Fernando no presentan variaciones."/>
    <s v="Gráfico"/>
    <s v="Región de O'Higgins social variación frecuencia casos policiales homicidios delitos anual "/>
    <x v="1719"/>
    <s v="100-C-6"/>
    <s v="#1774B358"/>
    <s v="990-1736"/>
    <n v="99200006"/>
    <s v="T-1087"/>
    <s v="C-998"/>
    <s v="FI-993"/>
    <s v="M-1157"/>
  </r>
  <r>
    <x v="1736"/>
    <n v="990"/>
    <x v="0"/>
    <x v="6"/>
    <n v="7"/>
    <x v="94"/>
    <x v="10"/>
    <x v="1"/>
    <x v="7"/>
    <s v="Ninguno"/>
    <s v="Variación de Frecuencia de Casos Policiales de Homicidio"/>
    <s v="Periodo 2019-2020"/>
    <s v="Porcentaje"/>
    <s v="Centro de Estudios y Análisis del Delito (CEAD) de la Subsecretaría de Prevención del Delito"/>
    <x v="1721"/>
    <s v="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
    <s v="Gráfico"/>
    <s v="Región de Maule social variación frecuencia casos policiales homicidios delitos anual "/>
    <x v="1720"/>
    <s v="100-C-7"/>
    <s v="#1774B359"/>
    <s v="990-1737"/>
    <n v="99200007"/>
    <s v="T-1087"/>
    <s v="C-998"/>
    <s v="FI-993"/>
    <s v="M-1157"/>
  </r>
  <r>
    <x v="1737"/>
    <n v="990"/>
    <x v="0"/>
    <x v="6"/>
    <n v="8"/>
    <x v="94"/>
    <x v="10"/>
    <x v="1"/>
    <x v="8"/>
    <s v="Ninguno"/>
    <s v="Variación de Frecuencia de Casos Policiales de Homicidio"/>
    <s v="Periodo 2019-2020"/>
    <s v="Porcentaje"/>
    <s v="Centro de Estudios y Análisis del Delito (CEAD) de la Subsecretaría de Prevención del Delito"/>
    <x v="1722"/>
    <s v="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
    <s v="Gráfico"/>
    <s v="Región del Biobío social variación frecuencia casos policiales homicidios delitos anual "/>
    <x v="1721"/>
    <s v="100-C-8"/>
    <s v="#1774B360"/>
    <s v="990-1738"/>
    <n v="99200008"/>
    <s v="T-1087"/>
    <s v="C-998"/>
    <s v="FI-993"/>
    <s v="M-1157"/>
  </r>
  <r>
    <x v="1738"/>
    <n v="990"/>
    <x v="0"/>
    <x v="6"/>
    <n v="9"/>
    <x v="94"/>
    <x v="10"/>
    <x v="1"/>
    <x v="9"/>
    <s v="Ninguno"/>
    <s v="Variación de Frecuencia de Casos Policiales de Homicidio"/>
    <s v="Periodo 2019-2020"/>
    <s v="Porcentaje"/>
    <s v="Centro de Estudios y Análisis del Delito (CEAD) de la Subsecretaría de Prevención del Delito"/>
    <x v="1723"/>
    <s v="La comuna de Angol en la región de La Araucanía presenta el mayor incremento en los casos policiales de homicidios, entre los años 2019- 2020, aumentando en un 100%. Por su parte, las comunas que presentan mayores bajas son Gorbea, Loncoche y Lonquimay, disminuyendo en un 100%."/>
    <s v="Gráfico"/>
    <s v="Región de La Araucanía social variación frecuencia casos policiales homicidios delitos anual "/>
    <x v="1722"/>
    <s v="100-C-9"/>
    <s v="#1774B361"/>
    <s v="990-1739"/>
    <n v="99200009"/>
    <s v="T-1087"/>
    <s v="C-998"/>
    <s v="FI-993"/>
    <s v="M-1157"/>
  </r>
  <r>
    <x v="1739"/>
    <n v="990"/>
    <x v="0"/>
    <x v="6"/>
    <n v="10"/>
    <x v="94"/>
    <x v="10"/>
    <x v="1"/>
    <x v="10"/>
    <s v="Ninguno"/>
    <s v="Variación de Frecuencia de Casos Policiales de Homicidio"/>
    <s v="Periodo 2019-2020"/>
    <s v="Porcentaje"/>
    <s v="Centro de Estudios y Análisis del Delito (CEAD) de la Subsecretaría de Prevención del Delito"/>
    <x v="1724"/>
    <s v="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
    <s v="Gráfico"/>
    <s v="Región de Los Lagos social variación frecuencia casos policiales homicidios delitos anual "/>
    <x v="1723"/>
    <s v="100-C-10"/>
    <s v="#1774B362"/>
    <s v="990-1740"/>
    <n v="99200010"/>
    <s v="T-1087"/>
    <s v="C-998"/>
    <s v="FI-993"/>
    <s v="M-1157"/>
  </r>
  <r>
    <x v="1740"/>
    <n v="990"/>
    <x v="0"/>
    <x v="6"/>
    <n v="11"/>
    <x v="94"/>
    <x v="10"/>
    <x v="1"/>
    <x v="11"/>
    <s v="Ninguno"/>
    <s v="Variación de Frecuencia de Casos Policiales de Homicidio"/>
    <s v="Periodo 2019-2020"/>
    <s v="Porcentaje"/>
    <s v="Centro de Estudios y Análisis del Delito (CEAD) de la Subsecretaría de Prevención del Delito"/>
    <x v="1725"/>
    <s v="La comuna de Coihaique en la región de Aysén presenta la mayor baja en los casos policiales de homicidio entre los años 2019 y 2020, disminuyendo en un 50%."/>
    <s v="Gráfico"/>
    <s v="Región de Aysén social variación frecuencia casos policiales homicidios delitos anual "/>
    <x v="1724"/>
    <s v="100-C-11"/>
    <s v="#1774B363"/>
    <s v="990-1741"/>
    <n v="99200011"/>
    <s v="T-1087"/>
    <s v="C-998"/>
    <s v="FI-993"/>
    <s v="M-1157"/>
  </r>
  <r>
    <x v="1741"/>
    <n v="990"/>
    <x v="0"/>
    <x v="6"/>
    <n v="12"/>
    <x v="94"/>
    <x v="10"/>
    <x v="1"/>
    <x v="12"/>
    <s v="Ninguno"/>
    <s v="Variación de Frecuencia de Casos Policiales de Homicidio"/>
    <s v="Periodo 2019-2020"/>
    <s v="Porcentaje"/>
    <s v="Centro de Estudios y Análisis del Delito (CEAD) de la Subsecretaría de Prevención del Delito"/>
    <x v="1726"/>
    <s v="La comuna de Punta Arenas en la región de Magallanes presenta la mayor baja en los casos policiales de homicidio entre los años 2019 y 2020, disminuyendo en un 60%. "/>
    <s v="Gráfico"/>
    <s v="Región de Magallanes social variación frecuencia casos policiales homicidios delitos anual "/>
    <x v="1725"/>
    <s v="100-C-12"/>
    <s v="#1774B364"/>
    <s v="990-1742"/>
    <n v="99200012"/>
    <s v="T-1087"/>
    <s v="C-998"/>
    <s v="FI-993"/>
    <s v="M-1157"/>
  </r>
  <r>
    <x v="1742"/>
    <n v="990"/>
    <x v="0"/>
    <x v="6"/>
    <n v="13"/>
    <x v="94"/>
    <x v="10"/>
    <x v="1"/>
    <x v="13"/>
    <s v="Ninguno"/>
    <s v="Variación de Frecuencia de Casos Policiales de Homicidio"/>
    <s v="Periodo 2019-2020"/>
    <s v="Porcentaje"/>
    <s v="Centro de Estudios y Análisis del Delito (CEAD) de la Subsecretaría de Prevención del Delito"/>
    <x v="1727"/>
    <s v="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
    <s v="Gráfico"/>
    <s v="Región Metropolitana social variación frecuencia casos policiales homicidios delitos anual "/>
    <x v="1726"/>
    <s v="200-C-13"/>
    <s v="#1774B365"/>
    <s v="990-1743"/>
    <n v="99200013"/>
    <s v="T-1087"/>
    <s v="C-998"/>
    <s v="FI-993"/>
    <s v="M-1157"/>
  </r>
  <r>
    <x v="1743"/>
    <n v="990"/>
    <x v="0"/>
    <x v="6"/>
    <n v="14"/>
    <x v="94"/>
    <x v="10"/>
    <x v="1"/>
    <x v="14"/>
    <s v="Ninguno"/>
    <s v="Variación de Frecuencia de Casos Policiales de Homicidio"/>
    <s v="Periodo 2019-2020"/>
    <s v="Porcentaje"/>
    <s v="Centro de Estudios y Análisis del Delito (CEAD) de la Subsecretaría de Prevención del Delito"/>
    <x v="1728"/>
    <s v="La comuna de Mariquina en la región de Los Ríos presenta el mayor incremento en los casos policiales de homicidios, entre los años 2019- 2020, aumentando en un 100%. Por su parte, la comuna de Lanco presenta la mayor baja, disminuyendo en un 100%."/>
    <s v="Gráfico"/>
    <s v="Región de Los Ríos social variación frecuencia casos policiales homicidios delitos anual "/>
    <x v="1727"/>
    <s v="100-C-14"/>
    <s v="#1774B366"/>
    <s v="990-1744"/>
    <n v="99200014"/>
    <s v="T-1087"/>
    <s v="C-998"/>
    <s v="FI-993"/>
    <s v="M-1157"/>
  </r>
  <r>
    <x v="1744"/>
    <n v="990"/>
    <x v="0"/>
    <x v="6"/>
    <n v="15"/>
    <x v="94"/>
    <x v="10"/>
    <x v="1"/>
    <x v="15"/>
    <s v="Ninguno"/>
    <s v="Variación de Frecuencia de Casos Policiales de Homicidio"/>
    <s v="Periodo 2019-2020"/>
    <s v="Porcentaje"/>
    <s v="Centro de Estudios y Análisis del Delito (CEAD) de la Subsecretaría de Prevención del Delito"/>
    <x v="1729"/>
    <s v="La comuna de Arica en la región de Arica y Parinacota es la única que presenta una baja en los casos policiales de homicidio entre los años 2019 y 2020, disminuyendo en un 69%. "/>
    <s v="Gráfico"/>
    <s v="Región de Arica y Parinacota social variación frecuencia casos policiales homicidios delitos anual "/>
    <x v="1728"/>
    <s v="100-C-15"/>
    <s v="#1774B367"/>
    <s v="990-1745"/>
    <n v="99200015"/>
    <s v="T-1087"/>
    <s v="C-998"/>
    <s v="FI-993"/>
    <s v="M-1157"/>
  </r>
  <r>
    <x v="1745"/>
    <n v="990"/>
    <x v="0"/>
    <x v="6"/>
    <n v="16"/>
    <x v="94"/>
    <x v="10"/>
    <x v="1"/>
    <x v="16"/>
    <s v="Ninguno"/>
    <s v="Variación de Frecuencia de Casos Policiales de Homicidio"/>
    <s v="Periodo 2019-2020"/>
    <s v="Porcentaje"/>
    <s v="Centro de Estudios y Análisis del Delito (CEAD) de la Subsecretaría de Prevención del Delito"/>
    <x v="1730"/>
    <s v="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
    <s v="Gráfico"/>
    <s v="Región de Ñuble social variación frecuencia casos policiales homicidios delitos anual "/>
    <x v="1729"/>
    <s v="100-C-16"/>
    <s v="#1774B368"/>
    <s v="990-1746"/>
    <n v="99200016"/>
    <s v="T-1087"/>
    <s v="C-998"/>
    <s v="FI-993"/>
    <s v="M-1157"/>
  </r>
  <r>
    <x v="1746"/>
    <n v="990"/>
    <x v="0"/>
    <x v="6"/>
    <n v="0"/>
    <x v="95"/>
    <x v="10"/>
    <x v="0"/>
    <x v="0"/>
    <s v="Región"/>
    <s v="Relación entre Detenciones y Denuncias para Delitos de Homicidio y Violación"/>
    <s v="Periodo 2008-2020"/>
    <s v="Porcentaje"/>
    <s v="Centro de Estudios y Análisis del Delito (CEAD) de la Subsecretaría de Prevención del Delito"/>
    <x v="1731"/>
    <s v="A nivel nacional, se observa una diferencia significativa para Homicidios y Violaciones, en cuanto a la relación entre detenciones y denuncias, siendo considerablemente mayor las detenciones por el delito de homicidios que por violación."/>
    <s v="Gráfico de Evolución"/>
    <s v="social relación detenciones denuncias delitos homicidio violación nacional chile"/>
    <x v="1730"/>
    <s v="300-R"/>
    <s v="#1774B369"/>
    <s v="990-1747"/>
    <n v="99100000"/>
    <s v="T-1088"/>
    <s v="C-998"/>
    <s v="FI-992"/>
    <s v="M-1158"/>
  </r>
  <r>
    <x v="1747"/>
    <n v="990"/>
    <x v="0"/>
    <x v="6"/>
    <n v="1"/>
    <x v="95"/>
    <x v="10"/>
    <x v="1"/>
    <x v="1"/>
    <s v="Ninguno"/>
    <s v="Relación entre Detenciones y Denuncias para Delitos de Homicidio y Violación"/>
    <s v="Periodo 2008-2020"/>
    <s v="Porcentaje"/>
    <s v="Centro de Estudios y Análisis del Delito (CEAD) de la Subsecretaría de Prevención del Delito"/>
    <x v="1732"/>
    <s v="En la región de Tarapacá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tarapacá"/>
    <x v="1731"/>
    <s v="100-R-1"/>
    <s v="#1774B370"/>
    <s v="990-1748"/>
    <n v="99200001"/>
    <s v="T-1088"/>
    <s v="C-998"/>
    <s v="FI-993"/>
    <s v="M-1158"/>
  </r>
  <r>
    <x v="1748"/>
    <n v="990"/>
    <x v="0"/>
    <x v="6"/>
    <n v="2"/>
    <x v="95"/>
    <x v="10"/>
    <x v="1"/>
    <x v="2"/>
    <s v="Ninguno"/>
    <s v="Relación entre Detenciones y Denuncias para Delitos de Homicidio y Violación"/>
    <s v="Periodo 2008-2020"/>
    <s v="Porcentaje"/>
    <s v="Centro de Estudios y Análisis del Delito (CEAD) de la Subsecretaría de Prevención del Delito"/>
    <x v="1733"/>
    <s v="En la región de Antofagas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ntofagasta"/>
    <x v="1732"/>
    <s v="100-R-2"/>
    <s v="#1774B371"/>
    <s v="990-1749"/>
    <n v="99200002"/>
    <s v="T-1088"/>
    <s v="C-998"/>
    <s v="FI-993"/>
    <s v="M-1158"/>
  </r>
  <r>
    <x v="1749"/>
    <n v="990"/>
    <x v="0"/>
    <x v="6"/>
    <n v="3"/>
    <x v="95"/>
    <x v="10"/>
    <x v="1"/>
    <x v="3"/>
    <s v="Ninguno"/>
    <s v="Relación entre Detenciones y Denuncias para Delitos de Homicidio y Violación"/>
    <s v="Periodo 2008-2020"/>
    <s v="Porcentaje"/>
    <s v="Centro de Estudios y Análisis del Delito (CEAD) de la Subsecretaría de Prevención del Delito"/>
    <x v="1734"/>
    <s v="En la región de Atacam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tacama"/>
    <x v="1733"/>
    <s v="100-R-3"/>
    <s v="#1774B372"/>
    <s v="990-1750"/>
    <n v="99200003"/>
    <s v="T-1088"/>
    <s v="C-998"/>
    <s v="FI-993"/>
    <s v="M-1158"/>
  </r>
  <r>
    <x v="1750"/>
    <n v="990"/>
    <x v="0"/>
    <x v="6"/>
    <n v="4"/>
    <x v="95"/>
    <x v="10"/>
    <x v="1"/>
    <x v="4"/>
    <s v="Ninguno"/>
    <s v="Relación entre Detenciones y Denuncias para Delitos de Homicidio y Violación"/>
    <s v="Periodo 2008-2020"/>
    <s v="Porcentaje"/>
    <s v="Centro de Estudios y Análisis del Delito (CEAD) de la Subsecretaría de Prevención del Delito"/>
    <x v="1735"/>
    <s v="En la región de Coquimb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coquimbo"/>
    <x v="1734"/>
    <s v="100-R-4"/>
    <s v="#1774B373"/>
    <s v="990-1751"/>
    <n v="99200004"/>
    <s v="T-1088"/>
    <s v="C-998"/>
    <s v="FI-993"/>
    <s v="M-1158"/>
  </r>
  <r>
    <x v="1751"/>
    <n v="990"/>
    <x v="0"/>
    <x v="6"/>
    <n v="5"/>
    <x v="95"/>
    <x v="10"/>
    <x v="1"/>
    <x v="5"/>
    <s v="Ninguno"/>
    <s v="Relación entre Detenciones y Denuncias para Delitos de Homicidio y Violación"/>
    <s v="Periodo 2008-2020"/>
    <s v="Porcentaje"/>
    <s v="Centro de Estudios y Análisis del Delito (CEAD) de la Subsecretaría de Prevención del Delito"/>
    <x v="1736"/>
    <s v="En la región de Valparaís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valparaíso"/>
    <x v="1735"/>
    <s v="100-R-5"/>
    <s v="#1774B374"/>
    <s v="990-1752"/>
    <n v="99200005"/>
    <s v="T-1088"/>
    <s v="C-998"/>
    <s v="FI-993"/>
    <s v="M-1158"/>
  </r>
  <r>
    <x v="1752"/>
    <n v="990"/>
    <x v="0"/>
    <x v="6"/>
    <n v="6"/>
    <x v="95"/>
    <x v="10"/>
    <x v="1"/>
    <x v="6"/>
    <s v="Ninguno"/>
    <s v="Relación entre Detenciones y Denuncias para Delitos de Homicidio y Violación"/>
    <s v="Periodo 2008-2020"/>
    <s v="Porcentaje"/>
    <s v="Centro de Estudios y Análisis del Delito (CEAD) de la Subsecretaría de Prevención del Delito"/>
    <x v="1737"/>
    <s v="En la región de O'Higgin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o'higgins"/>
    <x v="1736"/>
    <s v="100-R-6"/>
    <s v="#1774B375"/>
    <s v="990-1753"/>
    <n v="99200006"/>
    <s v="T-1088"/>
    <s v="C-998"/>
    <s v="FI-993"/>
    <s v="M-1158"/>
  </r>
  <r>
    <x v="1753"/>
    <n v="990"/>
    <x v="0"/>
    <x v="6"/>
    <n v="7"/>
    <x v="95"/>
    <x v="10"/>
    <x v="1"/>
    <x v="7"/>
    <s v="Ninguno"/>
    <s v="Relación entre Detenciones y Denuncias para Delitos de Homicidio y Violación"/>
    <s v="Periodo 2008-2020"/>
    <s v="Porcentaje"/>
    <s v="Centro de Estudios y Análisis del Delito (CEAD) de la Subsecretaría de Prevención del Delito"/>
    <x v="1738"/>
    <s v="En la región de Mau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ule"/>
    <x v="1737"/>
    <s v="100-R-7"/>
    <s v="#1774B376"/>
    <s v="990-1754"/>
    <n v="99200007"/>
    <s v="T-1088"/>
    <s v="C-998"/>
    <s v="FI-993"/>
    <s v="M-1158"/>
  </r>
  <r>
    <x v="1754"/>
    <n v="990"/>
    <x v="0"/>
    <x v="6"/>
    <n v="8"/>
    <x v="95"/>
    <x v="10"/>
    <x v="1"/>
    <x v="8"/>
    <s v="Ninguno"/>
    <s v="Relación entre Detenciones y Denuncias para Delitos de Homicidio y Violación"/>
    <s v="Periodo 2008-2020"/>
    <s v="Porcentaje"/>
    <s v="Centro de Estudios y Análisis del Delito (CEAD) de la Subsecretaría de Prevención del Delito"/>
    <x v="1739"/>
    <s v="En la región del Biobí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litos región biobío"/>
    <x v="1738"/>
    <s v="100-R-8"/>
    <s v="#1774B377"/>
    <s v="990-1755"/>
    <n v="99200008"/>
    <s v="T-1088"/>
    <s v="C-998"/>
    <s v="FI-993"/>
    <s v="M-1158"/>
  </r>
  <r>
    <x v="1755"/>
    <n v="990"/>
    <x v="0"/>
    <x v="6"/>
    <n v="9"/>
    <x v="95"/>
    <x v="10"/>
    <x v="1"/>
    <x v="9"/>
    <s v="Ninguno"/>
    <s v="Relación entre Detenciones y Denuncias para Delitos de Homicidio y Violación"/>
    <s v="Periodo 2008-2020"/>
    <s v="Porcentaje"/>
    <s v="Centro de Estudios y Análisis del Delito (CEAD) de la Subsecretaría de Prevención del Delito"/>
    <x v="1740"/>
    <s v="En la región de La Araucaní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alitos región araucanía"/>
    <x v="1739"/>
    <s v="100-R-9"/>
    <s v="#1774B378"/>
    <s v="990-1756"/>
    <n v="99200009"/>
    <s v="T-1088"/>
    <s v="C-998"/>
    <s v="FI-993"/>
    <s v="M-1158"/>
  </r>
  <r>
    <x v="1756"/>
    <n v="990"/>
    <x v="0"/>
    <x v="6"/>
    <n v="10"/>
    <x v="95"/>
    <x v="10"/>
    <x v="1"/>
    <x v="10"/>
    <s v="Ninguno"/>
    <s v="Relación entre Detenciones y Denuncias para Delitos de Homicidio y Violación"/>
    <s v="Periodo 2008-2020"/>
    <s v="Porcentaje"/>
    <s v="Centro de Estudios y Análisis del Delito (CEAD) de la Subsecretaría de Prevención del Delito"/>
    <x v="1741"/>
    <s v="En la región de Los Lag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lagos"/>
    <x v="1740"/>
    <s v="100-R-10"/>
    <s v="#1774B379"/>
    <s v="990-1757"/>
    <n v="99200010"/>
    <s v="T-1088"/>
    <s v="C-998"/>
    <s v="FI-993"/>
    <s v="M-1158"/>
  </r>
  <r>
    <x v="1757"/>
    <n v="990"/>
    <x v="0"/>
    <x v="6"/>
    <n v="11"/>
    <x v="95"/>
    <x v="10"/>
    <x v="1"/>
    <x v="11"/>
    <s v="Ninguno"/>
    <s v="Relación entre Detenciones y Denuncias para Delitos de Homicidio y Violación"/>
    <s v="Periodo 2008-2020"/>
    <s v="Porcentaje"/>
    <s v="Centro de Estudios y Análisis del Delito (CEAD) de la Subsecretaría de Prevención del Delito"/>
    <x v="1742"/>
    <s v="En la región de Aysén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ysén"/>
    <x v="1741"/>
    <s v="100-R-11"/>
    <s v="#1774B380"/>
    <s v="990-1758"/>
    <n v="99200011"/>
    <s v="T-1088"/>
    <s v="C-998"/>
    <s v="FI-993"/>
    <s v="M-1158"/>
  </r>
  <r>
    <x v="1758"/>
    <n v="990"/>
    <x v="0"/>
    <x v="6"/>
    <n v="12"/>
    <x v="95"/>
    <x v="10"/>
    <x v="1"/>
    <x v="12"/>
    <s v="Ninguno"/>
    <s v="Relación entre Detenciones y Denuncias para Delitos de Homicidio y Violación"/>
    <s v="Periodo 2008-2020"/>
    <s v="Porcentaje"/>
    <s v="Centro de Estudios y Análisis del Delito (CEAD) de la Subsecretaría de Prevención del Delito"/>
    <x v="1743"/>
    <s v="En la región de Magallane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gallanes"/>
    <x v="1742"/>
    <s v="100-R-12"/>
    <s v="#1774B381"/>
    <s v="990-1759"/>
    <n v="99200012"/>
    <s v="T-1088"/>
    <s v="C-998"/>
    <s v="FI-993"/>
    <s v="M-1158"/>
  </r>
  <r>
    <x v="1759"/>
    <n v="990"/>
    <x v="0"/>
    <x v="6"/>
    <n v="13"/>
    <x v="95"/>
    <x v="10"/>
    <x v="1"/>
    <x v="13"/>
    <s v="Ninguno"/>
    <s v="Relación entre Detenciones y Denuncias para Delitos de Homicidio y Violación"/>
    <s v="Periodo 2008-2020"/>
    <s v="Porcentaje"/>
    <s v="Centro de Estudios y Análisis del Delito (CEAD) de la Subsecretaría de Prevención del Delito"/>
    <x v="1744"/>
    <s v="En la región Metropolitan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Regiónlitos región metropolitana"/>
    <x v="1743"/>
    <s v="200-R-13"/>
    <s v="#1774B382"/>
    <s v="990-1760"/>
    <n v="99200013"/>
    <s v="T-1088"/>
    <s v="C-998"/>
    <s v="FI-993"/>
    <s v="M-1158"/>
  </r>
  <r>
    <x v="1760"/>
    <n v="990"/>
    <x v="0"/>
    <x v="6"/>
    <n v="14"/>
    <x v="95"/>
    <x v="10"/>
    <x v="1"/>
    <x v="14"/>
    <s v="Ninguno"/>
    <s v="Relación entre Detenciones y Denuncias para Delitos de Homicidio y Violación"/>
    <s v="Periodo 2008-2020"/>
    <s v="Porcentaje"/>
    <s v="Centro de Estudios y Análisis del Delito (CEAD) de la Subsecretaría de Prevención del Delito"/>
    <x v="1745"/>
    <s v="En la región de Los Rí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ríos"/>
    <x v="1744"/>
    <s v="100-R-14"/>
    <s v="#1774B383"/>
    <s v="990-1761"/>
    <n v="99200014"/>
    <s v="T-1088"/>
    <s v="C-998"/>
    <s v="FI-993"/>
    <s v="M-1158"/>
  </r>
  <r>
    <x v="1761"/>
    <n v="990"/>
    <x v="0"/>
    <x v="6"/>
    <n v="15"/>
    <x v="95"/>
    <x v="10"/>
    <x v="1"/>
    <x v="15"/>
    <s v="Ninguno"/>
    <s v="Relación entre Detenciones y Denuncias para Delitos de Homicidio y Violación"/>
    <s v="Periodo 2008-2020"/>
    <s v="Porcentaje"/>
    <s v="Centro de Estudios y Análisis del Delito (CEAD) de la Subsecretaría de Prevención del Delito"/>
    <x v="1746"/>
    <s v="En la región de Arica y Parinaco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ylitos región parinacota"/>
    <x v="1745"/>
    <s v="100-R-15"/>
    <s v="#1774B384"/>
    <s v="990-1762"/>
    <n v="99200015"/>
    <s v="T-1088"/>
    <s v="C-998"/>
    <s v="FI-993"/>
    <s v="M-1158"/>
  </r>
  <r>
    <x v="1762"/>
    <n v="990"/>
    <x v="0"/>
    <x v="6"/>
    <n v="16"/>
    <x v="95"/>
    <x v="10"/>
    <x v="1"/>
    <x v="16"/>
    <s v="Ninguno"/>
    <s v="Relación entre Detenciones y Denuncias para Delitos de Homicidio y Violación"/>
    <s v="Periodo 2008-2020"/>
    <s v="Porcentaje"/>
    <s v="Centro de Estudios y Análisis del Delito (CEAD) de la Subsecretaría de Prevención del Delito"/>
    <x v="1747"/>
    <s v="En la región de Ñub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ñuble"/>
    <x v="1746"/>
    <s v="100-R-16"/>
    <s v="#1774B385"/>
    <s v="990-1763"/>
    <n v="99200016"/>
    <s v="T-1088"/>
    <s v="C-998"/>
    <s v="FI-993"/>
    <s v="M-1158"/>
  </r>
  <r>
    <x v="1763"/>
    <n v="990"/>
    <x v="0"/>
    <x v="0"/>
    <n v="0"/>
    <x v="96"/>
    <x v="35"/>
    <x v="0"/>
    <x v="0"/>
    <s v="Región"/>
    <s v="Pobreza de la Población Autodefinida como Indígena"/>
    <s v="Año 2020"/>
    <s v="Porcentaje"/>
    <s v="Encuestas CASEN"/>
    <x v="1748"/>
    <s v="Según la encuesta CASEN realizada el año 2020, existen 12 comunas en las que más del 50% de la población autodefinida como indígena vive en pobreza extrema y no extrema."/>
    <s v="Mapa de calor"/>
    <s v="pobreza no extrema población autodefinida indígena comunal nacional chile porcentaje"/>
    <x v="1747"/>
    <s v="300-C"/>
    <s v="#1774B386"/>
    <s v="990-1764"/>
    <n v="99100000"/>
    <e v="#N/A"/>
    <s v="C-1030"/>
    <s v="FI-992"/>
    <s v="M-1159"/>
  </r>
  <r>
    <x v="1764"/>
    <n v="990"/>
    <x v="0"/>
    <x v="0"/>
    <n v="1"/>
    <x v="96"/>
    <x v="35"/>
    <x v="1"/>
    <x v="1"/>
    <s v="Ninguno"/>
    <s v="Pobreza de la Población Autodefinida como Indígena"/>
    <s v="Año 2020"/>
    <s v="Porcentaje"/>
    <s v="Encuestas CASEN"/>
    <x v="1749"/>
    <s v="En la región de Tarapacá, en la comuna de Huara se encuentra un 46,0% de población indígena en situación de pobreza, siendo el mayor porcentaje de la región. "/>
    <s v="Mapa de calor"/>
    <s v="pobreza no extrema población autodefinida indígena comunal región tarapacá porcentaje"/>
    <x v="1748"/>
    <s v="100-C-1"/>
    <s v="#1774B387"/>
    <s v="990-1765"/>
    <n v="99200001"/>
    <e v="#N/A"/>
    <s v="C-1030"/>
    <s v="FI-993"/>
    <s v="M-1159"/>
  </r>
  <r>
    <x v="1765"/>
    <n v="990"/>
    <x v="0"/>
    <x v="0"/>
    <n v="2"/>
    <x v="96"/>
    <x v="35"/>
    <x v="1"/>
    <x v="2"/>
    <s v="Ninguno"/>
    <s v="Pobreza de la Población Autodefinida como Indígena"/>
    <s v="Año 2020"/>
    <s v="Porcentaje"/>
    <s v="Encuestas CASEN"/>
    <x v="1750"/>
    <s v="En la región de Antofagasta, en la comuna de Mejillones se encuentra un 31,9% de población indígena en situación de pobreza, siendo el mayor porcentaje de la región."/>
    <s v="Mapa de calor"/>
    <s v="pobreza no extrema población autodefinida indígena comunal región antofagasta porcentaje"/>
    <x v="1749"/>
    <s v="100-C-2"/>
    <s v="#1774B388"/>
    <s v="990-1766"/>
    <n v="99200002"/>
    <e v="#N/A"/>
    <s v="C-1030"/>
    <s v="FI-993"/>
    <s v="M-1159"/>
  </r>
  <r>
    <x v="1766"/>
    <n v="990"/>
    <x v="0"/>
    <x v="0"/>
    <n v="3"/>
    <x v="96"/>
    <x v="35"/>
    <x v="1"/>
    <x v="3"/>
    <s v="Ninguno"/>
    <s v="Pobreza de la Población Autodefinida como Indígena"/>
    <s v="Año 2020"/>
    <s v="Porcentaje"/>
    <s v="Encuestas CASEN"/>
    <x v="1751"/>
    <s v="En la región de Atacama, en la comuna de Huasco se encuentra un 21,0% de población indígena en situación de pobreza, siendo el mayor porcentaje de la región. "/>
    <s v="Mapa de calor"/>
    <s v="pobreza no extrema población autodefinida indígena comunal región atacama porcentaje"/>
    <x v="1750"/>
    <s v="100-C-3"/>
    <s v="#1774B389"/>
    <s v="990-1767"/>
    <n v="99200003"/>
    <e v="#N/A"/>
    <s v="C-1030"/>
    <s v="FI-993"/>
    <s v="M-1159"/>
  </r>
  <r>
    <x v="1767"/>
    <n v="990"/>
    <x v="0"/>
    <x v="0"/>
    <n v="4"/>
    <x v="96"/>
    <x v="35"/>
    <x v="1"/>
    <x v="4"/>
    <s v="Ninguno"/>
    <s v="Pobreza de la Población Autodefinida como Indígena"/>
    <s v="Año 2020"/>
    <s v="Porcentaje"/>
    <s v="Encuestas CASEN"/>
    <x v="1752"/>
    <s v="En la región de Coquimbo en la comuna Los Vilos se encuentra un 43,5% de población indígena en situación de pobreza, siendo el mayor porcentaje de la región. "/>
    <s v="Mapa de calor"/>
    <s v="pobreza no extrema población autodefinida indígena comunal región coquimbo porcentaje"/>
    <x v="1751"/>
    <s v="100-C-4"/>
    <s v="#1774B390"/>
    <s v="990-1768"/>
    <n v="99200004"/>
    <e v="#N/A"/>
    <s v="C-1030"/>
    <s v="FI-993"/>
    <s v="M-1159"/>
  </r>
  <r>
    <x v="1768"/>
    <n v="990"/>
    <x v="0"/>
    <x v="0"/>
    <n v="5"/>
    <x v="96"/>
    <x v="35"/>
    <x v="1"/>
    <x v="5"/>
    <s v="Ninguno"/>
    <s v="Pobreza de la Población Autodefinida como Indígena"/>
    <s v="Año 2020"/>
    <s v="Porcentaje"/>
    <s v="Encuestas CASEN"/>
    <x v="1753"/>
    <s v="En la región de Valparaíso en la comuna Catemu se encuentra un 36,1% de población indígena en situación de pobreza, siendo el mayor porcentaje de la región. "/>
    <s v="Mapa de calor"/>
    <s v="pobreza no extrema población autodefinida indígena comunal región valparaíso porcentaje"/>
    <x v="1752"/>
    <s v="100-C-5"/>
    <s v="#1774B391"/>
    <s v="990-1769"/>
    <n v="99200005"/>
    <e v="#N/A"/>
    <s v="C-1030"/>
    <s v="FI-993"/>
    <s v="M-1159"/>
  </r>
  <r>
    <x v="1769"/>
    <n v="990"/>
    <x v="0"/>
    <x v="0"/>
    <n v="6"/>
    <x v="96"/>
    <x v="35"/>
    <x v="1"/>
    <x v="6"/>
    <s v="Ninguno"/>
    <s v="Pobreza de la Población Autodefinida como Indígena"/>
    <s v="Año 2020"/>
    <s v="Porcentaje"/>
    <s v="Encuestas CASEN"/>
    <x v="1754"/>
    <s v="En la región de O'Higgins en la comuna de Paredones se encuentra un 38,2% de población indígena en situación de pobreza, siendo el mayor porcentaje de la región. "/>
    <s v="Mapa de calor"/>
    <s v="pobreza no extrema población autodefinida indígena comunal región o'higgins porcentaje"/>
    <x v="1753"/>
    <s v="100-C-6"/>
    <s v="#1774B392"/>
    <s v="990-1770"/>
    <n v="99200006"/>
    <e v="#N/A"/>
    <s v="C-1030"/>
    <s v="FI-993"/>
    <s v="M-1159"/>
  </r>
  <r>
    <x v="1770"/>
    <n v="990"/>
    <x v="0"/>
    <x v="0"/>
    <n v="7"/>
    <x v="96"/>
    <x v="35"/>
    <x v="1"/>
    <x v="7"/>
    <s v="Ninguno"/>
    <s v="Pobreza de la Población Autodefinida como Indígena"/>
    <s v="Año 2020"/>
    <s v="Porcentaje"/>
    <s v="Encuestas CASEN"/>
    <x v="1755"/>
    <s v="En la región del Maule, en la comuna de Pelluhue se encuentra un 91,8% de población indígena en situación de pobreza, siendo el mayor porcentaje de la región."/>
    <s v="Mapa de calor"/>
    <s v="pobreza no extrema población autodefinida indígena comunal región maule porcentaje"/>
    <x v="1754"/>
    <s v="100-C-7"/>
    <s v="#1774B393"/>
    <s v="990-1771"/>
    <n v="99200007"/>
    <e v="#N/A"/>
    <s v="C-1030"/>
    <s v="FI-993"/>
    <s v="M-1159"/>
  </r>
  <r>
    <x v="1771"/>
    <n v="990"/>
    <x v="0"/>
    <x v="0"/>
    <n v="8"/>
    <x v="96"/>
    <x v="35"/>
    <x v="1"/>
    <x v="8"/>
    <s v="Ninguno"/>
    <s v="Pobreza de la Población Autodefinida como Indígena"/>
    <s v="Año 2020"/>
    <s v="Porcentaje"/>
    <s v="Encuestas CASEN"/>
    <x v="1756"/>
    <s v="En la región del Biobío, en la comuna de Santa Bárbara se encuentra un 81,1% de población indígena en situación de pobreza, siendo el mayor porcentaje de la región."/>
    <s v="Mapa de calor"/>
    <s v="pobreza no extrema población autodefinida indígena comunal región biobío porcentaje"/>
    <x v="1755"/>
    <s v="100-C-8"/>
    <s v="#1774B394"/>
    <s v="990-1772"/>
    <n v="99200008"/>
    <e v="#N/A"/>
    <s v="C-1030"/>
    <s v="FI-993"/>
    <s v="M-1159"/>
  </r>
  <r>
    <x v="1772"/>
    <n v="990"/>
    <x v="0"/>
    <x v="0"/>
    <n v="9"/>
    <x v="96"/>
    <x v="35"/>
    <x v="1"/>
    <x v="9"/>
    <s v="Ninguno"/>
    <s v="Pobreza de la Población Autodefinida como Indígena"/>
    <s v="Año 2020"/>
    <s v="Porcentaje"/>
    <s v="Encuestas CASEN"/>
    <x v="1757"/>
    <s v="En la región de la Araucanía, en la comuna de Cunco se encuentra un 47,0% de población indígena en situación de pobreza, siendo el mayor porcentaje de la región."/>
    <s v="Mapa de calor"/>
    <s v="pobreza no extrema población autodefinida indígena comunal región araucanía porcentaje"/>
    <x v="1756"/>
    <s v="100-C-9"/>
    <s v="#1774B395"/>
    <s v="990-1773"/>
    <n v="99200009"/>
    <e v="#N/A"/>
    <s v="C-1030"/>
    <s v="FI-993"/>
    <s v="M-1159"/>
  </r>
  <r>
    <x v="1773"/>
    <n v="990"/>
    <x v="0"/>
    <x v="0"/>
    <n v="10"/>
    <x v="96"/>
    <x v="35"/>
    <x v="1"/>
    <x v="10"/>
    <s v="Ninguno"/>
    <s v="Pobreza de la Población Autodefinida como Indígena"/>
    <s v="Año 2020"/>
    <s v="Porcentaje"/>
    <s v="Encuestas CASEN"/>
    <x v="1758"/>
    <s v="En la región de los Lagos, en la comuna de Puqueldón se encuentra un 50,0% de población indígena en situación de pobreza, siendo el mayor porcentaje de la región."/>
    <s v="Mapa de calor"/>
    <s v="pobreza no extrema población autodefinida indígena comunal región los lagos porcentaje"/>
    <x v="1757"/>
    <s v="100-C-10"/>
    <s v="#1774B396"/>
    <s v="990-1774"/>
    <n v="99200010"/>
    <e v="#N/A"/>
    <s v="C-1030"/>
    <s v="FI-993"/>
    <s v="M-1159"/>
  </r>
  <r>
    <x v="1774"/>
    <n v="990"/>
    <x v="0"/>
    <x v="0"/>
    <n v="11"/>
    <x v="96"/>
    <x v="35"/>
    <x v="1"/>
    <x v="11"/>
    <s v="Ninguno"/>
    <s v="Pobreza de la Población Autodefinida como Indígena"/>
    <s v="Año 2020"/>
    <s v="Porcentaje"/>
    <s v="Encuestas CASEN"/>
    <x v="1759"/>
    <s v="En la región de Aysén, en la comuna de Aysén se encuentra un 13% de población indígena en situación de pobreza, siendo el mayor porcentaje de la región."/>
    <s v="Mapa de calor"/>
    <s v="pobreza no extrema población autodefinida indígena comunal región aysén porcentaje"/>
    <x v="1758"/>
    <s v="100-C-11"/>
    <s v="#1774B397"/>
    <s v="990-1775"/>
    <n v="99200011"/>
    <e v="#N/A"/>
    <s v="C-1030"/>
    <s v="FI-993"/>
    <s v="M-1159"/>
  </r>
  <r>
    <x v="1775"/>
    <n v="990"/>
    <x v="0"/>
    <x v="0"/>
    <n v="12"/>
    <x v="96"/>
    <x v="35"/>
    <x v="1"/>
    <x v="12"/>
    <s v="Ninguno"/>
    <s v="Pobreza de la Población Autodefinida como Indígena"/>
    <s v="Año 2020"/>
    <s v="Porcentaje"/>
    <s v="Encuestas CASEN"/>
    <x v="1760"/>
    <s v="En la región del Magallanes en la comuna de Natales se encuentra un 12,8% de población indígena en situación de pobreza, siendo el mayor porcentaje de la región."/>
    <s v="Mapa de calor"/>
    <s v="pobreza no extrema población autodefinida indígena comunal región magallanes porcentaje"/>
    <x v="1759"/>
    <s v="100-C-12"/>
    <s v="#1774B398"/>
    <s v="990-1776"/>
    <n v="99200012"/>
    <e v="#N/A"/>
    <s v="C-1030"/>
    <s v="FI-993"/>
    <s v="M-1159"/>
  </r>
  <r>
    <x v="1776"/>
    <n v="990"/>
    <x v="0"/>
    <x v="0"/>
    <n v="13"/>
    <x v="96"/>
    <x v="35"/>
    <x v="1"/>
    <x v="13"/>
    <s v="Ninguno"/>
    <s v="Pobreza de la Población Autodefinida como Indígena"/>
    <s v="Año 2020"/>
    <s v="Porcentaje"/>
    <s v="Encuestas CASEN"/>
    <x v="1761"/>
    <s v="En la región Metropolitana en la comuna de Pirque se encuentra un 48,0% de población indígena en situación de pobreza, siendo el mayor porcentaje de la región."/>
    <s v="Mapa de calor"/>
    <s v="pobreza no extrema población autodefinida indígena comunal región metropolitana porcentaje"/>
    <x v="1760"/>
    <s v="200-C-13"/>
    <s v="#1774B399"/>
    <s v="990-1777"/>
    <n v="99200013"/>
    <e v="#N/A"/>
    <s v="C-1030"/>
    <s v="FI-993"/>
    <s v="M-1159"/>
  </r>
  <r>
    <x v="1777"/>
    <n v="990"/>
    <x v="0"/>
    <x v="0"/>
    <n v="14"/>
    <x v="96"/>
    <x v="35"/>
    <x v="1"/>
    <x v="14"/>
    <s v="Ninguno"/>
    <s v="Pobreza de la Población Autodefinida como Indígena"/>
    <s v="Año 2020"/>
    <s v="Porcentaje"/>
    <s v="Encuestas CASEN"/>
    <x v="1762"/>
    <s v="En la región de Los Ríos en la comuna Los Lagos se encuentra un 25,8% de población indígena en situación de pobreza, siendo el mayor porcentaje de la región."/>
    <s v="Mapa de calor"/>
    <s v="pobreza no extrema población autodefinida indígena comunal región los ríos porcentaje"/>
    <x v="1761"/>
    <s v="100-C-14"/>
    <s v="#1774B400"/>
    <s v="990-1778"/>
    <n v="99200014"/>
    <e v="#N/A"/>
    <s v="C-1030"/>
    <s v="FI-993"/>
    <s v="M-1159"/>
  </r>
  <r>
    <x v="1778"/>
    <n v="990"/>
    <x v="0"/>
    <x v="0"/>
    <n v="15"/>
    <x v="96"/>
    <x v="35"/>
    <x v="1"/>
    <x v="15"/>
    <s v="Ninguno"/>
    <s v="Pobreza de la Población Autodefinida como Indígena"/>
    <s v="Año 2020"/>
    <s v="Porcentaje"/>
    <s v="Encuestas CASEN"/>
    <x v="1763"/>
    <s v="En la región de Arica y Parinacota en la comuna de Putre se encuentra un 28,5% de población indígena en situación de pobreza, siendo el mayor porcentaje de la región."/>
    <s v="Mapa de calor"/>
    <s v="pobreza no extrema población autodefinida indígena comunal región arica parinacota porcentaje"/>
    <x v="1762"/>
    <s v="100-C-15"/>
    <s v="#1774B401"/>
    <s v="990-1779"/>
    <n v="99200015"/>
    <e v="#N/A"/>
    <s v="C-1030"/>
    <s v="FI-993"/>
    <s v="M-1159"/>
  </r>
  <r>
    <x v="1779"/>
    <n v="990"/>
    <x v="0"/>
    <x v="0"/>
    <n v="16"/>
    <x v="96"/>
    <x v="35"/>
    <x v="1"/>
    <x v="16"/>
    <s v="Ninguno"/>
    <s v="Pobreza de la Población Autodefinida como Indígena"/>
    <s v="Año 2020"/>
    <s v="Porcentaje"/>
    <s v="Encuestas CASEN"/>
    <x v="1764"/>
    <s v="En la región del Ñuble en la comuna de Ñiquén se encuentra un 94,5% de población indígena en situación de pobreza, siendo el mayor porcentaje de la región."/>
    <s v="Mapa de calor"/>
    <s v="pobreza no extrema población autodefinida indígena comunal región ñuble porcentaje"/>
    <x v="1763"/>
    <s v="100-C-16"/>
    <s v="#1774B402"/>
    <s v="990-1780"/>
    <n v="99200016"/>
    <e v="#N/A"/>
    <s v="C-1030"/>
    <s v="FI-993"/>
    <s v="M-1159"/>
  </r>
  <r>
    <x v="1780"/>
    <n v="990"/>
    <x v="0"/>
    <x v="0"/>
    <n v="0"/>
    <x v="97"/>
    <x v="35"/>
    <x v="0"/>
    <x v="0"/>
    <s v="Región"/>
    <s v="Pobreza y Pobreza Extrema"/>
    <s v="Periodo 2006-2020"/>
    <s v="Porcentaje"/>
    <s v="Encuestas CASEN"/>
    <x v="1765"/>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x v="1764"/>
    <s v="300-R"/>
    <s v="#1774B403"/>
    <s v="990-1781"/>
    <n v="99100000"/>
    <s v="T-1089"/>
    <s v="C-1030"/>
    <s v="FI-992"/>
    <s v="M-1160"/>
  </r>
  <r>
    <x v="1781"/>
    <n v="990"/>
    <x v="0"/>
    <x v="0"/>
    <n v="1"/>
    <x v="97"/>
    <x v="35"/>
    <x v="1"/>
    <x v="1"/>
    <s v="Ninguno"/>
    <s v="Pobreza y Pobreza Extrema"/>
    <s v="Periodo 2006-2020"/>
    <s v="Porcentaje"/>
    <s v="Encuestas CASEN"/>
    <x v="1766"/>
    <s v="En la región de Tarapacá, la  pobreza para el año 2006 fue de 6,9% en tanto en el 2020 de 7,0%. Mientras que la pobreza extrema para el año 2006 fue de 1,8% y para el año 2020 de 6,7% representando un incremento en los últimos 14 años."/>
    <s v="Gráfico de Evolución"/>
    <s v="socioeconómico evolución variación CASEN pobreza extrema región tarapacá"/>
    <x v="1765"/>
    <s v="100-R-1"/>
    <s v="#1774B404"/>
    <s v="990-1782"/>
    <n v="99200001"/>
    <s v="T-1089"/>
    <s v="C-1030"/>
    <s v="FI-993"/>
    <s v="M-1160"/>
  </r>
  <r>
    <x v="1782"/>
    <n v="990"/>
    <x v="0"/>
    <x v="0"/>
    <n v="2"/>
    <x v="97"/>
    <x v="35"/>
    <x v="1"/>
    <x v="2"/>
    <s v="Ninguno"/>
    <s v="Pobreza y Pobreza Extrema"/>
    <s v="Periodo 2006-2020"/>
    <s v="Porcentaje"/>
    <s v="Encuestas CASEN"/>
    <x v="1767"/>
    <s v="En la región de Antofagasta, la pobreza para el año 2006 fue de 4,0% en tanto en el 2020 de 6,1%. Mientras que la pobreza extrema para el año 2006 fue de 1,8% y para el año 2020 de 3,7% representando un incremento en los últimos 14 años."/>
    <s v="Gráfico de Evolución"/>
    <s v="socioeconómico evolución variación CASEN pobreza extrema región antofagasta"/>
    <x v="1766"/>
    <s v="100-R-2"/>
    <s v="#1774B405"/>
    <s v="990-1783"/>
    <n v="99200002"/>
    <s v="T-1089"/>
    <s v="C-1030"/>
    <s v="FI-993"/>
    <s v="M-1160"/>
  </r>
  <r>
    <x v="1783"/>
    <n v="990"/>
    <x v="0"/>
    <x v="0"/>
    <n v="3"/>
    <x v="97"/>
    <x v="35"/>
    <x v="1"/>
    <x v="3"/>
    <s v="Ninguno"/>
    <s v="Pobreza y Pobreza Extrema"/>
    <s v="Periodo 2006-2020"/>
    <s v="Porcentaje"/>
    <s v="Encuestas CASEN"/>
    <x v="1768"/>
    <s v="En la región de Atacama, la pobreza para el año 2006 fue de 6,1% en tanto en el 2020 de 5,7%. Mientras que la pobreza extrema para el año 2006 fue de 2,3% y para el año 2020 de 3,9% representando un incremento en los últimos 14 años."/>
    <s v="Gráfico de Evolución"/>
    <s v="socioeconómico evolución variación CASEN pobreza extrema región atacama"/>
    <x v="1767"/>
    <s v="100-R-3"/>
    <s v="#1774B406"/>
    <s v="990-1784"/>
    <n v="99200003"/>
    <s v="T-1089"/>
    <s v="C-1030"/>
    <s v="FI-993"/>
    <s v="M-1160"/>
  </r>
  <r>
    <x v="1784"/>
    <n v="990"/>
    <x v="0"/>
    <x v="0"/>
    <n v="4"/>
    <x v="97"/>
    <x v="35"/>
    <x v="1"/>
    <x v="4"/>
    <s v="Ninguno"/>
    <s v="Pobreza y Pobreza Extrema"/>
    <s v="Periodo 2006-2020"/>
    <s v="Porcentaje"/>
    <s v="Encuestas CASEN"/>
    <x v="1769"/>
    <s v="En la región de Coquimbo la pobreza para el año 2006 fue de 11,3% en tanto en el 2020 de 7,6%. Mientras que la pobreza extrema para el año 2006 fue de 2,1% y para el año 2020 de 4,1% representando un incremento en los últimos 14 años."/>
    <s v="Gráfico de Evolución"/>
    <s v="socioeconómico evolución variación CASEN pobreza extrema región coquimbo"/>
    <x v="1768"/>
    <s v="100-R-4"/>
    <s v="#1774B407"/>
    <s v="990-1785"/>
    <n v="99200004"/>
    <s v="T-1089"/>
    <s v="C-1030"/>
    <s v="FI-993"/>
    <s v="M-1160"/>
  </r>
  <r>
    <x v="1785"/>
    <n v="990"/>
    <x v="0"/>
    <x v="0"/>
    <n v="5"/>
    <x v="97"/>
    <x v="35"/>
    <x v="1"/>
    <x v="5"/>
    <s v="Ninguno"/>
    <s v="Pobreza y Pobreza Extrema"/>
    <s v="Periodo 2006-2020"/>
    <s v="Porcentaje"/>
    <s v="Encuestas CASEN"/>
    <x v="1770"/>
    <s v="En la región de Valparaíso, la pobreza para el año 2006 fue de 10,6% en tanto en el 2020 de 6,4%. Mientras que la pobreza extrema para el año 2006 fue de 2,3% y para el año 2020 de 4,9% representando un incremento en los últimos 14 años."/>
    <s v="Gráfico de Evolución"/>
    <s v="socioeconómico evolución variación CASEN pobreza extrema región valparaíso"/>
    <x v="1769"/>
    <s v="100-R-5"/>
    <s v="#1774B408"/>
    <s v="990-1786"/>
    <n v="99200005"/>
    <s v="T-1089"/>
    <s v="C-1030"/>
    <s v="FI-993"/>
    <s v="M-1160"/>
  </r>
  <r>
    <x v="1786"/>
    <n v="990"/>
    <x v="0"/>
    <x v="0"/>
    <n v="6"/>
    <x v="97"/>
    <x v="35"/>
    <x v="1"/>
    <x v="6"/>
    <s v="Ninguno"/>
    <s v="Pobreza y Pobreza Extrema"/>
    <s v="Periodo 2006-2020"/>
    <s v="Porcentaje"/>
    <s v="Encuestas CASEN"/>
    <x v="1771"/>
    <s v="En la región de O'Higgins, la pobreza para el año 2006 fue de 7,7% en tanto en el 2020 de 5,7%. Mientras que la pobreza extrema para el año 2006 fue de 1,6% y para el año 2020 de 4,3% representando un incremento en los últimos 14 años."/>
    <s v="Gráfico de Evolución"/>
    <s v="socioeconómico evolución variación CASEN pobreza extrema región ohiggins"/>
    <x v="1770"/>
    <s v="100-R-6"/>
    <s v="#1774B409"/>
    <s v="990-1787"/>
    <n v="99200006"/>
    <s v="T-1089"/>
    <s v="C-1030"/>
    <s v="FI-993"/>
    <s v="M-1160"/>
  </r>
  <r>
    <x v="1787"/>
    <n v="990"/>
    <x v="0"/>
    <x v="0"/>
    <n v="7"/>
    <x v="97"/>
    <x v="35"/>
    <x v="1"/>
    <x v="7"/>
    <s v="Ninguno"/>
    <s v="Pobreza y Pobreza Extrema"/>
    <s v="Periodo 2006-2020"/>
    <s v="Porcentaje"/>
    <s v="Encuestas CASEN"/>
    <x v="1772"/>
    <s v="En la región de Maule, la pobreza para el año 2006 fue de 11,8% en tanto en el 2020 de 7,7%. Mientras que la pobreza extrema para el año 2006 fue de 3,7% y para el año 2020 de 4,7% representando un incremento en los últimos 14 años."/>
    <s v="Gráfico de Evolución"/>
    <s v="socioeconómico evolución variación CASEN pobreza extrema región maule"/>
    <x v="1771"/>
    <s v="100-R-7"/>
    <s v="#1774B410"/>
    <s v="990-1788"/>
    <n v="99200007"/>
    <s v="T-1089"/>
    <s v="C-1030"/>
    <s v="FI-993"/>
    <s v="M-1160"/>
  </r>
  <r>
    <x v="1788"/>
    <n v="990"/>
    <x v="0"/>
    <x v="0"/>
    <n v="8"/>
    <x v="97"/>
    <x v="35"/>
    <x v="1"/>
    <x v="8"/>
    <s v="Ninguno"/>
    <s v="Pobreza y Pobreza Extrema"/>
    <s v="Periodo 2006-2020"/>
    <s v="Porcentaje"/>
    <s v="Encuestas CASEN"/>
    <x v="1773"/>
    <s v="En la región de Biobío, la pobreza para el año 2006 fue de 13,1% en tanto en el 2020 de 8,0%. Mientras que la pobreza extrema para el año 2006 fue de 4,1% y para el año 2020 de 5,0% representando un incremento en los últimos 14 años."/>
    <s v="Gráfico de Evolución"/>
    <s v="socioeconómico evolución variación CASEN pobreza extrema región biobío"/>
    <x v="1772"/>
    <s v="100-R-8"/>
    <s v="#1774B411"/>
    <s v="990-1789"/>
    <n v="99200008"/>
    <s v="T-1089"/>
    <s v="C-1030"/>
    <s v="FI-993"/>
    <s v="M-1160"/>
  </r>
  <r>
    <x v="1789"/>
    <n v="990"/>
    <x v="0"/>
    <x v="0"/>
    <n v="9"/>
    <x v="97"/>
    <x v="35"/>
    <x v="1"/>
    <x v="9"/>
    <s v="Ninguno"/>
    <s v="Pobreza y Pobreza Extrema"/>
    <s v="Periodo 2006-2020"/>
    <s v="Porcentaje"/>
    <s v="Encuestas CASEN"/>
    <x v="1774"/>
    <s v="En la región de Araucanía, la pobreza para el año 2006 fue de 12,3% en tanto en el 2020 de 11,5%. Mientras que la pobreza extrema para el año 2006 fue de 4,8% y para el año 2020 de 6,0% representando un incremento en los últimos 14 años."/>
    <s v="Gráfico de Evolución"/>
    <s v="socioeconómico evolución variación CASEN pobreza extrema región araucanía"/>
    <x v="1773"/>
    <s v="100-R-9"/>
    <s v="#1774B412"/>
    <s v="990-1790"/>
    <n v="99200009"/>
    <s v="T-1089"/>
    <s v="C-1030"/>
    <s v="FI-993"/>
    <s v="M-1160"/>
  </r>
  <r>
    <x v="1790"/>
    <n v="990"/>
    <x v="0"/>
    <x v="0"/>
    <n v="10"/>
    <x v="97"/>
    <x v="35"/>
    <x v="1"/>
    <x v="10"/>
    <s v="Ninguno"/>
    <s v="Pobreza y Pobreza Extrema"/>
    <s v="Periodo 2006-2020"/>
    <s v="Porcentaje"/>
    <s v="Encuestas CASEN"/>
    <x v="1775"/>
    <s v="En la región de Los Lagos, la pobreza para el año 2006 fue de 7,6% en tanto en el 2020 de 7,4%. Mientras que la pobreza extrema para el año 2006 fue de 2,2% y para el año 2020 de 3,5% representando un incremento en los últimos 14 años."/>
    <s v="Gráfico de Evolución"/>
    <s v="socioeconómico evolución variación CASEN pobreza extrema región los lagos"/>
    <x v="1774"/>
    <s v="100-R-10"/>
    <s v="#1774B413"/>
    <s v="990-1791"/>
    <n v="99200010"/>
    <s v="T-1089"/>
    <s v="C-1030"/>
    <s v="FI-993"/>
    <s v="M-1160"/>
  </r>
  <r>
    <x v="1791"/>
    <n v="990"/>
    <x v="0"/>
    <x v="0"/>
    <n v="11"/>
    <x v="97"/>
    <x v="35"/>
    <x v="1"/>
    <x v="11"/>
    <s v="Ninguno"/>
    <s v="Pobreza y Pobreza Extrema"/>
    <s v="Periodo 2006-2020"/>
    <s v="Porcentaje"/>
    <s v="Encuestas CASEN"/>
    <x v="1776"/>
    <s v="En la región de Aysén, la pobreza para el año 2006 fue de 4,3% en tanto en el 2020 de 4,2%. Mientras que la pobreza extrema para el año 2006 fue de 3,0%y para el año 2020 de 2,3% representando una disminución en los últimos 14 años."/>
    <s v="Gráfico de Evolución"/>
    <s v="socioeconómico evolución variación CASEN pobreza extrema región aysén"/>
    <x v="1775"/>
    <s v="100-R-11"/>
    <s v="#1774B414"/>
    <s v="990-1792"/>
    <n v="99200011"/>
    <s v="T-1089"/>
    <s v="C-1030"/>
    <s v="FI-993"/>
    <s v="M-1160"/>
  </r>
  <r>
    <x v="1792"/>
    <n v="990"/>
    <x v="0"/>
    <x v="0"/>
    <n v="12"/>
    <x v="97"/>
    <x v="35"/>
    <x v="1"/>
    <x v="12"/>
    <s v="Ninguno"/>
    <s v="Pobreza y Pobreza Extrema"/>
    <s v="Periodo 2006-2020"/>
    <s v="Porcentaje"/>
    <s v="Encuestas CASEN"/>
    <x v="1777"/>
    <s v="En la región de Magallanes, la pobreza para el año 2006 fue de 3,2% en tanto en el 2020 de 3,9%. Mientras que la pobreza extrema para el año 2006 fue de 2,3% y para el año 2020 de 1,9% representando una disminución en los últimos 14 años."/>
    <s v="Gráfico de Evolución"/>
    <s v="socioeconómico evolución variación CASEN pobreza extrema región magallanes"/>
    <x v="1776"/>
    <s v="100-R-12"/>
    <s v="#1774B415"/>
    <s v="990-1793"/>
    <n v="99200012"/>
    <s v="T-1089"/>
    <s v="C-1030"/>
    <s v="FI-993"/>
    <s v="M-1160"/>
  </r>
  <r>
    <x v="1793"/>
    <n v="990"/>
    <x v="0"/>
    <x v="0"/>
    <n v="13"/>
    <x v="97"/>
    <x v="35"/>
    <x v="1"/>
    <x v="13"/>
    <s v="Ninguno"/>
    <s v="Pobreza y Pobreza Extrema"/>
    <s v="Periodo 2006-2020"/>
    <s v="Porcentaje"/>
    <s v="Encuestas CASEN"/>
    <x v="1778"/>
    <s v="En la región Metropolitana la pobreza para el año 2006 fue de 6,6% en tanto en el 2020 de 5,2%. Mientras que la pobreza extrema para el año 2006 fue de 1,7% y para el año 2020 de 3,7% representando un incremento en los últimos 14 años."/>
    <s v="Gráfico de Evolución"/>
    <s v="socioeconómico evolución variación CASEN pobreza extrema región metropolitana"/>
    <x v="1777"/>
    <s v="200-R-13"/>
    <s v="#1774B416"/>
    <s v="990-1794"/>
    <n v="99200013"/>
    <s v="T-1089"/>
    <s v="C-1030"/>
    <s v="FI-993"/>
    <s v="M-1160"/>
  </r>
  <r>
    <x v="1794"/>
    <n v="990"/>
    <x v="0"/>
    <x v="0"/>
    <n v="14"/>
    <x v="97"/>
    <x v="35"/>
    <x v="1"/>
    <x v="14"/>
    <s v="Ninguno"/>
    <s v="Pobreza y Pobreza Extrema"/>
    <s v="Periodo 2006-2020"/>
    <s v="Porcentaje"/>
    <s v="Encuestas CASEN"/>
    <x v="1779"/>
    <s v="En la región de Los Ríos, la pobreza para el año 2006 fue de 12,3% en tanto en el 2020 de 7,6%. Mientras que la pobreza extrema para el año 2006 fue de 4,3% y para el año 2020 de 4,7% representando un incremento en los últimos 14 años."/>
    <s v="Gráfico de Evolución"/>
    <s v="socioeconómico evolución variación CASEN pobreza extrema región los ríos"/>
    <x v="1778"/>
    <s v="100-R-14"/>
    <s v="#1774B417"/>
    <s v="990-1795"/>
    <n v="99200014"/>
    <s v="T-1089"/>
    <s v="C-1030"/>
    <s v="FI-993"/>
    <s v="M-1160"/>
  </r>
  <r>
    <x v="1795"/>
    <n v="990"/>
    <x v="0"/>
    <x v="0"/>
    <n v="15"/>
    <x v="97"/>
    <x v="35"/>
    <x v="1"/>
    <x v="15"/>
    <s v="Ninguno"/>
    <s v="Pobreza y Pobreza Extrema"/>
    <s v="Periodo 2006-2020"/>
    <s v="Porcentaje"/>
    <s v="Encuestas CASEN"/>
    <x v="1780"/>
    <s v="En la región de Arica y Parinacota, la pobreza para el año 2006 fue de 12,5% en tanto en el 2020 de 6,0%. Mientras que la pobreza extrema para el año 2006 fue de 3,5% y para el año 2020 de 6,0% representando un incremento en los últimos 14 años."/>
    <s v="Gráfico de Evolución"/>
    <s v="socioeconómico evolución variación CASEN pobreza extrema región arica parinacota"/>
    <x v="1779"/>
    <s v="100-R-15"/>
    <s v="#1774B418"/>
    <s v="990-1796"/>
    <n v="99200015"/>
    <s v="T-1089"/>
    <s v="C-1030"/>
    <s v="FI-993"/>
    <s v="M-1160"/>
  </r>
  <r>
    <x v="1796"/>
    <n v="990"/>
    <x v="0"/>
    <x v="0"/>
    <n v="16"/>
    <x v="97"/>
    <x v="35"/>
    <x v="1"/>
    <x v="16"/>
    <s v="Ninguno"/>
    <s v="Pobreza y Pobreza Extrema"/>
    <s v="Periodo 2006-2020"/>
    <s v="Porcentaje"/>
    <s v="Encuestas CASEN"/>
    <x v="1781"/>
    <s v="En la región del Ñuble, la pobreza para el año 2006 fue de 14,5% en tanto en el 2020 de 9,6%. Mientras que la pobreza extrema para el año 2006 fue de 4,5% y para el año 2020 de 5,2% representando un incremento en los últimos 14 años."/>
    <s v="Gráfico de Evolución"/>
    <s v="socioeconómico evolución variación CASEN pobreza extrema región ñuble"/>
    <x v="1780"/>
    <s v="100-R-16"/>
    <s v="#1774B419"/>
    <s v="990-1797"/>
    <n v="99200016"/>
    <s v="T-1089"/>
    <s v="C-1030"/>
    <s v="FI-993"/>
    <s v="M-1160"/>
  </r>
  <r>
    <x v="1797"/>
    <n v="990"/>
    <x v="0"/>
    <x v="0"/>
    <n v="0"/>
    <x v="98"/>
    <x v="35"/>
    <x v="0"/>
    <x v="0"/>
    <s v="Región"/>
    <s v="Pobreza Extrema"/>
    <s v="Año 2020"/>
    <s v="Porcentaje"/>
    <s v="Encuestas CASEN"/>
    <x v="1782"/>
    <s v="Según la encuesta CASEN del año 2020, existen 28 comunas en Chile que tienen sobre un 10% de pobreza extrema. En cambio, solo 15 comunas tienen un porcentaje de pobreza extrema menor o igual a 1%."/>
    <s v="Mapa de calor"/>
    <s v="socioeconómico porcentaje pobreza extrema comunal chile"/>
    <x v="1781"/>
    <s v="300-C"/>
    <s v="#1774B420"/>
    <s v="990-1798"/>
    <n v="99100000"/>
    <s v="T-1090"/>
    <s v="C-1030"/>
    <s v="FI-992"/>
    <s v="M-1161"/>
  </r>
  <r>
    <x v="1798"/>
    <n v="990"/>
    <x v="0"/>
    <x v="0"/>
    <n v="1"/>
    <x v="98"/>
    <x v="35"/>
    <x v="1"/>
    <x v="1"/>
    <s v="Ninguno"/>
    <s v="Pobreza Extrema"/>
    <s v="Año 2020"/>
    <s v="Porcentaje"/>
    <s v="Encuestas CASEN"/>
    <x v="1783"/>
    <s v="En la región de Tarapacá para el 2020, la comuna de Huara presentó el mayor porcentaje de pobreza extrema con un 16,8%, mientras que Pozo Almonte fue la comuna con menor porcentaje de pobreza extrema con un 4,6%."/>
    <s v="Mapa de calor"/>
    <s v="socioeconómico porcentaje pobreza extrema comunal región tarapacá"/>
    <x v="1782"/>
    <s v="100-C-1"/>
    <s v="#1774B421"/>
    <s v="990-1799"/>
    <n v="99200001"/>
    <s v="T-1090"/>
    <s v="C-1030"/>
    <s v="FI-993"/>
    <s v="M-1161"/>
  </r>
  <r>
    <x v="1799"/>
    <n v="990"/>
    <x v="0"/>
    <x v="0"/>
    <n v="2"/>
    <x v="98"/>
    <x v="35"/>
    <x v="1"/>
    <x v="2"/>
    <s v="Ninguno"/>
    <s v="Pobreza Extrema"/>
    <s v="Año 2020"/>
    <s v="Porcentaje"/>
    <s v="Encuestas CASEN"/>
    <x v="1784"/>
    <s v="En la región de Antofagasta para el 2020, la comuna de Mejillones presentó el mayor porcentaje de pobreza extrema con un 18,0%, mientras que Tocopilla fue la comuna con menor porcentaje de pobreza extrema con un 1,0%."/>
    <s v="Mapa de calor"/>
    <s v="socioeconómico porcentaje pobreza extrema comunal región antofagasta"/>
    <x v="1783"/>
    <s v="100-C-2"/>
    <s v="#1774B422"/>
    <s v="990-1800"/>
    <n v="99200002"/>
    <s v="T-1090"/>
    <s v="C-1030"/>
    <s v="FI-993"/>
    <s v="M-1161"/>
  </r>
  <r>
    <x v="1800"/>
    <n v="990"/>
    <x v="0"/>
    <x v="0"/>
    <n v="3"/>
    <x v="98"/>
    <x v="35"/>
    <x v="1"/>
    <x v="3"/>
    <s v="Ninguno"/>
    <s v="Pobreza Extrema"/>
    <s v="Año 2020"/>
    <s v="Porcentaje"/>
    <s v="Encuestas CASEN"/>
    <x v="1785"/>
    <s v="En la región de Atacama para el 2020, la comuna de Freirina presentó el mayor porcentaje de pobreza extrema con un 19,3%, mientras que Tierra Amarilla fue la comuna con menor porcentaje de pobreza extrema con un 1,0%."/>
    <s v="Mapa de calor"/>
    <s v="socioeconómico porcentaje pobreza extrema comunal región atacama"/>
    <x v="1784"/>
    <s v="100-C-3"/>
    <s v="#1774B423"/>
    <s v="990-1801"/>
    <n v="99200003"/>
    <s v="T-1090"/>
    <s v="C-1030"/>
    <s v="FI-993"/>
    <s v="M-1161"/>
  </r>
  <r>
    <x v="1801"/>
    <n v="990"/>
    <x v="0"/>
    <x v="0"/>
    <n v="4"/>
    <x v="98"/>
    <x v="35"/>
    <x v="1"/>
    <x v="4"/>
    <s v="Ninguno"/>
    <s v="Pobreza Extrema"/>
    <s v="Año 2020"/>
    <s v="Porcentaje"/>
    <s v="Encuestas CASEN"/>
    <x v="1786"/>
    <s v="En la región de Coquimbo para el 2020, la comuna de Vicuña presentó el mayor porcentaje de pobreza extrema con un 9,0%, mientras que Salamanca fue la comuna con menor porcentaje de pobreza extrema con un 0,4%."/>
    <s v="Mapa de calor"/>
    <s v="socioeconómico porcentaje pobreza extrema comunal región coquimbo"/>
    <x v="1785"/>
    <s v="100-C-4"/>
    <s v="#1774B424"/>
    <s v="990-1802"/>
    <n v="99200004"/>
    <s v="T-1090"/>
    <s v="C-1030"/>
    <s v="FI-993"/>
    <s v="M-1161"/>
  </r>
  <r>
    <x v="1802"/>
    <n v="990"/>
    <x v="0"/>
    <x v="0"/>
    <n v="5"/>
    <x v="98"/>
    <x v="35"/>
    <x v="1"/>
    <x v="5"/>
    <s v="Ninguno"/>
    <s v="Pobreza Extrema"/>
    <s v="Año 2020"/>
    <s v="Porcentaje"/>
    <s v="Encuestas CASEN"/>
    <x v="1787"/>
    <s v="En la región de Valparaíso para el 2020, la comuna de Calle Larga presentó el mayor porcentaje de pobreza extrema con un 9,2%, mientras que La Cruz fue la comuna con menor porcentaje de pobreza extrema con un 0,5%."/>
    <s v="Mapa de calor"/>
    <s v="socioeconómico porcentaje pobreza extrema comunal región valparaíso"/>
    <x v="1786"/>
    <s v="100-C-5"/>
    <s v="#1774B425"/>
    <s v="990-1803"/>
    <n v="99200005"/>
    <s v="T-1090"/>
    <s v="C-1030"/>
    <s v="FI-993"/>
    <s v="M-1161"/>
  </r>
  <r>
    <x v="1803"/>
    <n v="990"/>
    <x v="0"/>
    <x v="0"/>
    <n v="6"/>
    <x v="98"/>
    <x v="35"/>
    <x v="1"/>
    <x v="6"/>
    <s v="Ninguno"/>
    <s v="Pobreza Extrema"/>
    <s v="Año 2020"/>
    <s v="Porcentaje"/>
    <s v="Encuestas CASEN"/>
    <x v="1788"/>
    <s v="En la región de O'Higgins para el 2020, la comuna de Peralillo presentó el mayor porcentaje de pobreza extrema con un 9,9%, mientras que Palmilla fue la comuna con menor porcentaje de pobreza extrema con un 0,8%."/>
    <s v="Mapa de calor"/>
    <s v="socioeconómico porcentaje pobreza extrema comunal región ohiggins"/>
    <x v="1787"/>
    <s v="100-C-6"/>
    <s v="#1774B426"/>
    <s v="990-1804"/>
    <n v="99200006"/>
    <s v="T-1090"/>
    <s v="C-1030"/>
    <s v="FI-993"/>
    <s v="M-1161"/>
  </r>
  <r>
    <x v="1804"/>
    <n v="990"/>
    <x v="0"/>
    <x v="0"/>
    <n v="7"/>
    <x v="98"/>
    <x v="35"/>
    <x v="1"/>
    <x v="7"/>
    <s v="Ninguno"/>
    <s v="Pobreza Extrema"/>
    <s v="Año 2020"/>
    <s v="Porcentaje"/>
    <s v="Encuestas CASEN"/>
    <x v="1789"/>
    <s v="En la región de Maule para el 2020, la comuna de Pelluhue presentó el mayor porcentaje de pobreza extrema con un 16,9%, mientras que Teno fue la comuna con menor porcentaje de pobreza extrema con un 0,5%."/>
    <s v="Mapa de calor"/>
    <s v="socioeconómico porcentaje pobreza extrema comunal región maule"/>
    <x v="1788"/>
    <s v="100-C-7"/>
    <s v="#1774B427"/>
    <s v="990-1805"/>
    <n v="99200007"/>
    <s v="T-1090"/>
    <s v="C-1030"/>
    <s v="FI-993"/>
    <s v="M-1161"/>
  </r>
  <r>
    <x v="1805"/>
    <n v="990"/>
    <x v="0"/>
    <x v="0"/>
    <n v="8"/>
    <x v="98"/>
    <x v="35"/>
    <x v="1"/>
    <x v="8"/>
    <s v="Ninguno"/>
    <s v="Pobreza Extrema"/>
    <s v="Año 2020"/>
    <s v="Porcentaje"/>
    <s v="Encuestas CASEN"/>
    <x v="1790"/>
    <s v="En la región de Biobío para el 2020, la comuna de Cañete presentó el mayor porcentaje de pobreza extrema con un 19,4%, mientras que San Rosendo fue la comuna con menor porcentaje de pobreza extrema con un 0,5%."/>
    <s v="Mapa de calor"/>
    <s v="socioeconómico porcentaje pobreza extrema comunal región biobío"/>
    <x v="1789"/>
    <s v="100-C-8"/>
    <s v="#1774B428"/>
    <s v="990-1806"/>
    <n v="99200008"/>
    <s v="T-1090"/>
    <s v="C-1030"/>
    <s v="FI-993"/>
    <s v="M-1161"/>
  </r>
  <r>
    <x v="1806"/>
    <n v="990"/>
    <x v="0"/>
    <x v="0"/>
    <n v="9"/>
    <x v="98"/>
    <x v="35"/>
    <x v="1"/>
    <x v="9"/>
    <s v="Ninguno"/>
    <s v="Pobreza Extrema"/>
    <s v="Año 2020"/>
    <s v="Porcentaje"/>
    <s v="Encuestas CASEN"/>
    <x v="1791"/>
    <s v="En la región de Araucanía para el 2020, la comuna de Curarrehue presentó el mayor porcentaje de pobreza extrema con un 17,1%, mientras que Lonquimay fue la comuna con menor porcentaje de pobreza extrema con un 0,8%."/>
    <s v="Mapa de calor"/>
    <s v="socioeconómico porcentaje pobreza extrema comunal región araucanía"/>
    <x v="1790"/>
    <s v="100-C-9"/>
    <s v="#1774B429"/>
    <s v="990-1807"/>
    <n v="99200009"/>
    <s v="T-1090"/>
    <s v="C-1030"/>
    <s v="FI-993"/>
    <s v="M-1161"/>
  </r>
  <r>
    <x v="1807"/>
    <n v="990"/>
    <x v="0"/>
    <x v="0"/>
    <n v="10"/>
    <x v="98"/>
    <x v="35"/>
    <x v="1"/>
    <x v="10"/>
    <s v="Ninguno"/>
    <s v="Pobreza Extrema"/>
    <s v="Año 2020"/>
    <s v="Porcentaje"/>
    <s v="Encuestas CASEN"/>
    <x v="1792"/>
    <s v="En la región de Los Lagos para el 2020, la comuna de Curaco de Veléz presentó el mayor porcentaje de pobreza extrema con un 14,1%, mientras que Puerto Varas fue la comuna con menor porcentaje de pobreza extrema con un 1,4%."/>
    <s v="Mapa de calor"/>
    <s v="socioeconómico porcentaje pobreza extrema comunal región los lagos"/>
    <x v="1791"/>
    <s v="100-C-10"/>
    <s v="#1774B430"/>
    <s v="990-1808"/>
    <n v="99200010"/>
    <s v="T-1090"/>
    <s v="C-1030"/>
    <s v="FI-993"/>
    <s v="M-1161"/>
  </r>
  <r>
    <x v="1808"/>
    <n v="990"/>
    <x v="0"/>
    <x v="0"/>
    <n v="11"/>
    <x v="98"/>
    <x v="35"/>
    <x v="1"/>
    <x v="11"/>
    <s v="Ninguno"/>
    <s v="Pobreza Extrema"/>
    <s v="Año 2020"/>
    <s v="Porcentaje"/>
    <s v="Encuestas CASEN"/>
    <x v="1793"/>
    <s v="En la región de Aysén para el 2020, la comuna de Río Ibáñez presentó el mayor porcentaje de pobreza extrema con un 7,4%, mientras que Coyhaique fue la comuna con menor porcentaje de pobreza extrema con un 2,1%."/>
    <s v="Mapa de calor"/>
    <s v="socioeconómico porcentaje pobreza extrema comunal región aysén"/>
    <x v="1792"/>
    <s v="100-C-11"/>
    <s v="#1774B431"/>
    <s v="990-1809"/>
    <n v="99200011"/>
    <s v="T-1090"/>
    <s v="C-1030"/>
    <s v="FI-993"/>
    <s v="M-1161"/>
  </r>
  <r>
    <x v="1809"/>
    <n v="990"/>
    <x v="0"/>
    <x v="0"/>
    <n v="12"/>
    <x v="98"/>
    <x v="35"/>
    <x v="1"/>
    <x v="12"/>
    <s v="Ninguno"/>
    <s v="Pobreza Extrema"/>
    <s v="Año 2020"/>
    <s v="Porcentaje"/>
    <s v="Encuestas CASEN"/>
    <x v="1794"/>
    <s v="En la región de Magallanes para el 2020, la comuna de Porvenir presentó el mayor porcentaje de pobreza extrema con un 5,3%, mientras que Punta Arena fue la comuna con menor porcentaje de pobreza extrema con un 1,6%."/>
    <s v="Mapa de calor"/>
    <s v="socioeconómico porcentaje pobreza extrema comunal región magallanes"/>
    <x v="1793"/>
    <s v="100-C-12"/>
    <s v="#1774B432"/>
    <s v="990-1810"/>
    <n v="99200012"/>
    <s v="T-1090"/>
    <s v="C-1030"/>
    <s v="FI-993"/>
    <s v="M-1161"/>
  </r>
  <r>
    <x v="1810"/>
    <n v="990"/>
    <x v="0"/>
    <x v="0"/>
    <n v="13"/>
    <x v="98"/>
    <x v="35"/>
    <x v="1"/>
    <x v="13"/>
    <s v="Ninguno"/>
    <s v="Pobreza Extrema"/>
    <s v="Año 2020"/>
    <s v="Porcentaje"/>
    <s v="Encuestas CASEN"/>
    <x v="1795"/>
    <s v="En la región Metropolitana para el 2020, la comuna de Lampa presentó el mayor porcentaje de pobreza extrema con un 13,9%, mientras que San José de Maipo fue la comuna con menor porcentaje de pobreza extrema con un 0,2%."/>
    <s v="Mapa de calor"/>
    <s v="socioeconómico porcentaje pobreza extrema comunal región metropolitana"/>
    <x v="1794"/>
    <s v="200-C-13"/>
    <s v="#1774B433"/>
    <s v="990-1811"/>
    <n v="99200013"/>
    <s v="T-1090"/>
    <s v="C-1030"/>
    <s v="FI-993"/>
    <s v="M-1161"/>
  </r>
  <r>
    <x v="1811"/>
    <n v="990"/>
    <x v="0"/>
    <x v="0"/>
    <n v="14"/>
    <x v="98"/>
    <x v="35"/>
    <x v="1"/>
    <x v="14"/>
    <s v="Ninguno"/>
    <s v="Pobreza Extrema"/>
    <s v="Año 2020"/>
    <s v="Porcentaje"/>
    <s v="Encuestas CASEN"/>
    <x v="1796"/>
    <s v="En la región de Los Ríos para el 2020, la comuna de Máfil presentó el mayor porcentaje de pobreza extrema con un 9,4%, mientras que Lago Ranco fue la comuna con menor porcentaje de pobreza extrema con un 1,7%."/>
    <s v="Mapa de calor"/>
    <s v="socioeconómico porcentaje pobreza extrema comunal región los ríos"/>
    <x v="1795"/>
    <s v="100-C-14"/>
    <s v="#1774B434"/>
    <s v="990-1812"/>
    <n v="99200014"/>
    <s v="T-1090"/>
    <s v="C-1030"/>
    <s v="FI-993"/>
    <s v="M-1161"/>
  </r>
  <r>
    <x v="1812"/>
    <n v="990"/>
    <x v="0"/>
    <x v="0"/>
    <n v="15"/>
    <x v="98"/>
    <x v="35"/>
    <x v="1"/>
    <x v="15"/>
    <s v="Ninguno"/>
    <s v="Pobreza Extrema"/>
    <s v="Año 2020"/>
    <s v="Porcentaje"/>
    <s v="Encuestas CASEN"/>
    <x v="1797"/>
    <s v="En la región de Arica y Parinacota para el 2020, la comuna de Putre presentó el mayor porcentaje de pobreza extrema con un 13,0%, mientras que Arica fue la comuna con menor porcentaje de pobreza extrema con un 6,0%."/>
    <s v="Mapa de calor"/>
    <s v="socioeconómico porcentaje pobreza extrema comunal región arica parinacota"/>
    <x v="1796"/>
    <s v="100-C-15"/>
    <s v="#1774B435"/>
    <s v="990-1813"/>
    <n v="99200015"/>
    <s v="T-1090"/>
    <s v="C-1030"/>
    <s v="FI-993"/>
    <s v="M-1161"/>
  </r>
  <r>
    <x v="1813"/>
    <n v="990"/>
    <x v="0"/>
    <x v="0"/>
    <n v="16"/>
    <x v="98"/>
    <x v="35"/>
    <x v="1"/>
    <x v="16"/>
    <s v="Ninguno"/>
    <s v="Pobreza Extrema"/>
    <s v="Año 2020"/>
    <s v="Porcentaje"/>
    <s v="Encuestas CASEN"/>
    <x v="1798"/>
    <s v="En la región de Ñuble para el 2020, la comuna de San Ignacio presentó el mayor porcentaje de pobreza extrema con un 16,0%, mientras que Cobquecura fue la comuna con menor porcentaje de pobreza extrema con un 0,3%."/>
    <s v="Mapa de calor"/>
    <s v="socioeconómico porcentaje pobreza extrema comunal región ñuble"/>
    <x v="1797"/>
    <s v="100-C-16"/>
    <s v="#1774B436"/>
    <s v="990-1814"/>
    <n v="99200016"/>
    <s v="T-1090"/>
    <s v="C-1030"/>
    <s v="FI-993"/>
    <s v="M-1161"/>
  </r>
  <r>
    <x v="1814"/>
    <n v="990"/>
    <x v="0"/>
    <x v="6"/>
    <n v="0"/>
    <x v="99"/>
    <x v="36"/>
    <x v="0"/>
    <x v="0"/>
    <s v="Ninguno"/>
    <s v="Número y porcentaje de variación de ingresos/ egresos de NNA"/>
    <s v="Periodo 2016-2019"/>
    <s v="Número de ingresos/egresos y Porcentaje"/>
    <s v="Servicio Nacional de Menores (SENAME)"/>
    <x v="179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
    <s v="Dashboard"/>
    <s v="protección restitución derechos social evolución ingresos egresos niños niñas adolescentes sename protección menores nacional chile"/>
    <x v="1798"/>
    <n v="0"/>
    <s v="#1774B437"/>
    <s v="990-1815"/>
    <n v="99100000"/>
    <e v="#N/A"/>
    <s v="C-1031"/>
    <s v="FI-993"/>
    <s v="M-1162"/>
  </r>
  <r>
    <x v="1815"/>
    <n v="990"/>
    <x v="0"/>
    <x v="6"/>
    <n v="0"/>
    <x v="99"/>
    <x v="36"/>
    <x v="0"/>
    <x v="0"/>
    <s v="Línea de Atención"/>
    <s v="Número de ingresos/egresos de NNA"/>
    <s v="Año 2019"/>
    <s v="Número de ingresos/egresos"/>
    <s v="Servicio Nacional de Menores (SENAME)"/>
    <x v="1800"/>
    <s v="En Chile, la mayor cantidad de niños, niñas y adolescentes (NNA) ingresados en centros de SENAME en el año 2019 lo hizo por medio de la Línea de Atención Ambulatoria, seguida por la Línea de Atención Oficina Protección de Derechos, con 53.163 y 27.632 NNA respectivamente."/>
    <s v="Dashboard"/>
    <s v="protección restitución derechos social sename protección menores ingresos egresos niños niñas adolescentes línea atención nacional chile"/>
    <x v="1799"/>
    <n v="0"/>
    <s v="#1774B438"/>
    <s v="990-1816"/>
    <n v="99100000"/>
    <e v="#N/A"/>
    <s v="C-1031"/>
    <e v="#N/A"/>
    <s v="M-1163"/>
  </r>
  <r>
    <x v="1816"/>
    <n v="990"/>
    <x v="0"/>
    <x v="6"/>
    <n v="0"/>
    <x v="99"/>
    <x v="36"/>
    <x v="0"/>
    <x v="0"/>
    <s v="Línea de Atención"/>
    <s v="Número de ingresos/egresos de NNA"/>
    <s v="Año 2019"/>
    <s v="Número de ingresos/egresos"/>
    <s v="Servicio Nacional de Menores (SENAME)"/>
    <x v="1801"/>
    <s v="En el año 2019, la mayor cantidad de egresos de niños, niñas y adolescentes (NNA) desde centros de SENAME ocurrió en la región Metropolitana, con 14.942, mientras que el egreso más bajo se dio en la región de Aysén, con 520 NNA."/>
    <s v="Dashboard"/>
    <s v="protección restitución derechos social sename protección menores ingresos egresos niños niñas adolescentes regional chile"/>
    <x v="1800"/>
    <n v="0"/>
    <s v="#1774B439"/>
    <s v="990-1817"/>
    <n v="99100000"/>
    <e v="#N/A"/>
    <s v="C-1031"/>
    <e v="#N/A"/>
    <s v="M-1163"/>
  </r>
  <r>
    <x v="1817"/>
    <n v="990"/>
    <x v="0"/>
    <x v="3"/>
    <n v="0"/>
    <x v="100"/>
    <x v="24"/>
    <x v="0"/>
    <x v="0"/>
    <s v="Región"/>
    <s v="Número de predios no agrícolas habitacionales"/>
    <s v="Periodo 2006-2019"/>
    <s v="Número de predios"/>
    <s v="Sistema Nacional de Información Municipal"/>
    <x v="1802"/>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x v="1801"/>
    <s v="300-C"/>
    <s v="#1774B440"/>
    <s v="990-1818"/>
    <n v="99100000"/>
    <s v="T-1092"/>
    <s v="C-1015"/>
    <s v="FI-992"/>
    <s v="M-1164"/>
  </r>
  <r>
    <x v="1818"/>
    <n v="990"/>
    <x v="0"/>
    <x v="3"/>
    <n v="1"/>
    <x v="100"/>
    <x v="24"/>
    <x v="1"/>
    <x v="1"/>
    <s v="Ninguno"/>
    <s v="Número de predios no agrícolas habitacionales"/>
    <s v="Periodo 2006-2019"/>
    <s v="Número de predios"/>
    <s v="Sistema Nacional de Información Municipal"/>
    <x v="1803"/>
    <s v="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
    <s v="Gráfico de Evolución"/>
    <s v="gobiernos locales catastro predio municipal municipio no agrícola habitacional región tarapacá"/>
    <x v="1802"/>
    <s v="100-C-1"/>
    <s v="#1774B441"/>
    <s v="990-1819"/>
    <n v="99200001"/>
    <s v="T-1092"/>
    <s v="C-1015"/>
    <s v="FI-993"/>
    <s v="M-1164"/>
  </r>
  <r>
    <x v="1819"/>
    <n v="990"/>
    <x v="0"/>
    <x v="3"/>
    <n v="2"/>
    <x v="100"/>
    <x v="24"/>
    <x v="1"/>
    <x v="2"/>
    <s v="Ninguno"/>
    <s v="Número de predios no agrícolas habitacionales"/>
    <s v="Periodo 2006-2019"/>
    <s v="Número de predios"/>
    <s v="Sistema Nacional de Información Municipal"/>
    <x v="1804"/>
    <s v="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
    <s v="Gráfico de Evolución"/>
    <s v="gobiernos locales catastro predio municipal municipio no agrícola habitacional región antofagasta"/>
    <x v="1803"/>
    <s v="100-C-2"/>
    <s v="#1774B442"/>
    <s v="990-1820"/>
    <n v="99200002"/>
    <s v="T-1092"/>
    <s v="C-1015"/>
    <s v="FI-993"/>
    <s v="M-1164"/>
  </r>
  <r>
    <x v="1820"/>
    <n v="990"/>
    <x v="0"/>
    <x v="3"/>
    <n v="3"/>
    <x v="100"/>
    <x v="24"/>
    <x v="1"/>
    <x v="3"/>
    <s v="Ninguno"/>
    <s v="Número de predios no agrícolas habitacionales"/>
    <s v="Periodo 2006-2019"/>
    <s v="Número de predios"/>
    <s v="Sistema Nacional de Información Municipal"/>
    <x v="1805"/>
    <s v="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
    <s v="Gráfico de Evolución"/>
    <s v="gobiernos locales catastro predio municipal municipio no agrícola habitacional región atacama"/>
    <x v="1804"/>
    <s v="100-C-3"/>
    <s v="#1774B443"/>
    <s v="990-1821"/>
    <n v="99200003"/>
    <s v="T-1092"/>
    <s v="C-1015"/>
    <s v="FI-993"/>
    <s v="M-1164"/>
  </r>
  <r>
    <x v="1821"/>
    <n v="990"/>
    <x v="0"/>
    <x v="3"/>
    <n v="4"/>
    <x v="100"/>
    <x v="24"/>
    <x v="1"/>
    <x v="4"/>
    <s v="Ninguno"/>
    <s v="Número de predios no agrícolas habitacionales"/>
    <s v="Periodo 2006-2019"/>
    <s v="Número de predios"/>
    <s v="Sistema Nacional de Información Municipal"/>
    <x v="1806"/>
    <s v="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
    <s v="Gráfico de Evolución"/>
    <s v="gobiernos locales catastro predio municipal municipio no agrícola habitacional región coquimbo"/>
    <x v="1805"/>
    <s v="100-C-4"/>
    <s v="#1774B444"/>
    <s v="990-1822"/>
    <n v="99200004"/>
    <s v="T-1092"/>
    <s v="C-1015"/>
    <s v="FI-993"/>
    <s v="M-1164"/>
  </r>
  <r>
    <x v="1822"/>
    <n v="990"/>
    <x v="0"/>
    <x v="3"/>
    <n v="5"/>
    <x v="100"/>
    <x v="24"/>
    <x v="1"/>
    <x v="5"/>
    <s v="Ninguno"/>
    <s v="Número de predios no agrícolas habitacionales"/>
    <s v="Periodo 2006-2019"/>
    <s v="Número de predios"/>
    <s v="Sistema Nacional de Información Municipal"/>
    <x v="1807"/>
    <s v="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
    <s v="Gráfico de Evolución"/>
    <s v="gobiernos locales catastro predio municipal municipio no agrícola habitacional región valparaíso"/>
    <x v="1806"/>
    <s v="100-C-5"/>
    <s v="#1774B445"/>
    <s v="990-1823"/>
    <n v="99200005"/>
    <s v="T-1092"/>
    <s v="C-1015"/>
    <s v="FI-993"/>
    <s v="M-1164"/>
  </r>
  <r>
    <x v="1823"/>
    <n v="990"/>
    <x v="0"/>
    <x v="3"/>
    <n v="6"/>
    <x v="100"/>
    <x v="24"/>
    <x v="1"/>
    <x v="6"/>
    <s v="Ninguno"/>
    <s v="Número de predios no agrícolas habitacionales"/>
    <s v="Periodo 2006-2019"/>
    <s v="Número de predios"/>
    <s v="Sistema Nacional de Información Municipal"/>
    <x v="1808"/>
    <s v="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
    <s v="Gráfico de Evolución"/>
    <s v="gobiernos locales catastro predio municipal municipio no agrícola habitacional región ohiggins"/>
    <x v="1807"/>
    <s v="100-C-6"/>
    <s v="#1774B446"/>
    <s v="990-1824"/>
    <n v="99200006"/>
    <s v="T-1092"/>
    <s v="C-1015"/>
    <s v="FI-993"/>
    <s v="M-1164"/>
  </r>
  <r>
    <x v="1824"/>
    <n v="990"/>
    <x v="0"/>
    <x v="3"/>
    <n v="7"/>
    <x v="100"/>
    <x v="24"/>
    <x v="1"/>
    <x v="7"/>
    <s v="Ninguno"/>
    <s v="Número de predios no agrícolas habitacionales"/>
    <s v="Periodo 2006-2019"/>
    <s v="Número de predios"/>
    <s v="Sistema Nacional de Información Municipal"/>
    <x v="1809"/>
    <s v="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
    <s v="Gráfico de Evolución"/>
    <s v="gobiernos locales catastro predio municipal municipio no agrícola habitacional región maule"/>
    <x v="1808"/>
    <s v="100-C-7"/>
    <s v="#1774B447"/>
    <s v="990-1825"/>
    <n v="99200007"/>
    <s v="T-1092"/>
    <s v="C-1015"/>
    <s v="FI-993"/>
    <s v="M-1164"/>
  </r>
  <r>
    <x v="1825"/>
    <n v="990"/>
    <x v="0"/>
    <x v="3"/>
    <n v="8"/>
    <x v="100"/>
    <x v="24"/>
    <x v="1"/>
    <x v="8"/>
    <s v="Ninguno"/>
    <s v="Número de predios no agrícolas habitacionales"/>
    <s v="Periodo 2006-2019"/>
    <s v="Número de predios"/>
    <s v="Sistema Nacional de Información Municipal"/>
    <x v="1810"/>
    <s v="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
    <s v="Gráfico de Evolución"/>
    <s v="gobiernos locales catastro predio municipal municipio no agrícola habitacional región biobío"/>
    <x v="1809"/>
    <s v="100-C-8"/>
    <s v="#1774B448"/>
    <s v="990-1826"/>
    <n v="99200008"/>
    <s v="T-1092"/>
    <s v="C-1015"/>
    <s v="FI-993"/>
    <s v="M-1164"/>
  </r>
  <r>
    <x v="1826"/>
    <n v="990"/>
    <x v="0"/>
    <x v="3"/>
    <n v="9"/>
    <x v="100"/>
    <x v="24"/>
    <x v="1"/>
    <x v="9"/>
    <s v="Ninguno"/>
    <s v="Número de predios no agrícolas habitacionales"/>
    <s v="Periodo 2006-2019"/>
    <s v="Número de predios"/>
    <s v="Sistema Nacional de Información Municipal"/>
    <x v="1811"/>
    <s v="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
    <s v="Gráfico de Evolución"/>
    <s v="gobiernos locales catastro predio municipal municipio no agrícola habitacional región araucanía"/>
    <x v="1810"/>
    <s v="100-C-9"/>
    <s v="#1774B449"/>
    <s v="990-1827"/>
    <n v="99200009"/>
    <s v="T-1092"/>
    <s v="C-1015"/>
    <s v="FI-993"/>
    <s v="M-1164"/>
  </r>
  <r>
    <x v="1827"/>
    <n v="990"/>
    <x v="0"/>
    <x v="3"/>
    <n v="10"/>
    <x v="100"/>
    <x v="24"/>
    <x v="1"/>
    <x v="10"/>
    <s v="Ninguno"/>
    <s v="Número de predios no agrícolas habitacionales"/>
    <s v="Periodo 2006-2019"/>
    <s v="Número de predios"/>
    <s v="Sistema Nacional de Información Municipal"/>
    <x v="1812"/>
    <s v="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
    <s v="Gráfico de Evolución"/>
    <s v="gobiernos locales catastro predio municipal municipio no agrícola habitacional región los lagos"/>
    <x v="1811"/>
    <s v="100-C-10"/>
    <s v="#1774B450"/>
    <s v="990-1828"/>
    <n v="99200010"/>
    <s v="T-1092"/>
    <s v="C-1015"/>
    <s v="FI-993"/>
    <s v="M-1164"/>
  </r>
  <r>
    <x v="1828"/>
    <n v="990"/>
    <x v="0"/>
    <x v="3"/>
    <n v="11"/>
    <x v="100"/>
    <x v="24"/>
    <x v="1"/>
    <x v="11"/>
    <s v="Ninguno"/>
    <s v="Número de predios no agrícolas habitacionales"/>
    <s v="Periodo 2006-2019"/>
    <s v="Número de predios"/>
    <s v="Sistema Nacional de Información Municipal"/>
    <x v="1813"/>
    <s v="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
    <s v="Gráfico de Evolución"/>
    <s v="gobiernos locales catastro predio municipal municipio no agrícola habitacional región aysén"/>
    <x v="1812"/>
    <s v="100-C-11"/>
    <s v="#1774B451"/>
    <s v="990-1829"/>
    <n v="99200011"/>
    <s v="T-1092"/>
    <s v="C-1015"/>
    <s v="FI-993"/>
    <s v="M-1164"/>
  </r>
  <r>
    <x v="1829"/>
    <n v="990"/>
    <x v="0"/>
    <x v="3"/>
    <n v="12"/>
    <x v="100"/>
    <x v="24"/>
    <x v="1"/>
    <x v="12"/>
    <s v="Ninguno"/>
    <s v="Número de predios no agrícolas habitacionales"/>
    <s v="Periodo 2006-2019"/>
    <s v="Número de predios"/>
    <s v="Sistema Nacional de Información Municipal"/>
    <x v="1814"/>
    <s v="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
    <s v="Gráfico de Evolución"/>
    <s v="gobiernos locales catastro predio municipal municipio no agrícola habitacional región magallanes"/>
    <x v="1813"/>
    <s v="100-C-12"/>
    <s v="#1774B452"/>
    <s v="990-1830"/>
    <n v="99200012"/>
    <s v="T-1092"/>
    <s v="C-1015"/>
    <s v="FI-993"/>
    <s v="M-1164"/>
  </r>
  <r>
    <x v="1830"/>
    <n v="990"/>
    <x v="0"/>
    <x v="3"/>
    <n v="13"/>
    <x v="100"/>
    <x v="24"/>
    <x v="1"/>
    <x v="13"/>
    <s v="Ninguno"/>
    <s v="Número de predios no agrícolas habitacionales"/>
    <s v="Periodo 2006-2019"/>
    <s v="Número de predios"/>
    <s v="Sistema Nacional de Información Municipal"/>
    <x v="1815"/>
    <s v="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
    <s v="Gráfico de Evolución"/>
    <s v="gobiernos locales catastro predio municipal municipio no agrícola habitacional región metropolitana"/>
    <x v="1814"/>
    <s v="200-C-13"/>
    <s v="#1774B453"/>
    <s v="990-1831"/>
    <n v="99200013"/>
    <s v="T-1092"/>
    <s v="C-1015"/>
    <s v="FI-993"/>
    <s v="M-1164"/>
  </r>
  <r>
    <x v="1831"/>
    <n v="990"/>
    <x v="0"/>
    <x v="3"/>
    <n v="14"/>
    <x v="100"/>
    <x v="24"/>
    <x v="1"/>
    <x v="14"/>
    <s v="Ninguno"/>
    <s v="Número de predios no agrícolas habitacionales"/>
    <s v="Periodo 2006-2019"/>
    <s v="Número de predios"/>
    <s v="Sistema Nacional de Información Municipal"/>
    <x v="1816"/>
    <s v="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
    <s v="Gráfico de Evolución"/>
    <s v="gobiernos locales catastro predio municipal municipio no agrícola habitacional región los ríos"/>
    <x v="1815"/>
    <s v="100-C-14"/>
    <s v="#1774B454"/>
    <s v="990-1832"/>
    <n v="99200014"/>
    <s v="T-1092"/>
    <s v="C-1015"/>
    <s v="FI-993"/>
    <s v="M-1164"/>
  </r>
  <r>
    <x v="1832"/>
    <n v="990"/>
    <x v="0"/>
    <x v="3"/>
    <n v="15"/>
    <x v="100"/>
    <x v="24"/>
    <x v="1"/>
    <x v="15"/>
    <s v="Ninguno"/>
    <s v="Número de predios no agrícolas habitacionales"/>
    <s v="Periodo 2006-2019"/>
    <s v="Número de predios"/>
    <s v="Sistema Nacional de Información Municipal"/>
    <x v="1817"/>
    <s v="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
    <s v="Gráfico de Evolución"/>
    <s v="gobiernos locales catastro predio municipal municipio no agrícola habitacional región arica parinacota"/>
    <x v="1816"/>
    <s v="100-C-15"/>
    <s v="#1774B455"/>
    <s v="990-1833"/>
    <n v="99200015"/>
    <s v="T-1092"/>
    <s v="C-1015"/>
    <s v="FI-993"/>
    <s v="M-1164"/>
  </r>
  <r>
    <x v="1833"/>
    <n v="990"/>
    <x v="0"/>
    <x v="3"/>
    <n v="16"/>
    <x v="100"/>
    <x v="24"/>
    <x v="1"/>
    <x v="16"/>
    <s v="Ninguno"/>
    <s v="Número de predios no agrícolas habitacionales"/>
    <s v="Periodo 2006-2019"/>
    <s v="Número de predios"/>
    <s v="Sistema Nacional de Información Municipal"/>
    <x v="1818"/>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catastro predio municipal municipio no agrícola habitacional región ñuble"/>
    <x v="1817"/>
    <s v="100-C-16"/>
    <s v="#1774B456"/>
    <s v="990-1834"/>
    <n v="99200016"/>
    <s v="T-1092"/>
    <s v="C-1015"/>
    <s v="FI-993"/>
    <s v="M-1164"/>
  </r>
  <r>
    <x v="1834"/>
    <n v="990"/>
    <x v="0"/>
    <x v="3"/>
    <n v="0"/>
    <x v="101"/>
    <x v="24"/>
    <x v="0"/>
    <x v="0"/>
    <s v="Región"/>
    <s v="Número de propiedades municipales"/>
    <s v="Periodo 2010-2019"/>
    <s v="Número de propiedades municipales"/>
    <s v="Sistema Nacional de Información Municipal"/>
    <x v="18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propiedades municipal municipio cantidad comunal chile"/>
    <x v="1818"/>
    <s v="300-C"/>
    <s v="#1774B457"/>
    <s v="990-1835"/>
    <n v="99100000"/>
    <s v="T-1093"/>
    <s v="C-1015"/>
    <s v="FI-992"/>
    <s v="M-1165"/>
  </r>
  <r>
    <x v="1835"/>
    <n v="990"/>
    <x v="0"/>
    <x v="3"/>
    <n v="1"/>
    <x v="101"/>
    <x v="24"/>
    <x v="1"/>
    <x v="1"/>
    <s v="Ninguno"/>
    <s v="Número de propiedades municipales"/>
    <s v="Periodo 2010-2019"/>
    <s v="Número de propiedades municipales"/>
    <s v="Sistema Nacional de Información Municipal"/>
    <x v="1820"/>
    <s v="La cantidad de propiedades municipales en la región de Tarapacá, durante el periodo 2010-2019, en general presenta variaciones a nivel comunal. La mayor cantidad de propiedades a nivel municipal se observa el año 2019 en la municipalidad de Iquique, con 347 propiedades."/>
    <s v="Gráfico de Evolución"/>
    <s v="gobiernos locales propiedades municipal municipio cantidad comunal región tarapacá"/>
    <x v="1819"/>
    <s v="100-C-1"/>
    <s v="#1774B458"/>
    <s v="990-1836"/>
    <n v="99200001"/>
    <s v="T-1093"/>
    <s v="C-1015"/>
    <s v="FI-993"/>
    <s v="M-1165"/>
  </r>
  <r>
    <x v="1836"/>
    <n v="990"/>
    <x v="0"/>
    <x v="3"/>
    <n v="2"/>
    <x v="101"/>
    <x v="24"/>
    <x v="1"/>
    <x v="2"/>
    <s v="Ninguno"/>
    <s v="Número de propiedades municipales"/>
    <s v="Periodo 2010-2019"/>
    <s v="Número de propiedades municipales"/>
    <s v="Sistema Nacional de Información Municipal"/>
    <x v="1821"/>
    <s v="La cantidad de propiedades municipales en la región de Antofagasta, durante el periodo 2010-2019, en general presenta variaciones a nivel comunal. La mayor cantidad de propiedades a nivel municipal se observa el año 2019 en la municipalidad de Antofagasta, con 353 propiedades."/>
    <s v="Gráfico de Evolución"/>
    <s v="gobiernos locales propiedades municipal municipio cantidad comunal región antofagasta"/>
    <x v="1820"/>
    <s v="100-C-2"/>
    <s v="#1774B459"/>
    <s v="990-1837"/>
    <n v="99200002"/>
    <s v="T-1093"/>
    <s v="C-1015"/>
    <s v="FI-993"/>
    <s v="M-1165"/>
  </r>
  <r>
    <x v="1837"/>
    <n v="990"/>
    <x v="0"/>
    <x v="3"/>
    <n v="3"/>
    <x v="101"/>
    <x v="24"/>
    <x v="1"/>
    <x v="3"/>
    <s v="Ninguno"/>
    <s v="Número de propiedades municipales"/>
    <s v="Periodo 2010-2019"/>
    <s v="Número de propiedades municipales"/>
    <s v="Sistema Nacional de Información Municipal"/>
    <x v="1822"/>
    <s v="La cantidad de propiedades municipales en la región de Atacama, durante el periodo 2010-2019, en general se mantiene estable a nivel comunal. La mayor cantidad de propiedades a nivel municipal se observa el año 2015 en la municipalidad de Huasco, con 529 propiedades."/>
    <s v="Gráfico de Evolución"/>
    <s v="gobiernos locales propiedades municipal municipio cantidad comunal región atacama"/>
    <x v="1821"/>
    <s v="100-C-3"/>
    <s v="#1774B460"/>
    <s v="990-1838"/>
    <n v="99200003"/>
    <s v="T-1093"/>
    <s v="C-1015"/>
    <s v="FI-993"/>
    <s v="M-1165"/>
  </r>
  <r>
    <x v="1838"/>
    <n v="990"/>
    <x v="0"/>
    <x v="3"/>
    <n v="4"/>
    <x v="101"/>
    <x v="24"/>
    <x v="1"/>
    <x v="4"/>
    <s v="Ninguno"/>
    <s v="Número de propiedades municipales"/>
    <s v="Periodo 2010-2019"/>
    <s v="Número de propiedades municipales"/>
    <s v="Sistema Nacional de Información Municipal"/>
    <x v="1823"/>
    <s v="La cantidad de propiedades municipales en la región de Coquimbo, durante el periodo 2010-2019, en general se mantiene estable a nivel comunal. La mayor cantidad de propiedades a nivel municipal se observa el año 2012 en la municipalidad de Coquimbo, con 1.523 propiedades."/>
    <s v="Gráfico de Evolución"/>
    <s v="gobiernos locales propiedades municipal municipio cantidad comunal región coquimbo"/>
    <x v="1822"/>
    <s v="100-C-4"/>
    <s v="#1774B461"/>
    <s v="990-1839"/>
    <n v="99200004"/>
    <s v="T-1093"/>
    <s v="C-1015"/>
    <s v="FI-993"/>
    <s v="M-1165"/>
  </r>
  <r>
    <x v="1839"/>
    <n v="990"/>
    <x v="0"/>
    <x v="3"/>
    <n v="5"/>
    <x v="101"/>
    <x v="24"/>
    <x v="1"/>
    <x v="5"/>
    <s v="Ninguno"/>
    <s v="Número de propiedades municipales"/>
    <s v="Periodo 2010-2019"/>
    <s v="Número de propiedades municipales"/>
    <s v="Sistema Nacional de Información Municipal"/>
    <x v="1824"/>
    <s v="La cantidad de propiedades municipales en la región de Valparaíso, durante el periodo 2010-2019, en general se mantiene estable a nivel comunal. La mayor cantidad de propiedades a nivel municipal se observa el año 2010 en la municipalidad de Viña del Mar, con 1.438 propiedades."/>
    <s v="Gráfico de Evolución"/>
    <s v="gobiernos locales propiedades municipal municipio cantidad comunal región valparaíso"/>
    <x v="1823"/>
    <s v="100-C-5"/>
    <s v="#1774B462"/>
    <s v="990-1840"/>
    <n v="99200005"/>
    <s v="T-1093"/>
    <s v="C-1015"/>
    <s v="FI-993"/>
    <s v="M-1165"/>
  </r>
  <r>
    <x v="1840"/>
    <n v="990"/>
    <x v="0"/>
    <x v="3"/>
    <n v="6"/>
    <x v="101"/>
    <x v="24"/>
    <x v="1"/>
    <x v="6"/>
    <s v="Ninguno"/>
    <s v="Número de propiedades municipales"/>
    <s v="Periodo 2010-2019"/>
    <s v="Número de propiedades municipales"/>
    <s v="Sistema Nacional de Información Municipal"/>
    <x v="1825"/>
    <s v="La cantidad de propiedades municipales en la región de O'Higgins, durante el periodo 2010-2019, en general tiene una tendencia al alza a nivel comunal. La mayor cantidad de propiedades a nivel municipal se observa el año 2019 en la municipalidad de Rancagua, con 352 propiedades."/>
    <s v="Gráfico de Evolución"/>
    <s v="gobiernos locales propiedades municipal municipio cantidad comunal región ohiggins"/>
    <x v="1824"/>
    <s v="100-C-6"/>
    <s v="#1774B463"/>
    <s v="990-1841"/>
    <n v="99200006"/>
    <s v="T-1093"/>
    <s v="C-1015"/>
    <s v="FI-993"/>
    <s v="M-1165"/>
  </r>
  <r>
    <x v="1841"/>
    <n v="990"/>
    <x v="0"/>
    <x v="3"/>
    <n v="7"/>
    <x v="101"/>
    <x v="24"/>
    <x v="1"/>
    <x v="7"/>
    <s v="Ninguno"/>
    <s v="Número de propiedades municipales"/>
    <s v="Periodo 2010-2019"/>
    <s v="Número de propiedades municipales"/>
    <s v="Sistema Nacional de Información Municipal"/>
    <x v="1826"/>
    <s v="La cantidad de propiedades municipales en la región de Maule, durante el periodo 2010-2019, en general tiene una tendencia al alza a nivel comunal. La mayor cantidad de propiedades a nivel municipal se observa el año 2019 en la municipalidad de Talca, con 620 propiedades."/>
    <s v="Gráfico de Evolución"/>
    <s v="gobiernos locales propiedades municipal municipio cantidad comunal región maule"/>
    <x v="1825"/>
    <s v="100-C-7"/>
    <s v="#1774B464"/>
    <s v="990-1842"/>
    <n v="99200007"/>
    <s v="T-1093"/>
    <s v="C-1015"/>
    <s v="FI-993"/>
    <s v="M-1165"/>
  </r>
  <r>
    <x v="1842"/>
    <n v="990"/>
    <x v="0"/>
    <x v="3"/>
    <n v="8"/>
    <x v="101"/>
    <x v="24"/>
    <x v="1"/>
    <x v="8"/>
    <s v="Ninguno"/>
    <s v="Número de propiedades municipales"/>
    <s v="Periodo 2010-2019"/>
    <s v="Número de propiedades municipales"/>
    <s v="Sistema Nacional de Información Municipal"/>
    <x v="1827"/>
    <s v="La cantidad de propiedades municipales en la región del Biobío, durante el periodo 2010-2019, en general presenta variaciones a nivel comunal. La mayor cantidad de propiedades a nivel municipal se observa el año 2010 en la municipalidad de Concepción, con 589 propiedades."/>
    <s v="Gráfico de Evolución"/>
    <s v="gobiernos locales propiedades municipal municipio cantidad comunal región biobío"/>
    <x v="1826"/>
    <s v="100-C-8"/>
    <s v="#1774B465"/>
    <s v="990-1843"/>
    <n v="99200008"/>
    <s v="T-1093"/>
    <s v="C-1015"/>
    <s v="FI-993"/>
    <s v="M-1165"/>
  </r>
  <r>
    <x v="1843"/>
    <n v="990"/>
    <x v="0"/>
    <x v="3"/>
    <n v="9"/>
    <x v="101"/>
    <x v="24"/>
    <x v="1"/>
    <x v="9"/>
    <s v="Ninguno"/>
    <s v="Número de propiedades municipales"/>
    <s v="Periodo 2010-2019"/>
    <s v="Número de propiedades municipales"/>
    <s v="Sistema Nacional de Información Municipal"/>
    <x v="1828"/>
    <s v="La cantidad de propiedades municipales en la región de La Araucanía, durante el periodo 2010-2019, en general tiene una tendencia al alza a nivel comunal. La mayor cantidad de propiedades a nivel municipal se observa el año 2013 en la municipalidad de Temuco, con 1.013 propiedades."/>
    <s v="Gráfico de Evolución"/>
    <s v="gobiernos locales propiedades municipal municipio cantidad comunal región araucanía"/>
    <x v="1827"/>
    <s v="100-C-9"/>
    <s v="#1774B466"/>
    <s v="990-1844"/>
    <n v="99200009"/>
    <s v="T-1093"/>
    <s v="C-1015"/>
    <s v="FI-993"/>
    <s v="M-1165"/>
  </r>
  <r>
    <x v="1844"/>
    <n v="990"/>
    <x v="0"/>
    <x v="3"/>
    <n v="10"/>
    <x v="101"/>
    <x v="24"/>
    <x v="1"/>
    <x v="10"/>
    <s v="Ninguno"/>
    <s v="Número de propiedades municipales"/>
    <s v="Periodo 2010-2019"/>
    <s v="Número de propiedades municipales"/>
    <s v="Sistema Nacional de Información Municipal"/>
    <x v="1829"/>
    <s v="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
    <s v="Gráfico de Evolución"/>
    <s v="gobiernos locales propiedades municipal municipio cantidad comunal región los lagos"/>
    <x v="1828"/>
    <s v="100-C-10"/>
    <s v="#1774B467"/>
    <s v="990-1845"/>
    <n v="99200010"/>
    <s v="T-1093"/>
    <s v="C-1015"/>
    <s v="FI-993"/>
    <s v="M-1165"/>
  </r>
  <r>
    <x v="1845"/>
    <n v="990"/>
    <x v="0"/>
    <x v="3"/>
    <n v="11"/>
    <x v="101"/>
    <x v="24"/>
    <x v="1"/>
    <x v="11"/>
    <s v="Ninguno"/>
    <s v="Número de propiedades municipales"/>
    <s v="Periodo 2010-2019"/>
    <s v="Número de propiedades municipales"/>
    <s v="Sistema Nacional de Información Municipal"/>
    <x v="1830"/>
    <s v="La cantidad de propiedades municipales en la región de Aysén, durante el periodo 2010-2019, en general tiene una tendencia al alza a nivel comunal. La mayor cantidad de propiedades a nivel municipal se observa el año 2015 en la municipalidad de Coihaique, con 100 propiedades."/>
    <s v="Gráfico de Evolución"/>
    <s v="gobiernos locales propiedades municipal municipio cantidad comunal región aysén"/>
    <x v="1829"/>
    <s v="100-C-11"/>
    <s v="#1774B468"/>
    <s v="990-1846"/>
    <n v="99200011"/>
    <s v="T-1093"/>
    <s v="C-1015"/>
    <s v="FI-993"/>
    <s v="M-1165"/>
  </r>
  <r>
    <x v="1846"/>
    <n v="990"/>
    <x v="0"/>
    <x v="3"/>
    <n v="12"/>
    <x v="101"/>
    <x v="24"/>
    <x v="1"/>
    <x v="12"/>
    <s v="Ninguno"/>
    <s v="Número de propiedades municipales"/>
    <s v="Periodo 2010-2019"/>
    <s v="Número de propiedades municipales"/>
    <s v="Sistema Nacional de Información Municipal"/>
    <x v="1831"/>
    <s v="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
    <s v="Gráfico de Evolución"/>
    <s v="gobiernos locales propiedades municipal municipio cantidad comunal región magallanes"/>
    <x v="1830"/>
    <s v="100-C-12"/>
    <s v="#1774B469"/>
    <s v="990-1847"/>
    <n v="99200012"/>
    <s v="T-1093"/>
    <s v="C-1015"/>
    <s v="FI-993"/>
    <s v="M-1165"/>
  </r>
  <r>
    <x v="1847"/>
    <n v="990"/>
    <x v="0"/>
    <x v="3"/>
    <n v="13"/>
    <x v="101"/>
    <x v="24"/>
    <x v="1"/>
    <x v="13"/>
    <s v="Ninguno"/>
    <s v="Número de propiedades municipales"/>
    <s v="Periodo 2010-2019"/>
    <s v="Número de propiedades municipales"/>
    <s v="Sistema Nacional de Información Municipal"/>
    <x v="1832"/>
    <s v="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
    <s v="Gráfico de Evolución"/>
    <s v="gobiernos locales propiedades municipal municipio cantidad comunal región metropolitana"/>
    <x v="1831"/>
    <s v="200-C-13"/>
    <s v="#1774B470"/>
    <s v="990-1848"/>
    <n v="99200013"/>
    <s v="T-1093"/>
    <s v="C-1015"/>
    <s v="FI-993"/>
    <s v="M-1165"/>
  </r>
  <r>
    <x v="1848"/>
    <n v="990"/>
    <x v="0"/>
    <x v="3"/>
    <n v="14"/>
    <x v="101"/>
    <x v="24"/>
    <x v="1"/>
    <x v="14"/>
    <s v="Ninguno"/>
    <s v="Número de propiedades municipales"/>
    <s v="Periodo 2010-2019"/>
    <s v="Número de propiedades municipales"/>
    <s v="Sistema Nacional de Información Municipal"/>
    <x v="1833"/>
    <s v="La cantidad de propiedades municipales en la región de Los Ríos, durante el periodo 2010-2019, en general tiene una tendencia al alza a nivel comunal. La mayor cantidad de propiedades a nivel municipal se observa el año 2019 en la municipalidad de Valdivia, con 395 propiedades."/>
    <s v="Gráfico de Evolución"/>
    <s v="gobiernos locales propiedades municipal municipio cantidad comunal región los ríos"/>
    <x v="1832"/>
    <s v="100-C-14"/>
    <s v="#1774B471"/>
    <s v="990-1849"/>
    <n v="99200014"/>
    <s v="T-1093"/>
    <s v="C-1015"/>
    <s v="FI-993"/>
    <s v="M-1165"/>
  </r>
  <r>
    <x v="1849"/>
    <n v="990"/>
    <x v="0"/>
    <x v="3"/>
    <n v="15"/>
    <x v="101"/>
    <x v="24"/>
    <x v="1"/>
    <x v="15"/>
    <s v="Ninguno"/>
    <s v="Número de propiedades municipales"/>
    <s v="Periodo 2010-2019"/>
    <s v="Número de propiedades municipales"/>
    <s v="Sistema Nacional de Información Municipal"/>
    <x v="1834"/>
    <s v="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
    <s v="Gráfico de Evolución"/>
    <s v="gobiernos locales propiedades municipal municipio cantidad comunal región arica parinacota"/>
    <x v="1833"/>
    <s v="100-C-15"/>
    <s v="#1774B472"/>
    <s v="990-1850"/>
    <n v="99200015"/>
    <s v="T-1093"/>
    <s v="C-1015"/>
    <s v="FI-993"/>
    <s v="M-1165"/>
  </r>
  <r>
    <x v="1850"/>
    <n v="990"/>
    <x v="0"/>
    <x v="3"/>
    <n v="16"/>
    <x v="101"/>
    <x v="24"/>
    <x v="1"/>
    <x v="16"/>
    <s v="Ninguno"/>
    <s v="Número de propiedades municipales"/>
    <s v="Periodo 2010-2019"/>
    <s v="Número de propiedades municipales"/>
    <s v="Sistema Nacional de Información Municipal"/>
    <x v="1835"/>
    <s v="La cantidad de propiedades municipales en la región de Ñuble, durante el periodo 2010-2019, en general tiene una tendencia al alza a nivel comunal. La mayor cantidad de propiedades a nivel municipal se observa el año 2019 en la municipalidad de Chillán, con 391 propiedades."/>
    <s v="Gráfico de Evolución"/>
    <s v="gobiernos locales propiedades municipal municipio cantidad comunal región ñuble"/>
    <x v="1834"/>
    <s v="100-C-16"/>
    <s v="#1774B473"/>
    <s v="990-1851"/>
    <n v="99200016"/>
    <s v="T-1093"/>
    <s v="C-1015"/>
    <s v="FI-993"/>
    <s v="M-1165"/>
  </r>
  <r>
    <x v="1851"/>
    <n v="990"/>
    <x v="0"/>
    <x v="4"/>
    <n v="0"/>
    <x v="45"/>
    <x v="15"/>
    <x v="0"/>
    <x v="0"/>
    <s v="Ninguno"/>
    <s v="Número de personas en el programa de salud cardiovascular"/>
    <s v="Periodo 2012-2018"/>
    <s v="Número de personas"/>
    <s v="Departamento de Estadísticas e Información de la Salud (DEIS) - Ministerio de Salud"/>
    <x v="1836"/>
    <s v="La Población en el Programa de Salud Cardiovascular disminuyó considerablemente el año 2015, reduciendo los pacientes en el programa en un 42%. Sin embargo, a partir del año 2016, los casos aumentan nuevamente, registrando el año 2018, más de 5,6 millones de personas en control."/>
    <s v="Gráfico de Evolución"/>
    <s v="cardiovascular corazón hipertensión enfermedad renal dislipidemias infarto salud programa nacional chile"/>
    <x v="1835"/>
    <n v="0"/>
    <s v="#1774B474"/>
    <s v="990-1852"/>
    <n v="99100000"/>
    <s v="T-1015"/>
    <s v="C-1010"/>
    <s v="FI-993"/>
    <s v="M-1166"/>
  </r>
  <r>
    <x v="1852"/>
    <n v="990"/>
    <x v="0"/>
    <x v="4"/>
    <n v="0"/>
    <x v="45"/>
    <x v="15"/>
    <x v="0"/>
    <x v="0"/>
    <s v="Región-Categoría"/>
    <s v="Número de personas en el programa de salud cardiovascular"/>
    <s v="Periodo 2012-2018"/>
    <s v="Número de personas"/>
    <s v="Departamento de Estadísticas e Información de la Salud (DEIS) - Ministerio de Salud"/>
    <x v="1837"/>
    <s v="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
    <s v="Gráfico de Evolución"/>
    <s v="diabetes tabaquismo obesidad cardiovascular corazón hipertensión enfermedad renal dislipidemias infarto salud programa nacional chile"/>
    <x v="1836"/>
    <s v="300-R"/>
    <s v="#1774B475"/>
    <s v="990-1853"/>
    <n v="99100000"/>
    <s v="T-1015"/>
    <s v="C-1010"/>
    <s v="FI-1004"/>
    <s v="M-1166"/>
  </r>
  <r>
    <x v="1853"/>
    <n v="990"/>
    <x v="0"/>
    <x v="4"/>
    <n v="1"/>
    <x v="45"/>
    <x v="15"/>
    <x v="1"/>
    <x v="1"/>
    <s v="Categoría"/>
    <s v="Número de personas en el programa de salud cardiovascular"/>
    <s v="Periodo 2012-2018"/>
    <s v="Número de personas"/>
    <s v="Departamento de Estadísticas e Información de la Salud (DEIS) - Ministerio de Salud"/>
    <x v="1838"/>
    <s v="En la región de Tarapacá,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tarapacá"/>
    <x v="1837"/>
    <s v="100-R-1"/>
    <s v="#1774B476"/>
    <s v="990-1854"/>
    <n v="99200001"/>
    <s v="T-1015"/>
    <s v="C-1010"/>
    <s v="FI-1002"/>
    <s v="M-1166"/>
  </r>
  <r>
    <x v="1854"/>
    <n v="990"/>
    <x v="0"/>
    <x v="4"/>
    <n v="2"/>
    <x v="45"/>
    <x v="15"/>
    <x v="1"/>
    <x v="2"/>
    <s v="Categoría"/>
    <s v="Número de personas en el programa de salud cardiovascular"/>
    <s v="Periodo 2012-2018"/>
    <s v="Número de personas"/>
    <s v="Departamento de Estadísticas e Información de la Salud (DEIS) - Ministerio de Salud"/>
    <x v="1839"/>
    <s v="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ntofagasta"/>
    <x v="1838"/>
    <s v="100-R-2"/>
    <s v="#1774B477"/>
    <s v="990-1855"/>
    <n v="99200002"/>
    <s v="T-1015"/>
    <s v="C-1010"/>
    <s v="FI-1002"/>
    <s v="M-1166"/>
  </r>
  <r>
    <x v="1855"/>
    <n v="990"/>
    <x v="0"/>
    <x v="4"/>
    <n v="3"/>
    <x v="45"/>
    <x v="15"/>
    <x v="1"/>
    <x v="3"/>
    <s v="Categoría"/>
    <s v="Número de personas en el programa de salud cardiovascular"/>
    <s v="Periodo 2012-2018"/>
    <s v="Número de personas"/>
    <s v="Departamento de Estadísticas e Información de la Salud (DEIS) - Ministerio de Salud"/>
    <x v="1840"/>
    <s v="En la región de Atacama,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atacama"/>
    <x v="1839"/>
    <s v="100-R-3"/>
    <s v="#1774B478"/>
    <s v="990-1856"/>
    <n v="99200003"/>
    <s v="T-1015"/>
    <s v="C-1010"/>
    <s v="FI-1002"/>
    <s v="M-1166"/>
  </r>
  <r>
    <x v="1856"/>
    <n v="990"/>
    <x v="0"/>
    <x v="4"/>
    <n v="4"/>
    <x v="45"/>
    <x v="15"/>
    <x v="1"/>
    <x v="4"/>
    <s v="Categoría"/>
    <s v="Número de personas en el programa de salud cardiovascular"/>
    <s v="Periodo 2012-2018"/>
    <s v="Número de personas"/>
    <s v="Departamento de Estadísticas e Información de la Salud (DEIS) - Ministerio de Salud"/>
    <x v="1841"/>
    <s v="En la región de Coquimb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coquimbo"/>
    <x v="1840"/>
    <s v="100-R-4"/>
    <s v="#1774B479"/>
    <s v="990-1857"/>
    <n v="99200004"/>
    <s v="T-1015"/>
    <s v="C-1010"/>
    <s v="FI-1002"/>
    <s v="M-1166"/>
  </r>
  <r>
    <x v="1857"/>
    <n v="990"/>
    <x v="0"/>
    <x v="4"/>
    <n v="5"/>
    <x v="45"/>
    <x v="15"/>
    <x v="1"/>
    <x v="5"/>
    <s v="Categoría"/>
    <s v="Número de personas en el programa de salud cardiovascular"/>
    <s v="Periodo 2012-2018"/>
    <s v="Número de personas"/>
    <s v="Departamento de Estadísticas e Información de la Salud (DEIS) - Ministerio de Salud"/>
    <x v="1842"/>
    <s v="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valparaíso"/>
    <x v="1841"/>
    <s v="100-R-5"/>
    <s v="#1774B480"/>
    <s v="990-1858"/>
    <n v="99200005"/>
    <s v="T-1015"/>
    <s v="C-1010"/>
    <s v="FI-1002"/>
    <s v="M-1166"/>
  </r>
  <r>
    <x v="1858"/>
    <n v="990"/>
    <x v="0"/>
    <x v="4"/>
    <n v="6"/>
    <x v="45"/>
    <x v="15"/>
    <x v="1"/>
    <x v="6"/>
    <s v="Categoría"/>
    <s v="Número de personas en el programa de salud cardiovascular"/>
    <s v="Periodo 2012-2018"/>
    <s v="Número de personas"/>
    <s v="Departamento de Estadísticas e Información de la Salud (DEIS) - Ministerio de Salud"/>
    <x v="1843"/>
    <s v="En la región de O'Higgins,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ohiggins"/>
    <x v="1842"/>
    <s v="100-R-6"/>
    <s v="#1774B481"/>
    <s v="990-1859"/>
    <n v="99200006"/>
    <s v="T-1015"/>
    <s v="C-1010"/>
    <s v="FI-1002"/>
    <s v="M-1166"/>
  </r>
  <r>
    <x v="1859"/>
    <n v="990"/>
    <x v="0"/>
    <x v="4"/>
    <n v="7"/>
    <x v="45"/>
    <x v="15"/>
    <x v="1"/>
    <x v="7"/>
    <s v="Categoría"/>
    <s v="Número de personas en el programa de salud cardiovascular"/>
    <s v="Periodo 2012-2018"/>
    <s v="Número de personas"/>
    <s v="Departamento de Estadísticas e Información de la Salud (DEIS) - Ministerio de Salud"/>
    <x v="1844"/>
    <s v="En la región del Mau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ule"/>
    <x v="1843"/>
    <s v="100-R-7"/>
    <s v="#1774B482"/>
    <s v="990-1860"/>
    <n v="99200007"/>
    <s v="T-1015"/>
    <s v="C-1010"/>
    <s v="FI-1002"/>
    <s v="M-1166"/>
  </r>
  <r>
    <x v="1860"/>
    <n v="990"/>
    <x v="0"/>
    <x v="4"/>
    <n v="8"/>
    <x v="45"/>
    <x v="15"/>
    <x v="1"/>
    <x v="8"/>
    <s v="Categoría"/>
    <s v="Número de personas en el programa de salud cardiovascular"/>
    <s v="Periodo 2012-2018"/>
    <s v="Número de personas"/>
    <s v="Departamento de Estadísticas e Información de la Salud (DEIS) - Ministerio de Salud"/>
    <x v="1845"/>
    <s v="En la región del Biobío,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biobío"/>
    <x v="1844"/>
    <s v="100-R-8"/>
    <s v="#1774B483"/>
    <s v="990-1861"/>
    <n v="99200008"/>
    <s v="T-1015"/>
    <s v="C-1010"/>
    <s v="FI-1002"/>
    <s v="M-1166"/>
  </r>
  <r>
    <x v="1861"/>
    <n v="990"/>
    <x v="0"/>
    <x v="4"/>
    <n v="9"/>
    <x v="45"/>
    <x v="15"/>
    <x v="1"/>
    <x v="9"/>
    <s v="Categoría"/>
    <s v="Número de personas en el programa de salud cardiovascular"/>
    <s v="Periodo 2012-2018"/>
    <s v="Número de personas"/>
    <s v="Departamento de Estadísticas e Información de la Salud (DEIS) - Ministerio de Salud"/>
    <x v="1846"/>
    <s v="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aucanía"/>
    <x v="1845"/>
    <s v="100-R-9"/>
    <s v="#1774B484"/>
    <s v="990-1862"/>
    <n v="99200009"/>
    <s v="T-1015"/>
    <s v="C-1010"/>
    <s v="FI-1002"/>
    <s v="M-1166"/>
  </r>
  <r>
    <x v="1862"/>
    <n v="990"/>
    <x v="0"/>
    <x v="4"/>
    <n v="10"/>
    <x v="45"/>
    <x v="15"/>
    <x v="1"/>
    <x v="10"/>
    <s v="Categoría"/>
    <s v="Número de personas en el programa de salud cardiovascular"/>
    <s v="Periodo 2012-2018"/>
    <s v="Número de personas"/>
    <s v="Departamento de Estadísticas e Información de la Salud (DEIS) - Ministerio de Salud"/>
    <x v="1847"/>
    <s v="En la región de Los Lag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lagos"/>
    <x v="1846"/>
    <s v="100-R-10"/>
    <s v="#1774B485"/>
    <s v="990-1863"/>
    <n v="99200010"/>
    <s v="T-1015"/>
    <s v="C-1010"/>
    <s v="FI-1002"/>
    <s v="M-1166"/>
  </r>
  <r>
    <x v="1863"/>
    <n v="990"/>
    <x v="0"/>
    <x v="4"/>
    <n v="11"/>
    <x v="45"/>
    <x v="15"/>
    <x v="1"/>
    <x v="11"/>
    <s v="Categoría"/>
    <s v="Número de personas en el programa de salud cardiovascular"/>
    <s v="Periodo 2012-2018"/>
    <s v="Número de personas"/>
    <s v="Departamento de Estadísticas e Información de la Salud (DEIS) - Ministerio de Salud"/>
    <x v="1848"/>
    <s v="En la región de Aysén,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ysén"/>
    <x v="1847"/>
    <s v="100-R-11"/>
    <s v="#1774B486"/>
    <s v="990-1864"/>
    <n v="99200011"/>
    <s v="T-1015"/>
    <s v="C-1010"/>
    <s v="FI-1002"/>
    <s v="M-1166"/>
  </r>
  <r>
    <x v="1864"/>
    <n v="990"/>
    <x v="0"/>
    <x v="4"/>
    <n v="12"/>
    <x v="45"/>
    <x v="15"/>
    <x v="1"/>
    <x v="12"/>
    <s v="Categoría"/>
    <s v="Número de personas en el programa de salud cardiovascular"/>
    <s v="Periodo 2012-2018"/>
    <s v="Número de personas"/>
    <s v="Departamento de Estadísticas e Información de la Salud (DEIS) - Ministerio de Salud"/>
    <x v="1849"/>
    <s v="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gallanes"/>
    <x v="1848"/>
    <s v="100-R-12"/>
    <s v="#1774B487"/>
    <s v="990-1865"/>
    <n v="99200012"/>
    <s v="T-1015"/>
    <s v="C-1010"/>
    <s v="FI-1002"/>
    <s v="M-1166"/>
  </r>
  <r>
    <x v="1865"/>
    <n v="990"/>
    <x v="0"/>
    <x v="4"/>
    <n v="13"/>
    <x v="45"/>
    <x v="15"/>
    <x v="1"/>
    <x v="13"/>
    <s v="Categoría"/>
    <s v="Número de personas en el programa de salud cardiovascular"/>
    <s v="Periodo 2012-2018"/>
    <s v="Número de personas"/>
    <s v="Departamento de Estadísticas e Información de la Salud (DEIS) - Ministerio de Salud"/>
    <x v="1850"/>
    <s v="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etropolitana"/>
    <x v="1849"/>
    <s v="200-R-13"/>
    <s v="#1774B488"/>
    <s v="990-1866"/>
    <n v="99200013"/>
    <s v="T-1015"/>
    <s v="C-1010"/>
    <s v="FI-1002"/>
    <s v="M-1166"/>
  </r>
  <r>
    <x v="1866"/>
    <n v="990"/>
    <x v="0"/>
    <x v="4"/>
    <n v="14"/>
    <x v="45"/>
    <x v="15"/>
    <x v="1"/>
    <x v="14"/>
    <s v="Categoría"/>
    <s v="Número de personas en el programa de salud cardiovascular"/>
    <s v="Periodo 2012-2018"/>
    <s v="Número de personas"/>
    <s v="Departamento de Estadísticas e Información de la Salud (DEIS) - Ministerio de Salud"/>
    <x v="1851"/>
    <s v="En la región de Los Rí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ríos"/>
    <x v="1850"/>
    <s v="100-R-14"/>
    <s v="#1774B489"/>
    <s v="990-1867"/>
    <n v="99200014"/>
    <s v="T-1015"/>
    <s v="C-1010"/>
    <s v="FI-1002"/>
    <s v="M-1166"/>
  </r>
  <r>
    <x v="1867"/>
    <n v="990"/>
    <x v="0"/>
    <x v="4"/>
    <n v="15"/>
    <x v="45"/>
    <x v="15"/>
    <x v="1"/>
    <x v="15"/>
    <s v="Categoría"/>
    <s v="Número de personas en el programa de salud cardiovascular"/>
    <s v="Periodo 2012-2018"/>
    <s v="Número de personas"/>
    <s v="Departamento de Estadísticas e Información de la Salud (DEIS) - Ministerio de Salud"/>
    <x v="1852"/>
    <s v="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ica parinacota"/>
    <x v="1851"/>
    <s v="100-R-15"/>
    <s v="#1774B490"/>
    <s v="990-1868"/>
    <n v="99200015"/>
    <s v="T-1015"/>
    <s v="C-1010"/>
    <s v="FI-1002"/>
    <s v="M-1166"/>
  </r>
  <r>
    <x v="1868"/>
    <n v="990"/>
    <x v="0"/>
    <x v="4"/>
    <n v="16"/>
    <x v="45"/>
    <x v="15"/>
    <x v="1"/>
    <x v="16"/>
    <s v="Categoría"/>
    <s v="Número de personas en el programa de salud cardiovascular"/>
    <s v="Periodo 2012-2018"/>
    <s v="Número de personas"/>
    <s v="Departamento de Estadísticas e Información de la Salud (DEIS) - Ministerio de Salud"/>
    <x v="1853"/>
    <s v="En la región de Ñub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ñuble"/>
    <x v="1852"/>
    <s v="100-R-16"/>
    <s v="#1774B491"/>
    <s v="990-1869"/>
    <n v="99200016"/>
    <s v="T-1015"/>
    <s v="C-1010"/>
    <s v="FI-1002"/>
    <s v="M-1166"/>
  </r>
  <r>
    <x v="1869"/>
    <n v="990"/>
    <x v="0"/>
    <x v="4"/>
    <n v="0"/>
    <x v="45"/>
    <x v="15"/>
    <x v="0"/>
    <x v="0"/>
    <s v="Ninguno"/>
    <s v="Número de personas en el programa de salud cardiovascular"/>
    <s v="Periodo 2012-2018"/>
    <s v="Número de personas"/>
    <s v="Departamento de Estadísticas e Información de la Salud (DEIS) - Ministerio de Salud"/>
    <x v="1854"/>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x v="1853"/>
    <s v="300-R"/>
    <s v="#1774B492"/>
    <s v="990-1870"/>
    <n v="99100000"/>
    <s v="T-1015"/>
    <s v="C-1010"/>
    <s v="FI-993"/>
    <s v="M-1166"/>
  </r>
  <r>
    <x v="1870"/>
    <n v="990"/>
    <x v="0"/>
    <x v="4"/>
    <n v="1"/>
    <x v="45"/>
    <x v="15"/>
    <x v="1"/>
    <x v="1"/>
    <s v="Ninguno"/>
    <s v="Número de personas en el programa de salud cardiovascular"/>
    <s v="Periodo 2012-2018"/>
    <s v="Número de personas"/>
    <s v="Departamento de Estadísticas e Información de la Salud (DEIS) - Ministerio de Salud"/>
    <x v="1855"/>
    <s v="En la región de Tarapacá, el año 2014 registra la mayor cantidad de Población en Control del Programa de Salud Cardiovascular (PSCV) con  1110.205 personas."/>
    <s v="Gráfico de Evolución"/>
    <s v="enfermedad cardiovascular corazón población control salud programa región tarapacá"/>
    <x v="1854"/>
    <s v="100-R-1"/>
    <s v="#1774B493"/>
    <s v="990-1871"/>
    <n v="99200001"/>
    <s v="T-1015"/>
    <s v="C-1010"/>
    <s v="FI-993"/>
    <s v="M-1166"/>
  </r>
  <r>
    <x v="1871"/>
    <n v="990"/>
    <x v="0"/>
    <x v="4"/>
    <n v="2"/>
    <x v="45"/>
    <x v="15"/>
    <x v="1"/>
    <x v="2"/>
    <s v="Ninguno"/>
    <s v="Número de personas en el programa de salud cardiovascular"/>
    <s v="Periodo 2012-2018"/>
    <s v="Número de personas"/>
    <s v="Departamento de Estadísticas e Información de la Salud (DEIS) - Ministerio de Salud"/>
    <x v="1856"/>
    <s v="En la región de Antofagasta, el año 2014 registra la mayor cantidad de Población en Control del Programa de Salud Cardiovascular (PSCV) con  141.460 personas."/>
    <s v="Gráfico de Evolución"/>
    <s v="enfermedad cardiovascular corazón población control salud programa región antofagasta"/>
    <x v="1855"/>
    <s v="100-R-2"/>
    <s v="#1774B494"/>
    <s v="990-1872"/>
    <n v="99200002"/>
    <s v="T-1015"/>
    <s v="C-1010"/>
    <s v="FI-993"/>
    <s v="M-1166"/>
  </r>
  <r>
    <x v="1872"/>
    <n v="990"/>
    <x v="0"/>
    <x v="4"/>
    <n v="3"/>
    <x v="45"/>
    <x v="15"/>
    <x v="1"/>
    <x v="3"/>
    <s v="Ninguno"/>
    <s v="Número de personas en el programa de salud cardiovascular"/>
    <s v="Periodo 2012-2018"/>
    <s v="Número de personas"/>
    <s v="Departamento de Estadísticas e Información de la Salud (DEIS) - Ministerio de Salud"/>
    <x v="1857"/>
    <s v="En la región de Atacama, el año 2014 registra la mayor cantidad de Población en Control del Programa de Salud Cardiovascular (PSCV) con  89.399personas."/>
    <s v="Gráfico de Evolución"/>
    <s v="enfermedad cardiovascular corazón población control salud programa región atacama"/>
    <x v="1856"/>
    <s v="100-R-3"/>
    <s v="#1774B495"/>
    <s v="990-1873"/>
    <n v="99200003"/>
    <s v="T-1015"/>
    <s v="C-1010"/>
    <s v="FI-993"/>
    <s v="M-1166"/>
  </r>
  <r>
    <x v="1873"/>
    <n v="990"/>
    <x v="0"/>
    <x v="4"/>
    <n v="4"/>
    <x v="45"/>
    <x v="15"/>
    <x v="1"/>
    <x v="4"/>
    <s v="Ninguno"/>
    <s v="Número de personas en el programa de salud cardiovascular"/>
    <s v="Periodo 2012-2018"/>
    <s v="Número de personas"/>
    <s v="Departamento de Estadísticas e Información de la Salud (DEIS) - Ministerio de Salud"/>
    <x v="1858"/>
    <s v="En la región de Coquimbo, el año 2014 registra la mayor cantidad de Población en Control del Programa de Salud Cardiovascular (PSCV) con  284.450 personas."/>
    <s v="Gráfico de Evolución"/>
    <s v="enfermedad cardiovascular corazón población control salud programa región coquimbo"/>
    <x v="1857"/>
    <s v="100-R-4"/>
    <s v="#1774B496"/>
    <s v="990-1874"/>
    <n v="99200004"/>
    <s v="T-1015"/>
    <s v="C-1010"/>
    <s v="FI-993"/>
    <s v="M-1166"/>
  </r>
  <r>
    <x v="1874"/>
    <n v="990"/>
    <x v="0"/>
    <x v="4"/>
    <n v="5"/>
    <x v="45"/>
    <x v="15"/>
    <x v="1"/>
    <x v="5"/>
    <s v="Ninguno"/>
    <s v="Número de personas en el programa de salud cardiovascular"/>
    <s v="Periodo 2012-2018"/>
    <s v="Número de personas"/>
    <s v="Departamento de Estadísticas e Información de la Salud (DEIS) - Ministerio de Salud"/>
    <x v="1859"/>
    <s v="En la región de Valparaíso, el año 2014 registra la mayor cantidad de Población en Control del Programa de Salud Cardiovascular (PSCV) con  841.465 personas."/>
    <s v="Gráfico de Evolución"/>
    <s v="enfermedad cardiovascular corazón población control salud programa región valparaíso"/>
    <x v="1858"/>
    <s v="100-R-5"/>
    <s v="#1774B497"/>
    <s v="990-1875"/>
    <n v="99200005"/>
    <s v="T-1015"/>
    <s v="C-1010"/>
    <s v="FI-993"/>
    <s v="M-1166"/>
  </r>
  <r>
    <x v="1875"/>
    <n v="990"/>
    <x v="0"/>
    <x v="4"/>
    <n v="6"/>
    <x v="45"/>
    <x v="15"/>
    <x v="1"/>
    <x v="6"/>
    <s v="Ninguno"/>
    <s v="Número de personas en el programa de salud cardiovascular"/>
    <s v="Periodo 2012-2018"/>
    <s v="Número de personas"/>
    <s v="Departamento de Estadísticas e Información de la Salud (DEIS) - Ministerio de Salud"/>
    <x v="1860"/>
    <s v="En la región de O'Higgins, el año 2014 registra la mayor cantidad de Población en Control del Programa de Salud Cardiovascular (PSCV) con  397.050 personas."/>
    <s v="Gráfico de Evolución"/>
    <s v="enfermedad cardiovascular corazón población control salud programa región ohiggins"/>
    <x v="1859"/>
    <s v="100-R-6"/>
    <s v="#1774B498"/>
    <s v="990-1876"/>
    <n v="99200006"/>
    <s v="T-1015"/>
    <s v="C-1010"/>
    <s v="FI-993"/>
    <s v="M-1166"/>
  </r>
  <r>
    <x v="1876"/>
    <n v="990"/>
    <x v="0"/>
    <x v="4"/>
    <n v="7"/>
    <x v="45"/>
    <x v="15"/>
    <x v="1"/>
    <x v="7"/>
    <s v="Ninguno"/>
    <s v="Número de personas en el programa de salud cardiovascular"/>
    <s v="Periodo 2012-2018"/>
    <s v="Número de personas"/>
    <s v="Departamento de Estadísticas e Información de la Salud (DEIS) - Ministerio de Salud"/>
    <x v="1861"/>
    <s v="En la región de Maule, el año 2014 registra la mayor cantidad de Población en Control del Programa de Salud Cardiovascular (PSCV) con  559.861 personas."/>
    <s v="Gráfico de Evolución"/>
    <s v="enfermedad cardiovascular corazón población control salud programa región maule"/>
    <x v="1860"/>
    <s v="100-R-7"/>
    <s v="#1774B499"/>
    <s v="990-1877"/>
    <n v="99200007"/>
    <s v="T-1015"/>
    <s v="C-1010"/>
    <s v="FI-993"/>
    <s v="M-1166"/>
  </r>
  <r>
    <x v="1877"/>
    <n v="990"/>
    <x v="0"/>
    <x v="4"/>
    <n v="8"/>
    <x v="45"/>
    <x v="15"/>
    <x v="1"/>
    <x v="8"/>
    <s v="Ninguno"/>
    <s v="Número de personas en el programa de salud cardiovascular"/>
    <s v="Periodo 2012-2018"/>
    <s v="Número de personas"/>
    <s v="Departamento de Estadísticas e Información de la Salud (DEIS) - Ministerio de Salud"/>
    <x v="1862"/>
    <s v="En la región del Biobío, el año 2014 registra la mayor cantidad de Población en Control del Programa de Salud Cardiovascular (PSCV) con  844.819 personas."/>
    <s v="Gráfico de Evolución"/>
    <s v="enfermedad cardiovascular corazón población control salud programa región biobío"/>
    <x v="1861"/>
    <s v="100-R-8"/>
    <s v="#1774B500"/>
    <s v="990-1878"/>
    <n v="99200008"/>
    <s v="T-1015"/>
    <s v="C-1010"/>
    <s v="FI-993"/>
    <s v="M-1166"/>
  </r>
  <r>
    <x v="1878"/>
    <n v="990"/>
    <x v="0"/>
    <x v="4"/>
    <n v="9"/>
    <x v="45"/>
    <x v="15"/>
    <x v="1"/>
    <x v="9"/>
    <s v="Ninguno"/>
    <s v="Número de personas en el programa de salud cardiovascular"/>
    <s v="Periodo 2012-2018"/>
    <s v="Número de personas"/>
    <s v="Departamento de Estadísticas e Información de la Salud (DEIS) - Ministerio de Salud"/>
    <x v="1863"/>
    <s v="En la región de La Araucanía, el año 2014 resgitra la mayor cantidad de Población en Control del Programa de Salud Cardiovascular (PSCV) con  505.505 personas."/>
    <s v="Gráfico de Evolución"/>
    <s v="enfermedad cardiovascular corazón población control salud programa región araucanía"/>
    <x v="1862"/>
    <s v="100-R-9"/>
    <s v="#1774B501"/>
    <s v="990-1879"/>
    <n v="99200009"/>
    <s v="T-1015"/>
    <s v="C-1010"/>
    <s v="FI-993"/>
    <s v="M-1166"/>
  </r>
  <r>
    <x v="1879"/>
    <n v="990"/>
    <x v="0"/>
    <x v="4"/>
    <n v="10"/>
    <x v="45"/>
    <x v="15"/>
    <x v="1"/>
    <x v="10"/>
    <s v="Ninguno"/>
    <s v="Número de personas en el programa de salud cardiovascular"/>
    <s v="Periodo 2012-2018"/>
    <s v="Número de personas"/>
    <s v="Departamento de Estadísticas e Información de la Salud (DEIS) - Ministerio de Salud"/>
    <x v="1864"/>
    <s v="En la región de Los Lagos, el año 2014 registra la mayor cantidad de Población en Control del Programa de Salud Cardiovascular (PSCV) con  480.688 personas."/>
    <s v="Gráfico de Evolución"/>
    <s v="enfermedad cardiovascular corazón población control salud programa región los lagos"/>
    <x v="1863"/>
    <s v="100-R-10"/>
    <s v="#1774B502"/>
    <s v="990-1880"/>
    <n v="99200010"/>
    <s v="T-1015"/>
    <s v="C-1010"/>
    <s v="FI-993"/>
    <s v="M-1166"/>
  </r>
  <r>
    <x v="1880"/>
    <n v="990"/>
    <x v="0"/>
    <x v="4"/>
    <n v="11"/>
    <x v="45"/>
    <x v="15"/>
    <x v="1"/>
    <x v="11"/>
    <s v="Ninguno"/>
    <s v="Número de personas en el programa de salud cardiovascular"/>
    <s v="Periodo 2012-2018"/>
    <s v="Número de personas"/>
    <s v="Departamento de Estadísticas e Información de la Salud (DEIS) - Ministerio de Salud"/>
    <x v="1865"/>
    <s v="En la región de Aysén, el año 2014 registra la mayor cantidad de Población en Control del Programa de Salud Cardiovascular (PSCV) con  34.595 personas."/>
    <s v="Gráfico de Evolución"/>
    <s v="enfermedad cardiovascular corazón población control salud programa región aysén"/>
    <x v="1864"/>
    <s v="100-R-11"/>
    <s v="#1774B503"/>
    <s v="990-1881"/>
    <n v="99200011"/>
    <s v="T-1015"/>
    <s v="C-1010"/>
    <s v="FI-993"/>
    <s v="M-1166"/>
  </r>
  <r>
    <x v="1881"/>
    <n v="990"/>
    <x v="0"/>
    <x v="4"/>
    <n v="12"/>
    <x v="45"/>
    <x v="15"/>
    <x v="1"/>
    <x v="12"/>
    <s v="Ninguno"/>
    <s v="Número de personas en el programa de salud cardiovascular"/>
    <s v="Periodo 2012-2018"/>
    <s v="Número de personas"/>
    <s v="Departamento de Estadísticas e Información de la Salud (DEIS) - Ministerio de Salud"/>
    <x v="1866"/>
    <s v="En la región de Magallanes, el año 2014 registra la mayor cantidad de la Población en Control del Programa de Salud Cardiovascular (PSCV) con  72.859 personas."/>
    <s v="Gráfico de Evolución"/>
    <s v="enfermedad cardiovascular corazón población control salud programa región magallanes"/>
    <x v="1865"/>
    <s v="100-R-12"/>
    <s v="#1774B504"/>
    <s v="990-1882"/>
    <n v="99200012"/>
    <s v="T-1015"/>
    <s v="C-1010"/>
    <s v="FI-993"/>
    <s v="M-1166"/>
  </r>
  <r>
    <x v="1882"/>
    <n v="990"/>
    <x v="0"/>
    <x v="4"/>
    <n v="13"/>
    <x v="45"/>
    <x v="15"/>
    <x v="1"/>
    <x v="13"/>
    <s v="Ninguno"/>
    <s v="Número de personas en el programa de salud cardiovascular"/>
    <s v="Periodo 2012-2018"/>
    <s v="Número de personas"/>
    <s v="Departamento de Estadísticas e Información de la Salud (DEIS) - Ministerio de Salud"/>
    <x v="1867"/>
    <s v="En la región Metropolitana, el año 2014 registra la mayor cantidad de Población en Control del Programa de Salud Cardiovascular (PSCV) con  3.377.765 personas."/>
    <s v="Gráfico de Evolución"/>
    <s v="enfermedad cardiovascular corazón población control salud programa región metropolitana"/>
    <x v="1866"/>
    <s v="200-R-13"/>
    <s v="#1774B505"/>
    <s v="990-1883"/>
    <n v="99200013"/>
    <s v="T-1015"/>
    <s v="C-1010"/>
    <s v="FI-993"/>
    <s v="M-1166"/>
  </r>
  <r>
    <x v="1883"/>
    <n v="990"/>
    <x v="0"/>
    <x v="4"/>
    <n v="14"/>
    <x v="45"/>
    <x v="15"/>
    <x v="1"/>
    <x v="14"/>
    <s v="Ninguno"/>
    <s v="Número de personas en el programa de salud cardiovascular"/>
    <s v="Periodo 2012-2018"/>
    <s v="Número de personas"/>
    <s v="Departamento de Estadísticas e Información de la Salud (DEIS) - Ministerio de Salud"/>
    <x v="1868"/>
    <s v="En la región de Los Ríos, el año 2014 registra la mayor cantidad de Población en Control del Programa de Salud Cardiovascular (PSCV) con  207.542 personas."/>
    <s v="Gráfico de Evolución"/>
    <s v="enfermedad cardiovascular corazón población control salud programa región los ríos"/>
    <x v="1867"/>
    <s v="100-R-14"/>
    <s v="#1774B506"/>
    <s v="990-1884"/>
    <n v="99200014"/>
    <s v="T-1015"/>
    <s v="C-1010"/>
    <s v="FI-993"/>
    <s v="M-1166"/>
  </r>
  <r>
    <x v="1884"/>
    <n v="990"/>
    <x v="0"/>
    <x v="4"/>
    <n v="15"/>
    <x v="45"/>
    <x v="15"/>
    <x v="1"/>
    <x v="15"/>
    <s v="Ninguno"/>
    <s v="Número de personas en el programa de salud cardiovascular"/>
    <s v="Periodo 2012-2018"/>
    <s v="Número de personas"/>
    <s v="Departamento de Estadísticas e Información de la Salud (DEIS) - Ministerio de Salud"/>
    <x v="1869"/>
    <s v="En la región de Arica y Parinacota, el año 2014 registra la mayor cantidad de Población en Control del Programa de Salud Cardiovascular (PSCV) con 67.760 personas."/>
    <s v="Gráfico de Evolución"/>
    <s v="enfermedad cardiovascular corazón población control salud programa región arica parinacota"/>
    <x v="1868"/>
    <s v="100-R-15"/>
    <s v="#1774B507"/>
    <s v="990-1885"/>
    <n v="99200015"/>
    <s v="T-1015"/>
    <s v="C-1010"/>
    <s v="FI-993"/>
    <s v="M-1166"/>
  </r>
  <r>
    <x v="1885"/>
    <n v="990"/>
    <x v="0"/>
    <x v="4"/>
    <n v="16"/>
    <x v="45"/>
    <x v="15"/>
    <x v="1"/>
    <x v="16"/>
    <s v="Ninguno"/>
    <s v="Número de personas en el programa de salud cardiovascular"/>
    <s v="Periodo 2012-2018"/>
    <s v="Número de personas"/>
    <s v="Departamento de Estadísticas e Información de la Salud (DEIS) - Ministerio de Salud"/>
    <x v="1870"/>
    <s v="En la región de Ñuble, el año 2014 registra la mayor cantidad de la Población en Control del Programa de Salud Cardiovascular (PSCV) con 325.833 personas."/>
    <s v="Gráfico de Evolución"/>
    <s v="enfermedad cardiovascular corazón población control salud programa región ñuble"/>
    <x v="1869"/>
    <s v="100-R-16"/>
    <s v="#1774B508"/>
    <s v="990-1886"/>
    <n v="99200016"/>
    <s v="T-1015"/>
    <s v="C-1010"/>
    <s v="FI-993"/>
    <s v="M-1166"/>
  </r>
  <r>
    <x v="1886"/>
    <n v="990"/>
    <x v="0"/>
    <x v="4"/>
    <n v="0"/>
    <x v="45"/>
    <x v="15"/>
    <x v="0"/>
    <x v="0"/>
    <s v="Región-Servicio de Salud"/>
    <s v="Número de personas en el programa de salud cardiovascular"/>
    <s v="Periodo 2012-2018"/>
    <s v="Número de personas"/>
    <s v="Departamento de Estadísticas e Información de la Salud (DEIS) - Ministerio de Salud"/>
    <x v="1871"/>
    <s v="Considerando el periodo 2012-2018, las comunas de Puente Alto y La Florida registraron la mayor Población en el Programa de Salud Cardiovascular, superando el millón de personas, seguidos por la comuna Valparaíso que alcanzó 800 mil personas ."/>
    <s v="Gráfico de Evolución"/>
    <s v="enfermedad cardiovascular corazón población control salud programa comunal chile"/>
    <x v="1870"/>
    <s v="300-C"/>
    <s v="#1774B509"/>
    <s v="990-1887"/>
    <n v="99100000"/>
    <s v="T-1015"/>
    <s v="C-1010"/>
    <s v="FI-1009"/>
    <s v="M-1166"/>
  </r>
  <r>
    <x v="1887"/>
    <n v="990"/>
    <x v="0"/>
    <x v="4"/>
    <n v="1"/>
    <x v="45"/>
    <x v="15"/>
    <x v="1"/>
    <x v="1"/>
    <s v="Servicio de Salud"/>
    <s v="Número de personas en el programa de salud cardiovascular"/>
    <s v="Periodo 2012-2018"/>
    <s v="Número de personas"/>
    <s v="Departamento de Estadísticas e Información de la Salud (DEIS) - Ministerio de Salud"/>
    <x v="1872"/>
    <s v="En la región de Tarapacá, el año 2018, la comuna de Iquique, registró la mayor cantidad de personas en el Programa de Salud Cardiovascular, con 59.583, seguida por la comuna de Alto Hospicio con 19.027 personas."/>
    <s v="Gráfico de Evolución"/>
    <s v="enfermedad cardiovascular corazón población control salud programa comunal región tarapacá"/>
    <x v="1871"/>
    <s v="100-C-1"/>
    <s v="#1774B510"/>
    <s v="990-1888"/>
    <n v="99200001"/>
    <s v="T-1015"/>
    <s v="C-1010"/>
    <s v="FI-1003"/>
    <s v="M-1166"/>
  </r>
  <r>
    <x v="1888"/>
    <n v="990"/>
    <x v="0"/>
    <x v="4"/>
    <n v="2"/>
    <x v="45"/>
    <x v="15"/>
    <x v="1"/>
    <x v="2"/>
    <s v="Servicio de Salud"/>
    <s v="Número de personas en el programa de salud cardiovascular"/>
    <s v="Periodo 2012-2018"/>
    <s v="Número de personas"/>
    <s v="Departamento de Estadísticas e Información de la Salud (DEIS) - Ministerio de Salud"/>
    <x v="1873"/>
    <s v="En la región de Antofagasta, el año 2018, la comuna de Antofagasta, registró la mayor cantidad de personas en el Programa de Salud Cardiovascular, con 65.749, seguida por la comuna de Calama con 28.244 personas."/>
    <s v="Gráfico de Evolución"/>
    <s v="enfermedad cardiovascular corazón población control salud programa comunal región antofagasta"/>
    <x v="1872"/>
    <s v="100-C-2"/>
    <s v="#1774B511"/>
    <s v="990-1889"/>
    <n v="99200002"/>
    <s v="T-1015"/>
    <s v="C-1010"/>
    <s v="FI-1003"/>
    <s v="M-1166"/>
  </r>
  <r>
    <x v="1889"/>
    <n v="990"/>
    <x v="0"/>
    <x v="4"/>
    <n v="3"/>
    <x v="45"/>
    <x v="15"/>
    <x v="1"/>
    <x v="3"/>
    <s v="Servicio de Salud"/>
    <s v="Número de personas en el programa de salud cardiovascular"/>
    <s v="Periodo 2012-2018"/>
    <s v="Número de personas"/>
    <s v="Departamento de Estadísticas e Información de la Salud (DEIS) - Ministerio de Salud"/>
    <x v="1874"/>
    <s v="En la región de Atacama, el año 2018, la comuna de Copiapó, registró la mayor cantidad de personas en el Programa de Salud Cardiovascular, con 34.827, seguida por la comuna de Vallenar con 17.136 personas."/>
    <s v="Gráfico de Evolución"/>
    <s v="enfermedad cardiovascular corazón población control salud programa comunal región atacama"/>
    <x v="1873"/>
    <s v="100-C-3"/>
    <s v="#1774B512"/>
    <s v="990-1890"/>
    <n v="99200003"/>
    <s v="T-1015"/>
    <s v="C-1010"/>
    <s v="FI-1003"/>
    <s v="M-1166"/>
  </r>
  <r>
    <x v="1890"/>
    <n v="990"/>
    <x v="0"/>
    <x v="4"/>
    <n v="4"/>
    <x v="45"/>
    <x v="15"/>
    <x v="1"/>
    <x v="4"/>
    <s v="Servicio de Salud"/>
    <s v="Número de personas en el programa de salud cardiovascular"/>
    <s v="Periodo 2012-2018"/>
    <s v="Número de personas"/>
    <s v="Departamento de Estadísticas e Información de la Salud (DEIS) - Ministerio de Salud"/>
    <x v="1875"/>
    <s v="En la región de Coquimbo, el año 2018, la comuna de Coquimbo, registró la mayor cantidad de personas en el Programa de Salud Cardiovascular, con 49.567, seguida por la comuna de La Serena con 46.052 personas."/>
    <s v="Gráfico de Evolución"/>
    <s v="enfermedad cardiovascular corazón población control salud programa comunal región coquimbo"/>
    <x v="1874"/>
    <s v="100-C-4"/>
    <s v="#1774B513"/>
    <s v="990-1891"/>
    <n v="99200004"/>
    <s v="T-1015"/>
    <s v="C-1010"/>
    <s v="FI-1003"/>
    <s v="M-1166"/>
  </r>
  <r>
    <x v="1891"/>
    <n v="990"/>
    <x v="0"/>
    <x v="4"/>
    <n v="5"/>
    <x v="45"/>
    <x v="15"/>
    <x v="1"/>
    <x v="5"/>
    <s v="Servicio de Salud"/>
    <s v="Número de personas en el programa de salud cardiovascular"/>
    <s v="Periodo 2012-2018"/>
    <s v="Número de personas"/>
    <s v="Departamento de Estadísticas e Información de la Salud (DEIS) - Ministerio de Salud"/>
    <x v="1876"/>
    <s v="En la región de Valparaíso, el año 2018, la comuna de Valparaíso, registró la mayor cantidad de personas en el Programa de Salud Cardiovascular, con 98.804, seguida por la comuna de Viña del Mar con 81.612 personas."/>
    <s v="Gráfico de Evolución"/>
    <s v="enfermedad cardiovascular corazón población control salud programa comunal región valparaíso"/>
    <x v="1875"/>
    <s v="100-C-5"/>
    <s v="#1774B514"/>
    <s v="990-1892"/>
    <n v="99200005"/>
    <s v="T-1015"/>
    <s v="C-1010"/>
    <s v="FI-1003"/>
    <s v="M-1166"/>
  </r>
  <r>
    <x v="1892"/>
    <n v="990"/>
    <x v="0"/>
    <x v="4"/>
    <n v="6"/>
    <x v="45"/>
    <x v="15"/>
    <x v="1"/>
    <x v="6"/>
    <s v="Servicio de Salud"/>
    <s v="Número de personas en el programa de salud cardiovascular"/>
    <s v="Periodo 2012-2018"/>
    <s v="Número de personas"/>
    <s v="Departamento de Estadísticas e Información de la Salud (DEIS) - Ministerio de Salud"/>
    <x v="1877"/>
    <s v="En la región de O'Higgins, el año 2018, la comuna de Rancagua, registró la mayor cantidad de personas en el Programa de Salud Cardiovascular, con 56.860, seguida por la comuna de Rengo con 21.638 personas."/>
    <s v="Gráfico de Evolución"/>
    <s v="enfermedad cardiovascular corazón población control salud programa comunal región ohiggins"/>
    <x v="1876"/>
    <s v="100-C-6"/>
    <s v="#1774B515"/>
    <s v="990-1893"/>
    <n v="99200006"/>
    <s v="T-1015"/>
    <s v="C-1010"/>
    <s v="FI-1003"/>
    <s v="M-1166"/>
  </r>
  <r>
    <x v="1893"/>
    <n v="990"/>
    <x v="0"/>
    <x v="4"/>
    <n v="7"/>
    <x v="45"/>
    <x v="15"/>
    <x v="1"/>
    <x v="7"/>
    <s v="Servicio de Salud"/>
    <s v="Número de personas en el programa de salud cardiovascular"/>
    <s v="Periodo 2012-2018"/>
    <s v="Número de personas"/>
    <s v="Departamento de Estadísticas e Información de la Salud (DEIS) - Ministerio de Salud"/>
    <x v="1878"/>
    <s v="En la región del Maule, el año 2018, la comuna de Talca, registró la mayor cantidad de personas en el Programa de Salud Cardiovascular, con 59.907, seguida por la comuna de Curicó con 84.043 personas."/>
    <s v="Gráfico de Evolución"/>
    <s v="enfermedad cardiovascular corazón población control salud programa comunal región maule"/>
    <x v="1877"/>
    <s v="100-C-7"/>
    <s v="#1774B516"/>
    <s v="990-1894"/>
    <n v="99200007"/>
    <s v="T-1015"/>
    <s v="C-1010"/>
    <s v="FI-1003"/>
    <s v="M-1166"/>
  </r>
  <r>
    <x v="1894"/>
    <n v="990"/>
    <x v="0"/>
    <x v="4"/>
    <n v="8"/>
    <x v="45"/>
    <x v="15"/>
    <x v="1"/>
    <x v="8"/>
    <s v="Servicio de Salud"/>
    <s v="Número de personas en el programa de salud cardiovascular"/>
    <s v="Periodo 2012-2018"/>
    <s v="Número de personas"/>
    <s v="Departamento de Estadísticas e Información de la Salud (DEIS) - Ministerio de Salud"/>
    <x v="1879"/>
    <s v="En la región del Biobío, el año 2018, la comuna de Los Ángeles, registró la mayor cantidad de personas en el Programa de Salud Cardiovascular, con 77.691, seguida por la comuna de Concepción con 75.792 personas."/>
    <s v="Gráfico de Evolución"/>
    <s v="enfermedad cardiovascular corazón población control salud programa comunal región biobío"/>
    <x v="1878"/>
    <s v="100-C-8"/>
    <s v="#1774B517"/>
    <s v="990-1895"/>
    <n v="99200008"/>
    <s v="T-1015"/>
    <s v="C-1010"/>
    <s v="FI-1003"/>
    <s v="M-1166"/>
  </r>
  <r>
    <x v="1895"/>
    <n v="990"/>
    <x v="0"/>
    <x v="4"/>
    <n v="9"/>
    <x v="45"/>
    <x v="15"/>
    <x v="1"/>
    <x v="9"/>
    <s v="Servicio de Salud"/>
    <s v="Número de personas en el programa de salud cardiovascular"/>
    <s v="Periodo 2012-2018"/>
    <s v="Número de personas"/>
    <s v="Departamento de Estadísticas e Información de la Salud (DEIS) - Ministerio de Salud"/>
    <x v="1880"/>
    <s v="En la región de La Araucanía, el año 2018, la comuna de Temuco, registró la mayor cantidad de personas en el Programa de Salud Cardiovascular, con 88.843, seguida por la comuna de Padre de las Casas con 31.508 personas."/>
    <s v="Gráfico de Evolución"/>
    <s v="enfermedad cardiovascular corazón población control salud programa comunal región araucanía"/>
    <x v="1879"/>
    <s v="100-C-9"/>
    <s v="#1774B518"/>
    <s v="990-1896"/>
    <n v="99200009"/>
    <s v="T-1015"/>
    <s v="C-1010"/>
    <s v="FI-1003"/>
    <s v="M-1166"/>
  </r>
  <r>
    <x v="1896"/>
    <n v="990"/>
    <x v="0"/>
    <x v="4"/>
    <n v="10"/>
    <x v="45"/>
    <x v="15"/>
    <x v="1"/>
    <x v="10"/>
    <s v="Servicio de Salud"/>
    <s v="Número de personas en el programa de salud cardiovascular"/>
    <s v="Periodo 2012-2018"/>
    <s v="Número de personas"/>
    <s v="Departamento de Estadísticas e Información de la Salud (DEIS) - Ministerio de Salud"/>
    <x v="1881"/>
    <s v="En la región de Los Lagos, el año 2018, la comuna de Puerto Montt, registró la mayor cantidad de personas en el Programa de Salud Cardiovascular, con 64.119, seguida por la comuna de Osorno con 62.396 personas."/>
    <s v="Gráfico de Evolución"/>
    <s v="enfermedad cardiovascular corazón población control salud programa comunal región los lagos"/>
    <x v="1880"/>
    <s v="100-C-10"/>
    <s v="#1774B519"/>
    <s v="990-1897"/>
    <n v="99200010"/>
    <s v="T-1015"/>
    <s v="C-1010"/>
    <s v="FI-1003"/>
    <s v="M-1166"/>
  </r>
  <r>
    <x v="1897"/>
    <n v="990"/>
    <x v="0"/>
    <x v="4"/>
    <n v="11"/>
    <x v="45"/>
    <x v="15"/>
    <x v="1"/>
    <x v="11"/>
    <s v="Servicio de Salud"/>
    <s v="Número de personas en el programa de salud cardiovascular"/>
    <s v="Periodo 2012-2018"/>
    <s v="Número de personas"/>
    <s v="Departamento de Estadísticas e Información de la Salud (DEIS) - Ministerio de Salud"/>
    <x v="1882"/>
    <s v="En la región de Aysén, el año 2018, la comuna de Coyhaique, registró la mayor cantidad de personas en el Programa de Salud Cardiovascular, con 12.377, seguida por la comuna de Aysén con 7.707 personas."/>
    <s v="Gráfico de Evolución"/>
    <s v="enfermedad cardiovascular corazón población control salud programa comunal región aysén"/>
    <x v="1881"/>
    <s v="100-C-11"/>
    <s v="#1774B520"/>
    <s v="990-1898"/>
    <n v="99200011"/>
    <s v="T-1015"/>
    <s v="C-1010"/>
    <s v="FI-1003"/>
    <s v="M-1166"/>
  </r>
  <r>
    <x v="1898"/>
    <n v="990"/>
    <x v="0"/>
    <x v="4"/>
    <n v="12"/>
    <x v="45"/>
    <x v="15"/>
    <x v="1"/>
    <x v="12"/>
    <s v="Servicio de Salud"/>
    <s v="Número de personas en el programa de salud cardiovascular"/>
    <s v="Periodo 2012-2018"/>
    <s v="Número de personas"/>
    <s v="Departamento de Estadísticas e Información de la Salud (DEIS) - Ministerio de Salud"/>
    <x v="1883"/>
    <s v="En la región de Magallanes, el año 2018, la comuna de Punta Arenas, registró la mayor cantidad de personas en el Programa de Salud Cardiovascular, con 45.828, seguida por la comuna de Natales con 7.044 personas."/>
    <s v="Gráfico de Evolución"/>
    <s v="enfermedad cardiovascular corazón población control salud programa comunal región magallanes"/>
    <x v="1882"/>
    <s v="100-C-12"/>
    <s v="#1774B521"/>
    <s v="990-1899"/>
    <n v="99200012"/>
    <s v="T-1015"/>
    <s v="C-1010"/>
    <s v="FI-1003"/>
    <s v="M-1166"/>
  </r>
  <r>
    <x v="1899"/>
    <n v="990"/>
    <x v="0"/>
    <x v="4"/>
    <n v="13"/>
    <x v="45"/>
    <x v="15"/>
    <x v="1"/>
    <x v="13"/>
    <s v="Servicio de Salud"/>
    <s v="Número de personas en el programa de salud cardiovascular"/>
    <s v="Periodo 2012-2018"/>
    <s v="Número de personas"/>
    <s v="Departamento de Estadísticas e Información de la Salud (DEIS) - Ministerio de Salud"/>
    <x v="1884"/>
    <s v="En la región Metropolitana, el año 2018, la comuna de Puente Alto, registró la mayor cantidad de personas en el Programa de Salud Cardiovascular, con 179.341, seguida por la comuna de La Florida con 143.507 personas."/>
    <s v="Gráfico de Evolución"/>
    <s v="enfermedad cardiovascular corazón población control salud programa comunal región metropolitana"/>
    <x v="1883"/>
    <s v="200-C-13"/>
    <s v="#1774B522"/>
    <s v="990-1900"/>
    <n v="99200013"/>
    <s v="T-1015"/>
    <s v="C-1010"/>
    <s v="FI-1003"/>
    <s v="M-1166"/>
  </r>
  <r>
    <x v="1900"/>
    <n v="990"/>
    <x v="0"/>
    <x v="4"/>
    <n v="14"/>
    <x v="45"/>
    <x v="15"/>
    <x v="1"/>
    <x v="14"/>
    <s v="Servicio de Salud"/>
    <s v="Número de personas en el programa de salud cardiovascular"/>
    <s v="Periodo 2012-2018"/>
    <s v="Número de personas"/>
    <s v="Departamento de Estadísticas e Información de la Salud (DEIS) - Ministerio de Salud"/>
    <x v="1885"/>
    <s v="En la región de Los Ríos, el año 2018, la comuna de Valdivia, registró la mayor cantidad de personas en el Programa de Salud Cardiovascular, con 47.466, seguida por la comuna de Panguipulli con 14.933 personas."/>
    <s v="Gráfico de Evolución"/>
    <s v="enfermedad cardiovascular corazón población control salud programa comunal región los ríos"/>
    <x v="1884"/>
    <s v="100-C-14"/>
    <s v="#1774B523"/>
    <s v="990-1901"/>
    <n v="99200014"/>
    <s v="T-1015"/>
    <s v="C-1010"/>
    <s v="FI-1003"/>
    <s v="M-1166"/>
  </r>
  <r>
    <x v="1901"/>
    <n v="990"/>
    <x v="0"/>
    <x v="4"/>
    <n v="15"/>
    <x v="45"/>
    <x v="15"/>
    <x v="1"/>
    <x v="15"/>
    <s v="Servicio de Salud"/>
    <s v="Número de personas en el programa de salud cardiovascular"/>
    <s v="Periodo 2012-2018"/>
    <s v="Número de personas"/>
    <s v="Departamento de Estadísticas e Información de la Salud (DEIS) - Ministerio de Salud"/>
    <x v="1886"/>
    <s v="En la región de Arica y Parinacota, el año 2018, la comuna de Arica, registró la mayor cantidad de personas en el Programa de Salud Cardiovascular, con 45.825, seguida por la comuna de Putre con 253 personas."/>
    <s v="Gráfico de Evolución"/>
    <s v="enfermedad cardiovascular corazón población control salud programa comunal región arica parinacota"/>
    <x v="1885"/>
    <s v="100-C-15"/>
    <s v="#1774B524"/>
    <s v="990-1902"/>
    <n v="99200015"/>
    <s v="T-1015"/>
    <s v="C-1010"/>
    <s v="FI-1003"/>
    <s v="M-1166"/>
  </r>
  <r>
    <x v="1902"/>
    <n v="990"/>
    <x v="0"/>
    <x v="4"/>
    <n v="16"/>
    <x v="45"/>
    <x v="15"/>
    <x v="1"/>
    <x v="16"/>
    <s v="Servicio de Salud"/>
    <s v="Número de personas en el programa de salud cardiovascular"/>
    <s v="Periodo 2012-2018"/>
    <s v="Número de personas"/>
    <s v="Departamento de Estadísticas e Información de la Salud (DEIS) - Ministerio de Salud"/>
    <x v="1887"/>
    <s v="En la región de Ñuble, el año 2018, la comuna de Chillán, registró la mayor cantidad de personas en el Programa de Salud Cardiovascular, con 77.581, seguida por la comuna de San Carlos con 25.025 personas."/>
    <s v="Gráfico de Evolución"/>
    <s v="enfermedad cardiovascular corazón población control salud programa comunal región ñuble"/>
    <x v="1886"/>
    <s v="100-C-16"/>
    <s v="#1774B525"/>
    <s v="990-1903"/>
    <n v="99200016"/>
    <s v="T-1015"/>
    <s v="C-1010"/>
    <s v="FI-1003"/>
    <s v="M-1166"/>
  </r>
  <r>
    <x v="1903"/>
    <n v="990"/>
    <x v="0"/>
    <x v="4"/>
    <n v="0"/>
    <x v="45"/>
    <x v="15"/>
    <x v="0"/>
    <x v="0"/>
    <s v="Región"/>
    <s v="Número de personas en el programa de salud cardiovascular"/>
    <s v="Periodo 2012-2018"/>
    <s v="Número de personas"/>
    <s v="Departamento de Estadísticas e Información de la Salud (DEIS) - Ministerio de Salud"/>
    <x v="188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x v="1887"/>
    <s v="300-R"/>
    <s v="#1774B526"/>
    <s v="990-1904"/>
    <n v="99100000"/>
    <s v="T-1015"/>
    <s v="C-1010"/>
    <s v="FI-992"/>
    <s v="M-1166"/>
  </r>
  <r>
    <x v="1904"/>
    <n v="990"/>
    <x v="0"/>
    <x v="4"/>
    <n v="1"/>
    <x v="45"/>
    <x v="15"/>
    <x v="1"/>
    <x v="1"/>
    <s v="Ninguno"/>
    <s v="Número de personas en el programa de salud cardiovascular"/>
    <s v="Periodo 2012-2018"/>
    <s v="Número de personas"/>
    <s v="Departamento de Estadísticas e Información de la Salud (DEIS) - Ministerio de Salud"/>
    <x v="1889"/>
    <s v="En la región de Tarapacá, la población del Programa de Salud Cardiovascular (PSCV), durante el periodo comprendido entre los años 2012-2018 presentó fluctuaciones. El año 2014 fue el que concentró mayor cantidad de pacientes, alcanzando un peak de 65.967 mujeres. "/>
    <s v="Gráfico de Evolución"/>
    <s v="enfermedad cardiovascular corazón población control salud programa sexo hombre mujer región tarapacá"/>
    <x v="1888"/>
    <s v="100-R-1"/>
    <s v="#1774B527"/>
    <s v="990-1905"/>
    <n v="99200001"/>
    <s v="T-1015"/>
    <s v="C-1010"/>
    <s v="FI-993"/>
    <s v="M-1166"/>
  </r>
  <r>
    <x v="1905"/>
    <n v="990"/>
    <x v="0"/>
    <x v="4"/>
    <n v="2"/>
    <x v="45"/>
    <x v="15"/>
    <x v="1"/>
    <x v="2"/>
    <s v="Ninguno"/>
    <s v="Número de personas en el programa de salud cardiovascular"/>
    <s v="Periodo 2012-2018"/>
    <s v="Número de personas"/>
    <s v="Departamento de Estadísticas e Información de la Salud (DEIS) - Ministerio de Salud"/>
    <x v="1890"/>
    <s v="En la región de Antofagasta, la población del Programa de Salud Cardiovascular (PSCV), durante el periodo comprendido entre los años 2012-2018 presentó fluctuaciones. El año 2014 fue el que concentró mayor cantidad de pacientes, alcanzando un peak de 92.038 mujeres. "/>
    <s v="Gráfico de Evolución"/>
    <s v="enfermedad cardiovascular corazón población control salud programa sexo hombre mujer región antofagasta"/>
    <x v="1889"/>
    <s v="100-R-2"/>
    <s v="#1774B528"/>
    <s v="990-1906"/>
    <n v="99200002"/>
    <s v="T-1015"/>
    <s v="C-1010"/>
    <s v="FI-993"/>
    <s v="M-1166"/>
  </r>
  <r>
    <x v="1906"/>
    <n v="990"/>
    <x v="0"/>
    <x v="4"/>
    <n v="3"/>
    <x v="45"/>
    <x v="15"/>
    <x v="1"/>
    <x v="3"/>
    <s v="Ninguno"/>
    <s v="Número de personas en el programa de salud cardiovascular"/>
    <s v="Periodo 2012-2018"/>
    <s v="Número de personas"/>
    <s v="Departamento de Estadísticas e Información de la Salud (DEIS) - Ministerio de Salud"/>
    <x v="1891"/>
    <s v="En la región de Atacama, la población del Programa de Salud Cardiovascular (PSCV), durante el periodo comprendido entre los años 2012-2018 presentó fluctuaciones. el año 2014 fue el que concentró mayor cantidad de pacientes, alcanzando un peak de 57.899 mujeres. "/>
    <s v="Gráfico de Evolución"/>
    <s v="enfermedad cardiovascular corazón población control salud programa sexo hombre mujer región atacama"/>
    <x v="1890"/>
    <s v="100-R-3"/>
    <s v="#1774B529"/>
    <s v="990-1907"/>
    <n v="99200003"/>
    <s v="T-1015"/>
    <s v="C-1010"/>
    <s v="FI-993"/>
    <s v="M-1166"/>
  </r>
  <r>
    <x v="1907"/>
    <n v="990"/>
    <x v="0"/>
    <x v="4"/>
    <n v="4"/>
    <x v="45"/>
    <x v="15"/>
    <x v="1"/>
    <x v="4"/>
    <s v="Ninguno"/>
    <s v="Número de personas en el programa de salud cardiovascular"/>
    <s v="Periodo 2012-2018"/>
    <s v="Número de personas"/>
    <s v="Departamento de Estadísticas e Información de la Salud (DEIS) - Ministerio de Salud"/>
    <x v="1892"/>
    <s v="En la región de Coquimbo, la población del Programa de Salud Cardiovascular (PSCV), durante el periodo comprendido entre los años 2012-2018 presentó fluctuaciones. El año 2014 fue el que concentró mayor cantidad de pacientes, alcanzando un peak de 187.213 mujeres. "/>
    <s v="Gráfico de Evolución"/>
    <s v="enfermedad cardiovascular corazón población control salud programa sexo hombre mujer región coquimbo"/>
    <x v="1891"/>
    <s v="100-R-4"/>
    <s v="#1774B530"/>
    <s v="990-1908"/>
    <n v="99200004"/>
    <s v="T-1015"/>
    <s v="C-1010"/>
    <s v="FI-993"/>
    <s v="M-1166"/>
  </r>
  <r>
    <x v="1908"/>
    <n v="990"/>
    <x v="0"/>
    <x v="4"/>
    <n v="5"/>
    <x v="45"/>
    <x v="15"/>
    <x v="1"/>
    <x v="5"/>
    <s v="Ninguno"/>
    <s v="Número de personas en el programa de salud cardiovascular"/>
    <s v="Periodo 2012-2018"/>
    <s v="Número de personas"/>
    <s v="Departamento de Estadísticas e Información de la Salud (DEIS) - Ministerio de Salud"/>
    <x v="1893"/>
    <s v="En la región de Valparaíso, la población del Programa de Salud Cardiovascular (PSCV), durante el periodo comprendido entre los años 2012-2018 presentó fluctuaciones. El año 2014 fue el que concentró mayor cantidad de pacientes, alcanzando un peak de 535.578 mujeres. "/>
    <s v="Gráfico de Evolución"/>
    <s v="enfermedad cardiovascular corazón población control salud programa sexo hombre mujer región valparaíso"/>
    <x v="1892"/>
    <s v="100-R-5"/>
    <s v="#1774B531"/>
    <s v="990-1909"/>
    <n v="99200005"/>
    <s v="T-1015"/>
    <s v="C-1010"/>
    <s v="FI-993"/>
    <s v="M-1166"/>
  </r>
  <r>
    <x v="1909"/>
    <n v="990"/>
    <x v="0"/>
    <x v="4"/>
    <n v="6"/>
    <x v="45"/>
    <x v="15"/>
    <x v="1"/>
    <x v="6"/>
    <s v="Ninguno"/>
    <s v="Número de personas en el programa de salud cardiovascular"/>
    <s v="Periodo 2012-2018"/>
    <s v="Número de personas"/>
    <s v="Departamento de Estadísticas e Información de la Salud (DEIS) - Ministerio de Salud"/>
    <x v="1894"/>
    <s v="En la región de O'Higgins, la población del Programa de Salud Cardiovascular (PSCV), durante el periodo comprendido entre los años 2012-2018 presentó fluctuaciones. El año 2014 fue el que concentró mayor cantidad de pacientes, alcanzando un peak de 250.884 mujeres. "/>
    <s v="Gráfico de Evolución"/>
    <s v="enfermedad cardiovascular corazón población control salud programa sexo hombre mujer región ohiggins"/>
    <x v="1893"/>
    <s v="100-R-6"/>
    <s v="#1774B532"/>
    <s v="990-1910"/>
    <n v="99200006"/>
    <s v="T-1015"/>
    <s v="C-1010"/>
    <s v="FI-993"/>
    <s v="M-1166"/>
  </r>
  <r>
    <x v="1910"/>
    <n v="990"/>
    <x v="0"/>
    <x v="4"/>
    <n v="7"/>
    <x v="45"/>
    <x v="15"/>
    <x v="1"/>
    <x v="7"/>
    <s v="Ninguno"/>
    <s v="Número de personas en el programa de salud cardiovascular"/>
    <s v="Periodo 2012-2018"/>
    <s v="Número de personas"/>
    <s v="Departamento de Estadísticas e Información de la Salud (DEIS) - Ministerio de Salud"/>
    <x v="1895"/>
    <s v="En la región del Maule, la población del Programa de Salud Cardiovascular (PSCV), durante el periodo comprendido entre los años 2012-2018 presentó fluctuaciones. El año 2014 fue el que concentró mayor cantidad de pacientes, alcanzando un peak de 351.507 mujeres. "/>
    <s v="Gráfico de Evolución"/>
    <s v="enfermedad cardiovascular corazón población control salud programa sexo hombre mujer región maule"/>
    <x v="1894"/>
    <s v="100-R-7"/>
    <s v="#1774B533"/>
    <s v="990-1911"/>
    <n v="99200007"/>
    <s v="T-1015"/>
    <s v="C-1010"/>
    <s v="FI-993"/>
    <s v="M-1166"/>
  </r>
  <r>
    <x v="1911"/>
    <n v="990"/>
    <x v="0"/>
    <x v="4"/>
    <n v="8"/>
    <x v="45"/>
    <x v="15"/>
    <x v="1"/>
    <x v="8"/>
    <s v="Ninguno"/>
    <s v="Número de personas en el programa de salud cardiovascular"/>
    <s v="Periodo 2012-2018"/>
    <s v="Número de personas"/>
    <s v="Departamento de Estadísticas e Información de la Salud (DEIS) - Ministerio de Salud"/>
    <x v="1896"/>
    <s v="En la región del Biobío, la población del Programa de Salud Cardiovascular (PSCV), durante el periodo comprendido entre los años 2012-2018 presentó fluctuaciones. El año 2014 fue el que concentró mayor cantidad de pacientes, alcanzando un peak de 542.046 mujeres. "/>
    <s v="Gráfico de Evolución"/>
    <s v="enfermedad cardiovascular corazón población control salud programa sexo hombre mujer región biobío"/>
    <x v="1895"/>
    <s v="100-R-8"/>
    <s v="#1774B534"/>
    <s v="990-1912"/>
    <n v="99200008"/>
    <s v="T-1015"/>
    <s v="C-1010"/>
    <s v="FI-993"/>
    <s v="M-1166"/>
  </r>
  <r>
    <x v="1912"/>
    <n v="990"/>
    <x v="0"/>
    <x v="4"/>
    <n v="9"/>
    <x v="45"/>
    <x v="15"/>
    <x v="1"/>
    <x v="9"/>
    <s v="Ninguno"/>
    <s v="Número de personas en el programa de salud cardiovascular"/>
    <s v="Periodo 2012-2018"/>
    <s v="Número de personas"/>
    <s v="Departamento de Estadísticas e Información de la Salud (DEIS) - Ministerio de Salud"/>
    <x v="1897"/>
    <s v="En la región de La Araucanía, la población del Programa de Salud Cardiovascular (PSCV), durante el periodo comprendido entre los años 2012-2018 presentó fluctuaciones. El año 2014 fue el que concentró mayor cantidad de pacientes, alcanzando un peak de 316.287 mujeres. "/>
    <s v="Gráfico de Evolución"/>
    <s v="enfermedad cardiovascular corazón población control salud programa sexo hombre mujer región araucanía"/>
    <x v="1896"/>
    <s v="100-R-9"/>
    <s v="#1774B535"/>
    <s v="990-1913"/>
    <n v="99200009"/>
    <s v="T-1015"/>
    <s v="C-1010"/>
    <s v="FI-993"/>
    <s v="M-1166"/>
  </r>
  <r>
    <x v="1913"/>
    <n v="990"/>
    <x v="0"/>
    <x v="4"/>
    <n v="10"/>
    <x v="45"/>
    <x v="15"/>
    <x v="1"/>
    <x v="10"/>
    <s v="Ninguno"/>
    <s v="Número de personas en el programa de salud cardiovascular"/>
    <s v="Periodo 2012-2018"/>
    <s v="Número de personas"/>
    <s v="Departamento de Estadísticas e Información de la Salud (DEIS) - Ministerio de Salud"/>
    <x v="1898"/>
    <s v="En la región de Los Lagos, la población del Programa de Salud Cardiovascular (PSCV), durante el periodo comprendido entre los años 2012-2018 presentó fluctuaciones. El año 2014 fue el que concentró mayor cantidad de pacientes, alcanzando un peak de 305.563 mujeres. "/>
    <s v="Gráfico de Evolución"/>
    <s v="enfermedad cardiovascular corazón población control salud programa sexo hombre mujer región los lagos"/>
    <x v="1897"/>
    <s v="100-R-10"/>
    <s v="#1774B536"/>
    <s v="990-1914"/>
    <n v="99200010"/>
    <s v="T-1015"/>
    <s v="C-1010"/>
    <s v="FI-993"/>
    <s v="M-1166"/>
  </r>
  <r>
    <x v="1914"/>
    <n v="990"/>
    <x v="0"/>
    <x v="4"/>
    <n v="11"/>
    <x v="45"/>
    <x v="15"/>
    <x v="1"/>
    <x v="11"/>
    <s v="Ninguno"/>
    <s v="Número de personas en el programa de salud cardiovascular"/>
    <s v="Periodo 2012-2018"/>
    <s v="Número de personas"/>
    <s v="Departamento de Estadísticas e Información de la Salud (DEIS) - Ministerio de Salud"/>
    <x v="1899"/>
    <s v="En la región de Aysén, la población del Programa de Salud Cardiovascular (PSCV), durante el periodo comprendido entre los años 2012-2018 presentó fluctuaciones. El año 2014 fue el que concentró mayor cantidad de pacientes, alcanzando un peak de 21.787 mujeres. "/>
    <s v="Gráfico de Evolución"/>
    <s v="enfermedad cardiovascular corazón población control salud programa sexo hombre mujer región aysén"/>
    <x v="1898"/>
    <s v="100-R-11"/>
    <s v="#1774B537"/>
    <s v="990-1915"/>
    <n v="99200011"/>
    <s v="T-1015"/>
    <s v="C-1010"/>
    <s v="FI-993"/>
    <s v="M-1166"/>
  </r>
  <r>
    <x v="1915"/>
    <n v="990"/>
    <x v="0"/>
    <x v="4"/>
    <n v="12"/>
    <x v="45"/>
    <x v="15"/>
    <x v="1"/>
    <x v="12"/>
    <s v="Ninguno"/>
    <s v="Número de personas en el programa de salud cardiovascular"/>
    <s v="Periodo 2012-2018"/>
    <s v="Número de personas"/>
    <s v="Departamento de Estadísticas e Información de la Salud (DEIS) - Ministerio de Salud"/>
    <x v="1900"/>
    <s v="En la región de Magallanes, la población del Programa de Salud Cardiovascular (PSCV), durante el periodo comprendido entre los años 2012-2018 presentó fluctuaciones. El año 2014 fue el que concentró mayor cantidad de pacientes, alcanzando un peak de 44.021 mujeres. "/>
    <s v="Gráfico de Evolución"/>
    <s v="enfermedad cardiovascular corazón población control salud programa sexo hombre mujer región magallanes"/>
    <x v="1899"/>
    <s v="100-R-12"/>
    <s v="#1774B538"/>
    <s v="990-1916"/>
    <n v="99200012"/>
    <s v="T-1015"/>
    <s v="C-1010"/>
    <s v="FI-993"/>
    <s v="M-1166"/>
  </r>
  <r>
    <x v="1916"/>
    <n v="990"/>
    <x v="0"/>
    <x v="4"/>
    <n v="13"/>
    <x v="45"/>
    <x v="15"/>
    <x v="1"/>
    <x v="13"/>
    <s v="Ninguno"/>
    <s v="Número de personas en el programa de salud cardiovascular"/>
    <s v="Periodo 2012-2018"/>
    <s v="Número de personas"/>
    <s v="Departamento de Estadísticas e Información de la Salud (DEIS) - Ministerio de Salud"/>
    <x v="1901"/>
    <s v="En la región Metropolitana, la población del Programa de Salud Cardiovascular (PSCV), durante el periodo comprendido entre los años 2012-2018 presentó fluctuaciones. El año 2014 fue el que concentró mayor cantidad de pacientes, alcanzando un peak de 2.174.826 mujeres. "/>
    <s v="Gráfico de Evolución"/>
    <s v="enfermedad cardiovascular corazón población control salud programa sexo hombre mujer región metropolitana"/>
    <x v="1900"/>
    <s v="200-R-13"/>
    <s v="#1774B539"/>
    <s v="990-1917"/>
    <n v="99200013"/>
    <s v="T-1015"/>
    <s v="C-1010"/>
    <s v="FI-993"/>
    <s v="M-1166"/>
  </r>
  <r>
    <x v="1917"/>
    <n v="990"/>
    <x v="0"/>
    <x v="4"/>
    <n v="14"/>
    <x v="45"/>
    <x v="15"/>
    <x v="1"/>
    <x v="14"/>
    <s v="Ninguno"/>
    <s v="Número de personas en el programa de salud cardiovascular"/>
    <s v="Periodo 2012-2018"/>
    <s v="Número de personas"/>
    <s v="Departamento de Estadísticas e Información de la Salud (DEIS) - Ministerio de Salud"/>
    <x v="1902"/>
    <s v="En la región de Los Ríos, la población del Programa de Salud Cardiovascular (PSCV), durante el periodo comprendido entre los años 2012-2018 presentó fluctuaciones. El año 2014 fue el que concentró mayor cantidad de pacientes, alcanzando un peak de 131.316 mujeres. "/>
    <s v="Gráfico de Evolución"/>
    <s v="enfermedad cardiovascular corazón población control salud programa sexo hombre mujer región los ríos"/>
    <x v="1901"/>
    <s v="100-R-14"/>
    <s v="#1774B540"/>
    <s v="990-1918"/>
    <n v="99200014"/>
    <s v="T-1015"/>
    <s v="C-1010"/>
    <s v="FI-993"/>
    <s v="M-1166"/>
  </r>
  <r>
    <x v="1918"/>
    <n v="990"/>
    <x v="0"/>
    <x v="4"/>
    <n v="15"/>
    <x v="45"/>
    <x v="15"/>
    <x v="1"/>
    <x v="15"/>
    <s v="Ninguno"/>
    <s v="Número de personas en el programa de salud cardiovascular"/>
    <s v="Periodo 2012-2018"/>
    <s v="Número de personas"/>
    <s v="Departamento de Estadísticas e Información de la Salud (DEIS) - Ministerio de Salud"/>
    <x v="1903"/>
    <s v="En la región de Arica y Parinacota, la población del Programa de Salud Cardiovascular (PSCV), durante el periodo comprendido entre los años 2012-2018 presentó fluctuaciones. El año 2014 fue el que concentró mayor cantidad de pacientes, alcanzando un peak de 41.918 mujeres. "/>
    <s v="Gráfico de Evolución"/>
    <s v="enfermedad cardiovascular corazón población control salud programa sexo hombre mujer región arica parinacota"/>
    <x v="1902"/>
    <s v="100-R-15"/>
    <s v="#1774B541"/>
    <s v="990-1919"/>
    <n v="99200015"/>
    <s v="T-1015"/>
    <s v="C-1010"/>
    <s v="FI-993"/>
    <s v="M-1166"/>
  </r>
  <r>
    <x v="1919"/>
    <n v="990"/>
    <x v="0"/>
    <x v="4"/>
    <n v="16"/>
    <x v="45"/>
    <x v="15"/>
    <x v="1"/>
    <x v="16"/>
    <s v="Ninguno"/>
    <s v="Número de personas en el programa de salud cardiovascular"/>
    <s v="Periodo 2012-2018"/>
    <s v="Número de personas"/>
    <s v="Departamento de Estadísticas e Información de la Salud (DEIS) - Ministerio de Salud"/>
    <x v="1904"/>
    <s v="En la región de Ñuble, la población del Programa de Salud Cardiovascular (PSCV), durante el periodo comprendido entre los años 2012-2018 presentó fluctuaciones. El año 2014 fue el que concentró mayor cantidad de pacientes, alcanzando un peak de 204.288 mujeres. "/>
    <s v="Gráfico de Evolución"/>
    <s v="enfermedad cardiovascular corazón población control salud programa sexo hombre mujer región ñuble"/>
    <x v="1903"/>
    <s v="100-R-16"/>
    <s v="#1774B542"/>
    <s v="990-1920"/>
    <n v="99200016"/>
    <s v="T-1015"/>
    <s v="C-1010"/>
    <s v="FI-993"/>
    <s v="M-1166"/>
  </r>
  <r>
    <x v="1920"/>
    <n v="990"/>
    <x v="0"/>
    <x v="4"/>
    <n v="0"/>
    <x v="45"/>
    <x v="15"/>
    <x v="0"/>
    <x v="0"/>
    <s v="Región"/>
    <s v="Número de personas en el programa de salud cardiovascular"/>
    <s v="Periodo 2012-2018"/>
    <s v="Número de personas"/>
    <s v="Departamento de Estadísticas e Información de la Salud (DEIS) - Ministerio de Salud"/>
    <x v="1905"/>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x v="1904"/>
    <s v="300-R"/>
    <s v="#1774B543"/>
    <s v="990-1921"/>
    <n v="99100000"/>
    <s v="T-1015"/>
    <s v="C-1010"/>
    <s v="FI-992"/>
    <s v="M-1166"/>
  </r>
  <r>
    <x v="1921"/>
    <n v="990"/>
    <x v="0"/>
    <x v="4"/>
    <n v="1"/>
    <x v="45"/>
    <x v="15"/>
    <x v="1"/>
    <x v="1"/>
    <s v="Ninguno"/>
    <s v="Número de personas en el programa de salud cardiovascular"/>
    <s v="Periodo 2012-2018"/>
    <s v="Número de personas"/>
    <s v="Departamento de Estadísticas e Información de la Salud (DEIS) - Ministerio de Salud"/>
    <x v="1906"/>
    <s v="La región de Tarapacá, el año 2014 tuvo un peak en la población en Control del Programa de Salud Cardiovascular, siendo el rango etario mayoritario el &quot;65 y más&quot; con 45.499 pacientes."/>
    <s v="Gráfico de Evolución"/>
    <s v="enfermedad cardiovascular corazón población control salud programa edades rango etario región tarapacá"/>
    <x v="1905"/>
    <s v="100-R-1"/>
    <s v="#1774B544"/>
    <s v="990-1922"/>
    <n v="99200001"/>
    <s v="T-1015"/>
    <s v="C-1010"/>
    <s v="FI-993"/>
    <s v="M-1166"/>
  </r>
  <r>
    <x v="1922"/>
    <n v="990"/>
    <x v="0"/>
    <x v="4"/>
    <n v="2"/>
    <x v="45"/>
    <x v="15"/>
    <x v="1"/>
    <x v="2"/>
    <s v="Ninguno"/>
    <s v="Número de personas en el programa de salud cardiovascular"/>
    <s v="Periodo 2012-2018"/>
    <s v="Número de personas"/>
    <s v="Departamento de Estadísticas e Información de la Salud (DEIS) - Ministerio de Salud"/>
    <x v="1907"/>
    <s v="La región de Antofagasta, el año 2014 tuvo un peak en la población en Control del Programa de Salud Cardiovascular, siendo el rango etario mayoritario el &quot;65 y más&quot; con 67.343 pacientes."/>
    <s v="Gráfico de Evolución"/>
    <s v="enfermedad cardiovascular corazón población control salud programa edades rango etario región antofagasta"/>
    <x v="1906"/>
    <s v="100-R-2"/>
    <s v="#1774B545"/>
    <s v="990-1923"/>
    <n v="99200002"/>
    <s v="T-1015"/>
    <s v="C-1010"/>
    <s v="FI-993"/>
    <s v="M-1166"/>
  </r>
  <r>
    <x v="1923"/>
    <n v="990"/>
    <x v="0"/>
    <x v="4"/>
    <n v="3"/>
    <x v="45"/>
    <x v="15"/>
    <x v="1"/>
    <x v="3"/>
    <s v="Ninguno"/>
    <s v="Número de personas en el programa de salud cardiovascular"/>
    <s v="Periodo 2012-2018"/>
    <s v="Número de personas"/>
    <s v="Departamento de Estadísticas e Información de la Salud (DEIS) - Ministerio de Salud"/>
    <x v="1908"/>
    <s v="La región de Atacama, el año 2014 tuvo un peak en la población en Control del Programa de Salud Cardiovascular, siendo el rango etario mayoritario el &quot;65 y más&quot; con 40.870 pacientes."/>
    <s v="Gráfico de Evolución"/>
    <s v="enfermedad cardiovascular corazón población control salud programa edades rango etario región atacama"/>
    <x v="1907"/>
    <s v="100-R-3"/>
    <s v="#1774B546"/>
    <s v="990-1924"/>
    <n v="99200003"/>
    <s v="T-1015"/>
    <s v="C-1010"/>
    <s v="FI-993"/>
    <s v="M-1166"/>
  </r>
  <r>
    <x v="1924"/>
    <n v="990"/>
    <x v="0"/>
    <x v="4"/>
    <n v="4"/>
    <x v="45"/>
    <x v="15"/>
    <x v="1"/>
    <x v="4"/>
    <s v="Ninguno"/>
    <s v="Número de personas en el programa de salud cardiovascular"/>
    <s v="Periodo 2012-2018"/>
    <s v="Número de personas"/>
    <s v="Departamento de Estadísticas e Información de la Salud (DEIS) - Ministerio de Salud"/>
    <x v="1909"/>
    <s v="La región de Coquimbo, el año 2014 tuvo un peak en la población en Control del Programa de Salud Cardiovascular, siendo el rango etario mayoritario el &quot;65 y más&quot; con 138.280 pacientes."/>
    <s v="Gráfico de Evolución"/>
    <s v="enfermedad cardiovascular corazón población control salud programa edades rango etario región coquimbo"/>
    <x v="1908"/>
    <s v="100-R-4"/>
    <s v="#1774B547"/>
    <s v="990-1925"/>
    <n v="99200004"/>
    <s v="T-1015"/>
    <s v="C-1010"/>
    <s v="FI-993"/>
    <s v="M-1166"/>
  </r>
  <r>
    <x v="1925"/>
    <n v="990"/>
    <x v="0"/>
    <x v="4"/>
    <n v="5"/>
    <x v="45"/>
    <x v="15"/>
    <x v="1"/>
    <x v="5"/>
    <s v="Ninguno"/>
    <s v="Número de personas en el programa de salud cardiovascular"/>
    <s v="Periodo 2012-2018"/>
    <s v="Número de personas"/>
    <s v="Departamento de Estadísticas e Información de la Salud (DEIS) - Ministerio de Salud"/>
    <x v="1910"/>
    <s v="La región de Valparaíso, el año 2014 tuvo un peak en la población en Control del Programa de Salud Cardiovascular, siendo el rango etario mayoritario el &quot;65 y más&quot; con 416.612 pacientes."/>
    <s v="Gráfico de Evolución"/>
    <s v="enfermedad cardiovascular corazón población control salud programa edades rango etario región valparaíso"/>
    <x v="1909"/>
    <s v="100-R-5"/>
    <s v="#1774B548"/>
    <s v="990-1926"/>
    <n v="99200005"/>
    <s v="T-1015"/>
    <s v="C-1010"/>
    <s v="FI-993"/>
    <s v="M-1166"/>
  </r>
  <r>
    <x v="1926"/>
    <n v="990"/>
    <x v="0"/>
    <x v="4"/>
    <n v="6"/>
    <x v="45"/>
    <x v="15"/>
    <x v="1"/>
    <x v="6"/>
    <s v="Ninguno"/>
    <s v="Número de personas en el programa de salud cardiovascular"/>
    <s v="Periodo 2012-2018"/>
    <s v="Número de personas"/>
    <s v="Departamento de Estadísticas e Información de la Salud (DEIS) - Ministerio de Salud"/>
    <x v="1911"/>
    <s v="La región de O'Higgins, el año 2014 tuvo un peak en la población en Control del Programa de Salud Cardiovascular, siendo el rango etario mayoritario el &quot;65 y más&quot; con 179.284 pacientes."/>
    <s v="Gráfico de Evolución"/>
    <s v="enfermedad cardiovascular corazón población control salud programa edades rango etario región ohiggins"/>
    <x v="1910"/>
    <s v="100-R-6"/>
    <s v="#1774B549"/>
    <s v="990-1927"/>
    <n v="99200006"/>
    <s v="T-1015"/>
    <s v="C-1010"/>
    <s v="FI-993"/>
    <s v="M-1166"/>
  </r>
  <r>
    <x v="1927"/>
    <n v="990"/>
    <x v="0"/>
    <x v="4"/>
    <n v="7"/>
    <x v="45"/>
    <x v="15"/>
    <x v="1"/>
    <x v="7"/>
    <s v="Ninguno"/>
    <s v="Número de personas en el programa de salud cardiovascular"/>
    <s v="Periodo 2012-2018"/>
    <s v="Número de personas"/>
    <s v="Departamento de Estadísticas e Información de la Salud (DEIS) - Ministerio de Salud"/>
    <x v="1912"/>
    <s v="La región del Maule, el año 2014 tuvo un peak en la población en Control del Programa de Salud Cardiovascular, siendo el rango etario mayoritario el &quot;65 y más&quot; con 250.041 pacientes."/>
    <s v="Gráfico de Evolución"/>
    <s v="enfermedad cardiovascular corazón población control salud programa edades rango etario región maule"/>
    <x v="1911"/>
    <s v="100-R-7"/>
    <s v="#1774B550"/>
    <s v="990-1928"/>
    <n v="99200007"/>
    <s v="T-1015"/>
    <s v="C-1010"/>
    <s v="FI-993"/>
    <s v="M-1166"/>
  </r>
  <r>
    <x v="1928"/>
    <n v="990"/>
    <x v="0"/>
    <x v="4"/>
    <n v="8"/>
    <x v="45"/>
    <x v="15"/>
    <x v="1"/>
    <x v="8"/>
    <s v="Ninguno"/>
    <s v="Número de personas en el programa de salud cardiovascular"/>
    <s v="Periodo 2012-2018"/>
    <s v="Número de personas"/>
    <s v="Departamento de Estadísticas e Información de la Salud (DEIS) - Ministerio de Salud"/>
    <x v="1913"/>
    <s v="La región del Biobío, el año 2014 tuvo un peak en la población en Control del Programa de Salud Cardiovascular, siendo el rango etario mayoritario el &quot;65 y más&quot; con 374.875 pacientes."/>
    <s v="Gráfico de Evolución"/>
    <s v="enfermedad cardiovascular corazón población control salud programa edades rango etario región biobío"/>
    <x v="1912"/>
    <s v="100-R-8"/>
    <s v="#1774B551"/>
    <s v="990-1929"/>
    <n v="99200008"/>
    <s v="T-1015"/>
    <s v="C-1010"/>
    <s v="FI-993"/>
    <s v="M-1166"/>
  </r>
  <r>
    <x v="1929"/>
    <n v="990"/>
    <x v="0"/>
    <x v="4"/>
    <n v="9"/>
    <x v="45"/>
    <x v="15"/>
    <x v="1"/>
    <x v="9"/>
    <s v="Ninguno"/>
    <s v="Número de personas en el programa de salud cardiovascular"/>
    <s v="Periodo 2012-2018"/>
    <s v="Número de personas"/>
    <s v="Departamento de Estadísticas e Información de la Salud (DEIS) - Ministerio de Salud"/>
    <x v="1914"/>
    <s v="La región de La Araucanía, el año 2014 tuvo un peak en la población en Control del Programa de Salud Cardiovascular, siendo el rango etario mayoritario el &quot;65 y más&quot; con 221.208 pacientes."/>
    <s v="Gráfico de Evolución"/>
    <s v="enfermedad cardiovascular corazón población control salud programa edades rango etario región araucanía"/>
    <x v="1913"/>
    <s v="100-R-9"/>
    <s v="#1774B552"/>
    <s v="990-1930"/>
    <n v="99200009"/>
    <s v="T-1015"/>
    <s v="C-1010"/>
    <s v="FI-993"/>
    <s v="M-1166"/>
  </r>
  <r>
    <x v="1930"/>
    <n v="990"/>
    <x v="0"/>
    <x v="4"/>
    <n v="10"/>
    <x v="45"/>
    <x v="15"/>
    <x v="1"/>
    <x v="10"/>
    <s v="Ninguno"/>
    <s v="Número de personas en el programa de salud cardiovascular"/>
    <s v="Periodo 2012-2018"/>
    <s v="Número de personas"/>
    <s v="Departamento de Estadísticas e Información de la Salud (DEIS) - Ministerio de Salud"/>
    <x v="1915"/>
    <s v="La región de Los Lagos, el año 2014 tuvo un peak en la población en Control del Programa de Salud Cardiovascular, siendo el rango etario mayoritario el &quot;65 y más&quot; con 217.080 pacientes."/>
    <s v="Gráfico de Evolución"/>
    <s v="enfermedad cardiovascular corazón población control salud programa edades rango etario región los lagos"/>
    <x v="1914"/>
    <s v="100-R-10"/>
    <s v="#1774B553"/>
    <s v="990-1931"/>
    <n v="99200010"/>
    <s v="T-1015"/>
    <s v="C-1010"/>
    <s v="FI-993"/>
    <s v="M-1166"/>
  </r>
  <r>
    <x v="1931"/>
    <n v="990"/>
    <x v="0"/>
    <x v="4"/>
    <n v="11"/>
    <x v="45"/>
    <x v="15"/>
    <x v="1"/>
    <x v="11"/>
    <s v="Ninguno"/>
    <s v="Número de personas en el programa de salud cardiovascular"/>
    <s v="Periodo 2012-2018"/>
    <s v="Número de personas"/>
    <s v="Departamento de Estadísticas e Información de la Salud (DEIS) - Ministerio de Salud"/>
    <x v="1916"/>
    <s v="La región de Aysén, el año 2014 tuvo un peak en la población en Control del Programa de Salud Cardiovascular, siendo el rango etario mayoritario el &quot;65 y más&quot; con 14.767 pacientes."/>
    <s v="Gráfico de Evolución"/>
    <s v="enfermedad cardiovascular corazón población control salud programa edades rango etario región aysén"/>
    <x v="1915"/>
    <s v="100-R-11"/>
    <s v="#1774B554"/>
    <s v="990-1932"/>
    <n v="99200011"/>
    <s v="T-1015"/>
    <s v="C-1010"/>
    <s v="FI-993"/>
    <s v="M-1166"/>
  </r>
  <r>
    <x v="1932"/>
    <n v="990"/>
    <x v="0"/>
    <x v="4"/>
    <n v="12"/>
    <x v="45"/>
    <x v="15"/>
    <x v="1"/>
    <x v="12"/>
    <s v="Ninguno"/>
    <s v="Número de personas en el programa de salud cardiovascular"/>
    <s v="Periodo 2012-2018"/>
    <s v="Número de personas"/>
    <s v="Departamento de Estadísticas e Información de la Salud (DEIS) - Ministerio de Salud"/>
    <x v="1917"/>
    <s v="La región de Magallanes, el año 2014 tuvo un peak en la población en Control del Programa de Salud Cardiovascular, siendo el rango etario mayoritario el &quot;65 y más&quot; con 32.602 pacientes."/>
    <s v="Gráfico de Evolución"/>
    <s v="enfermedad cardiovascular corazón población control salud programa edades rango etario región magallanes"/>
    <x v="1916"/>
    <s v="100-R-12"/>
    <s v="#1774B555"/>
    <s v="990-1933"/>
    <n v="99200012"/>
    <s v="T-1015"/>
    <s v="C-1010"/>
    <s v="FI-993"/>
    <s v="M-1166"/>
  </r>
  <r>
    <x v="1933"/>
    <n v="990"/>
    <x v="0"/>
    <x v="4"/>
    <n v="13"/>
    <x v="45"/>
    <x v="15"/>
    <x v="1"/>
    <x v="13"/>
    <s v="Ninguno"/>
    <s v="Número de personas en el programa de salud cardiovascular"/>
    <s v="Periodo 2012-2018"/>
    <s v="Número de personas"/>
    <s v="Departamento de Estadísticas e Información de la Salud (DEIS) - Ministerio de Salud"/>
    <x v="1918"/>
    <s v="La región de Metropolitana, el año 2014 tuvo un peak en la población en Control del Programa de Salud Cardiovascular, siendo el rango etario mayoritario el &quot;65 y más&quot; con 1.598.239 pacientes."/>
    <s v="Gráfico de Evolución"/>
    <s v="enfermedad cardiovascular corazón población control salud programa edades rango etario región metropolitana"/>
    <x v="1917"/>
    <s v="200-R-13"/>
    <s v="#1774B556"/>
    <s v="990-1934"/>
    <n v="99200013"/>
    <s v="T-1015"/>
    <s v="C-1010"/>
    <s v="FI-993"/>
    <s v="M-1166"/>
  </r>
  <r>
    <x v="1934"/>
    <n v="990"/>
    <x v="0"/>
    <x v="4"/>
    <n v="14"/>
    <x v="45"/>
    <x v="15"/>
    <x v="1"/>
    <x v="14"/>
    <s v="Ninguno"/>
    <s v="Número de personas en el programa de salud cardiovascular"/>
    <s v="Periodo 2012-2018"/>
    <s v="Número de personas"/>
    <s v="Departamento de Estadísticas e Información de la Salud (DEIS) - Ministerio de Salud"/>
    <x v="1919"/>
    <s v="La región de Los Ríos, el año 2014 tuvo un peak en la población en Control del Programa de Salud Cardiovascular, siendo el rango etario mayoritario el &quot;65 y más&quot; con 91.857 pacientes."/>
    <s v="Gráfico de Evolución"/>
    <s v="enfermedad cardiovascular corazón población control salud programa edades rango etario región los ríos"/>
    <x v="1918"/>
    <s v="100-R-14"/>
    <s v="#1774B557"/>
    <s v="990-1935"/>
    <n v="99200014"/>
    <s v="T-1015"/>
    <s v="C-1010"/>
    <s v="FI-993"/>
    <s v="M-1166"/>
  </r>
  <r>
    <x v="1935"/>
    <n v="990"/>
    <x v="0"/>
    <x v="4"/>
    <n v="15"/>
    <x v="45"/>
    <x v="15"/>
    <x v="1"/>
    <x v="15"/>
    <s v="Ninguno"/>
    <s v="Número de personas en el programa de salud cardiovascular"/>
    <s v="Periodo 2012-2018"/>
    <s v="Número de personas"/>
    <s v="Departamento de Estadísticas e Información de la Salud (DEIS) - Ministerio de Salud"/>
    <x v="1920"/>
    <s v="La región de Arica y Parinacota, el año 2014 tuvo un peak en la población en Control del Programa de Salud Cardiovascular, siendo el rango etario mayoritario el &quot;65 y más&quot; con 34.024 pacientes."/>
    <s v="Gráfico de Evolución"/>
    <s v="enfermedad cardiovascular corazón población control salud programa edades rango etario región arica parinacota"/>
    <x v="1919"/>
    <s v="100-R-15"/>
    <s v="#1774B558"/>
    <s v="990-1936"/>
    <n v="99200015"/>
    <s v="T-1015"/>
    <s v="C-1010"/>
    <s v="FI-993"/>
    <s v="M-1166"/>
  </r>
  <r>
    <x v="1936"/>
    <n v="990"/>
    <x v="0"/>
    <x v="4"/>
    <n v="16"/>
    <x v="45"/>
    <x v="15"/>
    <x v="1"/>
    <x v="16"/>
    <s v="Ninguno"/>
    <s v="Número de personas en el programa de salud cardiovascular"/>
    <s v="Periodo 2012-2018"/>
    <s v="Número de personas"/>
    <s v="Departamento de Estadísticas e Información de la Salud (DEIS) - Ministerio de Salud"/>
    <x v="1921"/>
    <s v="La región de Ñuble, el año 2014 tuvo un peak en la población en Control del Programa de Salud Cardiovascular, siendo el rango etario mayoritario el &quot;65 y más&quot; con 141.454 pacientes."/>
    <s v="Gráfico de Evolución"/>
    <s v="enfermedad cardiovascular corazón población control salud programa edades rango etario región ñuble"/>
    <x v="1920"/>
    <s v="100-R-16"/>
    <s v="#1774B559"/>
    <s v="990-1937"/>
    <n v="99200016"/>
    <s v="T-1015"/>
    <s v="C-1010"/>
    <s v="FI-993"/>
    <s v="M-1166"/>
  </r>
  <r>
    <x v="1937"/>
    <n v="990"/>
    <x v="0"/>
    <x v="11"/>
    <n v="2923"/>
    <x v="102"/>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2"/>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Interactivo"/>
    <s v="glaciar,Chile,nieve,Los Lagos,SENTINEL,satelital,derretimiento,Cochamó,Hualaihué,dinámica,mapa"/>
    <x v="1921"/>
    <n v="0"/>
    <s v="#FFFFFF"/>
    <s v="990-1938"/>
    <n v="26200010"/>
    <s v="T-262"/>
    <s v="C-264"/>
    <s v="FI-262"/>
    <s v="M-262"/>
  </r>
  <r>
    <x v="1938"/>
    <n v="990"/>
    <x v="0"/>
    <x v="11"/>
    <n v="2923"/>
    <x v="102"/>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3"/>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Interactivo"/>
    <s v="glaciar,Chile,nieve,Los Lagos,SENTINEL,satelital,derretimiento,Cochamó,Hualaihué,dinámica,mapa"/>
    <x v="1922"/>
    <n v="0"/>
    <s v="#FFFFFF"/>
    <s v="990-1939"/>
    <n v="26200010"/>
    <s v="T-262"/>
    <s v="C-264"/>
    <s v="FI-262"/>
    <s v="M-262"/>
  </r>
  <r>
    <x v="1939"/>
    <n v="990"/>
    <x v="0"/>
    <x v="11"/>
    <n v="2923"/>
    <x v="102"/>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4"/>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Interactivo"/>
    <s v="glaciar,Chile,nieve,Los Lagos,SENTINEL,satelital,derretimiento,Cochamó,Hualaihué,dinámica,mapa"/>
    <x v="1923"/>
    <n v="0"/>
    <s v="#FFFFFF"/>
    <s v="990-1940"/>
    <n v="26200010"/>
    <s v="T-262"/>
    <s v="C-264"/>
    <s v="FI-262"/>
    <s v="M-262"/>
  </r>
  <r>
    <x v="1940"/>
    <n v="990"/>
    <x v="0"/>
    <x v="11"/>
    <n v="2923"/>
    <x v="102"/>
    <x v="37"/>
    <x v="1"/>
    <x v="10"/>
    <s v="Ninguno"/>
    <s v="Complejo Glaciar COCHAMÓ-HUALAIHUÉ || Costeras entre Rio Puelo y Punta Trentelhue-/Rio Puelo Chico/Costeras Entre Punta Tentelhue y Rio Negro (Incluido)"/>
    <s v="Años 2020-2021"/>
    <s v="hectáreas (ha)"/>
    <s v="DATA INTELLIGENCE con base en Procesamiento de Imágenes Satelitales SENTINEL"/>
    <x v="1925"/>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Interactivo"/>
    <s v="glaciar,Chile,nieve,Los Lagos,SENTINEL,satelital,derretimiento,Cochamó,Hualaihué,dinámica,mapa"/>
    <x v="1924"/>
    <n v="0"/>
    <s v="#FFFFFF"/>
    <s v="990-1941"/>
    <n v="26200010"/>
    <s v="T-262"/>
    <s v="C-264"/>
    <s v="FI-262"/>
    <s v="M-262"/>
  </r>
  <r>
    <x v="1941"/>
    <n v="990"/>
    <x v="0"/>
    <x v="11"/>
    <n v="2923"/>
    <x v="103"/>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2"/>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Interactivo"/>
    <s v="glaciar,Chile,nieve,Los Lagos,SENTINEL,satelital,derretimiento,Cochamó,Hualaihué,dinámica,mapa"/>
    <x v="1925"/>
    <n v="0"/>
    <s v="#FFFFFF"/>
    <s v="990-1942"/>
    <n v="26200010"/>
    <s v="T-262"/>
    <s v="C-264"/>
    <s v="FI-262"/>
    <s v="M-262"/>
  </r>
  <r>
    <x v="1942"/>
    <n v="990"/>
    <x v="0"/>
    <x v="11"/>
    <n v="2923"/>
    <x v="103"/>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3"/>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Interactivo"/>
    <s v="glaciar,Chile,nieve,Los Lagos,SENTINEL,satelital,derretimiento,Cochamó,Hualaihué,dinámica,mapa"/>
    <x v="1926"/>
    <n v="0"/>
    <s v="#FFFFFF"/>
    <s v="990-1943"/>
    <n v="26200010"/>
    <s v="T-262"/>
    <s v="C-264"/>
    <s v="FI-262"/>
    <s v="M-262"/>
  </r>
  <r>
    <x v="1943"/>
    <n v="990"/>
    <x v="0"/>
    <x v="11"/>
    <n v="2923"/>
    <x v="103"/>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4"/>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Interactivo"/>
    <s v="glaciar,Chile,nieve,Los Lagos,SENTINEL,satelital,derretimiento,Cochamó,Hualaihué,dinámica,mapa"/>
    <x v="1927"/>
    <n v="0"/>
    <s v="#FFFFFF"/>
    <s v="990-1944"/>
    <n v="26200010"/>
    <s v="T-262"/>
    <s v="C-264"/>
    <s v="FI-262"/>
    <s v="M-262"/>
  </r>
  <r>
    <x v="1944"/>
    <n v="990"/>
    <x v="0"/>
    <x v="11"/>
    <n v="2923"/>
    <x v="104"/>
    <x v="37"/>
    <x v="1"/>
    <x v="10"/>
    <s v="Varios"/>
    <s v="Complejo Glaciar COCHAMÓ-HUALAIHUÉ || Costeras entre Rio Puelo y Punta Trentelhue-/Rio Puelo Chico/Costeras Entre Punta Tentelhue y Rio Negro (Incluido)"/>
    <s v="Años 2017-2021"/>
    <s v="hectáreas (ha)"/>
    <s v="DATA INTELLIGENCE con base en Procesamiento de Imágenes Satelitales SENTINEL"/>
    <x v="1926"/>
    <s v="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x v="1928"/>
    <n v="0"/>
    <s v="#FFFFFF"/>
    <s v="990-1945"/>
    <n v="26200010"/>
    <s v="T-262"/>
    <s v="C-262"/>
    <s v="FI-263"/>
    <s v="M-262"/>
  </r>
  <r>
    <x v="1945"/>
    <n v="990"/>
    <x v="0"/>
    <x v="11"/>
    <n v="2923"/>
    <x v="102"/>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7"/>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Descargable (pdf)"/>
    <s v="glaciar,Chile,nieve,Los Lagos,SENTINEL,satelital,derretimiento,Cochamó,Hualaihué,dinámica,mapa"/>
    <x v="1929"/>
    <n v="0"/>
    <s v="#FFFFFF"/>
    <s v="990-1946"/>
    <n v="26200010"/>
    <s v="T-262"/>
    <s v="C-263"/>
    <s v="FI-262"/>
    <s v="M-262"/>
  </r>
  <r>
    <x v="1946"/>
    <n v="990"/>
    <x v="0"/>
    <x v="11"/>
    <n v="2923"/>
    <x v="102"/>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8"/>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Descargable (pdf)"/>
    <s v="glaciar,Chile,nieve,Los Lagos,SENTINEL,satelital,derretimiento,Cochamó,Hualaihué,dinámica,mapa"/>
    <x v="1930"/>
    <n v="0"/>
    <s v="#FFFFFF"/>
    <s v="990-1947"/>
    <n v="26200010"/>
    <s v="T-262"/>
    <s v="C-263"/>
    <s v="FI-262"/>
    <s v="M-262"/>
  </r>
  <r>
    <x v="1947"/>
    <n v="990"/>
    <x v="0"/>
    <x v="11"/>
    <n v="2923"/>
    <x v="102"/>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9"/>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Descargable (pdf)"/>
    <s v="glaciar,Chile,nieve,Los Lagos,SENTINEL,satelital,derretimiento,Cochamó,Hualaihué,dinámica,mapa"/>
    <x v="1931"/>
    <n v="0"/>
    <s v="#FFFFFF"/>
    <s v="990-1948"/>
    <n v="26200010"/>
    <s v="T-262"/>
    <s v="C-263"/>
    <s v="FI-262"/>
    <s v="M-262"/>
  </r>
  <r>
    <x v="1948"/>
    <n v="990"/>
    <x v="0"/>
    <x v="11"/>
    <n v="2923"/>
    <x v="102"/>
    <x v="37"/>
    <x v="1"/>
    <x v="10"/>
    <s v="Ninguno"/>
    <s v="Complejo Glaciar COCHAMÓ-HUALAIHUÉ || Costeras entre Rio Puelo y Punta Trentelhue-/Rio Puelo Chico/Costeras Entre Punta Tentelhue y Rio Negro (Incluido)"/>
    <s v="Años 2020-2021"/>
    <s v="hectáreas (ha)"/>
    <s v="DATA INTELLIGENCE con base en Procesamiento de Imágenes Satelitales SENTINEL"/>
    <x v="1930"/>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Descargable (pdf)"/>
    <s v="glaciar,Chile,nieve,Los Lagos,SENTINEL,satelital,derretimiento,Cochamó,Hualaihué,dinámica,mapa"/>
    <x v="1932"/>
    <n v="0"/>
    <s v="#FFFFFF"/>
    <s v="990-1949"/>
    <n v="26200010"/>
    <s v="T-262"/>
    <s v="C-263"/>
    <s v="FI-262"/>
    <s v="M-262"/>
  </r>
  <r>
    <x v="1949"/>
    <n v="990"/>
    <x v="0"/>
    <x v="11"/>
    <n v="2923"/>
    <x v="103"/>
    <x v="37"/>
    <x v="1"/>
    <x v="10"/>
    <s v="Ninguno"/>
    <s v="Complejo Glaciar COCHAMÓ-HUALAIHUÉ || Costeras entre Rio Puelo y Punta Trentelhue-/Rio Puelo Chico/Costeras Entre Punta Tentelhue y Rio Negro (Incluido)"/>
    <s v="Años 2017-2018"/>
    <s v="hectáreas (ha)"/>
    <s v="DATA INTELLIGENCE con base en Procesamiento de Imágenes Satelitales SENTINEL"/>
    <x v="1927"/>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Descargable (pdf)"/>
    <s v="glaciar,Chile,nieve,Los Lagos,SENTINEL,satelital,derretimiento,Cochamó,Hualaihué,dinámica,mapa"/>
    <x v="1933"/>
    <n v="0"/>
    <s v="#FFFFFF"/>
    <s v="990-1950"/>
    <n v="26200010"/>
    <s v="T-262"/>
    <s v="C-263"/>
    <s v="FI-262"/>
    <s v="M-262"/>
  </r>
  <r>
    <x v="1950"/>
    <n v="990"/>
    <x v="0"/>
    <x v="11"/>
    <n v="2923"/>
    <x v="103"/>
    <x v="37"/>
    <x v="1"/>
    <x v="10"/>
    <s v="Ninguno"/>
    <s v="Complejo Glaciar COCHAMÓ-HUALAIHUÉ || Costeras entre Rio Puelo y Punta Trentelhue-/Rio Puelo Chico/Costeras Entre Punta Tentelhue y Rio Negro (Incluido)"/>
    <s v="Años 2018-2019"/>
    <s v="hectáreas (ha)"/>
    <s v="DATA INTELLIGENCE con base en Procesamiento de Imágenes Satelitales SENTINEL"/>
    <x v="1928"/>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Descargable (pdf)"/>
    <s v="glaciar,Chile,nieve,Los Lagos,SENTINEL,satelital,derretimiento,Cochamó,Hualaihué,dinámica,mapa"/>
    <x v="1934"/>
    <n v="0"/>
    <s v="#FFFFFF"/>
    <s v="990-1951"/>
    <n v="26200010"/>
    <s v="T-262"/>
    <s v="C-263"/>
    <s v="FI-262"/>
    <s v="M-262"/>
  </r>
  <r>
    <x v="1951"/>
    <n v="990"/>
    <x v="0"/>
    <x v="11"/>
    <n v="2923"/>
    <x v="103"/>
    <x v="37"/>
    <x v="1"/>
    <x v="10"/>
    <s v="Ninguno"/>
    <s v="Complejo Glaciar COCHAMÓ-HUALAIHUÉ || Costeras entre Rio Puelo y Punta Trentelhue-/Rio Puelo Chico/Costeras Entre Punta Tentelhue y Rio Negro (Incluido)"/>
    <s v=" Años 2019-2020"/>
    <s v="hectáreas (ha)"/>
    <s v="DATA INTELLIGENCE con base en Procesamiento de Imágenes Satelitales SENTINEL"/>
    <x v="1929"/>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Descargable (pdf)"/>
    <s v="glaciar,Chile,nieve,Los Lagos,SENTINEL,satelital,derretimiento,Cochamó,Hualaihué,dinámica,mapa"/>
    <x v="1935"/>
    <n v="0"/>
    <s v="#FFFFFF"/>
    <s v="990-1952"/>
    <n v="26200010"/>
    <s v="T-262"/>
    <s v="C-263"/>
    <s v="FI-262"/>
    <s v="M-262"/>
  </r>
  <r>
    <x v="1952"/>
    <n v="990"/>
    <x v="0"/>
    <x v="11"/>
    <n v="2923"/>
    <x v="105"/>
    <x v="37"/>
    <x v="1"/>
    <x v="10"/>
    <s v="Ninguno"/>
    <s v="Complejo Glaciar COCHAMÓ-HUALAIHUÉ || Costeras entre Rio Puelo y Punta Trentelhue-/Rio Puelo Chico/Costeras Entre Punta Tentelhue y Rio Negro (Incluido)"/>
    <s v="Años 2017-2021"/>
    <s v="hectáreas (ha)"/>
    <s v="DATA INTELLIGENCE con base en Procesamiento de Imágenes Satelitales SENTINEL"/>
    <x v="1931"/>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Interactivo"/>
    <s v="glaciar,Chile,nieve,Los Lagos,SENTINEL,satelital,derretimiento,Cochamó,Hualaihué,dinámica,mapa"/>
    <x v="1936"/>
    <n v="0"/>
    <s v="#FFFFFF"/>
    <s v="990-1953"/>
    <n v="26200010"/>
    <s v="T-263"/>
    <s v="C-265"/>
    <s v="FI-262"/>
    <s v="M-262"/>
  </r>
  <r>
    <x v="1953"/>
    <n v="990"/>
    <x v="0"/>
    <x v="11"/>
    <n v="2923"/>
    <x v="105"/>
    <x v="37"/>
    <x v="1"/>
    <x v="10"/>
    <s v="Varios"/>
    <s v="Complejo Glaciar COCHAMÓ-HUALAIHUÉ || Costeras entre Rio Puelo y Punta Trentelhue-/Rio Puelo Chico/Costeras Entre Punta Tentelhue y Rio Negro (Incluido)"/>
    <s v="Años 2017-2021"/>
    <s v="hectáreas (ha)"/>
    <s v="DATA INTELLIGENCE con base en Procesamiento de Imágenes Satelitales SENTINEL"/>
    <x v="1932"/>
    <s v="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
    <s v="Dashboard"/>
    <s v="glaciar,Chile,nieve,Los Lagos,SENTINEL,satelital,derretimiento,Cochamó,Hualaihué,dinámica,mapa"/>
    <x v="1937"/>
    <n v="0"/>
    <s v="#FFFFFF"/>
    <s v="990-1954"/>
    <n v="26200010"/>
    <s v="T-263"/>
    <s v="C-265"/>
    <s v="FI-263"/>
    <s v="M-262"/>
  </r>
  <r>
    <x v="1954"/>
    <n v="990"/>
    <x v="0"/>
    <x v="11"/>
    <n v="2923"/>
    <x v="105"/>
    <x v="37"/>
    <x v="1"/>
    <x v="10"/>
    <s v="Ninguno"/>
    <s v="Complejo Glaciar COCHAMÓ-HUALAIHUÉ || Costeras entre Rio Puelo y Punta Trentelhue-/Rio Puelo Chico/Costeras Entre Punta Tentelhue y Rio Negro (Incluido)"/>
    <s v="Años 2017-2021"/>
    <s v="hectáreas (ha)"/>
    <s v="DATA INTELLIGENCE con base en Procesamiento de Imágenes Satelitales SENTINEL"/>
    <x v="1933"/>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Descargable (pdf)"/>
    <s v="glaciar,Chile,nieve,Los Lagos,SENTINEL,satelital,derretimiento,Cochamó,Hualaihué,dinámica,mapa"/>
    <x v="1938"/>
    <n v="0"/>
    <s v="#FFFFFF"/>
    <s v="990-1955"/>
    <n v="26200010"/>
    <s v="T-263"/>
    <s v="C-265"/>
    <s v="FI-262"/>
    <s v="M-262"/>
  </r>
  <r>
    <x v="1955"/>
    <n v="990"/>
    <x v="0"/>
    <x v="11"/>
    <n v="3074"/>
    <x v="102"/>
    <x v="37"/>
    <x v="1"/>
    <x v="10"/>
    <s v="Ninguno"/>
    <s v="Complejo Glaciar Volcán Calbuco"/>
    <s v="Años 2017-2018"/>
    <s v="hectáreas (ha)"/>
    <s v="DATA INTELLIGENCE con base en Procesamiento de Imágenes Satelitales SENTINEL"/>
    <x v="1934"/>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Interactivo"/>
    <s v="glaciar,Chile,nieve,Los Lagos,SENTINEL,satelital,derretimiento,Puerto Varas,Puerto Montt,dinámica,mapa"/>
    <x v="1939"/>
    <n v="0"/>
    <s v="#FFFFFF"/>
    <s v="990-1956"/>
    <n v="26200010"/>
    <s v="T-262"/>
    <s v="C-264"/>
    <s v="FI-262"/>
    <s v="M-263"/>
  </r>
  <r>
    <x v="1956"/>
    <n v="990"/>
    <x v="0"/>
    <x v="11"/>
    <n v="3074"/>
    <x v="102"/>
    <x v="37"/>
    <x v="1"/>
    <x v="10"/>
    <s v="Ninguno"/>
    <s v="Complejo Glaciar Volcán Calbuco"/>
    <s v="Años 2018-2019"/>
    <s v="hectáreas (ha)"/>
    <s v="DATA INTELLIGENCE con base en Procesamiento de Imágenes Satelitales SENTINEL"/>
    <x v="1935"/>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Interactivo"/>
    <s v="glaciar,Chile,nieve,Los Lagos,SENTINEL,satelital,derretimiento,Puerto Varas,Puerto Montt,dinámica,mapa"/>
    <x v="1940"/>
    <n v="0"/>
    <s v="#FFFFFF"/>
    <s v="990-1957"/>
    <n v="26200010"/>
    <s v="T-262"/>
    <s v="C-264"/>
    <s v="FI-262"/>
    <s v="M-263"/>
  </r>
  <r>
    <x v="1957"/>
    <n v="990"/>
    <x v="0"/>
    <x v="11"/>
    <n v="3074"/>
    <x v="102"/>
    <x v="37"/>
    <x v="1"/>
    <x v="10"/>
    <s v="Ninguno"/>
    <s v="Complejo Glaciar Volcán Calbuco"/>
    <s v=" Años 2019-2020"/>
    <s v="hectáreas (ha)"/>
    <s v="DATA INTELLIGENCE con base en Procesamiento de Imágenes Satelitales SENTINEL"/>
    <x v="1936"/>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Interactivo"/>
    <s v="glaciar,Chile,nieve,Los Lagos,SENTINEL,satelital,derretimiento,Puerto Varas,Puerto Montt,dinámica,mapa"/>
    <x v="1941"/>
    <n v="0"/>
    <s v="#FFFFFF"/>
    <s v="990-1958"/>
    <n v="26200010"/>
    <s v="T-262"/>
    <s v="C-264"/>
    <s v="FI-262"/>
    <s v="M-263"/>
  </r>
  <r>
    <x v="1958"/>
    <n v="990"/>
    <x v="0"/>
    <x v="11"/>
    <n v="3074"/>
    <x v="102"/>
    <x v="37"/>
    <x v="1"/>
    <x v="10"/>
    <s v="Ninguno"/>
    <s v="Complejo Glaciar Volcán Calbuco"/>
    <s v="Años 2020-2021"/>
    <s v="hectáreas (ha)"/>
    <s v="DATA INTELLIGENCE con base en Procesamiento de Imágenes Satelitales SENTINEL"/>
    <x v="1937"/>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Interactivo"/>
    <s v="glaciar,Chile,nieve,Los Lagos,SENTINEL,satelital,derretimiento,Puerto Varas,Puerto Montt,dinámica,mapa"/>
    <x v="1942"/>
    <n v="0"/>
    <s v="#FFFFFF"/>
    <s v="990-1959"/>
    <n v="26200010"/>
    <s v="T-262"/>
    <s v="C-264"/>
    <s v="FI-262"/>
    <s v="M-263"/>
  </r>
  <r>
    <x v="1959"/>
    <n v="990"/>
    <x v="0"/>
    <x v="11"/>
    <n v="3074"/>
    <x v="103"/>
    <x v="37"/>
    <x v="1"/>
    <x v="10"/>
    <s v="Ninguno"/>
    <s v="Complejo Glaciar Volcán Calbuco"/>
    <s v="Años 2017-2018"/>
    <s v="hectáreas (ha)"/>
    <s v="DATA INTELLIGENCE con base en Procesamiento de Imágenes Satelitales SENTINEL"/>
    <x v="1934"/>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Interactivo"/>
    <s v="glaciar,Chile,nieve,Los Lagos,SENTINEL,satelital,derretimiento,Puerto Varas,Puerto Montt,dinámica,mapa"/>
    <x v="1943"/>
    <n v="0"/>
    <s v="#FFFFFF"/>
    <s v="990-1960"/>
    <n v="26200010"/>
    <s v="T-262"/>
    <s v="C-264"/>
    <s v="FI-262"/>
    <s v="M-263"/>
  </r>
  <r>
    <x v="1960"/>
    <n v="990"/>
    <x v="0"/>
    <x v="11"/>
    <n v="3074"/>
    <x v="103"/>
    <x v="37"/>
    <x v="1"/>
    <x v="10"/>
    <s v="Ninguno"/>
    <s v="Complejo Glaciar Volcán Calbuco"/>
    <s v="Años 2018-2019"/>
    <s v="hectáreas (ha)"/>
    <s v="DATA INTELLIGENCE con base en Procesamiento de Imágenes Satelitales SENTINEL"/>
    <x v="1935"/>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Interactivo"/>
    <s v="glaciar,Chile,nieve,Los Lagos,SENTINEL,satelital,derretimiento,Puerto Varas,Puerto Montt,dinámica,mapa"/>
    <x v="1944"/>
    <n v="0"/>
    <s v="#FFFFFF"/>
    <s v="990-1961"/>
    <n v="26200010"/>
    <s v="T-262"/>
    <s v="C-264"/>
    <s v="FI-262"/>
    <s v="M-263"/>
  </r>
  <r>
    <x v="1961"/>
    <n v="990"/>
    <x v="0"/>
    <x v="11"/>
    <n v="3074"/>
    <x v="103"/>
    <x v="37"/>
    <x v="1"/>
    <x v="10"/>
    <s v="Ninguno"/>
    <s v="Complejo Glaciar Volcán Calbuco"/>
    <s v=" Años 2019-2020"/>
    <s v="hectáreas (ha)"/>
    <s v="DATA INTELLIGENCE con base en Procesamiento de Imágenes Satelitales SENTINEL"/>
    <x v="1936"/>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Interactivo"/>
    <s v="glaciar,Chile,nieve,Los Lagos,SENTINEL,satelital,derretimiento,Puerto Varas,Puerto Montt,dinámica,mapa"/>
    <x v="1945"/>
    <n v="0"/>
    <s v="#FFFFFF"/>
    <s v="990-1962"/>
    <n v="26200010"/>
    <s v="T-262"/>
    <s v="C-264"/>
    <s v="FI-262"/>
    <s v="M-263"/>
  </r>
  <r>
    <x v="1962"/>
    <n v="990"/>
    <x v="0"/>
    <x v="11"/>
    <n v="3074"/>
    <x v="104"/>
    <x v="37"/>
    <x v="1"/>
    <x v="10"/>
    <s v="Varios"/>
    <s v="Complejo Glaciar Volcán Calbuco"/>
    <s v="Años 2017-2021"/>
    <s v="hectáreas (ha)"/>
    <s v="DATA INTELLIGENCE con base en Procesamiento de Imágenes Satelitales SENTINEL"/>
    <x v="1938"/>
    <s v="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volcán"/>
    <x v="1946"/>
    <n v="0"/>
    <s v="#FFFFFF"/>
    <s v="990-1963"/>
    <n v="26200010"/>
    <s v="T-262"/>
    <s v="C-262"/>
    <s v="FI-263"/>
    <s v="M-263"/>
  </r>
  <r>
    <x v="1963"/>
    <n v="990"/>
    <x v="0"/>
    <x v="11"/>
    <n v="3074"/>
    <x v="102"/>
    <x v="37"/>
    <x v="1"/>
    <x v="10"/>
    <s v="Ninguno"/>
    <s v="Complejo Glaciar Volcán Calbuco"/>
    <s v="Años 2017-2018"/>
    <s v="hectáreas (ha)"/>
    <s v="DATA INTELLIGENCE con base en Procesamiento de Imágenes Satelitales SENTINEL"/>
    <x v="1939"/>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Descargable (pdf)"/>
    <s v="glaciar,Chile,nieve,Los Lagos,SENTINEL,satelital,derretimiento,Puerto Varas,Puerto Montt,dinámica,mapa"/>
    <x v="1947"/>
    <n v="0"/>
    <s v="#FFFFFF"/>
    <s v="990-1964"/>
    <n v="26200010"/>
    <s v="T-262"/>
    <s v="C-263"/>
    <s v="FI-262"/>
    <s v="M-263"/>
  </r>
  <r>
    <x v="1964"/>
    <n v="990"/>
    <x v="0"/>
    <x v="11"/>
    <n v="3074"/>
    <x v="102"/>
    <x v="37"/>
    <x v="1"/>
    <x v="10"/>
    <s v="Ninguno"/>
    <s v="Complejo Glaciar Volcán Calbuco"/>
    <s v="Años 2018-2019"/>
    <s v="hectáreas (ha)"/>
    <s v="DATA INTELLIGENCE con base en Procesamiento de Imágenes Satelitales SENTINEL"/>
    <x v="1940"/>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Descargable (pdf)"/>
    <s v="glaciar,Chile,nieve,Los Lagos,SENTINEL,satelital,derretimiento,Puerto Varas,Puerto Montt,dinámica,mapa"/>
    <x v="1948"/>
    <n v="0"/>
    <s v="#FFFFFF"/>
    <s v="990-1965"/>
    <n v="26200010"/>
    <s v="T-262"/>
    <s v="C-263"/>
    <s v="FI-262"/>
    <s v="M-263"/>
  </r>
  <r>
    <x v="1965"/>
    <n v="990"/>
    <x v="0"/>
    <x v="11"/>
    <n v="3074"/>
    <x v="102"/>
    <x v="37"/>
    <x v="1"/>
    <x v="10"/>
    <s v="Ninguno"/>
    <s v="Complejo Glaciar Volcán Calbuco"/>
    <s v=" Años 2019-2020"/>
    <s v="hectáreas (ha)"/>
    <s v="DATA INTELLIGENCE con base en Procesamiento de Imágenes Satelitales SENTINEL"/>
    <x v="1941"/>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Descargable (pdf)"/>
    <s v="glaciar,Chile,nieve,Los Lagos,SENTINEL,satelital,derretimiento,Puerto Varas,Puerto Montt,dinámica,mapa"/>
    <x v="1949"/>
    <n v="0"/>
    <s v="#FFFFFF"/>
    <s v="990-1966"/>
    <n v="26200010"/>
    <s v="T-262"/>
    <s v="C-263"/>
    <s v="FI-262"/>
    <s v="M-263"/>
  </r>
  <r>
    <x v="1966"/>
    <n v="990"/>
    <x v="0"/>
    <x v="11"/>
    <n v="3074"/>
    <x v="102"/>
    <x v="37"/>
    <x v="1"/>
    <x v="10"/>
    <s v="Ninguno"/>
    <s v="Complejo Glaciar Volcán Calbuco"/>
    <s v="Años 2020-2021"/>
    <s v="hectáreas (ha)"/>
    <s v="DATA INTELLIGENCE con base en Procesamiento de Imágenes Satelitales SENTINEL"/>
    <x v="1942"/>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Descargable (pdf)"/>
    <s v="glaciar,Chile,nieve,Los Lagos,SENTINEL,satelital,derretimiento,Puerto Varas,Puerto Montt,dinámica,mapa"/>
    <x v="1950"/>
    <n v="0"/>
    <s v="#FFFFFF"/>
    <s v="990-1967"/>
    <n v="26200010"/>
    <s v="T-262"/>
    <s v="C-263"/>
    <s v="FI-262"/>
    <s v="M-263"/>
  </r>
  <r>
    <x v="1967"/>
    <n v="990"/>
    <x v="0"/>
    <x v="11"/>
    <n v="3074"/>
    <x v="103"/>
    <x v="37"/>
    <x v="1"/>
    <x v="10"/>
    <s v="Ninguno"/>
    <s v="Complejo Glaciar Volcán Calbuco"/>
    <s v="Años 2017-2018"/>
    <s v="hectáreas (ha)"/>
    <s v="DATA INTELLIGENCE con base en Procesamiento de Imágenes Satelitales SENTINEL"/>
    <x v="1939"/>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Descargable (pdf)"/>
    <s v="glaciar,Chile,nieve,Los Lagos,SENTINEL,satelital,derretimiento,Puerto Varas,Puerto Montt,dinámica,mapa"/>
    <x v="1951"/>
    <n v="0"/>
    <s v="#FFFFFF"/>
    <s v="990-1968"/>
    <n v="26200010"/>
    <s v="T-262"/>
    <s v="C-263"/>
    <s v="FI-262"/>
    <s v="M-263"/>
  </r>
  <r>
    <x v="1968"/>
    <n v="990"/>
    <x v="0"/>
    <x v="11"/>
    <n v="3074"/>
    <x v="103"/>
    <x v="37"/>
    <x v="1"/>
    <x v="10"/>
    <s v="Ninguno"/>
    <s v="Complejo Glaciar Volcán Calbuco"/>
    <s v="Años 2018-2019"/>
    <s v="hectáreas (ha)"/>
    <s v="DATA INTELLIGENCE con base en Procesamiento de Imágenes Satelitales SENTINEL"/>
    <x v="1940"/>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Descargable (pdf)"/>
    <s v="glaciar,Chile,nieve,Los Lagos,SENTINEL,satelital,derretimiento,Puerto Varas,Puerto Montt,dinámica,mapa"/>
    <x v="1952"/>
    <n v="0"/>
    <s v="#FFFFFF"/>
    <s v="990-1969"/>
    <n v="26200010"/>
    <s v="T-262"/>
    <s v="C-263"/>
    <s v="FI-262"/>
    <s v="M-263"/>
  </r>
  <r>
    <x v="1969"/>
    <n v="990"/>
    <x v="0"/>
    <x v="11"/>
    <n v="3074"/>
    <x v="103"/>
    <x v="37"/>
    <x v="1"/>
    <x v="10"/>
    <s v="Ninguno"/>
    <s v="Complejo Glaciar Volcán Calbuco"/>
    <s v=" Años 2019-2020"/>
    <s v="hectáreas (ha)"/>
    <s v="DATA INTELLIGENCE con base en Procesamiento de Imágenes Satelitales SENTINEL"/>
    <x v="1941"/>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Descargable (pdf)"/>
    <s v="glaciar,Chile,nieve,Los Lagos,SENTINEL,satelital,derretimiento,Puerto Varas,Puerto Montt,dinámica,mapa"/>
    <x v="1953"/>
    <n v="0"/>
    <s v="#FFFFFF"/>
    <s v="990-1970"/>
    <n v="26200010"/>
    <s v="T-262"/>
    <s v="C-263"/>
    <s v="FI-262"/>
    <s v="M-263"/>
  </r>
  <r>
    <x v="1970"/>
    <n v="990"/>
    <x v="0"/>
    <x v="11"/>
    <n v="3074"/>
    <x v="105"/>
    <x v="37"/>
    <x v="1"/>
    <x v="10"/>
    <s v="Ninguno"/>
    <s v="Complejo Glaciar Volcán Calbuco"/>
    <s v="Años 2017-2021"/>
    <s v="hectáreas (ha)"/>
    <s v="DATA INTELLIGENCE con base en Procesamiento de Imágenes Satelitales SENTINEL"/>
    <x v="1943"/>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Interactivo"/>
    <s v="glaciar,Chile,nieve,Los Lagos,SENTINEL,satelital,derretimiento,Puerto Varas,Puerto Montt,dinámica,mapa"/>
    <x v="1954"/>
    <n v="0"/>
    <s v="#FFFFFF"/>
    <s v="990-1971"/>
    <n v="26200010"/>
    <s v="T-263"/>
    <s v="C-265"/>
    <s v="FI-262"/>
    <s v="M-263"/>
  </r>
  <r>
    <x v="1971"/>
    <n v="990"/>
    <x v="0"/>
    <x v="11"/>
    <n v="3074"/>
    <x v="105"/>
    <x v="37"/>
    <x v="1"/>
    <x v="10"/>
    <s v="Varios"/>
    <s v="Complejo Glaciar Volcán Calbuco"/>
    <s v="Años 2017-2021"/>
    <s v="hectáreas (ha)"/>
    <s v="DATA INTELLIGENCE con base en Procesamiento de Imágenes Satelitales SENTINEL"/>
    <x v="1944"/>
    <s v="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
    <s v="Dashboard"/>
    <s v="glaciar,Chile,nieve,Los Lagos,SENTINEL,satelital,derretimiento,Puerto Varas,Puerto Montt,dinámica,mapa"/>
    <x v="1955"/>
    <n v="0"/>
    <s v="#FFFFFF"/>
    <s v="990-1972"/>
    <n v="26200010"/>
    <s v="T-263"/>
    <s v="C-265"/>
    <s v="FI-263"/>
    <s v="M-263"/>
  </r>
  <r>
    <x v="1972"/>
    <n v="990"/>
    <x v="0"/>
    <x v="11"/>
    <n v="3074"/>
    <x v="105"/>
    <x v="37"/>
    <x v="1"/>
    <x v="10"/>
    <s v="Ninguno"/>
    <s v="Complejo Glaciar Volcán Calbuco"/>
    <s v="Años 2017-2021"/>
    <s v="hectáreas (ha)"/>
    <s v="DATA INTELLIGENCE con base en Procesamiento de Imágenes Satelitales SENTINEL"/>
    <x v="1945"/>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Descargable (pdf)"/>
    <s v="glaciar,Chile,nieve,Los Lagos,SENTINEL,satelital,derretimiento,Puerto Varas,Puerto Montt,dinámica,mapa"/>
    <x v="1956"/>
    <n v="0"/>
    <s v="#FFFFFF"/>
    <s v="990-1973"/>
    <n v="26200010"/>
    <s v="T-263"/>
    <s v="C-265"/>
    <s v="FI-262"/>
    <s v="M-263"/>
  </r>
  <r>
    <x v="1973"/>
    <n v="990"/>
    <x v="0"/>
    <x v="11"/>
    <n v="3104"/>
    <x v="102"/>
    <x v="37"/>
    <x v="1"/>
    <x v="10"/>
    <s v="Ninguno"/>
    <s v="Complejo Glaciar Volcán Osorno"/>
    <s v="Años 2017-2018"/>
    <s v="hectáreas (ha)"/>
    <s v="DATA INTELLIGENCE con base en Procesamiento de Imágenes Satelitales SENTINEL"/>
    <x v="1946"/>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Interactivo"/>
    <s v="glaciar,Chile,nieve,Los Lagos,SENTINEL,satelital,derretimiento,Puerto Varas,Puerto Octay,dinámica,mapa"/>
    <x v="1957"/>
    <n v="0"/>
    <s v="#FFFFFF"/>
    <s v="990-1974"/>
    <n v="26200010"/>
    <s v="T-262"/>
    <s v="C-264"/>
    <s v="FI-262"/>
    <s v="M-264"/>
  </r>
  <r>
    <x v="1974"/>
    <n v="990"/>
    <x v="0"/>
    <x v="11"/>
    <n v="3104"/>
    <x v="102"/>
    <x v="37"/>
    <x v="1"/>
    <x v="10"/>
    <s v="Ninguno"/>
    <s v="Complejo Glaciar Volcán Osorno"/>
    <s v="Años 2018-2019"/>
    <s v="hectáreas (ha)"/>
    <s v="DATA INTELLIGENCE con base en Procesamiento de Imágenes Satelitales SENTINEL"/>
    <x v="1947"/>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Interactivo"/>
    <s v="glaciar,Chile,nieve,Los Lagos,SENTINEL,satelital,derretimiento,Puerto Varas,Puerto Octay,dinámica,mapa"/>
    <x v="1958"/>
    <n v="0"/>
    <s v="#FFFFFF"/>
    <s v="990-1975"/>
    <n v="26200010"/>
    <s v="T-262"/>
    <s v="C-264"/>
    <s v="FI-262"/>
    <s v="M-264"/>
  </r>
  <r>
    <x v="1975"/>
    <n v="990"/>
    <x v="0"/>
    <x v="11"/>
    <n v="3104"/>
    <x v="102"/>
    <x v="37"/>
    <x v="1"/>
    <x v="10"/>
    <s v="Ninguno"/>
    <s v="Complejo Glaciar Volcán Osorno"/>
    <s v=" Años 2019-2020"/>
    <s v="hectáreas (ha)"/>
    <s v="DATA INTELLIGENCE con base en Procesamiento de Imágenes Satelitales SENTINEL"/>
    <x v="1948"/>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Interactivo"/>
    <s v="glaciar,Chile,nieve,Los Lagos,SENTINEL,satelital,derretimiento,Puerto Varas,Puerto Octay,dinámica,mapa"/>
    <x v="1959"/>
    <n v="0"/>
    <s v="#FFFFFF"/>
    <s v="990-1976"/>
    <n v="26200010"/>
    <s v="T-262"/>
    <s v="C-264"/>
    <s v="FI-262"/>
    <s v="M-264"/>
  </r>
  <r>
    <x v="1976"/>
    <n v="990"/>
    <x v="0"/>
    <x v="11"/>
    <n v="3104"/>
    <x v="102"/>
    <x v="37"/>
    <x v="1"/>
    <x v="10"/>
    <s v="Ninguno"/>
    <s v="Complejo Glaciar Volcán Osorno"/>
    <s v="Años 2020-2021"/>
    <s v="hectáreas (ha)"/>
    <s v="DATA INTELLIGENCE con base en Procesamiento de Imágenes Satelitales SENTINEL"/>
    <x v="1949"/>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Interactivo"/>
    <s v="glaciar,Chile,nieve,Los Lagos,SENTINEL,satelital,derretimiento,Puerto Varas,Puerto Octay,dinámica,mapa"/>
    <x v="1960"/>
    <n v="0"/>
    <s v="#FFFFFF"/>
    <s v="990-1977"/>
    <n v="26200010"/>
    <s v="T-262"/>
    <s v="C-264"/>
    <s v="FI-262"/>
    <s v="M-264"/>
  </r>
  <r>
    <x v="1977"/>
    <n v="990"/>
    <x v="0"/>
    <x v="11"/>
    <n v="3104"/>
    <x v="103"/>
    <x v="37"/>
    <x v="1"/>
    <x v="10"/>
    <s v="Ninguno"/>
    <s v="Complejo Glaciar Volcán Osorno"/>
    <s v="Años 2017-2018"/>
    <s v="hectáreas (ha)"/>
    <s v="DATA INTELLIGENCE con base en Procesamiento de Imágenes Satelitales SENTINEL"/>
    <x v="1946"/>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Interactivo"/>
    <s v="glaciar,Chile,nieve,Los Lagos,SENTINEL,satelital,derretimiento,Puerto Varas,Puerto Octay,dinámica,mapa"/>
    <x v="1961"/>
    <n v="0"/>
    <s v="#FFFFFF"/>
    <s v="990-1978"/>
    <n v="26200010"/>
    <s v="T-262"/>
    <s v="C-264"/>
    <s v="FI-262"/>
    <s v="M-264"/>
  </r>
  <r>
    <x v="1978"/>
    <n v="990"/>
    <x v="0"/>
    <x v="11"/>
    <n v="3104"/>
    <x v="103"/>
    <x v="37"/>
    <x v="1"/>
    <x v="10"/>
    <s v="Ninguno"/>
    <s v="Complejo Glaciar Volcán Osorno"/>
    <s v="Años 2018-2019"/>
    <s v="hectáreas (ha)"/>
    <s v="DATA INTELLIGENCE con base en Procesamiento de Imágenes Satelitales SENTINEL"/>
    <x v="1947"/>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Interactivo"/>
    <s v="glaciar,Chile,nieve,Los Lagos,SENTINEL,satelital,derretimiento,Puerto Varas,Puerto Octay,dinámica,mapa"/>
    <x v="1962"/>
    <n v="0"/>
    <s v="#FFFFFF"/>
    <s v="990-1979"/>
    <n v="26200010"/>
    <s v="T-262"/>
    <s v="C-264"/>
    <s v="FI-262"/>
    <s v="M-264"/>
  </r>
  <r>
    <x v="1979"/>
    <n v="990"/>
    <x v="0"/>
    <x v="11"/>
    <n v="3104"/>
    <x v="103"/>
    <x v="37"/>
    <x v="1"/>
    <x v="10"/>
    <s v="Ninguno"/>
    <s v="Complejo Glaciar Volcán Osorno"/>
    <s v=" Años 2019-2020"/>
    <s v="hectáreas (ha)"/>
    <s v="DATA INTELLIGENCE con base en Procesamiento de Imágenes Satelitales SENTINEL"/>
    <x v="1948"/>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Interactivo"/>
    <s v="glaciar,Chile,nieve,Los Lagos,SENTINEL,satelital,derretimiento,Puerto Varas,Puerto Octay,dinámica,mapa"/>
    <x v="1963"/>
    <n v="0"/>
    <s v="#FFFFFF"/>
    <s v="990-1980"/>
    <n v="26200010"/>
    <s v="T-262"/>
    <s v="C-264"/>
    <s v="FI-262"/>
    <s v="M-264"/>
  </r>
  <r>
    <x v="1980"/>
    <n v="990"/>
    <x v="0"/>
    <x v="11"/>
    <n v="3104"/>
    <x v="104"/>
    <x v="37"/>
    <x v="1"/>
    <x v="10"/>
    <s v="Varios"/>
    <s v="Complejo Glaciar Volcán Osorno"/>
    <s v="Años 2017-2021"/>
    <s v="hectáreas (ha)"/>
    <s v="DATA INTELLIGENCE con base en Procesamiento de Imágenes Satelitales SENTINEL"/>
    <x v="1950"/>
    <s v="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volcán"/>
    <x v="1964"/>
    <n v="0"/>
    <s v="#FFFFFF"/>
    <s v="990-1981"/>
    <n v="26200010"/>
    <s v="T-262"/>
    <s v="C-262"/>
    <s v="FI-263"/>
    <s v="M-264"/>
  </r>
  <r>
    <x v="1981"/>
    <n v="990"/>
    <x v="0"/>
    <x v="11"/>
    <n v="3104"/>
    <x v="102"/>
    <x v="37"/>
    <x v="1"/>
    <x v="10"/>
    <s v="Ninguno"/>
    <s v="Complejo Glaciar Volcán Osorno"/>
    <s v="Años 2017-2018"/>
    <s v="hectáreas (ha)"/>
    <s v="DATA INTELLIGENCE con base en Procesamiento de Imágenes Satelitales SENTINEL"/>
    <x v="1951"/>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Descargable (pdf)"/>
    <s v="glaciar,Chile,nieve,Los Lagos,SENTINEL,satelital,derretimiento,Puerto Varas,Puerto Octay,dinámica,mapa"/>
    <x v="1965"/>
    <n v="0"/>
    <s v="#FFFFFF"/>
    <s v="990-1982"/>
    <n v="26200010"/>
    <s v="T-262"/>
    <s v="C-263"/>
    <s v="FI-262"/>
    <s v="M-264"/>
  </r>
  <r>
    <x v="1982"/>
    <n v="990"/>
    <x v="0"/>
    <x v="11"/>
    <n v="3104"/>
    <x v="102"/>
    <x v="37"/>
    <x v="1"/>
    <x v="10"/>
    <s v="Ninguno"/>
    <s v="Complejo Glaciar Volcán Osorno"/>
    <s v="Años 2018-2019"/>
    <s v="hectáreas (ha)"/>
    <s v="DATA INTELLIGENCE con base en Procesamiento de Imágenes Satelitales SENTINEL"/>
    <x v="1952"/>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Descargable (pdf)"/>
    <s v="glaciar,Chile,nieve,Los Lagos,SENTINEL,satelital,derretimiento,Puerto Varas,Puerto Octay,dinámica,mapa"/>
    <x v="1966"/>
    <n v="0"/>
    <s v="#FFFFFF"/>
    <s v="990-1983"/>
    <n v="26200010"/>
    <s v="T-262"/>
    <s v="C-263"/>
    <s v="FI-262"/>
    <s v="M-264"/>
  </r>
  <r>
    <x v="1983"/>
    <n v="990"/>
    <x v="0"/>
    <x v="11"/>
    <n v="3104"/>
    <x v="102"/>
    <x v="37"/>
    <x v="1"/>
    <x v="10"/>
    <s v="Ninguno"/>
    <s v="Complejo Glaciar Volcán Osorno"/>
    <s v=" Años 2019-2020"/>
    <s v="hectáreas (ha)"/>
    <s v="DATA INTELLIGENCE con base en Procesamiento de Imágenes Satelitales SENTINEL"/>
    <x v="1953"/>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Descargable (pdf)"/>
    <s v="glaciar,Chile,nieve,Los Lagos,SENTINEL,satelital,derretimiento,Puerto Varas,Puerto Octay,dinámica,mapa"/>
    <x v="1967"/>
    <n v="0"/>
    <s v="#FFFFFF"/>
    <s v="990-1984"/>
    <n v="26200010"/>
    <s v="T-262"/>
    <s v="C-263"/>
    <s v="FI-262"/>
    <s v="M-264"/>
  </r>
  <r>
    <x v="1984"/>
    <n v="990"/>
    <x v="0"/>
    <x v="11"/>
    <n v="3104"/>
    <x v="102"/>
    <x v="37"/>
    <x v="1"/>
    <x v="10"/>
    <s v="Ninguno"/>
    <s v="Complejo Glaciar Volcán Osorno"/>
    <s v="Años 2020-2021"/>
    <s v="hectáreas (ha)"/>
    <s v="DATA INTELLIGENCE con base en Procesamiento de Imágenes Satelitales SENTINEL"/>
    <x v="1954"/>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Descargable (pdf)"/>
    <s v="glaciar,Chile,nieve,Los Lagos,SENTINEL,satelital,derretimiento,Puerto Varas,Puerto Octay,dinámica,mapa"/>
    <x v="1968"/>
    <n v="0"/>
    <s v="#FFFFFF"/>
    <s v="990-1985"/>
    <n v="26200010"/>
    <s v="T-262"/>
    <s v="C-263"/>
    <s v="FI-262"/>
    <s v="M-264"/>
  </r>
  <r>
    <x v="1985"/>
    <n v="990"/>
    <x v="0"/>
    <x v="11"/>
    <n v="3104"/>
    <x v="103"/>
    <x v="37"/>
    <x v="1"/>
    <x v="10"/>
    <s v="Ninguno"/>
    <s v="Complejo Glaciar Volcán Osorno"/>
    <s v="Años 2017-2018"/>
    <s v="hectáreas (ha)"/>
    <s v="DATA INTELLIGENCE con base en Procesamiento de Imágenes Satelitales SENTINEL"/>
    <x v="1951"/>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Descargable (pdf)"/>
    <s v="glaciar,Chile,nieve,Los Lagos,SENTINEL,satelital,derretimiento,Puerto Varas,Puerto Octay,dinámica,mapa"/>
    <x v="1969"/>
    <n v="0"/>
    <s v="#FFFFFF"/>
    <s v="990-1986"/>
    <n v="26200010"/>
    <s v="T-262"/>
    <s v="C-263"/>
    <s v="FI-262"/>
    <s v="M-264"/>
  </r>
  <r>
    <x v="1986"/>
    <n v="990"/>
    <x v="0"/>
    <x v="11"/>
    <n v="3104"/>
    <x v="103"/>
    <x v="37"/>
    <x v="1"/>
    <x v="10"/>
    <s v="Ninguno"/>
    <s v="Complejo Glaciar Volcán Osorno"/>
    <s v="Años 2018-2019"/>
    <s v="hectáreas (ha)"/>
    <s v="DATA INTELLIGENCE con base en Procesamiento de Imágenes Satelitales SENTINEL"/>
    <x v="1952"/>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Descargable (pdf)"/>
    <s v="glaciar,Chile,nieve,Los Lagos,SENTINEL,satelital,derretimiento,Puerto Varas,Puerto Octay,dinámica,mapa"/>
    <x v="1970"/>
    <n v="0"/>
    <s v="#FFFFFF"/>
    <s v="990-1987"/>
    <n v="26200010"/>
    <s v="T-262"/>
    <s v="C-263"/>
    <s v="FI-262"/>
    <s v="M-264"/>
  </r>
  <r>
    <x v="1987"/>
    <n v="990"/>
    <x v="0"/>
    <x v="11"/>
    <n v="3104"/>
    <x v="103"/>
    <x v="37"/>
    <x v="1"/>
    <x v="10"/>
    <s v="Ninguno"/>
    <s v="Complejo Glaciar Volcán Osorno"/>
    <s v=" Años 2019-2020"/>
    <s v="hectáreas (ha)"/>
    <s v="DATA INTELLIGENCE con base en Procesamiento de Imágenes Satelitales SENTINEL"/>
    <x v="1953"/>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Descargable (pdf)"/>
    <s v="glaciar,Chile,nieve,Los Lagos,SENTINEL,satelital,derretimiento,Puerto Varas,Puerto Octay,dinámica,mapa"/>
    <x v="1971"/>
    <n v="0"/>
    <s v="#FFFFFF"/>
    <s v="990-1988"/>
    <n v="26200010"/>
    <s v="T-262"/>
    <s v="C-263"/>
    <s v="FI-262"/>
    <s v="M-264"/>
  </r>
  <r>
    <x v="1988"/>
    <n v="990"/>
    <x v="0"/>
    <x v="11"/>
    <n v="3104"/>
    <x v="105"/>
    <x v="37"/>
    <x v="1"/>
    <x v="10"/>
    <s v="Ninguno"/>
    <s v="Complejo Glaciar Volcán Osorno"/>
    <s v="Años 2017-2021"/>
    <s v="hectáreas (ha)"/>
    <s v="DATA INTELLIGENCE con base en Procesamiento de Imágenes Satelitales SENTINEL"/>
    <x v="1955"/>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Interactivo"/>
    <s v="glaciar,Chile,nieve,Los Lagos,SENTINEL,satelital,derretimiento,Puerto Varas,Puerto Octay,dinámica,mapa"/>
    <x v="1972"/>
    <n v="0"/>
    <s v="#FFFFFF"/>
    <s v="990-1989"/>
    <n v="26200010"/>
    <s v="T-263"/>
    <s v="C-265"/>
    <s v="FI-262"/>
    <s v="M-264"/>
  </r>
  <r>
    <x v="1989"/>
    <n v="990"/>
    <x v="0"/>
    <x v="11"/>
    <n v="3104"/>
    <x v="105"/>
    <x v="37"/>
    <x v="1"/>
    <x v="10"/>
    <s v="Varios"/>
    <s v="Complejo Glaciar Volcán Osorno"/>
    <s v="Años 2017-2021"/>
    <s v="hectáreas (ha)"/>
    <s v="DATA INTELLIGENCE con base en Procesamiento de Imágenes Satelitales SENTINEL"/>
    <x v="1956"/>
    <s v="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
    <s v="Dashboard"/>
    <s v="glaciar,Chile,nieve,Los Lagos,SENTINEL,satelital,derretimiento,Puerto Varas,Puerto Octay,dinámica,mapa"/>
    <x v="1973"/>
    <n v="0"/>
    <s v="#FFFFFF"/>
    <s v="990-1990"/>
    <n v="26200010"/>
    <s v="T-263"/>
    <s v="C-265"/>
    <s v="FI-263"/>
    <s v="M-264"/>
  </r>
  <r>
    <x v="1990"/>
    <n v="990"/>
    <x v="0"/>
    <x v="11"/>
    <n v="3104"/>
    <x v="105"/>
    <x v="37"/>
    <x v="1"/>
    <x v="10"/>
    <s v="Ninguno"/>
    <s v="Complejo Glaciar Volcán Osorno"/>
    <s v="Años 2017-2021"/>
    <s v="hectáreas (ha)"/>
    <s v="DATA INTELLIGENCE con base en Procesamiento de Imágenes Satelitales SENTINEL"/>
    <x v="1957"/>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Descargable (pdf)"/>
    <s v="glaciar,Chile,nieve,Los Lagos,SENTINEL,satelital,derretimiento,Puerto Varas,Puerto Octay,dinámica,mapa"/>
    <x v="1974"/>
    <n v="0"/>
    <s v="#FFFFFF"/>
    <s v="990-1991"/>
    <n v="26200010"/>
    <s v="T-263"/>
    <s v="C-265"/>
    <s v="FI-262"/>
    <s v="M-2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
  <r>
    <s v="0001"/>
    <n v="990"/>
    <s v="Agencia Información"/>
    <s v="Socioeconómico"/>
    <n v="0"/>
    <x v="0"/>
    <x v="0"/>
    <x v="0"/>
    <x v="0"/>
    <x v="0"/>
    <x v="0"/>
    <s v="Periodo 2006-2017"/>
    <s v="CLP/mes"/>
    <s v="Encuestas CASEN"/>
    <s v="Evolución de Ingreso Promedio Mensual en Chile para el Periodo 2006-2017"/>
    <s v="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
    <s v="Gráfico de Evolución"/>
    <s v="Chile,ingresos,ingreso,encuesta,CASEN,ingreso mensual,ingreso promedio,Agencia Información,Socioeconómico,Ingreso Promedio Regional,Ingresos Históricos"/>
    <s v="https://analytics.zoho.com/open-view/2395394000008229874"/>
    <x v="0"/>
    <s v="#1774B9"/>
  </r>
  <r>
    <s v="0002"/>
    <n v="990"/>
    <s v="Agencia Información"/>
    <s v="Socioeconómico"/>
    <n v="1"/>
    <x v="0"/>
    <x v="0"/>
    <x v="1"/>
    <x v="1"/>
    <x v="1"/>
    <x v="0"/>
    <s v="Periodo 2006-2017"/>
    <s v="CLP/mes"/>
    <s v="Encuestas CASEN"/>
    <s v="Evolución de Ingreso Promedio Mensual en la Región de Tarapacá para el Periodo 2006-2017"/>
    <s v="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
    <s v="Gráfico de Evolución"/>
    <s v="Región de Tarapacá,ingresos,ingreso,encuesta,CASEN,ingreso mensual,ingreso promedio,Agencia Información,Socioeconómico,Ingreso Promedio Regional,Ingresos Históricos"/>
    <s v="https://analytics.zoho.com/open-view/2395394000008161200?ZOHO_CRITERIA=%22Localiza%20Chile%22.%22Codreg%22%3D1"/>
    <x v="1"/>
    <s v="#1774B9"/>
  </r>
  <r>
    <s v="0003"/>
    <n v="990"/>
    <s v="Agencia Información"/>
    <s v="Socioeconómico"/>
    <n v="2"/>
    <x v="0"/>
    <x v="0"/>
    <x v="1"/>
    <x v="2"/>
    <x v="1"/>
    <x v="0"/>
    <s v="Periodo 2006-2017"/>
    <s v="CLP/mes"/>
    <s v="Encuestas CASEN"/>
    <s v="Evolución de Ingreso Promedio Mensual en la Región de Antofagasta para el Periodo 2006-2017"/>
    <s v="La región de Antofagasta es la que posee el mayor ingreso promedio mensual en el año 2017, entre las 16 regiones del país, con una cifra de algo más de 380 mil CLP/mes. En relación a la estimación anterior, del año 2015, el ingreso aumenta en un 7,3%."/>
    <s v="Gráfico de Evolución"/>
    <s v="Región de Antofagasta,ingresos,ingreso,encuesta,CASEN,ingreso mensual,ingreso promedio,Agencia Información,Socioeconómico,Ingreso Promedio Regional,Ingresos Históricos"/>
    <s v="https://analytics.zoho.com/open-view/2395394000008161200?ZOHO_CRITERIA=%22Localiza%20Chile%22.%22Codreg%22%3D2"/>
    <x v="2"/>
    <s v="#1774B9"/>
  </r>
  <r>
    <s v="0004"/>
    <n v="990"/>
    <s v="Agencia Información"/>
    <s v="Socioeconómico"/>
    <n v="3"/>
    <x v="0"/>
    <x v="0"/>
    <x v="1"/>
    <x v="3"/>
    <x v="1"/>
    <x v="0"/>
    <s v="Periodo 2006-2017"/>
    <s v="CLP/mes"/>
    <s v="Encuestas CASEN"/>
    <s v="Evolución de Ingreso Promedio Mensual en la Región de Atacama para el Periodo 2006-2017"/>
    <s v="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
    <s v="Gráfico de Evolución"/>
    <s v="Región de Atacama,ingresos,ingreso,encuesta,CASEN,ingreso mensual,ingreso promedio,Agencia Información,Socioeconómico,Ingreso Promedio Regional,Ingresos Históricos"/>
    <s v="https://analytics.zoho.com/open-view/2395394000008161200?ZOHO_CRITERIA=%22Localiza%20Chile%22.%22Codreg%22%3D3"/>
    <x v="3"/>
    <s v="#1774B9"/>
  </r>
  <r>
    <s v="0005"/>
    <n v="990"/>
    <s v="Agencia Información"/>
    <s v="Socioeconómico"/>
    <n v="4"/>
    <x v="0"/>
    <x v="0"/>
    <x v="1"/>
    <x v="4"/>
    <x v="1"/>
    <x v="0"/>
    <s v="Periodo 2006-2017"/>
    <s v="CLP/mes"/>
    <s v="Encuestas CASEN"/>
    <s v="Evolución de Ingreso Promedio Mensual en la Región de Coquimbo para el Periodo 2006-2017"/>
    <s v="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
    <s v="Gráfico de Evolución"/>
    <s v="Región de Coquimbo,ingresos,ingreso,encuesta,CASEN,ingreso mensual,ingreso promedio,Agencia Información,Socioeconómico,Ingreso Promedio Regional,Ingresos Históricos"/>
    <s v="https://analytics.zoho.com/open-view/2395394000008161200?ZOHO_CRITERIA=%22Localiza%20Chile%22.%22Codreg%22%3D4"/>
    <x v="4"/>
    <s v="#1774B9"/>
  </r>
  <r>
    <s v="0006"/>
    <n v="990"/>
    <s v="Agencia Información"/>
    <s v="Socioeconómico"/>
    <n v="5"/>
    <x v="0"/>
    <x v="0"/>
    <x v="1"/>
    <x v="5"/>
    <x v="1"/>
    <x v="0"/>
    <s v="Periodo 2006-2017"/>
    <s v="CLP/mes"/>
    <s v="Encuestas CASEN"/>
    <s v="Evolución de Ingreso Promedio Mensual en la Región de Valparaíso para el Periodo 2006-2017"/>
    <s v="Según la evolución del ingreso promedio mensual en la Región de Valparaíso, con base en las encuestas CASEN, se observa que el año 2017 presenta un aumento del 13,2% con respecto al ingreso del 2015."/>
    <s v="Gráfico de Evolución"/>
    <s v="Región de Valparaíso,ingresos,ingreso,encuesta,CASEN,ingreso mensual,ingreso promedio,Agencia Información,Socioeconómico,Ingreso Promedio Regional,Ingresos Históricos"/>
    <s v="https://analytics.zoho.com/open-view/2395394000008161200?ZOHO_CRITERIA=%22Localiza%20Chile%22.%22Codreg%22%3D5"/>
    <x v="5"/>
    <s v="#1774B9"/>
  </r>
  <r>
    <s v="0007"/>
    <n v="990"/>
    <s v="Agencia Información"/>
    <s v="Socioeconómico"/>
    <n v="6"/>
    <x v="0"/>
    <x v="0"/>
    <x v="1"/>
    <x v="6"/>
    <x v="1"/>
    <x v="0"/>
    <s v="Periodo 2006-2017"/>
    <s v="CLP/mes"/>
    <s v="Encuestas CASEN"/>
    <s v="Evolución de Ingreso Promedio Mensual en la Región de O'Higgins para el Periodo 2006-2017"/>
    <s v="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
    <s v="Gráfico de Evolución"/>
    <s v="Región de O'Higgins,ingresos,ingreso,encuesta,CASEN,ingreso mensual,ingreso promedio,Agencia Información,Socioeconómico,Ingreso Promedio Regional,Ingresos Históricos"/>
    <s v="https://analytics.zoho.com/open-view/2395394000008161200?ZOHO_CRITERIA=%22Localiza%20Chile%22.%22Codreg%22%3D6"/>
    <x v="6"/>
    <s v="#1774B9"/>
  </r>
  <r>
    <s v="0008"/>
    <n v="990"/>
    <s v="Agencia Información"/>
    <s v="Socioeconómico"/>
    <n v="7"/>
    <x v="0"/>
    <x v="0"/>
    <x v="1"/>
    <x v="7"/>
    <x v="1"/>
    <x v="0"/>
    <s v="Periodo 2006-2017"/>
    <s v="CLP/mes"/>
    <s v="Encuestas CASEN"/>
    <s v="Evolución de Ingreso Promedio Mensual en la Región de Maule para el Periodo 2006-2017"/>
    <s v="Según la evolución del ingreso promedio mensual en la Región de Maule, con base en las encuestas CASEN, se observa que el año 2017 presenta un aumento del 12,2% con respecto al ingreso del 2015."/>
    <s v="Gráfico de Evolución"/>
    <s v="Región de Maule,ingresos,ingreso,encuesta,CASEN,ingreso mensual,ingreso promedio,Agencia Información,Socioeconómico,Ingreso Promedio Regional,Ingresos Históricos"/>
    <s v="https://analytics.zoho.com/open-view/2395394000008161200?ZOHO_CRITERIA=%22Localiza%20Chile%22.%22Codreg%22%3D7"/>
    <x v="7"/>
    <s v="#1774B9"/>
  </r>
  <r>
    <s v="0009"/>
    <n v="990"/>
    <s v="Agencia Información"/>
    <s v="Socioeconómico"/>
    <n v="8"/>
    <x v="0"/>
    <x v="0"/>
    <x v="1"/>
    <x v="8"/>
    <x v="1"/>
    <x v="0"/>
    <s v="Periodo 2006-2017"/>
    <s v="CLP/mes"/>
    <s v="Encuestas CASEN"/>
    <s v="Evolución de Ingreso Promedio Mensual en la Región del Biobío para el Periodo 2006-2017"/>
    <s v="Según la evolución del ingreso promedio mensual en la Región del Biobío, con base en las encuestas CASEN, se observa que el año 2017 presenta un aumento del 13,9% con respecto al ingreso del 2015, llegando a un aproximado de 288 mil CLP/mes."/>
    <s v="Gráfico de Evolución"/>
    <s v="Región del Biobío,ingresos,ingreso,encuesta,CASEN,ingreso mensual,ingreso promedio,Agencia Información,Socioeconómico,Ingreso Promedio Regional,Ingresos Históricos"/>
    <s v="https://analytics.zoho.com/open-view/2395394000008161200?ZOHO_CRITERIA=%22Localiza%20Chile%22.%22Codreg%22%3D8"/>
    <x v="8"/>
    <s v="#1774B9"/>
  </r>
  <r>
    <s v="0010"/>
    <n v="990"/>
    <s v="Agencia Información"/>
    <s v="Socioeconómico"/>
    <n v="9"/>
    <x v="0"/>
    <x v="0"/>
    <x v="1"/>
    <x v="9"/>
    <x v="1"/>
    <x v="0"/>
    <s v="Periodo 2006-2017"/>
    <s v="CLP/mes"/>
    <s v="Encuestas CASEN"/>
    <s v="Evolución de Ingreso Promedio Mensual en la Región de La Araucanía para el Periodo 2006-2017"/>
    <s v="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
    <s v="Gráfico de Evolución"/>
    <s v="Región de La Araucanía,ingresos,ingreso,encuesta,CASEN,ingreso mensual,ingreso promedio,Agencia Información,Socioeconómico,Ingreso Promedio Regional,Ingresos Históricos"/>
    <s v="https://analytics.zoho.com/open-view/2395394000008161200?ZOHO_CRITERIA=%22Localiza%20Chile%22.%22Codreg%22%3D9"/>
    <x v="9"/>
    <s v="#1774B9"/>
  </r>
  <r>
    <s v="0011"/>
    <n v="990"/>
    <s v="Agencia Información"/>
    <s v="Socioeconómico"/>
    <n v="10"/>
    <x v="0"/>
    <x v="0"/>
    <x v="1"/>
    <x v="10"/>
    <x v="1"/>
    <x v="0"/>
    <s v="Periodo 2006-2017"/>
    <s v="CLP/mes"/>
    <s v="Encuestas CASEN"/>
    <s v="Evolución de Ingreso Promedio Mensual en la Región de Los Lagos para el Periodo 2006-2017"/>
    <s v="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
    <s v="Gráfico de Evolución"/>
    <s v="Región de Los Lagos,ingresos,ingreso,encuesta,CASEN,ingreso mensual,ingreso promedio,Agencia Información,Socioeconómico,Ingreso Promedio Regional,Ingresos Históricos"/>
    <s v="https://analytics.zoho.com/open-view/2395394000008161200?ZOHO_CRITERIA=%22Localiza%20Chile%22.%22Codreg%22%3D10"/>
    <x v="10"/>
    <s v="#1774B9"/>
  </r>
  <r>
    <s v="0012"/>
    <n v="990"/>
    <s v="Agencia Información"/>
    <s v="Socioeconómico"/>
    <n v="11"/>
    <x v="0"/>
    <x v="0"/>
    <x v="1"/>
    <x v="11"/>
    <x v="1"/>
    <x v="0"/>
    <s v="Periodo 2006-2017"/>
    <s v="CLP/mes"/>
    <s v="Encuestas CASEN"/>
    <s v="Evolución de Ingreso Promedio Mensual en la Región de Aysén para el Periodo 2006-2017"/>
    <s v="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
    <s v="Gráfico de Evolución"/>
    <s v="Región de Aysén,ingresos,ingreso,encuesta,CASEN,ingreso mensual,ingreso promedio,Agencia Información,Socioeconómico,Ingreso Promedio Regional,Ingresos Históricos"/>
    <s v="https://analytics.zoho.com/open-view/2395394000008161200?ZOHO_CRITERIA=%22Localiza%20Chile%22.%22Codreg%22%3D11"/>
    <x v="11"/>
    <s v="#1774B9"/>
  </r>
  <r>
    <s v="0013"/>
    <n v="990"/>
    <s v="Agencia Información"/>
    <s v="Socioeconómico"/>
    <n v="12"/>
    <x v="0"/>
    <x v="0"/>
    <x v="1"/>
    <x v="12"/>
    <x v="1"/>
    <x v="0"/>
    <s v="Periodo 2006-2017"/>
    <s v="CLP/mes"/>
    <s v="Encuestas CASEN"/>
    <s v="Evolución de Ingreso Promedio Mensual en la Región de Magallanes para el Periodo 2006-2017"/>
    <s v="Según la evolución del ingreso promedio mensual en la Región de Magallanes, con base en las encuestas CASEN, se observa que el año 2017 presenta un aumento del 13% con respecto al ingreso del 2015, llegando a un aproximado de 379 mil CLP/mes."/>
    <s v="Gráfico de Evolución"/>
    <s v="Región de Magallanes,ingresos,ingreso,encuesta,CASEN,ingreso mensual,ingreso promedio,Agencia Información,Socioeconómico,Ingreso Promedio Regional,Ingresos Históricos"/>
    <s v="https://analytics.zoho.com/open-view/2395394000008161200?ZOHO_CRITERIA=%22Localiza%20Chile%22.%22Codreg%22%3D12"/>
    <x v="12"/>
    <s v="#1774B9"/>
  </r>
  <r>
    <s v="0014"/>
    <n v="990"/>
    <s v="Agencia Información"/>
    <s v="Socioeconómico"/>
    <n v="13"/>
    <x v="0"/>
    <x v="0"/>
    <x v="1"/>
    <x v="13"/>
    <x v="1"/>
    <x v="0"/>
    <s v="Periodo 2006-2017"/>
    <s v="CLP/mes"/>
    <s v="Encuestas CASEN"/>
    <s v="Evolución de Ingreso Promedio Mensual en la Región Metropolitana para el Periodo 2006-2017"/>
    <s v="Según la evolución del ingreso promedio mensual en la Región Metropolitana, con base en las encuestas CASEN, se observa que el año 2017 presenta un aumento del 9,5% con respecto al ingreso del 2015, llegando a un aproximado de 346 mil CLP/mes."/>
    <s v="Gráfico de Evolución"/>
    <s v="Región Metropolitana,ingresos,ingreso,encuesta,CASEN,ingreso mensual,ingreso promedio,Agencia Información,Socioeconómico,Ingreso Promedio Regional,Ingresos Históricos"/>
    <s v="https://analytics.zoho.com/open-view/2395394000008161200?ZOHO_CRITERIA=%22Localiza%20Chile%22.%22Codreg%22%3D13"/>
    <x v="13"/>
    <s v="#1774B9"/>
  </r>
  <r>
    <s v="0015"/>
    <n v="990"/>
    <s v="Agencia Información"/>
    <s v="Socioeconómico"/>
    <n v="14"/>
    <x v="0"/>
    <x v="0"/>
    <x v="1"/>
    <x v="14"/>
    <x v="1"/>
    <x v="0"/>
    <s v="Periodo 2006-2017"/>
    <s v="CLP/mes"/>
    <s v="Encuestas CASEN"/>
    <s v="Evolución de Ingreso Promedio Mensual en la Región de Los Ríos para el Periodo 2006-2017"/>
    <s v="Según la evolución del ingreso promedio mensual en la Región de Los Ríos,con base en las encuestas CASEN, se observa que el año 2017 presenta un aumento del 12% con respecto al ingreso del 2015, llegando a un aproximado de 274 mil CLP/mes."/>
    <s v="Gráfico de Evolución"/>
    <s v="Región de Los Ríos,ingresos,ingreso,encuesta,CASEN,ingreso mensual,ingreso promedio,Agencia Información,Socioeconómico,Ingreso Promedio Regional,Ingresos Históricos"/>
    <s v="https://analytics.zoho.com/open-view/2395394000008161200?ZOHO_CRITERIA=%22Localiza%20Chile%22.%22Codreg%22%3D14"/>
    <x v="14"/>
    <s v="#1774B9"/>
  </r>
  <r>
    <s v="0016"/>
    <n v="990"/>
    <s v="Agencia Información"/>
    <s v="Socioeconómico"/>
    <n v="15"/>
    <x v="0"/>
    <x v="0"/>
    <x v="1"/>
    <x v="15"/>
    <x v="1"/>
    <x v="0"/>
    <s v="Periodo 2006-2017"/>
    <s v="CLP/mes"/>
    <s v="Encuestas CASEN"/>
    <s v="Evolución de Ingreso Promedio Mensual en la Región de Arica y Parinacota para el Periodo 2006-2017"/>
    <s v="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
    <s v="Gráfico de Evolución"/>
    <s v="Región de Arica y Parinacota,ingresos,ingreso,encuesta,CASEN,ingreso mensual,ingreso promedio,Agencia Información,Socioeconómico,Ingreso Promedio Regional,Ingresos Históricos"/>
    <s v="https://analytics.zoho.com/open-view/2395394000008161200?ZOHO_CRITERIA=%22Localiza%20Chile%22.%22Codreg%22%3D15"/>
    <x v="15"/>
    <s v="#1774B9"/>
  </r>
  <r>
    <s v="0017"/>
    <n v="990"/>
    <s v="Agencia Información"/>
    <s v="Socioeconómico"/>
    <n v="16"/>
    <x v="0"/>
    <x v="0"/>
    <x v="1"/>
    <x v="16"/>
    <x v="1"/>
    <x v="0"/>
    <s v="Periodo 2006-2017"/>
    <s v="CLP/mes"/>
    <s v="Encuestas CASEN"/>
    <s v="Evolución de Ingreso Promedio Mensual en la Región de Ñuble para el Periodo 2006-2017"/>
    <s v="Considerando la evolución del ingreso promedio mensual en la región de Los Lagos según las encuestas CASEN 2006-2017, se observa que esta región presenta el promedio más bajo a nivel nacional en el año 2017, llegando a 253 mil CLP/mes."/>
    <s v="Gráfico de Evolución"/>
    <s v="Región de Ñuble,ingresos,ingreso,encuesta,CASEN,ingreso mensual,ingreso promedio,Agencia Información,Socioeconómico,Ingreso Promedio Regional,Ingresos Históricos"/>
    <s v="https://analytics.zoho.com/open-view/2395394000008161200?ZOHO_CRITERIA=%22Localiza%20Chile%22.%22Codreg%22%3D16"/>
    <x v="16"/>
    <s v="#1774B9"/>
  </r>
  <r>
    <s v="0018"/>
    <n v="990"/>
    <s v="Agencia Información"/>
    <s v="Educación"/>
    <n v="0"/>
    <x v="1"/>
    <x v="1"/>
    <x v="0"/>
    <x v="0"/>
    <x v="2"/>
    <x v="1"/>
    <s v="Periodo 2001-2020"/>
    <s v="Porcentaje"/>
    <s v="Sistema Nacional de Información Municipal"/>
    <s v="Proporción de Alumnos de 4to Medio con más de 450 puntos en la PSU según dependencia de colegios"/>
    <s v="Más allá de la gestión alcaldicia, durante los últimos 20 años la proporción de alumnos con más de 450 puntos en la PSU se mantiene estable para colegios municipales en relación a los Subvencionados y Particulares Pagados."/>
    <s v="Gráfico de Evolución"/>
    <s v="Chile,municipal,puntaje,alumnos,calidad,colegios municipales,colegios privados,colegios particulares,colegios subvencionados,colegios públicos,Agencia Información,Educación,PSU,Métricas de la Educación"/>
    <s v="https://analytics.zoho.com/open-view/2395394000009315415"/>
    <x v="17"/>
    <s v="#1774B9"/>
  </r>
  <r>
    <s v="0019"/>
    <n v="990"/>
    <s v="Agencia Información"/>
    <s v="Educación"/>
    <n v="1"/>
    <x v="1"/>
    <x v="1"/>
    <x v="1"/>
    <x v="1"/>
    <x v="3"/>
    <x v="1"/>
    <s v="Periodo 2001-2020"/>
    <s v="Porcentaje"/>
    <s v="Sistema Nacional de Información Municipal"/>
    <s v="Proporción de Alumnos de 4to Medio con más de 450 puntos en la PSU según dependencia de colegios en la Región de Tarapacá"/>
    <s v="En la comuna de Iquique de la región de Tarapacá, a partir del año 2006, la proporción de alumnos de cuarto medio con más de 450 puntos en la PSU es mayor en los colegios Particulares en relación a los Municipales y Subvencionados."/>
    <s v="Gráfico de Evolución"/>
    <s v="Región de Tarapacá,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
    <x v="18"/>
    <s v="#1774B9"/>
  </r>
  <r>
    <s v="0020"/>
    <n v="990"/>
    <s v="Agencia Información"/>
    <s v="Educación"/>
    <n v="2"/>
    <x v="1"/>
    <x v="1"/>
    <x v="1"/>
    <x v="2"/>
    <x v="3"/>
    <x v="1"/>
    <s v="Periodo 2001-2020"/>
    <s v="Porcentaje"/>
    <s v="Sistema Nacional de Información Municipal"/>
    <s v="Proporción de Alumnos de 4to Medio con más de 450 puntos en la PSU según dependencia de colegios en la Región de Antofagasta"/>
    <s v="En la comuna de Antofagasta, la proporción de alumnos de cuarto medio con más de 450 puntos en la PSU es mayor en los colegios Particulares en relación a los Municipales y Subvencionados, durante todo el periodo 2001 - 2020."/>
    <s v="Gráfico de Evolución"/>
    <s v="Región de Antofagast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2"/>
    <x v="19"/>
    <s v="#1774B9"/>
  </r>
  <r>
    <s v="0021"/>
    <n v="990"/>
    <s v="Agencia Información"/>
    <s v="Educación"/>
    <n v="3"/>
    <x v="1"/>
    <x v="1"/>
    <x v="1"/>
    <x v="3"/>
    <x v="3"/>
    <x v="1"/>
    <s v="Periodo 2001-2020"/>
    <s v="Porcentaje"/>
    <s v="Sistema Nacional de Información Municipal"/>
    <s v="Proporción de Alumnos de 4to Medio con más de 450 puntos en la PSU según dependencia de colegios en la Región de Atacama"/>
    <s v="En la comuna de Copiapó de la región de Tarapacá, la proporción de alumnos de cuarto medio con más de 450 puntos en la PSU es mayor en los colegios Particulares, superando el promedio de 94,2% a partir del año 2008."/>
    <s v="Gráfico de Evolución"/>
    <s v="Región de Atacam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3"/>
    <x v="20"/>
    <s v="#1774B9"/>
  </r>
  <r>
    <s v="0022"/>
    <n v="990"/>
    <s v="Agencia Información"/>
    <s v="Educación"/>
    <n v="4"/>
    <x v="1"/>
    <x v="1"/>
    <x v="1"/>
    <x v="4"/>
    <x v="3"/>
    <x v="1"/>
    <s v="Periodo 2001-2020"/>
    <s v="Porcentaje"/>
    <s v="Sistema Nacional de Información Municipal"/>
    <s v="Proporción de Alumnos de 4to Medio con más de 450 puntos en la PSU según dependencia de colegios en la Región de Coquimbo"/>
    <s v="En la comuna de Coquimbo, para el año 2008, el 96,2% de los alumnos de los colegios particulares obtuvo más de 450 puntos en la PSU. La comuna no registra información para los años del 2006 al 2017."/>
    <s v="Gráfico de Evolución"/>
    <s v="Región de Coquimbo,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4"/>
    <x v="21"/>
    <s v="#1774B9"/>
  </r>
  <r>
    <s v="0023"/>
    <n v="990"/>
    <s v="Agencia Información"/>
    <s v="Educación"/>
    <n v="5"/>
    <x v="1"/>
    <x v="1"/>
    <x v="1"/>
    <x v="5"/>
    <x v="3"/>
    <x v="1"/>
    <s v="Periodo 2001-2020"/>
    <s v="Porcentaje"/>
    <s v="Sistema Nacional de Información Municipal"/>
    <s v="Proporción de Alumnos de 4to Medio con más de 450 puntos en la PSU según dependencia de colegios en la Región de Valparaíso"/>
    <s v="En la comuna de Viña del Mar de la región de Valparaíso, la proporción de alumnos de cuarto medio con más de 450 puntos en la PSU es mayor en los colegios Particulares, en relación a los Subvencionados y Municipales, durante todo el periodo 2001 – 2020."/>
    <s v="Gráfico de Evolución"/>
    <s v="Región de Valparaíso,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5"/>
    <x v="22"/>
    <s v="#1774B9"/>
  </r>
  <r>
    <s v="0024"/>
    <n v="990"/>
    <s v="Agencia Información"/>
    <s v="Educación"/>
    <n v="6"/>
    <x v="1"/>
    <x v="1"/>
    <x v="1"/>
    <x v="6"/>
    <x v="3"/>
    <x v="1"/>
    <s v="Periodo 2001-2020"/>
    <s v="Porcentaje"/>
    <s v="Sistema Nacional de Información Municipal"/>
    <s v="Proporción de Alumnos de 4to Medio con más de 450 puntos en la PSU según dependencia de colegios en la Región de O'Higgins"/>
    <s v="Gráfico de evolución de la proporción de alumnos de cuarto medio con más de 450 puntos en la PSU, según dependencia de colegios en la comuna de Rancagua de la región de O'Higgins, en el periodo 2001- 2020. "/>
    <s v="Gráfico de Evolución"/>
    <s v="Región de O'Higgin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6"/>
    <x v="23"/>
    <s v="#1774B9"/>
  </r>
  <r>
    <s v="0025"/>
    <n v="990"/>
    <s v="Agencia Información"/>
    <s v="Educación"/>
    <n v="7"/>
    <x v="1"/>
    <x v="1"/>
    <x v="1"/>
    <x v="7"/>
    <x v="3"/>
    <x v="1"/>
    <s v="Periodo 2001-2020"/>
    <s v="Porcentaje"/>
    <s v="Sistema Nacional de Información Municipal"/>
    <s v="Proporción de Alumnos de 4to Medio con más de 450 puntos en la PSU según dependencia de colegios en la Región de Maule"/>
    <s v="En la comuna de Talca de la región del Maule, la proporción de alumnos de cuarto medio con más de 450 puntos en la PSU es mayor en los colegios Particulares, en relación a los Subvencionados y Municipales, durante todo el periodo 2001 – 2020."/>
    <s v="Gráfico de Evolución"/>
    <s v="Región de Maule,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7"/>
    <x v="24"/>
    <s v="#1774B9"/>
  </r>
  <r>
    <s v="0026"/>
    <n v="990"/>
    <s v="Agencia Información"/>
    <s v="Educación"/>
    <n v="8"/>
    <x v="1"/>
    <x v="1"/>
    <x v="1"/>
    <x v="8"/>
    <x v="3"/>
    <x v="1"/>
    <s v="Periodo 2001-2020"/>
    <s v="Porcentaje"/>
    <s v="Sistema Nacional de Información Municipal"/>
    <s v="Proporción de Alumnos de 4to Medio con más de 450 puntos en la PSU según dependencia de colegios en la Región del Biobío"/>
    <s v="En la comuna de Concepción de la región del Biobío, la proporción de alumnos de cuarto medio con más de 450 puntos en la PSU es mayor en los colegios Particulares, en relación a los Subvencionados y Municipales, durante todo el periodo 2001 – 2020."/>
    <s v="Gráfico de Evolución"/>
    <s v="Región del Biobío,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8"/>
    <x v="25"/>
    <s v="#1774B9"/>
  </r>
  <r>
    <s v="0027"/>
    <n v="990"/>
    <s v="Agencia Información"/>
    <s v="Educación"/>
    <n v="9"/>
    <x v="1"/>
    <x v="1"/>
    <x v="1"/>
    <x v="9"/>
    <x v="3"/>
    <x v="1"/>
    <s v="Periodo 2001-2020"/>
    <s v="Porcentaje"/>
    <s v="Sistema Nacional de Información Municipal"/>
    <s v="Proporción de Alumnos de 4to Medio con más de 450 puntos en la PSU según dependencia de colegios en la Región de La Araucanía"/>
    <s v="Gráfico de evolución de la proporción de alumnos de cuarto medio con más de 450 puntos en la PSU, según dependencia de colegios en la comuna de Temuco de la región de La Araucanía, en el periodo 2001- 2020. "/>
    <s v="Gráfico de Evolución"/>
    <s v="Región de La Araucaní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9"/>
    <x v="26"/>
    <s v="#1774B9"/>
  </r>
  <r>
    <s v="0028"/>
    <n v="990"/>
    <s v="Agencia Información"/>
    <s v="Educación"/>
    <n v="10"/>
    <x v="1"/>
    <x v="1"/>
    <x v="1"/>
    <x v="10"/>
    <x v="3"/>
    <x v="1"/>
    <s v="Periodo 2001-2020"/>
    <s v="Porcentaje"/>
    <s v="Sistema Nacional de Información Municipal"/>
    <s v="Proporción de Alumnos de 4to Medio con más de 450 puntos en la PSU según dependencia de colegios en la Región de Los Lagos"/>
    <s v="En la comuna de Puerto Montt de la región de Los Lagos, la proporción de alumnos de cuarto medio con más de 450 puntos en la PSU es mayor en los colegios Particulares, superando el promedio de 92,9 % a partir del año 2007."/>
    <s v="Gráfico de Evolución"/>
    <s v="Región de Los Lago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0"/>
    <x v="27"/>
    <s v="#1774B9"/>
  </r>
  <r>
    <s v="0029"/>
    <n v="990"/>
    <s v="Agencia Información"/>
    <s v="Educación"/>
    <n v="12"/>
    <x v="1"/>
    <x v="1"/>
    <x v="1"/>
    <x v="12"/>
    <x v="3"/>
    <x v="1"/>
    <s v="Periodo 2001-2020"/>
    <s v="Porcentaje"/>
    <s v="Sistema Nacional de Información Municipal"/>
    <s v="Proporción de Alumnos de 4to Medio con más de 450 puntos en la PSU según dependencia de colegios en la Región de Magallanes"/>
    <s v="Gráfico de evolución de la proporción de alumnos de cuarto medio con más de 450 puntos en la PSU, según dependencia de colegios en la comuna de Punta Arenas, en el periodo 2001- 2020, según datos del Sistema Nacional de Información Municipal."/>
    <s v="Gráfico de Evolución"/>
    <s v="Región de Magallane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2"/>
    <x v="28"/>
    <s v="#1774B9"/>
  </r>
  <r>
    <s v="0030"/>
    <n v="990"/>
    <s v="Agencia Información"/>
    <s v="Educación"/>
    <n v="13"/>
    <x v="1"/>
    <x v="1"/>
    <x v="1"/>
    <x v="13"/>
    <x v="3"/>
    <x v="1"/>
    <s v="Periodo 2001-2020"/>
    <s v="Porcentaje"/>
    <s v="Sistema Nacional de Información Municipal"/>
    <s v="Proporción de Alumnos de 4to Medio con más de 450 puntos en la PSU según dependencia de colegios en la Región Metropolitana"/>
    <s v="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
    <s v="Gráfico de Evolución"/>
    <s v="Región Metropolitan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3"/>
    <x v="29"/>
    <s v="#1774B9"/>
  </r>
  <r>
    <s v="0031"/>
    <n v="990"/>
    <s v="Agencia Información"/>
    <s v="Educación"/>
    <n v="14"/>
    <x v="1"/>
    <x v="1"/>
    <x v="1"/>
    <x v="14"/>
    <x v="3"/>
    <x v="1"/>
    <s v="Periodo 2001-2020"/>
    <s v="Porcentaje"/>
    <s v="Sistema Nacional de Información Municipal"/>
    <s v="Proporción de Alumnos de 4to Medio con más de 450 puntos en la PSU según dependencia de colegios en la Región de Los Ríos"/>
    <s v="Gráfico de evolución de la proporción de alumnos de cuarto medio con más de 450 puntos en la PSU, según dependencia de colegios, para el periodo 2001- 2020, en la comuna de Valdivia, región de Los Ríos. "/>
    <s v="Gráfico de Evolución"/>
    <s v="Región de Los Ríos,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4"/>
    <x v="30"/>
    <s v="#1774B9"/>
  </r>
  <r>
    <s v="0032"/>
    <n v="990"/>
    <s v="Agencia Información"/>
    <s v="Educación"/>
    <n v="15"/>
    <x v="1"/>
    <x v="1"/>
    <x v="1"/>
    <x v="15"/>
    <x v="3"/>
    <x v="1"/>
    <s v="Periodo 2001-2020"/>
    <s v="Porcentaje"/>
    <s v="Sistema Nacional de Información Municipal"/>
    <s v="Proporción de Alumnos de 4to Medio con más de 450 puntos en la PSU según dependencia de colegios en la Región de Arica y Parinacota"/>
    <s v="Gráfico de evolución de la proporción de alumnos de cuarto medio con más de 450 puntos en la PSU, según dependencia de colegios en la comuna de Arica, para el periodo 2001- 2020. "/>
    <s v="Gráfico de Evolución"/>
    <s v="Región de Arica y Parinacota,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5"/>
    <x v="31"/>
    <s v="#1774B9"/>
  </r>
  <r>
    <s v="0033"/>
    <n v="990"/>
    <s v="Agencia Información"/>
    <s v="Educación"/>
    <n v="16"/>
    <x v="1"/>
    <x v="1"/>
    <x v="1"/>
    <x v="16"/>
    <x v="3"/>
    <x v="1"/>
    <s v="Periodo 2001-2020"/>
    <s v="Porcentaje"/>
    <s v="Sistema Nacional de Información Municipal"/>
    <s v="Proporción de Alumnos de 4to Medio con más de 450 puntos en la PSU según dependencia de colegios en la Región de Ñuble"/>
    <s v="En la Comuna de Chillán de la región de Ñuble, la proporción de alumnos de cuarto medio con más de 450 puntos en la PSU es mayor en los colegios Particulares, en relación a los Subvencionados y Municipales, a partir del año 2004.    "/>
    <s v="Gráfico de Evolución"/>
    <s v="Región de Ñuble,municipal,puntaje,alumnos,calidad,colegios municipales,colegios privados,colegios particulares,colegios subvencionados,colegios públicos,Agencia Información,Educación,PSU,Métricas de la Educación"/>
    <s v="https://analytics.zoho.com/open-view/2395394000008416648?ZOHO_CRITERIA=%22Localiza%20CL%22.%22Codreg%22%3D16"/>
    <x v="32"/>
    <s v="#1774B9"/>
  </r>
  <r>
    <s v="0034"/>
    <n v="990"/>
    <s v="Agencia Información"/>
    <s v="Mujeres"/>
    <n v="0"/>
    <x v="2"/>
    <x v="2"/>
    <x v="0"/>
    <x v="0"/>
    <x v="2"/>
    <x v="2"/>
    <s v="Periodo 2008-2020"/>
    <s v="Número de Denuncias"/>
    <s v="Centro de Estudios y Análisis del Delito (CEAD) de la Subsecretaría de Prevención del Delito"/>
    <s v="Evolución de denuncias por violación en Chile en el Periodo 2008-2020"/>
    <s v="A nivel nacional las comunas que presentan mayor frecuencia de denuncias por violación en el 2020 fueron Puento Alto y Santiago, ambas pertenecientes a la Región Metropolitana. "/>
    <s v="Gráfico de Evolución"/>
    <s v="Chile,comunas,violencia,mujer,violacion,denuncias,frecuencia,evolución,Agencia Información,Mujeres,Violaciones,Violencia Contra la Mujer"/>
    <s v="https://analytics.zoho.com/open-view/2395394000006789672"/>
    <x v="17"/>
    <s v="#1774B9"/>
  </r>
  <r>
    <s v="0035"/>
    <n v="990"/>
    <s v="Agencia Información"/>
    <s v="Mujeres"/>
    <n v="1"/>
    <x v="2"/>
    <x v="2"/>
    <x v="1"/>
    <x v="1"/>
    <x v="3"/>
    <x v="2"/>
    <s v="Periodo 2008-2020"/>
    <s v="Número de Denuncias"/>
    <s v="Centro de Estudios y Análisis del Delito (CEAD) de la Subsecretaría de Prevención del Delito"/>
    <s v="Evolución de denuncias por violación en la Región de Tarapacá en el Periodo 2008-2020"/>
    <s v="Las comunas de la región de Tarapacá que presentan mayor frecuencia de denuncias por violación el año 2020, son Iquique y Alto Hospicio."/>
    <s v="Gráfico de Evolución"/>
    <s v="Región de Tarapacá,comunas,violencia,mujer,violacion,denuncias,frecuencia,evolución,Agencia Información,Mujeres,Violaciones,Violencia Contra la Mujer"/>
    <s v="https://analytics.zoho.com/open-view/2395394000008231335?ZOHO_CRITERIA=%22Localiza%20CL%22.%22Codreg%22%3D1"/>
    <x v="18"/>
    <s v="#1774B9"/>
  </r>
  <r>
    <s v="0036"/>
    <n v="990"/>
    <s v="Agencia Información"/>
    <s v="Mujeres"/>
    <n v="2"/>
    <x v="2"/>
    <x v="2"/>
    <x v="1"/>
    <x v="2"/>
    <x v="3"/>
    <x v="2"/>
    <s v="Periodo 2008-2020"/>
    <s v="Número de Denuncias"/>
    <s v="Centro de Estudios y Análisis del Delito (CEAD) de la Subsecretaría de Prevención del Delito"/>
    <s v="Distribución comunal de denuncias por violación en la Región de Antofagasta en el Periodo 2008-2020"/>
    <s v="Las comunas de la región de Antofagasta que presentan mayor frecuencia de denuncias por violación el año 2020, son Antofagasta y Calama."/>
    <s v="Gráfico de Evolución"/>
    <s v="Región de Antofagasta,comunas,violencia,mujer,violacion,denuncias,frecuencia,evolución,Agencia Información,Mujeres,Violaciones,Violencia Contra la Mujer"/>
    <s v="https://analytics.zoho.com/open-view/2395394000008231335?ZOHO_CRITERIA=%22Localiza%20CL%22.%22Codreg%22%3D2"/>
    <x v="19"/>
    <s v="#1774B9"/>
  </r>
  <r>
    <s v="0037"/>
    <n v="990"/>
    <s v="Agencia Información"/>
    <s v="Mujeres"/>
    <n v="3"/>
    <x v="2"/>
    <x v="2"/>
    <x v="1"/>
    <x v="3"/>
    <x v="3"/>
    <x v="2"/>
    <s v="Periodo 2008-2020"/>
    <s v="Número de Denuncias"/>
    <s v="Centro de Estudios y Análisis del Delito (CEAD) de la Subsecretaría de Prevención del Delito"/>
    <s v="Distribución comunal de denuncias por violación en la Región de Atacama en el Periodo 2008-2020"/>
    <s v="Las comunas de la región de Atacama que presentan mayor frecuencia de denuncias por violación el año 2020, son Copiapó y Vallenar."/>
    <s v="Gráfico de Evolución"/>
    <s v="Región de Atacama,comunas,violencia,mujer,violacion,denuncias,frecuencia,evolución,Agencia Información,Mujeres,Violaciones,Violencia Contra la Mujer"/>
    <s v="https://analytics.zoho.com/open-view/2395394000008231335?ZOHO_CRITERIA=%22Localiza%20CL%22.%22Codreg%22%3D3"/>
    <x v="20"/>
    <s v="#1774B9"/>
  </r>
  <r>
    <s v="0038"/>
    <n v="990"/>
    <s v="Agencia Información"/>
    <s v="Mujeres"/>
    <n v="4"/>
    <x v="2"/>
    <x v="2"/>
    <x v="1"/>
    <x v="4"/>
    <x v="3"/>
    <x v="2"/>
    <s v="Periodo 2008-2020"/>
    <s v="Número de Denuncias"/>
    <s v="Centro de Estudios y Análisis del Delito (CEAD) de la Subsecretaría de Prevención del Delito"/>
    <s v="Distribución comunal de denuncias por violación en la Región de Coquimbo en el Periodo 2008-2020"/>
    <s v="Las comunas de la región de Coquimbo que presentan mayor frecuencia de denuncias por violación el año 2020, son Coquimbo y La Serena."/>
    <s v="Gráfico de Evolución"/>
    <s v="Región de Coquimbo,comunas,violencia,mujer,violacion,denuncias,frecuencia,evolución,Agencia Información,Mujeres,Violaciones,Violencia Contra la Mujer"/>
    <s v="https://analytics.zoho.com/open-view/2395394000008231335?ZOHO_CRITERIA=%22Localiza%20CL%22.%22Codreg%22%3D4"/>
    <x v="21"/>
    <s v="#1774B9"/>
  </r>
  <r>
    <s v="0039"/>
    <n v="990"/>
    <s v="Agencia Información"/>
    <s v="Mujeres"/>
    <n v="5"/>
    <x v="2"/>
    <x v="2"/>
    <x v="1"/>
    <x v="5"/>
    <x v="3"/>
    <x v="2"/>
    <s v="Periodo 2008-2020"/>
    <s v="Número de Denuncias"/>
    <s v="Centro de Estudios y Análisis del Delito (CEAD) de la Subsecretaría de Prevención del Delito"/>
    <s v="Distribución comunal de denuncias por violación en la Región de Valparaíso en el Periodo 2008-2020"/>
    <s v="Las comunas de la región de Valparaíso que presentan mayor frecuencia de denuncias por violación el año 2020, son: Valparaíso y Viña del Mar."/>
    <s v="Gráfico de Evolución"/>
    <s v="Región de Valparaíso,comunas,violencia,mujer,violacion,denuncias,frecuencia,evolución,Agencia Información,Mujeres,Violaciones,Violencia Contra la Mujer"/>
    <s v="https://analytics.zoho.com/open-view/2395394000008231335?ZOHO_CRITERIA=%22Localiza%20CL%22.%22Codreg%22%3D5"/>
    <x v="22"/>
    <s v="#1774B9"/>
  </r>
  <r>
    <s v="0040"/>
    <n v="990"/>
    <s v="Agencia Información"/>
    <s v="Mujeres"/>
    <n v="6"/>
    <x v="2"/>
    <x v="2"/>
    <x v="1"/>
    <x v="6"/>
    <x v="3"/>
    <x v="2"/>
    <s v="Periodo 2008-2020"/>
    <s v="Número de Denuncias"/>
    <s v="Centro de Estudios y Análisis del Delito (CEAD) de la Subsecretaría de Prevención del Delito"/>
    <s v="Distribución comunal de denuncias por violación en la Región de O'Higgins en el Periodo 2008-2020"/>
    <s v="Las comunas de la región de O'Higgins que presentan mayor frecuencia de denuncias por violación el año 2020, son Rancagua y San Fernando."/>
    <s v="Gráfico de Evolución"/>
    <s v="Región de O'Higgins,comunas,violencia,mujer,violacion,denuncias,frecuencia,evolución,Agencia Información,Mujeres,Violaciones,Violencia Contra la Mujer"/>
    <s v="https://analytics.zoho.com/open-view/2395394000008231335?ZOHO_CRITERIA=%22Localiza%20CL%22.%22Codreg%22%3D6"/>
    <x v="23"/>
    <s v="#1774B9"/>
  </r>
  <r>
    <s v="0041"/>
    <n v="990"/>
    <s v="Agencia Información"/>
    <s v="Mujeres"/>
    <n v="7"/>
    <x v="2"/>
    <x v="2"/>
    <x v="1"/>
    <x v="7"/>
    <x v="3"/>
    <x v="2"/>
    <s v="Periodo 2008-2020"/>
    <s v="Número de Denuncias"/>
    <s v="Centro de Estudios y Análisis del Delito (CEAD) de la Subsecretaría de Prevención del Delito"/>
    <s v="Distribución comunal de denuncias por violación en la Región de Maule en el Periodo 2008-2020"/>
    <s v="Las comunas de la región del Maule que presentan mayor frecuencia de denuncias por violación el año 2020, son Talca y Curicó."/>
    <s v="Gráfico de Evolución"/>
    <s v="Región de Maule,comunas,violencia,mujer,violacion,denuncias,frecuencia,evolución,Agencia Información,Mujeres,Violaciones,Violencia Contra la Mujer"/>
    <s v="https://analytics.zoho.com/open-view/2395394000008231335?ZOHO_CRITERIA=%22Localiza%20CL%22.%22Codreg%22%3D7"/>
    <x v="24"/>
    <s v="#1774B9"/>
  </r>
  <r>
    <s v="0042"/>
    <n v="990"/>
    <s v="Agencia Información"/>
    <s v="Mujeres"/>
    <n v="8"/>
    <x v="2"/>
    <x v="2"/>
    <x v="1"/>
    <x v="8"/>
    <x v="3"/>
    <x v="2"/>
    <s v="Periodo 2008-2020"/>
    <s v="Número de Denuncias"/>
    <s v="Centro de Estudios y Análisis del Delito (CEAD) de la Subsecretaría de Prevención del Delito"/>
    <s v="Distribución comunal de denuncias por violación en la Región del Biobío en el Periodo 2008-2020"/>
    <s v="Las comunas de la región del Biobío que presentan mayor frecuencia de denuncias por violación el año 2020, son Concepción y Los Ángeles."/>
    <s v="Gráfico de Evolución"/>
    <s v="Región del Biobío,comunas,violencia,mujer,violacion,denuncias,frecuencia,evolución,Agencia Información,Mujeres,Violaciones,Violencia Contra la Mujer"/>
    <s v="https://analytics.zoho.com/open-view/2395394000008231335?ZOHO_CRITERIA=%22Localiza%20CL%22.%22Codreg%22%3D8"/>
    <x v="25"/>
    <s v="#1774B9"/>
  </r>
  <r>
    <s v="0043"/>
    <n v="990"/>
    <s v="Agencia Información"/>
    <s v="Mujeres"/>
    <n v="9"/>
    <x v="2"/>
    <x v="2"/>
    <x v="1"/>
    <x v="9"/>
    <x v="3"/>
    <x v="2"/>
    <s v="Periodo 2008-2020"/>
    <s v="Número de Denuncias"/>
    <s v="Centro de Estudios y Análisis del Delito (CEAD) de la Subsecretaría de Prevención del Delito"/>
    <s v="Distribución comunal de denuncias por violación en la Región de La Araucanía en el Periodo 2008-2020"/>
    <s v="Las comunas de la región de La Araucanía que presentan mayor frecuencia de denuncias por violación el año 2020, son Temuco y Villarrica."/>
    <s v="Gráfico de Evolución"/>
    <s v="Región de La Araucanía,comunas,violencia,mujer,violacion,denuncias,frecuencia,evolución,Agencia Información,Mujeres,Violaciones,Violencia Contra la Mujer"/>
    <s v="https://analytics.zoho.com/open-view/2395394000008231335?ZOHO_CRITERIA=%22Localiza%20CL%22.%22Codreg%22%3D9"/>
    <x v="26"/>
    <s v="#1774B9"/>
  </r>
  <r>
    <s v="0044"/>
    <n v="990"/>
    <s v="Agencia Información"/>
    <s v="Mujeres"/>
    <n v="10"/>
    <x v="2"/>
    <x v="2"/>
    <x v="1"/>
    <x v="10"/>
    <x v="3"/>
    <x v="2"/>
    <s v="Periodo 2008-2020"/>
    <s v="Número de Denuncias"/>
    <s v="Centro de Estudios y Análisis del Delito (CEAD) de la Subsecretaría de Prevención del Delito"/>
    <s v="Distribución comunal de denuncias por violación en la Región de Los Lagos en el Periodo 2008-2020"/>
    <s v="Las comunas de la región de Los Lagos que presentan mayor frecuencia de denuncias por violación el año 2020, son Puerto Montt y Osorno."/>
    <s v="Gráfico de Evolución"/>
    <s v="Región de Los Lagos,comunas,violencia,mujer,violacion,denuncias,frecuencia,evolución,Agencia Información,Mujeres,Violaciones,Violencia Contra la Mujer"/>
    <s v="https://analytics.zoho.com/open-view/2395394000008231335?ZOHO_CRITERIA=%22Localiza%20CL%22.%22Codreg%22%3D10"/>
    <x v="27"/>
    <s v="#1774B9"/>
  </r>
  <r>
    <s v="0045"/>
    <n v="990"/>
    <s v="Agencia Información"/>
    <s v="Mujeres"/>
    <n v="11"/>
    <x v="2"/>
    <x v="2"/>
    <x v="1"/>
    <x v="11"/>
    <x v="3"/>
    <x v="2"/>
    <s v="Periodo 2008-2020"/>
    <s v="Número de Denuncias"/>
    <s v="Centro de Estudios y Análisis del Delito (CEAD) de la Subsecretaría de Prevención del Delito"/>
    <s v="Distribución comunal de denuncias por violación en la Región de Aysén en el Periodo 2008-2020"/>
    <s v="Las comunas de la región de Aysén que presentan mayor frecuencia de denuncias por violación el año 2020, son Coyhaique y Aysén."/>
    <s v="Gráfico de Evolución"/>
    <s v="Región de Aysén,comunas,violencia,mujer,violacion,denuncias,frecuencia,evolución,Agencia Información,Mujeres,Violaciones,Violencia Contra la Mujer"/>
    <s v="https://analytics.zoho.com/open-view/2395394000008231335?ZOHO_CRITERIA=%22Localiza%20CL%22.%22Codreg%22%3D11"/>
    <x v="33"/>
    <s v="#1774B9"/>
  </r>
  <r>
    <s v="0046"/>
    <n v="990"/>
    <s v="Agencia Información"/>
    <s v="Mujeres"/>
    <n v="12"/>
    <x v="2"/>
    <x v="2"/>
    <x v="1"/>
    <x v="12"/>
    <x v="3"/>
    <x v="2"/>
    <s v="Periodo 2008-2020"/>
    <s v="Número de Denuncias"/>
    <s v="Centro de Estudios y Análisis del Delito (CEAD) de la Subsecretaría de Prevención del Delito"/>
    <s v="Distribución comunal de denuncias por violación en la Región de Magallanes en el Periodo 2008-2020"/>
    <s v="Las comunas de la región de Magallanes que presentan mayor frecuencia de denuncias por violación el año 2020, son Punta Arenas y Natales."/>
    <s v="Gráfico de Evolución"/>
    <s v="Región de Magallanes,comunas,violencia,mujer,violacion,denuncias,frecuencia,evolución,Agencia Información,Mujeres,Violaciones,Violencia Contra la Mujer"/>
    <s v="https://analytics.zoho.com/open-view/2395394000008231335?ZOHO_CRITERIA=%22Localiza%20CL%22.%22Codreg%22%3D12"/>
    <x v="28"/>
    <s v="#1774B9"/>
  </r>
  <r>
    <s v="0047"/>
    <n v="990"/>
    <s v="Agencia Información"/>
    <s v="Mujeres"/>
    <n v="13"/>
    <x v="2"/>
    <x v="2"/>
    <x v="1"/>
    <x v="13"/>
    <x v="3"/>
    <x v="2"/>
    <s v="Periodo 2008-2020"/>
    <s v="Número de Denuncias"/>
    <s v="Centro de Estudios y Análisis del Delito (CEAD) de la Subsecretaría de Prevención del Delito"/>
    <s v="Distribución comunal de denuncias por violación en la Región Metropolitana en el Periodo 2008-2020"/>
    <s v="Las comunas de la región Metropolitana que presentan mayor frecuencia de denuncias por violación el año 2020, son: Puente Alto, La Florida, San Bernardo, Maipú y Santiago."/>
    <s v="Gráfico de Evolución"/>
    <s v="Región Metropolitana,comunas,violencia,mujer,violacion,denuncias,frecuencia,evolución,Agencia Información,Mujeres,Violaciones,Violencia Contra la Mujer"/>
    <s v="https://analytics.zoho.com/open-view/2395394000008231335?ZOHO_CRITERIA=%22Localiza%20CL%22.%22Codreg%22%3D13"/>
    <x v="29"/>
    <s v="#1774B9"/>
  </r>
  <r>
    <s v="0048"/>
    <n v="990"/>
    <s v="Agencia Información"/>
    <s v="Mujeres"/>
    <n v="14"/>
    <x v="2"/>
    <x v="2"/>
    <x v="1"/>
    <x v="14"/>
    <x v="3"/>
    <x v="2"/>
    <s v="Periodo 2008-2020"/>
    <s v="Número de Denuncias"/>
    <s v="Centro de Estudios y Análisis del Delito (CEAD) de la Subsecretaría de Prevención del Delito"/>
    <s v="Distribución comunal de denuncias por violación en la Región de Los Ríos en el Periodo 2008-2020"/>
    <s v="Las comunas de la región de Los Ríos que presentan mayor frecuencia de denuncias por violación el año 2020, son Valdivia y Río Bueno."/>
    <s v="Gráfico de Evolución"/>
    <s v="Región de Los Ríos,comunas,violencia,mujer,violacion,denuncias,frecuencia,evolución,Agencia Información,Mujeres,Violaciones,Violencia Contra la Mujer"/>
    <s v="https://analytics.zoho.com/open-view/2395394000008231335?ZOHO_CRITERIA=%22Localiza%20CL%22.%22Codreg%22%3D14"/>
    <x v="30"/>
    <s v="#1774B9"/>
  </r>
  <r>
    <s v="0049"/>
    <n v="990"/>
    <s v="Agencia Información"/>
    <s v="Mujeres"/>
    <n v="15"/>
    <x v="2"/>
    <x v="2"/>
    <x v="1"/>
    <x v="15"/>
    <x v="3"/>
    <x v="2"/>
    <s v="Periodo 2008-2020"/>
    <s v="Número de Denuncias"/>
    <s v="Centro de Estudios y Análisis del Delito (CEAD) de la Subsecretaría de Prevención del Delito"/>
    <s v="Distribución comunal de denuncias por violación en la Región de Arica y Parinacota en el Periodo 2008-2020"/>
    <s v="La comuna de la región de Arica y Parinacota que presentan mayor frecuencia de denuncias por violación el año 2020, es Arica."/>
    <s v="Gráfico de Evolución"/>
    <s v="Región de Arica y Parinacota,comunas,violencia,mujer,violacion,denuncias,frecuencia,evolución,Agencia Información,Mujeres,Violaciones,Violencia Contra la Mujer"/>
    <s v="https://analytics.zoho.com/open-view/2395394000008231335?ZOHO_CRITERIA=%22Localiza%20CL%22.%22Codreg%22%3D15"/>
    <x v="31"/>
    <s v="#1774B9"/>
  </r>
  <r>
    <s v="0050"/>
    <n v="990"/>
    <s v="Agencia Información"/>
    <s v="Mujeres"/>
    <n v="16"/>
    <x v="2"/>
    <x v="2"/>
    <x v="1"/>
    <x v="16"/>
    <x v="3"/>
    <x v="2"/>
    <s v="Periodo 2008-2020"/>
    <s v="Número de Denuncias"/>
    <s v="Centro de Estudios y Análisis del Delito (CEAD) de la Subsecretaría de Prevención del Delito"/>
    <s v="Distribución comunal de denuncias por violación en la Región de Ñuble en el Periodo 2008-2020"/>
    <s v="Las comunas de la región de Ñuble que presentan mayor frecuencia de denuncias por violación el año 2020, son Chillán y San Carlos."/>
    <s v="Gráfico de Evolución"/>
    <s v="Región de Ñuble,comunas,violencia,mujer,violacion,denuncias,frecuencia,evolución,Agencia Información,Mujeres,Violaciones,Violencia Contra la Mujer"/>
    <s v="https://analytics.zoho.com/open-view/2395394000008231335?ZOHO_CRITERIA=%22Localiza%20CL%22.%22Codreg%22%3D16"/>
    <x v="32"/>
    <s v="#1774B9"/>
  </r>
  <r>
    <s v="0051"/>
    <n v="990"/>
    <s v="Agencia Información"/>
    <s v="Socioeconómico"/>
    <n v="0"/>
    <x v="3"/>
    <x v="0"/>
    <x v="0"/>
    <x v="0"/>
    <x v="3"/>
    <x v="3"/>
    <s v="Periodo 2006-2017"/>
    <s v="CLP/mes"/>
    <s v="Encuestas CASEN"/>
    <s v="Evolución del Ingreso Promedio Mensual a Escala Nacional (CLP/mes)"/>
    <s v="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
    <s v="Gráfico de Evolución"/>
    <s v="Chile,encuesta,CASEN,ingreso,ingresos,ingresos promedio, ingreso mensual,nacional,Agencia Información,Socioeconómico,Ingreso Promedio Nacional,Ingresos Históricos"/>
    <s v="https://analytics.zoho.com/open-view/2395394000008231718"/>
    <x v="34"/>
    <s v="#1774B9"/>
  </r>
  <r>
    <s v="0052"/>
    <n v="990"/>
    <s v="Agencia Información"/>
    <s v="Socioeconómico"/>
    <n v="0"/>
    <x v="4"/>
    <x v="0"/>
    <x v="0"/>
    <x v="0"/>
    <x v="0"/>
    <x v="0"/>
    <s v="Periodo 2006-2017"/>
    <s v="CLP/mes"/>
    <s v="Encuestas CASEN"/>
    <s v="Evolución de Ingreso Promedio Mensual por Etnia en Chile para el Periodo 2006-2017"/>
    <s v="La población de la etnia Mapuche se distribuye en las 16 regiones del país en distintas proporciones. Las regiones donde las personas de este grupo étnico logran mayores ingresos mensuales, en promedio, son las de Arica y Parinacota y Magallanes."/>
    <s v="Gráfico de Evolución"/>
    <s v="Chile,encuesta,CASEN,ingreso,ingresos,ingreso promedio,ingreso mensual,etnia,región,mapuche,alacalufe,atacameño,aymara,coya,diaguita,pascuense,quechua,Agencia Información,Socioeconómico,Ingreso por etnia,Ingresos Históricos"/>
    <s v="https://analytics.zoho.com/open-view/2395394000008231525"/>
    <x v="17"/>
    <s v="#1774B9"/>
  </r>
  <r>
    <s v="0053"/>
    <n v="990"/>
    <s v="Agencia Información"/>
    <s v="Socioeconómico"/>
    <n v="1"/>
    <x v="4"/>
    <x v="0"/>
    <x v="1"/>
    <x v="1"/>
    <x v="0"/>
    <x v="0"/>
    <s v="Periodo 2006-2017"/>
    <s v="CLP/mes"/>
    <s v="Encuestas CASEN"/>
    <s v="Evolución de Ingreso Promedio Mensual por Etnia en la Región de Tarapacá para el Periodo 2006-2017"/>
    <s v="Considerando la evolución de ingreso promedio mensual en la región de Tarapacá, según las encuestas CASEN del periodo 2006-2017, se observa que en el año 2017 las etnias con promedio más altos de ingresos son los Atacameños y Coya con un sueldo promedio de 570 mil CLP/mes."/>
    <s v="Gráfico de Evolución"/>
    <s v="Región de Tarapacá,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
    <x v="18"/>
    <s v="#1774B9"/>
  </r>
  <r>
    <s v="0054"/>
    <n v="990"/>
    <s v="Agencia Información"/>
    <s v="Socioeconómico"/>
    <n v="2"/>
    <x v="4"/>
    <x v="0"/>
    <x v="1"/>
    <x v="2"/>
    <x v="0"/>
    <x v="0"/>
    <s v="Periodo 2006-2017"/>
    <s v="CLP/mes"/>
    <s v="Encuestas CASEN"/>
    <s v="Evolución de Ingreso Promedio Mensual por Etnia en la Región de Antofagasta para el Periodo 2006-2017"/>
    <s v="Considerando la evolución de ingreso promedio mensual en la región de Antofagasta, según las encuestas CASEN del periodo 2006-2017, se observa que en el año 2017 la etnia con promedio más altos de ingresos es la Diaguita con un sueldo promedio de 460 mil CLP/mes."/>
    <s v="Gráfico de Evolución"/>
    <s v="Región de Antofagast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2"/>
    <x v="19"/>
    <s v="#1774B9"/>
  </r>
  <r>
    <s v="0055"/>
    <n v="990"/>
    <s v="Agencia Información"/>
    <s v="Socioeconómico"/>
    <n v="3"/>
    <x v="4"/>
    <x v="0"/>
    <x v="1"/>
    <x v="3"/>
    <x v="0"/>
    <x v="0"/>
    <s v="Periodo 2006-2017"/>
    <s v="CLP/mes"/>
    <s v="Encuestas CASEN"/>
    <s v="Evolución de Ingreso Promedio Mensual por Etnia en la Región de Atacama para el Periodo 2006-2017"/>
    <s v="Considerando la evolución de ingreso promedio mensual en la región de Atacama, según las encuestas CASEN del periodo 2006-2017, se observa que el año 2011 muestra el promedio más alto del periodo para las etnias Pascuense y Yagan con un sueldo aproximado de 500 mil CLP/mes. "/>
    <s v="Gráfico de Evolución"/>
    <s v="Región de Atacam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3"/>
    <x v="20"/>
    <s v="#1774B9"/>
  </r>
  <r>
    <s v="0056"/>
    <n v="990"/>
    <s v="Agencia Información"/>
    <s v="Socioeconómico"/>
    <n v="4"/>
    <x v="4"/>
    <x v="0"/>
    <x v="1"/>
    <x v="4"/>
    <x v="0"/>
    <x v="0"/>
    <s v="Periodo 2006-2017"/>
    <s v="CLP/mes"/>
    <s v="Encuestas CASEN"/>
    <s v="Evolución de Ingreso Promedio Mensual por Etnia en la Región de Coquimbo para el Periodo 2006-2017"/>
    <s v="Considerando la evolución de ingreso promedio mensual en la región de Coquimbo, según las encuestas CASEN del periodo 2006-2017, se observa que el año 2015 muestra el promedio más alto del periodo para la etnia Atacameños con un sueldo aproximado de 400 mil CLP/mes. "/>
    <s v="Gráfico de Evolución"/>
    <s v="Región de Coquimbo,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4"/>
    <x v="21"/>
    <s v="#1774B9"/>
  </r>
  <r>
    <s v="0057"/>
    <n v="990"/>
    <s v="Agencia Información"/>
    <s v="Socioeconómico"/>
    <n v="5"/>
    <x v="4"/>
    <x v="0"/>
    <x v="1"/>
    <x v="5"/>
    <x v="0"/>
    <x v="0"/>
    <s v="Periodo 2006-2017"/>
    <s v="CLP/mes"/>
    <s v="Encuestas CASEN"/>
    <s v="Evolución de Ingreso Promedio Mensual por Etnia en la Región de Valparaíso para el Periodo 2006-2017"/>
    <s v="Considerando la evolución de ingreso promedio mensual en la región de Valparaíso, según las encuestas CASEN del periodo 2006-2017, se observa que en el año 2017 la etnia con promedio más altos de ingresos es la Aymara con un sueldo promedio de 350 mil CLP/mes."/>
    <s v="Gráfico de Evolución"/>
    <s v="Región de Valparaíso,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5"/>
    <x v="22"/>
    <s v="#1774B9"/>
  </r>
  <r>
    <s v="0058"/>
    <n v="990"/>
    <s v="Agencia Información"/>
    <s v="Socioeconómico"/>
    <n v="6"/>
    <x v="4"/>
    <x v="0"/>
    <x v="1"/>
    <x v="6"/>
    <x v="0"/>
    <x v="0"/>
    <s v="Periodo 2006-2017"/>
    <s v="CLP/mes"/>
    <s v="Encuestas CASEN"/>
    <s v="Evolución de Ingreso Promedio Mensual por Etnia en la Región de O'Higgins para el Periodo 2006-2017"/>
    <s v="Considerando la evolución de ingreso promedio mensual en la región de O'Higgins, según las encuestas CASEN del periodo 2006-2017, se observa que en el año 2017 la etnia con promedio más altos de ingresos es la Aymara con un sueldo promedio de 500 mil CLP/mes."/>
    <s v="Gráfico de Evolución"/>
    <s v="Región de O'Higgin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6"/>
    <x v="23"/>
    <s v="#1774B9"/>
  </r>
  <r>
    <s v="0059"/>
    <n v="990"/>
    <s v="Agencia Información"/>
    <s v="Socioeconómico"/>
    <n v="7"/>
    <x v="4"/>
    <x v="0"/>
    <x v="1"/>
    <x v="7"/>
    <x v="0"/>
    <x v="0"/>
    <s v="Periodo 2006-2017"/>
    <s v="CLP/mes"/>
    <s v="Encuestas CASEN"/>
    <s v="Evolución de Ingreso Promedio Mensual por Etnia en la Región de Maule para el Periodo 2006-2017"/>
    <s v="Gráfico que muestra la evolución del ingreso promedio mensual por etnia en la región de Maule, según las encuestas CASEN del periodo 2006-2017."/>
    <s v="Gráfico de Evolución"/>
    <s v="Región de Maule,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7"/>
    <x v="24"/>
    <s v="#1774B9"/>
  </r>
  <r>
    <s v="0060"/>
    <n v="990"/>
    <s v="Agencia Información"/>
    <s v="Socioeconómico"/>
    <n v="8"/>
    <x v="4"/>
    <x v="0"/>
    <x v="1"/>
    <x v="8"/>
    <x v="0"/>
    <x v="0"/>
    <s v="Periodo 2006-2017"/>
    <s v="CLP/mes"/>
    <s v="Encuestas CASEN"/>
    <s v="Evolución de Ingreso Promedio Mensual por Etnia en la Región del Biobío para el Periodo 2006-2017"/>
    <s v="Gráfico que muestra la evolución del ingreso promedio mensual por etnia en la región del Biobío, según las encuestas CASEN del periodo 2006-2017."/>
    <s v="Gráfico de Evolución"/>
    <s v="Región del Biobío,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8"/>
    <x v="25"/>
    <s v="#1774B9"/>
  </r>
  <r>
    <s v="0061"/>
    <n v="990"/>
    <s v="Agencia Información"/>
    <s v="Socioeconómico"/>
    <n v="9"/>
    <x v="4"/>
    <x v="0"/>
    <x v="1"/>
    <x v="9"/>
    <x v="0"/>
    <x v="0"/>
    <s v="Periodo 2006-2017"/>
    <s v="CLP/mes"/>
    <s v="Encuestas CASEN"/>
    <s v="Evolución de Ingreso Promedio Mensual por Etnia en la Región de La Araucanía para el Periodo 2006-2017"/>
    <s v="Considerando la evolución de ingreso promedio mensual en la región de La Araucanía, según las encuestas CASEN del periodo 2006-2017, se observa que en el año 2017 la etnia con promedio más altos de ingresos es la Diaguita con un sueldo promedio de 330 mil CLP/mes."/>
    <s v="Gráfico de Evolución"/>
    <s v="Región de La Araucaní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9"/>
    <x v="26"/>
    <s v="#1774B9"/>
  </r>
  <r>
    <s v="0062"/>
    <n v="990"/>
    <s v="Agencia Información"/>
    <s v="Socioeconómico"/>
    <n v="10"/>
    <x v="4"/>
    <x v="0"/>
    <x v="1"/>
    <x v="10"/>
    <x v="0"/>
    <x v="0"/>
    <s v="Periodo 2006-2017"/>
    <s v="CLP/mes"/>
    <s v="Encuestas CASEN"/>
    <s v="Evolución de Ingreso Promedio Mensual por Etnia en la Región de Los Lagos para el Periodo 2006-2017"/>
    <s v="Considerando la evolución de ingreso promedio mensual en la región de Los Lagos, según las encuestas CASEN del periodo 2006-2017, se observa que el año 2015 muestra el promedio más alto del periodo para la etnia Quechua con un sueldo aproximado de 330 mil CLP/mes. "/>
    <s v="Gráfico de Evolución"/>
    <s v="Región de Los Lago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0"/>
    <x v="27"/>
    <s v="#1774B9"/>
  </r>
  <r>
    <s v="0063"/>
    <n v="990"/>
    <s v="Agencia Información"/>
    <s v="Socioeconómico"/>
    <n v="11"/>
    <x v="4"/>
    <x v="0"/>
    <x v="1"/>
    <x v="11"/>
    <x v="0"/>
    <x v="0"/>
    <s v="Periodo 2006-2017"/>
    <s v="CLP/mes"/>
    <s v="Encuestas CASEN"/>
    <s v="Evolución de Ingreso Promedio Mensual por Etnia en la Región de Aysén para el Periodo 2006-2017"/>
    <s v="Considerando la evolución de ingreso promedio mensual en la región de Aysén, según las encuestas CASEN del periodo 2006-2017, se observa que en el año 2017 la etnia con promedio más altos de ingresos es la Alacalufe con un sueldo promedio de 617 mil CLP/mes."/>
    <s v="Gráfico de Evolución"/>
    <s v="Región de Aysén,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1"/>
    <x v="33"/>
    <s v="#1774B9"/>
  </r>
  <r>
    <s v="0064"/>
    <n v="990"/>
    <s v="Agencia Información"/>
    <s v="Socioeconómico"/>
    <n v="12"/>
    <x v="4"/>
    <x v="0"/>
    <x v="1"/>
    <x v="12"/>
    <x v="0"/>
    <x v="0"/>
    <s v="Periodo 2006-2017"/>
    <s v="CLP/mes"/>
    <s v="Encuestas CASEN"/>
    <s v="Evolución de Ingreso Promedio Mensual por Etnia en la Región de Magallanes para el Periodo 2006-2017"/>
    <s v="Considerando la evolución de ingreso promedio mensual en la región de Magallanes, según las encuestas CASEN del periodo 2006-2017, se observa que en el año 2017 la etnia con promedio más altos de ingresos es la Yagan con un sueldo promedio de 430 mil CLP/mes."/>
    <s v="Gráfico de Evolución"/>
    <s v="Región de Magallane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2"/>
    <x v="28"/>
    <s v="#1774B9"/>
  </r>
  <r>
    <s v="0065"/>
    <n v="990"/>
    <s v="Agencia Información"/>
    <s v="Socioeconómico"/>
    <n v="13"/>
    <x v="4"/>
    <x v="0"/>
    <x v="1"/>
    <x v="13"/>
    <x v="0"/>
    <x v="0"/>
    <s v="Periodo 2006-2017"/>
    <s v="CLP/mes"/>
    <s v="Encuestas CASEN"/>
    <s v="Evolución de Ingreso Promedio Mensual por Etnia en la Región Metropolitana para el Periodo 2006-2017"/>
    <s v="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
    <s v="Gráfico de Evolución"/>
    <s v="Región Metropolitan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3"/>
    <x v="29"/>
    <s v="#1774B9"/>
  </r>
  <r>
    <s v="0066"/>
    <n v="990"/>
    <s v="Agencia Información"/>
    <s v="Socioeconómico"/>
    <n v="14"/>
    <x v="4"/>
    <x v="0"/>
    <x v="1"/>
    <x v="14"/>
    <x v="0"/>
    <x v="0"/>
    <s v="Periodo 2006-2017"/>
    <s v="CLP/mes"/>
    <s v="Encuestas CASEN"/>
    <s v="Evolución de Ingreso Promedio Mensual por Etnia en la Región de Los Ríos para el Periodo 2006-2017"/>
    <s v="Gráfico que muestra la evolución del ingreso promedio mensual por etnia en la región de Los Ríos, según las encuestas CASEN del periodo 2006-2017."/>
    <s v="Gráfico de Evolución"/>
    <s v="Región de Los Ríos,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4"/>
    <x v="30"/>
    <s v="#1774B9"/>
  </r>
  <r>
    <s v="0067"/>
    <n v="990"/>
    <s v="Agencia Información"/>
    <s v="Socioeconómico"/>
    <n v="15"/>
    <x v="4"/>
    <x v="0"/>
    <x v="1"/>
    <x v="15"/>
    <x v="0"/>
    <x v="0"/>
    <s v="Periodo 2006-2017"/>
    <s v="CLP/mes"/>
    <s v="Encuestas CASEN"/>
    <s v="Evolución de Ingreso Promedio Mensual por Etnia en la Región de Arica y Parinacota para el Periodo 2006-2017"/>
    <s v="Considerando la evolución de ingreso promedio mensual en la región de Arica y Parinacota, según las encuestas CASEN del periodo 2006-2017, se observa que en el año 2017 la etnia con promedio más bajo de ingresos es la Coya con un sueldo promedio de 195 mil CLP/mes."/>
    <s v="Gráfico de Evolución"/>
    <s v="Región de Arica y Parinacota,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5"/>
    <x v="31"/>
    <s v="#1774B9"/>
  </r>
  <r>
    <s v="0068"/>
    <n v="990"/>
    <s v="Agencia Información"/>
    <s v="Socioeconómico"/>
    <n v="16"/>
    <x v="4"/>
    <x v="0"/>
    <x v="1"/>
    <x v="16"/>
    <x v="0"/>
    <x v="0"/>
    <s v="Periodo 2006-2017"/>
    <s v="CLP/mes"/>
    <s v="Encuestas CASEN"/>
    <s v="Evolución de Ingreso Promedio Mensual por Etnia en la Región de Ñuble para el Periodo 2006-2017"/>
    <s v="Gráfico que muestra la evolución del ingreso promedio mensual por etnia en la región de Ñuble, según las encuestas CASEN del periodo 2006-2017."/>
    <s v="Gráfico de Evolución"/>
    <s v="Región de Ñuble,encuesta,CASEN,ingreso,ingresos,ingreso promedio,ingreso mensual,etnia,región,mapuche,alacalufe,atacameño,aymara,coya,diaguita,pascuense,quechua,Agencia Información,Socioeconómico,Ingreso por etnia,Ingresos Históricos"/>
    <s v="https://analytics.zoho.com/open-view/2395394000008231605?ZOHO_CRITERIA=%22Localiza%20Chile%22.%22Codreg%22%3D16"/>
    <x v="32"/>
    <s v="#1774B9"/>
  </r>
  <r>
    <s v="0069"/>
    <n v="990"/>
    <s v="Agencia Información"/>
    <s v="Gobiernos locales"/>
    <n v="0"/>
    <x v="5"/>
    <x v="3"/>
    <x v="0"/>
    <x v="0"/>
    <x v="0"/>
    <x v="4"/>
    <s v="Periodo 2019-2020"/>
    <s v="Número de Alumnos"/>
    <s v="Sistema Nacional de Información Municipal"/>
    <s v="Ranking Comunal 2020: Número de Alumnos por Docente en Aula, variación Periodo 2019-2020"/>
    <s v="Ranking de Comunas: Número de Alumnos por Docente en Aula del año 2019 y 2020 y su variación porcentual para los Colegios Municipales"/>
    <s v="Ranking"/>
    <s v="Chile,municipal,alumnos,calidad,colegios,municipales,públicos,docentes,aula,sala,Agencia Información,Gobiernos locales,Indicadores de Calidad de Educación Municipal,Gestión Municipal de Educación"/>
    <s v="https://analytics.zoho.com/open-view/2395394000007756457"/>
    <x v="17"/>
    <s v="#1774B9"/>
  </r>
  <r>
    <s v="0070"/>
    <n v="990"/>
    <s v="Agencia Información"/>
    <s v="Gobiernos locales"/>
    <n v="1"/>
    <x v="5"/>
    <x v="3"/>
    <x v="1"/>
    <x v="1"/>
    <x v="1"/>
    <x v="4"/>
    <s v="Periodo 2019-2020"/>
    <s v="Número de Alumnos"/>
    <s v="Sistema Nacional de Información Municipal"/>
    <s v="Ranking Comunal Región de Tarapacá 2020: Número de Alumnos por Docente en Aula, variación Periodo 2019-2020"/>
    <s v="En la región de Tarapacá, las comunas de Alto Hospicio, Iquique y Camiña presentan una variación negativa en la cantidad de Alumnos por Docente en Aula (disminuye la cantidad de alumnos por docente), con -0,5%, -0,7% y -9,0%, respectivamente, entre los años 2019 y 2020. "/>
    <s v="Ranking"/>
    <s v="Región de Tarapacá,municipal,alumnos,calidad,colegios,municipales,públicos,docentes,aula,sala,Agencia Información,Gobiernos locales,Indicadores de Calidad de Educación Municipal,Gestión Municipal de Educación"/>
    <s v="https://analytics.zoho.com/open-view/2395394000008643713?ZOHO_CRITERIA=%22Localiza%20CL%22.%22Codreg%22%3D1"/>
    <x v="18"/>
    <s v="#1774B9"/>
  </r>
  <r>
    <s v="0071"/>
    <n v="990"/>
    <s v="Agencia Información"/>
    <s v="Gobiernos locales"/>
    <n v="2"/>
    <x v="5"/>
    <x v="3"/>
    <x v="1"/>
    <x v="2"/>
    <x v="1"/>
    <x v="4"/>
    <s v="Periodo 2019-2020"/>
    <s v="Número de Alumnos"/>
    <s v="Sistema Nacional de Información Municipal"/>
    <s v="Ranking Comunal Región de Antofagasta 2020: Número de Alumnos por Docente en Aula, variación Periodo 2019-2020"/>
    <s v="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
    <s v="Ranking"/>
    <s v="Región de Antofagasta,municipal,alumnos,calidad,colegios,municipales,públicos,docentes,aula,sala,Agencia Información,Gobiernos locales,Indicadores de Calidad de Educación Municipal,Gestión Municipal de Educación"/>
    <s v="https://analytics.zoho.com/open-view/2395394000008643713?ZOHO_CRITERIA=%22Localiza%20CL%22.%22Codreg%22%3D2"/>
    <x v="19"/>
    <s v="#1774B9"/>
  </r>
  <r>
    <s v="0072"/>
    <n v="990"/>
    <s v="Agencia Información"/>
    <s v="Gobiernos locales"/>
    <n v="3"/>
    <x v="5"/>
    <x v="3"/>
    <x v="1"/>
    <x v="3"/>
    <x v="1"/>
    <x v="4"/>
    <s v="Periodo 2019-2020"/>
    <s v="Número de Alumnos"/>
    <s v="Sistema Nacional de Información Municipal"/>
    <s v="Ranking Comunal Región de Atacama 2020: Número de Alumnos por Docente en Aula, variación Periodo 2019-2020"/>
    <s v="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
    <s v="Ranking"/>
    <s v="Región de Atacama,municipal,alumnos,calidad,colegios,municipales,públicos,docentes,aula,sala,Agencia Información,Gobiernos locales,Indicadores de Calidad de Educación Municipal,Gestión Municipal de Educación"/>
    <s v="https://analytics.zoho.com/open-view/2395394000008643713?ZOHO_CRITERIA=%22Localiza%20CL%22.%22Codreg%22%3D3"/>
    <x v="20"/>
    <s v="#1774B9"/>
  </r>
  <r>
    <s v="0073"/>
    <n v="990"/>
    <s v="Agencia Información"/>
    <s v="Gobiernos locales"/>
    <n v="4"/>
    <x v="5"/>
    <x v="3"/>
    <x v="1"/>
    <x v="4"/>
    <x v="1"/>
    <x v="4"/>
    <s v="Periodo 2019-2020"/>
    <s v="Número de Alumnos"/>
    <s v="Sistema Nacional de Información Municipal"/>
    <s v="Ranking Comunal Región de Coquimbo 2020: Número de Alumnos por Docente en Aula, variación Periodo 2019-2020"/>
    <s v="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
    <s v="Ranking"/>
    <s v="Región de Coquimbo,municipal,alumnos,calidad,colegios,municipales,públicos,docentes,aula,sala,Agencia Información,Gobiernos locales,Indicadores de Calidad de Educación Municipal,Gestión Municipal de Educación"/>
    <s v="https://analytics.zoho.com/open-view/2395394000008643713?ZOHO_CRITERIA=%22Localiza%20CL%22.%22Codreg%22%3D4"/>
    <x v="21"/>
    <s v="#1774B9"/>
  </r>
  <r>
    <s v="0074"/>
    <n v="990"/>
    <s v="Agencia Información"/>
    <s v="Gobiernos locales"/>
    <n v="5"/>
    <x v="5"/>
    <x v="3"/>
    <x v="1"/>
    <x v="5"/>
    <x v="1"/>
    <x v="4"/>
    <s v="Periodo 2019-2020"/>
    <s v="Número de Alumnos"/>
    <s v="Sistema Nacional de Información Municipal"/>
    <s v="Ranking Comunal Región de Valparaíso 2020: Número de Alumnos por Docente en Aula, variación Periodo 2019-2020"/>
    <s v="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
    <s v="Ranking"/>
    <s v="Región de Valparaíso,municipal,alumnos,calidad,colegios,municipales,públicos,docentes,aula,sala,Agencia Información,Gobiernos locales,Indicadores de Calidad de Educación Municipal,Gestión Municipal de Educación"/>
    <s v="https://analytics.zoho.com/open-view/2395394000008643713?ZOHO_CRITERIA=%22Localiza%20CL%22.%22Codreg%22%3D5"/>
    <x v="22"/>
    <s v="#1774B9"/>
  </r>
  <r>
    <s v="0075"/>
    <n v="990"/>
    <s v="Agencia Información"/>
    <s v="Gobiernos locales"/>
    <n v="6"/>
    <x v="5"/>
    <x v="3"/>
    <x v="1"/>
    <x v="6"/>
    <x v="1"/>
    <x v="4"/>
    <s v="Periodo 2019-2020"/>
    <s v="Número de Alumnos"/>
    <s v="Sistema Nacional de Información Municipal"/>
    <s v="Ranking Comunal Región de O'Higgins 2020: Número de Alumnos por Docente en Aula, variación Periodo 2019-2020"/>
    <s v="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
    <s v="Ranking"/>
    <s v="Región de O'Higgins,municipal,alumnos,calidad,colegios,municipales,públicos,docentes,aula,sala,Agencia Información,Gobiernos locales,Indicadores de Calidad de Educación Municipal,Gestión Municipal de Educación"/>
    <s v="https://analytics.zoho.com/open-view/2395394000008643713?ZOHO_CRITERIA=%22Localiza%20CL%22.%22Codreg%22%3D6"/>
    <x v="23"/>
    <s v="#1774B9"/>
  </r>
  <r>
    <s v="0076"/>
    <n v="990"/>
    <s v="Agencia Información"/>
    <s v="Gobiernos locales"/>
    <n v="7"/>
    <x v="5"/>
    <x v="3"/>
    <x v="1"/>
    <x v="7"/>
    <x v="1"/>
    <x v="4"/>
    <s v="Periodo 2019-2020"/>
    <s v="Número de Alumnos"/>
    <s v="Sistema Nacional de Información Municipal"/>
    <s v="Ranking Comunal Región de Maule 2020: Número de Alumnos por Docente en Aula, variación Periodo 2019-2020"/>
    <s v="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
    <s v="Ranking"/>
    <s v="Región de Maule,municipal,alumnos,calidad,colegios,municipales,públicos,docentes,aula,sala,Agencia Información,Gobiernos locales,Indicadores de Calidad de Educación Municipal,Gestión Municipal de Educación"/>
    <s v="https://analytics.zoho.com/open-view/2395394000008643713?ZOHO_CRITERIA=%22Localiza%20CL%22.%22Codreg%22%3D7"/>
    <x v="24"/>
    <s v="#1774B9"/>
  </r>
  <r>
    <s v="0077"/>
    <n v="990"/>
    <s v="Agencia Información"/>
    <s v="Gobiernos locales"/>
    <n v="8"/>
    <x v="5"/>
    <x v="3"/>
    <x v="1"/>
    <x v="8"/>
    <x v="1"/>
    <x v="4"/>
    <s v="Periodo 2019-2020"/>
    <s v="Número de Alumnos"/>
    <s v="Sistema Nacional de Información Municipal"/>
    <s v="Ranking Comunal Región del Biobío 2020: Número de Alumnos por Docente en Aula, variación Periodo 2019-2020"/>
    <s v="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
    <s v="Ranking"/>
    <s v="Región del Biobío,municipal,alumnos,calidad,colegios,municipales,públicos,docentes,aula,sala,Agencia Información,Gobiernos locales,Indicadores de Calidad de Educación Municipal,Gestión Municipal de Educación"/>
    <s v="https://analytics.zoho.com/open-view/2395394000008643713?ZOHO_CRITERIA=%22Localiza%20CL%22.%22Codreg%22%3D8"/>
    <x v="25"/>
    <s v="#1774B9"/>
  </r>
  <r>
    <s v="0078"/>
    <n v="990"/>
    <s v="Agencia Información"/>
    <s v="Gobiernos locales"/>
    <n v="9"/>
    <x v="5"/>
    <x v="3"/>
    <x v="1"/>
    <x v="9"/>
    <x v="1"/>
    <x v="4"/>
    <s v="Periodo 2019-2020"/>
    <s v="Número de Alumnos"/>
    <s v="Sistema Nacional de Información Municipal"/>
    <s v="Ranking Comunal Región de La Araucanía 2020: Número de Alumnos por Docente en Aula, variación Periodo 2019-2020"/>
    <s v="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
    <s v="Ranking"/>
    <s v="Región de La Araucanía,municipal,alumnos,calidad,colegios,municipales,públicos,docentes,aula,sala,Agencia Información,Gobiernos locales,Indicadores de Calidad de Educación Municipal,Gestión Municipal de Educación"/>
    <s v="https://analytics.zoho.com/open-view/2395394000008643713?ZOHO_CRITERIA=%22Localiza%20CL%22.%22Codreg%22%3D9"/>
    <x v="26"/>
    <s v="#1774B9"/>
  </r>
  <r>
    <s v="0079"/>
    <n v="990"/>
    <s v="Agencia Información"/>
    <s v="Gobiernos locales"/>
    <n v="10"/>
    <x v="5"/>
    <x v="3"/>
    <x v="1"/>
    <x v="10"/>
    <x v="1"/>
    <x v="4"/>
    <s v="Periodo 2019-2020"/>
    <s v="Número de Alumnos"/>
    <s v="Sistema Nacional de Información Municipal"/>
    <s v="Ranking Comunal Región de Los Lagos 2020: Número de Alumnos por Docente en Aula, variación Periodo 2019-2020"/>
    <s v="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
    <s v="Ranking"/>
    <s v="Región de Los Lagos,municipal,alumnos,calidad,colegios,municipales,públicos,docentes,aula,sala,Agencia Información,Gobiernos locales,Indicadores de Calidad de Educación Municipal,Gestión Municipal de Educación"/>
    <s v="https://analytics.zoho.com/open-view/2395394000008643713?ZOHO_CRITERIA=%22Localiza%20CL%22.%22Codreg%22%3D10"/>
    <x v="27"/>
    <s v="#1774B9"/>
  </r>
  <r>
    <s v="0080"/>
    <n v="990"/>
    <s v="Agencia Información"/>
    <s v="Gobiernos locales"/>
    <n v="11"/>
    <x v="5"/>
    <x v="3"/>
    <x v="1"/>
    <x v="11"/>
    <x v="1"/>
    <x v="4"/>
    <s v="Periodo 2019-2020"/>
    <s v="Número de Alumnos"/>
    <s v="Sistema Nacional de Información Municipal"/>
    <s v="Ranking Comunal Región de Aysén 2020: Número de Alumnos por Docente en Aula, variación Periodo 2019-2020"/>
    <s v="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
    <s v="Ranking"/>
    <s v="Región de Aysén,municipal,alumnos,calidad,colegios,municipales,públicos,docentes,aula,sala,Agencia Información,Gobiernos locales,Indicadores de Calidad de Educación Municipal,Gestión Municipal de Educación"/>
    <s v="https://analytics.zoho.com/open-view/2395394000008643713?ZOHO_CRITERIA=%22Localiza%20CL%22.%22Codreg%22%3D11"/>
    <x v="33"/>
    <s v="#1774B9"/>
  </r>
  <r>
    <s v="0081"/>
    <n v="990"/>
    <s v="Agencia Información"/>
    <s v="Gobiernos locales"/>
    <n v="12"/>
    <x v="5"/>
    <x v="3"/>
    <x v="1"/>
    <x v="12"/>
    <x v="1"/>
    <x v="4"/>
    <s v="Periodo 2019-2020"/>
    <s v="Número de Alumnos"/>
    <s v="Sistema Nacional de Información Municipal"/>
    <s v="Ranking Comunal Región de Magallanes 2020: Número de Alumnos por Docente en Aula, variación Periodo 2019-2020"/>
    <s v="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
    <s v="Ranking"/>
    <s v="Región de Magallanes,municipal,alumnos,calidad,colegios,municipales,públicos,docentes,aula,sala,Agencia Información,Gobiernos locales,Indicadores de Calidad de Educación Municipal,Gestión Municipal de Educación"/>
    <s v="https://analytics.zoho.com/open-view/2395394000008643713?ZOHO_CRITERIA=%22Localiza%20CL%22.%22Codreg%22%3D12"/>
    <x v="28"/>
    <s v="#1774B9"/>
  </r>
  <r>
    <s v="0082"/>
    <n v="990"/>
    <s v="Agencia Información"/>
    <s v="Gobiernos locales"/>
    <n v="13"/>
    <x v="5"/>
    <x v="3"/>
    <x v="1"/>
    <x v="13"/>
    <x v="1"/>
    <x v="4"/>
    <s v="Periodo 2019-2020"/>
    <s v="Número de Alumnos"/>
    <s v="Sistema Nacional de Información Municipal"/>
    <s v="Ranking Comunal Región Metropolitana 2020: Número de Alumnos por Docente en Aula, variación Periodo 2019-2020"/>
    <s v="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
    <s v="Ranking"/>
    <s v="Región Metropolitana,municipal,alumnos,calidad,colegios,municipales,públicos,docentes,aula,sala,Agencia Información,Gobiernos locales,Indicadores de Calidad de Educación Municipal,Gestión Municipal de Educación"/>
    <s v="https://analytics.zoho.com/open-view/2395394000008643713?ZOHO_CRITERIA=%22Localiza%20CL%22.%22Codreg%22%3D13"/>
    <x v="29"/>
    <s v="#1774B9"/>
  </r>
  <r>
    <s v="0083"/>
    <n v="990"/>
    <s v="Agencia Información"/>
    <s v="Gobiernos locales"/>
    <n v="14"/>
    <x v="5"/>
    <x v="3"/>
    <x v="1"/>
    <x v="14"/>
    <x v="1"/>
    <x v="4"/>
    <s v="Periodo 2019-2020"/>
    <s v="Número de Alumnos"/>
    <s v="Sistema Nacional de Información Municipal"/>
    <s v="Ranking Comunal Región de Los Ríos 2020: Número de Alumnos por Docente en Aula, variación Periodo 2019-2020"/>
    <s v="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
    <s v="Ranking"/>
    <s v="Región de Los Ríos,municipal,alumnos,calidad,colegios,municipales,públicos,docentes,aula,sala,Agencia Información,Gobiernos locales,Indicadores de Calidad de Educación Municipal,Gestión Municipal de Educación"/>
    <s v="https://analytics.zoho.com/open-view/2395394000008643713?ZOHO_CRITERIA=%22Localiza%20CL%22.%22Codreg%22%3D14"/>
    <x v="30"/>
    <s v="#1774B9"/>
  </r>
  <r>
    <s v="0084"/>
    <n v="990"/>
    <s v="Agencia Información"/>
    <s v="Gobiernos locales"/>
    <n v="16"/>
    <x v="5"/>
    <x v="3"/>
    <x v="1"/>
    <x v="16"/>
    <x v="1"/>
    <x v="4"/>
    <s v="Periodo 2019-2020"/>
    <s v="Número de Alumnos"/>
    <s v="Sistema Nacional de Información Municipal"/>
    <s v="Ranking Comunal Región de Ñuble 2020: Número de Alumnos por Docente en Aula, variación Periodo 2019-2020"/>
    <s v="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
    <s v="Ranking"/>
    <s v="Región de Ñuble,municipal,alumnos,calidad,colegios,municipales,públicos,docentes,aula,sala,Agencia Información,Gobiernos locales,Indicadores de Calidad de Educación Municipal,Gestión Municipal de Educación"/>
    <s v="https://analytics.zoho.com/open-view/2395394000008643713?ZOHO_CRITERIA=%22Localiza%20CL%22.%22Codreg%22%3D16"/>
    <x v="32"/>
    <s v="#1774B9"/>
  </r>
  <r>
    <s v="0085"/>
    <n v="990"/>
    <s v="Agencia Información"/>
    <s v="Salud"/>
    <n v="0"/>
    <x v="6"/>
    <x v="4"/>
    <x v="0"/>
    <x v="0"/>
    <x v="3"/>
    <x v="5"/>
    <s v="Periodo 2020-2021"/>
    <s v="Número de Casos"/>
    <s v="Ministerio de Ciencia, Tecnología, Conocimiento e Innovación"/>
    <s v="Evolución de Casos Activos de COVID-19 por 1 millón de habitantes en las comunas de Chile durante el Periodo 2020-2021"/>
    <s v="Gráfico que muestra la evolución de los casos activos de COVID-19 por millón de habitantes a nivel nacional con detalle regional y comunal, durante el periodo 2020-2021."/>
    <s v="Gráfico de Evolución"/>
    <s v="Chile,regional,comunal,región,comuna,casos activos,fallecidos,recuperados,Agencia Información,Salud,Casos Activos ,COVID-19"/>
    <s v="https://analytics.zoho.com/open-view/2395394000008643867"/>
    <x v="17"/>
    <s v="#1774B9"/>
  </r>
  <r>
    <s v="0086"/>
    <n v="990"/>
    <s v="Agencia Información"/>
    <s v="Salud"/>
    <n v="1"/>
    <x v="6"/>
    <x v="4"/>
    <x v="1"/>
    <x v="1"/>
    <x v="3"/>
    <x v="5"/>
    <s v="Periodo 2020-2021"/>
    <s v="Número de Casos"/>
    <s v="Ministerio de Ciencia, Tecnología, Conocimiento e Innovación"/>
    <s v="Evolución de Casos Activos de COVID-19 por 1 millón de habitantes en las comunas de la Región de Tarapacá durante el Periodo 2020-2021"/>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regional,comunal,región,comuna,casos activos,fallecidos,recuperados,Agencia Información,Salud,Casos Activos ,COVID-19"/>
    <s v="https://analytics.zoho.com/open-view/2395394000008645197?ZOHO_CRITERIA=%22Localiza_CL_Poblacion%22.%22Codreg%22%3D1"/>
    <x v="18"/>
    <s v="#1774B9"/>
  </r>
  <r>
    <s v="0087"/>
    <n v="990"/>
    <s v="Agencia Información"/>
    <s v="Salud"/>
    <n v="2"/>
    <x v="6"/>
    <x v="4"/>
    <x v="1"/>
    <x v="2"/>
    <x v="3"/>
    <x v="5"/>
    <s v="Periodo 2020-2021"/>
    <s v="Número de Casos"/>
    <s v="Ministerio de Ciencia, Tecnología, Conocimiento e Innovación"/>
    <s v="Evolución de Casos Activos de COVID-19 por 1 millón de habitantes en las comunas de la Región de Antofagasta durante el Periodo 2020-2021"/>
    <s v="Gráfico que muestra la evolución de los casos activos de COVID-19 por millón de habitantes en la región de Antogasta  con detalle comunal, durante el periodo 2020-2021."/>
    <s v="Gráfico de Evolución"/>
    <s v="Región de Antofagasta,regional,comunal,región,comuna,casos activos,fallecidos,recuperados,Agencia Información,Salud,Casos Activos ,COVID-19"/>
    <s v="https://analytics.zoho.com/open-view/2395394000008645197?ZOHO_CRITERIA=%22Localiza_CL_Poblacion%22.%22Codreg%22%3D2"/>
    <x v="19"/>
    <s v="#1774B9"/>
  </r>
  <r>
    <s v="0088"/>
    <n v="990"/>
    <s v="Agencia Información"/>
    <s v="Salud"/>
    <n v="3"/>
    <x v="6"/>
    <x v="4"/>
    <x v="1"/>
    <x v="3"/>
    <x v="3"/>
    <x v="5"/>
    <s v="Periodo 2020-2021"/>
    <s v="Número de Casos"/>
    <s v="Ministerio de Ciencia, Tecnología, Conocimiento e Innovación"/>
    <s v="Evolución de Casos Activos de COVID-19 por 1 millón de habitantes en las comunas de la Región de Atacama durante el Periodo 2020-2021"/>
    <s v="Gráfico que muestra la evolución de los casos activos de COVID-19 por millón de habitantes, con detalle comunal, en la región de Atacama, durante el periodo 2020-2021. "/>
    <s v="Gráfico de Evolución"/>
    <s v="Región de Atacama,regional,comunal,región,comuna,casos activos,fallecidos,recuperados,Agencia Información,Salud,Casos Activos ,COVID-19"/>
    <s v="https://analytics.zoho.com/open-view/2395394000008645197?ZOHO_CRITERIA=%22Localiza_CL_Poblacion%22.%22Codreg%22%3D3"/>
    <x v="20"/>
    <s v="#1774B9"/>
  </r>
  <r>
    <s v="0089"/>
    <n v="990"/>
    <s v="Agencia Información"/>
    <s v="Salud"/>
    <n v="4"/>
    <x v="6"/>
    <x v="4"/>
    <x v="1"/>
    <x v="4"/>
    <x v="3"/>
    <x v="5"/>
    <s v="Periodo 2020-2021"/>
    <s v="Número de Casos"/>
    <s v="Ministerio de Ciencia, Tecnología, Conocimiento e Innovación"/>
    <s v="Evolución de Casos Activos de COVID-19 por 1 millón de habitantes en las comunas de la Región de Coquimbo durante el Periodo 2020-2021"/>
    <s v="En la comuna de Coquimbo se observa una mayor cantidad de casos activos por COVID-19 en los meses de mayo y junio del año 2021, superando los 2.000 casos por millón de habitantes, presentando la baja más importante en el mes de Noviembre 2020."/>
    <s v="Gráfico de Evolución"/>
    <s v="Región de Coquimbo,regional,comunal,región,comuna,casos activos,fallecidos,recuperados,Agencia Información,Salud,Casos Activos ,COVID-19"/>
    <s v="https://analytics.zoho.com/open-view/2395394000008645197?ZOHO_CRITERIA=%22Localiza_CL_Poblacion%22.%22Codreg%22%3D4"/>
    <x v="21"/>
    <s v="#1774B9"/>
  </r>
  <r>
    <s v="0090"/>
    <n v="990"/>
    <s v="Agencia Información"/>
    <s v="Salud"/>
    <n v="5"/>
    <x v="6"/>
    <x v="4"/>
    <x v="1"/>
    <x v="5"/>
    <x v="3"/>
    <x v="5"/>
    <s v="Periodo 2020-2021"/>
    <s v="Número de Casos"/>
    <s v="Ministerio de Ciencia, Tecnología, Conocimiento e Innovación"/>
    <s v="Evolución de Casos Activos de COVID-19 por 1 millón de habitantes en las comunas de la Región de Valparaíso durante el Periodo 2020-2021"/>
    <s v="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
    <s v="Gráfico de Evolución"/>
    <s v="Región de Valparaíso,regional,comunal,región,comuna,casos activos,fallecidos,recuperados,Agencia Información,Salud,Casos Activos ,COVID-19"/>
    <s v="https://analytics.zoho.com/open-view/2395394000008645197?ZOHO_CRITERIA=%22Localiza_CL_Poblacion%22.%22Codreg%22%3D5"/>
    <x v="22"/>
    <s v="#1774B9"/>
  </r>
  <r>
    <s v="0091"/>
    <n v="990"/>
    <s v="Agencia Información"/>
    <s v="Salud"/>
    <n v="6"/>
    <x v="6"/>
    <x v="4"/>
    <x v="1"/>
    <x v="6"/>
    <x v="3"/>
    <x v="5"/>
    <s v="Periodo 2020-2021"/>
    <s v="Número de Casos"/>
    <s v="Ministerio de Ciencia, Tecnología, Conocimiento e Innovación"/>
    <s v="Evolución de Casos Activos de COVID-19 por 1 millón de habitantes en las comunas de la Región de O'Higgins durante el Periodo 2020-2021"/>
    <s v="Gráfico que muestra la evolución de los casos activos de COVID-19 por millón de habitantes, con detalle comunal, en la región de O´Higgins, durante el periodo 2020-2021. "/>
    <s v="Gráfico de Evolución"/>
    <s v="Región de O'Higgins,regional,comunal,región,comuna,casos activos,fallecidos,recuperados,Agencia Información,Salud,Casos Activos ,COVID-19"/>
    <s v="https://analytics.zoho.com/open-view/2395394000008645197?ZOHO_CRITERIA=%22Localiza_CL_Poblacion%22.%22Codreg%22%3D6"/>
    <x v="23"/>
    <s v="#1774B9"/>
  </r>
  <r>
    <s v="0092"/>
    <n v="990"/>
    <s v="Agencia Información"/>
    <s v="Salud"/>
    <n v="7"/>
    <x v="6"/>
    <x v="4"/>
    <x v="1"/>
    <x v="7"/>
    <x v="3"/>
    <x v="5"/>
    <s v="Periodo 2020-2021"/>
    <s v="Número de Casos"/>
    <s v="Ministerio de Ciencia, Tecnología, Conocimiento e Innovación"/>
    <s v="Evolución de Casos Activos de COVID-19 por 1 millón de habitantes en las comunas de la Región de Maule durante el Periodo 2020-2021"/>
    <s v="Gráfico que muestra la evolución de los casos activos de COVID-19 por millón de habitantes, con detalle comunal, en la región de Maule, durante el periodo 2020-2021. "/>
    <s v="Gráfico de Evolución"/>
    <s v="Región de Maule,regional,comunal,región,comuna,casos activos,fallecidos,recuperados,Agencia Información,Salud,Casos Activos ,COVID-19"/>
    <s v="https://analytics.zoho.com/open-view/2395394000008645197?ZOHO_CRITERIA=%22Localiza_CL_Poblacion%22.%22Codreg%22%3D7"/>
    <x v="24"/>
    <s v="#1774B9"/>
  </r>
  <r>
    <s v="0093"/>
    <n v="990"/>
    <s v="Agencia Información"/>
    <s v="Salud"/>
    <n v="8"/>
    <x v="6"/>
    <x v="4"/>
    <x v="1"/>
    <x v="8"/>
    <x v="3"/>
    <x v="5"/>
    <s v="Periodo 2020-2021"/>
    <s v="Número de Casos"/>
    <s v="Ministerio de Ciencia, Tecnología, Conocimiento e Innovación"/>
    <s v="Evolución de Casos Activos de COVID-19 por 1 millón de habitantes en las comunas de la Región del Biobío durante el Periodo 2020-2021"/>
    <s v="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
    <s v="Gráfico de Evolución"/>
    <s v="Región del Biobío,regional,comunal,región,comuna,casos activos,fallecidos,recuperados,Agencia Información,Salud,Casos Activos ,COVID-19"/>
    <s v="https://analytics.zoho.com/open-view/2395394000008645197?ZOHO_CRITERIA=%22Localiza_CL_Poblacion%22.%22Codreg%22%3D8"/>
    <x v="25"/>
    <s v="#1774B9"/>
  </r>
  <r>
    <s v="0094"/>
    <n v="990"/>
    <s v="Agencia Información"/>
    <s v="Salud"/>
    <n v="9"/>
    <x v="6"/>
    <x v="4"/>
    <x v="1"/>
    <x v="9"/>
    <x v="3"/>
    <x v="5"/>
    <s v="Periodo 2020-2021"/>
    <s v="Número de Casos"/>
    <s v="Ministerio de Ciencia, Tecnología, Conocimiento e Innovación"/>
    <s v="Evolución de Casos Activos de COVID-19 por 1 millón de habitantes en las comunas de la Región de La Araucanía durante el Periodo 2020-2021"/>
    <s v="Gráfico que muestra la evolución de los casos activos de COVID-19 por millón de habitantes, con detalle comunal, en la región de La Araucania, durante el periodo 2020-2021. "/>
    <s v="Gráfico de Evolución"/>
    <s v="Región de La Araucanía,regional,comunal,región,comuna,casos activos,fallecidos,recuperados,Agencia Información,Salud,Casos Activos ,COVID-19"/>
    <s v="https://analytics.zoho.com/open-view/2395394000008645197?ZOHO_CRITERIA=%22Localiza_CL_Poblacion%22.%22Codreg%22%3D9"/>
    <x v="26"/>
    <s v="#1774B9"/>
  </r>
  <r>
    <s v="0095"/>
    <n v="990"/>
    <s v="Agencia Información"/>
    <s v="Salud"/>
    <n v="10"/>
    <x v="6"/>
    <x v="4"/>
    <x v="1"/>
    <x v="10"/>
    <x v="3"/>
    <x v="5"/>
    <s v="Periodo 2020-2021"/>
    <s v="Número de Casos"/>
    <s v="Ministerio de Ciencia, Tecnología, Conocimiento e Innovación"/>
    <s v="Evolución de Casos Activos de COVID-19 por 1 millón de habitantes en las comunas de la Región de Los Lagos durante el Periodo 2020-2021"/>
    <s v="Gráfico que muestra la evolución de los casos activos de COVID-19 por millón de habitantes, con detalle comunal, en la región de Los Lagos, durante el periodo 2020-2021. "/>
    <s v="Gráfico de Evolución"/>
    <s v="Región de Los Lagos,regional,comunal,región,comuna,casos activos,fallecidos,recuperados,Agencia Información,Salud,Casos Activos ,COVID-19"/>
    <s v="https://analytics.zoho.com/open-view/2395394000008645197?ZOHO_CRITERIA=%22Localiza_CL_Poblacion%22.%22Codreg%22%3D10"/>
    <x v="27"/>
    <s v="#1774B9"/>
  </r>
  <r>
    <s v="0096"/>
    <n v="990"/>
    <s v="Agencia Información"/>
    <s v="Salud"/>
    <n v="11"/>
    <x v="6"/>
    <x v="4"/>
    <x v="1"/>
    <x v="11"/>
    <x v="3"/>
    <x v="5"/>
    <s v="Periodo 2020-2021"/>
    <s v="Número de Casos"/>
    <s v="Ministerio de Ciencia, Tecnología, Conocimiento e Innovación"/>
    <s v="Evolución de Casos Activos de COVID-19 por 1 millón de habitantes en las comunas de la Región de Aysén durante el Periodo 2020-2021"/>
    <s v="Gráfico que muestra la evolución de los casos activos de COVID-19 por millón de habitantes, con detalle comunal, en la región de Aysén, durante el periodo 2020-2021. "/>
    <s v="Gráfico de Evolución"/>
    <s v="Región de Aysén,regional,comunal,región,comuna,casos activos,fallecidos,recuperados,Agencia Información,Salud,Casos Activos ,COVID-19"/>
    <s v="https://analytics.zoho.com/open-view/2395394000008645197?ZOHO_CRITERIA=%22Localiza_CL_Poblacion%22.%22Codreg%22%3D11"/>
    <x v="33"/>
    <s v="#1774B9"/>
  </r>
  <r>
    <s v="0097"/>
    <n v="990"/>
    <s v="Agencia Información"/>
    <s v="Salud"/>
    <n v="12"/>
    <x v="6"/>
    <x v="4"/>
    <x v="1"/>
    <x v="12"/>
    <x v="3"/>
    <x v="5"/>
    <s v="Periodo 2020-2021"/>
    <s v="Número de Casos"/>
    <s v="Ministerio de Ciencia, Tecnología, Conocimiento e Innovación"/>
    <s v="Evolución de Casos Activos de COVID-19 por 1 millón de habitantes en las comunas de la Región de Magallanes durante el Periodo 2020-2021"/>
    <s v="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
    <s v="Gráfico de Evolución"/>
    <s v="Región de Magallanes,regional,comunal,región,comuna,casos activos,fallecidos,recuperados,Agencia Información,Salud,Casos Activos ,COVID-19"/>
    <s v="https://analytics.zoho.com/open-view/2395394000008645197?ZOHO_CRITERIA=%22Localiza_CL_Poblacion%22.%22Codreg%22%3D12"/>
    <x v="28"/>
    <s v="#1774B9"/>
  </r>
  <r>
    <s v="0098"/>
    <n v="990"/>
    <s v="Agencia Información"/>
    <s v="Salud"/>
    <n v="13"/>
    <x v="6"/>
    <x v="4"/>
    <x v="1"/>
    <x v="13"/>
    <x v="3"/>
    <x v="5"/>
    <s v="Periodo 2020-2021"/>
    <s v="Número de Casos"/>
    <s v="Ministerio de Ciencia, Tecnología, Conocimiento e Innovación"/>
    <s v="Evolución de Casos Activos de COVID-19 por 1 millón de habitantes en las comunas de la Región Metropolitana durante el Periodo 2020-2021"/>
    <s v="Gráfico que muestra la evolución de casos activos de COVID-19 por millón de habitantes, región Metropolina, con detalle comunal durante el periodo 2020-2021.  "/>
    <s v="Gráfico de Evolución"/>
    <s v="Región Metropolitana,regional,comunal,región,comuna,casos activos,fallecidos,recuperados,Agencia Información,Salud,Casos Activos ,COVID-19"/>
    <s v="https://analytics.zoho.com/open-view/2395394000008645197?ZOHO_CRITERIA=%22Localiza_CL_Poblacion%22.%22Codreg%22%3D13"/>
    <x v="29"/>
    <s v="#1774B9"/>
  </r>
  <r>
    <s v="0099"/>
    <n v="990"/>
    <s v="Agencia Información"/>
    <s v="Salud"/>
    <n v="14"/>
    <x v="6"/>
    <x v="4"/>
    <x v="1"/>
    <x v="14"/>
    <x v="3"/>
    <x v="5"/>
    <s v="Periodo 2020-2021"/>
    <s v="Número de Casos"/>
    <s v="Ministerio de Ciencia, Tecnología, Conocimiento e Innovación"/>
    <s v="Evolución de Casos Activos de COVID-19 por 1 millón de habitantes en las comunas de la Región de Los Ríos durante el Periodo 2020-2021"/>
    <s v="Gráfico que muestra la evolución de casos activos de COVID-19 por millón de habitantes, Región De Los Ríos con detalle comunal durante el periodo 2020-2021.  "/>
    <s v="Gráfico de Evolución"/>
    <s v="Región de Los Ríos,regional,comunal,región,comuna,casos activos,fallecidos,recuperados,Agencia Información,Salud,Casos Activos ,COVID-19"/>
    <s v="https://analytics.zoho.com/open-view/2395394000008645197?ZOHO_CRITERIA=%22Localiza_CL_Poblacion%22.%22Codreg%22%3D14"/>
    <x v="30"/>
    <s v="#1774B9"/>
  </r>
  <r>
    <s v="0100"/>
    <n v="990"/>
    <s v="Agencia Información"/>
    <s v="Salud"/>
    <n v="15"/>
    <x v="6"/>
    <x v="4"/>
    <x v="1"/>
    <x v="15"/>
    <x v="3"/>
    <x v="5"/>
    <s v="Periodo 2020-2021"/>
    <s v="Número de Casos"/>
    <s v="Ministerio de Ciencia, Tecnología, Conocimiento e Innovación"/>
    <s v="Evolución de Casos Activos de COVID-19 por 1 millón de habitantes en las comunas de la Región de Arica y Parinacota durante el Periodo 2020-2021"/>
    <s v="Gráfico que muestra la evolución de casos activos de COVID-19 por millón de habitantes, región de Arica y Parinacota, con detalle comunal durante el periodo 2020-2021.  "/>
    <s v="Gráfico de Evolución"/>
    <s v="Región de Arica y Parinacota,regional,comunal,región,comuna,casos activos,fallecidos,recuperados,Agencia Información,Salud,Casos Activos ,COVID-19"/>
    <s v="https://analytics.zoho.com/open-view/2395394000008645197?ZOHO_CRITERIA=%22Localiza_CL_Poblacion%22.%22Codreg%22%3D15"/>
    <x v="31"/>
    <s v="#1774B9"/>
  </r>
  <r>
    <s v="0101"/>
    <n v="990"/>
    <s v="Agencia Información"/>
    <s v="Salud"/>
    <n v="16"/>
    <x v="6"/>
    <x v="4"/>
    <x v="1"/>
    <x v="16"/>
    <x v="3"/>
    <x v="5"/>
    <s v="Periodo 2020-2021"/>
    <s v="Número de Casos"/>
    <s v="Ministerio de Ciencia, Tecnología, Conocimiento e Innovación"/>
    <s v="Evolución de Casos Activos de COVID-19 por 1 millón de habitantes en las comunas de la Región de Ñuble durante el Periodo 2020-2021"/>
    <s v="Gráfico que muestra la evolución de casos activos de COVID-19 por millón de habitantes, región de Ñuble, con detalle comunal durante el periodo 2020-2021.  "/>
    <s v="Gráfico de Evolución"/>
    <s v="Región de Ñuble,regional,comunal,región,comuna,casos activos,fallecidos,recuperados,Agencia Información,Salud,Casos Activos ,COVID-19"/>
    <s v="https://analytics.zoho.com/open-view/2395394000008645197?ZOHO_CRITERIA=%22Localiza_CL_Poblacion%22.%22Codreg%22%3D16"/>
    <x v="32"/>
    <s v="#1774B9"/>
  </r>
  <r>
    <s v="0102"/>
    <n v="990"/>
    <s v="Agencia Información"/>
    <s v="Agropecuario y Forestal"/>
    <n v="0"/>
    <x v="7"/>
    <x v="5"/>
    <x v="0"/>
    <x v="0"/>
    <x v="0"/>
    <x v="6"/>
    <s v="Periodo 2012-2020"/>
    <s v="Toneladas"/>
    <s v="Servicio Nacional de Aduanas"/>
    <s v="Volumen de Exportaciones Frutícolas en Chile, Periodo 2012-2020"/>
    <s v="La manzana es la fruta que más exportó Chile, durante el periodo 2012 – 2020, con un volumen de 7.943.218 ton. En segundo lugar quedó la uva, con un volumen de 7.410.345 ton durante el mismo periodo."/>
    <s v="Nube de palabras"/>
    <s v="Chile,fruta,frutícola,toneladas,volumen,exportación,exportada,Agencia Información,Agropecuario y Forestal,Exportaciones,Agricultura"/>
    <s v="https://analytics.zoho.com/open-view/2395394000005950690"/>
    <x v="34"/>
    <s v="#1774B9"/>
  </r>
  <r>
    <s v="0103"/>
    <n v="990"/>
    <s v="Agencia Información"/>
    <s v="Agropecuario y Forestal"/>
    <n v="0"/>
    <x v="7"/>
    <x v="5"/>
    <x v="0"/>
    <x v="0"/>
    <x v="1"/>
    <x v="6"/>
    <s v="Periodo 2012-2020"/>
    <s v="Toneladas"/>
    <s v="Servicio Nacional de Aduanas"/>
    <s v="Volumen acumulado de Exportaciones Frutícolas por país de destino, Periodo 2012-2020"/>
    <s v="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
    <s v="Mapa de calor"/>
    <s v="Chile fruta,frutícola,frutas.toneladas,volumen acumulado,exportación,país destino,Agencia Información,Agropecuario y Forestal,Exportaciones,Agricultura"/>
    <s v="https://analytics.zoho.com/open-view/2395394000005948862"/>
    <x v="34"/>
    <s v="#1774B9"/>
  </r>
  <r>
    <s v="0104"/>
    <n v="990"/>
    <s v="Agencia Información"/>
    <s v="Mujeres"/>
    <n v="0"/>
    <x v="8"/>
    <x v="2"/>
    <x v="0"/>
    <x v="0"/>
    <x v="0"/>
    <x v="7"/>
    <s v="Periodo 2013-2019"/>
    <s v="Número de Sentencias"/>
    <s v="Poder Judicial"/>
    <s v="Sentencias Dictadas por delitos de Abuso Sexual en Chile para el Periodo 2013-2019"/>
    <s v="A nivel nacional, en el periodo comprendido entre los años 2013 y 2019, el delito de Abuso Sexual que más sentencias acumula, es el calificado como Abuso sexual con contacto de menor de 14 de años seguido por los delitos calificados como Abuso sexual sin contacto."/>
    <s v="Gráfico de Evolución"/>
    <s v="Chile,violencia,mujer,abuso,sexual,sentencia,menor,juzgado,Agencia Información,Mujeres,Abuso sexual,Violencia Contra la Mujer"/>
    <s v="https://analytics.zoho.com/open-view/2395394000008645520"/>
    <x v="0"/>
    <s v="#1774B9"/>
  </r>
  <r>
    <s v="0105"/>
    <n v="990"/>
    <s v="Agencia Información"/>
    <s v="Mujeres"/>
    <n v="1"/>
    <x v="8"/>
    <x v="2"/>
    <x v="1"/>
    <x v="1"/>
    <x v="1"/>
    <x v="7"/>
    <s v="Periodo 2013-2019"/>
    <s v="Número de Sentencias"/>
    <s v="Poder Judicial"/>
    <s v="Sentencias Dictadas por delitos de Abuso Sexual en la Región de Tarapacá para el Periodo 2013-2019"/>
    <s v="El delito de Abuso Sexual que más sentencias acumula, en el periodo comprendido entre los años 2013 – 2019, en la región de Tarapacá, es el calificado como Abuso sexual con contacto de menor de 14 de años, el que supera las 150 sentencia cada año."/>
    <s v="Gráfico de Evolución"/>
    <s v="Región de Tarapacá,violencia,mujer,abuso,sexual,sentencia,menor,juzgado,Agencia Información,Mujeres,Abuso sexual,Violencia Contra la Mujer"/>
    <s v="https://analytics.zoho.com/open-view/2395394000007166809?ZOHO_CRITERIA=%22Localiza%20CL%22.%22Codreg%22%3D1"/>
    <x v="1"/>
    <s v="#1774B9"/>
  </r>
  <r>
    <s v="0106"/>
    <n v="990"/>
    <s v="Agencia Información"/>
    <s v="Mujeres"/>
    <n v="2"/>
    <x v="8"/>
    <x v="2"/>
    <x v="1"/>
    <x v="2"/>
    <x v="1"/>
    <x v="7"/>
    <s v="Periodo 2013-2019"/>
    <s v="Número de Sentencias"/>
    <s v="Poder Judicial"/>
    <s v="Sentencias Dictadas por delitos de Abuso Sexual en la Región de Antofagasta para el Periodo 2013-2019"/>
    <s v="En la región de Antofagasta, los tres delitos de Abuso Sexual que más sentencias acumulan el periodo comprendido entre los años 2013 - 2019 son: Abuso Sexual con contacto de menor de 14 años, Abuso Sexual sin contacto y Abuso Sexual de mayor de 14 (Con circunstancia de Violación)."/>
    <s v="Gráfico de Evolución"/>
    <s v="Región de Antofagasta,violencia,mujer,abuso,sexual,sentencia,menor,juzgado,Agencia Información,Mujeres,Abuso sexual,Violencia Contra la Mujer"/>
    <s v="https://analytics.zoho.com/open-view/2395394000007166809?ZOHO_CRITERIA=%22Localiza%20CL%22.%22Codreg%22%3D2"/>
    <x v="2"/>
    <s v="#1774B9"/>
  </r>
  <r>
    <s v="0107"/>
    <n v="990"/>
    <s v="Agencia Información"/>
    <s v="Mujeres"/>
    <n v="3"/>
    <x v="8"/>
    <x v="2"/>
    <x v="1"/>
    <x v="3"/>
    <x v="1"/>
    <x v="7"/>
    <s v="Periodo 2013-2019"/>
    <s v="Número de Sentencias"/>
    <s v="Poder Judicial"/>
    <s v="Sentencias Dictadas por delitos de Abuso Sexual en la Región de Atacama para el Periodo 2013-2019"/>
    <s v="El delito de Abuso Sexual que más sentencias acumula, en el periodo comprendido entre los años 2013 – 2019, en la región de Atacama, es el calificado como Abuso sexual con contacto de menor de 14 de años. El año 2019 supero los 990 casos."/>
    <s v="Gráfico de Evolución"/>
    <s v="Región de Atacama,violencia,mujer,abuso,sexual,sentencia,menor,juzgado,Agencia Información,Mujeres,Abuso sexual,Violencia Contra la Mujer"/>
    <s v="https://analytics.zoho.com/open-view/2395394000007166809?ZOHO_CRITERIA=%22Localiza%20CL%22.%22Codreg%22%3D3"/>
    <x v="3"/>
    <s v="#1774B9"/>
  </r>
  <r>
    <s v="0108"/>
    <n v="990"/>
    <s v="Agencia Información"/>
    <s v="Mujeres"/>
    <n v="4"/>
    <x v="8"/>
    <x v="2"/>
    <x v="1"/>
    <x v="4"/>
    <x v="1"/>
    <x v="7"/>
    <s v="Periodo 2013-2019"/>
    <s v="Número de Sentencias"/>
    <s v="Poder Judicial"/>
    <s v="Sentencias Dictadas por delitos de Abuso Sexual en la Región de Coquimbo para el Periodo 2013-2019"/>
    <s v="El delito de Abuso Sexual que más sentencias acumula, en el periodo comprendido entre los años 2013 – 2019, en la región de Coquimbo, es el calificado como Abuso sexual con contacto de menor de 14 de años. El año 2019 tiene el mayor número del periodo superando los 1.210 casos."/>
    <s v="Gráfico de Evolución"/>
    <s v="Región de Coquimbo,violencia,mujer,abuso,sexual,sentencia,menor,juzgado,Agencia Información,Mujeres,Abuso sexual,Violencia Contra la Mujer"/>
    <s v="https://analytics.zoho.com/open-view/2395394000007166809?ZOHO_CRITERIA=%22Localiza%20CL%22.%22Codreg%22%3D4"/>
    <x v="4"/>
    <s v="#1774B9"/>
  </r>
  <r>
    <s v="0109"/>
    <n v="990"/>
    <s v="Agencia Información"/>
    <s v="Mujeres"/>
    <n v="5"/>
    <x v="8"/>
    <x v="2"/>
    <x v="1"/>
    <x v="5"/>
    <x v="1"/>
    <x v="7"/>
    <s v="Periodo 2013-2019"/>
    <s v="Número de Sentencias"/>
    <s v="Poder Judicial"/>
    <s v="Sentencias Dictadas por delitos de Abuso Sexual en la Región de Valparaíso para el Periodo 2013-2019"/>
    <s v="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Valparaíso,violencia,mujer,abuso,sexual,sentencia,menor,juzgado,Agencia Información,Mujeres,Abuso sexual,Violencia Contra la Mujer"/>
    <s v="https://analytics.zoho.com/open-view/2395394000007166809?ZOHO_CRITERIA=%22Localiza%20CL%22.%22Codreg%22%3D5"/>
    <x v="5"/>
    <s v="#1774B9"/>
  </r>
  <r>
    <s v="0110"/>
    <n v="990"/>
    <s v="Agencia Información"/>
    <s v="Mujeres"/>
    <n v="6"/>
    <x v="8"/>
    <x v="2"/>
    <x v="1"/>
    <x v="6"/>
    <x v="1"/>
    <x v="7"/>
    <s v="Periodo 2013-2019"/>
    <s v="Número de Sentencias"/>
    <s v="Poder Judicial"/>
    <s v="Sentencias Dictadas por delitos de Abuso Sexual en la Región de O'Higgins para el Periodo 2013-2019"/>
    <s v="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
    <s v="Gráfico de Evolución"/>
    <s v="Región de O'Higgins,violencia,mujer,abuso,sexual,sentencia,menor,juzgado,Agencia Información,Mujeres,Abuso sexual,Violencia Contra la Mujer"/>
    <s v="https://analytics.zoho.com/open-view/2395394000007166809?ZOHO_CRITERIA=%22Localiza%20CL%22.%22Codreg%22%3D6"/>
    <x v="6"/>
    <s v="#1774B9"/>
  </r>
  <r>
    <s v="0111"/>
    <n v="990"/>
    <s v="Agencia Información"/>
    <s v="Mujeres"/>
    <n v="7"/>
    <x v="8"/>
    <x v="2"/>
    <x v="1"/>
    <x v="7"/>
    <x v="1"/>
    <x v="7"/>
    <s v="Periodo 2013-2019"/>
    <s v="Número de Sentencias"/>
    <s v="Poder Judicial"/>
    <s v="Sentencias Dictadas por delitos de Abuso Sexual en la Región de Maule para el Periodo 2013-2019"/>
    <s v="En la región del Mau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ule,violencia,mujer,abuso,sexual,sentencia,menor,juzgado,Agencia Información,Mujeres,Abuso sexual,Violencia Contra la Mujer"/>
    <s v="https://analytics.zoho.com/open-view/2395394000007166809?ZOHO_CRITERIA=%22Localiza%20CL%22.%22Codreg%22%3D7"/>
    <x v="7"/>
    <s v="#1774B9"/>
  </r>
  <r>
    <s v="0112"/>
    <n v="990"/>
    <s v="Agencia Información"/>
    <s v="Mujeres"/>
    <n v="8"/>
    <x v="8"/>
    <x v="2"/>
    <x v="1"/>
    <x v="8"/>
    <x v="1"/>
    <x v="7"/>
    <s v="Periodo 2013-2019"/>
    <s v="Número de Sentencias"/>
    <s v="Poder Judicial"/>
    <s v="Sentencias Dictadas por delitos de Abuso Sexual en la Región del Biobío para el Periodo 2013-2019"/>
    <s v="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
    <s v="Gráfico de Evolución"/>
    <s v="Región del Biobío,violencia,mujer,abuso,sexual,sentencia,menor,juzgado,Agencia Información,Mujeres,Abuso sexual,Violencia Contra la Mujer"/>
    <s v="https://analytics.zoho.com/open-view/2395394000007166809?ZOHO_CRITERIA=%22Localiza%20CL%22.%22Codreg%22%3D8"/>
    <x v="8"/>
    <s v="#1774B9"/>
  </r>
  <r>
    <s v="0113"/>
    <n v="990"/>
    <s v="Agencia Información"/>
    <s v="Mujeres"/>
    <n v="9"/>
    <x v="8"/>
    <x v="2"/>
    <x v="1"/>
    <x v="9"/>
    <x v="1"/>
    <x v="7"/>
    <s v="Periodo 2013-2019"/>
    <s v="Número de Sentencias"/>
    <s v="Poder Judicial"/>
    <s v="Sentencias Dictadas por delitos de Abuso Sexual en la Región de La Araucanía para el Periodo 2013-2019"/>
    <s v="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La Araucanía,violencia,mujer,abuso,sexual,sentencia,menor,juzgado,Agencia Información,Mujeres,Abuso sexual,Violencia Contra la Mujer"/>
    <s v="https://analytics.zoho.com/open-view/2395394000007166809?ZOHO_CRITERIA=%22Localiza%20CL%22.%22Codreg%22%3D9"/>
    <x v="9"/>
    <s v="#1774B9"/>
  </r>
  <r>
    <s v="0114"/>
    <n v="990"/>
    <s v="Agencia Información"/>
    <s v="Mujeres"/>
    <n v="10"/>
    <x v="8"/>
    <x v="2"/>
    <x v="1"/>
    <x v="10"/>
    <x v="1"/>
    <x v="7"/>
    <s v="Periodo 2013-2019"/>
    <s v="Número de Sentencias"/>
    <s v="Poder Judicial"/>
    <s v="Sentencias Dictadas por delitos de Abuso Sexual en la Región de Los Lagos para el Periodo 2013-2019"/>
    <s v="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
    <s v="Gráfico de Evolución"/>
    <s v="Región de Los Lagos,violencia,mujer,abuso,sexual,sentencia,menor,juzgado,Agencia Información,Mujeres,Abuso sexual,Violencia Contra la Mujer"/>
    <s v="https://analytics.zoho.com/open-view/2395394000007166809?ZOHO_CRITERIA=%22Localiza%20CL%22.%22Codreg%22%3D10"/>
    <x v="10"/>
    <s v="#1774B9"/>
  </r>
  <r>
    <s v="0115"/>
    <n v="990"/>
    <s v="Agencia Información"/>
    <s v="Mujeres"/>
    <n v="11"/>
    <x v="8"/>
    <x v="2"/>
    <x v="1"/>
    <x v="11"/>
    <x v="1"/>
    <x v="7"/>
    <s v="Periodo 2013-2019"/>
    <s v="Número de Sentencias"/>
    <s v="Poder Judicial"/>
    <s v="Sentencias Dictadas por delitos de Abuso Sexual en la Región de Aysén para el Periodo 2013-2019"/>
    <s v="El delito de Abuso Sexual que más sentencias acumula, en el periodo comprendido entre los años 2013 – 2019, en la región de Aysén, es el calificado como Abuso sexual con contacto de menor de 14 de años. El año 2018 registra el mayor número de sentencias superando los 250 casos."/>
    <s v="Gráfico de Evolución"/>
    <s v="Región de Aysén,violencia,mujer,abuso,sexual,sentencia,menor,juzgado,Agencia Información,Mujeres,Abuso sexual,Violencia Contra la Mujer"/>
    <s v="https://analytics.zoho.com/open-view/2395394000007166809?ZOHO_CRITERIA=%22Localiza%20CL%22.%22Codreg%22%3D11"/>
    <x v="11"/>
    <s v="#1774B9"/>
  </r>
  <r>
    <s v="0116"/>
    <n v="990"/>
    <s v="Agencia Información"/>
    <s v="Mujeres"/>
    <n v="12"/>
    <x v="8"/>
    <x v="2"/>
    <x v="1"/>
    <x v="12"/>
    <x v="1"/>
    <x v="7"/>
    <s v="Periodo 2013-2019"/>
    <s v="Número de Sentencias"/>
    <s v="Poder Judicial"/>
    <s v="Sentencias Dictadas por delitos de Abuso Sexual en la Región de Magallanes para el Periodo 2013-2019"/>
    <s v="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gallanes,violencia,mujer,abuso,sexual,sentencia,menor,juzgado,Agencia Información,Mujeres,Abuso sexual,Violencia Contra la Mujer"/>
    <s v="https://analytics.zoho.com/open-view/2395394000007166809?ZOHO_CRITERIA=%22Localiza%20CL%22.%22Codreg%22%3D12"/>
    <x v="12"/>
    <s v="#1774B9"/>
  </r>
  <r>
    <s v="0117"/>
    <n v="990"/>
    <s v="Agencia Información"/>
    <s v="Mujeres"/>
    <n v="13"/>
    <x v="8"/>
    <x v="2"/>
    <x v="1"/>
    <x v="13"/>
    <x v="1"/>
    <x v="7"/>
    <s v="Periodo 2013-2019"/>
    <s v="Número de Sentencias"/>
    <s v="Poder Judicial"/>
    <s v="Sentencias Dictadas por delitos de Abuso Sexual en la Región Metropolitana para el Periodo 2013-2019"/>
    <s v="El delito de Abuso Sexual que más sentencias acumula, en el periodo comprendido entre los años 2013 – 2019, en la región Metropolitana, es el calificado como Abuso sexual con contacto de menor de 14 de años, el que supera las 34.000 sentencia cada año."/>
    <s v="Gráfico de Evolución"/>
    <s v="Región Metropolitana,violencia,mujer,abuso,sexual,sentencia,menor,juzgado,Agencia Información,Mujeres,Abuso sexual,Violencia Contra la Mujer"/>
    <s v="https://analytics.zoho.com/open-view/2395394000007166809?ZOHO_CRITERIA=%22Localiza%20CL%22.%22Codreg%22%3D13"/>
    <x v="13"/>
    <s v="#1774B9"/>
  </r>
  <r>
    <s v="0118"/>
    <n v="990"/>
    <s v="Agencia Información"/>
    <s v="Mujeres"/>
    <n v="14"/>
    <x v="8"/>
    <x v="2"/>
    <x v="1"/>
    <x v="14"/>
    <x v="1"/>
    <x v="7"/>
    <s v="Periodo 2013-2019"/>
    <s v="Número de Sentencias"/>
    <s v="Poder Judicial"/>
    <s v="Sentencias Dictadas por delitos de Abuso Sexual en la Región de Los Ríos para el Periodo 2013-2019"/>
    <s v="En la región de Los Ríos, el año 2019 presenta la menor cantidad de sentencias en delitos de Abuso Sexual, para el periodo comprendido entre los años 2013 - 2019."/>
    <s v="Gráfico de Evolución"/>
    <s v="Región de Los Ríos,violencia,mujer,abuso,sexual,sentencia,menor,juzgado,Agencia Información,Mujeres,Abuso sexual,Violencia Contra la Mujer"/>
    <s v="https://analytics.zoho.com/open-view/2395394000007166809?ZOHO_CRITERIA=%22Localiza%20CL%22.%22Codreg%22%3D14"/>
    <x v="14"/>
    <s v="#1774B9"/>
  </r>
  <r>
    <s v="0119"/>
    <n v="990"/>
    <s v="Agencia Información"/>
    <s v="Mujeres"/>
    <n v="15"/>
    <x v="8"/>
    <x v="2"/>
    <x v="1"/>
    <x v="15"/>
    <x v="1"/>
    <x v="7"/>
    <s v="Periodo 2013-2019"/>
    <s v="Número de Sentencias"/>
    <s v="Poder Judicial"/>
    <s v="Sentencias Dictadas por delitos de Abuso Sexual en la Región de Arica y Parinacota para el Periodo 2013-2019"/>
    <s v="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
    <s v="Gráfico de Evolución"/>
    <s v="Región de Arica y Parinacota,violencia,mujer,abuso,sexual,sentencia,menor,juzgado,Agencia Información,Mujeres,Abuso sexual,Violencia Contra la Mujer"/>
    <s v="https://analytics.zoho.com/open-view/2395394000007166809?ZOHO_CRITERIA=%22Localiza%20CL%22.%22Codreg%22%3D15"/>
    <x v="15"/>
    <s v="#1774B9"/>
  </r>
  <r>
    <s v="0120"/>
    <n v="990"/>
    <s v="Agencia Información"/>
    <s v="Mujeres"/>
    <n v="16"/>
    <x v="8"/>
    <x v="2"/>
    <x v="1"/>
    <x v="16"/>
    <x v="1"/>
    <x v="7"/>
    <s v="Periodo 2013-2019"/>
    <s v="Número de Sentencias"/>
    <s v="Poder Judicial"/>
    <s v="Sentencias Dictadas por delitos de Abuso Sexual en la Región de Ñuble para el Periodo 2013-2019"/>
    <s v="En la región de Ñub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Ñuble,violencia,mujer,abuso,sexual,sentencia,menor,juzgado,Agencia Información,Mujeres,Abuso sexual,Violencia Contra la Mujer"/>
    <s v="https://analytics.zoho.com/open-view/2395394000007166809?ZOHO_CRITERIA=%22Localiza%20CL%22.%22Codreg%22%3D16"/>
    <x v="16"/>
    <s v="#1774B9"/>
  </r>
  <r>
    <s v="0121"/>
    <n v="990"/>
    <s v="Agencia Información"/>
    <s v="Social"/>
    <n v="0"/>
    <x v="9"/>
    <x v="6"/>
    <x v="0"/>
    <x v="0"/>
    <x v="1"/>
    <x v="8"/>
    <s v="Periodo 2020-2021"/>
    <s v="Número y Porcentaje"/>
    <s v="Servicio Nacional del Adulto Mayor (SENAMA)"/>
    <s v="Variación número y cupos en Establecimientos de Larga Estadía para Adultos Mayores (ELEAM) en Chile, Periodo 2020-2021"/>
    <s v="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
    <s v="Dashboard"/>
    <s v="Chile,establecimientos,larga,estadía,adultos,mayores,autorizados,cupos,número,distribución,región,comuna,Agencia Información,Social,Establecimientos Larga Estadía para Adultos Mayores (ELEAM),Protección Adultos Mayores"/>
    <s v="https://infogram.com/eleam-2021-1h7g6k0mjdj5o2o"/>
    <x v="34"/>
    <s v="#1774B9"/>
  </r>
  <r>
    <s v="0122"/>
    <n v="990"/>
    <s v="Agencia Información"/>
    <s v="Social"/>
    <n v="0"/>
    <x v="10"/>
    <x v="7"/>
    <x v="0"/>
    <x v="0"/>
    <x v="1"/>
    <x v="9"/>
    <s v="Periodo 2020-2021"/>
    <s v="Número y Porcentaje"/>
    <s v="Dirección de Presupuestos (DIPRES)"/>
    <s v="Número de programas/instituciones evaluadas según línea de evaluación (periodo 1997 -2020)"/>
    <s v="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
    <s v="Dashboard"/>
    <s v="Chile,programas,desempeño,gobierno,servicio,evaluación,instituciones,público,ministerio,Agencia Información,Social,Resultados de evaluaciones,Evaluación de Programas"/>
    <s v="https://infogram.com/evaluacion-programas-1h7g6k0mrr7302o?live"/>
    <x v="34"/>
    <s v="#1774B9"/>
  </r>
  <r>
    <s v="0123"/>
    <n v="990"/>
    <s v="Agencia Información"/>
    <s v="Agropecuario y Forestal"/>
    <n v="0"/>
    <x v="11"/>
    <x v="8"/>
    <x v="0"/>
    <x v="0"/>
    <x v="1"/>
    <x v="10"/>
    <s v="Periodo 2010-2020"/>
    <s v="Hectáreas"/>
    <s v="Corporación Nacional Forestal (CONAF)"/>
    <s v="Evolución de la Superficie de Plantaciones Forestales Afectadas por Incendios por Comuna"/>
    <s v="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
    <s v="Gráfico animado"/>
    <s v="Chile,incendios,plantaciones,forestales,superficie,hectáreas,comuna,Agencia Información,Agropecuario y Forestal,Incendios Forestales,Forestal"/>
    <s v="https://public.flourish.studio/visualisation/6936641/"/>
    <x v="34"/>
    <s v="#1774B9"/>
  </r>
  <r>
    <s v="0124"/>
    <n v="990"/>
    <s v="Agencia Información"/>
    <s v="Agropecuario y Forestal"/>
    <n v="0"/>
    <x v="12"/>
    <x v="5"/>
    <x v="0"/>
    <x v="0"/>
    <x v="4"/>
    <x v="11"/>
    <s v="Año 2021"/>
    <s v="CLP/Kg"/>
    <s v="Oficina de Estudios y Políticas Agrarias (ODEPA)"/>
    <s v="Precios diarios de hortalizas en mercados mayoristas de Chile, Año 2021"/>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hortaliza,hortalizas,precio diario,precio,pesos chilenos.CLP,kilo,mercado mayorista,terminal,Agencia Información,Agropecuario y Forestal,Precios,Agricultura"/>
    <s v="https://analytics.zoho.com/open-view/2395394000008645674"/>
    <x v="0"/>
    <s v="#1774B9"/>
  </r>
  <r>
    <s v="0125"/>
    <n v="990"/>
    <s v="Agencia Información"/>
    <s v="Agropecuario y Forestal"/>
    <n v="4"/>
    <x v="12"/>
    <x v="5"/>
    <x v="1"/>
    <x v="4"/>
    <x v="4"/>
    <x v="11"/>
    <s v="Año 2021"/>
    <s v="CLP/Kg"/>
    <s v="Oficina de Estudios y Políticas Agrarias (ODEPA)"/>
    <s v="Precios diarios de hortalizas en mercados mayoristas de la Región de Coquimbo, Año 2021"/>
    <s v="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
    <s v="Gráfico"/>
    <s v="Región de Coquimbo,hortaliza,hortalizas,precio diario,precio,pesos chilenos.CLP,kilo,mercado mayorista,terminal,Agencia Información,Agropecuario y Forestal,Precios,Agricultura"/>
    <s v="https://analytics.zoho.com/open-view/2395394000008646229?ZOHO_CRITERIA=%22Hortaliza%20Consolidado%22.%22Codreg%22%3D4"/>
    <x v="4"/>
    <s v="#1774B9"/>
  </r>
  <r>
    <s v="0126"/>
    <n v="990"/>
    <s v="Agencia Información"/>
    <s v="Agropecuario y Forestal"/>
    <n v="5"/>
    <x v="12"/>
    <x v="5"/>
    <x v="1"/>
    <x v="5"/>
    <x v="4"/>
    <x v="11"/>
    <s v="Año 2021"/>
    <s v="CLP/Kg"/>
    <s v="Oficina de Estudios y Políticas Agrarias (ODEPA)"/>
    <s v="Precios diarios de hortalizas en mercados mayoristas de la Región de Valparaíso, Año 2021"/>
    <s v="Gráfico con la evolución de precios diarios, durante el año 2021, para las principales hortalizas (betarraga, brócoli, cebolla, choclo, espinaca, lechuga, papa, tomate, zanahoria y zapallo) en el mercado mayorista Femacal de La Calera en la Región de Valparaíso."/>
    <s v="Gráfico"/>
    <s v="Región de Valparaíso,hortaliza,hortalizas,precio diario,precio,pesos chilenos.CLP,kilo,mercado mayorista,terminal,Agencia Información,Agropecuario y Forestal,Precios,Agricultura"/>
    <s v="https://analytics.zoho.com/open-view/2395394000008646229?ZOHO_CRITERIA=%22Hortaliza%20Consolidado%22.%22Codreg%22%3D5"/>
    <x v="5"/>
    <s v="#1774B9"/>
  </r>
  <r>
    <s v="0127"/>
    <n v="990"/>
    <s v="Agencia Información"/>
    <s v="Agropecuario y Forestal"/>
    <n v="7"/>
    <x v="12"/>
    <x v="5"/>
    <x v="1"/>
    <x v="7"/>
    <x v="4"/>
    <x v="11"/>
    <s v="Año 2021"/>
    <s v="CLP/Kg"/>
    <s v="Oficina de Estudios y Políticas Agrarias (ODEPA)"/>
    <s v="Precios diarios de hortalizas en mercados mayoristas de la Región de Maule, Año 2021"/>
    <s v="Gráfico con la evolución de precios diarios, durante el año 2021, para las principales hortalizas (betarraga, brócoli, cebolla, choclo, espinaca, lechuga, papa, tomate, zanahoria y zapallo) en el mercado mayorista Macroferia Regional de Talca en la Región de Maule."/>
    <s v="Gráfico"/>
    <s v="Región de Maule,hortaliza,hortalizas,precio diario,precio,pesos chilenos.CLP,kilo,mercado mayorista,terminal,Agencia Información,Agropecuario y Forestal,Precios,Agricultura"/>
    <s v="https://analytics.zoho.com/open-view/2395394000008646229?ZOHO_CRITERIA=%22Hortaliza%20Consolidado%22.%22Codreg%22%3D7"/>
    <x v="7"/>
    <s v="#1774B9"/>
  </r>
  <r>
    <s v="0128"/>
    <n v="990"/>
    <s v="Agencia Información"/>
    <s v="Agropecuario y Forestal"/>
    <n v="8"/>
    <x v="12"/>
    <x v="5"/>
    <x v="1"/>
    <x v="8"/>
    <x v="4"/>
    <x v="11"/>
    <s v="Año 2021"/>
    <s v="CLP/Kg"/>
    <s v="Oficina de Estudios y Políticas Agrarias (ODEPA)"/>
    <s v="Precios diarios de hortalizas en mercados mayoristas de la Región del Biobío, Año 2021"/>
    <s v="Gráfico con la evolución de precios diarios, durante el año 2021, para las principales hortalizas (betarraga, brócoli, cebolla, choclo, espinaca, lechuga, papa, tomate, zanahoria y zapallo) en el mercado mayorista Vega Monumental de Concepción en la Región del Biobío."/>
    <s v="Gráfico"/>
    <s v="Región del Biobío,hortaliza,hortalizas,precio diario,precio,pesos chilenos.CLP,kilo,mercado mayorista,terminal,Agencia Información,Agropecuario y Forestal,Precios,Agricultura"/>
    <s v="https://analytics.zoho.com/open-view/2395394000008646229?ZOHO_CRITERIA=%22Hortaliza%20Consolidado%22.%22Codreg%22%3D8"/>
    <x v="8"/>
    <s v="#1774B9"/>
  </r>
  <r>
    <s v="0129"/>
    <n v="990"/>
    <s v="Agencia Información"/>
    <s v="Agropecuario y Forestal"/>
    <n v="9"/>
    <x v="12"/>
    <x v="5"/>
    <x v="1"/>
    <x v="9"/>
    <x v="4"/>
    <x v="11"/>
    <s v="Año 2021"/>
    <s v="CLP/Kg"/>
    <s v="Oficina de Estudios y Políticas Agrarias (ODEPA)"/>
    <s v="Precios diarios de hortalizas en mercados mayoristas de la Región de La Araucanía, Año 2021"/>
    <s v="Gráfico con la evolución de precios diarios, durante el año 2021, para las principales hortalizas (betarraga, brócoli, cebolla, choclo, espinaca, lechuga, papa, tomate, zanahoria y zapallo) en el mercado mayorista Vega Modelo de Temuco en la Región de La Araucanía."/>
    <s v="Gráfico"/>
    <s v="Región de La Araucanía,hortaliza,hortalizas,precio diario,precio,pesos chilenos.CLP,kilo,mercado mayorista,terminal,Agencia Información,Agropecuario y Forestal,Precios,Agricultura"/>
    <s v="https://analytics.zoho.com/open-view/2395394000008646229?ZOHO_CRITERIA=%22Hortaliza%20Consolidado%22.%22Codreg%22%3D9"/>
    <x v="9"/>
    <s v="#1774B9"/>
  </r>
  <r>
    <s v="0130"/>
    <n v="990"/>
    <s v="Agencia Información"/>
    <s v="Agropecuario y Forestal"/>
    <n v="10"/>
    <x v="12"/>
    <x v="5"/>
    <x v="1"/>
    <x v="10"/>
    <x v="4"/>
    <x v="11"/>
    <s v="Año 2021"/>
    <s v="CLP/Kg"/>
    <s v="Oficina de Estudios y Políticas Agrarias (ODEPA)"/>
    <s v="Precios diarios de hortalizas en mercados mayoristas de la Región de Los Lagos, Año 2021"/>
    <s v="Gráfico con la evolución de precios diarios, durante el año 2021, para las principales hortalizas (betarraga, brócoli, cebolla, choclo, espinaca, lechuga, papa, tomate, zanahoria y zapallo) en el mercado mayorista Feria Lagunitas de Puerto Montt en la Región de Los Lagos."/>
    <s v="Gráfico"/>
    <s v="Región de Los Lagos,hortaliza,hortalizas,precio diario,precio,pesos chilenos.CLP,kilo,mercado mayorista,terminal,Agencia Información,Agropecuario y Forestal,Precios,Agricultura"/>
    <s v="https://analytics.zoho.com/open-view/2395394000008646229?ZOHO_CRITERIA=%22Hortaliza%20Consolidado%22.%22Codreg%22%3D10"/>
    <x v="10"/>
    <s v="#1774B9"/>
  </r>
  <r>
    <s v="0131"/>
    <n v="990"/>
    <s v="Agencia Información"/>
    <s v="Agropecuario y Forestal"/>
    <n v="13"/>
    <x v="12"/>
    <x v="5"/>
    <x v="1"/>
    <x v="13"/>
    <x v="4"/>
    <x v="11"/>
    <s v="Año 2021"/>
    <s v="CLP/Kg"/>
    <s v="Oficina de Estudios y Políticas Agrarias (ODEPA)"/>
    <s v="Precios diarios de hortalizas en mercados mayoristas de la Región Metropolitana, Año 2021"/>
    <s v="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
    <s v="Gráfico"/>
    <s v="Región Metropolitana,hortaliza,hortalizas,precio diario,precio,pesos chilenos.CLP,kilo,mercado mayorista,terminal,Agencia Información,Agropecuario y Forestal,Precios,Agricultura"/>
    <s v="https://analytics.zoho.com/open-view/2395394000008646229?ZOHO_CRITERIA=%22Hortaliza%20Consolidado%22.%22Codreg%22%3D13"/>
    <x v="13"/>
    <s v="#1774B9"/>
  </r>
  <r>
    <s v="0132"/>
    <n v="990"/>
    <s v="Agencia Información"/>
    <s v="Agropecuario y Forestal"/>
    <n v="15"/>
    <x v="12"/>
    <x v="5"/>
    <x v="1"/>
    <x v="15"/>
    <x v="4"/>
    <x v="11"/>
    <s v="Año 2021"/>
    <s v="CLP/Kg"/>
    <s v="Oficina de Estudios y Políticas Agrarias (ODEPA)"/>
    <s v="Precios diarios de hortalizas en mercados mayoristas de la Región de Arica y Parinacota, Año 2021"/>
    <s v="Gráfico con la evolución de precios diarios, durante el año 2021, para las principales hortalizas (betarraga, brócoli, cebolla, choclo, espinaca, lechuga, papa, tomate, zanahoria y zapallo) en el mercado mayorista Agrícola del Norte S.A. en la Región de Arica y Parinacota."/>
    <s v="Gráfico"/>
    <s v="Región de Arica y Parinacota,hortaliza,hortalizas,precio diario,precio,pesos chilenos.CLP,kilo,mercado mayorista,terminal,Agencia Información,Agropecuario y Forestal,Precios,Agricultura"/>
    <s v="https://analytics.zoho.com/open-view/2395394000008646229?ZOHO_CRITERIA=%22Hortaliza%20Consolidado%22.%22Codreg%22%3D15"/>
    <x v="15"/>
    <s v="#1774B9"/>
  </r>
  <r>
    <s v="0133"/>
    <n v="990"/>
    <s v="Agencia Información"/>
    <s v="Agropecuario y Forestal"/>
    <n v="16"/>
    <x v="12"/>
    <x v="5"/>
    <x v="1"/>
    <x v="16"/>
    <x v="4"/>
    <x v="11"/>
    <s v="Año 2021"/>
    <s v="CLP/Kg"/>
    <s v="Oficina de Estudios y Políticas Agrarias (ODEPA)"/>
    <s v="Precios diarios de hortalizas en mercados mayoristas de la Región de Ñuble, Año 2021"/>
    <s v="Gráfico con la evolución de precios diarios, durante el año 2021, para las principales hortalizas (betarraga, brócoli, cebolla, choclo, espinaca, lechuga, papa, tomate, zanahoria y zapallo) en el mercado mayorista Terminal Hortofrutícola Agro Chillán en la Región de Ñuble."/>
    <s v="Gráfico"/>
    <s v="Región de Ñuble,hortaliza,hortalizas,precio diario,precio,pesos chilenos.CLP,kilo,mercado mayorista,terminal,Agencia Información,Agropecuario y Forestal,Precios,Agricultura"/>
    <s v="https://analytics.zoho.com/open-view/2395394000008646229?ZOHO_CRITERIA=%22Hortaliza%20Consolidado%22.%22Codreg%22%3D16"/>
    <x v="16"/>
    <s v="#1774B9"/>
  </r>
  <r>
    <s v="0134"/>
    <n v="990"/>
    <s v="Agencia Información"/>
    <s v="Agropecuario y Forestal"/>
    <n v="0"/>
    <x v="12"/>
    <x v="5"/>
    <x v="0"/>
    <x v="0"/>
    <x v="5"/>
    <x v="12"/>
    <s v="Año 2021"/>
    <s v="CLP/Kg"/>
    <s v="Oficina de Estudios y Políticas Agrarias (ODEPA)"/>
    <s v="Precios diarios de frutas en mercados mayoristas de Chile, Año 2021"/>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fruta,frutas.precio,precio diario,pesos chilenos,CLP,kilo,mercado mayorista,terminal,Agencia Información,Agropecuario y Forestal,Precios,Agricultura"/>
    <s v="https://analytics.zoho.com/open-view/2395394000008646336"/>
    <x v="0"/>
    <s v="#1774B9"/>
  </r>
  <r>
    <s v="0135"/>
    <n v="990"/>
    <s v="Agencia Información"/>
    <s v="Agropecuario y Forestal"/>
    <n v="4"/>
    <x v="12"/>
    <x v="5"/>
    <x v="1"/>
    <x v="4"/>
    <x v="5"/>
    <x v="12"/>
    <s v="Año 2021"/>
    <s v="CLP/Kg"/>
    <s v="Oficina de Estudios y Políticas Agrarias (ODEPA)"/>
    <s v="Precios diarios de frutas en mercados mayoristas de la Región de Coquimbo, Año 2021"/>
    <s v="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
    <s v="Gráfico"/>
    <s v="Región de Coquimbo,fruta,frutas.precio,precio diario,pesos chilenos,CLP,kilo,mercado mayorista,terminal,Agencia Información,Agropecuario y Forestal,Precios,Agricultura"/>
    <s v="https://analytics.zoho.com/open-view/2395394000008646880?ZOHO_CRITERIA=%22Fruta%20Consolidado%22.%22Codreg%22%3D4"/>
    <x v="4"/>
    <s v="#1774B9"/>
  </r>
  <r>
    <s v="0136"/>
    <n v="990"/>
    <s v="Agencia Información"/>
    <s v="Agropecuario y Forestal"/>
    <n v="5"/>
    <x v="12"/>
    <x v="5"/>
    <x v="1"/>
    <x v="5"/>
    <x v="5"/>
    <x v="12"/>
    <s v="Año 2021"/>
    <s v="CLP/Kg"/>
    <s v="Oficina de Estudios y Políticas Agrarias (ODEPA)"/>
    <s v="Precios diarios de frutas en mercados mayoristas de la Región de Valparaíso, Año 2021"/>
    <s v="Gráfico con la evolución de precios diarios, durante el año 2021, para las principales frutas (frutilla, kiwi, limón, manzana, naranja, palta, pera, plátano, pomelo y uva) en el mercado mayorista Femacal de La Calera en la Región de Valparaíso."/>
    <s v="Gráfico"/>
    <s v="Región de Valparaíso,fruta,frutas.precio,precio diario,pesos chilenos,CLP,kilo,mercado mayorista,terminal,Agencia Información,Agropecuario y Forestal,Precios,Agricultura"/>
    <s v="https://analytics.zoho.com/open-view/2395394000008646880?ZOHO_CRITERIA=%22Fruta%20Consolidado%22.%22Codreg%22%3D5"/>
    <x v="5"/>
    <s v="#1774B9"/>
  </r>
  <r>
    <s v="0137"/>
    <n v="990"/>
    <s v="Agencia Información"/>
    <s v="Agropecuario y Forestal"/>
    <n v="7"/>
    <x v="12"/>
    <x v="5"/>
    <x v="1"/>
    <x v="7"/>
    <x v="5"/>
    <x v="12"/>
    <s v="Año 2021"/>
    <s v="CLP/Kg"/>
    <s v="Oficina de Estudios y Políticas Agrarias (ODEPA)"/>
    <s v="Precios diarios de frutas en mercados mayoristas de la Región de Maule, Año 2021"/>
    <s v="Gráfico con la evolución de precios diarios, durante el año 2021, para las principales frutas (frutilla, kiwi, limón, manzana, naranja, palta, pera, plátano, pomelo y uva) en el mercado mayorista Macroferia Regional de Talca en la Región de Maule."/>
    <s v="Gráfico"/>
    <s v="Región de Maule,fruta,frutas.precio,precio diario,pesos chilenos,CLP,kilo,mercado mayorista,terminal,Agencia Información,Agropecuario y Forestal,Precios,Agricultura"/>
    <s v="https://analytics.zoho.com/open-view/2395394000008646880?ZOHO_CRITERIA=%22Fruta%20Consolidado%22.%22Codreg%22%3D7"/>
    <x v="7"/>
    <s v="#1774B9"/>
  </r>
  <r>
    <s v="0138"/>
    <n v="990"/>
    <s v="Agencia Información"/>
    <s v="Agropecuario y Forestal"/>
    <n v="8"/>
    <x v="12"/>
    <x v="5"/>
    <x v="1"/>
    <x v="8"/>
    <x v="5"/>
    <x v="12"/>
    <s v="Año 2021"/>
    <s v="CLP/Kg"/>
    <s v="Oficina de Estudios y Políticas Agrarias (ODEPA)"/>
    <s v="Precios diarios de frutas en mercados mayoristas de la Región del Biobío, Año 2021"/>
    <s v="Gráfico con la evolución de precios diarios, durante el año 2021, para las principales frutas (frutilla, kiwi, limón, manzana, naranja, palta, pera, plátano, pomelo y uva) en el mercado mayorista Vega Monumental de Concepción en la Región del Biobío."/>
    <s v="Gráfico"/>
    <s v="Región del Biobío,fruta,frutas.precio,precio diario,pesos chilenos,CLP,kilo,mercado mayorista,terminal,Agencia Información,Agropecuario y Forestal,Precios,Agricultura"/>
    <s v="https://analytics.zoho.com/open-view/2395394000008646880?ZOHO_CRITERIA=%22Fruta%20Consolidado%22.%22Codreg%22%3D8"/>
    <x v="8"/>
    <s v="#1774B9"/>
  </r>
  <r>
    <s v="0139"/>
    <n v="990"/>
    <s v="Agencia Información"/>
    <s v="Agropecuario y Forestal"/>
    <n v="9"/>
    <x v="12"/>
    <x v="5"/>
    <x v="1"/>
    <x v="9"/>
    <x v="5"/>
    <x v="12"/>
    <s v="Año 2021"/>
    <s v="CLP/Kg"/>
    <s v="Oficina de Estudios y Políticas Agrarias (ODEPA)"/>
    <s v="Precios diarios de frutas en mercados mayoristas de la Región de La Araucanía, Año 2021"/>
    <s v="Gráfico con la evolución de precios diarios, durante el año 2021, para las principales frutas (frutilla, kiwi, limón, manzana, naranja, palta, pera, plátano, pomelo y uva) en el mercado mayorista Vega Modelo de Temuco en la Región de La Araucanía."/>
    <s v="Gráfico"/>
    <s v="Región de La Araucanía,fruta,frutas.precio,precio diario,pesos chilenos,CLP,kilo,mercado mayorista,terminal,Agencia Información,Agropecuario y Forestal,Precios,Agricultura"/>
    <s v="https://analytics.zoho.com/open-view/2395394000008646880?ZOHO_CRITERIA=%22Fruta%20Consolidado%22.%22Codreg%22%3D9"/>
    <x v="9"/>
    <s v="#1774B9"/>
  </r>
  <r>
    <s v="0140"/>
    <n v="990"/>
    <s v="Agencia Información"/>
    <s v="Agropecuario y Forestal"/>
    <n v="10"/>
    <x v="12"/>
    <x v="5"/>
    <x v="1"/>
    <x v="10"/>
    <x v="5"/>
    <x v="12"/>
    <s v="Año 2021"/>
    <s v="CLP/Kg"/>
    <s v="Oficina de Estudios y Políticas Agrarias (ODEPA)"/>
    <s v="Precios diarios de frutas en mercados mayoristas de la Región de Los Lagos, Año 2021"/>
    <s v="Gráfico con la evolución de precios diarios, durante el año 2021, para las principales frutas (frutilla, kiwi, limón, manzana, naranja, palta, pera, plátano, pomelo y uva) en el mercado mayorista Feria Lagunitas de Puerto Montt en la Región de Los Lagos."/>
    <s v="Gráfico"/>
    <s v="Región de Los Lagos,fruta,frutas.precio,precio diario,pesos chilenos,CLP,kilo,mercado mayorista,terminal,Agencia Información,Agropecuario y Forestal,Precios,Agricultura"/>
    <s v="https://analytics.zoho.com/open-view/2395394000008646880?ZOHO_CRITERIA=%22Fruta%20Consolidado%22.%22Codreg%22%3D10"/>
    <x v="10"/>
    <s v="#1774B9"/>
  </r>
  <r>
    <s v="0141"/>
    <n v="990"/>
    <s v="Agencia Información"/>
    <s v="Agropecuario y Forestal"/>
    <n v="13"/>
    <x v="12"/>
    <x v="5"/>
    <x v="1"/>
    <x v="13"/>
    <x v="5"/>
    <x v="12"/>
    <s v="Año 2021"/>
    <s v="CLP/Kg"/>
    <s v="Oficina de Estudios y Políticas Agrarias (ODEPA)"/>
    <s v="Precios diarios de frutas en mercados mayoristas de la Región Metropolitana, Año 2021"/>
    <s v="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
    <s v="Gráfico"/>
    <s v="Región Metropolitana,fruta,frutas.precio,precio diario,pesos chilenos,CLP,kilo,mercado mayorista,terminal,Agencia Información,Agropecuario y Forestal,Precios,Agricultura"/>
    <s v="https://analytics.zoho.com/open-view/2395394000008646880?ZOHO_CRITERIA=%22Fruta%20Consolidado%22.%22Codreg%22%3D13"/>
    <x v="13"/>
    <s v="#1774B9"/>
  </r>
  <r>
    <s v="0142"/>
    <n v="990"/>
    <s v="Agencia Información"/>
    <s v="Agropecuario y Forestal"/>
    <n v="15"/>
    <x v="12"/>
    <x v="5"/>
    <x v="1"/>
    <x v="15"/>
    <x v="5"/>
    <x v="12"/>
    <s v="Año 2021"/>
    <s v="CLP/Kg"/>
    <s v="Oficina de Estudios y Políticas Agrarias (ODEPA)"/>
    <s v="Precios diarios de frutas en mercados mayoristas de la Región de Arica y Parinacota, Año 2021"/>
    <s v="Gráfico con la evolución de precios diarios, durante el año 2021, para las principales frutas (frutilla, kiwi, limón, manzana, naranja, palta, pera, plátano, pomelo y uva) en el mercado mayorista Agrícola del Norte S.A. en la Región de Arica y Parinacota."/>
    <s v="Gráfico"/>
    <s v="Región de Arica y Parinacota,fruta,frutas.precio,precio diario,pesos chilenos,CLP,kilo,mercado mayorista,terminal,Agencia Información,Agropecuario y Forestal,Precios,Agricultura"/>
    <s v="https://analytics.zoho.com/open-view/2395394000008646880?ZOHO_CRITERIA=%22Fruta%20Consolidado%22.%22Codreg%22%3D15"/>
    <x v="15"/>
    <s v="#1774B9"/>
  </r>
  <r>
    <s v="0143"/>
    <n v="990"/>
    <s v="Agencia Información"/>
    <s v="Agropecuario y Forestal"/>
    <n v="16"/>
    <x v="12"/>
    <x v="5"/>
    <x v="1"/>
    <x v="16"/>
    <x v="5"/>
    <x v="12"/>
    <s v="Año 2021"/>
    <s v="CLP/Kg"/>
    <s v="Oficina de Estudios y Políticas Agrarias (ODEPA)"/>
    <s v="Precios diarios de frutas en mercados mayoristas de la Región de Ñuble, Año 2021"/>
    <s v="Gráfico con la evolución de precios diarios, durante el año 2021, para las principales frutas (frutilla, kiwi, limón, manzana, naranja, palta, pera, plátano, pomelo y uva) en el mercado mayorista Terminal Hortofrutícola Agro Chillán en la Región de Ñuble."/>
    <s v="Gráfico"/>
    <s v="Región de Ñuble,fruta,frutas.precio,precio diario,pesos chilenos,CLP,kilo,mercado mayorista,terminal,Agencia Información,Agropecuario y Forestal,Precios,Agricultura"/>
    <s v="https://analytics.zoho.com/open-view/2395394000008646880?ZOHO_CRITERIA=%22Fruta%20Consolidado%22.%22Codreg%22%3D16"/>
    <x v="16"/>
    <s v="#1774B9"/>
  </r>
  <r>
    <s v="0144"/>
    <n v="990"/>
    <s v="Agencia Información"/>
    <s v="Arte y cultura"/>
    <n v="0"/>
    <x v="13"/>
    <x v="9"/>
    <x v="0"/>
    <x v="0"/>
    <x v="0"/>
    <x v="13"/>
    <s v="Año 2021"/>
    <s v="Número de espacios culturales"/>
    <s v="Observatorio Cultural"/>
    <s v="Cantidad de Espacios Culturales por Tipo de Titularidad y Comuna en el año 2021"/>
    <s v="Existen 332 comunas que tienen algún tipo de espacio cultural en el país. La comuna que cuenta con la mayor cantidad de espacios culturales es Santiago, con 54 espacios públicos y 40 privados."/>
    <s v="Gráfico"/>
    <s v="Chile,espacio,cultural,titularidad,privada,pública,Agencia Información,Arte y cultura,Titularidad de espacios culturales,Cultura"/>
    <s v="https://analytics.zoho.com/open-view/2395394000008056226"/>
    <x v="17"/>
    <s v="#1774B9"/>
  </r>
  <r>
    <s v="0145"/>
    <n v="990"/>
    <s v="Agencia Información"/>
    <s v="Arte y cultura"/>
    <n v="1"/>
    <x v="13"/>
    <x v="9"/>
    <x v="1"/>
    <x v="1"/>
    <x v="3"/>
    <x v="13"/>
    <s v="Año 2021"/>
    <s v="Número de espacios culturales"/>
    <s v="Observatorio Cultural"/>
    <s v="Cantidad de Espacios Culturales en la Región de Tarapacá por Tipo de Titularidad y Comuna en el Año 2021"/>
    <s v="La Región de Tarapacá cuenta con 57 espacios culturales tanto Público como Privados, destacando la comuna de Iquique con 20 espacios públicos y 7 privados."/>
    <s v="Gráfico"/>
    <s v="Región de Tarapacá,espacio,cultural,titularidad,privada,pública,Agencia Información,Arte y cultura,Titularidad de espacios culturales,Cultura"/>
    <s v="https://analytics.zoho.com/open-view/2395394000008378510?ZOHO_CRITERIA=%22Espacios_Culturales_Completo%201%22.%22C%C3%B3digo_Regi%C3%B3n%22%20%3D%201"/>
    <x v="18"/>
    <s v="#1774B9"/>
  </r>
  <r>
    <s v="0146"/>
    <n v="990"/>
    <s v="Agencia Información"/>
    <s v="Arte y cultura"/>
    <n v="2"/>
    <x v="13"/>
    <x v="9"/>
    <x v="1"/>
    <x v="2"/>
    <x v="3"/>
    <x v="13"/>
    <s v="Año 2021"/>
    <s v="Número de espacios culturales"/>
    <s v="Observatorio Cultural"/>
    <s v="Cantidad de Espacios Culturales en la Región de Antofagasta por Tipo de Titularidad y Comuna en el Año 2021"/>
    <s v="La Región de Antofagasta presenta 62 espacios culturales, 34 son de titularidad pública y 26 de titularidad privada, la mayoría de ellos se encuentran en la comuna de Antofagasta, seguidos por Calama."/>
    <s v="Gráfico"/>
    <s v="Región de Antofagasta,espacio,cultural,titularidad,privada,pública,Agencia Información,Arte y cultura,Titularidad de espacios culturales,Cultura"/>
    <s v="https://analytics.zoho.com/open-view/2395394000008378510?ZOHO_CRITERIA=%22Espacios_Culturales_Completo%201%22.%22C%C3%B3digo_Regi%C3%B3n%22%20%3D%202"/>
    <x v="19"/>
    <s v="#1774B9"/>
  </r>
  <r>
    <s v="0147"/>
    <n v="990"/>
    <s v="Agencia Información"/>
    <s v="Arte y cultura"/>
    <n v="3"/>
    <x v="13"/>
    <x v="9"/>
    <x v="1"/>
    <x v="3"/>
    <x v="3"/>
    <x v="13"/>
    <s v="Año 2021"/>
    <s v="Número de espacios culturales"/>
    <s v="Observatorio Cultural"/>
    <s v="Cantidad de Espacios Culturales en la Región de Atacama por Tipo de Titularidad y Comuna en el Año 2021"/>
    <s v="La Región de Atacama cuenta con 51 espacios culturales tanto Público como Privados, destacando la comuna de Copiapó con 8 espacios públicos y 2 privados."/>
    <s v="Gráfico"/>
    <s v="Región de Atacama,espacio,cultural,titularidad,privada,pública,Agencia Información,Arte y cultura,Titularidad de espacios culturales,Cultura"/>
    <s v="https://analytics.zoho.com/open-view/2395394000008378510?ZOHO_CRITERIA=%22Espacios_Culturales_Completo%201%22.%22C%C3%B3digo_Regi%C3%B3n%22%20%3D%203"/>
    <x v="20"/>
    <s v="#1774B9"/>
  </r>
  <r>
    <s v="0148"/>
    <n v="990"/>
    <s v="Agencia Información"/>
    <s v="Arte y cultura"/>
    <n v="4"/>
    <x v="13"/>
    <x v="9"/>
    <x v="1"/>
    <x v="4"/>
    <x v="3"/>
    <x v="13"/>
    <s v="Año 2021"/>
    <s v="Número de espacios culturales"/>
    <s v="Observatorio Cultural"/>
    <s v="Cantidad de Espacios Culturales en la Región de Coquimbo por Tipo de Titularidad y Comuna en el Año 2021"/>
    <s v="La Región de Coquimbo presenta 120 espacios culturales, 97 son de titularidad pública y 21 de titularidad privada, la mayoría de ellos se encuentran en la comuna de Coquimbo y La Serena."/>
    <s v="Gráfico"/>
    <s v="Región de Coquimbo,espacio,cultural,titularidad,privada,pública,Agencia Información,Arte y cultura,Titularidad de espacios culturales,Cultura"/>
    <s v="https://analytics.zoho.com/open-view/2395394000008378510?ZOHO_CRITERIA=%22Espacios_Culturales_Completo%201%22.%22C%C3%B3digo_Regi%C3%B3n%22%20%3D%204"/>
    <x v="21"/>
    <s v="#1774B9"/>
  </r>
  <r>
    <s v="0149"/>
    <n v="990"/>
    <s v="Agencia Información"/>
    <s v="Arte y cultura"/>
    <n v="5"/>
    <x v="13"/>
    <x v="9"/>
    <x v="1"/>
    <x v="5"/>
    <x v="3"/>
    <x v="13"/>
    <s v="Año 2021"/>
    <s v="Número de espacios culturales"/>
    <s v="Observatorio Cultural"/>
    <s v="Cantidad de Espacios Culturales en la Región de Valparaíso por Tipo de Titularidad y Comuna en el Año 2021"/>
    <s v="La Región de Valparaíso presenta diversos espacios culturales, destacando la comuna de Valparaíso con 26 espacios de titularidad pública y 34 de titularidad privada y Viña del Mar con 12 espacios de titularidad público y 20 de titularidad privada."/>
    <s v="Gráfico"/>
    <s v="Región de Valparaíso,espacio,cultural,titularidad,privada,pública,Agencia Información,Arte y cultura,Titularidad de espacios culturales,Cultura"/>
    <s v="https://analytics.zoho.com/open-view/2395394000008378510?ZOHO_CRITERIA=%22Espacios_Culturales_Completo%201%22.%22C%C3%B3digo_Regi%C3%B3n%22%20%3D%205"/>
    <x v="22"/>
    <s v="#1774B9"/>
  </r>
  <r>
    <s v="0150"/>
    <n v="990"/>
    <s v="Agencia Información"/>
    <s v="Arte y cultura"/>
    <n v="6"/>
    <x v="13"/>
    <x v="9"/>
    <x v="1"/>
    <x v="6"/>
    <x v="3"/>
    <x v="13"/>
    <s v="Año 2021"/>
    <s v="Número de espacios culturales"/>
    <s v="Observatorio Cultural"/>
    <s v="Cantidad de Espacios Culturales en la Región de O'Higgins por Tipo de Titularidad y Comuna en el Año 2021"/>
    <s v="La Región de O'Higgins cuenta con 206 espacios culturales tanto Público como Privados, destacando la comuna de Rancagua con 11 espacios públicos y 9 privados."/>
    <s v="Gráfico"/>
    <s v="Región de O'Higgins,espacio,cultural,titularidad,privada,pública,Agencia Información,Arte y cultura,Titularidad de espacios culturales,Cultura"/>
    <s v="https://analytics.zoho.com/open-view/2395394000008378510?ZOHO_CRITERIA=%22Espacios_Culturales_Completo%201%22.%22C%C3%B3digo_Regi%C3%B3n%22%20%3D%206"/>
    <x v="23"/>
    <s v="#1774B9"/>
  </r>
  <r>
    <s v="0151"/>
    <n v="990"/>
    <s v="Agencia Información"/>
    <s v="Arte y cultura"/>
    <n v="7"/>
    <x v="13"/>
    <x v="9"/>
    <x v="1"/>
    <x v="7"/>
    <x v="3"/>
    <x v="13"/>
    <s v="Año 2021"/>
    <s v="Número de espacios culturales"/>
    <s v="Observatorio Cultural"/>
    <s v="Cantidad de Espacios Culturales en la Región de Maule por Tipo de Titularidad y Comuna en el Año 2021"/>
    <s v="La Región de Maule cuenta con 169 espacios culturales tanto Público como Privados, destacando la comuna de Talca con 20 espacios de titularidad pública y 15 de titularidad privada."/>
    <s v="Gráfico"/>
    <s v="Región de Maule,espacio,cultural,titularidad,privada,pública,Agencia Información,Arte y cultura,Titularidad de espacios culturales,Cultura"/>
    <s v="https://analytics.zoho.com/open-view/2395394000008378510?ZOHO_CRITERIA=%22Espacios_Culturales_Completo%201%22.%22C%C3%B3digo_Regi%C3%B3n%22%20%3D%207"/>
    <x v="24"/>
    <s v="#1774B9"/>
  </r>
  <r>
    <s v="0152"/>
    <n v="990"/>
    <s v="Agencia Información"/>
    <s v="Arte y cultura"/>
    <n v="8"/>
    <x v="13"/>
    <x v="9"/>
    <x v="1"/>
    <x v="8"/>
    <x v="3"/>
    <x v="13"/>
    <s v="Año 2021"/>
    <s v="Número de espacios culturales"/>
    <s v="Observatorio Cultural"/>
    <s v="Cantidad de Espacios Culturales en la Región del Biobío por Tipo de Titularidad y Comuna en el Año 2021"/>
    <s v="La Región de Biobío presenta 163 espacios culturales en el año 2021, la comuna que tiene mayor cantidad de espacios de titularidad pública es Lota con 9 espacios y de titularidad privada es Concepción con 21 espacios."/>
    <s v="Gráfico"/>
    <s v="Región del Biobío,espacio,cultural,titularidad,privada,pública,Agencia Información,Arte y cultura,Titularidad de espacios culturales,Cultura"/>
    <s v="https://analytics.zoho.com/open-view/2395394000008378510?ZOHO_CRITERIA=%22Espacios_Culturales_Completo%201%22.%22C%C3%B3digo_Regi%C3%B3n%22%20%3D%208"/>
    <x v="25"/>
    <s v="#1774B9"/>
  </r>
  <r>
    <s v="0153"/>
    <n v="990"/>
    <s v="Agencia Información"/>
    <s v="Arte y cultura"/>
    <n v="9"/>
    <x v="13"/>
    <x v="9"/>
    <x v="1"/>
    <x v="9"/>
    <x v="3"/>
    <x v="13"/>
    <s v="Año 2021"/>
    <s v="Número de espacios culturales"/>
    <s v="Observatorio Cultural"/>
    <s v="Cantidad de Espacios Culturales en la Región de La Araucanía por Tipo de Titularidad y Comuna en el Año 2021"/>
    <s v="En la Región de La Araucanía se destaca la comuna de Temuco, en donde se encuentran 16 espacios culturales de titularidad pública y 8 espacios culturales de titularidad privada."/>
    <s v="Gráfico"/>
    <s v="Región de La Araucanía,espacio,cultural,titularidad,privada,pública,Agencia Información,Arte y cultura,Titularidad de espacios culturales,Cultura"/>
    <s v="https://analytics.zoho.com/open-view/2395394000008378510?ZOHO_CRITERIA=%22Espacios_Culturales_Completo%201%22.%22C%C3%B3digo_Regi%C3%B3n%22%20%3D%209"/>
    <x v="26"/>
    <s v="#1774B9"/>
  </r>
  <r>
    <s v="0154"/>
    <n v="990"/>
    <s v="Agencia Información"/>
    <s v="Arte y cultura"/>
    <n v="10"/>
    <x v="13"/>
    <x v="9"/>
    <x v="1"/>
    <x v="10"/>
    <x v="3"/>
    <x v="13"/>
    <s v="Año 2021"/>
    <s v="Número de espacios culturales"/>
    <s v="Observatorio Cultural"/>
    <s v="Cantidad de Espacios Culturales en la Región de Los Lagos por Tipo de Titularidad y Comuna en el Año 2021"/>
    <s v="La Región de Los Lagos cuenta con 153 espacios culturales, de ellos 126 son de titularidad pública y 24 de titularidad privada. Las comunas que presentan la mayor cantidad son Osorno y Puerto Montt."/>
    <s v="Gráfico"/>
    <s v="Región de Los Lagos,espacio,cultural,titularidad,privada,pública,Agencia Información,Arte y cultura,Titularidad de espacios culturales,Cultura"/>
    <s v="https://analytics.zoho.com/open-view/2395394000008378510?ZOHO_CRITERIA=%22Espacios_Culturales_Completo%201%22.%22C%C3%B3digo_Regi%C3%B3n%22%20%3D%2010"/>
    <x v="27"/>
    <s v="#1774B9"/>
  </r>
  <r>
    <s v="0155"/>
    <n v="990"/>
    <s v="Agencia Información"/>
    <s v="Arte y cultura"/>
    <n v="11"/>
    <x v="13"/>
    <x v="9"/>
    <x v="1"/>
    <x v="11"/>
    <x v="3"/>
    <x v="13"/>
    <s v="Año 2021"/>
    <s v="Número de espacios culturales"/>
    <s v="Observatorio Cultural"/>
    <s v="Cantidad de Espacios Culturales en la Región de Aysén por Tipo de Titularidad y Comuna en el Año 2021"/>
    <s v="La Región de Aysén cuenta con 83 espacios culturales, de los cuales 70 son de titularidad pública y 13 de titularidad privada, la comuna con más espacios es Coihaique."/>
    <s v="Gráfico"/>
    <s v="Región de Aysén,espacio,cultural,titularidad,privada,pública,Agencia Información,Arte y cultura,Titularidad de espacios culturales,Cultura"/>
    <s v="https://analytics.zoho.com/open-view/2395394000008378510?ZOHO_CRITERIA=%22Espacios_Culturales_Completo%201%22.%22C%C3%B3digo_Regi%C3%B3n%22%20%3D%2011"/>
    <x v="33"/>
    <s v="#1774B9"/>
  </r>
  <r>
    <s v="0156"/>
    <n v="990"/>
    <s v="Agencia Información"/>
    <s v="Arte y cultura"/>
    <n v="12"/>
    <x v="13"/>
    <x v="9"/>
    <x v="1"/>
    <x v="12"/>
    <x v="3"/>
    <x v="13"/>
    <s v="Año 2021"/>
    <s v="Número de espacios culturales"/>
    <s v="Observatorio Cultural"/>
    <s v="Cantidad de Espacios Culturales en la Región de Magallanes por Tipo de Titularidad y Comuna en el Año 2021"/>
    <s v="La Región de Magallanes presenta 63 espacios culturales en el año 2021, la comuna que tiene mayor cantidad de espacios culturales es Punta Arenas con 46 espacios públicos y 17 espacios privados."/>
    <s v="Gráfico"/>
    <s v="Región de Magallanes,espacio,cultural,titularidad,privada,pública,Agencia Información,Arte y cultura,Titularidad de espacios culturales,Cultura"/>
    <s v="https://analytics.zoho.com/open-view/2395394000008378510?ZOHO_CRITERIA=%22Espacios_Culturales_Completo%201%22.%22C%C3%B3digo_Regi%C3%B3n%22%20%3D%2012"/>
    <x v="28"/>
    <s v="#1774B9"/>
  </r>
  <r>
    <s v="0157"/>
    <n v="990"/>
    <s v="Agencia Información"/>
    <s v="Arte y cultura"/>
    <n v="13"/>
    <x v="13"/>
    <x v="9"/>
    <x v="1"/>
    <x v="13"/>
    <x v="3"/>
    <x v="13"/>
    <s v="Año 2021"/>
    <s v="Número de espacios culturales"/>
    <s v="Observatorio Cultural"/>
    <s v="Cantidad de Espacios Culturales en la Región Metropolitana por Tipo de Titularidad y Comuna en el Año 2021"/>
    <s v="La región Metropolitana cuenta con 397 espacios culturales, de ellos 220 son de titularidad pública y 151 de titularidad privada, las comunas que presentan la mayor cantidad son Santiago y Providencia."/>
    <s v="Gráfico"/>
    <s v="Región Metropolitana,espacio,cultural,titularidad,privada,pública,Agencia Información,Arte y cultura,Titularidad de espacios culturales,Cultura"/>
    <s v="https://analytics.zoho.com/open-view/2395394000008378510?ZOHO_CRITERIA=%22Espacios_Culturales_Completo%201%22.%22C%C3%B3digo_Regi%C3%B3n%22%20%3D%2013"/>
    <x v="29"/>
    <s v="#1774B9"/>
  </r>
  <r>
    <s v="0158"/>
    <n v="990"/>
    <s v="Agencia Información"/>
    <s v="Arte y cultura"/>
    <n v="14"/>
    <x v="13"/>
    <x v="9"/>
    <x v="1"/>
    <x v="14"/>
    <x v="3"/>
    <x v="13"/>
    <s v="Año 2021"/>
    <s v="Número de espacios culturales"/>
    <s v="Observatorio Cultural"/>
    <s v="Cantidad de Espacios Culturales en la Región de Los Ríos por Tipo de Titularidad y Comuna en el Año 2021"/>
    <s v="La Región de Los Ríos presenta 77 espacios culturales en el año 2021, destaca la comuna de Valdivia con 8 espacios de titularidad pública y 17 espacios de titularidad privada."/>
    <s v="Gráfico"/>
    <s v="Región de Los Ríos,espacio,cultural,titularidad,privada,pública,Agencia Información,Arte y cultura,Titularidad de espacios culturales,Cultura"/>
    <s v="https://analytics.zoho.com/open-view/2395394000008378510?ZOHO_CRITERIA=%22Espacios_Culturales_Completo%201%22.%22C%C3%B3digo_Regi%C3%B3n%22%20%3D%2014"/>
    <x v="30"/>
    <s v="#1774B9"/>
  </r>
  <r>
    <s v="0159"/>
    <n v="990"/>
    <s v="Agencia Información"/>
    <s v="Arte y cultura"/>
    <n v="15"/>
    <x v="13"/>
    <x v="9"/>
    <x v="1"/>
    <x v="15"/>
    <x v="3"/>
    <x v="13"/>
    <s v="Año 2021"/>
    <s v="Número de espacios culturales"/>
    <s v="Observatorio Cultural"/>
    <s v="Cantidad de Espacios Culturales en la Región de Arica y Parinacota por Tipo de Titularidad y Comuna en el Año 2021"/>
    <s v="La Región de Arica y Parinacota cuenta con 34 espacios culturales en el año 2021, de los cuales 23 son públicos ubicados en las 4 comunas de la región y 11 son privados ubicados solo en la comuna de Arica."/>
    <s v="Gráfico"/>
    <s v="Región de Arica y Parinacota,espacio,cultural,titularidad,privada,pública,Agencia Información,Arte y cultura,Titularidad de espacios culturales,Cultura"/>
    <s v="https://analytics.zoho.com/open-view/2395394000008378510?ZOHO_CRITERIA=%22Espacios_Culturales_Completo%201%22.%22C%C3%B3digo_Regi%C3%B3n%22%20%3D%2015"/>
    <x v="31"/>
    <s v="#1774B9"/>
  </r>
  <r>
    <s v="0160"/>
    <n v="990"/>
    <s v="Agencia Información"/>
    <s v="Arte y cultura"/>
    <n v="16"/>
    <x v="13"/>
    <x v="9"/>
    <x v="1"/>
    <x v="16"/>
    <x v="3"/>
    <x v="13"/>
    <s v="Año 2021"/>
    <s v="Número de espacios culturales"/>
    <s v="Observatorio Cultural"/>
    <s v="Cantidad de Espacios Culturales en la Región de Ñuble por Tipo de Titularidad y Comuna en el Año 2021"/>
    <s v="La Región de Ñuble cuenta con 86 espacios culturales de los cuales 69 son de titularidad pública y 12 de titularidad privada, estando la mayoría en la comuna de Chillán."/>
    <s v="Gráfico"/>
    <s v="Región de Ñuble,espacio,cultural,titularidad,privada,pública,Agencia Información,Arte y cultura,Titularidad de espacios culturales,Cultura"/>
    <s v="https://analytics.zoho.com/open-view/2395394000008378510?ZOHO_CRITERIA=%22Espacios_Culturales_Completo%201%22.%22C%C3%B3digo_Regi%C3%B3n%22%20%3D%2016"/>
    <x v="32"/>
    <s v="#1774B9"/>
  </r>
  <r>
    <s v="0161"/>
    <n v="990"/>
    <s v="Agencia Información"/>
    <s v="Social"/>
    <n v="0"/>
    <x v="14"/>
    <x v="10"/>
    <x v="0"/>
    <x v="0"/>
    <x v="0"/>
    <x v="14"/>
    <s v="Periodo 2008-2020"/>
    <s v="Porcentaje (%)"/>
    <s v="Centro de Estudios y Análisis del Delito (CEAD) de la Subsecretaría de Prevención del Delito"/>
    <s v="Variación Anual de Frecuencia de Delitos de Mayor Connotación Social en Chile, Periodo 2008-2020"/>
    <s v="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
    <s v="Dashboard"/>
    <s v="Chile,delitos,mayor,connotación,social,variación,anual,frecuencia,Agencia Información,Social,Delitos de Mayor Connotación Social (DMCS),Delincuencia"/>
    <s v="https://app.powerbi.com/view?r=eyJrIjoiYzhiZDQ3N2YtMmRkOS00NzAyLThjNjItNzk0NWM1NWE1YjE0IiwidCI6IjhmYmFhNWJmLTJlY2MtNGRjOC1iNTZiLThmOTJlMzA3ZjA3NiIsImMiOjR9"/>
    <x v="17"/>
    <s v="#1774B9"/>
  </r>
  <r>
    <s v="0162"/>
    <n v="990"/>
    <s v="Agencia Información"/>
    <s v="Social"/>
    <n v="1"/>
    <x v="14"/>
    <x v="10"/>
    <x v="1"/>
    <x v="1"/>
    <x v="3"/>
    <x v="14"/>
    <s v="Periodo 2008-2020"/>
    <s v="Porcentaje (%)"/>
    <s v="Centro de Estudios y Análisis del Delito (CEAD) de la Subsecretaría de Prevención del Delito"/>
    <s v="Variación Anual de Frecuencia de Delitos de Mayor Connotación Social en la Región de Tarapacá, Periodo 2008-2020"/>
    <s v="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
    <s v="Dashboard"/>
    <s v="Región de Tarapacá,delitos,mayor,connotación,social,variación,anual,frecuencia,Agencia Información,Social,Delitos de Mayor Connotación Social (DMCS),Delincuencia"/>
    <s v="https://app.powerbi.com/view?r=eyJrIjoiNDQzYmFiMjctODc3Ny00N2ZlLTgyNTctMzBmMmY3NTdhNmQ3IiwidCI6IjhmYmFhNWJmLTJlY2MtNGRjOC1iNTZiLThmOTJlMzA3ZjA3NiIsImMiOjR9"/>
    <x v="18"/>
    <s v="#1774B9"/>
  </r>
  <r>
    <s v="0163"/>
    <n v="990"/>
    <s v="Agencia Información"/>
    <s v="Social"/>
    <n v="2"/>
    <x v="14"/>
    <x v="10"/>
    <x v="1"/>
    <x v="2"/>
    <x v="3"/>
    <x v="14"/>
    <s v="Periodo 2008-2020"/>
    <s v="Porcentaje (%)"/>
    <s v="Centro de Estudios y Análisis del Delito (CEAD) de la Subsecretaría de Prevención del Delito"/>
    <s v="Variación Anual de Frecuencia de Delitos de Mayor Connotación Social en la Región de Antofagasta, Periodo 2008-2020"/>
    <s v="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
    <s v="Dashboard"/>
    <s v="Región de Antofagasta,delitos,mayor,connotación,social,variación,anual,frecuencia,Agencia Información,Social,Delitos de Mayor Connotación Social (DMCS),Delincuencia"/>
    <s v="https://app.powerbi.com/view?r=eyJrIjoiOWNlNjk3Y2MtMGNiNS00OTEyLTkxZmUtODM4MDI5MDNlMTdiIiwidCI6IjhmYmFhNWJmLTJlY2MtNGRjOC1iNTZiLThmOTJlMzA3ZjA3NiIsImMiOjR9&amp;pageName=ReportSection4dc3b620a637a46619e6"/>
    <x v="19"/>
    <s v="#1774B9"/>
  </r>
  <r>
    <s v="0164"/>
    <n v="990"/>
    <s v="Agencia Información"/>
    <s v="Social"/>
    <n v="3"/>
    <x v="14"/>
    <x v="10"/>
    <x v="1"/>
    <x v="3"/>
    <x v="3"/>
    <x v="14"/>
    <s v="Periodo 2008-2020"/>
    <s v="Porcentaje (%)"/>
    <s v="Centro de Estudios y Análisis del Delito (CEAD) de la Subsecretaría de Prevención del Delito"/>
    <s v="Variación Anual de Frecuencia de Delitos de Mayor Connotación Social en la Región de Atacama, Periodo 2008-2020"/>
    <s v="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
    <s v="Dashboard"/>
    <s v="Región de Atacama,delitos,mayor,connotación,social,variación,anual,frecuencia,Agencia Información,Social,Delitos de Mayor Connotación Social (DMCS),Delincuencia"/>
    <s v="https://app.powerbi.com/view?r=eyJrIjoiNzYyYzA1MTQtYjU4ZC00YmIyLTgxMTMtODQ1MzE1OTdkZTU5IiwidCI6IjhmYmFhNWJmLTJlY2MtNGRjOC1iNTZiLThmOTJlMzA3ZjA3NiIsImMiOjR9"/>
    <x v="20"/>
    <s v="#1774B9"/>
  </r>
  <r>
    <s v="0165"/>
    <n v="990"/>
    <s v="Agencia Información"/>
    <s v="Social"/>
    <n v="4"/>
    <x v="14"/>
    <x v="10"/>
    <x v="1"/>
    <x v="4"/>
    <x v="3"/>
    <x v="14"/>
    <s v="Periodo 2008-2020"/>
    <s v="Porcentaje (%)"/>
    <s v="Centro de Estudios y Análisis del Delito (CEAD) de la Subsecretaría de Prevención del Delito"/>
    <s v="Variación Anual de Frecuencia de Delitos de Mayor Connotación Social en la Región de Coquimbo, Periodo 2008-2020"/>
    <s v="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
    <s v="Dashboard"/>
    <s v="Región de Coquimbo,delitos,mayor,connotación,social,variación,anual,frecuencia,Agencia Información,Social,Delitos de Mayor Connotación Social (DMCS),Delincuencia"/>
    <s v="https://app.powerbi.com/view?r=eyJrIjoiYTRjMTJkZmEtNzNlMC00ODRlLWIxMzYtNzAzYWVlMGQ2YTU0IiwidCI6IjhmYmFhNWJmLTJlY2MtNGRjOC1iNTZiLThmOTJlMzA3ZjA3NiIsImMiOjR9"/>
    <x v="21"/>
    <s v="#1774B9"/>
  </r>
  <r>
    <s v="0166"/>
    <n v="990"/>
    <s v="Agencia Información"/>
    <s v="Social"/>
    <n v="5"/>
    <x v="14"/>
    <x v="10"/>
    <x v="1"/>
    <x v="5"/>
    <x v="3"/>
    <x v="14"/>
    <s v="Periodo 2008-2020"/>
    <s v="Porcentaje (%)"/>
    <s v="Centro de Estudios y Análisis del Delito (CEAD) de la Subsecretaría de Prevención del Delito"/>
    <s v="Variación Anual de Frecuencia de Delitos de Mayor Connotación Social en la Región de Valparaíso, Periodo 2008-2020"/>
    <s v="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
    <s v="Dashboard"/>
    <s v="Región de Valparaíso,delitos,mayor,connotación,social,variación,anual,frecuencia,Agencia Información,Social,Delitos de Mayor Connotación Social (DMCS),Delincuencia"/>
    <s v="https://app.powerbi.com/view?r=eyJrIjoiZThkYzY0YTItNWE2NS00MjE5LTgzNTItOWFmNjE2NWE5NTIwIiwidCI6IjhmYmFhNWJmLTJlY2MtNGRjOC1iNTZiLThmOTJlMzA3ZjA3NiIsImMiOjR9"/>
    <x v="22"/>
    <s v="#1774B9"/>
  </r>
  <r>
    <s v="0167"/>
    <n v="990"/>
    <s v="Agencia Información"/>
    <s v="Social"/>
    <n v="6"/>
    <x v="14"/>
    <x v="10"/>
    <x v="1"/>
    <x v="6"/>
    <x v="3"/>
    <x v="14"/>
    <s v="Periodo 2008-2020"/>
    <s v="Porcentaje (%)"/>
    <s v="Centro de Estudios y Análisis del Delito (CEAD) de la Subsecretaría de Prevención del Delito"/>
    <s v="Variación Anual de Frecuencia de Delitos de Mayor Connotación Social en la Región de O'Higgins, Periodo 2008-2020"/>
    <s v="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
    <s v="Dashboard"/>
    <s v="Región de O'Higgins,delitos,mayor,connotación,social,variación,anual,frecuencia,Agencia Información,Social,Delitos de Mayor Connotación Social (DMCS),Delincuencia"/>
    <s v="https://app.powerbi.com/view?r=eyJrIjoiNWIxNzRiOTctMWUyMi00YjkzLWJmMDUtN2UzODhlZWFlZjA1IiwidCI6IjhmYmFhNWJmLTJlY2MtNGRjOC1iNTZiLThmOTJlMzA3ZjA3NiIsImMiOjR9"/>
    <x v="23"/>
    <s v="#1774B9"/>
  </r>
  <r>
    <s v="0168"/>
    <n v="990"/>
    <s v="Agencia Información"/>
    <s v="Social"/>
    <n v="7"/>
    <x v="14"/>
    <x v="10"/>
    <x v="1"/>
    <x v="7"/>
    <x v="3"/>
    <x v="14"/>
    <s v="Periodo 2008-2020"/>
    <s v="Porcentaje (%)"/>
    <s v="Centro de Estudios y Análisis del Delito (CEAD) de la Subsecretaría de Prevención del Delito"/>
    <s v="Variación Anual de Frecuencia de Delitos de Mayor Connotación Social en la Región de Maule, Periodo 2008-2020"/>
    <s v="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
    <s v="Dashboard"/>
    <s v="Región de Maule,delitos,mayor,connotación,social,variación,anual,frecuencia,Agencia Información,Social,Delitos de Mayor Connotación Social (DMCS),Delincuencia"/>
    <s v="https://app.powerbi.com/view?r=eyJrIjoiOWIxNDkwMzUtMGQyNi00ZGEzLWE1OGItYTI1OGM4Njk1NjlhIiwidCI6IjhmYmFhNWJmLTJlY2MtNGRjOC1iNTZiLThmOTJlMzA3ZjA3NiIsImMiOjR9"/>
    <x v="24"/>
    <s v="#1774B9"/>
  </r>
  <r>
    <s v="0169"/>
    <n v="990"/>
    <s v="Agencia Información"/>
    <s v="Social"/>
    <n v="8"/>
    <x v="14"/>
    <x v="10"/>
    <x v="1"/>
    <x v="8"/>
    <x v="3"/>
    <x v="14"/>
    <s v="Periodo 2008-2020"/>
    <s v="Porcentaje (%)"/>
    <s v="Centro de Estudios y Análisis del Delito (CEAD) de la Subsecretaría de Prevención del Delito"/>
    <s v="Variación Anual de Frecuencia de Delitos de Mayor Connotación Social en la Región del Biobío, Periodo 2008-2020"/>
    <s v="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
    <s v="Dashboard"/>
    <s v="Región del Biobío,delitos,mayor,connotación,social,variación,anual,frecuencia,Agencia Información,Social,Delitos de Mayor Connotación Social (DMCS),Delincuencia"/>
    <s v="https://app.powerbi.com/view?r=eyJrIjoiYzgzMTI1M2UtNmViNS00YTA0LTk2NGYtMTFmYmExYTczNWRhIiwidCI6IjhmYmFhNWJmLTJlY2MtNGRjOC1iNTZiLThmOTJlMzA3ZjA3NiIsImMiOjR9"/>
    <x v="25"/>
    <s v="#1774B9"/>
  </r>
  <r>
    <s v="0170"/>
    <n v="990"/>
    <s v="Agencia Información"/>
    <s v="Social"/>
    <n v="9"/>
    <x v="14"/>
    <x v="10"/>
    <x v="1"/>
    <x v="9"/>
    <x v="3"/>
    <x v="14"/>
    <s v="Periodo 2008-2020"/>
    <s v="Porcentaje (%)"/>
    <s v="Centro de Estudios y Análisis del Delito (CEAD) de la Subsecretaría de Prevención del Delito"/>
    <s v="Variación Anual de Frecuencia de Delitos de Mayor Connotación Social en la Región de La Araucanía, Periodo 2008-2020"/>
    <s v="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
    <s v="Dashboard"/>
    <s v="Región de La Araucanía,delitos,mayor,connotación,social,variación,anual,frecuencia,Agencia Información,Social,Delitos de Mayor Connotación Social (DMCS),Delincuencia"/>
    <s v="https://app.powerbi.com/view?r=eyJrIjoiZmVjZWI5N2YtMjVhMS00Zjc1LWFmN2YtZDM4NDA1ODMzMGNiIiwidCI6IjhmYmFhNWJmLTJlY2MtNGRjOC1iNTZiLThmOTJlMzA3ZjA3NiIsImMiOjR9"/>
    <x v="26"/>
    <s v="#1774B9"/>
  </r>
  <r>
    <s v="0171"/>
    <n v="990"/>
    <s v="Agencia Información"/>
    <s v="Social"/>
    <n v="10"/>
    <x v="14"/>
    <x v="10"/>
    <x v="1"/>
    <x v="10"/>
    <x v="3"/>
    <x v="14"/>
    <s v="Periodo 2008-2020"/>
    <s v="Porcentaje (%)"/>
    <s v="Centro de Estudios y Análisis del Delito (CEAD) de la Subsecretaría de Prevención del Delito"/>
    <s v="Variación Anual de Frecuencia de Delitos de Mayor Connotación Social en la Región de Los Lagos, Periodo 2008-2020"/>
    <s v="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
    <s v="Dashboard"/>
    <s v="Región de Los Lagos,delitos,mayor,connotación,social,variación,anual,frecuencia,Agencia Información,Social,Delitos de Mayor Connotación Social (DMCS),Delincuencia"/>
    <s v="https://app.powerbi.com/view?r=eyJrIjoiNDExYTM1N2EtYTNiYi00OGNkLThhMjMtMDVjNGQ5NzNjZTU1IiwidCI6IjhmYmFhNWJmLTJlY2MtNGRjOC1iNTZiLThmOTJlMzA3ZjA3NiIsImMiOjR9"/>
    <x v="27"/>
    <s v="#1774B9"/>
  </r>
  <r>
    <s v="0172"/>
    <n v="990"/>
    <s v="Agencia Información"/>
    <s v="Social"/>
    <n v="11"/>
    <x v="14"/>
    <x v="10"/>
    <x v="1"/>
    <x v="11"/>
    <x v="3"/>
    <x v="14"/>
    <s v="Periodo 2008-2020"/>
    <s v="Porcentaje (%)"/>
    <s v="Centro de Estudios y Análisis del Delito (CEAD) de la Subsecretaría de Prevención del Delito"/>
    <s v="Variación Anual de Frecuencia de Delitos de Mayor Connotación Social en la Región de Aysén, Periodo 2008-2020"/>
    <s v="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
    <s v="Dashboard"/>
    <s v="Región de Aysén,delitos,mayor,connotación,social,variación,anual,frecuencia,Agencia Información,Social,Delitos de Mayor Connotación Social (DMCS),Delincuencia"/>
    <s v="https://app.powerbi.com/view?r=eyJrIjoiMzk2YjAzMGUtYTE2Zi00ZGU3LTg1ZjAtN2IxNzExMjg3N2E1IiwidCI6IjhmYmFhNWJmLTJlY2MtNGRjOC1iNTZiLThmOTJlMzA3ZjA3NiIsImMiOjR9"/>
    <x v="33"/>
    <s v="#1774B9"/>
  </r>
  <r>
    <s v="0173"/>
    <n v="990"/>
    <s v="Agencia Información"/>
    <s v="Social"/>
    <n v="12"/>
    <x v="14"/>
    <x v="10"/>
    <x v="1"/>
    <x v="12"/>
    <x v="3"/>
    <x v="14"/>
    <s v="Periodo 2008-2020"/>
    <s v="Porcentaje (%)"/>
    <s v="Centro de Estudios y Análisis del Delito (CEAD) de la Subsecretaría de Prevención del Delito"/>
    <s v="Variación Anual de Frecuencia de Delitos de Mayor Connotación Social en la Región de Magallanes, Periodo 2008-2020"/>
    <s v="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
    <s v="Dashboard"/>
    <s v="Región de Magallanes,delitos,mayor,connotación,social,variación,anual,frecuencia,Agencia Información,Social,Delitos de Mayor Connotación Social (DMCS),Delincuencia"/>
    <s v="https://app.powerbi.com/view?r=eyJrIjoiZWNmYzYxNjQtMTQ1OC00MTkwLWFkYTUtYzUwZmM0NWVjN2U2IiwidCI6IjhmYmFhNWJmLTJlY2MtNGRjOC1iNTZiLThmOTJlMzA3ZjA3NiIsImMiOjR9"/>
    <x v="28"/>
    <s v="#1774B9"/>
  </r>
  <r>
    <s v="0174"/>
    <n v="990"/>
    <s v="Agencia Información"/>
    <s v="Social"/>
    <n v="13"/>
    <x v="14"/>
    <x v="10"/>
    <x v="1"/>
    <x v="13"/>
    <x v="3"/>
    <x v="14"/>
    <s v="Periodo 2008-2020"/>
    <s v="Porcentaje (%)"/>
    <s v="Centro de Estudios y Análisis del Delito (CEAD) de la Subsecretaría de Prevención del Delito"/>
    <s v="Variación Anual de Frecuencia de Delitos de Mayor Connotación Social en la Región Metropolitana, Periodo 2008-2020"/>
    <s v="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
    <s v="Dashboard"/>
    <s v="Región Metropolitana,delitos,mayor,connotación,social,variación,anual,frecuencia,Agencia Información,Social,Delitos de Mayor Connotación Social (DMCS),Delincuencia"/>
    <s v="https://app.powerbi.com/view?r=eyJrIjoiNWYxNzdhNGItMDA0OC00ZjY5LWI0YTUtMDUwYzk1M2JmZGVhIiwidCI6IjhmYmFhNWJmLTJlY2MtNGRjOC1iNTZiLThmOTJlMzA3ZjA3NiIsImMiOjR9"/>
    <x v="29"/>
    <s v="#1774B9"/>
  </r>
  <r>
    <s v="0175"/>
    <n v="990"/>
    <s v="Agencia Información"/>
    <s v="Social"/>
    <n v="14"/>
    <x v="14"/>
    <x v="10"/>
    <x v="1"/>
    <x v="14"/>
    <x v="3"/>
    <x v="14"/>
    <s v="Periodo 2008-2020"/>
    <s v="Porcentaje (%)"/>
    <s v="Centro de Estudios y Análisis del Delito (CEAD) de la Subsecretaría de Prevención del Delito"/>
    <s v="Variación Anual de Frecuencia de Delitos de Mayor Connotación Social en la Región de Los Ríos, Periodo 2008-2020"/>
    <s v="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
    <s v="Dashboard"/>
    <s v="Región de Los Ríos,delitos,mayor,connotación,social,variación,anual,frecuencia,Agencia Información,Social,Delitos de Mayor Connotación Social (DMCS),Delincuencia"/>
    <s v="https://app.powerbi.com/view?r=eyJrIjoiMzlhNGFhN2QtNjRlZi00YjY1LTlmNzctMmRmZDZkNWUwNmIzIiwidCI6IjhmYmFhNWJmLTJlY2MtNGRjOC1iNTZiLThmOTJlMzA3ZjA3NiIsImMiOjR9"/>
    <x v="30"/>
    <s v="#1774B9"/>
  </r>
  <r>
    <s v="0176"/>
    <n v="990"/>
    <s v="Agencia Información"/>
    <s v="Social"/>
    <n v="15"/>
    <x v="14"/>
    <x v="10"/>
    <x v="1"/>
    <x v="15"/>
    <x v="3"/>
    <x v="14"/>
    <s v="Periodo 2008-2020"/>
    <s v="Porcentaje (%)"/>
    <s v="Centro de Estudios y Análisis del Delito (CEAD) de la Subsecretaría de Prevención del Delito"/>
    <s v="Variación Anual de Frecuencia de Delitos de Mayor Connotación Social en la Región de Arica y Parinacota, Periodo 2008-2020"/>
    <s v="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
    <s v="Dashboard"/>
    <s v="Región de Arica y Parinacota,delitos,mayor,connotación,social,variación,anual,frecuencia,Agencia Información,Social,Delitos de Mayor Connotación Social (DMCS),Delincuencia"/>
    <s v="https://app.powerbi.com/view?r=eyJrIjoiODk3Zjc3ZTItZTdlNi00NGRlLTljYzktZTM5OTQ1YzI1MDYxIiwidCI6IjhmYmFhNWJmLTJlY2MtNGRjOC1iNTZiLThmOTJlMzA3ZjA3NiIsImMiOjR9"/>
    <x v="31"/>
    <s v="#1774B9"/>
  </r>
  <r>
    <s v="0177"/>
    <n v="990"/>
    <s v="Agencia Información"/>
    <s v="Social"/>
    <n v="16"/>
    <x v="14"/>
    <x v="10"/>
    <x v="1"/>
    <x v="16"/>
    <x v="3"/>
    <x v="14"/>
    <s v="Periodo 2008-2020"/>
    <s v="Porcentaje (%)"/>
    <s v="Centro de Estudios y Análisis del Delito (CEAD) de la Subsecretaría de Prevención del Delito"/>
    <s v="Variación Anual de Frecuencia de Delitos de Mayor Connotación Social en la Región de Ñuble, Periodo 2008-2020"/>
    <s v="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
    <s v="Dashboard"/>
    <s v="Región de Ñuble,delitos,mayor,connotación,social,variación,anual,frecuencia,Agencia Información,Social,Delitos de Mayor Connotación Social (DMCS),Delincuencia"/>
    <s v="https://app.powerbi.com/view?r=eyJrIjoiZDZiYjg2ODAtOGYwZS00MGNlLTkwZWEtZTU3NDMwOTZjZGYxIiwidCI6IjhmYmFhNWJmLTJlY2MtNGRjOC1iNTZiLThmOTJlMzA3ZjA3NiIsImMiOjR9"/>
    <x v="32"/>
    <s v="#1774B9"/>
  </r>
  <r>
    <s v="0178"/>
    <n v="990"/>
    <s v="Agencia Información"/>
    <s v="Mujeres"/>
    <n v="0"/>
    <x v="15"/>
    <x v="2"/>
    <x v="0"/>
    <x v="0"/>
    <x v="1"/>
    <x v="15"/>
    <s v="Periodo 2019-2021"/>
    <s v="Número de Casos"/>
    <s v="Fiscalía Nacional"/>
    <s v="Evolución trimestral de Casos de Violencia Intrafamiliar presentados a la Fiscalía, a nivel nacional"/>
    <s v="El segundo trimestre del año 2020 registra la menor cantidad de casos de Violencia Intrafamiliar (VIF) presentados a la Fiscalía Nacional, con 7.496 casos de víctimas hombres y 22.517 casos de víctimas mujeres."/>
    <s v="Gráfico de Evolución"/>
    <s v="Chile,violencia,intrafamiliar,VIF,casos,fiscalía,mujeres,hombres,año,nacional,Agencia Información,Mujeres,Violencia Intrafamiliar,Violencia Contra la Mujer"/>
    <s v="https://analytics.zoho.com/open-view/2395394000007782028"/>
    <x v="34"/>
    <s v="#1774B9"/>
  </r>
  <r>
    <s v="0179"/>
    <n v="990"/>
    <s v="Agencia Información"/>
    <s v="Mujeres"/>
    <n v="0"/>
    <x v="15"/>
    <x v="2"/>
    <x v="0"/>
    <x v="0"/>
    <x v="0"/>
    <x v="16"/>
    <s v="Periodo 2019-2021"/>
    <s v="Número de Casos"/>
    <s v="Fiscalía Nacional"/>
    <s v="Evolución trimestral de Casos de Violencia Intrafamiliar presentados frente a la Fiscalía Nacional en Chile"/>
    <s v="Chile, en el tercer trimestre del año 2019, registró la mayor cantidad de casos de Violencia Intrafamiliar (VIF) presentados ante la fiscalía nacional, con 72.904 casos: 55.509 víctimas eran mujeres y 17.070 víctimas eran  hombres."/>
    <s v="Gráfico de Evolución"/>
    <s v="Chile,violencia,intrafamiliar,VIF,casos,fiscalía,mujeres,hombres,año,regional,Agencia Información,Mujeres,Violencia Intrafamiliar,Violencia Contra la Mujer"/>
    <s v="https://analytics.zoho.com/open-view/2395394000008210549"/>
    <x v="0"/>
    <s v="#1774B9"/>
  </r>
  <r>
    <s v="0180"/>
    <n v="990"/>
    <s v="Agencia Información"/>
    <s v="Mujeres"/>
    <n v="1"/>
    <x v="15"/>
    <x v="2"/>
    <x v="1"/>
    <x v="1"/>
    <x v="1"/>
    <x v="16"/>
    <s v="Periodo 2019-2021"/>
    <s v="Número de Casos"/>
    <s v="Fiscalía Nacional"/>
    <s v="Evolución trimestral de Casos de Violencia Intrafamiliar presentados frente a la Fiscalía Nacional en la Región de Tarapacá"/>
    <s v="La región de Taracapá, en el tercer trimestre del año 2020, registró la mayor cantidad de casos de Violencia Intrafamiliar (VIF) presentados ante la fiscalía nacional, con 1.682 casos: 1.310 víctimas eran mujeres y 372 víctimas eran  hombres."/>
    <s v="Gráfico de Evolución"/>
    <s v="Región de Tarapacá,violencia,intrafamiliar,VIF,casos,fiscalía,mujeres,hombres,año,regional,Agencia Información,Mujeres,Violencia Intrafamiliar,Violencia Contra la Mujer"/>
    <s v="https://analytics.zoho.com/open-view/2395394000007782059?ZOHO_CRITERIA=%22Trasposicion_27.4%22.%22Cod_Regi%C3%B3n%22%3D1"/>
    <x v="1"/>
    <s v="#1774B9"/>
  </r>
  <r>
    <s v="0181"/>
    <n v="990"/>
    <s v="Agencia Información"/>
    <s v="Mujeres"/>
    <n v="2"/>
    <x v="15"/>
    <x v="2"/>
    <x v="1"/>
    <x v="2"/>
    <x v="1"/>
    <x v="16"/>
    <s v="Periodo 2019-2021"/>
    <s v="Número de Casos"/>
    <s v="Fiscalía Nacional"/>
    <s v="Evolución trimestral de Casos de Violencia Intrafamiliar presentados frente a la Fiscalía Nacional en la Región de Antofagasta"/>
    <s v="La región de Antofagasta, en el cuarto trimestre del año 2020, registró la mayor cantidad de casos de Violencia Intrafamiliar (VIF) presentados ante la fiscalía nacional, con 2.637 casos: 1.956 víctimas eran mujeres y  681 víctimas eran  hombres."/>
    <s v="Gráfico de Evolución"/>
    <s v="Región de Antofagasta,violencia,intrafamiliar,VIF,casos,fiscalía,mujeres,hombres,año,regional,Agencia Información,Mujeres,Violencia Intrafamiliar,Violencia Contra la Mujer"/>
    <s v="https://analytics.zoho.com/open-view/2395394000007782059?ZOHO_CRITERIA=%22Trasposicion_27.4%22.%22Cod_Regi%C3%B3n%22%3D2"/>
    <x v="2"/>
    <s v="#1774B9"/>
  </r>
  <r>
    <s v="0182"/>
    <n v="990"/>
    <s v="Agencia Información"/>
    <s v="Mujeres"/>
    <n v="3"/>
    <x v="15"/>
    <x v="2"/>
    <x v="1"/>
    <x v="3"/>
    <x v="1"/>
    <x v="16"/>
    <s v="Periodo 2019-2021"/>
    <s v="Número de Casos"/>
    <s v="Fiscalía Nacional"/>
    <s v="Evolución trimestral de Casos de Violencia Intrafamiliar presentados frente a la Fiscalía Nacional en la Región de Atacama"/>
    <s v="La región de Atacama, en el tercer trimestre del año 2020, registró la mayor cantidad de casos de Violencia Intrafamiliar (VIF) presentados ante la fiscalía nacional, con 1.456 casos:  1.123 víctimas eran mujeres y en 333 víctimas eran  hombres."/>
    <s v="Gráfico de Evolución"/>
    <s v="Región de Atacama,violencia,intrafamiliar,VIF,casos,fiscalía,mujeres,hombres,año,regional,Agencia Información,Mujeres,Violencia Intrafamiliar,Violencia Contra la Mujer"/>
    <s v="https://analytics.zoho.com/open-view/2395394000007782059?ZOHO_CRITERIA=%22Trasposicion_27.4%22.%22Cod_Regi%C3%B3n%22%3D3"/>
    <x v="3"/>
    <s v="#1774B9"/>
  </r>
  <r>
    <s v="0183"/>
    <n v="990"/>
    <s v="Agencia Información"/>
    <s v="Mujeres"/>
    <n v="4"/>
    <x v="15"/>
    <x v="2"/>
    <x v="1"/>
    <x v="4"/>
    <x v="1"/>
    <x v="16"/>
    <s v="Periodo 2019-2021"/>
    <s v="Número de Casos"/>
    <s v="Fiscalía Nacional"/>
    <s v="Evolución trimestral de Casos de Violencia Intrafamiliar presentados frente a la Fiscalía Nacional en la Región de Coquimbo"/>
    <s v="La región de Coquimbo, en el cuarto trimestre del año 2020, registró la mayor cantidad de casos de Violencia Intrafamiliar (VIF) presentados ante la fiscalía nacional, con 2.868 casos: 2.182 víctimas eran mujeres y 686 víctimas eran  hombres."/>
    <s v="Gráfico de Evolución"/>
    <s v="Región de Coquimbo,violencia,intrafamiliar,VIF,casos,fiscalía,mujeres,hombres,año,regional,Agencia Información,Mujeres,Violencia Intrafamiliar,Violencia Contra la Mujer"/>
    <s v="https://analytics.zoho.com/open-view/2395394000007782059?ZOHO_CRITERIA=%22Trasposicion_27.4%22.%22Cod_Regi%C3%B3n%22%3D4"/>
    <x v="4"/>
    <s v="#1774B9"/>
  </r>
  <r>
    <s v="0184"/>
    <n v="990"/>
    <s v="Agencia Información"/>
    <s v="Mujeres"/>
    <n v="5"/>
    <x v="15"/>
    <x v="2"/>
    <x v="1"/>
    <x v="5"/>
    <x v="1"/>
    <x v="16"/>
    <s v="Periodo 2019-2021"/>
    <s v="Número de Casos"/>
    <s v="Fiscalía Nacional"/>
    <s v="Evolución trimestral de Casos de Violencia Intrafamiliar presentados frente a la Fiscalía Nacional en la Región de Valparaíso"/>
    <s v="La región de Valparaíso, en el tercer trimestre del año 2019, registró la mayor cantidad de casos de Violencia Intrafamiliar (VIF) presentados ante la fiscalía nacional, con 7.268 casos: 5.562 víctimas eran mujeres y 1.706 víctimas eran  hombres."/>
    <s v="Gráfico de Evolución"/>
    <s v="Región de Valparaíso,violencia,intrafamiliar,VIF,casos,fiscalía,mujeres,hombres,año,regional,Agencia Información,Mujeres,Violencia Intrafamiliar,Violencia Contra la Mujer"/>
    <s v="https://analytics.zoho.com/open-view/2395394000007782059?ZOHO_CRITERIA=%22Trasposicion_27.4%22.%22Cod_Regi%C3%B3n%22%3D5"/>
    <x v="5"/>
    <s v="#1774B9"/>
  </r>
  <r>
    <s v="0185"/>
    <n v="990"/>
    <s v="Agencia Información"/>
    <s v="Mujeres"/>
    <n v="6"/>
    <x v="15"/>
    <x v="2"/>
    <x v="1"/>
    <x v="6"/>
    <x v="1"/>
    <x v="16"/>
    <s v="Periodo 2019-2021"/>
    <s v="Número de Casos"/>
    <s v="Fiscalía Nacional"/>
    <s v="Evolución trimestral de Casos de Violencia Intrafamiliar presentados frente a la Fiscalía Nacional en la Región de O'Higgins"/>
    <s v="La región de O'Higgins, en el tercer trimestre del año 2019, registró la mayor cantidad de casos de Violencia Intrafamiliar (VIF) presentados ante la fiscalía nacional, con 4.850 casos: 3.628 víctimas eran mujeres y 1.222 víctimas eran  hombres."/>
    <s v="Gráfico de Evolución"/>
    <s v="Región de O'Higgins,violencia,intrafamiliar,VIF,casos,fiscalía,mujeres,hombres,año,regional,Agencia Información,Mujeres,Violencia Intrafamiliar,Violencia Contra la Mujer"/>
    <s v="https://analytics.zoho.com/open-view/2395394000007782059?ZOHO_CRITERIA=%22Trasposicion_27.4%22.%22Cod_Regi%C3%B3n%22%3D6"/>
    <x v="6"/>
    <s v="#1774B9"/>
  </r>
  <r>
    <s v="0186"/>
    <n v="990"/>
    <s v="Agencia Información"/>
    <s v="Mujeres"/>
    <n v="7"/>
    <x v="15"/>
    <x v="2"/>
    <x v="1"/>
    <x v="7"/>
    <x v="1"/>
    <x v="16"/>
    <s v="Periodo 2019-2021"/>
    <s v="Número de Casos"/>
    <s v="Fiscalía Nacional"/>
    <s v="Evolución trimestral de Casos de Violencia Intrafamiliar presentados frente a la Fiscalía Nacional en la Región de Maule"/>
    <s v="La región del Maule, en el tercer trimestre del año 2020, registró la mayor cantidad de casos de Violencia Intrafamiliar (VIF) presentados ante la fiscalía nacional, con 4.269 casos: 3.334 víctimas eran mujeres y 935 víctimas eran  hombres."/>
    <s v="Gráfico de Evolución"/>
    <s v="Región de Maule,violencia,intrafamiliar,VIF,casos,fiscalía,mujeres,hombres,año,regional,Agencia Información,Mujeres,Violencia Intrafamiliar,Violencia Contra la Mujer"/>
    <s v="https://analytics.zoho.com/open-view/2395394000007782059?ZOHO_CRITERIA=%22Trasposicion_27.4%22.%22Cod_Regi%C3%B3n%22%3D7"/>
    <x v="7"/>
    <s v="#1774B9"/>
  </r>
  <r>
    <s v="0187"/>
    <n v="990"/>
    <s v="Agencia Información"/>
    <s v="Mujeres"/>
    <n v="8"/>
    <x v="15"/>
    <x v="2"/>
    <x v="1"/>
    <x v="8"/>
    <x v="1"/>
    <x v="16"/>
    <s v="Periodo 2019-2021"/>
    <s v="Número de Casos"/>
    <s v="Fiscalía Nacional"/>
    <s v="Evolución trimestral de Casos de Violencia Intrafamiliar presentados frente a la Fiscalía Nacional en la Región del Biobío"/>
    <s v="La región del Biobío, en el cuarto trimestre del año 2019, registró la mayor cantidad de casos de Violencia Intrafamiliar (VIF) presentados ante la fiscalía nacional, con 4.963 casos: 3.857 víctimas eran mujeres y 1.106 víctimas eran  hombres."/>
    <s v="Gráfico de Evolución"/>
    <s v="Región del Biobío,violencia,intrafamiliar,VIF,casos,fiscalía,mujeres,hombres,año,regional,Agencia Información,Mujeres,Violencia Intrafamiliar,Violencia Contra la Mujer"/>
    <s v="https://analytics.zoho.com/open-view/2395394000007782059?ZOHO_CRITERIA=%22Trasposicion_27.4%22.%22Cod_Regi%C3%B3n%22%3D8"/>
    <x v="8"/>
    <s v="#1774B9"/>
  </r>
  <r>
    <s v="0188"/>
    <n v="990"/>
    <s v="Agencia Información"/>
    <s v="Mujeres"/>
    <n v="9"/>
    <x v="15"/>
    <x v="2"/>
    <x v="1"/>
    <x v="9"/>
    <x v="1"/>
    <x v="16"/>
    <s v="Periodo 2019-2021"/>
    <s v="Número de Casos"/>
    <s v="Fiscalía Nacional"/>
    <s v="Evolución trimestral de Casos de Violencia Intrafamiliar presentados frente a la Fiscalía Nacional en la Región de La Araucanía"/>
    <s v="La región de La Araucanía en el tercer trimestre del año 2020, registró la mayor cantidad de casos de Violencia Intrafamiliar (VIF) presentados ante la fiscalía nacional, con 3.889 casos: 2.902 víctimas eran mujeres y 987 víctimas eran  hombres."/>
    <s v="Gráfico de Evolución"/>
    <s v="Región de La Araucanía,violencia,intrafamiliar,VIF,casos,fiscalía,mujeres,hombres,año,regional,Agencia Información,Mujeres,Violencia Intrafamiliar,Violencia Contra la Mujer"/>
    <s v="https://analytics.zoho.com/open-view/2395394000007782059?ZOHO_CRITERIA=%22Trasposicion_27.4%22.%22Cod_Regi%C3%B3n%22%3D9"/>
    <x v="9"/>
    <s v="#1774B9"/>
  </r>
  <r>
    <s v="0189"/>
    <n v="990"/>
    <s v="Agencia Información"/>
    <s v="Mujeres"/>
    <n v="10"/>
    <x v="15"/>
    <x v="2"/>
    <x v="1"/>
    <x v="10"/>
    <x v="1"/>
    <x v="16"/>
    <s v="Periodo 2019-2021"/>
    <s v="Número de Casos"/>
    <s v="Fiscalía Nacional"/>
    <s v="Evolución trimestral de Casos de Violencia Intrafamiliar presentados frente a la Fiscalía Nacional en la Región de Los Lagos"/>
    <s v="La región de Los Lagos, en el tercer trimestre del año 2020, registró la mayor cantidad de casos de Violencia Intrafamiliar (VIF) presentados ante la fiscalía nacional, con 3.870 casos: 3.020 víctimas eran mujeres y 850 víctimas eran  hombres."/>
    <s v="Gráfico de Evolución"/>
    <s v="Región de Los Lagos,violencia,intrafamiliar,VIF,casos,fiscalía,mujeres,hombres,año,regional,Agencia Información,Mujeres,Violencia Intrafamiliar,Violencia Contra la Mujer"/>
    <s v="https://analytics.zoho.com/open-view/2395394000007782059?ZOHO_CRITERIA=%22Trasposicion_27.4%22.%22Cod_Regi%C3%B3n%22%3D10"/>
    <x v="10"/>
    <s v="#1774B9"/>
  </r>
  <r>
    <s v="0190"/>
    <n v="990"/>
    <s v="Agencia Información"/>
    <s v="Mujeres"/>
    <n v="11"/>
    <x v="15"/>
    <x v="2"/>
    <x v="1"/>
    <x v="11"/>
    <x v="1"/>
    <x v="16"/>
    <s v="Periodo 2019-2021"/>
    <s v="Número de Casos"/>
    <s v="Fiscalía Nacional"/>
    <s v="Evolución trimestral de Casos de Violencia Intrafamiliar presentados frente a la Fiscalía Nacional en la Región de Aysén"/>
    <s v="La región de Aysén, en el cuarto trimestre del año 2019, registró la mayor cantidad de casos de Violencia Intrafamiliar (VIF) presentados ante la fiscalía nacional, con 508 casos: 395 víctimas eran mujeres y 113 víctimas eran  hombres."/>
    <s v="Gráfico de Evolución"/>
    <s v="Región de Aysén,violencia,intrafamiliar,VIF,casos,fiscalía,mujeres,hombres,año,regional,Agencia Información,Mujeres,Violencia Intrafamiliar,Violencia Contra la Mujer"/>
    <s v="https://analytics.zoho.com/open-view/2395394000007782059?ZOHO_CRITERIA=%22Trasposicion_27.4%22.%22Cod_Regi%C3%B3n%22%3D11"/>
    <x v="11"/>
    <s v="#1774B9"/>
  </r>
  <r>
    <s v="0191"/>
    <n v="990"/>
    <s v="Agencia Información"/>
    <s v="Mujeres"/>
    <n v="12"/>
    <x v="15"/>
    <x v="2"/>
    <x v="1"/>
    <x v="12"/>
    <x v="1"/>
    <x v="16"/>
    <s v="Periodo 2019-2021"/>
    <s v="Número de Casos"/>
    <s v="Fiscalía Nacional"/>
    <s v="Evolución trimestral de Casos de Violencia Intrafamiliar presentados frente a la Fiscalía Nacional en la Región de Magallanes"/>
    <s v="La región de Magallanes, en el tercer trimestre del año 2020, registró la mayor cantidad de casos de Violencia Intrafamiliar (VIF) presentados ante la fiscalía nacional, con 605 casos: 486 víctimas eran mujeres y 119 víctimas eran  hombres."/>
    <s v="Gráfico de Evolución"/>
    <s v="Región de Magallanes,violencia,intrafamiliar,VIF,casos,fiscalía,mujeres,hombres,año,regional,Agencia Información,Mujeres,Violencia Intrafamiliar,Violencia Contra la Mujer"/>
    <s v="https://analytics.zoho.com/open-view/2395394000007782059?ZOHO_CRITERIA=%22Trasposicion_27.4%22.%22Cod_Regi%C3%B3n%22%3D12"/>
    <x v="12"/>
    <s v="#1774B9"/>
  </r>
  <r>
    <s v="0192"/>
    <n v="990"/>
    <s v="Agencia Información"/>
    <s v="Mujeres"/>
    <n v="13"/>
    <x v="15"/>
    <x v="2"/>
    <x v="1"/>
    <x v="13"/>
    <x v="1"/>
    <x v="16"/>
    <s v="Periodo 2019-2021"/>
    <s v="Número de Casos"/>
    <s v="Fiscalía Nacional"/>
    <s v="Evolución trimestral de Casos de Violencia Intrafamiliar presentados frente a la Fiscalía Nacional en la Región Metropolitana"/>
    <s v="La región Metropolitana, en el tercer trimestre del año 2019, registró la mayor cantidad de casos de Violencia Intrafamiliar (VIF) presentados ante la fiscalía nacional, con 30.487 casos: 22.883 víctimas eran mujeres y 7.604 víctimas eran  hombres."/>
    <s v="Gráfico de Evolución"/>
    <s v="Región Metropolitana,violencia,intrafamiliar,VIF,casos,fiscalía,mujeres,hombres,año,regional,Agencia Información,Mujeres,Violencia Intrafamiliar,Violencia Contra la Mujer"/>
    <s v="https://analytics.zoho.com/open-view/2395394000007782059?ZOHO_CRITERIA=%22Trasposicion_27.4%22.%22Cod_Regi%C3%B3n%22%3D13"/>
    <x v="13"/>
    <s v="#1774B9"/>
  </r>
  <r>
    <s v="0193"/>
    <n v="990"/>
    <s v="Agencia Información"/>
    <s v="Mujeres"/>
    <n v="14"/>
    <x v="15"/>
    <x v="2"/>
    <x v="1"/>
    <x v="14"/>
    <x v="1"/>
    <x v="16"/>
    <s v="Periodo 2019-2021"/>
    <s v="Número de Casos"/>
    <s v="Fiscalía Nacional"/>
    <s v="Evolución trimestral de Casos de Violencia Intrafamiliar presentados frente a la Fiscalía Nacional en la Región de Los Ríos"/>
    <s v="La región de Los Ríos, en el cuarto trimestre del año 2020, registró la mayor cantidad de casos de Violencia Intrafamiliar (VIF) presentados ante la fiscalía nacional, con 1.614 casos: 1.208 víctimas eran mujeres y 406 víctimas eran  hombres."/>
    <s v="Gráfico de Evolución"/>
    <s v="Región de Los Ríos,violencia,intrafamiliar,VIF,casos,fiscalía,mujeres,hombres,año,regional,Agencia Información,Mujeres,Violencia Intrafamiliar,Violencia Contra la Mujer"/>
    <s v="https://analytics.zoho.com/open-view/2395394000007782059?ZOHO_CRITERIA=%22Trasposicion_27.4%22.%22Cod_Regi%C3%B3n%22%3D14"/>
    <x v="14"/>
    <s v="#1774B9"/>
  </r>
  <r>
    <s v="0194"/>
    <n v="990"/>
    <s v="Agencia Información"/>
    <s v="Mujeres"/>
    <n v="15"/>
    <x v="15"/>
    <x v="2"/>
    <x v="1"/>
    <x v="15"/>
    <x v="1"/>
    <x v="16"/>
    <s v="Periodo 2019-2021"/>
    <s v="Número de Casos"/>
    <s v="Fiscalía Nacional"/>
    <s v="Evolución trimestral de Casos de Violencia Intrafamiliar presentados frente a la Fiscalía Nacional en la Región de Arica y Parinacota"/>
    <s v="La región de Arica y Parinacota, en el cuarto trimestre del año 2020, registró la mayor cantidad de casos de Violencia Intrafamiliar (VIF) presentados ante la fiscalía nacional, con 1.208 casos: 913 víctimas eran mujeres y 295 víctimas eran  hombres."/>
    <s v="Gráfico de Evolución"/>
    <s v="Región de Arica y Parinacota,violencia,intrafamiliar,VIF,casos,fiscalía,mujeres,hombres,año,regional,Agencia Información,Mujeres,Violencia Intrafamiliar,Violencia Contra la Mujer"/>
    <s v="https://analytics.zoho.com/open-view/2395394000007782059?ZOHO_CRITERIA=%22Trasposicion_27.4%22.%22Cod_Regi%C3%B3n%22%3D15"/>
    <x v="15"/>
    <s v="#1774B9"/>
  </r>
  <r>
    <s v="0195"/>
    <n v="990"/>
    <s v="Agencia Información"/>
    <s v="Mujeres"/>
    <n v="16"/>
    <x v="15"/>
    <x v="2"/>
    <x v="1"/>
    <x v="16"/>
    <x v="1"/>
    <x v="16"/>
    <s v="Periodo 2019-2021"/>
    <s v="Número de Casos"/>
    <s v="Fiscalía Nacional"/>
    <s v="Evolución trimestral de Casos de Violencia Intrafamiliar presentados frente a la Fiscalía Nacional en la Región de Ñuble"/>
    <s v="La región del Ñuble, en el tercer trimestre del año 2020, registró la mayor cantidad de casos de Violencia Intrafamiliar (VIF) presentados ante la fiscalía nacional, con 1.691 casos: 1.305 víctimas eran mujeres y 386 víctimas eran  hombres."/>
    <s v="Gráfico de Evolución"/>
    <s v="Región de Ñuble,violencia,intrafamiliar,VIF,casos,fiscalía,mujeres,hombres,año,regional,Agencia Información,Mujeres,Violencia Intrafamiliar,Violencia Contra la Mujer"/>
    <s v="https://analytics.zoho.com/open-view/2395394000007782059?ZOHO_CRITERIA=%22Trasposicion_27.4%22.%22Cod_Regi%C3%B3n%22%3D16"/>
    <x v="16"/>
    <s v="#1774B9"/>
  </r>
  <r>
    <s v="0196"/>
    <n v="990"/>
    <s v="Agencia Información"/>
    <s v="Mujeres"/>
    <n v="0"/>
    <x v="15"/>
    <x v="2"/>
    <x v="0"/>
    <x v="0"/>
    <x v="0"/>
    <x v="17"/>
    <s v="Periodo 2020-2021"/>
    <s v="Número de Denuncias"/>
    <s v="Centro de Estudios y Análisis del Delito (CEAD) de la Subsecretaría de Prevención del Delito"/>
    <s v="Cantidad de Denuncias por Violencia Intrafamiliar hacia la mujer, acumuladas en el Periodo 2020-2021"/>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comunal,VIF,violencia,intrafamiliar,denuncias,CEAD,mujer,Agencia Información,Mujeres,Violencia Intrafamiliar,Violencia Contra la Mujer"/>
    <s v="https://analytics.zoho.com/open-view/2395394000008206985"/>
    <x v="17"/>
    <s v="#1774B9"/>
  </r>
  <r>
    <s v="0197"/>
    <n v="990"/>
    <s v="Agencia Información"/>
    <s v="Mujeres"/>
    <n v="1"/>
    <x v="15"/>
    <x v="2"/>
    <x v="1"/>
    <x v="1"/>
    <x v="1"/>
    <x v="17"/>
    <s v="Periodo 2020-2021"/>
    <s v="Número de Denuncias"/>
    <s v="Centro de Estudios y Análisis del Delito (CEAD) de la Subsecretaría de Prevención del Delito"/>
    <s v="Cantidad de Denuncias por Violencia Intrafamiliar hacia la mujer, en la Región de Tarapacá, acumuladas en el Periodo 2020-2021"/>
    <s v="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
    <s v="Mapa de calor"/>
    <s v="Región de Tarapacá,comunal,VIF,violencia,intrafamiliar,denuncias,CEAD,mujer,Agencia Información,Mujeres,Violencia Intrafamiliar,Violencia Contra la Mujer"/>
    <s v="https://analytics.zoho.com/open-view/2395394000007782100?ZOHO_CRITERIA=%22Localiza%20CL%22.%22Codreg%22%3D1"/>
    <x v="18"/>
    <s v="#1774B9"/>
  </r>
  <r>
    <s v="0198"/>
    <n v="990"/>
    <s v="Agencia Información"/>
    <s v="Mujeres"/>
    <n v="2"/>
    <x v="15"/>
    <x v="2"/>
    <x v="1"/>
    <x v="2"/>
    <x v="1"/>
    <x v="17"/>
    <s v="Periodo 2020-2021"/>
    <s v="Número de Denuncias"/>
    <s v="Centro de Estudios y Análisis del Delito (CEAD) de la Subsecretaría de Prevención del Delito"/>
    <s v="Sentencias Dictadas por delitos de Abuso Sexual en la Región de Antofagasta para el Periodo 2020-2021"/>
    <s v="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
    <s v="Mapa de calor"/>
    <s v="Región de Antofagasta,comunal,VIF,violencia,intrafamiliar,denuncias,CEAD,mujer,Agencia Información,Mujeres,Violencia Intrafamiliar,Violencia Contra la Mujer"/>
    <s v="https://analytics.zoho.com/open-view/2395394000007782100?ZOHO_CRITERIA=%22Localiza%20CL%22.%22Codreg%22%3D2"/>
    <x v="19"/>
    <s v="#1774B9"/>
  </r>
  <r>
    <s v="0199"/>
    <n v="990"/>
    <s v="Agencia Información"/>
    <s v="Mujeres"/>
    <n v="3"/>
    <x v="15"/>
    <x v="2"/>
    <x v="1"/>
    <x v="3"/>
    <x v="1"/>
    <x v="17"/>
    <s v="Periodo 2020-2021"/>
    <s v="Número de Denuncias"/>
    <s v="Centro de Estudios y Análisis del Delito (CEAD) de la Subsecretaría de Prevención del Delito"/>
    <s v="Sentencias Dictadas por delitos de Abuso Sexual en la Región de Atacama para el Periodo 2020-2021"/>
    <s v="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
    <s v="Mapa de calor"/>
    <s v="Región de Atacama,comunal,VIF,violencia,intrafamiliar,denuncias,CEAD,mujer,Agencia Información,Mujeres,Violencia Intrafamiliar,Violencia Contra la Mujer"/>
    <s v="https://analytics.zoho.com/open-view/2395394000007782100?ZOHO_CRITERIA=%22Localiza%20CL%22.%22Codreg%22%3D3"/>
    <x v="20"/>
    <s v="#1774B9"/>
  </r>
  <r>
    <s v="0200"/>
    <n v="990"/>
    <s v="Agencia Información"/>
    <s v="Mujeres"/>
    <n v="4"/>
    <x v="15"/>
    <x v="2"/>
    <x v="1"/>
    <x v="4"/>
    <x v="1"/>
    <x v="17"/>
    <s v="Periodo 2020-2021"/>
    <s v="Número de Denuncias"/>
    <s v="Centro de Estudios y Análisis del Delito (CEAD) de la Subsecretaría de Prevención del Delito"/>
    <s v="Sentencias Dictadas por delitos de Abuso Sexual en la Región de Coquimbo para el Periodo 2020-2021"/>
    <s v="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
    <s v="Mapa de calor"/>
    <s v="Región de Coquimbo,comunal,VIF,violencia,intrafamiliar,denuncias,CEAD,mujer,Agencia Información,Mujeres,Violencia Intrafamiliar,Violencia Contra la Mujer"/>
    <s v="https://analytics.zoho.com/open-view/2395394000007782100?ZOHO_CRITERIA=%22Localiza%20CL%22.%22Codreg%22%3D4"/>
    <x v="21"/>
    <s v="#1774B9"/>
  </r>
  <r>
    <s v="0201"/>
    <n v="990"/>
    <s v="Agencia Información"/>
    <s v="Mujeres"/>
    <n v="5"/>
    <x v="15"/>
    <x v="2"/>
    <x v="1"/>
    <x v="5"/>
    <x v="1"/>
    <x v="17"/>
    <s v="Periodo 2020-2021"/>
    <s v="Número de Denuncias"/>
    <s v="Centro de Estudios y Análisis del Delito (CEAD) de la Subsecretaría de Prevención del Delito"/>
    <s v="Sentencias Dictadas por delitos de Abuso Sexual en la Región de Valparaíso para el Periodo 2020-2021"/>
    <s v="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
    <s v="Mapa de calor"/>
    <s v="Región de Valparaíso,comunal,VIF,violencia,intrafamiliar,denuncias,CEAD,mujer,Agencia Información,Mujeres,Violencia Intrafamiliar,Violencia Contra la Mujer"/>
    <s v="https://analytics.zoho.com/open-view/2395394000007782100?ZOHO_CRITERIA=%22Localiza%20CL%22.%22Codreg%22%3D5"/>
    <x v="22"/>
    <s v="#1774B9"/>
  </r>
  <r>
    <s v="0202"/>
    <n v="990"/>
    <s v="Agencia Información"/>
    <s v="Mujeres"/>
    <n v="6"/>
    <x v="15"/>
    <x v="2"/>
    <x v="1"/>
    <x v="6"/>
    <x v="1"/>
    <x v="17"/>
    <s v="Periodo 2020-2021"/>
    <s v="Número de Denuncias"/>
    <s v="Centro de Estudios y Análisis del Delito (CEAD) de la Subsecretaría de Prevención del Delito"/>
    <s v="Sentencias Dictadas por delitos de Abuso Sexual en la Región de O'Higgins para el Periodo 2020-2021"/>
    <s v="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
    <s v="Mapa de calor"/>
    <s v="Región de O'Higgins,comunal,VIF,violencia,intrafamiliar,denuncias,CEAD,mujer,Agencia Información,Mujeres,Violencia Intrafamiliar,Violencia Contra la Mujer"/>
    <s v="https://analytics.zoho.com/open-view/2395394000007782100?ZOHO_CRITERIA=%22Localiza%20CL%22.%22Codreg%22%3D6"/>
    <x v="23"/>
    <s v="#1774B9"/>
  </r>
  <r>
    <s v="0203"/>
    <n v="990"/>
    <s v="Agencia Información"/>
    <s v="Mujeres"/>
    <n v="7"/>
    <x v="15"/>
    <x v="2"/>
    <x v="1"/>
    <x v="7"/>
    <x v="1"/>
    <x v="17"/>
    <s v="Periodo 2020-2021"/>
    <s v="Número de Denuncias"/>
    <s v="Centro de Estudios y Análisis del Delito (CEAD) de la Subsecretaría de Prevención del Delito"/>
    <s v="Sentencias Dictadas por delitos de Abuso Sexual en la Región de Maule para el Periodo 2020-2021"/>
    <s v="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
    <s v="Mapa de calor"/>
    <s v="Región de Maule,comunal,VIF,violencia,intrafamiliar,denuncias,CEAD,mujer,Agencia Información,Mujeres,Violencia Intrafamiliar,Violencia Contra la Mujer"/>
    <s v="https://analytics.zoho.com/open-view/2395394000007782100?ZOHO_CRITERIA=%22Localiza%20CL%22.%22Codreg%22%3D7"/>
    <x v="24"/>
    <s v="#1774B9"/>
  </r>
  <r>
    <s v="0204"/>
    <n v="990"/>
    <s v="Agencia Información"/>
    <s v="Mujeres"/>
    <n v="8"/>
    <x v="15"/>
    <x v="2"/>
    <x v="1"/>
    <x v="8"/>
    <x v="1"/>
    <x v="17"/>
    <s v="Periodo 2020-2021"/>
    <s v="Número de Denuncias"/>
    <s v="Centro de Estudios y Análisis del Delito (CEAD) de la Subsecretaría de Prevención del Delito"/>
    <s v="Sentencias Dictadas por delitos de Abuso Sexual en la Región del Biobío para el Periodo 2020-2021"/>
    <s v="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
    <s v="Mapa de calor"/>
    <s v="Región del Biobío,comunal,VIF,violencia,intrafamiliar,denuncias,CEAD,mujer,Agencia Información,Mujeres,Violencia Intrafamiliar,Violencia Contra la Mujer"/>
    <s v="https://analytics.zoho.com/open-view/2395394000007782100?ZOHO_CRITERIA=%22Localiza%20CL%22.%22Codreg%22%3D8"/>
    <x v="25"/>
    <s v="#1774B9"/>
  </r>
  <r>
    <s v="0205"/>
    <n v="990"/>
    <s v="Agencia Información"/>
    <s v="Mujeres"/>
    <n v="9"/>
    <x v="15"/>
    <x v="2"/>
    <x v="1"/>
    <x v="9"/>
    <x v="1"/>
    <x v="17"/>
    <s v="Periodo 2020-2021"/>
    <s v="Número de Denuncias"/>
    <s v="Centro de Estudios y Análisis del Delito (CEAD) de la Subsecretaría de Prevención del Delito"/>
    <s v="Sentencias Dictadas por delitos de Abuso Sexual en la Región de La Araucanía para el Periodo 2020-2021"/>
    <s v="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
    <s v="Mapa de calor"/>
    <s v="Región de La Araucanía,comunal,VIF,violencia,intrafamiliar,denuncias,CEAD,mujer,Agencia Información,Mujeres,Violencia Intrafamiliar,Violencia Contra la Mujer"/>
    <s v="https://analytics.zoho.com/open-view/2395394000007782100?ZOHO_CRITERIA=%22Localiza%20CL%22.%22Codreg%22%3D9"/>
    <x v="26"/>
    <s v="#1774B9"/>
  </r>
  <r>
    <s v="0206"/>
    <n v="990"/>
    <s v="Agencia Información"/>
    <s v="Mujeres"/>
    <n v="10"/>
    <x v="15"/>
    <x v="2"/>
    <x v="1"/>
    <x v="10"/>
    <x v="1"/>
    <x v="17"/>
    <s v="Periodo 2020-2021"/>
    <s v="Número de Denuncias"/>
    <s v="Centro de Estudios y Análisis del Delito (CEAD) de la Subsecretaría de Prevención del Delito"/>
    <s v="Sentencias Dictadas por delitos de Abuso Sexual en la Región de Los Lagos para el Periodo 2020-2021"/>
    <s v="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
    <s v="Mapa de calor"/>
    <s v="Región de Los Lagos,comunal,VIF,violencia,intrafamiliar,denuncias,CEAD,mujer,Agencia Información,Mujeres,Violencia Intrafamiliar,Violencia Contra la Mujer"/>
    <s v="https://analytics.zoho.com/open-view/2395394000007782100?ZOHO_CRITERIA=%22Localiza%20CL%22.%22Codreg%22%3D10"/>
    <x v="27"/>
    <s v="#1774B9"/>
  </r>
  <r>
    <s v="0207"/>
    <n v="990"/>
    <s v="Agencia Información"/>
    <s v="Mujeres"/>
    <n v="11"/>
    <x v="15"/>
    <x v="2"/>
    <x v="1"/>
    <x v="11"/>
    <x v="1"/>
    <x v="17"/>
    <s v="Periodo 2020-2021"/>
    <s v="Número de Denuncias"/>
    <s v="Centro de Estudios y Análisis del Delito (CEAD) de la Subsecretaría de Prevención del Delito"/>
    <s v="Sentencias Dictadas por delitos de Abuso Sexual en la Región de Aysén para el Periodo 2020-2021"/>
    <s v="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
    <s v="Mapa de calor"/>
    <s v="Región de Aysén,comunal,VIF,violencia,intrafamiliar,denuncias,CEAD,mujer,Agencia Información,Mujeres,Violencia Intrafamiliar,Violencia Contra la Mujer"/>
    <s v="https://analytics.zoho.com/open-view/2395394000007782100?ZOHO_CRITERIA=%22Localiza%20CL%22.%22Codreg%22%3D11"/>
    <x v="33"/>
    <s v="#1774B9"/>
  </r>
  <r>
    <s v="0208"/>
    <n v="990"/>
    <s v="Agencia Información"/>
    <s v="Mujeres"/>
    <n v="12"/>
    <x v="15"/>
    <x v="2"/>
    <x v="1"/>
    <x v="12"/>
    <x v="1"/>
    <x v="17"/>
    <s v="Periodo 2020-2021"/>
    <s v="Número de Denuncias"/>
    <s v="Centro de Estudios y Análisis del Delito (CEAD) de la Subsecretaría de Prevención del Delito"/>
    <s v="Sentencias Dictadas por delitos de Abuso Sexual en la Región de Magallanes para el Periodo 2020-2021"/>
    <s v="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
    <s v="Mapa de calor"/>
    <s v="Región de Magallanes,comunal,VIF,violencia,intrafamiliar,denuncias,CEAD,mujer,Agencia Información,Mujeres,Violencia Intrafamiliar,Violencia Contra la Mujer"/>
    <s v="https://analytics.zoho.com/open-view/2395394000007782100?ZOHO_CRITERIA=%22Localiza%20CL%22.%22Codreg%22%3D12"/>
    <x v="28"/>
    <s v="#1774B9"/>
  </r>
  <r>
    <s v="0209"/>
    <n v="990"/>
    <s v="Agencia Información"/>
    <s v="Mujeres"/>
    <n v="13"/>
    <x v="15"/>
    <x v="2"/>
    <x v="1"/>
    <x v="13"/>
    <x v="1"/>
    <x v="17"/>
    <s v="Periodo 2020-2021"/>
    <s v="Número de Denuncias"/>
    <s v="Centro de Estudios y Análisis del Delito (CEAD) de la Subsecretaría de Prevención del Delito"/>
    <s v="Sentencias Dictadas por delitos de Abuso Sexual en la Región Metropolitana para el Periodo 2020-2021"/>
    <s v="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
    <s v="Mapa de calor"/>
    <s v="Región Metropolitana,comunal,VIF,violencia,intrafamiliar,denuncias,CEAD,mujer,Agencia Información,Mujeres,Violencia Intrafamiliar,Violencia Contra la Mujer"/>
    <s v="https://analytics.zoho.com/open-view/2395394000007782100?ZOHO_CRITERIA=%22Localiza%20CL%22.%22Codreg%22%3D13"/>
    <x v="29"/>
    <s v="#1774B9"/>
  </r>
  <r>
    <s v="0210"/>
    <n v="990"/>
    <s v="Agencia Información"/>
    <s v="Mujeres"/>
    <n v="14"/>
    <x v="15"/>
    <x v="2"/>
    <x v="1"/>
    <x v="14"/>
    <x v="1"/>
    <x v="17"/>
    <s v="Periodo 2020-2021"/>
    <s v="Número de Denuncias"/>
    <s v="Centro de Estudios y Análisis del Delito (CEAD) de la Subsecretaría de Prevención del Delito"/>
    <s v="Sentencias Dictadas por delitos de Abuso Sexual en la Región de Los Ríos para el Periodo 2020-2021"/>
    <s v="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
    <s v="Mapa de calor"/>
    <s v="Región de Los Ríos,comunal,VIF,violencia,intrafamiliar,denuncias,CEAD,mujer,Agencia Información,Mujeres,Violencia Intrafamiliar,Violencia Contra la Mujer"/>
    <s v="https://analytics.zoho.com/open-view/2395394000007782100?ZOHO_CRITERIA=%22Localiza%20CL%22.%22Codreg%22%3D14"/>
    <x v="30"/>
    <s v="#1774B9"/>
  </r>
  <r>
    <s v="0211"/>
    <n v="990"/>
    <s v="Agencia Información"/>
    <s v="Mujeres"/>
    <n v="15"/>
    <x v="15"/>
    <x v="2"/>
    <x v="1"/>
    <x v="15"/>
    <x v="1"/>
    <x v="17"/>
    <s v="Periodo 2020-2021"/>
    <s v="Número de Denuncias"/>
    <s v="Centro de Estudios y Análisis del Delito (CEAD) de la Subsecretaría de Prevención del Delito"/>
    <s v="Sentencias Dictadas por delitos de Abuso Sexual en la Región de Arica y Parinacota para el Periodo 2020-2021"/>
    <s v="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
    <s v="Mapa de calor"/>
    <s v="Región de Arica y Parinacota,comunal,VIF,violencia,intrafamiliar,denuncias,CEAD,mujer,Agencia Información,Mujeres,Violencia Intrafamiliar,Violencia Contra la Mujer"/>
    <s v="https://analytics.zoho.com/open-view/2395394000007782100?ZOHO_CRITERIA=%22Localiza%20CL%22.%22Codreg%22%3D15"/>
    <x v="31"/>
    <s v="#1774B9"/>
  </r>
  <r>
    <s v="0212"/>
    <n v="990"/>
    <s v="Agencia Información"/>
    <s v="Mujeres"/>
    <n v="16"/>
    <x v="15"/>
    <x v="2"/>
    <x v="1"/>
    <x v="16"/>
    <x v="1"/>
    <x v="17"/>
    <s v="Periodo 2020-2021"/>
    <s v="Número de Denuncias"/>
    <s v="Centro de Estudios y Análisis del Delito (CEAD) de la Subsecretaría de Prevención del Delito"/>
    <s v="Sentencias Dictadas por delitos de Abuso Sexual en la Región de Ñuble para el Periodo 2020-2021"/>
    <s v="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
    <s v="Mapa de calor"/>
    <s v="Región de Ñuble,comunal,VIF,violencia,intrafamiliar,denuncias,CEAD,mujer,Agencia Información,Mujeres,Violencia Intrafamiliar,Violencia Contra la Mujer"/>
    <s v="https://analytics.zoho.com/open-view/2395394000007782100?ZOHO_CRITERIA=%22Localiza%20CL%22.%22Codreg%22%3D16"/>
    <x v="32"/>
    <s v="#1774B9"/>
  </r>
  <r>
    <s v="0213"/>
    <n v="990"/>
    <s v="Agencia Información"/>
    <s v="Agropecuario y Forestal"/>
    <n v="0"/>
    <x v="16"/>
    <x v="5"/>
    <x v="0"/>
    <x v="0"/>
    <x v="1"/>
    <x v="18"/>
    <s v="Periodo 2018-2020"/>
    <s v="Toneladas"/>
    <s v="Oficina de Estudios y Políticas Agrarias (ODEPA)"/>
    <s v="Toneladas de fruta producidas en Chile por tipo de envase utilizado, Periodo 2018-2020"/>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frutas,fruta,producida,producción,envases,envasada,embalaje,material,plástico,vidrio,madera,papel,cartón,metal,Agencia Información,Agropecuario y Forestal,Producción,Agricultura"/>
    <s v="https://analytics.zoho.com/open-view/2395394000007782157"/>
    <x v="34"/>
    <s v="#1774B9"/>
  </r>
  <r>
    <s v="0214"/>
    <n v="990"/>
    <s v="Agencia Información"/>
    <s v="Agropecuario y Forestal"/>
    <n v="0"/>
    <x v="7"/>
    <x v="5"/>
    <x v="0"/>
    <x v="0"/>
    <x v="3"/>
    <x v="19"/>
    <s v="Periodo 2018-2020"/>
    <s v="Toneladas"/>
    <s v="Oficina de Estudios y Políticas Agrarias (ODEPA)"/>
    <s v="Proporción del destino de la fruta producida por Chile, en el Periodo 2018-2020"/>
    <s v="A nivel nacional, durante el periodo 2018-2020, se produjeron 1.074.750 ton de fruta. La mayor cantidad se destinó a Europa, específicamente un 25,9, seguido de Centro y Norte América con un 25,6%. Por su parte, un 23,5% fue destinado al mercado interno."/>
    <s v="Gráfico "/>
    <s v="Chilefruta,frutas,frutícola,producción,volumen,tonelada,europa,américa del norte,américa del sur,centro américa,asia,continente,destino,destino interno,destino externo,Agencia Información,Agropecuario y Forestal,Exportaciones,Agricultura"/>
    <s v="https://analytics.zoho.com/open-view/2395394000008207372"/>
    <x v="17"/>
    <s v="#1774B9"/>
  </r>
  <r>
    <s v="0215"/>
    <n v="990"/>
    <s v="Agencia Información"/>
    <s v="Agropecuario y Forestal"/>
    <n v="1"/>
    <x v="7"/>
    <x v="5"/>
    <x v="1"/>
    <x v="1"/>
    <x v="3"/>
    <x v="19"/>
    <s v="Periodo 2018-2020"/>
    <s v="Toneladas"/>
    <s v="Oficina de Estudios y Políticas Agrarias (ODEPA)"/>
    <s v="Proporción del destino de la fruta producida por la Región de Tarapacá, en el Periodo 2018-2020"/>
    <s v="En la Región de Tarapacá, durante el periodo 2018-2020, se produjeron 1.186 ton de fruta, siendo la totalidad de ella destinada al mercado interno."/>
    <s v="Gráfico "/>
    <s v="Región de Tarapacá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
    <x v="18"/>
    <s v="#1774B9"/>
  </r>
  <r>
    <s v="0216"/>
    <n v="990"/>
    <s v="Agencia Información"/>
    <s v="Agropecuario y Forestal"/>
    <n v="3"/>
    <x v="7"/>
    <x v="5"/>
    <x v="1"/>
    <x v="3"/>
    <x v="3"/>
    <x v="19"/>
    <s v="Periodo 2018-2020"/>
    <s v="Toneladas"/>
    <s v="Oficina de Estudios y Políticas Agrarias (ODEPA)"/>
    <s v="Proporción del destino de la fruta producida por la Región de Atacama, en el Periodo 2018-2020"/>
    <s v="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
    <s v="Gráfico "/>
    <s v="Región de Atacam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3"/>
    <x v="20"/>
    <s v="#1774B9"/>
  </r>
  <r>
    <s v="0217"/>
    <n v="990"/>
    <s v="Agencia Información"/>
    <s v="Agropecuario y Forestal"/>
    <n v="4"/>
    <x v="7"/>
    <x v="5"/>
    <x v="1"/>
    <x v="4"/>
    <x v="3"/>
    <x v="19"/>
    <s v="Periodo 2018-2020"/>
    <s v="Toneladas"/>
    <s v="Oficina de Estudios y Políticas Agrarias (ODEPA)"/>
    <s v="Proporción del destino de la fruta producida por la Región de Coquimbo, en el Periodo 2018-2020"/>
    <s v="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
    <s v="Gráfico "/>
    <s v="Región de Coquimbo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4"/>
    <x v="21"/>
    <s v="#1774B9"/>
  </r>
  <r>
    <s v="0218"/>
    <n v="990"/>
    <s v="Agencia Información"/>
    <s v="Agropecuario y Forestal"/>
    <n v="5"/>
    <x v="7"/>
    <x v="5"/>
    <x v="1"/>
    <x v="5"/>
    <x v="3"/>
    <x v="19"/>
    <s v="Periodo 2018-2020"/>
    <s v="Toneladas"/>
    <s v="Oficina de Estudios y Políticas Agrarias (ODEPA)"/>
    <s v="Proporción del destino de la fruta producida por la Región de Valparaíso, en el Periodo 2018-2020"/>
    <s v="En la Región de Valparaíso, durante el periodo 2018-2020, se produjeron 130.475 ton de fruta. La mayor cantidad se destinó a Asia, específicamente un 30,2%, seguido de Europa con un 28,5%. Por su parte, un 23,5% fue destinado al mercado interno."/>
    <s v="Gráfico "/>
    <s v="Región de Valparaíso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5"/>
    <x v="22"/>
    <s v="#1774B9"/>
  </r>
  <r>
    <s v="0219"/>
    <n v="990"/>
    <s v="Agencia Información"/>
    <s v="Agropecuario y Forestal"/>
    <n v="6"/>
    <x v="7"/>
    <x v="5"/>
    <x v="1"/>
    <x v="6"/>
    <x v="3"/>
    <x v="19"/>
    <s v="Periodo 2018-2020"/>
    <s v="Toneladas"/>
    <s v="Oficina de Estudios y Políticas Agrarias (ODEPA)"/>
    <s v="Proporción del destino de la fruta producida por la Región de O'Higgins, en el Periodo 2018-2020"/>
    <s v="En la Región de O'Higgins, durante el periodo 2018-2020, se produjeron 339.942 ton de fruta. La mayor cantidad se destinó a Centro y Norte América, específicamente un 39,1%, seguido de Sudamérica con un 37%. Por su parte, un 14,1% fue destindo al mercado interno."/>
    <s v="Gráfico "/>
    <s v="Región de O'Higgins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6"/>
    <x v="23"/>
    <s v="#1774B9"/>
  </r>
  <r>
    <s v="0220"/>
    <n v="990"/>
    <s v="Agencia Información"/>
    <s v="Agropecuario y Forestal"/>
    <n v="7"/>
    <x v="7"/>
    <x v="5"/>
    <x v="1"/>
    <x v="7"/>
    <x v="3"/>
    <x v="19"/>
    <s v="Periodo 2018-2020"/>
    <s v="Toneladas"/>
    <s v="Oficina de Estudios y Políticas Agrarias (ODEPA)"/>
    <s v="Proporción del destino de la fruta producida por la Región de Maule, en el Periodo 2018-2020"/>
    <s v="En la Región de Maule, durante el periodo 2018-2020, se produjeron 201.180 ton de fruta. La mayor cantidad se destinó a Europa, específicamente un 45,5%, seguido de Centro y Norte América con un 33,8%. Por su parte, un 14.9% fue destinado al mercado interno."/>
    <s v="Gráfico "/>
    <s v="Región de Maule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7"/>
    <x v="24"/>
    <s v="#1774B9"/>
  </r>
  <r>
    <s v="0221"/>
    <n v="990"/>
    <s v="Agencia Información"/>
    <s v="Agropecuario y Forestal"/>
    <n v="8"/>
    <x v="7"/>
    <x v="5"/>
    <x v="1"/>
    <x v="8"/>
    <x v="3"/>
    <x v="19"/>
    <s v="Periodo 2018-2020"/>
    <s v="Toneladas"/>
    <s v="Oficina de Estudios y Políticas Agrarias (ODEPA)"/>
    <s v="Proporción del destino de la fruta producida por la Región del Biobío, en el Periodo 2018-2020"/>
    <s v="En la Región de Biobío, durante el periodo 2018-2020, se produjeron 4.504 ton de fruta. La mayor cantidad se destinó a Europa, específicamente un 49,6%, seguido de Asia con un 32,4%. Por su parte, el 18% restante fue destinado al mercado interno."/>
    <s v="Gráfico "/>
    <s v="Región del Biobío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8"/>
    <x v="25"/>
    <s v="#1774B9"/>
  </r>
  <r>
    <s v="0222"/>
    <n v="990"/>
    <s v="Agencia Información"/>
    <s v="Agropecuario y Forestal"/>
    <n v="9"/>
    <x v="7"/>
    <x v="5"/>
    <x v="1"/>
    <x v="9"/>
    <x v="3"/>
    <x v="19"/>
    <s v="Periodo 2018-2020"/>
    <s v="Toneladas"/>
    <s v="Oficina de Estudios y Políticas Agrarias (ODEPA)"/>
    <s v="Proporción del destino de la fruta producida por la Región de La Araucanía, en el Periodo 2018-2020"/>
    <s v="En la Región de La Araucanía, durante el periodo 2018-2020, se produjeron 9.913 ton de fruta. La mayor cantidad se destinó al mercado interno, específicamente un 87,1%. Por su parte, el 12.9% restante fue destinado a Europa."/>
    <s v="Gráfico "/>
    <s v="Región de La Araucaní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9"/>
    <x v="26"/>
    <s v="#1774B9"/>
  </r>
  <r>
    <s v="0223"/>
    <n v="990"/>
    <s v="Agencia Información"/>
    <s v="Agropecuario y Forestal"/>
    <n v="10"/>
    <x v="7"/>
    <x v="5"/>
    <x v="1"/>
    <x v="10"/>
    <x v="3"/>
    <x v="19"/>
    <s v="Periodo 2018-2020"/>
    <s v="Toneladas"/>
    <s v="Oficina de Estudios y Políticas Agrarias (ODEPA)"/>
    <s v="Proporción del destino de la fruta producida por la Región de Los Lagos, en el Periodo 2018-2020"/>
    <s v="En la Región de Los Lagos, durante el periodo 2018-2020, se produjeron 4,998 ton de fruta. La mayor cantidad se destinó a Centro y Norte América, específicamente un 95%. Por su parte, el 5% restante fue destinado al mercado interno. "/>
    <s v="Gráfico "/>
    <s v="Región de Los Lagos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0"/>
    <x v="27"/>
    <s v="#1774B9"/>
  </r>
  <r>
    <s v="0224"/>
    <n v="990"/>
    <s v="Agencia Información"/>
    <s v="Agropecuario y Forestal"/>
    <n v="13"/>
    <x v="7"/>
    <x v="5"/>
    <x v="1"/>
    <x v="13"/>
    <x v="3"/>
    <x v="19"/>
    <s v="Periodo 2018-2020"/>
    <s v="Toneladas"/>
    <s v="Oficina de Estudios y Políticas Agrarias (ODEPA)"/>
    <s v="Proporción del destino de la fruta producida por la Región Metropolitana, en el Periodo 2018-2020"/>
    <s v="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
    <s v="Gráfico "/>
    <s v="Región Metropolitan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3"/>
    <x v="29"/>
    <s v="#1774B9"/>
  </r>
  <r>
    <s v="0225"/>
    <n v="990"/>
    <s v="Agencia Información"/>
    <s v="Agropecuario y Forestal"/>
    <n v="14"/>
    <x v="7"/>
    <x v="5"/>
    <x v="1"/>
    <x v="14"/>
    <x v="3"/>
    <x v="19"/>
    <s v="Periodo 2018-2020"/>
    <s v="Toneladas"/>
    <s v="Oficina de Estudios y Políticas Agrarias (ODEPA)"/>
    <s v="Proporción del destino de la fruta producida por la Región de Los Ríos, en el Periodo 2018-2020"/>
    <s v="En la Región de Los Ríos, durante el periodo 2018-2020, se produjeron 24.783 ton de fruta. La mayor cantidad se destinó a Europa, específicamente un 92%. Por su parte, el 8% restante fue destinado al mercado interno."/>
    <s v="Gráfico "/>
    <s v="Región de Los Ríos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4"/>
    <x v="30"/>
    <s v="#1774B9"/>
  </r>
  <r>
    <s v="0226"/>
    <n v="990"/>
    <s v="Agencia Información"/>
    <s v="Agropecuario y Forestal"/>
    <n v="15"/>
    <x v="7"/>
    <x v="5"/>
    <x v="1"/>
    <x v="15"/>
    <x v="3"/>
    <x v="19"/>
    <s v="Periodo 2018-2020"/>
    <s v="Toneladas"/>
    <s v="Oficina de Estudios y Políticas Agrarias (ODEPA)"/>
    <s v="Proporción del destino de la fruta producida por la Región de Arica y Parinacota, en el Periodo 2018-2020"/>
    <s v="En la Región de Arica y Parinacota, durante el periodo 2018-2020, se produjeron 6,823 ton de fruta, siendo la totalidad de ella destinada al mercado interno."/>
    <s v="Gráfico "/>
    <s v="Región de Arica y Parinacota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5"/>
    <x v="31"/>
    <s v="#1774B9"/>
  </r>
  <r>
    <s v="0227"/>
    <n v="990"/>
    <s v="Agencia Información"/>
    <s v="Agropecuario y Forestal"/>
    <n v="16"/>
    <x v="7"/>
    <x v="5"/>
    <x v="1"/>
    <x v="16"/>
    <x v="3"/>
    <x v="19"/>
    <s v="Periodo 2018-2020"/>
    <s v="Toneladas"/>
    <s v="Oficina de Estudios y Políticas Agrarias (ODEPA)"/>
    <s v="Proporción del destino de la fruta producida por la Región de Ñuble, en el Periodo 2018-2020"/>
    <s v="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
    <s v="Gráfico "/>
    <s v="Región de Ñublefruta,frutas,frutícola,producción,volumen,tonelada,europa,américa del norte,américa del sur,centro américa,asia,continente,destino,destino interno,destino externo,Agencia Información,Agropecuario y Forestal,Exportaciones,Agricultura"/>
    <s v="https://analytics.zoho.com/open-view/2395394000008207486?ZOHO_CRITERIA=%224.6%22.%22C%C3%B3digo_Regi%C3%B3n%22%3D16"/>
    <x v="32"/>
    <s v="#1774B9"/>
  </r>
  <r>
    <s v="0228"/>
    <n v="990"/>
    <s v="Agencia Información"/>
    <s v="Agropecuario y Forestal"/>
    <n v="0"/>
    <x v="17"/>
    <x v="5"/>
    <x v="0"/>
    <x v="0"/>
    <x v="1"/>
    <x v="20"/>
    <s v="Periodo 2010-2019"/>
    <s v="Hectáreas"/>
    <s v="Oficina de Estudios y Políticas Agrarias (ODEPA)"/>
    <s v="Evolución anual de superficie plantada (ha) de lechuga por región, Periodo 2010-2019"/>
    <s v="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
    <s v="Gráfico de Evolución"/>
    <s v="Chile,plantación,lechuga,hortalizas,superficie,hectáreas,cultivo,Agencia Información,Agropecuario y Forestal,Plantaciones,Agricultura"/>
    <s v="https://analytics.zoho.com/open-view/2395394000007782340"/>
    <x v="0"/>
    <s v="#1774B9"/>
  </r>
  <r>
    <s v="0229"/>
    <n v="990"/>
    <s v="Agencia Información"/>
    <s v="Agropecuario y Forestal"/>
    <n v="3"/>
    <x v="17"/>
    <x v="5"/>
    <x v="1"/>
    <x v="3"/>
    <x v="1"/>
    <x v="20"/>
    <s v="Periodo 2010-2019"/>
    <s v="Hectáreas"/>
    <s v="Oficina de Estudios y Políticas Agrarias (ODEPA)"/>
    <s v="Evolución anual de superficie plantada (ha) de lechuga en la Región de Atacama, Periodo 2010-2019"/>
    <s v="En la región de Atacama, durante el periodo 2010-2019, la superficie plantada de lechuga alcanzó su máximo el año 2018, con 52 ha. Por su parte, el mínimo de superficie plantada ocurrió el año 2016, con solo 18 ha plantadas a nivel regional. "/>
    <s v="Gráfico de Evolución"/>
    <s v="Región de Atacama,plantación,lechuga,hortalizas,superficie,hectáreas,cultivo,Agencia Información,Agropecuario y Forestal,Plantaciones,Agricultura"/>
    <s v="https://analytics.zoho.com/open-view/2395394000008209595?ZOHO_CRITERIA=%22Trasposicion_4.7%22.%22C%C3%B3digo_Regi%C3%B3n%22%3D3"/>
    <x v="3"/>
    <s v="#1774B9"/>
  </r>
  <r>
    <s v="0230"/>
    <n v="990"/>
    <s v="Agencia Información"/>
    <s v="Agropecuario y Forestal"/>
    <n v="4"/>
    <x v="17"/>
    <x v="5"/>
    <x v="1"/>
    <x v="4"/>
    <x v="1"/>
    <x v="20"/>
    <s v="Periodo 2010-2019"/>
    <s v="Hectáreas"/>
    <s v="Oficina de Estudios y Políticas Agrarias (ODEPA)"/>
    <s v="Evolución anual de superficie plantada (ha) de lechuga en la Región de Coquimbo, Periodo 2010-2019"/>
    <s v="En la región de Coquimbo, durante el periodo 2010-2019, la superficie plantada de lechuga alcanzó su máximo el año 2018, con 2.619 ha. Por su parte, el mínimo de superficie plantada ocurrió el año 2016, con solo 1.415 ha plantadas a nivel regional. "/>
    <s v="Gráfico de Evolución"/>
    <s v="Región de Coquimbo,plantación,lechuga,hortalizas,superficie,hectáreas,cultivo,Agencia Información,Agropecuario y Forestal,Plantaciones,Agricultura"/>
    <s v="https://analytics.zoho.com/open-view/2395394000008209595?ZOHO_CRITERIA=%22Trasposicion_4.7%22.%22C%C3%B3digo_Regi%C3%B3n%22%3D4"/>
    <x v="4"/>
    <s v="#1774B9"/>
  </r>
  <r>
    <s v="0231"/>
    <n v="990"/>
    <s v="Agencia Información"/>
    <s v="Agropecuario y Forestal"/>
    <n v="5"/>
    <x v="17"/>
    <x v="5"/>
    <x v="1"/>
    <x v="5"/>
    <x v="1"/>
    <x v="20"/>
    <s v="Periodo 2010-2019"/>
    <s v="Hectáreas"/>
    <s v="Oficina de Estudios y Políticas Agrarias (ODEPA)"/>
    <s v="Evolución anual de superficie plantada (ha) de lechuga en la Región de Valparaíso, Periodo 2010-2019"/>
    <s v="En la región de Valparaíso, durante el periodo 2010-2019, la superficie plantada de lechuga alcanzó su máximo el año 2016, con 1.441 ha. Por su parte, el mínimo de superficie plantada ocurrió el año 2012, con solo 820 ha plantadas a nivel regional. "/>
    <s v="Gráfico de Evolución"/>
    <s v="Región de Valparaíso,plantación,lechuga,hortalizas,superficie,hectáreas,cultivo,Agencia Información,Agropecuario y Forestal,Plantaciones,Agricultura"/>
    <s v="https://analytics.zoho.com/open-view/2395394000008209595?ZOHO_CRITERIA=%22Trasposicion_4.7%22.%22C%C3%B3digo_Regi%C3%B3n%22%3D5"/>
    <x v="5"/>
    <s v="#1774B9"/>
  </r>
  <r>
    <s v="0232"/>
    <n v="990"/>
    <s v="Agencia Información"/>
    <s v="Agropecuario y Forestal"/>
    <n v="6"/>
    <x v="17"/>
    <x v="5"/>
    <x v="1"/>
    <x v="6"/>
    <x v="1"/>
    <x v="20"/>
    <s v="Periodo 2010-2019"/>
    <s v="Hectáreas"/>
    <s v="Oficina de Estudios y Políticas Agrarias (ODEPA)"/>
    <s v="Evolución anual de superficie plantada (ha) de lechuga en la Región de O'Higgins, Periodo 2010-2019"/>
    <s v="En la región de O'Higgins, durante el periodo 2010-2019, la superficie plantada de lechuga alcanzó su máximo el año 2018, con 152 ha. Por su parte, el mínimo de superficie plantada ocurrió el año 2015, con solo 83 ha plantadas a nivel regional. "/>
    <s v="Gráfico de Evolución"/>
    <s v="Región de O'Higgins,plantación,lechuga,hortalizas,superficie,hectáreas,cultivo,Agencia Información,Agropecuario y Forestal,Plantaciones,Agricultura"/>
    <s v="https://analytics.zoho.com/open-view/2395394000008209595?ZOHO_CRITERIA=%22Trasposicion_4.7%22.%22C%C3%B3digo_Regi%C3%B3n%22%3D6"/>
    <x v="6"/>
    <s v="#1774B9"/>
  </r>
  <r>
    <s v="0233"/>
    <n v="990"/>
    <s v="Agencia Información"/>
    <s v="Agropecuario y Forestal"/>
    <n v="7"/>
    <x v="17"/>
    <x v="5"/>
    <x v="1"/>
    <x v="7"/>
    <x v="1"/>
    <x v="20"/>
    <s v="Periodo 2010-2019"/>
    <s v="Hectáreas"/>
    <s v="Oficina de Estudios y Políticas Agrarias (ODEPA)"/>
    <s v="Evolución anual de superficie plantada (ha) de lechuga en la Región de Maule, Periodo 2010-2019"/>
    <s v="En la región de Maule, durante el periodo 2010-2019, la superficie plantada de lechuga alcanzó su máximo el año 2019, con 600 ha. Por su parte, el mínimo de superficie plantada ocurrió el año 2011, con solo 402 ha plantadas a nivel regional. "/>
    <s v="Gráfico de Evolución"/>
    <s v="Región de Maule,plantación,lechuga,hortalizas,superficie,hectáreas,cultivo,Agencia Información,Agropecuario y Forestal,Plantaciones,Agricultura"/>
    <s v="https://analytics.zoho.com/open-view/2395394000008209595?ZOHO_CRITERIA=%22Trasposicion_4.7%22.%22C%C3%B3digo_Regi%C3%B3n%22%3D7"/>
    <x v="7"/>
    <s v="#1774B9"/>
  </r>
  <r>
    <s v="0234"/>
    <n v="990"/>
    <s v="Agencia Información"/>
    <s v="Agropecuario y Forestal"/>
    <n v="8"/>
    <x v="17"/>
    <x v="5"/>
    <x v="1"/>
    <x v="8"/>
    <x v="1"/>
    <x v="20"/>
    <s v="Periodo 2010-2019"/>
    <s v="Hectáreas"/>
    <s v="Oficina de Estudios y Políticas Agrarias (ODEPA)"/>
    <s v="Evolución anual de superficie plantada (ha) de lechuga en la Región del Biobío, Periodo 2010-2019"/>
    <s v="En la región del Biobío, durante el periodo 2010-2019, la superficie plantada de lechuga alcanzó su máximo el año 2016, con 202 ha. Por su parte, el mínimo de superficie plantada ocurrió el año 2010, con solo 90 ha plantadas a nivel regional. "/>
    <s v="Gráfico de Evolución"/>
    <s v="Región del Biobío,plantación,lechuga,hortalizas,superficie,hectáreas,cultivo,Agencia Información,Agropecuario y Forestal,Plantaciones,Agricultura"/>
    <s v="https://analytics.zoho.com/open-view/2395394000008209595?ZOHO_CRITERIA=%22Trasposicion_4.7%22.%22C%C3%B3digo_Regi%C3%B3n%22%3D8"/>
    <x v="8"/>
    <s v="#1774B9"/>
  </r>
  <r>
    <s v="0235"/>
    <n v="990"/>
    <s v="Agencia Información"/>
    <s v="Agropecuario y Forestal"/>
    <n v="9"/>
    <x v="17"/>
    <x v="5"/>
    <x v="1"/>
    <x v="9"/>
    <x v="1"/>
    <x v="20"/>
    <s v="Periodo 2010-2019"/>
    <s v="Hectáreas"/>
    <s v="Oficina de Estudios y Políticas Agrarias (ODEPA)"/>
    <s v="Evolución anual de superficie plantada (ha) de lechuga en la Región de La Araucanía, Periodo 2010-2019"/>
    <s v="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
    <s v="Gráfico de Evolución"/>
    <s v="Región de La Araucanía,plantación,lechuga,hortalizas,superficie,hectáreas,cultivo,Agencia Información,Agropecuario y Forestal,Plantaciones,Agricultura"/>
    <s v="https://analytics.zoho.com/open-view/2395394000008209595?ZOHO_CRITERIA=%22Trasposicion_4.7%22.%22C%C3%B3digo_Regi%C3%B3n%22%3D9"/>
    <x v="9"/>
    <s v="#1774B9"/>
  </r>
  <r>
    <s v="0236"/>
    <n v="990"/>
    <s v="Agencia Información"/>
    <s v="Agropecuario y Forestal"/>
    <n v="13"/>
    <x v="17"/>
    <x v="5"/>
    <x v="1"/>
    <x v="13"/>
    <x v="1"/>
    <x v="20"/>
    <s v="Periodo 2010-2019"/>
    <s v="Hectáreas"/>
    <s v="Oficina de Estudios y Políticas Agrarias (ODEPA)"/>
    <s v="Evolución anual de superficie plantada (ha) de lechuga en la Región Metropolitana, Periodo 2010-2019"/>
    <s v="En la región Metropolitana, durante el periodo 2010-2019, la superficie plantada de lechuga alcanzó su máximo el año 2010, con 3.364 ha. Por su parte, el mínimo de superficie plantada ocurrió el año 2015, con solo 1.739 ha plantadas a nivel regional. "/>
    <s v="Gráfico de Evolución"/>
    <s v="Región Metropolitana,plantación,lechuga,hortalizas,superficie,hectáreas,cultivo,Agencia Información,Agropecuario y Forestal,Plantaciones,Agricultura"/>
    <s v="https://analytics.zoho.com/open-view/2395394000008209595?ZOHO_CRITERIA=%22Trasposicion_4.7%22.%22C%C3%B3digo_Regi%C3%B3n%22%3D13"/>
    <x v="13"/>
    <s v="#1774B9"/>
  </r>
  <r>
    <s v="0237"/>
    <n v="990"/>
    <s v="Agencia Información"/>
    <s v="Agropecuario y Forestal"/>
    <n v="15"/>
    <x v="17"/>
    <x v="5"/>
    <x v="1"/>
    <x v="15"/>
    <x v="1"/>
    <x v="20"/>
    <s v="Periodo 2010-2019"/>
    <s v="Hectáreas"/>
    <s v="Oficina de Estudios y Políticas Agrarias (ODEPA)"/>
    <s v="Evolución anual de superficie plantada (ha) de lechuga en la Región de Arica y Parinacota, Periodo 2010-2019"/>
    <s v="En la región de Arica y Parinacota, durante el periodo 2010-2019, la superficie plantada de lechuga alcanzó su máximo el año 2018, con 101 ha. Por su parte, el mínimo de superficie plantada ocurrió el año 2011, con solo 40 ha plantadas a nivel regional. "/>
    <s v="Gráfico de Evolución"/>
    <s v="Región de Arica y Parinacota,plantación,lechuga,hortalizas,superficie,hectáreas,cultivo,Agencia Información,Agropecuario y Forestal,Plantaciones,Agricultura"/>
    <s v="https://analytics.zoho.com/open-view/2395394000008209595?ZOHO_CRITERIA=%22Trasposicion_4.7%22.%22C%C3%B3digo_Regi%C3%B3n%22%3D15"/>
    <x v="15"/>
    <s v="#1774B9"/>
  </r>
  <r>
    <s v="0238"/>
    <n v="990"/>
    <s v="Agencia Información"/>
    <s v="Agropecuario y Forestal"/>
    <n v="16"/>
    <x v="17"/>
    <x v="5"/>
    <x v="1"/>
    <x v="16"/>
    <x v="1"/>
    <x v="20"/>
    <s v="Periodo 2010-2019"/>
    <s v="Hectáreas"/>
    <s v="Oficina de Estudios y Políticas Agrarias (ODEPA)"/>
    <s v="Evolución anual de superficie plantada (ha) de lechuga en la Región de Ñuble, Periodo 2010-2019"/>
    <s v="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
    <s v="Gráfico de Evolución"/>
    <s v="Región de Ñuble,plantación,lechuga,hortalizas,superficie,hectáreas,cultivo,Agencia Información,Agropecuario y Forestal,Plantaciones,Agricultura"/>
    <s v="https://analytics.zoho.com/open-view/2395394000008209595?ZOHO_CRITERIA=%22Trasposicion_4.7%22.%22C%C3%B3digo_Regi%C3%B3n%22%3D16"/>
    <x v="16"/>
    <s v="#1774B9"/>
  </r>
  <r>
    <s v="0239"/>
    <n v="990"/>
    <s v="Agencia Información"/>
    <s v="Vivienda y Construcción"/>
    <n v="0"/>
    <x v="18"/>
    <x v="11"/>
    <x v="0"/>
    <x v="0"/>
    <x v="0"/>
    <x v="21"/>
    <s v="Año 2020"/>
    <s v="Estado"/>
    <s v="Observatorio Urbano - Ministerio de Vivienda y Urbanismo (MINVU)"/>
    <s v="Estado del Plan Regional de Desarrollo Urbano por Región"/>
    <s v="Según los datos recopilados, sólo 4 de las 16 regiones de Chile poseen un PRDU vigente, las cuales son Arica y Parinacota, Coquimbo, Antofagasta y O'Higgins, siendo Arica y Parinacota la que posee el PRDU más nuevo que data del año 2014."/>
    <s v="Dashboard"/>
    <s v="Chile,plan,regional,desarrollo,urbano,PRDU,MINVU,estado,vigente,inactivo,formulación,conflicto,Agencia Información,Vivienda y Construcción,Instrumentos de Planificación Territorial (IPT),Territorio"/>
    <s v="https://app.powerbi.com/view?r=eyJrIjoiYjE4Yzc3NGQtYjM2NS00ZDMwLTg0NDYtOTRjYzQ4MzU0MWI1IiwidCI6IjhmYmFhNWJmLTJlY2MtNGRjOC1iNTZiLThmOTJlMzA3ZjA3NiIsImMiOjR9"/>
    <x v="34"/>
    <s v="#1774B9"/>
  </r>
  <r>
    <s v="0240"/>
    <n v="990"/>
    <s v="Agencia Información"/>
    <s v="Arte y cultura"/>
    <n v="0"/>
    <x v="19"/>
    <x v="9"/>
    <x v="0"/>
    <x v="0"/>
    <x v="3"/>
    <x v="13"/>
    <s v="Año 2021"/>
    <s v="Número de espacios culturales"/>
    <s v="Observatorio Cultural"/>
    <s v="Cantidad de Espacios Culturales con Acceso para Discapacitados en el Año 2021"/>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espacio,cultural,acceso,ingreso,discapacitados,discapacidad,inclusión,Agencia Información,Arte y cultura,Acceso para discapacitados en espacios culturales,Cultura"/>
    <s v="https://analytics.zoho.com/open-view/2395394000008056138"/>
    <x v="17"/>
    <s v="#1774B9"/>
  </r>
  <r>
    <s v="0241"/>
    <n v="990"/>
    <s v="Agencia Información"/>
    <s v="Arte y cultura"/>
    <n v="1"/>
    <x v="19"/>
    <x v="9"/>
    <x v="1"/>
    <x v="1"/>
    <x v="3"/>
    <x v="13"/>
    <s v="Año 2021"/>
    <s v="Número de espacios culturales"/>
    <s v="Observatorio Cultural"/>
    <s v="Cantidad de Espacios Culturales con Acceso para Discapacitados en la Región de Tarapacá, en el Año 2021"/>
    <s v="La Región de Tarapacá presenta 57 espacios culturales en el año 2021, 25 espacios informan tener acceso para discapacitados y 32 no lo poseen."/>
    <s v="Gráfico"/>
    <s v="Región de Tarapacá,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
    <x v="18"/>
    <s v="#1774B9"/>
  </r>
  <r>
    <s v="0242"/>
    <n v="990"/>
    <s v="Agencia Información"/>
    <s v="Arte y cultura"/>
    <n v="2"/>
    <x v="19"/>
    <x v="9"/>
    <x v="1"/>
    <x v="2"/>
    <x v="3"/>
    <x v="13"/>
    <s v="Año 2021"/>
    <s v="Número de espacios culturales"/>
    <s v="Observatorio Cultural"/>
    <s v="Cantidad de Espacios Culturales con Acceso para Discapacitados en la Región de Antofagasta, en el Año 2021"/>
    <s v="La Región de Antofagasta presenta 62 espacios culturales en el año 2021, 40 espacios informan tener acceso para discapacitados y 21 no lo poseen."/>
    <s v="Gráfico"/>
    <s v="Región de Antofagast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2"/>
    <x v="19"/>
    <s v="#1774B9"/>
  </r>
  <r>
    <s v="0243"/>
    <n v="990"/>
    <s v="Agencia Información"/>
    <s v="Arte y cultura"/>
    <n v="3"/>
    <x v="19"/>
    <x v="9"/>
    <x v="1"/>
    <x v="3"/>
    <x v="3"/>
    <x v="13"/>
    <s v="Año 2021"/>
    <s v="Número de espacios culturales"/>
    <s v="Observatorio Cultural"/>
    <s v="Cantidad de Espacios Culturales con Acceso para Discapacitados en la Región de Atacama, en el Año 2021"/>
    <s v="La Región de Atacama presenta 51 espacios culturales en el año 2021, 33 espacios informan tener acceso para discapacitados y 16 no lo poseen."/>
    <s v="Gráfico"/>
    <s v="Región de Atacam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3"/>
    <x v="20"/>
    <s v="#1774B9"/>
  </r>
  <r>
    <s v="0244"/>
    <n v="990"/>
    <s v="Agencia Información"/>
    <s v="Arte y cultura"/>
    <n v="4"/>
    <x v="19"/>
    <x v="9"/>
    <x v="1"/>
    <x v="4"/>
    <x v="3"/>
    <x v="13"/>
    <s v="Año 2021"/>
    <s v="Número de espacios culturales"/>
    <s v="Observatorio Cultural"/>
    <s v="Cantidad de Espacios Culturales con Acceso para Discapacitados en la Región de Coquimbo, en el Año 2021"/>
    <s v="La Región de Coquimbo presenta 120 espacios culturales en el año 2021, 79 espacios informan tener acceso para discapacitados y 35 no lo poseen."/>
    <s v="Gráfico"/>
    <s v="Región de Coquimbo,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4"/>
    <x v="21"/>
    <s v="#1774B9"/>
  </r>
  <r>
    <s v="0245"/>
    <n v="990"/>
    <s v="Agencia Información"/>
    <s v="Arte y cultura"/>
    <n v="5"/>
    <x v="19"/>
    <x v="9"/>
    <x v="1"/>
    <x v="5"/>
    <x v="3"/>
    <x v="13"/>
    <s v="Año 2021"/>
    <s v="Número de espacios culturales"/>
    <s v="Observatorio Cultural"/>
    <s v="Cantidad de Espacios Culturales con Acceso para Discapacitados en la Región de Valparaíso, en el Año 2021"/>
    <s v="La Región de Valparaíso cuenta con 324 espacios culturales en el año 2021, 143 espacios informan tener acceso para discapacitados y 133 no los poseen."/>
    <s v="Gráfico"/>
    <s v="Región de Valparaíso,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5"/>
    <x v="22"/>
    <s v="#1774B9"/>
  </r>
  <r>
    <s v="0246"/>
    <n v="990"/>
    <s v="Agencia Información"/>
    <s v="Arte y cultura"/>
    <n v="6"/>
    <x v="19"/>
    <x v="9"/>
    <x v="1"/>
    <x v="6"/>
    <x v="3"/>
    <x v="13"/>
    <s v="Año 2021"/>
    <s v="Número de espacios culturales"/>
    <s v="Observatorio Cultural"/>
    <s v="Cantidad de Espacios Culturales con Acceso para Discapacitados en la Región de O'Higgins, en el Año 2021"/>
    <s v="La Región de O'Higgins cuenta con 206 espacios culturales de los cuales 116 tienen acceso para discapacitados y 51 no lo tienen, mientras que 39 de ellos no presentan información."/>
    <s v="Gráfico"/>
    <s v="Región de O'Higgin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6"/>
    <x v="23"/>
    <s v="#1774B9"/>
  </r>
  <r>
    <s v="0247"/>
    <n v="990"/>
    <s v="Agencia Información"/>
    <s v="Arte y cultura"/>
    <n v="7"/>
    <x v="19"/>
    <x v="9"/>
    <x v="1"/>
    <x v="7"/>
    <x v="3"/>
    <x v="13"/>
    <s v="Año 2021"/>
    <s v="Número de espacios culturales"/>
    <s v="Observatorio Cultural"/>
    <s v="Cantidad de Espacios Culturales con Acceso para Discapacitados en la Región de Maule, en el Año 2021"/>
    <s v="La Región de Maule cuenta con 84 espacios culturales con acceso para discapacitados del total de espacios de la región. La comuna de Talca tiene 35 espacios culturales en total y de ellos sólo 17 presentan acceso para discapacitados."/>
    <s v="Gráfico"/>
    <s v="Región de Maule,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7"/>
    <x v="24"/>
    <s v="#1774B9"/>
  </r>
  <r>
    <s v="0248"/>
    <n v="990"/>
    <s v="Agencia Información"/>
    <s v="Arte y cultura"/>
    <n v="8"/>
    <x v="19"/>
    <x v="9"/>
    <x v="1"/>
    <x v="8"/>
    <x v="3"/>
    <x v="13"/>
    <s v="Año 2021"/>
    <s v="Número de espacios culturales"/>
    <s v="Observatorio Cultural"/>
    <s v="Cantidad de Espacios Culturales con Acceso para Discapacitados en la Región del Biobío, en el Año 2021"/>
    <s v="En la Región de Biobío se pueden encontrar 77 espacios culturales con acceso para discapacitados, de los cuales 19 se encuentran en la comuna de Concepción."/>
    <s v="Gráfico"/>
    <s v="Región del Biobío,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8"/>
    <x v="25"/>
    <s v="#1774B9"/>
  </r>
  <r>
    <s v="0249"/>
    <n v="990"/>
    <s v="Agencia Información"/>
    <s v="Arte y cultura"/>
    <n v="9"/>
    <x v="19"/>
    <x v="9"/>
    <x v="1"/>
    <x v="9"/>
    <x v="3"/>
    <x v="13"/>
    <s v="Año 2021"/>
    <s v="Número de espacios culturales"/>
    <s v="Observatorio Cultural"/>
    <s v="Cantidad de Espacios Culturales con Acceso para Discapacitados en la Región de La Araucanía, en el Año 2021"/>
    <s v="En la Región de La Araucanía se pueden encontrar 66 espacios culturales con acceso para discapacitados, de los cuales 14 se encuentran en la comuna de Temuco."/>
    <s v="Gráfico"/>
    <s v="Región de La Araucaní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9"/>
    <x v="26"/>
    <s v="#1774B9"/>
  </r>
  <r>
    <s v="0250"/>
    <n v="990"/>
    <s v="Agencia Información"/>
    <s v="Arte y cultura"/>
    <n v="10"/>
    <x v="19"/>
    <x v="9"/>
    <x v="1"/>
    <x v="10"/>
    <x v="3"/>
    <x v="13"/>
    <s v="Año 2021"/>
    <s v="Número de espacios culturales"/>
    <s v="Observatorio Cultural"/>
    <s v="Cantidad de Espacios Culturales con Acceso para Discapacitados en la Región de Los Lagos, en el Año 2021"/>
    <s v="La Región de Los Lagos cuenta con 153 espacios culturales, de los cuales 84 tienen acceso para discapacitados y 48 no lo tienen"/>
    <s v="Gráfico"/>
    <s v="Región de Los Lago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0"/>
    <x v="27"/>
    <s v="#1774B9"/>
  </r>
  <r>
    <s v="0251"/>
    <n v="990"/>
    <s v="Agencia Información"/>
    <s v="Arte y cultura"/>
    <n v="11"/>
    <x v="19"/>
    <x v="9"/>
    <x v="1"/>
    <x v="11"/>
    <x v="3"/>
    <x v="13"/>
    <s v="Año 2021"/>
    <s v="Número de espacios culturales"/>
    <s v="Observatorio Cultural"/>
    <s v="Cantidad de Espacios Culturales con Acceso para Discapacitados en la Región de Aysén, en el Año 2021"/>
    <s v="La Región de Aysén cuenta con 83 espacios culturales de ellos 45 cuentan con acceso para discapacitados, la comuna de Coyhaique cuenta con 12 espacios con dicho acceso."/>
    <s v="Gráfico"/>
    <s v="Región de Aysén,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1"/>
    <x v="33"/>
    <s v="#1774B9"/>
  </r>
  <r>
    <s v="0252"/>
    <n v="990"/>
    <s v="Agencia Información"/>
    <s v="Arte y cultura"/>
    <n v="12"/>
    <x v="19"/>
    <x v="9"/>
    <x v="1"/>
    <x v="12"/>
    <x v="3"/>
    <x v="13"/>
    <s v="Año 2021"/>
    <s v="Número de espacios culturales"/>
    <s v="Observatorio Cultural"/>
    <s v="Cantidad de Espacios Culturales con Acceso para Discapacitados en la Región de Magallanes, en el Año 2021"/>
    <s v="En la Región de Magallanes existen 63 espacios culturales en total, de ellos 45 presenta acceso para discapacitados, encontrando 16 de ellos en la comuna de Punta Arenas."/>
    <s v="Gráfico"/>
    <s v="Región de Magallane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2"/>
    <x v="28"/>
    <s v="#1774B9"/>
  </r>
  <r>
    <s v="0253"/>
    <n v="990"/>
    <s v="Agencia Información"/>
    <s v="Arte y cultura"/>
    <n v="13"/>
    <x v="19"/>
    <x v="9"/>
    <x v="1"/>
    <x v="13"/>
    <x v="3"/>
    <x v="13"/>
    <s v="Año 2021"/>
    <s v="Número de espacios culturales"/>
    <s v="Observatorio Cultural"/>
    <s v="Cantidad de Espacios Culturales con Acceso para Discapacitados en la Región Metropolitana, en el Año 2021"/>
    <s v="La región Metropolitana es la que posee más espacios culturales con acceso para discapacitados, con 250 espacios de 397 que tiene en total la región, destacando las comunas de Santiago, Providencia y Las Condes."/>
    <s v="Gráfico"/>
    <s v="Región Metropolitan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3"/>
    <x v="29"/>
    <s v="#1774B9"/>
  </r>
  <r>
    <s v="0254"/>
    <n v="990"/>
    <s v="Agencia Información"/>
    <s v="Arte y cultura"/>
    <n v="14"/>
    <x v="19"/>
    <x v="9"/>
    <x v="1"/>
    <x v="14"/>
    <x v="3"/>
    <x v="13"/>
    <s v="Año 2021"/>
    <s v="Número de espacios culturales"/>
    <s v="Observatorio Cultural"/>
    <s v="Cantidad de Espacios Culturales con Acceso para Discapacitados en la Región de Los Ríos, en el Año 2021"/>
    <s v="La Región de Los Ríos cuenta con 77 espacios culturales, de los cuales 27 tienen acceso para discapacitados y 15 no lo tienen"/>
    <s v="Gráfico"/>
    <s v="Región de Los Ríos,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4"/>
    <x v="30"/>
    <s v="#1774B9"/>
  </r>
  <r>
    <s v="0255"/>
    <n v="990"/>
    <s v="Agencia Información"/>
    <s v="Arte y cultura"/>
    <n v="15"/>
    <x v="19"/>
    <x v="9"/>
    <x v="1"/>
    <x v="15"/>
    <x v="3"/>
    <x v="13"/>
    <s v="Año 2021"/>
    <s v="Número de espacios culturales"/>
    <s v="Observatorio Cultural"/>
    <s v="Cantidad de Espacios Culturales con Acceso para Discapacitados en la Región de Arica y Parinacota, en el Año 2021"/>
    <s v="La Región de Arica y Parinacota cuenta con 34 espacios culturales de los cuales 22 cuentan con acceso para discapacitados, estando 21 de ellos en la comuna de Arica."/>
    <s v="Gráfico"/>
    <s v="Región de Arica y Parinacota,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5"/>
    <x v="31"/>
    <s v="#1774B9"/>
  </r>
  <r>
    <s v="0256"/>
    <n v="990"/>
    <s v="Agencia Información"/>
    <s v="Arte y cultura"/>
    <n v="16"/>
    <x v="19"/>
    <x v="9"/>
    <x v="1"/>
    <x v="16"/>
    <x v="3"/>
    <x v="13"/>
    <s v="Año 2021"/>
    <s v="Número de espacios culturales"/>
    <s v="Observatorio Cultural"/>
    <s v="Cantidad de Espacios Culturales con Acceso para Discapacitados en la Región de Ñuble, en el Año 2021"/>
    <s v="La Región de Ñuble cuenta con 45 espacios culturales con acceso para discapacitados del total de espacios de la región, 10 de ellos se encuentran en la comuna de Chillán."/>
    <s v="Gráfico"/>
    <s v="Región de Ñuble,espacio,cultural,acceso,ingreso,discapacitados,discapacidad,inclusión,Agencia Información,Arte y cultura,Acceso para discapacitados en espacios culturales,Cultura"/>
    <s v="https://analytics.zoho.com/open-view/2395394000008213039?ZOHO_CRITERIA=%22Espacios_Culturales_Completo%201%22.%22C%C3%B3digo_Regi%C3%B3n%22%20%3D%2016"/>
    <x v="32"/>
    <s v="#1774B9"/>
  </r>
  <r>
    <s v="0257"/>
    <n v="990"/>
    <s v="Agencia Información"/>
    <s v="Economía"/>
    <n v="0"/>
    <x v="20"/>
    <x v="12"/>
    <x v="0"/>
    <x v="0"/>
    <x v="0"/>
    <x v="22"/>
    <s v="Año 2019"/>
    <s v="UF"/>
    <s v="Servicio de Impuestos Internos (SII)"/>
    <s v="Ventas anuales en UF por rubro en Chile, Año 2019"/>
    <s v="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
    <s v="Gráfico"/>
    <s v="Chile,empresas,ventas,estimadas,rubro,sector,SII,Agencia Información,Economía,Ventas,Empresas"/>
    <s v="https://analytics.zoho.com/open-view/2395394000008181172"/>
    <x v="0"/>
    <s v="#1774B9"/>
  </r>
  <r>
    <s v="0258"/>
    <n v="990"/>
    <s v="Agencia Información"/>
    <s v="Economía"/>
    <n v="1"/>
    <x v="20"/>
    <x v="12"/>
    <x v="1"/>
    <x v="1"/>
    <x v="1"/>
    <x v="22"/>
    <s v="Año 2019"/>
    <s v="UF"/>
    <s v="Servicio de Impuestos Internos (SII)"/>
    <s v="Ventas anuales en UF por rubro en la Región de Tarapacá, Año 2019"/>
    <s v="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
    <s v="Gráfico"/>
    <s v="Región de Tarapacá,empresas,ventas,estimadas,rubro,sector,SII,Agencia Información,Economía,Ventas,Empresas"/>
    <s v="https://analytics.zoho.com/open-view/2395394000008025390?ZOHO_CRITERIA=%22Rubros_Todo%22.%22Id_Regi%C3%B3n%22%3D1"/>
    <x v="1"/>
    <s v="#1774B9"/>
  </r>
  <r>
    <s v="0259"/>
    <n v="990"/>
    <s v="Agencia Información"/>
    <s v="Economía"/>
    <n v="2"/>
    <x v="20"/>
    <x v="12"/>
    <x v="1"/>
    <x v="2"/>
    <x v="1"/>
    <x v="22"/>
    <s v="Año 2019"/>
    <s v="UF"/>
    <s v="Servicio de Impuestos Internos (SII)"/>
    <s v="Ventas anuales en UF por rubro en la Región de Antofagasta, Año 2019"/>
    <s v="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Antofagasta,empresas,ventas,estimadas,rubro,sector,SII,Agencia Información,Economía,Ventas,Empresas"/>
    <s v="https://analytics.zoho.com/open-view/2395394000008025390?ZOHO_CRITERIA=%22Rubros_Todo%22.%22Id_Regi%C3%B3n%22%3D2"/>
    <x v="2"/>
    <s v="#1774B9"/>
  </r>
  <r>
    <s v="0260"/>
    <n v="990"/>
    <s v="Agencia Información"/>
    <s v="Economía"/>
    <n v="3"/>
    <x v="20"/>
    <x v="12"/>
    <x v="1"/>
    <x v="3"/>
    <x v="1"/>
    <x v="22"/>
    <s v="Año 2019"/>
    <s v="UF"/>
    <s v="Servicio de Impuestos Internos (SII)"/>
    <s v="Ventas anuales en UF por rubro en la Región de Atacama, Año 2019"/>
    <s v="El rubro económico que cuenta con el mayor porcentaje de ventas anuales en UF es el B - explotación de minas y canteras, con un 24% de las ventas totales en la Región de Atacama."/>
    <s v="Gráfico"/>
    <s v="Región de Atacama,empresas,ventas,estimadas,rubro,sector,SII,Agencia Información,Economía,Ventas,Empresas"/>
    <s v="https://analytics.zoho.com/open-view/2395394000008025390?ZOHO_CRITERIA=%22Rubros_Todo%22.%22Id_Regi%C3%B3n%22%3D3"/>
    <x v="3"/>
    <s v="#1774B9"/>
  </r>
  <r>
    <s v="0261"/>
    <n v="990"/>
    <s v="Agencia Información"/>
    <s v="Economía"/>
    <n v="4"/>
    <x v="20"/>
    <x v="12"/>
    <x v="1"/>
    <x v="4"/>
    <x v="1"/>
    <x v="22"/>
    <s v="Año 2019"/>
    <s v="UF"/>
    <s v="Servicio de Impuestos Internos (SII)"/>
    <s v="Ventas anuales en UF por rubro en la Región de Coquimbo, Año 2019"/>
    <s v="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Coquimbo,empresas,ventas,estimadas,rubro,sector,SII,Agencia Información,Economía,Ventas,Empresas"/>
    <s v="https://analytics.zoho.com/open-view/2395394000008025390?ZOHO_CRITERIA=%22Rubros_Todo%22.%22Id_Regi%C3%B3n%22%3D4"/>
    <x v="4"/>
    <s v="#1774B9"/>
  </r>
  <r>
    <s v="0262"/>
    <n v="990"/>
    <s v="Agencia Información"/>
    <s v="Economía"/>
    <n v="5"/>
    <x v="20"/>
    <x v="12"/>
    <x v="1"/>
    <x v="5"/>
    <x v="1"/>
    <x v="22"/>
    <s v="Año 2019"/>
    <s v="UF"/>
    <s v="Servicio de Impuestos Internos (SII)"/>
    <s v="Ventas anuales en UF por rubro en la Región de Valparaíso, Año 2019"/>
    <s v="El rubro económico que cuenta con el mayor porcentaje de ventas anuales en UF es el G - Comercio al por mayor y al menor; reparación de vehículos automotores y motocicletas, con un 25% de las ventas totales en la Región de Valparaíso."/>
    <s v="Gráfico"/>
    <s v="Región de Valparaíso,empresas,ventas,estimadas,rubro,sector,SII,Agencia Información,Economía,Ventas,Empresas"/>
    <s v="https://analytics.zoho.com/open-view/2395394000008025390?ZOHO_CRITERIA=%22Rubros_Todo%22.%22Id_Regi%C3%B3n%22%3D5"/>
    <x v="5"/>
    <s v="#1774B9"/>
  </r>
  <r>
    <s v="0263"/>
    <n v="990"/>
    <s v="Agencia Información"/>
    <s v="Economía"/>
    <n v="6"/>
    <x v="20"/>
    <x v="12"/>
    <x v="1"/>
    <x v="6"/>
    <x v="1"/>
    <x v="22"/>
    <s v="Año 2019"/>
    <s v="UF"/>
    <s v="Servicio de Impuestos Internos (SII)"/>
    <s v="Ventas anuales en UF por rubro en la Región de O'Higgins, Año 2019"/>
    <s v="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
    <s v="Gráfico"/>
    <s v="Región de O'Higgins,empresas,ventas,estimadas,rubro,sector,SII,Agencia Información,Economía,Ventas,Empresas"/>
    <s v="https://analytics.zoho.com/open-view/2395394000008025390?ZOHO_CRITERIA=%22Rubros_Todo%22.%22Id_Regi%C3%B3n%22%3D6"/>
    <x v="6"/>
    <s v="#1774B9"/>
  </r>
  <r>
    <s v="0264"/>
    <n v="990"/>
    <s v="Agencia Información"/>
    <s v="Economía"/>
    <n v="7"/>
    <x v="20"/>
    <x v="12"/>
    <x v="1"/>
    <x v="7"/>
    <x v="1"/>
    <x v="22"/>
    <s v="Año 2019"/>
    <s v="UF"/>
    <s v="Servicio de Impuestos Internos (SII)"/>
    <s v="Ventas anuales en UF por rubro en la Región de Maule, Año 2019"/>
    <s v="El rubro económico que cuenta con el mayor porcentaje de ventas anuales en UF es el G - Comercio al por mayor y al menor; reparación de vehículos automotores y motocicletas, con un 28% de las ventas totales en la Región de Maule."/>
    <s v="Gráfico"/>
    <s v="Región de Maule,empresas,ventas,estimadas,rubro,sector,SII,Agencia Información,Economía,Ventas,Empresas"/>
    <s v="https://analytics.zoho.com/open-view/2395394000008025390?ZOHO_CRITERIA=%22Rubros_Todo%22.%22Id_Regi%C3%B3n%22%3D7"/>
    <x v="7"/>
    <s v="#1774B9"/>
  </r>
  <r>
    <s v="0265"/>
    <n v="990"/>
    <s v="Agencia Información"/>
    <s v="Economía"/>
    <n v="8"/>
    <x v="20"/>
    <x v="12"/>
    <x v="1"/>
    <x v="8"/>
    <x v="1"/>
    <x v="22"/>
    <s v="Año 2019"/>
    <s v="UF"/>
    <s v="Servicio de Impuestos Internos (SII)"/>
    <s v="Ventas anuales en UF por rubro en la Región del Biobío, Año 2019"/>
    <s v="En la región del Biobío, el rubro económico con mayor cantidad de ventas anuales en UF en el año 2019 es G - Comercio al por mayor y al menor; reparación de vehículos automotores y motocicletas, con un 28% del total regional, seguido por C - Industria manufacturera con un 22%."/>
    <s v="Gráfico"/>
    <s v="Región del Biobío,empresas,ventas,estimadas,rubro,sector,SII,Agencia Información,Economía,Ventas,Empresas"/>
    <s v="https://analytics.zoho.com/open-view/2395394000008025390?ZOHO_CRITERIA=%22Rubros_Todo%22.%22Id_Regi%C3%B3n%22%3D8"/>
    <x v="8"/>
    <s v="#1774B9"/>
  </r>
  <r>
    <s v="0266"/>
    <n v="990"/>
    <s v="Agencia Información"/>
    <s v="Economía"/>
    <n v="9"/>
    <x v="20"/>
    <x v="12"/>
    <x v="1"/>
    <x v="9"/>
    <x v="1"/>
    <x v="22"/>
    <s v="Año 2019"/>
    <s v="UF"/>
    <s v="Servicio de Impuestos Internos (SII)"/>
    <s v="Ventas anuales en UF por rubro en la Región de La Araucanía, Año 2019"/>
    <s v="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
    <s v="Gráfico"/>
    <s v="Región de La Araucanía,empresas,ventas,estimadas,rubro,sector,SII,Agencia Información,Economía,Ventas,Empresas"/>
    <s v="https://analytics.zoho.com/open-view/2395394000008025390?ZOHO_CRITERIA=%22Rubros_Todo%22.%22Id_Regi%C3%B3n%22%3D9"/>
    <x v="9"/>
    <s v="#1774B9"/>
  </r>
  <r>
    <s v="0267"/>
    <n v="990"/>
    <s v="Agencia Información"/>
    <s v="Economía"/>
    <n v="10"/>
    <x v="20"/>
    <x v="12"/>
    <x v="1"/>
    <x v="10"/>
    <x v="1"/>
    <x v="22"/>
    <s v="Año 2019"/>
    <s v="UF"/>
    <s v="Servicio de Impuestos Internos (SII)"/>
    <s v="Ventas anuales en UF por rubro en la Región de Los Lagos, Año 2019"/>
    <s v="El rubro económico que cuenta con el mayor porcentaje de ventas anuales en UF es el A - Agricultura, ganadería, silvicultura y pesca, con un 47% de las ventas totales en la Región de Los Lagos."/>
    <s v="Gráfico"/>
    <s v="Región de Los Lagos,empresas,ventas,estimadas,rubro,sector,SII,Agencia Información,Economía,Ventas,Empresas"/>
    <s v="https://analytics.zoho.com/open-view/2395394000008025390?ZOHO_CRITERIA=%22Rubros_Todo%22.%22Id_Regi%C3%B3n%22%3D10"/>
    <x v="10"/>
    <s v="#1774B9"/>
  </r>
  <r>
    <s v="0268"/>
    <n v="990"/>
    <s v="Agencia Información"/>
    <s v="Economía"/>
    <n v="11"/>
    <x v="20"/>
    <x v="12"/>
    <x v="1"/>
    <x v="11"/>
    <x v="1"/>
    <x v="22"/>
    <s v="Año 2019"/>
    <s v="UF"/>
    <s v="Servicio de Impuestos Internos (SII)"/>
    <s v="Ventas anuales en UF por rubro en la Región de Aysén, Año 2019"/>
    <s v="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
    <s v="Gráfico"/>
    <s v="Región de Aysén,empresas,ventas,estimadas,rubro,sector,SII,Agencia Información,Economía,Ventas,Empresas"/>
    <s v="https://analytics.zoho.com/open-view/2395394000008025390?ZOHO_CRITERIA=%22Rubros_Todo%22.%22Id_Regi%C3%B3n%22%3D11"/>
    <x v="11"/>
    <s v="#1774B9"/>
  </r>
  <r>
    <s v="0269"/>
    <n v="990"/>
    <s v="Agencia Información"/>
    <s v="Economía"/>
    <n v="12"/>
    <x v="20"/>
    <x v="12"/>
    <x v="1"/>
    <x v="12"/>
    <x v="1"/>
    <x v="22"/>
    <s v="Año 2019"/>
    <s v="UF"/>
    <s v="Servicio de Impuestos Internos (SII)"/>
    <s v="Ventas anuales en UF por rubro en la Región de Magallanes, Año 2019"/>
    <s v="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
    <s v="Gráfico"/>
    <s v="Región de Magallanes,empresas,ventas,estimadas,rubro,sector,SII,Agencia Información,Economía,Ventas,Empresas"/>
    <s v="https://analytics.zoho.com/open-view/2395394000008025390?ZOHO_CRITERIA=%22Rubros_Todo%22.%22Id_Regi%C3%B3n%22%3D12"/>
    <x v="12"/>
    <s v="#1774B9"/>
  </r>
  <r>
    <s v="0270"/>
    <n v="990"/>
    <s v="Agencia Información"/>
    <s v="Economía"/>
    <n v="13"/>
    <x v="20"/>
    <x v="12"/>
    <x v="1"/>
    <x v="13"/>
    <x v="1"/>
    <x v="22"/>
    <s v="Año 2019"/>
    <s v="UF"/>
    <s v="Servicio de Impuestos Internos (SII)"/>
    <s v="Ventas anuales en UF por rubro en la Región Metropolitana, Año 2019"/>
    <s v="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
    <s v="Gráfico"/>
    <s v="Región Metropolitana,empresas,ventas,estimadas,rubro,sector,SII,Agencia Información,Economía,Ventas,Empresas"/>
    <s v="https://analytics.zoho.com/open-view/2395394000008025390?ZOHO_CRITERIA=%22Rubros_Todo%22.%22Id_Regi%C3%B3n%22%3D13"/>
    <x v="13"/>
    <s v="#1774B9"/>
  </r>
  <r>
    <s v="0271"/>
    <n v="990"/>
    <s v="Agencia Información"/>
    <s v="Economía"/>
    <n v="14"/>
    <x v="20"/>
    <x v="12"/>
    <x v="1"/>
    <x v="14"/>
    <x v="1"/>
    <x v="22"/>
    <s v="Año 2019"/>
    <s v="UF"/>
    <s v="Servicio de Impuestos Internos (SII)"/>
    <s v="Ventas anuales en UF por rubro en la Región de Los Ríos, Año 2019"/>
    <s v="El rubro económico que cuenta con el mayor porcentaje de ventas anuales en UF es el A - Agricultura, ganadería, silvicultura y pesca, con un 24% de las ventas totales en la Región de Los Ríos."/>
    <s v="Gráfico"/>
    <s v="Región de Los Ríos,empresas,ventas,estimadas,rubro,sector,SII,Agencia Información,Economía,Ventas,Empresas"/>
    <s v="https://analytics.zoho.com/open-view/2395394000008025390?ZOHO_CRITERIA=%22Rubros_Todo%22.%22Id_Regi%C3%B3n%22%3D14"/>
    <x v="14"/>
    <s v="#1774B9"/>
  </r>
  <r>
    <s v="0272"/>
    <n v="990"/>
    <s v="Agencia Información"/>
    <s v="Economía"/>
    <n v="15"/>
    <x v="20"/>
    <x v="12"/>
    <x v="1"/>
    <x v="15"/>
    <x v="1"/>
    <x v="22"/>
    <s v="Año 2019"/>
    <s v="UF"/>
    <s v="Servicio de Impuestos Internos (SII)"/>
    <s v="Ventas anuales en UF por rubro en la Región de Arica y Parinacota, Año 2019"/>
    <s v="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
    <s v="Gráfico"/>
    <s v="Región de Arica y Parinacota,empresas,ventas,estimadas,rubro,sector,SII,Agencia Información,Economía,Ventas,Empresas"/>
    <s v="https://analytics.zoho.com/open-view/2395394000008025390?ZOHO_CRITERIA=%22Rubros_Todo%22.%22Id_Regi%C3%B3n%22%3D15"/>
    <x v="15"/>
    <s v="#1774B9"/>
  </r>
  <r>
    <s v="0273"/>
    <n v="990"/>
    <s v="Agencia Información"/>
    <s v="Economía"/>
    <n v="16"/>
    <x v="20"/>
    <x v="12"/>
    <x v="1"/>
    <x v="16"/>
    <x v="1"/>
    <x v="22"/>
    <s v="Año 2019"/>
    <s v="UF"/>
    <s v="Servicio de Impuestos Internos (SII)"/>
    <s v="Ventas anuales en UF por rubro en la Región de Ñuble, Año 2019"/>
    <s v="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
    <s v="Gráfico"/>
    <s v="Región de Ñuble,empresas,ventas,estimadas,rubro,sector,SII,Agencia Información,Economía,Ventas,Empresas"/>
    <s v="https://analytics.zoho.com/open-view/2395394000008025390?ZOHO_CRITERIA=%22Rubros_Todo%22.%22Id_Regi%C3%B3n%22%3D16"/>
    <x v="16"/>
    <s v="#1774B9"/>
  </r>
  <r>
    <s v="0274"/>
    <n v="990"/>
    <s v="Agencia Información"/>
    <s v="Mujeres"/>
    <n v="0"/>
    <x v="21"/>
    <x v="2"/>
    <x v="0"/>
    <x v="0"/>
    <x v="1"/>
    <x v="23"/>
    <s v="Año 2021"/>
    <s v="Número de Centros de la Mujer"/>
    <s v="Servicio Nacional de la Mujer y Equidad de Género (SERNAMEG)"/>
    <s v="Cantidad de Centros de la Mujer por Región en el Año 2021"/>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centros,mujer,violencia,género,mujeres,establecimientos,Agencia Información,Mujeres,Establecimientos de Apoyo,Violencia Contra la Mujer"/>
    <s v="https://analytics.zoho.com/open-view/2395394000007777048"/>
    <x v="34"/>
    <s v="#1774B9"/>
  </r>
  <r>
    <s v="0275"/>
    <n v="990"/>
    <s v="Agencia Información"/>
    <s v="Mujeres"/>
    <n v="0"/>
    <x v="21"/>
    <x v="2"/>
    <x v="0"/>
    <x v="0"/>
    <x v="1"/>
    <x v="24"/>
    <s v="Periodo 2014-2019"/>
    <s v="Número de Mujeres"/>
    <s v="Servicio Nacional de la Mujer y Equidad de Género (SERNAMEG)"/>
    <s v="Cantidad de Mujeres Ingresadas en Centros de la Mujer en Chile para el Periodo 2014-2019"/>
    <s v="La cantidad de mujeres ingresadas a Centros de la Mujer disminuyen a partir del año 2014. El año 2018 se registra la menor disminución, con una variación de -11% en relación al año anterior, que equivale al ingreso de 17.059 mujeres."/>
    <s v="Gráfico de Evolución"/>
    <s v="Chile,centros,mujer,violencia,género,mujeres,ingresos,cantidad,Agencia Información,Mujeres,Establecimientos de Apoyo,Violencia Contra la Mujer"/>
    <s v="https://analytics.zoho.com/open-view/2395394000007777075"/>
    <x v="34"/>
    <s v="#1774B9"/>
  </r>
  <r>
    <s v="0276"/>
    <n v="990"/>
    <s v="Agencia Información"/>
    <s v="Mujeres"/>
    <n v="0"/>
    <x v="21"/>
    <x v="2"/>
    <x v="0"/>
    <x v="0"/>
    <x v="1"/>
    <x v="25"/>
    <s v="Periodo 2014-2019"/>
    <s v="Número de salidas"/>
    <s v="Servicio Nacional de la Mujer y Equidad de Género (SERNAMEG)"/>
    <s v="Cantidad de Salidas desde Casas de Acogida en Chile durante el Periodo 2014-2019"/>
    <s v="La cantidad de salidas desde Casas de Acogida disminuyen a partir del año 2015. El año 2018 se registra la menor disminución, con una variación de -18,1% en relación al año anterior."/>
    <s v="Gráfico de Evolución"/>
    <s v="Chile,casas,acogida,violencia,género,mujeres,salidas,establecimientos,Agencia Información,Mujeres,Establecimientos de Apoyo,Violencia Contra la Mujer"/>
    <s v="https://analytics.zoho.com/open-view/2395394000007777114"/>
    <x v="34"/>
    <s v="#1774B9"/>
  </r>
  <r>
    <s v="0277"/>
    <n v="990"/>
    <s v="Agencia Información"/>
    <s v="Mujeres"/>
    <n v="0"/>
    <x v="21"/>
    <x v="2"/>
    <x v="0"/>
    <x v="0"/>
    <x v="1"/>
    <x v="26"/>
    <s v="Periodo 2014-2019"/>
    <s v="Número de salidas"/>
    <s v="Servicio Nacional de la Mujer y Equidad de Género (SERNAMEG)"/>
    <s v="Proporción por tipo de Salida desde Casas de Acogida en Chile para el Periodo 2014-2019"/>
    <s v="En el periodo 2014-2019, el tipo de salida más común desde las Casas de Acogida es el Egreso Efectivo de las mujeres, representando un 57,4% del total."/>
    <s v="Gráfico de Evolución"/>
    <s v="Chilecasas,acogida,violencia,género,mujeres,salidas,egresos,establecimiento,tipo,derivación,deserción,interrupción,Agencia Información,Mujeres,Establecimientos de Apoyo,Violencia Contra la Mujer"/>
    <s v="https://analytics.zoho.com/open-view/2395394000007777153"/>
    <x v="34"/>
    <s v="#1774B9"/>
  </r>
  <r>
    <s v="0278"/>
    <n v="990"/>
    <s v="Agencia Información"/>
    <s v="Agropecuario y Forestal"/>
    <n v="0"/>
    <x v="7"/>
    <x v="5"/>
    <x v="0"/>
    <x v="0"/>
    <x v="0"/>
    <x v="27"/>
    <s v="Periodo 2012-2020"/>
    <s v="USD"/>
    <s v="Servicio Nacional de Aduanas"/>
    <s v="Evolución de las Exportaciones (USD) de frutas desde Chile para el Periodo 2012-2020"/>
    <s v="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
    <s v="Gráfico de Evolución"/>
    <s v="Chile,valor,exportación,dólar,USD,frutas,frutícola,región,origen,exportado,Agencia Información,Agropecuario y Forestal,Exportaciones,Agricultura"/>
    <s v="https://analytics.zoho.com/open-view/2395394000008195941"/>
    <x v="0"/>
    <s v="#1774B9"/>
  </r>
  <r>
    <s v="0279"/>
    <n v="990"/>
    <s v="Agencia Información"/>
    <s v="Agropecuario y Forestal"/>
    <n v="1"/>
    <x v="7"/>
    <x v="5"/>
    <x v="1"/>
    <x v="1"/>
    <x v="1"/>
    <x v="27"/>
    <s v="Periodo 2012-2020"/>
    <s v="USD"/>
    <s v="Servicio Nacional de Aduanas"/>
    <s v="Evolución de las Exportaciones (USD) de frutas desde la Región de Tarapacá para el Periodo 2012-2020"/>
    <s v="La fruta más exportada desde la Región de Tarapacá, durante el periodo 2012-2020, es la uva, alcanzando su máximo valor de exportación el año 2013, equivalente a 7.666.197 USD."/>
    <s v="Gráfico de Evolución"/>
    <s v="Región de Tarapacá,valor,exportación,dólar,USD,frutas,frutícola,región,origen,exportado,Agencia Información,Agropecuario y Forestal,Exportaciones,Agricultura"/>
    <s v="https://analytics.zoho.com/open-view/2395394000007782936?ZOHO_CRITERIA=%22Trasposicion_4.2%22.%22C%C3%B3digo_Regi%C3%B3n%22%20%3D%201"/>
    <x v="1"/>
    <s v="#1774B9"/>
  </r>
  <r>
    <s v="0280"/>
    <n v="990"/>
    <s v="Agencia Información"/>
    <s v="Agropecuario y Forestal"/>
    <n v="2"/>
    <x v="7"/>
    <x v="5"/>
    <x v="1"/>
    <x v="2"/>
    <x v="1"/>
    <x v="27"/>
    <s v="Periodo 2012-2020"/>
    <s v="USD"/>
    <s v="Servicio Nacional de Aduanas"/>
    <s v="Evolución de las Exportaciones (USD) de frutas desde la Región de Antofagasta para el Periodo 2012-2020"/>
    <s v="La fruta más exportada desde la Región de Antofagasta, durante el periodo 2012-2020, es la uva, alcanzando su máximo valor de exportación el año 2018, equivalente a 1.338.745 USD."/>
    <s v="Gráfico de Evolución"/>
    <s v="Región de Antofagasta,valor,exportación,dólar,USD,frutas,frutícola,región,origen,exportado,Agencia Información,Agropecuario y Forestal,Exportaciones,Agricultura"/>
    <s v="https://analytics.zoho.com/open-view/2395394000007782936?ZOHO_CRITERIA=%22Trasposicion_4.2%22.%22C%C3%B3digo_Regi%C3%B3n%22%20%3D%202"/>
    <x v="2"/>
    <s v="#1774B9"/>
  </r>
  <r>
    <s v="0281"/>
    <n v="990"/>
    <s v="Agencia Información"/>
    <s v="Agropecuario y Forestal"/>
    <n v="3"/>
    <x v="7"/>
    <x v="5"/>
    <x v="1"/>
    <x v="3"/>
    <x v="1"/>
    <x v="27"/>
    <s v="Periodo 2012-2020"/>
    <s v="USD"/>
    <s v="Servicio Nacional de Aduanas"/>
    <s v="Evolución de las Exportaciones (USD) de frutas desde la Región de Atacama para el Periodo 2012-2020"/>
    <s v="La fruta más exportada desde la Región de Atacama, durante el periodo 2012-2020, es la mandarina, alcanzando su máximo valor de exportación el año 2015, equivalentes a 228.230.066 USD."/>
    <s v="Gráfico de Evolución"/>
    <s v="Región de Atacama,valor,exportación,dólar,USD,frutas,frutícola,región,origen,exportado,Agencia Información,Agropecuario y Forestal,Exportaciones,Agricultura"/>
    <s v="https://analytics.zoho.com/open-view/2395394000007782936?ZOHO_CRITERIA=%22Trasposicion_4.2%22.%22C%C3%B3digo_Regi%C3%B3n%22%20%3D%203"/>
    <x v="3"/>
    <s v="#1774B9"/>
  </r>
  <r>
    <s v="0282"/>
    <n v="990"/>
    <s v="Agencia Información"/>
    <s v="Agropecuario y Forestal"/>
    <n v="4"/>
    <x v="7"/>
    <x v="5"/>
    <x v="1"/>
    <x v="4"/>
    <x v="1"/>
    <x v="27"/>
    <s v="Periodo 2012-2020"/>
    <s v="USD"/>
    <s v="Servicio Nacional de Aduanas"/>
    <s v="Evolución de las Exportaciones (USD) de frutas desde la Región de Coquimbo para el Periodo 2012-2020"/>
    <s v="La fruta más exportada desde la Región de Coquimbo, durante el periodo 2012-2020, es la uva, alcanzando su máximo valor de exportación el año 2014, equivalentes a 412.786.476 USD."/>
    <s v="Gráfico de Evolución"/>
    <s v="Región de Coquimbo,valor,exportación,dólar,USD,frutas,frutícola,región,origen,exportado,Agencia Información,Agropecuario y Forestal,Exportaciones,Agricultura"/>
    <s v="https://analytics.zoho.com/open-view/2395394000007782936?ZOHO_CRITERIA=%22Trasposicion_4.2%22.%22C%C3%B3digo_Regi%C3%B3n%22%20%3D%204"/>
    <x v="4"/>
    <s v="#1774B9"/>
  </r>
  <r>
    <s v="0283"/>
    <n v="990"/>
    <s v="Agencia Información"/>
    <s v="Agropecuario y Forestal"/>
    <n v="5"/>
    <x v="7"/>
    <x v="5"/>
    <x v="1"/>
    <x v="5"/>
    <x v="1"/>
    <x v="27"/>
    <s v="Periodo 2012-2020"/>
    <s v="USD"/>
    <s v="Servicio Nacional de Aduanas"/>
    <s v="Evolución de las Exportaciones (USD) de frutas desde la Región de Valparaíso para el Periodo 2012-2020"/>
    <s v="La fruta más exportada desde la Región de Valparaíso, durante el periodo 2012-2020, es la uva, alcanzando su máximo valor de exportación el año 2014, equivalentes a 553.402.145 USD."/>
    <s v="Gráfico de Evolución"/>
    <s v="Región de Valparaíso,valor,exportación,dólar,USD,frutas,frutícola,región,origen,exportado,Agencia Información,Agropecuario y Forestal,Exportaciones,Agricultura"/>
    <s v="https://analytics.zoho.com/open-view/2395394000007782936?ZOHO_CRITERIA=%22Trasposicion_4.2%22.%22C%C3%B3digo_Regi%C3%B3n%22%20%3D%205"/>
    <x v="5"/>
    <s v="#1774B9"/>
  </r>
  <r>
    <s v="0284"/>
    <n v="990"/>
    <s v="Agencia Información"/>
    <s v="Agropecuario y Forestal"/>
    <n v="6"/>
    <x v="7"/>
    <x v="5"/>
    <x v="1"/>
    <x v="6"/>
    <x v="1"/>
    <x v="27"/>
    <s v="Periodo 2012-2020"/>
    <s v="USD"/>
    <s v="Servicio Nacional de Aduanas"/>
    <s v="Evolución de las Exportaciones (USD) de frutas desde la Región de O'Higgins para el Periodo 2012-2020"/>
    <s v="La fruta más exportada desde la Región de O'Higgins, durante el periodo 2012-2020, es la cereza, alcanzando su máximo valor de exportación el año 2019, equivalentes a 1.128.590.971 USD."/>
    <s v="Gráfico de Evolución"/>
    <s v="Región de O'Higgins,valor,exportación,dólar,USD,frutas,frutícola,región,origen,exportado,Agencia Información,Agropecuario y Forestal,Exportaciones,Agricultura"/>
    <s v="https://analytics.zoho.com/open-view/2395394000007782936?ZOHO_CRITERIA=%22Trasposicion_4.2%22.%22C%C3%B3digo_Regi%C3%B3n%22%20%3D%206"/>
    <x v="6"/>
    <s v="#1774B9"/>
  </r>
  <r>
    <s v="0285"/>
    <n v="990"/>
    <s v="Agencia Información"/>
    <s v="Agropecuario y Forestal"/>
    <n v="7"/>
    <x v="7"/>
    <x v="5"/>
    <x v="1"/>
    <x v="7"/>
    <x v="1"/>
    <x v="27"/>
    <s v="Periodo 2012-2020"/>
    <s v="USD"/>
    <s v="Servicio Nacional de Aduanas"/>
    <s v="Evolución de las Exportaciones (USD) de frutas desde la Región de Maule para el Periodo 2012-2020"/>
    <s v="La fruta más exportada desde la Región de Maule, durante el periodo 2012-2020, es la manzana, alcanzando su máximo valor de exportación el año 2014, equivalentes a 478.548.714 USD."/>
    <s v="Gráfico de Evolución"/>
    <s v="Región de Maule,valor,exportación,dólar,USD,frutas,frutícola,región,origen,exportado,Agencia Información,Agropecuario y Forestal,Exportaciones,Agricultura"/>
    <s v="https://analytics.zoho.com/open-view/2395394000007782936?ZOHO_CRITERIA=%22Trasposicion_4.2%22.%22C%C3%B3digo_Regi%C3%B3n%22%20%3D%207"/>
    <x v="7"/>
    <s v="#1774B9"/>
  </r>
  <r>
    <s v="0286"/>
    <n v="990"/>
    <s v="Agencia Información"/>
    <s v="Agropecuario y Forestal"/>
    <n v="8"/>
    <x v="7"/>
    <x v="5"/>
    <x v="1"/>
    <x v="8"/>
    <x v="1"/>
    <x v="27"/>
    <s v="Periodo 2012-2020"/>
    <s v="USD"/>
    <s v="Servicio Nacional de Aduanas"/>
    <s v="Evolución de las Exportaciones (USD) de frutas desde la Región del Biobío para el Periodo 2012-2020"/>
    <s v="La fruta más exportada desde la Región de Biobío, durante el periodo 2012-2020, es el arándano, alcanzando su máximo valor de exportación el año 2018, equivalentes a 141.092.639 USD."/>
    <s v="Gráfico de Evolución"/>
    <s v="Región del Biobío,valor,exportación,dólar,USD,frutas,frutícola,región,origen,exportado,Agencia Información,Agropecuario y Forestal,Exportaciones,Agricultura"/>
    <s v="https://analytics.zoho.com/open-view/2395394000007782936?ZOHO_CRITERIA=%22Trasposicion_4.2%22.%22C%C3%B3digo_Regi%C3%B3n%22%20%3D%208"/>
    <x v="8"/>
    <s v="#1774B9"/>
  </r>
  <r>
    <s v="0287"/>
    <n v="990"/>
    <s v="Agencia Información"/>
    <s v="Agropecuario y Forestal"/>
    <n v="9"/>
    <x v="7"/>
    <x v="5"/>
    <x v="1"/>
    <x v="9"/>
    <x v="1"/>
    <x v="27"/>
    <s v="Periodo 2012-2020"/>
    <s v="USD"/>
    <s v="Servicio Nacional de Aduanas"/>
    <s v="Evolución de las Exportaciones (USD) de frutas desde la Región de La Araucanía para el Periodo 2012-2020"/>
    <s v="La fruta más exportada desde la Región de La Araucanía, durante el periodo 2012-2020, es la manzana, alcanzando su máximo valor de exportación el año 2014, equivalentes a 77.051.940 USD."/>
    <s v="Gráfico de Evolución"/>
    <s v="Región de La Araucanía,valor,exportación,dólar,USD,frutas,frutícola,región,origen,exportado,Agencia Información,Agropecuario y Forestal,Exportaciones,Agricultura"/>
    <s v="https://analytics.zoho.com/open-view/2395394000007782936?ZOHO_CRITERIA=%22Trasposicion_4.2%22.%22C%C3%B3digo_Regi%C3%B3n%22%20%3D%209"/>
    <x v="9"/>
    <s v="#1774B9"/>
  </r>
  <r>
    <s v="0288"/>
    <n v="990"/>
    <s v="Agencia Información"/>
    <s v="Agropecuario y Forestal"/>
    <n v="10"/>
    <x v="7"/>
    <x v="5"/>
    <x v="1"/>
    <x v="10"/>
    <x v="1"/>
    <x v="27"/>
    <s v="Periodo 2012-2020"/>
    <s v="USD"/>
    <s v="Servicio Nacional de Aduanas"/>
    <s v="Evolución de las Exportaciones (USD) de frutas desde la Región de Los Lagos para el Periodo 2012-2020"/>
    <s v="La fruta más exportada desde la Región de Los Lagos, durante el periodo 2012-2020, es el arándano, alcanzando su máximo valor de exportación el año 2014, equivalentes a 39.414.028 USD."/>
    <s v="Gráfico de Evolución"/>
    <s v="Región de Los Lagos,valor,exportación,dólar,USD,frutas,frutícola,región,origen,exportado,Agencia Información,Agropecuario y Forestal,Exportaciones,Agricultura"/>
    <s v="https://analytics.zoho.com/open-view/2395394000007782936?ZOHO_CRITERIA=%22Trasposicion_4.2%22.%22C%C3%B3digo_Regi%C3%B3n%22%20%3D%2010"/>
    <x v="10"/>
    <s v="#1774B9"/>
  </r>
  <r>
    <s v="0289"/>
    <n v="990"/>
    <s v="Agencia Información"/>
    <s v="Agropecuario y Forestal"/>
    <n v="11"/>
    <x v="7"/>
    <x v="5"/>
    <x v="1"/>
    <x v="11"/>
    <x v="1"/>
    <x v="27"/>
    <s v="Periodo 2012-2020"/>
    <s v="USD"/>
    <s v="Servicio Nacional de Aduanas"/>
    <s v="Evolución de las Exportaciones (USD) de frutas desde la Región de Aysén para el Periodo 2012-2020"/>
    <s v="La fruta más exportada desde la Región de Aysén, durante el periodo 2012-2020, es la cereza, alcanzando su máximo valor de exportación el año 2019, equivalentes a 4.534.177 USD."/>
    <s v="Gráfico de Evolución"/>
    <s v="Región de Aysén,valor,exportación,dólar,USD,frutas,frutícola,región,origen,exportado,Agencia Información,Agropecuario y Forestal,Exportaciones,Agricultura"/>
    <s v="https://analytics.zoho.com/open-view/2395394000007782936?ZOHO_CRITERIA=%22Trasposicion_4.2%22.%22C%C3%B3digo_Regi%C3%B3n%22%20%3D%2011"/>
    <x v="11"/>
    <s v="#1774B9"/>
  </r>
  <r>
    <s v="0290"/>
    <n v="990"/>
    <s v="Agencia Información"/>
    <s v="Agropecuario y Forestal"/>
    <n v="12"/>
    <x v="7"/>
    <x v="5"/>
    <x v="1"/>
    <x v="12"/>
    <x v="1"/>
    <x v="27"/>
    <s v="Periodo 2012-2020"/>
    <s v="USD"/>
    <s v="Servicio Nacional de Aduanas"/>
    <s v="Evolución de las Exportaciones (USD) de frutas desde la Región de Magallanes para el Periodo 2012-2020"/>
    <s v="La fruta más exportada desde la Región de Magallanes, durante el periodo 2012-2020, es la nuez, alcanzando su máximo valor de exportación el año 2016, equivalentes a 82.500 USD."/>
    <s v="Gráfico de Evolución"/>
    <s v="Región de Magallanes,valor,exportación,dólar,USD,frutas,frutícola,región,origen,exportado,Agencia Información,Agropecuario y Forestal,Exportaciones,Agricultura"/>
    <s v="https://analytics.zoho.com/open-view/2395394000007782936?ZOHO_CRITERIA=%22Trasposicion_4.2%22.%22C%C3%B3digo_Regi%C3%B3n%22%20%3D%2012"/>
    <x v="12"/>
    <s v="#1774B9"/>
  </r>
  <r>
    <s v="0291"/>
    <n v="990"/>
    <s v="Agencia Información"/>
    <s v="Agropecuario y Forestal"/>
    <n v="13"/>
    <x v="7"/>
    <x v="5"/>
    <x v="1"/>
    <x v="13"/>
    <x v="1"/>
    <x v="27"/>
    <s v="Periodo 2012-2020"/>
    <s v="USD"/>
    <s v="Servicio Nacional de Aduanas"/>
    <s v="Evolución de las Exportaciones (USD) de frutas desde la Región Metropolitana para el Periodo 2012-2020"/>
    <s v="La fruta más exportada desde la Región de Metropolitana, durante el periodo 2012-2020, es la uva, alcanzando su máximo valor de exportación el año 2013, equivalentes a 332.274.928 USD."/>
    <s v="Gráfico de Evolución"/>
    <s v="Región Metropolitana,valor,exportación,dólar,USD,frutas,frutícola,región,origen,exportado,Agencia Información,Agropecuario y Forestal,Exportaciones,Agricultura"/>
    <s v="https://analytics.zoho.com/open-view/2395394000007782936?ZOHO_CRITERIA=%22Trasposicion_4.2%22.%22C%C3%B3digo_Regi%C3%B3n%22%20%3D%2013"/>
    <x v="13"/>
    <s v="#1774B9"/>
  </r>
  <r>
    <s v="0292"/>
    <n v="990"/>
    <s v="Agencia Información"/>
    <s v="Agropecuario y Forestal"/>
    <n v="14"/>
    <x v="7"/>
    <x v="5"/>
    <x v="1"/>
    <x v="14"/>
    <x v="1"/>
    <x v="27"/>
    <s v="Periodo 2012-2020"/>
    <s v="USD"/>
    <s v="Servicio Nacional de Aduanas"/>
    <s v="Evolución de las Exportaciones (USD) de frutas desde la Región de Los Ríos para el Periodo 2012-2020"/>
    <s v="La fruta más exportada desde la Región de Los Ríos, durante el periodo 2012-2020, es el arándano, alcanzando su máximo valor de exportación el año 2020, equivalentes a 56.962.267 USD."/>
    <s v="Gráfico de Evolución"/>
    <s v="Región de Los Ríos,valor,exportación,dólar,USD,frutas,frutícola,región,origen,exportado,Agencia Información,Agropecuario y Forestal,Exportaciones,Agricultura"/>
    <s v="https://analytics.zoho.com/open-view/2395394000007782936?ZOHO_CRITERIA=%22Trasposicion_4.2%22.%22C%C3%B3digo_Regi%C3%B3n%22%20%3D%2014"/>
    <x v="14"/>
    <s v="#1774B9"/>
  </r>
  <r>
    <s v="0293"/>
    <n v="990"/>
    <s v="Agencia Información"/>
    <s v="Agropecuario y Forestal"/>
    <n v="15"/>
    <x v="7"/>
    <x v="5"/>
    <x v="1"/>
    <x v="15"/>
    <x v="1"/>
    <x v="27"/>
    <s v="Periodo 2012-2020"/>
    <s v="USD"/>
    <s v="Servicio Nacional de Aduanas"/>
    <s v="Evolución de las Exportaciones (USD) de frutas desde la Región de Arica y Parinacota para el Periodo 2012-2020"/>
    <s v="La fruta más exportada desde la Región de Arica y Parinacota, durante el periodo 2012-2020, es la nuez, alcanzando su máximo valor de exportación el año 2019, equivalentes a 1.128.109 USD."/>
    <s v="Gráfico de Evolución"/>
    <s v="Región de Arica y Parinacota,valor,exportación,dólar,USD,frutas,frutícola,región,origen,exportado,Agencia Información,Agropecuario y Forestal,Exportaciones,Agricultura"/>
    <s v="https://analytics.zoho.com/open-view/2395394000007782936?ZOHO_CRITERIA=%22Trasposicion_4.2%22.%22C%C3%B3digo_Regi%C3%B3n%22%20%3D%2015"/>
    <x v="15"/>
    <s v="#1774B9"/>
  </r>
  <r>
    <s v="0294"/>
    <n v="990"/>
    <s v="Agencia Información"/>
    <s v="Agropecuario y Forestal"/>
    <n v="16"/>
    <x v="7"/>
    <x v="5"/>
    <x v="1"/>
    <x v="16"/>
    <x v="1"/>
    <x v="27"/>
    <s v="Periodo 2012-2020"/>
    <s v="USD"/>
    <s v="Servicio Nacional de Aduanas"/>
    <s v="Evolución de las Exportaciones (USD) de frutas desde la Región de Ñuble para el Periodo 2012-2020"/>
    <s v="La fruta más exportada desde la Región de Ñuble, durante el periodo 2012-2020, es el arándano, alcanzando su máximo valor de exportación el año 2020, equivalentes a 67.323.677 USD."/>
    <s v="Gráfico de Evolución"/>
    <s v="Región de Ñuble,valor,exportación,dólar,USD,frutas,frutícola,región,origen,exportado,Agencia Información,Agropecuario y Forestal,Exportaciones,Agricultura"/>
    <s v="https://analytics.zoho.com/open-view/2395394000007782936?ZOHO_CRITERIA=%22Trasposicion_4.2%22.%22C%C3%B3digo_Regi%C3%B3n%22%20%3D%2016"/>
    <x v="16"/>
    <s v="#1774B9"/>
  </r>
  <r>
    <s v="0295"/>
    <n v="990"/>
    <s v="Agencia Información"/>
    <s v="Agropecuario y Forestal"/>
    <n v="0"/>
    <x v="7"/>
    <x v="5"/>
    <x v="0"/>
    <x v="0"/>
    <x v="1"/>
    <x v="27"/>
    <s v="Periodo 2012-2020"/>
    <s v="USD"/>
    <s v="Servicio Nacional de Aduanas"/>
    <s v="Valor acumulado (USD) de Exportaciones Frutícolas por país de destino, Periodo 2012-2020"/>
    <s v="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
    <s v="Mapa de calor"/>
    <s v="Chile,exportación,valor,dólar,USD,dólares,frutas,frutícola,nacional,exportado,Agencia Información,Agropecuario y Forestal,Exportaciones,Agricultura"/>
    <s v="https://analytics.zoho.com/open-view/2395394000007801200"/>
    <x v="34"/>
    <s v="#1774B9"/>
  </r>
  <r>
    <s v="0296"/>
    <n v="990"/>
    <s v="Agencia Información"/>
    <s v="Energía"/>
    <n v="0"/>
    <x v="22"/>
    <x v="13"/>
    <x v="0"/>
    <x v="0"/>
    <x v="0"/>
    <x v="28"/>
    <s v="Año 2021"/>
    <s v="MW"/>
    <s v="Comisión Nacional de Energía (CNE)"/>
    <s v="Capacidad Instalada (MW) de Centrales Eléctricas de Energía Renovable y No Renovable en Chile, para el Año 2021"/>
    <s v="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
    <s v="Gráfico"/>
    <s v="Chile,capacidad,instalada,MW,central,eléctrica,renovable,regional,potencia,neta,Agencia Información,Energía,Capacidad Instalada ,Energía"/>
    <s v="https://analytics.zoho.com/open-view/2395394000008378144"/>
    <x v="0"/>
    <s v="#1774B9"/>
  </r>
  <r>
    <s v="0297"/>
    <n v="990"/>
    <s v="Agencia Información"/>
    <s v="Energía"/>
    <n v="1"/>
    <x v="22"/>
    <x v="13"/>
    <x v="1"/>
    <x v="1"/>
    <x v="1"/>
    <x v="28"/>
    <s v="Año 2021"/>
    <s v="MW"/>
    <s v="Comisión Nacional de Energía (CNE)"/>
    <s v="Capacidad Instalada (MW) de Centrales Eléctricas de Energía Renovable y No Renovable en la Región de Tarapacá, para el Año 2021"/>
    <s v="La capacidad instalada en Mw para el año 2021 en la Región de Tarapacá se compone en un 77,9% de centrales de energía renovable y en un 22,1% de centrales de energía no renovable."/>
    <s v="Gráfico"/>
    <s v="Región de Tarapacá,capacidad,instalada,MW,central,eléctrica,renovable,regional,potencia,neta,Agencia Información,Energía,Capacidad Instalada ,Energía"/>
    <s v="https://analytics.zoho.com/open-view/2395394000008378752?ZOHO_CRITERIA=%2216%20Energ%C3%ADas%20Renovables%20y%20No%20Renovables%22.%22Cod_Regi%C3%B3n%22%20%3D%201"/>
    <x v="1"/>
    <s v="#1774B9"/>
  </r>
  <r>
    <s v="0298"/>
    <n v="990"/>
    <s v="Agencia Información"/>
    <s v="Energía"/>
    <n v="2"/>
    <x v="22"/>
    <x v="13"/>
    <x v="1"/>
    <x v="2"/>
    <x v="1"/>
    <x v="28"/>
    <s v="Año 2021"/>
    <s v="MW"/>
    <s v="Comisión Nacional de Energía (CNE)"/>
    <s v="Capacidad Instalada (MW) de Centrales Eléctricas de Energía Renovable y No Renovable en la Región de Antofagasta, para el Año 2021"/>
    <s v="La capacidad instalada en Mw para el año 2021 en la Región de Antofagasta se compone en un 25,9% de centrales de energía renovable y en un 74,1% de centrales de energía no renovable."/>
    <s v="Gráfico"/>
    <s v="Región de Antofagasta,capacidad,instalada,MW,central,eléctrica,renovable,regional,potencia,neta,Agencia Información,Energía,Capacidad Instalada ,Energía"/>
    <s v="https://analytics.zoho.com/open-view/2395394000008378752?ZOHO_CRITERIA=%2216%20Energ%C3%ADas%20Renovables%20y%20No%20Renovables%22.%22Cod_Regi%C3%B3n%22%20%3D%202"/>
    <x v="2"/>
    <s v="#1774B9"/>
  </r>
  <r>
    <s v="0299"/>
    <n v="990"/>
    <s v="Agencia Información"/>
    <s v="Energía"/>
    <n v="3"/>
    <x v="22"/>
    <x v="13"/>
    <x v="1"/>
    <x v="3"/>
    <x v="1"/>
    <x v="28"/>
    <s v="Año 2021"/>
    <s v="MW"/>
    <s v="Comisión Nacional de Energía (CNE)"/>
    <s v="Capacidad Instalada (MW) de Centrales Eléctricas de Energía Renovable y No Renovable en la Región de Atacama, para el Año 2021"/>
    <s v="La capacidad instalada en Mw para el año 2021 en la Región de Atacama se compone en un 56% de centrales de energía renovable y en un 44% de centrales de energía no renovable."/>
    <s v="Gráfico"/>
    <s v="Región de Atacama,capacidad,instalada,MW,central,eléctrica,renovable,regional,potencia,neta,Agencia Información,Energía,Capacidad Instalada ,Energía"/>
    <s v="https://analytics.zoho.com/open-view/2395394000008378752?ZOHO_CRITERIA=%2216%20Energ%C3%ADas%20Renovables%20y%20No%20Renovables%22.%22Cod_Regi%C3%B3n%22%20%3D%203"/>
    <x v="3"/>
    <s v="#1774B9"/>
  </r>
  <r>
    <s v="0300"/>
    <n v="990"/>
    <s v="Agencia Información"/>
    <s v="Energía"/>
    <n v="4"/>
    <x v="22"/>
    <x v="13"/>
    <x v="1"/>
    <x v="4"/>
    <x v="1"/>
    <x v="28"/>
    <s v="Año 2021"/>
    <s v="MW"/>
    <s v="Comisión Nacional de Energía (CNE)"/>
    <s v="Capacidad Instalada (MW) de Centrales Eléctricas de Energía Renovable y No Renovable en la Región de Coquimbo, para el Año 2021"/>
    <s v="La capacidad instalada en Mw para el año 2021 en la Región de Coquimbo se compone en un 71,8% de centrales de energía renovable y en un 28,2% de centrales de energía no renovable."/>
    <s v="Gráfico"/>
    <s v="Región de Coquimbo,capacidad,instalada,MW,central,eléctrica,renovable,regional,potencia,neta,Agencia Información,Energía,Capacidad Instalada ,Energía"/>
    <s v="https://analytics.zoho.com/open-view/2395394000008378752?ZOHO_CRITERIA=%2216%20Energ%C3%ADas%20Renovables%20y%20No%20Renovables%22.%22Cod_Regi%C3%B3n%22%20%3D%204"/>
    <x v="4"/>
    <s v="#1774B9"/>
  </r>
  <r>
    <s v="0301"/>
    <n v="990"/>
    <s v="Agencia Información"/>
    <s v="Energía"/>
    <n v="5"/>
    <x v="22"/>
    <x v="13"/>
    <x v="1"/>
    <x v="5"/>
    <x v="1"/>
    <x v="28"/>
    <s v="Año 2021"/>
    <s v="MW"/>
    <s v="Comisión Nacional de Energía (CNE)"/>
    <s v="Capacidad Instalada (MW) de Centrales Eléctricas de Energía Renovable y No Renovable en la Región de Valparaíso, para el Año 2021"/>
    <s v="La capacidad instalada en Mw para el año 2021 en la Región de Valparaíso se compone en un 11,6% de centrales de energía renovable y en un 88,4% de centrales de energía no renovable."/>
    <s v="Gráfico"/>
    <s v="Región de Valparaíso,capacidad,instalada,MW,central,eléctrica,renovable,regional,potencia,neta,Agencia Información,Energía,Capacidad Instalada ,Energía"/>
    <s v="https://analytics.zoho.com/open-view/2395394000008378752?ZOHO_CRITERIA=%2216%20Energ%C3%ADas%20Renovables%20y%20No%20Renovables%22.%22Cod_Regi%C3%B3n%22%20%3D%205"/>
    <x v="5"/>
    <s v="#1774B9"/>
  </r>
  <r>
    <s v="0302"/>
    <n v="990"/>
    <s v="Agencia Información"/>
    <s v="Energía"/>
    <n v="6"/>
    <x v="22"/>
    <x v="13"/>
    <x v="1"/>
    <x v="6"/>
    <x v="1"/>
    <x v="28"/>
    <s v="Año 2021"/>
    <s v="MW"/>
    <s v="Comisión Nacional de Energía (CNE)"/>
    <s v="Capacidad Instalada (MW) de Centrales Eléctricas de Energía Renovable y No Renovable en la Región de O'Higgins, para el Año 2021"/>
    <s v="La capacidad instalada en Mw para el año 2021 en la Región de O'Higgins se compone en un 81,8% de centrales de energía renovable y en un 18,2% de centrales de energía no renovable."/>
    <s v="Gráfico"/>
    <s v="Región de O'Higgins,capacidad,instalada,MW,central,eléctrica,renovable,regional,potencia,neta,Agencia Información,Energía,Capacidad Instalada ,Energía"/>
    <s v="https://analytics.zoho.com/open-view/2395394000008378752?ZOHO_CRITERIA=%2216%20Energ%C3%ADas%20Renovables%20y%20No%20Renovables%22.%22Cod_Regi%C3%B3n%22%20%3D%206"/>
    <x v="6"/>
    <s v="#1774B9"/>
  </r>
  <r>
    <s v="0303"/>
    <n v="990"/>
    <s v="Agencia Información"/>
    <s v="Energía"/>
    <n v="7"/>
    <x v="22"/>
    <x v="13"/>
    <x v="1"/>
    <x v="7"/>
    <x v="1"/>
    <x v="28"/>
    <s v="Año 2021"/>
    <s v="MW"/>
    <s v="Comisión Nacional de Energía (CNE)"/>
    <s v="Capacidad Instalada (MW) de Centrales Eléctricas de Energía Renovable y No Renovable en la Región de Maule, para el Año 2021"/>
    <s v="La capacidad instalada en Mw para el año 2021 en la Región de Maule se compone en un 92,4% de centrales de energía renovable y en un 7,6% de centrales de energía no renovable."/>
    <s v="Gráfico"/>
    <s v="Región de Maule,capacidad,instalada,MW,central,eléctrica,renovable,regional,potencia,neta,Agencia Información,Energía,Capacidad Instalada ,Energía"/>
    <s v="https://analytics.zoho.com/open-view/2395394000008378752?ZOHO_CRITERIA=%2216%20Energ%C3%ADas%20Renovables%20y%20No%20Renovables%22.%22Cod_Regi%C3%B3n%22%20%3D%207"/>
    <x v="7"/>
    <s v="#1774B9"/>
  </r>
  <r>
    <s v="0304"/>
    <n v="990"/>
    <s v="Agencia Información"/>
    <s v="Energía"/>
    <n v="8"/>
    <x v="22"/>
    <x v="13"/>
    <x v="1"/>
    <x v="8"/>
    <x v="1"/>
    <x v="28"/>
    <s v="Año 2021"/>
    <s v="MW"/>
    <s v="Comisión Nacional de Energía (CNE)"/>
    <s v="Capacidad Instalada (MW) de Centrales Eléctricas de Energía Renovable y No Renovable en la Región del Biobío, para el Año 2021"/>
    <s v="La capacidad instalada en Mw para el año 2021 en la Región del Biobío se compone en un 77,6% de centrales de energía renovable y en un 32,4% de centrales de energía no renovable."/>
    <s v="Gráfico"/>
    <s v="Región del Biobío,capacidad,instalada,MW,central,eléctrica,renovable,regional,potencia,neta,Agencia Información,Energía,Capacidad Instalada ,Energía"/>
    <s v="https://analytics.zoho.com/open-view/2395394000008378752?ZOHO_CRITERIA=%2216%20Energ%C3%ADas%20Renovables%20y%20No%20Renovables%22.%22Cod_Regi%C3%B3n%22%20%3D%208"/>
    <x v="8"/>
    <s v="#1774B9"/>
  </r>
  <r>
    <s v="0305"/>
    <n v="990"/>
    <s v="Agencia Información"/>
    <s v="Energía"/>
    <n v="9"/>
    <x v="22"/>
    <x v="13"/>
    <x v="1"/>
    <x v="9"/>
    <x v="1"/>
    <x v="28"/>
    <s v="Año 2021"/>
    <s v="MW"/>
    <s v="Comisión Nacional de Energía (CNE)"/>
    <s v="Capacidad Instalada (MW) de Centrales Eléctricas de Energía Renovable y No Renovable en la Región de La Araucanía, para el Año 2021"/>
    <s v="La capacidad instalada en Mw para el año 2021 en la Región de La Araucanía se compone en un 97,3% de centrales de energía renovable y en un 2,7% de centrales de energía no renovable."/>
    <s v="Gráfico"/>
    <s v="Región de La Araucanía,capacidad,instalada,MW,central,eléctrica,renovable,regional,potencia,neta,Agencia Información,Energía,Capacidad Instalada ,Energía"/>
    <s v="https://analytics.zoho.com/open-view/2395394000008378752?ZOHO_CRITERIA=%2216%20Energ%C3%ADas%20Renovables%20y%20No%20Renovables%22.%22Cod_Regi%C3%B3n%22%20%3D%209"/>
    <x v="9"/>
    <s v="#1774B9"/>
  </r>
  <r>
    <s v="0306"/>
    <n v="990"/>
    <s v="Agencia Información"/>
    <s v="Energía"/>
    <n v="10"/>
    <x v="22"/>
    <x v="13"/>
    <x v="1"/>
    <x v="10"/>
    <x v="1"/>
    <x v="28"/>
    <s v="Año 2021"/>
    <s v="MW"/>
    <s v="Comisión Nacional de Energía (CNE)"/>
    <s v="Capacidad Instalada (MW) de Centrales Eléctricas de Energía Renovable y No Renovable en la Región de Los Lagos, para el Año 2021"/>
    <s v="La capacidad instalada en Mw para el año 2021 en la Región de Los Lagos se compone en un 71,2% de centrales de energía renovable y en un 28,8% de centrales de energía no renovable."/>
    <s v="Gráfico"/>
    <s v="Región de Los Lagos,capacidad,instalada,MW,central,eléctrica,renovable,regional,potencia,neta,Agencia Información,Energía,Capacidad Instalada ,Energía"/>
    <s v="https://analytics.zoho.com/open-view/2395394000008378752?ZOHO_CRITERIA=%2216%20Energ%C3%ADas%20Renovables%20y%20No%20Renovables%22.%22Cod_Regi%C3%B3n%22%20%3D%2010"/>
    <x v="10"/>
    <s v="#1774B9"/>
  </r>
  <r>
    <s v="0307"/>
    <n v="990"/>
    <s v="Agencia Información"/>
    <s v="Energía"/>
    <n v="11"/>
    <x v="22"/>
    <x v="13"/>
    <x v="1"/>
    <x v="11"/>
    <x v="1"/>
    <x v="28"/>
    <s v="Año 2021"/>
    <s v="MW"/>
    <s v="Comisión Nacional de Energía (CNE)"/>
    <s v="Capacidad Instalada (MW) de Centrales Eléctricas de Energía Renovable y No Renovable en la Región de Aysén, para el Año 2021"/>
    <s v="La capacidad instalada en Mw para el año 2021 en la Región de Aysén se compone en un 42% de centrales de energía renovable y en un 58% de centrales de energía no renovable."/>
    <s v="Gráfico"/>
    <s v="Región de Aysén,capacidad,instalada,MW,central,eléctrica,renovable,regional,potencia,neta,Agencia Información,Energía,Capacidad Instalada ,Energía"/>
    <s v="https://analytics.zoho.com/open-view/2395394000008378752?ZOHO_CRITERIA=%2216%20Energ%C3%ADas%20Renovables%20y%20No%20Renovables%22.%22Cod_Regi%C3%B3n%22%20%3D%2011"/>
    <x v="11"/>
    <s v="#1774B9"/>
  </r>
  <r>
    <s v="0308"/>
    <n v="990"/>
    <s v="Agencia Información"/>
    <s v="Energía"/>
    <n v="12"/>
    <x v="22"/>
    <x v="13"/>
    <x v="1"/>
    <x v="12"/>
    <x v="1"/>
    <x v="28"/>
    <s v="Año 2021"/>
    <s v="MW"/>
    <s v="Comisión Nacional de Energía (CNE)"/>
    <s v="Capacidad Instalada (MW) de Centrales Eléctricas de Energía Renovable y No Renovable en la Región de Magallanes, para el Año 2021"/>
    <s v="La capacidad instalada en Mw para el año 2021 en la Región de Magallanes se compone en un 2,4% de centrales de energía renovable y en un 97,6% de centrales de energía no renovable."/>
    <s v="Gráfico"/>
    <s v="Región de Magallanes,capacidad,instalada,MW,central,eléctrica,renovable,regional,potencia,neta,Agencia Información,Energía,Capacidad Instalada ,Energía"/>
    <s v="https://analytics.zoho.com/open-view/2395394000008378752?ZOHO_CRITERIA=%2216%20Energ%C3%ADas%20Renovables%20y%20No%20Renovables%22.%22Cod_Regi%C3%B3n%22%20%3D%2012"/>
    <x v="12"/>
    <s v="#1774B9"/>
  </r>
  <r>
    <s v="0309"/>
    <n v="990"/>
    <s v="Agencia Información"/>
    <s v="Energía"/>
    <n v="13"/>
    <x v="22"/>
    <x v="13"/>
    <x v="1"/>
    <x v="13"/>
    <x v="1"/>
    <x v="28"/>
    <s v="Año 2021"/>
    <s v="MW"/>
    <s v="Comisión Nacional de Energía (CNE)"/>
    <s v="Capacidad Instalada (MW) de Centrales Eléctricas de Energía Renovable y No Renovable en la Región Metropolitana, para el Año 2021"/>
    <s v="La capacidad instalada en Mw para el año 2021 en la Región Metropolitana se compone en un 59,1% de centrales de energía renovable y en un 40,9% de centrales de energía no renovable."/>
    <s v="Gráfico"/>
    <s v="Región Metropolitana,capacidad,instalada,MW,central,eléctrica,renovable,regional,potencia,neta,Agencia Información,Energía,Capacidad Instalada ,Energía"/>
    <s v="https://analytics.zoho.com/open-view/2395394000008378752?ZOHO_CRITERIA=%2216%20Energ%C3%ADas%20Renovables%20y%20No%20Renovables%22.%22Cod_Regi%C3%B3n%22%20%3D%2013"/>
    <x v="13"/>
    <s v="#1774B9"/>
  </r>
  <r>
    <s v="0310"/>
    <n v="990"/>
    <s v="Agencia Información"/>
    <s v="Energía"/>
    <n v="14"/>
    <x v="22"/>
    <x v="13"/>
    <x v="1"/>
    <x v="14"/>
    <x v="1"/>
    <x v="28"/>
    <s v="Año 2021"/>
    <s v="MW"/>
    <s v="Comisión Nacional de Energía (CNE)"/>
    <s v="Capacidad Instalada (MW) de Centrales Eléctricas de Energía Renovable y No Renovable en la Región de Los Ríos, para el Año 2021"/>
    <s v="La capacidad instalada en Mw para el año 2021 en la Región de Los Ríos se compone en un 63,6% de centrales de energía renovable y en un 36,4% de centrales de energía no renovable."/>
    <s v="Gráfico"/>
    <s v="Región de Los Ríos,capacidad,instalada,MW,central,eléctrica,renovable,regional,potencia,neta,Agencia Información,Energía,Capacidad Instalada ,Energía"/>
    <s v="https://analytics.zoho.com/open-view/2395394000008378752?ZOHO_CRITERIA=%2216%20Energ%C3%ADas%20Renovables%20y%20No%20Renovables%22.%22Cod_Regi%C3%B3n%22%20%3D%2014"/>
    <x v="14"/>
    <s v="#1774B9"/>
  </r>
  <r>
    <s v="0311"/>
    <n v="990"/>
    <s v="Agencia Información"/>
    <s v="Energía"/>
    <n v="15"/>
    <x v="22"/>
    <x v="13"/>
    <x v="1"/>
    <x v="15"/>
    <x v="1"/>
    <x v="28"/>
    <s v="Año 2021"/>
    <s v="MW"/>
    <s v="Comisión Nacional de Energía (CNE)"/>
    <s v="Capacidad Instalada (MW) de Centrales Eléctricas de Energía Renovable y No Renovable en la Región de Arica y Parinacota, para el Año 2021"/>
    <s v="La capacidad instalada en Mw para el año 2021 en la Región de Arica y Parinacota se compone en un 59,6% de centrales de energía renovable y en un 40,4% de centrales de energía no renovable."/>
    <s v="Gráfico"/>
    <s v="Región de Arica y Parinacota,capacidad,instalada,MW,central,eléctrica,renovable,regional,potencia,neta,Agencia Información,Energía,Capacidad Instalada ,Energía"/>
    <s v="https://analytics.zoho.com/open-view/2395394000008378752?ZOHO_CRITERIA=%2216%20Energ%C3%ADas%20Renovables%20y%20No%20Renovables%22.%22Cod_Regi%C3%B3n%22%20%3D%2015"/>
    <x v="15"/>
    <s v="#1774B9"/>
  </r>
  <r>
    <s v="0312"/>
    <n v="990"/>
    <s v="Agencia Información"/>
    <s v="Energía"/>
    <n v="16"/>
    <x v="22"/>
    <x v="13"/>
    <x v="1"/>
    <x v="16"/>
    <x v="1"/>
    <x v="28"/>
    <s v="Año 2021"/>
    <s v="MW"/>
    <s v="Comisión Nacional de Energía (CNE)"/>
    <s v="Capacidad Instalada (MW) de Centrales Eléctricas de Energía Renovable y No Renovable en la Región de Ñuble, para el Año 2021"/>
    <s v="La capacidad instalada en Mw para el año 2021 en la Región de Ñuble se compone en un 90,8% de centrales de energía renovable y en un 9,2% de centrales de energía no renovable."/>
    <s v="Gráfico"/>
    <s v="Región de Ñuble,capacidad,instalada,MW,central,eléctrica,renovable,regional,potencia,neta,Agencia Información,Energía,Capacidad Instalada ,Energía"/>
    <s v="https://analytics.zoho.com/open-view/2395394000008378752?ZOHO_CRITERIA=%2216%20Energ%C3%ADas%20Renovables%20y%20No%20Renovables%22.%22Cod_Regi%C3%B3n%22%20%3D%2016"/>
    <x v="16"/>
    <s v="#1774B9"/>
  </r>
  <r>
    <s v="0313"/>
    <n v="990"/>
    <s v="Agencia Información"/>
    <s v="Agropecuario y Forestal"/>
    <n v="0"/>
    <x v="16"/>
    <x v="5"/>
    <x v="0"/>
    <x v="0"/>
    <x v="0"/>
    <x v="29"/>
    <s v="Periodo 1979-2020"/>
    <s v="Toneladas"/>
    <s v="Oficina de Estudios y Políticas Agrarias (ODEPA)"/>
    <s v="Producción Agrícola (t) en Chile en el Periodo 1979-2020"/>
    <s v="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
    <s v="Gráfico de Evolución"/>
    <s v="Chile,cultivos,producción,agrícola,agricultura,regional,región,histórico,evolución,temporadas,Agencia Información,Agropecuario y Forestal,Producción,Agricultura"/>
    <s v="https://analytics.zoho.com/open-view/2395394000007777467"/>
    <x v="0"/>
    <s v="#1774B9"/>
  </r>
  <r>
    <s v="0314"/>
    <n v="990"/>
    <s v="Agencia Información"/>
    <s v="Agropecuario y Forestal"/>
    <n v="4"/>
    <x v="16"/>
    <x v="5"/>
    <x v="1"/>
    <x v="4"/>
    <x v="0"/>
    <x v="29"/>
    <s v="Periodo 1979-2020"/>
    <s v="Toneladas"/>
    <s v="Oficina de Estudios y Políticas Agrarias (ODEPA)"/>
    <s v="Producción Agrícola (t) en la Región de Coquimbo en el Periodo 1979-2020"/>
    <s v="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
    <s v="Gráfico de Evolución"/>
    <s v="Región de Coquimbo,cultivos,producción,agrícola,agricultura,regional,región,histórico,evolución,temporadas,Agencia Información,Agropecuario y Forestal,Producción,Agricultura"/>
    <s v="https://analytics.zoho.com/open-view/2395394000008257083?ZOHO_CRITERIA=%22Trasposicion_4.10%22.%22Cod_regi%C3%B3n%22%20%3D%204"/>
    <x v="4"/>
    <s v="#1774B9"/>
  </r>
  <r>
    <s v="0315"/>
    <n v="990"/>
    <s v="Agencia Información"/>
    <s v="Agropecuario y Forestal"/>
    <n v="5"/>
    <x v="16"/>
    <x v="5"/>
    <x v="1"/>
    <x v="5"/>
    <x v="0"/>
    <x v="29"/>
    <s v="Periodo 1979-2020"/>
    <s v="Toneladas"/>
    <s v="Oficina de Estudios y Políticas Agrarias (ODEPA)"/>
    <s v="Producción Agrícola (t) en la Región de Valparaíso en el Periodo 1979-2020"/>
    <s v="La producción agrícola en la región de Valparaíso ha tenido variaciones durante las 40 temporadas registradas. El máximo de producción se alcanzó en la temporada 1986/87 con 73.067 ton. Desde el año 2013 se verifica una caída significativa, descendiendo hasta las 3.877 ton."/>
    <s v="Gráfico de Evolución"/>
    <s v="Región de Valparaíso,cultivos,producción,agrícola,agricultura,regional,región,histórico,evolución,temporadas,Agencia Información,Agropecuario y Forestal,Producción,Agricultura"/>
    <s v="https://analytics.zoho.com/open-view/2395394000008257083?ZOHO_CRITERIA=%22Trasposicion_4.10%22.%22Cod_regi%C3%B3n%22%20%3D%205"/>
    <x v="5"/>
    <s v="#1774B9"/>
  </r>
  <r>
    <s v="0316"/>
    <n v="990"/>
    <s v="Agencia Información"/>
    <s v="Agropecuario y Forestal"/>
    <n v="6"/>
    <x v="16"/>
    <x v="5"/>
    <x v="1"/>
    <x v="6"/>
    <x v="0"/>
    <x v="29"/>
    <s v="Periodo 1979-2020"/>
    <s v="Toneladas"/>
    <s v="Oficina de Estudios y Políticas Agrarias (ODEPA)"/>
    <s v="Producción Agrícola (t) en la Región de O'Higgins en el Periodo 1979-2020"/>
    <s v="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
    <s v="Gráfico de Evolución"/>
    <s v="Región de O'Higgins,cultivos,producción,agrícola,agricultura,regional,región,histórico,evolución,temporadas,Agencia Información,Agropecuario y Forestal,Producción,Agricultura"/>
    <s v="https://analytics.zoho.com/open-view/2395394000008257083?ZOHO_CRITERIA=%22Trasposicion_4.10%22.%22Cod_regi%C3%B3n%22%20%3D%206"/>
    <x v="6"/>
    <s v="#1774B9"/>
  </r>
  <r>
    <s v="0317"/>
    <n v="990"/>
    <s v="Agencia Información"/>
    <s v="Agropecuario y Forestal"/>
    <n v="7"/>
    <x v="16"/>
    <x v="5"/>
    <x v="1"/>
    <x v="7"/>
    <x v="0"/>
    <x v="29"/>
    <s v="Periodo 1979-2020"/>
    <s v="Toneladas"/>
    <s v="Oficina de Estudios y Políticas Agrarias (ODEPA)"/>
    <s v="Producción Agrícola (t) en la Región de Maule en el Periodo 1979-2020"/>
    <s v="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
    <s v="Gráfico de Evolución"/>
    <s v="Región de Maule,cultivos,producción,agrícola,agricultura,regional,región,histórico,evolución,temporadas,Agencia Información,Agropecuario y Forestal,Producción,Agricultura"/>
    <s v="https://analytics.zoho.com/open-view/2395394000008257083?ZOHO_CRITERIA=%22Trasposicion_4.10%22.%22Cod_regi%C3%B3n%22%20%3D%207"/>
    <x v="7"/>
    <s v="#1774B9"/>
  </r>
  <r>
    <s v="0318"/>
    <n v="990"/>
    <s v="Agencia Información"/>
    <s v="Agropecuario y Forestal"/>
    <n v="8"/>
    <x v="16"/>
    <x v="5"/>
    <x v="1"/>
    <x v="8"/>
    <x v="0"/>
    <x v="29"/>
    <s v="Periodo 1979-2020"/>
    <s v="Toneladas"/>
    <s v="Oficina de Estudios y Políticas Agrarias (ODEPA)"/>
    <s v="Producción Agrícola (t) en la Región del Biobío en el Periodo 1979-2020"/>
    <s v="La producción agrícola en la región del Biobío tuvo una tendencia al alza durante 32 temporadas. El máximo de producción se alcanzó en la temporada 2012/13 con 2.494.698 ton. En el año 2016, se verifica una rápida caída, descendiendo hasta las 772.897 ton en el año 2020."/>
    <s v="Gráfico de Evolución"/>
    <s v="Región del Biobío,cultivos,producción,agrícola,agricultura,regional,región,histórico,evolución,temporadas,Agencia Información,Agropecuario y Forestal,Producción,Agricultura"/>
    <s v="https://analytics.zoho.com/open-view/2395394000008257083?ZOHO_CRITERIA=%22Trasposicion_4.10%22.%22Cod_regi%C3%B3n%22%20%3D%208"/>
    <x v="8"/>
    <s v="#1774B9"/>
  </r>
  <r>
    <s v="0319"/>
    <n v="990"/>
    <s v="Agencia Información"/>
    <s v="Agropecuario y Forestal"/>
    <n v="9"/>
    <x v="16"/>
    <x v="5"/>
    <x v="1"/>
    <x v="9"/>
    <x v="0"/>
    <x v="29"/>
    <s v="Periodo 1979-2020"/>
    <s v="Toneladas"/>
    <s v="Oficina de Estudios y Políticas Agrarias (ODEPA)"/>
    <s v="Producción Agrícola (t) en la Región de La Araucanía en el Periodo 1979-2020"/>
    <s v="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
    <s v="Gráfico de Evolución"/>
    <s v="Región de La Araucanía,cultivos,producción,agrícola,agricultura,regional,región,histórico,evolución,temporadas,Agencia Información,Agropecuario y Forestal,Producción,Agricultura"/>
    <s v="https://analytics.zoho.com/open-view/2395394000008257083?ZOHO_CRITERIA=%22Trasposicion_4.10%22.%22Cod_regi%C3%B3n%22%20%3D%209"/>
    <x v="9"/>
    <s v="#1774B9"/>
  </r>
  <r>
    <s v="0320"/>
    <n v="990"/>
    <s v="Agencia Información"/>
    <s v="Agropecuario y Forestal"/>
    <n v="10"/>
    <x v="16"/>
    <x v="5"/>
    <x v="1"/>
    <x v="10"/>
    <x v="0"/>
    <x v="29"/>
    <s v="Periodo 1979-2020"/>
    <s v="Toneladas"/>
    <s v="Oficina de Estudios y Políticas Agrarias (ODEPA)"/>
    <s v="Producción Agrícola (t) en la Región de Los Lagos en el Periodo 1979-2020"/>
    <s v="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
    <s v="Gráfico de Evolución"/>
    <s v="Región de Los Lagos,cultivos,producción,agrícola,agricultura,regional,región,histórico,evolución,temporadas,Agencia Información,Agropecuario y Forestal,Producción,Agricultura"/>
    <s v="https://analytics.zoho.com/open-view/2395394000008257083?ZOHO_CRITERIA=%22Trasposicion_4.10%22.%22Cod_regi%C3%B3n%22%20%3D%2010"/>
    <x v="10"/>
    <s v="#1774B9"/>
  </r>
  <r>
    <s v="0321"/>
    <n v="990"/>
    <s v="Agencia Información"/>
    <s v="Agropecuario y Forestal"/>
    <n v="13"/>
    <x v="16"/>
    <x v="5"/>
    <x v="1"/>
    <x v="13"/>
    <x v="0"/>
    <x v="29"/>
    <s v="Periodo 1979-2020"/>
    <s v="Toneladas"/>
    <s v="Oficina de Estudios y Políticas Agrarias (ODEPA)"/>
    <s v="Producción Agrícola (t) en la Región Metropolitana en el Periodo 1979-2020"/>
    <s v="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
    <s v="Gráfico de Evolución"/>
    <s v="Región Metropolitana,cultivos,producción,agrícola,agricultura,regional,región,histórico,evolución,temporadas,Agencia Información,Agropecuario y Forestal,Producción,Agricultura"/>
    <s v="https://analytics.zoho.com/open-view/2395394000008257083?ZOHO_CRITERIA=%22Trasposicion_4.10%22.%22Cod_regi%C3%B3n%22%20%3D%2013"/>
    <x v="13"/>
    <s v="#1774B9"/>
  </r>
  <r>
    <s v="0322"/>
    <n v="990"/>
    <s v="Agencia Información"/>
    <s v="Agropecuario y Forestal"/>
    <n v="14"/>
    <x v="16"/>
    <x v="5"/>
    <x v="1"/>
    <x v="14"/>
    <x v="0"/>
    <x v="29"/>
    <s v="Periodo 1979-2020"/>
    <s v="Toneladas"/>
    <s v="Oficina de Estudios y Políticas Agrarias (ODEPA)"/>
    <s v="Producción Agrícola (t) en la Región de Los Ríos en el Periodo 1979-2020"/>
    <s v="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
    <s v="Gráfico de Evolución"/>
    <s v="Región de Los Ríos,cultivos,producción,agrícola,agricultura,regional,región,histórico,evolución,temporadas,Agencia Información,Agropecuario y Forestal,Producción,Agricultura"/>
    <s v="https://analytics.zoho.com/open-view/2395394000008257083?ZOHO_CRITERIA=%22Trasposicion_4.10%22.%22Cod_regi%C3%B3n%22%20%3D%2014"/>
    <x v="14"/>
    <s v="#1774B9"/>
  </r>
  <r>
    <s v="0323"/>
    <n v="990"/>
    <s v="Agencia Información"/>
    <s v="Agropecuario y Forestal"/>
    <n v="16"/>
    <x v="16"/>
    <x v="5"/>
    <x v="1"/>
    <x v="16"/>
    <x v="0"/>
    <x v="29"/>
    <s v="Periodo 1979-2020"/>
    <s v="Toneladas"/>
    <s v="Oficina de Estudios y Políticas Agrarias (ODEPA)"/>
    <s v="Producción Agrícola (t) en la Región de Ñuble en el Periodo 1979-2020"/>
    <s v="La producción agrícola en la región de Ñuble alcanzó su máximo de producción en la temporada 2017/18 con 1.576.401 ton. En el año 2020, se verifica una producción de 1.241.979 ton. Cabe destacar que no existen datos previo a la existencia de la región."/>
    <s v="Gráfico de Evolución"/>
    <s v="Región de Ñuble,cultivos,producción,agrícola,agricultura,regional,región,histórico,evolución,temporadas,Agencia Información,Agropecuario y Forestal,Producción,Agricultura"/>
    <s v="https://analytics.zoho.com/open-view/2395394000008257083?ZOHO_CRITERIA=%22Trasposicion_4.10%22.%22Cod_regi%C3%B3n%22%20%3D%2016"/>
    <x v="16"/>
    <s v="#1774B9"/>
  </r>
  <r>
    <s v="0324"/>
    <n v="990"/>
    <s v="Agencia Información"/>
    <s v="Agropecuario y Forestal"/>
    <n v="0"/>
    <x v="23"/>
    <x v="5"/>
    <x v="0"/>
    <x v="0"/>
    <x v="1"/>
    <x v="30"/>
    <s v="Periodo 2012-2020"/>
    <s v="Toneladas"/>
    <s v="Servicio Nacional de Aduanas"/>
    <s v="Volumen de Importaciones (t) de frutas tropicales y subtropicales, en el Periodo 2012-2020"/>
    <s v="Dentro del grupo de frutas Tropicales y Subtropicales, el plátano es la fruta con mayor importación en Chile. En el año 2020 se importaron 264.242 toneladas de esta fruta, superando en 1,4 veces la cantidad importada en el año 2012."/>
    <s v="Gráfico de Evolución"/>
    <s v="Chile,importación,volumen,toneladas,frutícola,fruta,frutas,comercio,fruta tropical,fruta subtropical,mango,piña,papaya,coco,plátano,Agencia Información,Agropecuario y Forestal,Importaciones,Agricultura"/>
    <s v="https://analytics.zoho.com/open-view/2395394000007777591?ZOHO_CRITERIA=%22Trasposicion_4.3%22.%22Id_Producto%22%20%3D%20100108"/>
    <x v="34"/>
    <s v="#1774B9"/>
  </r>
  <r>
    <s v="0325"/>
    <n v="990"/>
    <s v="Agencia Información"/>
    <s v="Agropecuario y Forestal"/>
    <n v="0"/>
    <x v="23"/>
    <x v="5"/>
    <x v="0"/>
    <x v="0"/>
    <x v="1"/>
    <x v="30"/>
    <s v="Periodo 2012-2020"/>
    <s v="Toneladas"/>
    <s v="Servicio Nacional de Aduanas"/>
    <s v="Volumen de Importaciones (t) por Procesamiento, en el Periodo 2012-2020"/>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importación,volumen,toneladas,frutícola,fruta,frutas,procesamiento,comercio,fresca,jugo,congelado,conserva,deshidratado,frutos secos,aceite,Agencia Información,Agropecuario y Forestal,Importaciones,Agricultura"/>
    <s v="https://analytics.zoho.com/open-view/2395394000007777311"/>
    <x v="34"/>
    <s v="#1774B9"/>
  </r>
  <r>
    <s v="0326"/>
    <n v="990"/>
    <s v="Agencia Información"/>
    <s v="Mujeres"/>
    <n v="0"/>
    <x v="24"/>
    <x v="14"/>
    <x v="0"/>
    <x v="0"/>
    <x v="1"/>
    <x v="31"/>
    <s v="Periodo 2011-2018"/>
    <s v="Número de Casos"/>
    <s v="Departamento de Estadísticas e Información de la Salud (DEIS) - Ministerio de Salud"/>
    <s v="Evolución de Casos de Cáncer de Cuello Uterino en Chile durante el Periodo 2011-2018"/>
    <s v="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casos,cáncer,cuello,uterino,útero,salud,PAP,examen,papanicolaou,Agencia Información,Mujeres,Programa de Cáncer de Cuello Uterino,Mujer Salud"/>
    <s v="https://analytics.zoho.com/open-view/2395394000008047165"/>
    <x v="34"/>
    <s v="#1774B9"/>
  </r>
  <r>
    <s v="0327"/>
    <n v="990"/>
    <s v="Agencia Información"/>
    <s v="Salud"/>
    <n v="0"/>
    <x v="25"/>
    <x v="15"/>
    <x v="0"/>
    <x v="0"/>
    <x v="0"/>
    <x v="32"/>
    <s v="Periodo 2011-2018"/>
    <s v="Número de Casos"/>
    <s v="Departamento de Estadísticas e Información de la Salud (DEIS) - Ministerio de Salud"/>
    <s v="Evolución de Población en Control en el Programa de VIH/SIDA según sexo en Chile durante el Periodo 2011-2018"/>
    <s v="A nivel nacional, los casos confirmados de VIH/SIDA de acuerdo al Programa de VIH/SIDA, fueron en aumento durante el periodo 2012-2018, marcándose una diferencia en la cantidad de casos de acuerdo al sexo, siendo los hombres los que presentaron más de la mitad de casos."/>
    <s v="Gráfico de Evolución"/>
    <s v="Chile,VIH,SIDA,enfermedad,transmisión,sexual,casos,población,control,programa,sexo,hombre,mujer,evolución,regional,Agencia Información,Salud,Programa de VIH/SIDA,Programas de Salud"/>
    <s v="https://analytics.zoho.com/open-view/2395394000009077375"/>
    <x v="0"/>
    <s v="#1774B9"/>
  </r>
  <r>
    <s v="0328"/>
    <n v="990"/>
    <s v="Agencia Información"/>
    <s v="Salud"/>
    <n v="1"/>
    <x v="25"/>
    <x v="15"/>
    <x v="1"/>
    <x v="1"/>
    <x v="1"/>
    <x v="32"/>
    <s v="Periodo 2011-2018"/>
    <s v="Número de Casos"/>
    <s v="Departamento de Estadísticas e Información de la Salud (DEIS) - Ministerio de Salud"/>
    <s v="Evolución de Población en Control en el Programa de VIH/SIDA según sexo en Región de Tarapacá durante el Periodo 2011-2018"/>
    <s v="En la región de Tarapacá, para el año 2012 la población en control en el programa VIH/SIDA fue de 289 hombres y 84 mujeres, mientras que para el año 2018 fue de 548 hombres y 164 mujeres."/>
    <s v="Gráfico de Evolución"/>
    <s v="Región de Tarapacá,VIH,SIDA,enfermedad,transmisión,sexual,casos,población,control,programa,sexo,hombre,mujer,evolución,regional,Agencia Información,Salud,Programa de VIH/SIDA,Programas de Salud"/>
    <s v="https://analytics.zoho.com/open-view/2395394000007991542?ZOHO_CRITERIA=%22Localiza%20CL%22.%22Codreg%22%20%3D%201"/>
    <x v="1"/>
    <s v="#1774B9"/>
  </r>
  <r>
    <s v="0329"/>
    <n v="990"/>
    <s v="Agencia Información"/>
    <s v="Salud"/>
    <n v="2"/>
    <x v="25"/>
    <x v="15"/>
    <x v="1"/>
    <x v="2"/>
    <x v="1"/>
    <x v="32"/>
    <s v="Periodo 2011-2018"/>
    <s v="Número de Casos"/>
    <s v="Departamento de Estadísticas e Información de la Salud (DEIS) - Ministerio de Salud"/>
    <s v="Evolución de Población en Control en el Programa de VIH/SIDA según sexo en Región de Antofagasta durante el Periodo 2011-2018"/>
    <s v="En la región de Antofagasta, para el año 2012 la población en control en el programa VIH/SIDA fue de 459 hombres y 122 mujeres, mientras que para el año 2018 fue de 963 hombres y 245 mujeres."/>
    <s v="Gráfico de Evolución"/>
    <s v="Región de Antofagasta,VIH,SIDA,enfermedad,transmisión,sexual,casos,población,control,programa,sexo,hombre,mujer,evolución,regional,Agencia Información,Salud,Programa de VIH/SIDA,Programas de Salud"/>
    <s v="https://analytics.zoho.com/open-view/2395394000007991542?ZOHO_CRITERIA=%22Localiza%20CL%22.%22Codreg%22%20%3D%202"/>
    <x v="2"/>
    <s v="#1774B9"/>
  </r>
  <r>
    <s v="0330"/>
    <n v="990"/>
    <s v="Agencia Información"/>
    <s v="Salud"/>
    <n v="3"/>
    <x v="25"/>
    <x v="15"/>
    <x v="1"/>
    <x v="3"/>
    <x v="1"/>
    <x v="32"/>
    <s v="Periodo 2011-2018"/>
    <s v="Número de Casos"/>
    <s v="Departamento de Estadísticas e Información de la Salud (DEIS) - Ministerio de Salud"/>
    <s v="Evolución de Población en Control en el Programa de VIH/SIDA según sexo en Región de Atacama durante el Periodo 2011-2018"/>
    <s v="En la región de Atacama, para el año 2012 la población en control en el programa VIH/SIDA fue de 183 hombres y 68 mujeres, mientras que para el año 2018 fue de 363 hombres y 128 mujeres."/>
    <s v="Gráfico de Evolución"/>
    <s v="Región de Atacama,VIH,SIDA,enfermedad,transmisión,sexual,casos,población,control,programa,sexo,hombre,mujer,evolución,regional,Agencia Información,Salud,Programa de VIH/SIDA,Programas de Salud"/>
    <s v="https://analytics.zoho.com/open-view/2395394000007991542?ZOHO_CRITERIA=%22Localiza%20CL%22.%22Codreg%22%20%3D%203"/>
    <x v="3"/>
    <s v="#1774B9"/>
  </r>
  <r>
    <s v="0331"/>
    <n v="990"/>
    <s v="Agencia Información"/>
    <s v="Salud"/>
    <n v="4"/>
    <x v="25"/>
    <x v="15"/>
    <x v="1"/>
    <x v="4"/>
    <x v="1"/>
    <x v="32"/>
    <s v="Periodo 2011-2018"/>
    <s v="Número de Casos"/>
    <s v="Departamento de Estadísticas e Información de la Salud (DEIS) - Ministerio de Salud"/>
    <s v="Evolución de Población en Control en el Programa de VIH/SIDA según sexo en Región de Coquimbo durante el Periodo 2011-2018"/>
    <s v="En la región de Coquimbo, para el año 2012 la población en control en el programa VIH/SIDA fue de 528 hombres y 173 mujeres, mientras que para el año 2018 fue de 1.173 hombres y 334 mujeres."/>
    <s v="Gráfico de Evolución"/>
    <s v="Región de Coquimbo,VIH,SIDA,enfermedad,transmisión,sexual,casos,población,control,programa,sexo,hombre,mujer,evolución,regional,Agencia Información,Salud,Programa de VIH/SIDA,Programas de Salud"/>
    <s v="https://analytics.zoho.com/open-view/2395394000007991542?ZOHO_CRITERIA=%22Localiza%20CL%22.%22Codreg%22%20%3D%204"/>
    <x v="4"/>
    <s v="#1774B9"/>
  </r>
  <r>
    <s v="0332"/>
    <n v="990"/>
    <s v="Agencia Información"/>
    <s v="Salud"/>
    <n v="5"/>
    <x v="25"/>
    <x v="15"/>
    <x v="1"/>
    <x v="5"/>
    <x v="1"/>
    <x v="32"/>
    <s v="Periodo 2011-2018"/>
    <s v="Número de Casos"/>
    <s v="Departamento de Estadísticas e Información de la Salud (DEIS) - Ministerio de Salud"/>
    <s v="Evolución de Población en Control en el Programa de VIH/SIDA según sexo en Región de Valparaíso durante el Periodo 2011-2018"/>
    <s v="En la región de Valparaíso, para el año 2012 la población en control en el programa VIH/SIDA fue de 2.227 hombres y 632 mujeres, mientras que para el año 2018 fue de 2.745 hombres y 592 mujeres."/>
    <s v="Gráfico de Evolución"/>
    <s v="Región de Valparaíso,VIH,SIDA,enfermedad,transmisión,sexual,casos,población,control,programa,sexo,hombre,mujer,evolución,regional,Agencia Información,Salud,Programa de VIH/SIDA,Programas de Salud"/>
    <s v="https://analytics.zoho.com/open-view/2395394000007991542?ZOHO_CRITERIA=%22Localiza%20CL%22.%22Codreg%22%20%3D%205"/>
    <x v="5"/>
    <s v="#1774B9"/>
  </r>
  <r>
    <s v="0333"/>
    <n v="990"/>
    <s v="Agencia Información"/>
    <s v="Salud"/>
    <n v="6"/>
    <x v="25"/>
    <x v="15"/>
    <x v="1"/>
    <x v="6"/>
    <x v="1"/>
    <x v="32"/>
    <s v="Periodo 2011-2018"/>
    <s v="Número de Casos"/>
    <s v="Departamento de Estadísticas e Información de la Salud (DEIS) - Ministerio de Salud"/>
    <s v="Evolución de Población en Control en el Programa de VIH/SIDA según sexo en Región de O'Higgins durante el Periodo 2011-2018"/>
    <s v="En la región de O'Higgins, para el año 2012 la población en control en el programa VIH/SIDA fue de 334 hombres y 102 mujeres, mientras que para el año 2018 fue de 854 hombres y 222 mujeres."/>
    <s v="Gráfico de Evolución"/>
    <s v="Región de O'Higgins,VIH,SIDA,enfermedad,transmisión,sexual,casos,población,control,programa,sexo,hombre,mujer,evolución,regional,Agencia Información,Salud,Programa de VIH/SIDA,Programas de Salud"/>
    <s v="https://analytics.zoho.com/open-view/2395394000007991542?ZOHO_CRITERIA=%22Localiza%20CL%22.%22Codreg%22%20%3D%206"/>
    <x v="6"/>
    <s v="#1774B9"/>
  </r>
  <r>
    <s v="0334"/>
    <n v="990"/>
    <s v="Agencia Información"/>
    <s v="Salud"/>
    <n v="7"/>
    <x v="25"/>
    <x v="15"/>
    <x v="1"/>
    <x v="7"/>
    <x v="1"/>
    <x v="32"/>
    <s v="Periodo 2011-2018"/>
    <s v="Número de Casos"/>
    <s v="Departamento de Estadísticas e Información de la Salud (DEIS) - Ministerio de Salud"/>
    <s v="Evolución de Población en Control en el Programa de VIH/SIDA según sexo en Región de Maule durante el Periodo 2011-2018"/>
    <s v="En la región del Maule, para el año 2012 la población en control en el programa VIH/SIDA fue de 358 hombres y 147 mujeres, mientras que para el año 2018 fue de 883 hombres y 319 mujeres."/>
    <s v="Gráfico de Evolución"/>
    <s v="Región de Maule,VIH,SIDA,enfermedad,transmisión,sexual,casos,población,control,programa,sexo,hombre,mujer,evolución,regional,Agencia Información,Salud,Programa de VIH/SIDA,Programas de Salud"/>
    <s v="https://analytics.zoho.com/open-view/2395394000007991542?ZOHO_CRITERIA=%22Localiza%20CL%22.%22Codreg%22%20%3D%207"/>
    <x v="7"/>
    <s v="#1774B9"/>
  </r>
  <r>
    <s v="0335"/>
    <n v="990"/>
    <s v="Agencia Información"/>
    <s v="Salud"/>
    <n v="8"/>
    <x v="25"/>
    <x v="15"/>
    <x v="1"/>
    <x v="8"/>
    <x v="1"/>
    <x v="32"/>
    <s v="Periodo 2011-2018"/>
    <s v="Número de Casos"/>
    <s v="Departamento de Estadísticas e Información de la Salud (DEIS) - Ministerio de Salud"/>
    <s v="Evolución de Población en Control en el Programa de VIH/SIDA según sexo en Región del Biobío durante el Periodo 2011-2018"/>
    <s v="En la región del Biobío, para el año 2012 la población en control en el programa VIH/SIDA fue de 830 hombres y 146 mujeres, mientras que para el año 2018 fue de 1.950 hombres y 326 mujeres."/>
    <s v="Gráfico de Evolución"/>
    <s v="Región del Biobío,VIH,SIDA,enfermedad,transmisión,sexual,casos,población,control,programa,sexo,hombre,mujer,evolución,regional,Agencia Información,Salud,Programa de VIH/SIDA,Programas de Salud"/>
    <s v="https://analytics.zoho.com/open-view/2395394000007991542?ZOHO_CRITERIA=%22Localiza%20CL%22.%22Codreg%22%20%3D%208"/>
    <x v="8"/>
    <s v="#1774B9"/>
  </r>
  <r>
    <s v="0336"/>
    <n v="990"/>
    <s v="Agencia Información"/>
    <s v="Salud"/>
    <n v="9"/>
    <x v="25"/>
    <x v="15"/>
    <x v="1"/>
    <x v="9"/>
    <x v="1"/>
    <x v="32"/>
    <s v="Periodo 2011-2018"/>
    <s v="Número de Casos"/>
    <s v="Departamento de Estadísticas e Información de la Salud (DEIS) - Ministerio de Salud"/>
    <s v="Evolución de Población en Control en el Programa de VIH/SIDA según sexo en Región de La Araucanía durante el Periodo 2011-2018"/>
    <s v="En la región de La Araucanía, para el año 2012 la población en control en el programa VIH/SIDA fue de 289 hombres y 84 mujeres, mientras que para el año 2018 fue de 548 hombres y 164 mujeres."/>
    <s v="Gráfico de Evolución"/>
    <s v="Región de La Araucanía,VIH,SIDA,enfermedad,transmisión,sexual,casos,población,control,programa,sexo,hombre,mujer,evolución,regional,Agencia Información,Salud,Programa de VIH/SIDA,Programas de Salud"/>
    <s v="https://analytics.zoho.com/open-view/2395394000007991542?ZOHO_CRITERIA=%22Localiza%20CL%22.%22Codreg%22%20%3D%209"/>
    <x v="9"/>
    <s v="#1774B9"/>
  </r>
  <r>
    <s v="0337"/>
    <n v="990"/>
    <s v="Agencia Información"/>
    <s v="Salud"/>
    <n v="10"/>
    <x v="25"/>
    <x v="15"/>
    <x v="1"/>
    <x v="10"/>
    <x v="1"/>
    <x v="32"/>
    <s v="Periodo 2011-2018"/>
    <s v="Número de Casos"/>
    <s v="Departamento de Estadísticas e Información de la Salud (DEIS) - Ministerio de Salud"/>
    <s v="Evolución de Población en Control en el Programa de VIH/SIDA según sexo en Región de Los Lagos durante el Periodo 2011-2018"/>
    <s v="En la región de Los Lagos, para el año 2012 la población en control en el programa VIH/SIDA fue de 560 hombres y 116 mujeres, mientras que para el año 2018 fue de 1.223 hombres y 317 mujeres."/>
    <s v="Gráfico de Evolución"/>
    <s v="Región de Los Lagos,VIH,SIDA,enfermedad,transmisión,sexual,casos,población,control,programa,sexo,hombre,mujer,evolución,regional,Agencia Información,Salud,Programa de VIH/SIDA,Programas de Salud"/>
    <s v="https://analytics.zoho.com/open-view/2395394000007991542?ZOHO_CRITERIA=%22Localiza%20CL%22.%22Codreg%22%20%3D%2010"/>
    <x v="10"/>
    <s v="#1774B9"/>
  </r>
  <r>
    <s v="0338"/>
    <n v="990"/>
    <s v="Agencia Información"/>
    <s v="Salud"/>
    <n v="11"/>
    <x v="25"/>
    <x v="15"/>
    <x v="1"/>
    <x v="11"/>
    <x v="1"/>
    <x v="32"/>
    <s v="Periodo 2011-2018"/>
    <s v="Número de Casos"/>
    <s v="Departamento de Estadísticas e Información de la Salud (DEIS) - Ministerio de Salud"/>
    <s v="Evolución de Población en Control en el Programa de VIH/SIDA según sexo en Región de Aysén durante el Periodo 2011-2018"/>
    <s v="En la región de Aysén, para el año 2012 la población en control en el programa VIH/SIDA fue de 7 hombres y 1 mujeres, mientras que para el año 2018 fue de 83 hombres y 32 mujeres."/>
    <s v="Gráfico de Evolución"/>
    <s v="Región de Aysén,VIH,SIDA,enfermedad,transmisión,sexual,casos,población,control,programa,sexo,hombre,mujer,evolución,regional,Agencia Información,Salud,Programa de VIH/SIDA,Programas de Salud"/>
    <s v="https://analytics.zoho.com/open-view/2395394000007991542?ZOHO_CRITERIA=%22Localiza%20CL%22.%22Codreg%22%20%3D%2011"/>
    <x v="11"/>
    <s v="#1774B9"/>
  </r>
  <r>
    <s v="0339"/>
    <n v="990"/>
    <s v="Agencia Información"/>
    <s v="Salud"/>
    <n v="12"/>
    <x v="25"/>
    <x v="15"/>
    <x v="1"/>
    <x v="12"/>
    <x v="1"/>
    <x v="32"/>
    <s v="Periodo 2011-2018"/>
    <s v="Número de Casos"/>
    <s v="Departamento de Estadísticas e Información de la Salud (DEIS) - Ministerio de Salud"/>
    <s v="Evolución de Población en Control en el Programa de VIH/SIDA según sexo en Región de Magallanes durante el Periodo 2011-2018"/>
    <s v="En la región de Magallanes, para el año 2012 la población en control en el programa VIH/SIDA fue de 120 hombres y 25 mujeres, mientras que para el año 2018 fue de 34 hombres y 2 mujeres."/>
    <s v="Gráfico de Evolución"/>
    <s v="Región de Magallanes,VIH,SIDA,enfermedad,transmisión,sexual,casos,población,control,programa,sexo,hombre,mujer,evolución,regional,Agencia Información,Salud,Programa de VIH/SIDA,Programas de Salud"/>
    <s v="https://analytics.zoho.com/open-view/2395394000007991542?ZOHO_CRITERIA=%22Localiza%20CL%22.%22Codreg%22%20%3D%2012"/>
    <x v="12"/>
    <s v="#1774B9"/>
  </r>
  <r>
    <s v="0340"/>
    <n v="990"/>
    <s v="Agencia Información"/>
    <s v="Salud"/>
    <n v="13"/>
    <x v="25"/>
    <x v="15"/>
    <x v="1"/>
    <x v="13"/>
    <x v="1"/>
    <x v="32"/>
    <s v="Periodo 2011-2018"/>
    <s v="Número de Casos"/>
    <s v="Departamento de Estadísticas e Información de la Salud (DEIS) - Ministerio de Salud"/>
    <s v="Evolución de Población en Control en el Programa de VIH/SIDA según sexo en Región Metropolitana durante el Periodo 2011-2018"/>
    <s v="En la región Metropolitana, para el año 2012 la población en control en el programa VIH/SIDA fue de 8.057 hombres y 1.117 mujeres, mientras que para el año 2018 fue de 16.660 hombres y 2.601 mujeres."/>
    <s v="Gráfico de Evolución"/>
    <s v="Región Metropolitana,VIH,SIDA,enfermedad,transmisión,sexual,casos,población,control,programa,sexo,hombre,mujer,evolución,regional,Agencia Información,Salud,Programa de VIH/SIDA,Programas de Salud"/>
    <s v="https://analytics.zoho.com/open-view/2395394000007991542?ZOHO_CRITERIA=%22Localiza%20CL%22.%22Codreg%22%20%3D%2013"/>
    <x v="13"/>
    <s v="#1774B9"/>
  </r>
  <r>
    <s v="0341"/>
    <n v="990"/>
    <s v="Agencia Información"/>
    <s v="Salud"/>
    <n v="14"/>
    <x v="25"/>
    <x v="15"/>
    <x v="1"/>
    <x v="14"/>
    <x v="1"/>
    <x v="32"/>
    <s v="Periodo 2011-2018"/>
    <s v="Número de Casos"/>
    <s v="Departamento de Estadísticas e Información de la Salud (DEIS) - Ministerio de Salud"/>
    <s v="Evolución de Población en Control en el Programa de VIH/SIDA según sexo en Región de Los Ríos durante el Periodo 2011-2018"/>
    <s v="En la región de Los Ríos, para el año 2012 la población en control en el programa VIH/SIDA fue de 211 hombres y 64 mujeres, mientras que para el año 2018 fue de 412 hombres y 109 mujeres."/>
    <s v="Gráfico de Evolución"/>
    <s v="Región de Los Ríos,VIH,SIDA,enfermedad,transmisión,sexual,casos,población,control,programa,sexo,hombre,mujer,evolución,regional,Agencia Información,Salud,Programa de VIH/SIDA,Programas de Salud"/>
    <s v="https://analytics.zoho.com/open-view/2395394000007991542?ZOHO_CRITERIA=%22Localiza%20CL%22.%22Codreg%22%20%3D%2014"/>
    <x v="14"/>
    <s v="#1774B9"/>
  </r>
  <r>
    <s v="0342"/>
    <n v="990"/>
    <s v="Agencia Información"/>
    <s v="Salud"/>
    <n v="15"/>
    <x v="25"/>
    <x v="15"/>
    <x v="1"/>
    <x v="15"/>
    <x v="1"/>
    <x v="32"/>
    <s v="Periodo 2011-2018"/>
    <s v="Número de Casos"/>
    <s v="Departamento de Estadísticas e Información de la Salud (DEIS) - Ministerio de Salud"/>
    <s v="Evolución de Población en Control en el Programa de VIH/SIDA según sexo en Región de Arica y Parinacota durante el Periodo 2011-2018"/>
    <s v="En la región de Arica y Parinacota, para el año 2012 la población en control en el programa VIH/SIDA fue de 373 hombres y 135 mujeres, mientras que para el año 2018 fue de 701 hombres y 242 mujeres."/>
    <s v="Gráfico de Evolución"/>
    <s v="Región de Arica y Parinacota,VIH,SIDA,enfermedad,transmisión,sexual,casos,población,control,programa,sexo,hombre,mujer,evolución,regional,Agencia Información,Salud,Programa de VIH/SIDA,Programas de Salud"/>
    <s v="https://analytics.zoho.com/open-view/2395394000007991542?ZOHO_CRITERIA=%22Localiza%20CL%22.%22Codreg%22%20%3D%2015"/>
    <x v="15"/>
    <s v="#1774B9"/>
  </r>
  <r>
    <s v="0343"/>
    <n v="990"/>
    <s v="Agencia Información"/>
    <s v="Salud"/>
    <n v="16"/>
    <x v="25"/>
    <x v="15"/>
    <x v="1"/>
    <x v="16"/>
    <x v="1"/>
    <x v="32"/>
    <s v="Periodo 2011-2018"/>
    <s v="Número de Casos"/>
    <s v="Departamento de Estadísticas e Información de la Salud (DEIS) - Ministerio de Salud"/>
    <s v="Evolución de Población en Control en el Programa de VIH/SIDA según sexo en Región de Ñuble durante el Periodo 2011-2018"/>
    <s v="En la región de Ñuble, para el año 2012 la población en control en el programa VIH/SIDA fue de 139 hombres y 27 mujeres, mientras que para el año 2018 fue de 304 hombres y 67 mujeres."/>
    <s v="Gráfico de Evolución"/>
    <s v="Región de Ñuble,VIH,SIDA,enfermedad,transmisión,sexual,casos,población,control,programa,sexo,hombre,mujer,evolución,regional,Agencia Información,Salud,Programa de VIH/SIDA,Programas de Salud"/>
    <s v="https://analytics.zoho.com/open-view/2395394000007991542?ZOHO_CRITERIA=%22Localiza%20CL%22.%22Codreg%22%20%3D%2016"/>
    <x v="16"/>
    <s v="#1774B9"/>
  </r>
  <r>
    <s v="0344"/>
    <n v="990"/>
    <s v="Agencia Información"/>
    <s v="Medio Ambiente"/>
    <n v="0"/>
    <x v="26"/>
    <x v="16"/>
    <x v="0"/>
    <x v="0"/>
    <x v="1"/>
    <x v="33"/>
    <s v="Año 2020"/>
    <s v="Número de comunas"/>
    <s v="Elaboración propia con datos de CONAF/SUD-Austral, CASEN, CENSO 2017."/>
    <s v="Cantidad de comunas por región según grado de vulnerabilidad al cambio climátic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cambio,climático,vulnerabilidad,índice,cantidad,comunas,Agencia Información,Medio Ambiente,Índice de Vulnerabilidad,Vulnerabilidad"/>
    <s v="https://analytics.zoho.com/open-view/2395394000009424433"/>
    <x v="0"/>
    <s v="#1774B9"/>
  </r>
  <r>
    <s v="0345"/>
    <n v="990"/>
    <s v="Agencia Información"/>
    <s v="Medio Ambiente"/>
    <n v="1"/>
    <x v="26"/>
    <x v="16"/>
    <x v="1"/>
    <x v="1"/>
    <x v="1"/>
    <x v="33"/>
    <s v="Año 2020"/>
    <s v="Número de comunas"/>
    <s v="Elaboración propia con datos de CONAF/SUD-Austral, CASEN, CENSO 2017."/>
    <s v="Cantidad de comunas según grado de vulnerabilidad al cambio climático, Región de Tarapacá,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
    <s v="Gráfico"/>
    <s v="Región de Tarapacá,cambio,climático,vulnerabilidad,índice,cantidad,comunas,Agencia Información,Medio Ambiente,Índice de Vulnerabilidad,Vulnerabilidad"/>
    <s v="https://analytics.zoho.com/open-view/2395394000009443389?ZOHO_CRITERIA=%22Localiza%20CL%22.%22Codreg%22%3D1"/>
    <x v="1"/>
    <s v="#1774B9"/>
  </r>
  <r>
    <s v="0346"/>
    <n v="990"/>
    <s v="Agencia Información"/>
    <s v="Medio Ambiente"/>
    <n v="2"/>
    <x v="26"/>
    <x v="16"/>
    <x v="1"/>
    <x v="2"/>
    <x v="1"/>
    <x v="33"/>
    <s v="Año 2020"/>
    <s v="Número de comunas"/>
    <s v="Elaboración propia con datos de CONAF/SUD-Austral, CASEN, CENSO 2017."/>
    <s v="Cantidad de comunas según grado de vulnerabilidad al cambio climático, Región de Antofagas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
    <s v="Gráfico"/>
    <s v="Región de Antofagasta,cambio,climático,vulnerabilidad,índice,cantidad,comunas,Agencia Información,Medio Ambiente,Índice de Vulnerabilidad,Vulnerabilidad"/>
    <s v="https://analytics.zoho.com/open-view/2395394000009443389?ZOHO_CRITERIA=%22Localiza%20CL%22.%22Codreg%22%3D2"/>
    <x v="2"/>
    <s v="#1774B9"/>
  </r>
  <r>
    <s v="0347"/>
    <n v="990"/>
    <s v="Agencia Información"/>
    <s v="Medio Ambiente"/>
    <n v="3"/>
    <x v="26"/>
    <x v="16"/>
    <x v="1"/>
    <x v="3"/>
    <x v="1"/>
    <x v="33"/>
    <s v="Año 2020"/>
    <s v="Número de comunas"/>
    <s v="Elaboración propia con datos de CONAF/SUD-Austral, CASEN, CENSO 2017."/>
    <s v="Cantidad de comunas según grado de vulnerabilidad al cambio climático, Región de Atacam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
    <s v="Gráfico"/>
    <s v="Región de Atacama,cambio,climático,vulnerabilidad,índice,cantidad,comunas,Agencia Información,Medio Ambiente,Índice de Vulnerabilidad,Vulnerabilidad"/>
    <s v="https://analytics.zoho.com/open-view/2395394000009443389?ZOHO_CRITERIA=%22Localiza%20CL%22.%22Codreg%22%3D3"/>
    <x v="3"/>
    <s v="#1774B9"/>
  </r>
  <r>
    <s v="0348"/>
    <n v="990"/>
    <s v="Agencia Información"/>
    <s v="Medio Ambiente"/>
    <n v="4"/>
    <x v="26"/>
    <x v="16"/>
    <x v="1"/>
    <x v="4"/>
    <x v="1"/>
    <x v="33"/>
    <s v="Año 2020"/>
    <s v="Número de comunas"/>
    <s v="Elaboración propia con datos de CONAF/SUD-Austral, CASEN, CENSO 2017."/>
    <s v="Cantidad de comunas según grado de vulnerabilidad al cambio climático, Región de Coquimb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
    <s v="Gráfico"/>
    <s v="Región de Coquimbo,cambio,climático,vulnerabilidad,índice,cantidad,comunas,Agencia Información,Medio Ambiente,Índice de Vulnerabilidad,Vulnerabilidad"/>
    <s v="https://analytics.zoho.com/open-view/2395394000009443389?ZOHO_CRITERIA=%22Localiza%20CL%22.%22Codreg%22%3D4"/>
    <x v="4"/>
    <s v="#1774B9"/>
  </r>
  <r>
    <s v="0349"/>
    <n v="990"/>
    <s v="Agencia Información"/>
    <s v="Medio Ambiente"/>
    <n v="5"/>
    <x v="26"/>
    <x v="16"/>
    <x v="1"/>
    <x v="5"/>
    <x v="1"/>
    <x v="33"/>
    <s v="Año 2020"/>
    <s v="Número de comunas"/>
    <s v="Elaboración propia con datos de CONAF/SUD-Austral, CASEN, CENSO 2017."/>
    <s v="Cantidad de comunas según grado de vulnerabilidad al cambio climático, Región de Valparaís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
    <s v="Gráfico"/>
    <s v="Región de Valparaíso,cambio,climático,vulnerabilidad,índice,cantidad,comunas,Agencia Información,Medio Ambiente,Índice de Vulnerabilidad,Vulnerabilidad"/>
    <s v="https://analytics.zoho.com/open-view/2395394000009443389?ZOHO_CRITERIA=%22Localiza%20CL%22.%22Codreg%22%3D5"/>
    <x v="5"/>
    <s v="#1774B9"/>
  </r>
  <r>
    <s v="0350"/>
    <n v="990"/>
    <s v="Agencia Información"/>
    <s v="Medio Ambiente"/>
    <n v="6"/>
    <x v="26"/>
    <x v="16"/>
    <x v="1"/>
    <x v="6"/>
    <x v="1"/>
    <x v="33"/>
    <s v="Año 2020"/>
    <s v="Número de comunas"/>
    <s v="Elaboración propia con datos de CONAF/SUD-Austral, CASEN, CENSO 2017."/>
    <s v="Cantidad de comunas según grado de vulnerabilidad al cambio climático, Región de O'Higgin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
    <s v="Gráfico"/>
    <s v="Región de O'Higgins,cambio,climático,vulnerabilidad,índice,cantidad,comunas,Agencia Información,Medio Ambiente,Índice de Vulnerabilidad,Vulnerabilidad"/>
    <s v="https://analytics.zoho.com/open-view/2395394000009443389?ZOHO_CRITERIA=%22Localiza%20CL%22.%22Codreg%22%3D6"/>
    <x v="6"/>
    <s v="#1774B9"/>
  </r>
  <r>
    <s v="0351"/>
    <n v="990"/>
    <s v="Agencia Información"/>
    <s v="Medio Ambiente"/>
    <n v="7"/>
    <x v="26"/>
    <x v="16"/>
    <x v="1"/>
    <x v="7"/>
    <x v="1"/>
    <x v="33"/>
    <s v="Año 2020"/>
    <s v="Número de comunas"/>
    <s v="Elaboración propia con datos de CONAF/SUD-Austral, CASEN, CENSO 2017."/>
    <s v="Cantidad de comunas según grado de vulnerabilidad al cambio climático, Región de Mau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
    <s v="Gráfico"/>
    <s v="Región de Maule,cambio,climático,vulnerabilidad,índice,cantidad,comunas,Agencia Información,Medio Ambiente,Índice de Vulnerabilidad,Vulnerabilidad"/>
    <s v="https://analytics.zoho.com/open-view/2395394000009443389?ZOHO_CRITERIA=%22Localiza%20CL%22.%22Codreg%22%3D7"/>
    <x v="7"/>
    <s v="#1774B9"/>
  </r>
  <r>
    <s v="0352"/>
    <n v="990"/>
    <s v="Agencia Información"/>
    <s v="Medio Ambiente"/>
    <n v="8"/>
    <x v="26"/>
    <x v="16"/>
    <x v="1"/>
    <x v="8"/>
    <x v="1"/>
    <x v="33"/>
    <s v="Año 2020"/>
    <s v="Número de comunas"/>
    <s v="Elaboración propia con datos de CONAF/SUD-Austral, CASEN, CENSO 2017."/>
    <s v="Cantidad de comunas según grado de vulnerabilidad al cambio climático, Región del Biobí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
    <s v="Gráfico"/>
    <s v="Región del Biobío,cambio,climático,vulnerabilidad,índice,cantidad,comunas,Agencia Información,Medio Ambiente,Índice de Vulnerabilidad,Vulnerabilidad"/>
    <s v="https://analytics.zoho.com/open-view/2395394000009443389?ZOHO_CRITERIA=%22Localiza%20CL%22.%22Codreg%22%3D8"/>
    <x v="8"/>
    <s v="#1774B9"/>
  </r>
  <r>
    <s v="0353"/>
    <n v="990"/>
    <s v="Agencia Información"/>
    <s v="Medio Ambiente"/>
    <n v="9"/>
    <x v="26"/>
    <x v="16"/>
    <x v="1"/>
    <x v="9"/>
    <x v="1"/>
    <x v="33"/>
    <s v="Año 2020"/>
    <s v="Número de comunas"/>
    <s v="Elaboración propia con datos de CONAF/SUD-Austral, CASEN, CENSO 2017."/>
    <s v="Cantidad de comunas según grado de vulnerabilidad al cambio climático, Región de La Araucaní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
    <s v="Gráfico"/>
    <s v="Región de La Araucanía,cambio,climático,vulnerabilidad,índice,cantidad,comunas,Agencia Información,Medio Ambiente,Índice de Vulnerabilidad,Vulnerabilidad"/>
    <s v="https://analytics.zoho.com/open-view/2395394000009443389?ZOHO_CRITERIA=%22Localiza%20CL%22.%22Codreg%22%3D9"/>
    <x v="9"/>
    <s v="#1774B9"/>
  </r>
  <r>
    <s v="0354"/>
    <n v="990"/>
    <s v="Agencia Información"/>
    <s v="Medio Ambiente"/>
    <n v="10"/>
    <x v="26"/>
    <x v="16"/>
    <x v="1"/>
    <x v="10"/>
    <x v="1"/>
    <x v="33"/>
    <s v="Año 2020"/>
    <s v="Número de comunas"/>
    <s v="Elaboración propia con datos de CONAF/SUD-Austral, CASEN, CENSO 2017."/>
    <s v="Cantidad de comunas según grado de vulnerabilidad al cambio climático, Región de Los Lag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
    <s v="Gráfico"/>
    <s v="Región de Los Lagos,cambio,climático,vulnerabilidad,índice,cantidad,comunas,Agencia Información,Medio Ambiente,Índice de Vulnerabilidad,Vulnerabilidad"/>
    <s v="https://analytics.zoho.com/open-view/2395394000009443389?ZOHO_CRITERIA=%22Localiza%20CL%22.%22Codreg%22%3D10"/>
    <x v="10"/>
    <s v="#1774B9"/>
  </r>
  <r>
    <s v="0355"/>
    <n v="990"/>
    <s v="Agencia Información"/>
    <s v="Medio Ambiente"/>
    <n v="11"/>
    <x v="26"/>
    <x v="16"/>
    <x v="1"/>
    <x v="11"/>
    <x v="1"/>
    <x v="33"/>
    <s v="Año 2020"/>
    <s v="Número de comunas"/>
    <s v="Elaboración propia con datos de CONAF/SUD-Austral, CASEN, CENSO 2017."/>
    <s v="Cantidad de comunas según grado de vulnerabilidad al cambio climático, Región de Aysén,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
    <s v="Gráfico"/>
    <s v="Región de Aysén,cambio,climático,vulnerabilidad,índice,cantidad,comunas,Agencia Información,Medio Ambiente,Índice de Vulnerabilidad,Vulnerabilidad"/>
    <s v="https://analytics.zoho.com/open-view/2395394000009443389?ZOHO_CRITERIA=%22Localiza%20CL%22.%22Codreg%22%3D11"/>
    <x v="11"/>
    <s v="#1774B9"/>
  </r>
  <r>
    <s v="0356"/>
    <n v="990"/>
    <s v="Agencia Información"/>
    <s v="Medio Ambiente"/>
    <n v="12"/>
    <x v="26"/>
    <x v="16"/>
    <x v="1"/>
    <x v="12"/>
    <x v="1"/>
    <x v="33"/>
    <s v="Año 2020"/>
    <s v="Número de comunas"/>
    <s v="Elaboración propia con datos de CONAF/SUD-Austral, CASEN, CENSO 2017."/>
    <s v="Cantidad de comunas según grado de vulnerabilidad al cambio climático, Región de Magallane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
    <s v="Gráfico"/>
    <s v="Región de Magallanes,cambio,climático,vulnerabilidad,índice,cantidad,comunas,Agencia Información,Medio Ambiente,Índice de Vulnerabilidad,Vulnerabilidad"/>
    <s v="https://analytics.zoho.com/open-view/2395394000009443389?ZOHO_CRITERIA=%22Localiza%20CL%22.%22Codreg%22%3D12"/>
    <x v="12"/>
    <s v="#1774B9"/>
  </r>
  <r>
    <s v="0357"/>
    <n v="990"/>
    <s v="Agencia Información"/>
    <s v="Medio Ambiente"/>
    <n v="13"/>
    <x v="26"/>
    <x v="16"/>
    <x v="1"/>
    <x v="13"/>
    <x v="1"/>
    <x v="33"/>
    <s v="Año 2020"/>
    <s v="Número de comunas"/>
    <s v="Elaboración propia con datos de CONAF/SUD-Austral, CASEN, CENSO 2017."/>
    <s v="Cantidad de comunas según grado de vulnerabilidad al cambio climático, Región Metropolitan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
    <s v="Gráfico"/>
    <s v="Región Metropolitana,cambio,climático,vulnerabilidad,índice,cantidad,comunas,Agencia Información,Medio Ambiente,Índice de Vulnerabilidad,Vulnerabilidad"/>
    <s v="https://analytics.zoho.com/open-view/2395394000009443389?ZOHO_CRITERIA=%22Localiza%20CL%22.%22Codreg%22%3D13"/>
    <x v="13"/>
    <s v="#1774B9"/>
  </r>
  <r>
    <s v="0358"/>
    <n v="990"/>
    <s v="Agencia Información"/>
    <s v="Medio Ambiente"/>
    <n v="14"/>
    <x v="26"/>
    <x v="16"/>
    <x v="1"/>
    <x v="14"/>
    <x v="1"/>
    <x v="33"/>
    <s v="Año 2020"/>
    <s v="Número de comunas"/>
    <s v="Elaboración propia con datos de CONAF/SUD-Austral, CASEN, CENSO 2017."/>
    <s v="Cantidad de comunas según grado de vulnerabilidad al cambio climático, Región de Los Rí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
    <s v="Gráfico"/>
    <s v="Región de Los Ríos,cambio,climático,vulnerabilidad,índice,cantidad,comunas,Agencia Información,Medio Ambiente,Índice de Vulnerabilidad,Vulnerabilidad"/>
    <s v="https://analytics.zoho.com/open-view/2395394000009443389?ZOHO_CRITERIA=%22Localiza%20CL%22.%22Codreg%22%3D14"/>
    <x v="14"/>
    <s v="#1774B9"/>
  </r>
  <r>
    <s v="0359"/>
    <n v="990"/>
    <s v="Agencia Información"/>
    <s v="Medio Ambiente"/>
    <n v="15"/>
    <x v="26"/>
    <x v="16"/>
    <x v="1"/>
    <x v="15"/>
    <x v="1"/>
    <x v="33"/>
    <s v="Año 2020"/>
    <s v="Número de comunas"/>
    <s v="Elaboración propia con datos de CONAF/SUD-Austral, CASEN, CENSO 2017."/>
    <s v="Cantidad de comunas según grado de vulnerabilidad al cambio climático, Región de Arica y Parinaco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
    <s v="Gráfico"/>
    <s v="Región de Arica y Parinacota,cambio,climático,vulnerabilidad,índice,cantidad,comunas,Agencia Información,Medio Ambiente,Índice de Vulnerabilidad,Vulnerabilidad"/>
    <s v="https://analytics.zoho.com/open-view/2395394000009443389?ZOHO_CRITERIA=%22Localiza%20CL%22.%22Codreg%22%3D15"/>
    <x v="15"/>
    <s v="#1774B9"/>
  </r>
  <r>
    <s v="0360"/>
    <n v="990"/>
    <s v="Agencia Información"/>
    <s v="Medio Ambiente"/>
    <n v="16"/>
    <x v="26"/>
    <x v="16"/>
    <x v="1"/>
    <x v="16"/>
    <x v="1"/>
    <x v="33"/>
    <s v="Año 2020"/>
    <s v="Número de comunas"/>
    <s v="Elaboración propia con datos de CONAF/SUD-Austral, CASEN, CENSO 2017."/>
    <s v="Cantidad de comunas según grado de vulnerabilidad al cambio climático, Región de Ñub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
    <s v="Gráfico"/>
    <s v="Región de Ñuble,cambio,climático,vulnerabilidad,índice,cantidad,comunas,Agencia Información,Medio Ambiente,Índice de Vulnerabilidad,Vulnerabilidad"/>
    <s v="https://analytics.zoho.com/open-view/2395394000009443389?ZOHO_CRITERIA=%22Localiza%20CL%22.%22Codreg%22%3D16"/>
    <x v="16"/>
    <s v="#1774B9"/>
  </r>
  <r>
    <s v="0361"/>
    <n v="990"/>
    <s v="Agencia Información"/>
    <s v="Medio Ambiente"/>
    <n v="0"/>
    <x v="26"/>
    <x v="16"/>
    <x v="0"/>
    <x v="0"/>
    <x v="1"/>
    <x v="34"/>
    <s v="Año 2020"/>
    <s v="Número de comunas"/>
    <s v="Elaboración propia con datos de CONAF/SUD-Austral, CASEN, CENSO 2017."/>
    <s v="Mapa de Comunas con ALTA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
    <s v="Mapa de calor"/>
    <s v="Chile,cambio,climático,vulnerabilidad,índice,comunas,alta,Agencia Información,Medio Ambiente,Índice de Vulnerabilidad,Vulnerabilidad"/>
    <s v="https://analytics.zoho.com/open-view/2395394000009424436"/>
    <x v="34"/>
    <s v="#1774B9"/>
  </r>
  <r>
    <s v="0362"/>
    <n v="990"/>
    <s v="Agencia Información"/>
    <s v="Medio Ambiente"/>
    <n v="0"/>
    <x v="26"/>
    <x v="16"/>
    <x v="0"/>
    <x v="0"/>
    <x v="1"/>
    <x v="35"/>
    <s v="Año 2020"/>
    <s v="Número de comunas"/>
    <s v="Elaboración propia con datos de CONAF/SUD-Austral, CASEN, CENSO 2017."/>
    <s v="Ranking de las regiones con mayor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cambio,climático,vulnerabilidad,índice,comunas,alta,moderada,Agencia Información,Medio Ambiente,Índice de Vulnerabilidad,Vulnerabilidad"/>
    <s v="https://analytics.zoho.com/open-view/2395394000009424437"/>
    <x v="34"/>
    <s v="#1774B9"/>
  </r>
  <r>
    <s v="0363"/>
    <n v="990"/>
    <s v="Agencia Información"/>
    <s v="Vivienda y Construcción"/>
    <n v="0"/>
    <x v="18"/>
    <x v="11"/>
    <x v="0"/>
    <x v="0"/>
    <x v="0"/>
    <x v="36"/>
    <s v="Año 2020"/>
    <s v="Porcentaje (%)"/>
    <s v="Observatorio Urbano - Ministerio de Vivienda y Urbanismo (MINVU)"/>
    <s v="Representación geográfica de regiones con la proporción de comunas que poseen IPT's locales, para el Año 202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plan,regulador,comunal,instrumento,planificación,territorial,local,proporción,comunas,límite,urbano,plan,seccional,Agencia Información,Vivienda y Construcción,Instrumentos de Planificación Territorial (IPT),Territorio"/>
    <s v="https://app.powerbi.com/view?r=eyJrIjoiZWFlZTlkOTMtZjVmMS00ZTNjLWIwYjctMWQ3YTI0ZDIwMjlmIiwidCI6IjhmYmFhNWJmLTJlY2MtNGRjOC1iNTZiLThmOTJlMzA3ZjA3NiIsImMiOjR9"/>
    <x v="34"/>
    <s v="#1774B9"/>
  </r>
  <r>
    <s v="0364"/>
    <n v="990"/>
    <s v="Agencia Información"/>
    <s v="Social"/>
    <n v="0"/>
    <x v="27"/>
    <x v="17"/>
    <x v="0"/>
    <x v="0"/>
    <x v="0"/>
    <x v="37"/>
    <s v="Año 2017"/>
    <s v="Número de personas"/>
    <s v="Instituto Nacional de Estadísticas (INE)"/>
    <s v="Cantidad de Personas que se Identifican con un Pueblo Indígena por Pueblo y Sexo, Año 2017"/>
    <s v="En Chile para el año 2017 el pueblo indígena con mayor cantidad de personas fue el pueblo Mapuche con 861.241 hombres y 883.906 mujeres, mientras que la población indígena con menor cantidad de personas fue el pueblo Yagán o Yámana con 864 hombres y 736 mujeres.  "/>
    <s v="Gráfico"/>
    <s v="Chile,población,pueblos,originarios,indígenas,etnia,sexo,mujer,hombre,Agencia Información,Social,Población por sexo,Pueblos Indígenas"/>
    <s v="https://analytics.zoho.com/open-view/2395394000008439156"/>
    <x v="34"/>
    <s v="#1774B9"/>
  </r>
  <r>
    <s v="0365"/>
    <n v="990"/>
    <s v="Agencia Información"/>
    <s v="Social"/>
    <n v="0"/>
    <x v="28"/>
    <x v="18"/>
    <x v="0"/>
    <x v="0"/>
    <x v="3"/>
    <x v="38"/>
    <s v="Periodo 2010-2021"/>
    <s v="Número de personas"/>
    <s v="Servicio de Registro Civil de Chile"/>
    <s v="Cantidad de defunciones anuales por región en Chile, Periodo 2010-2021"/>
    <s v="A nivel nacional, las defunciones presentan un incremento constante desde el año 2012 en adelante, sin embargo, el año 2020 aumentan significativamente más que los años anteriores."/>
    <s v="Dashboard"/>
    <s v="Chile,defunción,población,cantidad,número,demografía,fallecidos,muertos,Agencia Información,Social,Defunciones,Demografía"/>
    <s v="https://app.powerbi.com/view?r=eyJrIjoiZjJhYWRiZjAtNTRkMC00ZmZhLWFmZmUtMjljYjc5MzRiMTZjIiwidCI6IjhmYmFhNWJmLTJlY2MtNGRjOC1iNTZiLThmOTJlMzA3ZjA3NiIsImMiOjR9"/>
    <x v="17"/>
    <s v="#1774B9"/>
  </r>
  <r>
    <s v="0366"/>
    <n v="990"/>
    <s v="Agencia Información"/>
    <s v="Social"/>
    <n v="1"/>
    <x v="28"/>
    <x v="18"/>
    <x v="1"/>
    <x v="1"/>
    <x v="3"/>
    <x v="38"/>
    <s v="Periodo 2010-2021"/>
    <s v="Número de personas"/>
    <s v="Servicio de Registro Civil de Chile"/>
    <s v="Cantidad de defunciones anuales en la Región de Tarapacá, Periodo 2010-2021"/>
    <s v="En la región de Tarapacá se observa que el año 2010 presenta la menor cantidad de defunciones anuales con 1.254. El año 2019 existe un alza, llegando a 1.521, lo que se ve incrementado el año 2020."/>
    <s v="Dashboard"/>
    <s v="Región de Tarapacá,defunción,población,cantidad,número,demografía,fallecidos,muertos,Agencia Información,Social,Defunciones,Demografía"/>
    <s v="https://app.powerbi.com/view?r=eyJrIjoiODUwZTBkYWItOTg4OC00NTY4LThmOGYtNmY1Yjg4ZTBiYThlIiwidCI6IjhmYmFhNWJmLTJlY2MtNGRjOC1iNTZiLThmOTJlMzA3ZjA3NiIsImMiOjR9"/>
    <x v="18"/>
    <s v="#1774B9"/>
  </r>
  <r>
    <s v="0367"/>
    <n v="990"/>
    <s v="Agencia Información"/>
    <s v="Social"/>
    <n v="2"/>
    <x v="28"/>
    <x v="18"/>
    <x v="1"/>
    <x v="2"/>
    <x v="3"/>
    <x v="38"/>
    <s v="Periodo 2010-2021"/>
    <s v="Número de personas"/>
    <s v="Servicio de Registro Civil de Chile"/>
    <s v="Cantidad de defunciones anuales en la Región de Antofagasta, Periodo 2010-2021"/>
    <s v="En la región de Antofagasta se observa desde el año 2015 un incremento constante, siendo el año 2020 el que presenta un mayor aumento con 3.690 defunciones. "/>
    <s v="Dashboard"/>
    <s v="Región de Antofagasta,defunción,población,cantidad,número,demografía,fallecidos,muertos,Agencia Información,Social,Defunciones,Demografía"/>
    <s v="https://app.powerbi.com/view?r=eyJrIjoiNDJiYjBiMTgtMDI3MC00MTYzLWIyNjctOWY3YWI3MzQ5OTZmIiwidCI6IjhmYmFhNWJmLTJlY2MtNGRjOC1iNTZiLThmOTJlMzA3ZjA3NiIsImMiOjR9"/>
    <x v="19"/>
    <s v="#1774B9"/>
  </r>
  <r>
    <s v="0368"/>
    <n v="990"/>
    <s v="Agencia Información"/>
    <s v="Social"/>
    <n v="3"/>
    <x v="28"/>
    <x v="18"/>
    <x v="1"/>
    <x v="3"/>
    <x v="3"/>
    <x v="38"/>
    <s v="Periodo 2010-2021"/>
    <s v="Número de personas"/>
    <s v="Servicio de Registro Civil de Chile"/>
    <s v="Cantidad de defunciones anuales en la Región de Atacama, Periodo 2010-2021"/>
    <s v="En la región de Atacama se observa que el año 2010 presenta la menor cantidad de defunciones anuales con 1.380 casos, presentando un alza en los años siguientes. En tanto el año 2020, presenta la mayor alza con 1.633 defunciones."/>
    <s v="Dashboard"/>
    <s v="Región de Atacama,defunción,población,cantidad,número,demografía,fallecidos,muertos,Agencia Información,Social,Defunciones,Demografía"/>
    <s v="https://app.powerbi.com/view?r=eyJrIjoiYTkxMWQzMWItYjVkZC00MDM1LWI1N2YtODI3ZTcwMjZlMTJhIiwidCI6IjhmYmFhNWJmLTJlY2MtNGRjOC1iNTZiLThmOTJlMzA3ZjA3NiIsImMiOjR9"/>
    <x v="20"/>
    <s v="#1774B9"/>
  </r>
  <r>
    <s v="0369"/>
    <n v="990"/>
    <s v="Agencia Información"/>
    <s v="Social"/>
    <n v="4"/>
    <x v="28"/>
    <x v="18"/>
    <x v="1"/>
    <x v="4"/>
    <x v="3"/>
    <x v="38"/>
    <s v="Periodo 2010-2021"/>
    <s v="Número de personas"/>
    <s v="Servicio de Registro Civil de Chile"/>
    <s v="Cantidad de defunciones anuales en la Región de Coquimbo, Periodo 2010-2021"/>
    <s v="En la región de Coquimbo se observa desde el año 2011 un incremento constante, siendo el año 2020 el que presenta un mayor aumento con 4.781 defunciones. "/>
    <s v="Dashboard"/>
    <s v="Región de Coquimbo,defunción,población,cantidad,número,demografía,fallecidos,muertos,Agencia Información,Social,Defunciones,Demografía"/>
    <s v="https://app.powerbi.com/view?r=eyJrIjoiMzM3MzQwMDMtMzNkNS00ZmJjLWI4NTgtNzQzNDViZjM2ZDdhIiwidCI6IjhmYmFhNWJmLTJlY2MtNGRjOC1iNTZiLThmOTJlMzA3ZjA3NiIsImMiOjR9"/>
    <x v="21"/>
    <s v="#1774B9"/>
  </r>
  <r>
    <s v="0370"/>
    <n v="990"/>
    <s v="Agencia Información"/>
    <s v="Social"/>
    <n v="5"/>
    <x v="28"/>
    <x v="18"/>
    <x v="1"/>
    <x v="5"/>
    <x v="3"/>
    <x v="38"/>
    <s v="Periodo 2010-2021"/>
    <s v="Número de personas"/>
    <s v="Servicio de Registro Civil de Chile"/>
    <s v="Cantidad de defunciones anuales en la Región de Valparaíso, Periodo 2010-2021"/>
    <s v="En la región de Coquimbo se observa desde el año 2011 un incremento constante, siendo el año 2020 el que presenta un mayor aumento con 14.576 defunciones."/>
    <s v="Dashboard"/>
    <s v="Región de Valparaíso,defunción,población,cantidad,número,demografía,fallecidos,muertos,Agencia Información,Social,Defunciones,Demografía"/>
    <s v="https://app.powerbi.com/view?r=eyJrIjoiYzQyZThjYTctOTk5OS00NTY4LWJmZWEtZDYzMjdhNDE5N2Y5IiwidCI6IjhmYmFhNWJmLTJlY2MtNGRjOC1iNTZiLThmOTJlMzA3ZjA3NiIsImMiOjR9"/>
    <x v="22"/>
    <s v="#1774B9"/>
  </r>
  <r>
    <s v="0371"/>
    <n v="990"/>
    <s v="Agencia Información"/>
    <s v="Social"/>
    <n v="6"/>
    <x v="28"/>
    <x v="18"/>
    <x v="1"/>
    <x v="6"/>
    <x v="3"/>
    <x v="38"/>
    <s v="Periodo 2010-2021"/>
    <s v="Número de personas"/>
    <s v="Servicio de Registro Civil de Chile"/>
    <s v="Cantidad de defunciones anuales en la Región de O'Higgins, Periodo 2010-2021"/>
    <s v="En la región de O'Higgins se observa que el año 2011 presenta la menor cantidad de defunciones anuales con 4.739 casos, presentando un alza en los años siguientes. En tanto el año 2020, presenta la mayor alza con 6.425 defunciones."/>
    <s v="Dashboard"/>
    <s v="Región de O'Higgins,defunción,población,cantidad,número,demografía,fallecidos,muertos,Agencia Información,Social,Defunciones,Demografía"/>
    <s v="https://app.powerbi.com/view?r=eyJrIjoiNGEyYjQ5YjQtM2RlMy00NzZmLTg2YjUtOWE5YTg4NmZmYTJiIiwidCI6IjhmYmFhNWJmLTJlY2MtNGRjOC1iNTZiLThmOTJlMzA3ZjA3NiIsImMiOjR9"/>
    <x v="23"/>
    <s v="#1774B9"/>
  </r>
  <r>
    <s v="0372"/>
    <n v="990"/>
    <s v="Agencia Información"/>
    <s v="Social"/>
    <n v="7"/>
    <x v="28"/>
    <x v="18"/>
    <x v="1"/>
    <x v="7"/>
    <x v="3"/>
    <x v="38"/>
    <s v="Periodo 2010-2021"/>
    <s v="Número de personas"/>
    <s v="Servicio de Registro Civil de Chile"/>
    <s v="Cantidad de defunciones anuales en la Región de Maule, Periodo 2010-2021"/>
    <s v="En la región de Maule se observa que el año 2011 presenta la menor cantidad de defunciones anuales con 5.810 casos, presentando un alza en los años siguientes. En tanto el año 2020, presenta la mayor alza con 7.496 defunciones."/>
    <s v="Dashboard"/>
    <s v="Región de Maule,defunción,población,cantidad,número,demografía,fallecidos,muertos,Agencia Información,Social,Defunciones,Demografía"/>
    <s v="https://app.powerbi.com/view?r=eyJrIjoiZjFmZDM4OTItZTEwYi00Mjk2LWJiNWUtMGQ5ZTNlOTVkNjZlIiwidCI6IjhmYmFhNWJmLTJlY2MtNGRjOC1iNTZiLThmOTJlMzA3ZjA3NiIsImMiOjR9"/>
    <x v="24"/>
    <s v="#1774B9"/>
  </r>
  <r>
    <s v="0373"/>
    <n v="990"/>
    <s v="Agencia Información"/>
    <s v="Social"/>
    <n v="8"/>
    <x v="28"/>
    <x v="18"/>
    <x v="1"/>
    <x v="8"/>
    <x v="3"/>
    <x v="38"/>
    <s v="Periodo 2010-2021"/>
    <s v="Número de personas"/>
    <s v="Servicio de Registro Civil de Chile"/>
    <s v="Cantidad de defunciones anuales en la Región del Biobío, Periodo 2010-2021"/>
    <s v="En la región de Biobío se observa desde el año 2011 un incremento constante, siendo el año 2020 el que presenta un mayor aumento con 11.020 defunciones. "/>
    <s v="Dashboard"/>
    <s v="Región del Biobío,defunción,población,cantidad,número,demografía,fallecidos,muertos,Agencia Información,Social,Defunciones,Demografía"/>
    <s v="https://app.powerbi.com/view?r=eyJrIjoiMDI1ZjhhZTctMDhlZi00ZmI1LWIzMjctMzMxM2ZhYzMxN2QzIiwidCI6IjhmYmFhNWJmLTJlY2MtNGRjOC1iNTZiLThmOTJlMzA3ZjA3NiIsImMiOjR9"/>
    <x v="25"/>
    <s v="#1774B9"/>
  </r>
  <r>
    <s v="0374"/>
    <n v="990"/>
    <s v="Agencia Información"/>
    <s v="Social"/>
    <n v="9"/>
    <x v="28"/>
    <x v="18"/>
    <x v="1"/>
    <x v="9"/>
    <x v="3"/>
    <x v="38"/>
    <s v="Periodo 2010-2021"/>
    <s v="Número de personas"/>
    <s v="Servicio de Registro Civil de Chile"/>
    <s v="Cantidad de defunciones anuales en la Región de La Araucanía, Periodo 2010-2021"/>
    <s v="En la región de La Araucanía se observa que el año 2011 presenta la menor cantidad de defunciones anuales con 5.808 casos, presentando un alza en los años siguientes. El año 2019 presenta 6.854 defunciones, en tanto el año 2020, presenta la mayor alza con 7.128 defunciones."/>
    <s v="Dashboard"/>
    <s v="Región de La Araucanía,defunción,población,cantidad,número,demografía,fallecidos,muertos,Agencia Información,Social,Defunciones,Demografía"/>
    <s v="https://app.powerbi.com/view?r=eyJrIjoiZDFmNjZkOGEtZmZjZS00NTVjLWFiYzgtN2M0NDQ0M2NiNmJjIiwidCI6IjhmYmFhNWJmLTJlY2MtNGRjOC1iNTZiLThmOTJlMzA3ZjA3NiIsImMiOjR9"/>
    <x v="26"/>
    <s v="#1774B9"/>
  </r>
  <r>
    <s v="0375"/>
    <n v="990"/>
    <s v="Agencia Información"/>
    <s v="Social"/>
    <n v="10"/>
    <x v="28"/>
    <x v="18"/>
    <x v="1"/>
    <x v="10"/>
    <x v="3"/>
    <x v="38"/>
    <s v="Periodo 2010-2021"/>
    <s v="Número de personas"/>
    <s v="Servicio de Registro Civil de Chile"/>
    <s v="Cantidad de defunciones anuales en la Región de Los Lagos, Periodo 2010-2021"/>
    <s v="El gráfico muestra la evolución, en el periodo 2010-2021, de la cantidad de defunciones anuales en la región de Los Lagos, información regional y comunal, según información de Servicio de registro Civil de Chile."/>
    <s v="Dashboard"/>
    <s v="Región de Los Lagos,defunción,población,cantidad,número,demografía,fallecidos,muertos,Agencia Información,Social,Defunciones,Demografía"/>
    <s v="https://app.powerbi.com/view?r=eyJrIjoiZjg1YTE4MDktYzFmNi00YjcyLWFlMWMtM2I5ZjhlOGZiNjM1IiwidCI6IjhmYmFhNWJmLTJlY2MtNGRjOC1iNTZiLThmOTJlMzA3ZjA3NiIsImMiOjR9"/>
    <x v="27"/>
    <s v="#1774B9"/>
  </r>
  <r>
    <s v="0376"/>
    <n v="990"/>
    <s v="Agencia Información"/>
    <s v="Social"/>
    <n v="11"/>
    <x v="28"/>
    <x v="18"/>
    <x v="1"/>
    <x v="11"/>
    <x v="3"/>
    <x v="38"/>
    <s v="Periodo 2010-2021"/>
    <s v="Número de personas"/>
    <s v="Servicio de Registro Civil de Chile"/>
    <s v="Cantidad de defunciones anuales en la Región de Aysén, Periodo 2010-2021"/>
    <s v="En la región de La Aysén se observa que el año 2016 presenta la menor cantidad de defunciones anuales con 470 casos. El año 2019 presenta 533 defunciones, en tanto el año 2020, presenta la mayor alza con 593."/>
    <s v="Dashboard"/>
    <s v="Región de Aysén,defunción,población,cantidad,número,demografía,fallecidos,muertos,Agencia Información,Social,Defunciones,Demografía"/>
    <s v="https://app.powerbi.com/view?r=eyJrIjoiYWFlYWExNTItZDc4YS00MmVlLThjYmQtZDE0Mjg4MDI4ZTZiIiwidCI6IjhmYmFhNWJmLTJlY2MtNGRjOC1iNTZiLThmOTJlMzA3ZjA3NiIsImMiOjR9"/>
    <x v="33"/>
    <s v="#1774B9"/>
  </r>
  <r>
    <s v="0377"/>
    <n v="990"/>
    <s v="Agencia Información"/>
    <s v="Social"/>
    <n v="12"/>
    <x v="28"/>
    <x v="18"/>
    <x v="1"/>
    <x v="12"/>
    <x v="3"/>
    <x v="38"/>
    <s v="Periodo 2010-2021"/>
    <s v="Número de personas"/>
    <s v="Servicio de Registro Civil de Chile"/>
    <s v="Cantidad de defunciones anuales en la Región de Magallanes, Periodo 2010-2021"/>
    <s v="En la región de Magallanes se observa que el año 2015 presenta 1.023 defunciones, presentando un alza en los años siguientes. En tanto el año 2020, presenta la mayor alza con 1.268 defunciones."/>
    <s v="Dashboard"/>
    <s v="Región de Magallanes,defunción,población,cantidad,número,demografía,fallecidos,muertos,Agencia Información,Social,Defunciones,Demografía"/>
    <s v="https://app.powerbi.com/view?r=eyJrIjoiNmQ4YjE5NzAtZjZhYy00NzMxLWI5MTAtNGM4YzQzZGIyNTgwIiwidCI6IjhmYmFhNWJmLTJlY2MtNGRjOC1iNTZiLThmOTJlMzA3ZjA3NiIsImMiOjR9&amp;pageName=ReportSection9386d36f00b3701c0c1d"/>
    <x v="28"/>
    <s v="#1774B9"/>
  </r>
  <r>
    <s v="0378"/>
    <n v="990"/>
    <s v="Agencia Información"/>
    <s v="Social"/>
    <n v="13"/>
    <x v="28"/>
    <x v="18"/>
    <x v="1"/>
    <x v="13"/>
    <x v="3"/>
    <x v="38"/>
    <s v="Periodo 2010-2021"/>
    <s v="Número de personas"/>
    <s v="Servicio de Registro Civil de Chile"/>
    <s v="Cantidad de defunciones anuales en la Región Metropolitana, Periodo 2010-2021"/>
    <s v="En la región Metropolitana, el año 2011 presenta 36.874 defunciones anuales, en los años siguientes se observa un alza continua, llegando al año 2019 con 42.183. En tanto el año 2020 presenta la mayor alza del periodo con 51.970 defunciones."/>
    <s v="Dashboard"/>
    <s v="Región Metropolitana,defunción,población,cantidad,número,demografía,fallecidos,muertos,Agencia Información,Social,Defunciones,Demografía"/>
    <s v="https://app.powerbi.com/view?r=eyJrIjoiYjc2MjY2MjYtZDUyZS00MjUwLWI1MWItOTFkN2I5NzJhZWQzIiwidCI6IjhmYmFhNWJmLTJlY2MtNGRjOC1iNTZiLThmOTJlMzA3ZjA3NiIsImMiOjR9"/>
    <x v="29"/>
    <s v="#1774B9"/>
  </r>
  <r>
    <s v="0379"/>
    <n v="990"/>
    <s v="Agencia Información"/>
    <s v="Social"/>
    <n v="14"/>
    <x v="28"/>
    <x v="18"/>
    <x v="1"/>
    <x v="14"/>
    <x v="3"/>
    <x v="38"/>
    <s v="Periodo 2010-2021"/>
    <s v="Número de personas"/>
    <s v="Servicio de Registro Civil de Chile"/>
    <s v="Cantidad de defunciones anuales en la Región de Los Ríos, Periodo 2010-2021"/>
    <s v="El gráfico muestra la evolución, en el periodo 2010-2021, de la cantidad de defunciones anuales en la región de Los Ríos, información regional y comunal, según información de Servicio de Registro Civil de Chile."/>
    <s v="Dashboard"/>
    <s v="Región de Los Ríos,defunción,población,cantidad,número,demografía,fallecidos,muertos,Agencia Información,Social,Defunciones,Demografía"/>
    <s v="https://app.powerbi.com/view?r=eyJrIjoiNjllOGM2MWUtZmRjNS00ZGRjLTk2NDEtYTQ4MDRiMWY3MTQ0IiwidCI6IjhmYmFhNWJmLTJlY2MtNGRjOC1iNTZiLThmOTJlMzA3ZjA3NiIsImMiOjR9"/>
    <x v="30"/>
    <s v="#1774B9"/>
  </r>
  <r>
    <s v="0380"/>
    <n v="990"/>
    <s v="Agencia Información"/>
    <s v="Social"/>
    <n v="15"/>
    <x v="28"/>
    <x v="18"/>
    <x v="1"/>
    <x v="15"/>
    <x v="3"/>
    <x v="38"/>
    <s v="Periodo 2010-2021"/>
    <s v="Número de personas"/>
    <s v="Servicio de Registro Civil de Chile"/>
    <s v="Cantidad de defunciones anuales en la Región de Arica y Parinacota, Periodo 2010-2021"/>
    <s v="El gráfico muestra la evolución, en el periodo 2010-2021, de la cantidad de defunciones anuales en la región de Arica y Parinacota, información regional y comunal, según información de Servicio de Registro Civil de Chile."/>
    <s v="Dashboard"/>
    <s v="Región de Arica y Parinacota,defunción,población,cantidad,número,demografía,fallecidos,muertos,Agencia Información,Social,Defunciones,Demografía"/>
    <s v="https://app.powerbi.com/view?r=eyJrIjoiYmM4NDNmZGQtNDEzMS00MzRkLWJiZWUtYjljYWE2MGU5NzgwIiwidCI6IjhmYmFhNWJmLTJlY2MtNGRjOC1iNTZiLThmOTJlMzA3ZjA3NiIsImMiOjR9"/>
    <x v="31"/>
    <s v="#1774B9"/>
  </r>
  <r>
    <s v="0381"/>
    <n v="990"/>
    <s v="Agencia Información"/>
    <s v="Social"/>
    <n v="16"/>
    <x v="28"/>
    <x v="18"/>
    <x v="1"/>
    <x v="16"/>
    <x v="3"/>
    <x v="38"/>
    <s v="Periodo 2010-2021"/>
    <s v="Número de personas"/>
    <s v="Servicio de Registro Civil de Chile"/>
    <s v="Cantidad de defunciones anuales en la Región de Ñuble, Periodo 2010-2021"/>
    <s v="El gráfico muestra la evolución, en el periodo 2010-2021, de la cantidad de defunciones anuales en la región de Ñuble, información regional y comunal, según información de Servicio de Registro Civil de Chile."/>
    <s v="Dashboard"/>
    <s v="Región de Ñuble,defunción,población,cantidad,número,demografía,fallecidos,muertos,Agencia Información,Social,Defunciones,Demografía"/>
    <s v="https://app.powerbi.com/view?r=eyJrIjoiOWVmOWU0YTYtZWY0NS00ZTZlLWJlMDMtYTMwNWVjOTU5YTNhIiwidCI6IjhmYmFhNWJmLTJlY2MtNGRjOC1iNTZiLThmOTJlMzA3ZjA3NiIsImMiOjR9"/>
    <x v="32"/>
    <s v="#1774B9"/>
  </r>
  <r>
    <s v="0382"/>
    <n v="990"/>
    <s v="Agencia Información"/>
    <s v="Social"/>
    <n v="0"/>
    <x v="29"/>
    <x v="18"/>
    <x v="0"/>
    <x v="0"/>
    <x v="3"/>
    <x v="39"/>
    <s v="Periodo 2010-2021"/>
    <s v="Número de personas"/>
    <s v="Servicio de Registro Civil de Chile"/>
    <s v="Cantidad de nacimientos anuales por región en Chile, Periodo 2010-2021"/>
    <s v="A nivel nacional, en el periodo 2010-2021, se observa que el año 2014 presenta la mayor cantidad de nacimientos con 252.177, presentando una baja para los años siguientes, llegando a 194.981 nacimientos el año 2020"/>
    <s v="Dashboard"/>
    <s v="Chile,nacimiento,población,cantidad,número,demografía,nacidos,Agencia Información,Social,Nacimientos,Demografía"/>
    <s v="https://app.powerbi.com/view?r=eyJrIjoiZDhlM2ZjNDQtYjE2My00NmY3LWE5ZjktNjI2NGZkMDA0Njc3IiwidCI6IjhmYmFhNWJmLTJlY2MtNGRjOC1iNTZiLThmOTJlMzA3ZjA3NiIsImMiOjR9&amp;pageName=ReportSection9386d36f00b3701c0c1d"/>
    <x v="17"/>
    <s v="#1774B9"/>
  </r>
  <r>
    <s v="0383"/>
    <n v="990"/>
    <s v="Agencia Información"/>
    <s v="Social"/>
    <n v="1"/>
    <x v="29"/>
    <x v="18"/>
    <x v="1"/>
    <x v="1"/>
    <x v="3"/>
    <x v="39"/>
    <s v="Periodo 2010-2021"/>
    <s v="Número de personas"/>
    <s v="Servicio de Registro Civil de Chile"/>
    <s v="Cantidad de nacimientos anuales en la Región de Tarapacá, Periodo 2010-2021"/>
    <s v="Se observa que desde el año 2015 se presenta una disminución constante de los nacimientos en la región de Tarapacá, pasando de 5.729 nacimientos el año 2015 a 4.668 en el año 2020."/>
    <s v="Dashboard"/>
    <s v="Región de Tarapacá,nacimiento,población,cantidad,número,demografía,nacidos,Agencia Información,Social,Nacimientos,Demografía"/>
    <s v="https://app.powerbi.com/view?r=eyJrIjoiNTY2Mjc1MmUtNDRjNy00NzU3LWE0MWYtOGE3MjJjM2Q1MzczIiwidCI6IjhmYmFhNWJmLTJlY2MtNGRjOC1iNTZiLThmOTJlMzA3ZjA3NiIsImMiOjR9"/>
    <x v="18"/>
    <s v="#1774B9"/>
  </r>
  <r>
    <s v="0384"/>
    <n v="990"/>
    <s v="Agencia Información"/>
    <s v="Social"/>
    <n v="2"/>
    <x v="29"/>
    <x v="18"/>
    <x v="1"/>
    <x v="2"/>
    <x v="3"/>
    <x v="39"/>
    <s v="Periodo 2010-2021"/>
    <s v="Número de personas"/>
    <s v="Servicio de Registro Civil de Chile"/>
    <s v="Cantidad de nacimientos anuales en la Región de Antofagasta, Periodo 2010-2021"/>
    <s v="La región de Antofagasta, presenta la mayor cantidad de nacimientos el año 2014 con 10.117, luego de este año se observa una disminución constante de los nacimientos. En el año 2020 llegan a ser 7.394 nacimientos a nivel regional."/>
    <s v="Dashboard"/>
    <s v="Región de Antofagasta,nacimiento,población,cantidad,número,demografía,nacidos,Agencia Información,Social,Nacimientos,Demografía"/>
    <s v="https://app.powerbi.com/view?r=eyJrIjoiNzUwZmFjMGEtMTIyYy00YzZiLWFmYzEtZTc5N2IyNGYxZjEyIiwidCI6IjhmYmFhNWJmLTJlY2MtNGRjOC1iNTZiLThmOTJlMzA3ZjA3NiIsImMiOjR9"/>
    <x v="19"/>
    <s v="#1774B9"/>
  </r>
  <r>
    <s v="0385"/>
    <n v="990"/>
    <s v="Agencia Información"/>
    <s v="Social"/>
    <n v="3"/>
    <x v="29"/>
    <x v="18"/>
    <x v="1"/>
    <x v="3"/>
    <x v="3"/>
    <x v="39"/>
    <s v="Periodo 2010-2021"/>
    <s v="Número de personas"/>
    <s v="Servicio de Registro Civil de Chile"/>
    <s v="Cantidad de nacimientos anuales en la Región de Atacama, Periodo 2010-2021"/>
    <s v="La región de Atacama, presenta la mayor cantidad de nacimientos el año 2014 con 4.894, luego de este año se observa una disminución constante de los nacimientos. En el año 2020 llegan a ser 3.198 nacimientos a nivel regional."/>
    <s v="Dashboard"/>
    <s v="Región de Atacama,nacimiento,población,cantidad,número,demografía,nacidos,Agencia Información,Social,Nacimientos,Demografía"/>
    <s v="https://app.powerbi.com/view?r=eyJrIjoiOGRjNzkwNzgtMWMzZS00NDhlLWEyNzAtZDJhMTkyZjc1Yjk5IiwidCI6IjhmYmFhNWJmLTJlY2MtNGRjOC1iNTZiLThmOTJlMzA3ZjA3NiIsImMiOjR9"/>
    <x v="20"/>
    <s v="#1774B9"/>
  </r>
  <r>
    <s v="0386"/>
    <n v="990"/>
    <s v="Agencia Información"/>
    <s v="Social"/>
    <n v="4"/>
    <x v="29"/>
    <x v="18"/>
    <x v="1"/>
    <x v="4"/>
    <x v="3"/>
    <x v="39"/>
    <s v="Periodo 2010-2021"/>
    <s v="Número de personas"/>
    <s v="Servicio de Registro Civil de Chile"/>
    <s v="Cantidad de nacimientos anuales en la Región de Coquimbo, Periodo 2010-2021"/>
    <s v="El gráfico presenta la evolución, en el periodo 2010-2021, de la cantidad de nacimientos anuales, en la región de Coquimbo, a escala regional y comunal, según datos de Servicio de Registro Civil de Chile."/>
    <s v="Dashboard"/>
    <s v="Región de Coquimbo,nacimiento,población,cantidad,número,demografía,nacidos,Agencia Información,Social,Nacimientos,Demografía"/>
    <s v="https://app.powerbi.com/view?r=eyJrIjoiODdiNDkxMDAtN2FhMC00YWU3LTg5NDEtOTU2ODRhN2E0ZjI3IiwidCI6IjhmYmFhNWJmLTJlY2MtNGRjOC1iNTZiLThmOTJlMzA3ZjA3NiIsImMiOjR9"/>
    <x v="21"/>
    <s v="#1774B9"/>
  </r>
  <r>
    <s v="0387"/>
    <n v="990"/>
    <s v="Agencia Información"/>
    <s v="Social"/>
    <n v="5"/>
    <x v="29"/>
    <x v="18"/>
    <x v="1"/>
    <x v="5"/>
    <x v="3"/>
    <x v="39"/>
    <s v="Periodo 2010-2021"/>
    <s v="Número de personas"/>
    <s v="Servicio de Registro Civil de Chile"/>
    <s v="Cantidad de nacimientos anuales en la Región de Valparaíso, Periodo 2010-2021"/>
    <s v="El gráfico presenta la evolución, en el periodo 2010-2021, de la cantidad de nacimientos anuales, en la región de Valparaíso, a escala regional y comunal, según datos de Servicio de Registro Civil de Chile."/>
    <s v="Dashboard"/>
    <s v="Región de Valparaíso,nacimiento,población,cantidad,número,demografía,nacidos,Agencia Información,Social,Nacimientos,Demografía"/>
    <s v="https://app.powerbi.com/view?r=eyJrIjoiYTZmOTVjYjUtNDdkNS00ODllLWIwNjctNjM3MjNkNmM2OTAwIiwidCI6IjhmYmFhNWJmLTJlY2MtNGRjOC1iNTZiLThmOTJlMzA3ZjA3NiIsImMiOjR9"/>
    <x v="22"/>
    <s v="#1774B9"/>
  </r>
  <r>
    <s v="0388"/>
    <n v="990"/>
    <s v="Agencia Información"/>
    <s v="Social"/>
    <n v="6"/>
    <x v="29"/>
    <x v="18"/>
    <x v="1"/>
    <x v="6"/>
    <x v="3"/>
    <x v="39"/>
    <s v="Periodo 2010-2021"/>
    <s v="Número de personas"/>
    <s v="Servicio de Registro Civil de Chile"/>
    <s v="Cantidad de nacimientos anuales en la Región de O'Higgins, Periodo 2010-2021"/>
    <s v="La región de O'Higgins, en el periodo 2010-2011, el año 2010 presenta la mayor cantidad de nacimiento llegando a 12.332 casos. En tanto el año 2020 se observa una disminución en referencia al resto de los años con 10.198 nacimientos"/>
    <s v="Dashboard"/>
    <s v="Región de O'Higgins,nacimiento,población,cantidad,número,demografía,nacidos,Agencia Información,Social,Nacimientos,Demografía"/>
    <s v="https://app.powerbi.com/view?r=eyJrIjoiOTI0NDRhY2ItZGVlZS00Mjk2LWE0NWMtZmJkMTJlMWZhZDk4IiwidCI6IjhmYmFhNWJmLTJlY2MtNGRjOC1iNTZiLThmOTJlMzA3ZjA3NiIsImMiOjR9"/>
    <x v="23"/>
    <s v="#1774B9"/>
  </r>
  <r>
    <s v="0389"/>
    <n v="990"/>
    <s v="Agencia Información"/>
    <s v="Social"/>
    <n v="7"/>
    <x v="29"/>
    <x v="18"/>
    <x v="1"/>
    <x v="7"/>
    <x v="3"/>
    <x v="39"/>
    <s v="Periodo 2010-2021"/>
    <s v="Número de personas"/>
    <s v="Servicio de Registro Civil de Chile"/>
    <s v="Cantidad de nacimientos anuales en la Región de Maule, Periodo 2010-2021"/>
    <s v="El gráfico presenta la evolución, en el periodo 2010-2021, de la cantidad de nacimientos anuales, en la región de Maule, a escala regional y comunal, según datos de Servicio de Registro Civil de Chile."/>
    <s v="Dashboard"/>
    <s v="Región de Maule,nacimiento,población,cantidad,número,demografía,nacidos,Agencia Información,Social,Nacimientos,Demografía"/>
    <s v="https://app.powerbi.com/view?r=eyJrIjoiMTc0YzhlMjQtNWY1NC00Njc1LTgzOGItNzAzNGZjZTlhYTAxIiwidCI6IjhmYmFhNWJmLTJlY2MtNGRjOC1iNTZiLThmOTJlMzA3ZjA3NiIsImMiOjR9"/>
    <x v="24"/>
    <s v="#1774B9"/>
  </r>
  <r>
    <s v="0390"/>
    <n v="990"/>
    <s v="Agencia Información"/>
    <s v="Social"/>
    <n v="8"/>
    <x v="29"/>
    <x v="18"/>
    <x v="1"/>
    <x v="8"/>
    <x v="3"/>
    <x v="39"/>
    <s v="Periodo 2010-2021"/>
    <s v="Número de personas"/>
    <s v="Servicio de Registro Civil de Chile"/>
    <s v="Cantidad de nacimientos anuales en la Región del Biobío, Periodo 2010-2021"/>
    <s v="La región de Biobío, presenta la mayor cantidad de nacimientos el año 2014 con 22.120, luego de este año se observa una disminución constante de los nacimientos. En el año 2020 llegan a ser 16.428 nacimientos a nivel regional."/>
    <s v="Dashboard"/>
    <s v="Región del Biobío,nacimiento,población,cantidad,número,demografía,nacidos,Agencia Información,Social,Nacimientos,Demografía"/>
    <s v="https://app.powerbi.com/view?r=eyJrIjoiZjc1MDVmYTEtY2RhMi00MjVlLWE4YmItODA0MmJhZmE0MzUwIiwidCI6IjhmYmFhNWJmLTJlY2MtNGRjOC1iNTZiLThmOTJlMzA3ZjA3NiIsImMiOjR9"/>
    <x v="25"/>
    <s v="#1774B9"/>
  </r>
  <r>
    <s v="0391"/>
    <n v="990"/>
    <s v="Agencia Información"/>
    <s v="Social"/>
    <n v="9"/>
    <x v="29"/>
    <x v="18"/>
    <x v="1"/>
    <x v="9"/>
    <x v="3"/>
    <x v="39"/>
    <s v="Periodo 2010-2021"/>
    <s v="Número de personas"/>
    <s v="Servicio de Registro Civil de Chile"/>
    <s v="Cantidad de nacimientos anuales en la Región de La Araucanía, Periodo 2010-2021"/>
    <s v="La región de La Araucanía, presenta la mayor cantidad de nacimientos el año 2014 con 13.485, luego de este año se observa una disminución constante de los nacimientos. Siendo el año 2020 el año con menor cantidad llegando a 10.231 nacimientos a nivel regional."/>
    <s v="Dashboard"/>
    <s v="Región de La Araucanía,nacimiento,población,cantidad,número,demografía,nacidos,Agencia Información,Social,Nacimientos,Demografía"/>
    <s v="https://app.powerbi.com/view?r=eyJrIjoiMmY4NjE0ZDQtMzQxOC00MmExLWJmMDktNjhmNTA4NDkyMjNhIiwidCI6IjhmYmFhNWJmLTJlY2MtNGRjOC1iNTZiLThmOTJlMzA3ZjA3NiIsImMiOjR9"/>
    <x v="26"/>
    <s v="#1774B9"/>
  </r>
  <r>
    <s v="0392"/>
    <n v="990"/>
    <s v="Agencia Información"/>
    <s v="Social"/>
    <n v="10"/>
    <x v="29"/>
    <x v="18"/>
    <x v="1"/>
    <x v="10"/>
    <x v="3"/>
    <x v="39"/>
    <s v="Periodo 2010-2021"/>
    <s v="Número de personas"/>
    <s v="Servicio de Registro Civil de Chile"/>
    <s v="Cantidad de nacimientos anuales en la Región de Los Lagos, Periodo 2010-2021"/>
    <s v="El gráfico presenta la evolución, en el periodo 2010-2021, de la cantidad de nacimientos anuales, en la región de Los Lagos, a escala regional y comunal, según datos de Servicio de Registro Civil de Chile."/>
    <s v="Dashboard"/>
    <s v="Región de Los Lagos,nacimiento,población,cantidad,número,demografía,nacidos,Agencia Información,Social,Nacimientos,Demografía"/>
    <s v="https://app.powerbi.com/view?r=eyJrIjoiMTE2MzJkOTktMWEyNy00MzVjLWEzYzUtODYyZGQyMmVhMDU5IiwidCI6IjhmYmFhNWJmLTJlY2MtNGRjOC1iNTZiLThmOTJlMzA3ZjA3NiIsImMiOjR9"/>
    <x v="27"/>
    <s v="#1774B9"/>
  </r>
  <r>
    <s v="0393"/>
    <n v="990"/>
    <s v="Agencia Información"/>
    <s v="Social"/>
    <n v="11"/>
    <x v="29"/>
    <x v="18"/>
    <x v="1"/>
    <x v="11"/>
    <x v="3"/>
    <x v="39"/>
    <s v="Periodo 2010-2021"/>
    <s v="Número de personas"/>
    <s v="Servicio de Registro Civil de Chile"/>
    <s v="Cantidad de nacimientos anuales en la Región de Aysén, Periodo 2010-2021"/>
    <s v="El gráfico presenta la evolución, en el periodo 2010-2021, de la cantidad de nacimientos anuales, en la región de Aysén, a escala regional y comunal, según datos de Servicio de Registro Civil de Chile."/>
    <s v="Dashboard"/>
    <s v="Región de Aysén,nacimiento,población,cantidad,número,demografía,nacidos,Agencia Información,Social,Nacimientos,Demografía"/>
    <s v="https://app.powerbi.com/view?r=eyJrIjoiNjNlODQ2MDYtNDIzMy00MGQ4LTlhMWUtMjE3ZDA4NThlZWJhIiwidCI6IjhmYmFhNWJmLTJlY2MtNGRjOC1iNTZiLThmOTJlMzA3ZjA3NiIsImMiOjR9"/>
    <x v="33"/>
    <s v="#1774B9"/>
  </r>
  <r>
    <s v="0394"/>
    <n v="990"/>
    <s v="Agencia Información"/>
    <s v="Social"/>
    <n v="12"/>
    <x v="29"/>
    <x v="18"/>
    <x v="1"/>
    <x v="12"/>
    <x v="3"/>
    <x v="39"/>
    <s v="Periodo 2010-2021"/>
    <s v="Número de personas"/>
    <s v="Servicio de Registro Civil de Chile"/>
    <s v="Cantidad de nacimientos anuales en la Región de Magallanes, Periodo 2010-2021"/>
    <s v="La región de Magallanes, el año 2014 presenta 20180 nacimientos, luego se observa una disminución constante año a año.  Siendo el año 2020 el año con menor cantidad llegando a 1.610 nacimientos a nivel regional."/>
    <s v="Dashboard"/>
    <s v="Región de Magallanes,nacimiento,población,cantidad,número,demografía,nacidos,Agencia Información,Social,Nacimientos,Demografía"/>
    <s v="https://app.powerbi.com/view?r=eyJrIjoiNTEyOGRlNjgtOWJlOC00NTZkLTljZjMtYTRiOTYyMWM0NWJjIiwidCI6IjhmYmFhNWJmLTJlY2MtNGRjOC1iNTZiLThmOTJlMzA3ZjA3NiIsImMiOjR9"/>
    <x v="28"/>
    <s v="#1774B9"/>
  </r>
  <r>
    <s v="0395"/>
    <n v="990"/>
    <s v="Agencia Información"/>
    <s v="Social"/>
    <n v="13"/>
    <x v="29"/>
    <x v="18"/>
    <x v="1"/>
    <x v="13"/>
    <x v="3"/>
    <x v="39"/>
    <s v="Periodo 2010-2021"/>
    <s v="Número de personas"/>
    <s v="Servicio de Registro Civil de Chile"/>
    <s v="Cantidad de nacimientos anuales en la Región Metropolitana, Periodo 2010-2021"/>
    <s v="La región Metropolitana, se observa que al año con mayor cantidad de nacimientos es el año 2014 con 105.083. En tanto el año 2020 es el que presenta la menor cantidad llegando a 82.733 nacimientos a nivel regional."/>
    <s v="Dashboard"/>
    <s v="Región Metropolitana,nacimiento,población,cantidad,número,demografía,nacidos,Agencia Información,Social,Nacimientos,Demografía"/>
    <s v="https://app.powerbi.com/view?r=eyJrIjoiZmVjOGIxMzItZDY5Ni00ZTk0LWEwY2ItN2IyZmViZTM4YmE0IiwidCI6IjhmYmFhNWJmLTJlY2MtNGRjOC1iNTZiLThmOTJlMzA3ZjA3NiIsImMiOjR9"/>
    <x v="29"/>
    <s v="#1774B9"/>
  </r>
  <r>
    <s v="0396"/>
    <n v="990"/>
    <s v="Agencia Información"/>
    <s v="Social"/>
    <n v="14"/>
    <x v="29"/>
    <x v="18"/>
    <x v="1"/>
    <x v="14"/>
    <x v="3"/>
    <x v="39"/>
    <s v="Periodo 2010-2021"/>
    <s v="Número de personas"/>
    <s v="Servicio de Registro Civil de Chile"/>
    <s v="Cantidad de nacimientos anuales en la Región de Los Ríos, Periodo 2010-2021"/>
    <s v="El gráfico presenta la evolución, en el periodo 2010-2021, de la cantidad de nacimientos anuales, en la región de Los Ríos, a escala regional y comunal, según datos de Servicio de Registro Civil de Chile."/>
    <s v="Dashboard"/>
    <s v="Región de Los Ríos,nacimiento,población,cantidad,número,demografía,nacidos,Agencia Información,Social,Nacimientos,Demografía"/>
    <s v="https://app.powerbi.com/view?r=eyJrIjoiM2M2ZDRjNjctN2Y2MC00ZmYzLTgwOTktMTFhMzg5NTFmOTBjIiwidCI6IjhmYmFhNWJmLTJlY2MtNGRjOC1iNTZiLThmOTJlMzA3ZjA3NiIsImMiOjR9"/>
    <x v="30"/>
    <s v="#1774B9"/>
  </r>
  <r>
    <s v="0397"/>
    <n v="990"/>
    <s v="Agencia Información"/>
    <s v="Social"/>
    <n v="15"/>
    <x v="29"/>
    <x v="18"/>
    <x v="1"/>
    <x v="15"/>
    <x v="3"/>
    <x v="39"/>
    <s v="Periodo 2010-2021"/>
    <s v="Número de personas"/>
    <s v="Servicio de Registro Civil de Chile"/>
    <s v="Cantidad de nacimientos anuales en la Región de Arica y Parinacota, Periodo 2010-2021"/>
    <s v="La región de Arica y Parinacota, el año 2014 presenta 3.549 nacimientos, luego se observa una disminución constante año a año.  Siendo el año 2020 el año con menor cantidad llegando a 2.845 nacimientos a nivel regional."/>
    <s v="Dashboard"/>
    <s v="Región de Arica y Parinacota,nacimiento,población,cantidad,número,demografía,nacidos,Agencia Información,Social,Nacimientos,Demografía"/>
    <s v="https://app.powerbi.com/view?r=eyJrIjoiNTk3NjE1MDYtZDViMS00M2YzLTkyZDAtNTY5ZDk5OTA3ZTM3IiwidCI6IjhmYmFhNWJmLTJlY2MtNGRjOC1iNTZiLThmOTJlMzA3ZjA3NiIsImMiOjR9"/>
    <x v="31"/>
    <s v="#1774B9"/>
  </r>
  <r>
    <s v="0398"/>
    <n v="990"/>
    <s v="Agencia Información"/>
    <s v="Social"/>
    <n v="16"/>
    <x v="29"/>
    <x v="18"/>
    <x v="1"/>
    <x v="16"/>
    <x v="3"/>
    <x v="39"/>
    <s v="Periodo 2010-2021"/>
    <s v="Número de personas"/>
    <s v="Servicio de Registro Civil de Chile"/>
    <s v="Cantidad de nacimientos anuales en la Región de Ñuble, Periodo 2010-2021"/>
    <s v="El gráfico presenta la evolución, en el periodo 2010-2021, de la cantidad de nacimientos anuales, en la región de Ñuble, a escala regional y comunal, según datos de Servicio de Registro Civil de Chile."/>
    <s v="Dashboard"/>
    <s v="Región de Ñuble,nacimiento,población,cantidad,número,demografía,nacidos,Agencia Información,Social,Nacimientos,Demografía"/>
    <s v="https://app.powerbi.com/view?r=eyJrIjoiMjc0Mjg5ODMtZmYzMy00OWJhLWJiYWQtZjQ3ZWIzMjQwNzMxIiwidCI6IjhmYmFhNWJmLTJlY2MtNGRjOC1iNTZiLThmOTJlMzA3ZjA3NiIsImMiOjR9"/>
    <x v="32"/>
    <s v="#1774B9"/>
  </r>
  <r>
    <s v="0399"/>
    <n v="990"/>
    <s v="Agencia Información"/>
    <s v="Transporte y tránsito"/>
    <n v="0"/>
    <x v="30"/>
    <x v="19"/>
    <x v="0"/>
    <x v="0"/>
    <x v="0"/>
    <x v="40"/>
    <s v="Periodo 2008-2019"/>
    <s v="Número de permisos de circulación"/>
    <s v="Instituto Nacional de Estadísticas (INE)"/>
    <s v="Cantidad de permisos de circulación según tipo de vehículo en Chile, Periodo 2008-2019"/>
    <s v="Durante todo el periodo 2008 - 2020, los vehículos de la categoría &quot;Automóvil y Station wagon&quot; fueron los que tuvieron mayor cantidad de permisos de circulación a nivel nacional, siendo 3.560.396 para el año 2018 y de 3.720.395 para el año 2019.   "/>
    <s v="Nube de palabras"/>
    <s v="Chile permiso circulación cantidad número regional tipo vehículo"/>
    <s v="https://infogram.com/permisos-de-circulacion-1hxr4zxode8lo6y"/>
    <x v="34"/>
    <s v="#1774B9"/>
  </r>
  <r>
    <s v="0400"/>
    <n v="990"/>
    <s v="Agencia Información"/>
    <s v="Medio Ambiente"/>
    <n v="0"/>
    <x v="31"/>
    <x v="20"/>
    <x v="0"/>
    <x v="0"/>
    <x v="6"/>
    <x v="41"/>
    <s v="Periodo 1990-2019"/>
    <s v="Toneladas"/>
    <s v="Our World In Data"/>
    <s v="Emisiones (t) de CO2 por Tipo de Combustible en Chile, Periodo 1990-201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GEI,emisiones,CO2,combustibles,petróleo,carbón,gas,Agencia Información,Medio Ambiente,Emisiones GEI,Inventario de Gases de Efecto Invernadero (GEI)"/>
    <s v="https://analytics.zoho.com/open-view/2395394000007837327"/>
    <x v="34"/>
    <s v="#1774B9"/>
  </r>
  <r>
    <s v="0401"/>
    <n v="990"/>
    <s v="Agencia Información"/>
    <s v="Medio Ambiente"/>
    <n v="0"/>
    <x v="31"/>
    <x v="20"/>
    <x v="0"/>
    <x v="0"/>
    <x v="1"/>
    <x v="41"/>
    <s v="Periodo 1990-2019"/>
    <s v="Porcentaje"/>
    <s v="Our World In Data"/>
    <s v="Variación Porcentual (%) Anual de Emisiones de CO2 por Quema de Combustible en Chile, Periodo 1990-2019"/>
    <s v="Las emisiones de CO2 que han sufrido las más amplias variaciones entre los años 1990 y 2019 son las del gas. La variación porcentual anual más alta fue en el año 1997 y la más negativa fue en 2008."/>
    <s v="Gráfico de Evolución"/>
    <s v="Chile,GEI,emisiones,CO2,variación,anual,combustibles,petróleo,gas,carbón,Agencia Información,Medio Ambiente,Emisiones GEI,Inventario de Gases de Efecto Invernadero (GEI)"/>
    <s v="https://analytics.zoho.com/open-view/2395394000007837543"/>
    <x v="34"/>
    <s v="#1774B9"/>
  </r>
  <r>
    <s v="0402"/>
    <n v="990"/>
    <s v="Agencia Información"/>
    <s v="Medio Ambiente"/>
    <n v="0"/>
    <x v="31"/>
    <x v="20"/>
    <x v="0"/>
    <x v="0"/>
    <x v="1"/>
    <x v="41"/>
    <s v="Periodo 1990-2019"/>
    <s v="Toneladas"/>
    <s v="Elaboración propia basada en Our World In Data"/>
    <s v="Emisiones per cápita (t) de CO2 por Quema de Combustible en Chile, para el Periodo 1990-2019 y previsión 2020-2025"/>
    <s v="Dada la predicción para el año 2025, las emisiones per cápita de CO2 por quema de petróleo serán de 4,1 (t), mientras que para el gas serán de 0,6 (t) y para el carbón de 1 (t)."/>
    <s v="Gráfico de Evolución"/>
    <s v="Chile,GEI,emisiones,CO2,per,cápita,combustibles,petróleo,gas,carbón,Agencia Información,Medio Ambiente,Emisiones GEI,Inventario de Gases de Efecto Invernadero (GEI)"/>
    <s v="https://analytics.zoho.com/open-view/2395394000007837090"/>
    <x v="34"/>
    <s v="#1774B9"/>
  </r>
  <r>
    <s v="0403"/>
    <n v="990"/>
    <s v="Agencia Información"/>
    <s v="Medio Ambiente"/>
    <n v="0"/>
    <x v="31"/>
    <x v="20"/>
    <x v="0"/>
    <x v="0"/>
    <x v="1"/>
    <x v="41"/>
    <s v="Periodo 1990-2019"/>
    <s v="Porcentaje"/>
    <s v="Our World In Data"/>
    <s v="Proporción de CO2 Emitido por Quema de Combustible con respecto al Año Anterior en Chile, Periodo 1990-201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GEI,emisiones,CO2,petróleo,gas,carbón,tendencia,proporción,Agencia Información,Medio Ambiente,Emisiones GEI,Inventario de Gases de Efecto Invernadero (GEI)"/>
    <s v="https://analytics.zoho.com/open-view/2395394000007891846"/>
    <x v="34"/>
    <s v="#1774B9"/>
  </r>
  <r>
    <s v="0404"/>
    <n v="990"/>
    <s v="Agencia Información"/>
    <s v="Economía"/>
    <n v="0"/>
    <x v="32"/>
    <x v="12"/>
    <x v="0"/>
    <x v="0"/>
    <x v="7"/>
    <x v="42"/>
    <s v="Periodo 2005-2019"/>
    <s v="Personas"/>
    <s v="Servicio de Impuestos Internos (SII)"/>
    <s v="Diferencia porcentual con respecto al año anterior de trabajadores dependientes informados por género, Periodo 2005-2019"/>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trabajadores,dependientes,informados,anual,sii,hombres,mujeres,sexo,género,nacional,Agencia Información,Economía,Trabajadores dependientes,Empresas"/>
    <s v="https://analytics.zoho.com/open-view/2395394000008038511"/>
    <x v="34"/>
    <s v="#1774B9"/>
  </r>
  <r>
    <s v="0405"/>
    <n v="990"/>
    <s v="Agencia Información"/>
    <s v="Economía"/>
    <n v="0"/>
    <x v="33"/>
    <x v="12"/>
    <x v="0"/>
    <x v="0"/>
    <x v="0"/>
    <x v="43"/>
    <s v="Periodo 2005-2019"/>
    <s v="Personas"/>
    <s v="Servicio de Impuestos Internos (SII)"/>
    <s v="Número de trabajadores informados por tipo de contrato para cada año en Chile, Periodo 2005-2019"/>
    <s v="Gráfico que muestra la evolución del número de trabajadores informados por tipo de contrato a nivel nacional, en el periodo 2005-2019, según lo informado por el Servicio de Impuestos Internos (SII)."/>
    <s v="Gráfico de Evolución"/>
    <s v="Chile,regional,trabajadores,dependientes,informados,honorarios,anual,sii,Agencia Información,Economía,Trabajadores dependientes o a honorarios,Empresas"/>
    <s v="https://analytics.zoho.com/open-view/2395394000008435674"/>
    <x v="0"/>
    <s v="#1774B9"/>
  </r>
  <r>
    <s v="0406"/>
    <n v="990"/>
    <s v="Agencia Información"/>
    <s v="Economía"/>
    <n v="1"/>
    <x v="33"/>
    <x v="12"/>
    <x v="1"/>
    <x v="1"/>
    <x v="1"/>
    <x v="43"/>
    <s v="Periodo 2005-2019"/>
    <s v="Personas"/>
    <s v="Servicio de Impuestos Internos (SII)"/>
    <s v="Número de trabajadores informados por tipo de contrato para cada año en la Región de Tarapacá, Periodo 2005-2019"/>
    <s v="En la región de Tarapacá, los trabajadores dependientes superan a los de honorarios con una diferencia de 121.070 trabajadores en el año 2019."/>
    <s v="Gráfico de Evolución"/>
    <s v="Región de Tarapacá,regional,trabajadores,dependientes,informados,honorarios,anual,sii,Agencia Información,Economía,Trabajadores dependientes o a honorarios,Empresas"/>
    <s v="https://analytics.zoho.com/open-view/2395394000008038797?ZOHO_CRITERIA=%225.1%20Empresas_Tama%C3%B1o%22.%22Cod_Regi%C3%B3n%22%3D1"/>
    <x v="1"/>
    <s v="#1774B9"/>
  </r>
  <r>
    <s v="0407"/>
    <n v="990"/>
    <s v="Agencia Información"/>
    <s v="Economía"/>
    <n v="2"/>
    <x v="33"/>
    <x v="12"/>
    <x v="1"/>
    <x v="2"/>
    <x v="1"/>
    <x v="43"/>
    <s v="Periodo 2005-2019"/>
    <s v="Personas"/>
    <s v="Servicio de Impuestos Internos (SII)"/>
    <s v="Número de trabajadores informados por tipo de contrato para cada año en la Región de Antofagasta, Periodo 2005-2019"/>
    <s v="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
    <s v="Gráfico de Evolución"/>
    <s v="Región de Antofagasta,regional,trabajadores,dependientes,informados,honorarios,anual,sii,Agencia Información,Economía,Trabajadores dependientes o a honorarios,Empresas"/>
    <s v="https://analytics.zoho.com/open-view/2395394000008038797?ZOHO_CRITERIA=%225.1%20Empresas_Tama%C3%B1o%22.%22Cod_Regi%C3%B3n%22%3D2"/>
    <x v="2"/>
    <s v="#1774B9"/>
  </r>
  <r>
    <s v="0408"/>
    <n v="990"/>
    <s v="Agencia Información"/>
    <s v="Economía"/>
    <n v="3"/>
    <x v="33"/>
    <x v="12"/>
    <x v="1"/>
    <x v="3"/>
    <x v="1"/>
    <x v="43"/>
    <s v="Periodo 2005-2019"/>
    <s v="Personas"/>
    <s v="Servicio de Impuestos Internos (SII)"/>
    <s v="Número de trabajadores informados por tipo de contrato para cada año en la Región de Atacama, Periodo 2005-2019"/>
    <s v="En la región de Atacama, los trabajadores dependientes superan a los de honorarios, presentándose el año 2019 una diferencia de 125.976 trabajadores entre ambos grupos."/>
    <s v="Gráfico de Evolución"/>
    <s v="Región de Atacama,regional,trabajadores,dependientes,informados,honorarios,anual,sii,Agencia Información,Economía,Trabajadores dependientes o a honorarios,Empresas"/>
    <s v="https://analytics.zoho.com/open-view/2395394000008038797?ZOHO_CRITERIA=%225.1%20Empresas_Tama%C3%B1o%22.%22Cod_Regi%C3%B3n%22%3D3"/>
    <x v="3"/>
    <s v="#1774B9"/>
  </r>
  <r>
    <s v="0409"/>
    <n v="990"/>
    <s v="Agencia Información"/>
    <s v="Economía"/>
    <n v="4"/>
    <x v="33"/>
    <x v="12"/>
    <x v="1"/>
    <x v="4"/>
    <x v="1"/>
    <x v="43"/>
    <s v="Periodo 2005-2019"/>
    <s v="Personas"/>
    <s v="Servicio de Impuestos Internos (SII)"/>
    <s v="Número de trabajadores informados por tipo de contrato para cada año en la Región de Coquimbo, Periodo 2005-2019"/>
    <s v="En la región de Coquimbo, los trabajadores dependientes superan a los de honorarios, presentándose el año 2019 una diferencia de 273.872 trabajadores entre ambos grupos."/>
    <s v="Gráfico de Evolución"/>
    <s v="Región de Coquimbo,regional,trabajadores,dependientes,informados,honorarios,anual,sii,Agencia Información,Economía,Trabajadores dependientes o a honorarios,Empresas"/>
    <s v="https://analytics.zoho.com/open-view/2395394000008038797?ZOHO_CRITERIA=%225.1%20Empresas_Tama%C3%B1o%22.%22Cod_Regi%C3%B3n%22%3D4"/>
    <x v="4"/>
    <s v="#1774B9"/>
  </r>
  <r>
    <s v="0410"/>
    <n v="990"/>
    <s v="Agencia Información"/>
    <s v="Economía"/>
    <n v="5"/>
    <x v="33"/>
    <x v="12"/>
    <x v="1"/>
    <x v="5"/>
    <x v="1"/>
    <x v="43"/>
    <s v="Periodo 2005-2019"/>
    <s v="Personas"/>
    <s v="Servicio de Impuestos Internos (SII)"/>
    <s v="Número de trabajadores informados por tipo de contrato para cada año en la Región de Valparaíso, Periodo 2005-2019"/>
    <s v="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
    <s v="Gráfico de Evolución"/>
    <s v="Región de Valparaíso,regional,trabajadores,dependientes,informados,honorarios,anual,sii,Agencia Información,Economía,Trabajadores dependientes o a honorarios,Empresas"/>
    <s v="https://analytics.zoho.com/open-view/2395394000008038797?ZOHO_CRITERIA=%225.1%20Empresas_Tama%C3%B1o%22.%22Cod_Regi%C3%B3n%22%3D5"/>
    <x v="5"/>
    <s v="#1774B9"/>
  </r>
  <r>
    <s v="0411"/>
    <n v="990"/>
    <s v="Agencia Información"/>
    <s v="Economía"/>
    <n v="6"/>
    <x v="33"/>
    <x v="12"/>
    <x v="1"/>
    <x v="6"/>
    <x v="1"/>
    <x v="43"/>
    <s v="Periodo 2005-2019"/>
    <s v="Personas"/>
    <s v="Servicio de Impuestos Internos (SII)"/>
    <s v="Número de trabajadores informados por tipo de contrato para cada año en la Región de O'Higgins, Periodo 2005-2019"/>
    <s v="En la región de O'Higgins, los trabajadores dependientes superan a los de honorarios, presentándose el año 2019 una diferencia de 713.182 trabajadores entre ambos grupos."/>
    <s v="Gráfico de Evolución"/>
    <s v="Región de O'Higgins,regional,trabajadores,dependientes,informados,honorarios,anual,sii,Agencia Información,Economía,Trabajadores dependientes o a honorarios,Empresas"/>
    <s v="https://analytics.zoho.com/open-view/2395394000008038797?ZOHO_CRITERIA=%225.1%20Empresas_Tama%C3%B1o%22.%22Cod_Regi%C3%B3n%22%3D6"/>
    <x v="6"/>
    <s v="#1774B9"/>
  </r>
  <r>
    <s v="0412"/>
    <n v="990"/>
    <s v="Agencia Información"/>
    <s v="Economía"/>
    <n v="7"/>
    <x v="33"/>
    <x v="12"/>
    <x v="1"/>
    <x v="7"/>
    <x v="1"/>
    <x v="43"/>
    <s v="Periodo 2005-2019"/>
    <s v="Personas"/>
    <s v="Servicio de Impuestos Internos (SII)"/>
    <s v="Número de trabajadores informados por tipo de contrato para cada año en la Región de Maule, Periodo 2005-2019"/>
    <s v="En la región de Maule, los trabajadores dependientes informados superaron en más de 370.000 a los trabajadores a honorarios informados en el año 2005. Se observa que esta brecha tiende a aumentar cada año, alcanzando en el año 2019 una diferencia de más de 677.000 trabajadores."/>
    <s v="Gráfico de Evolución"/>
    <s v="Región de Maule,regional,trabajadores,dependientes,informados,honorarios,anual,sii,Agencia Información,Economía,Trabajadores dependientes o a honorarios,Empresas"/>
    <s v="https://analytics.zoho.com/open-view/2395394000008038797?ZOHO_CRITERIA=%225.1%20Empresas_Tama%C3%B1o%22.%22Cod_Regi%C3%B3n%22%3D7"/>
    <x v="7"/>
    <s v="#1774B9"/>
  </r>
  <r>
    <s v="0413"/>
    <n v="990"/>
    <s v="Agencia Información"/>
    <s v="Economía"/>
    <n v="8"/>
    <x v="33"/>
    <x v="12"/>
    <x v="1"/>
    <x v="8"/>
    <x v="1"/>
    <x v="43"/>
    <s v="Periodo 2005-2019"/>
    <s v="Personas"/>
    <s v="Servicio de Impuestos Internos (SII)"/>
    <s v="Número de trabajadores informados por tipo de contrato para cada año en la Región del Biobío, Periodo 2005-2019"/>
    <s v="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
    <s v="Gráfico de Evolución"/>
    <s v="Región del Biobío,regional,trabajadores,dependientes,informados,honorarios,anual,sii,Agencia Información,Economía,Trabajadores dependientes o a honorarios,Empresas"/>
    <s v="https://analytics.zoho.com/open-view/2395394000008038797?ZOHO_CRITERIA=%225.1%20Empresas_Tama%C3%B1o%22.%22Cod_Regi%C3%B3n%22%3D8"/>
    <x v="8"/>
    <s v="#1774B9"/>
  </r>
  <r>
    <s v="0414"/>
    <n v="990"/>
    <s v="Agencia Información"/>
    <s v="Economía"/>
    <n v="9"/>
    <x v="33"/>
    <x v="12"/>
    <x v="1"/>
    <x v="9"/>
    <x v="1"/>
    <x v="43"/>
    <s v="Periodo 2005-2019"/>
    <s v="Personas"/>
    <s v="Servicio de Impuestos Internos (SII)"/>
    <s v="Número de trabajadores informados por tipo de contrato para cada año en la Región de La Araucanía, Periodo 2005-2019"/>
    <s v="En la región de La Araucanía, los trabajadores dependientes superan a los de honorarios, presentándose el año 2019 una diferencia de 353.692 trabajadores entre ambos grupos."/>
    <s v="Gráfico de Evolución"/>
    <s v="Región de La Araucanía,regional,trabajadores,dependientes,informados,honorarios,anual,sii,Agencia Información,Economía,Trabajadores dependientes o a honorarios,Empresas"/>
    <s v="https://analytics.zoho.com/open-view/2395394000008038797?ZOHO_CRITERIA=%225.1%20Empresas_Tama%C3%B1o%22.%22Cod_Regi%C3%B3n%22%3D9"/>
    <x v="9"/>
    <s v="#1774B9"/>
  </r>
  <r>
    <s v="0415"/>
    <n v="990"/>
    <s v="Agencia Información"/>
    <s v="Economía"/>
    <n v="10"/>
    <x v="33"/>
    <x v="12"/>
    <x v="1"/>
    <x v="10"/>
    <x v="1"/>
    <x v="43"/>
    <s v="Periodo 2005-2019"/>
    <s v="Personas"/>
    <s v="Servicio de Impuestos Internos (SII)"/>
    <s v="Número de trabajadores informados por tipo de contrato para cada año en la Región de Los Lagos, Periodo 2005-2019"/>
    <s v="En la región de Los Lagos, los trabajadores dependientes superan a los de honorarios, presentándose el año 2019 una diferencia de 483.566 trabajadores entre ambos grupos."/>
    <s v="Gráfico de Evolución"/>
    <s v="Región de Los Lagos,regional,trabajadores,dependientes,informados,honorarios,anual,sii,Agencia Información,Economía,Trabajadores dependientes o a honorarios,Empresas"/>
    <s v="https://analytics.zoho.com/open-view/2395394000008038797?ZOHO_CRITERIA=%225.1%20Empresas_Tama%C3%B1o%22.%22Cod_Regi%C3%B3n%22%3D10"/>
    <x v="10"/>
    <s v="#1774B9"/>
  </r>
  <r>
    <s v="0416"/>
    <n v="990"/>
    <s v="Agencia Información"/>
    <s v="Economía"/>
    <n v="11"/>
    <x v="33"/>
    <x v="12"/>
    <x v="1"/>
    <x v="11"/>
    <x v="1"/>
    <x v="43"/>
    <s v="Periodo 2005-2019"/>
    <s v="Personas"/>
    <s v="Servicio de Impuestos Internos (SII)"/>
    <s v="Número de trabajadores informados por tipo de contrato para cada año en la Región de Aysén, Periodo 2005-2019"/>
    <s v="En la región de Aysén, los trabajadores dependientes informados superaron en más de 28.000 a los trabajadores a honorarios informados en el año 2005. Se observa que esta brecha tiende a aumentar cada año, alcanzando en el año 2019 una diferencia de más de 27.000 trabajadores."/>
    <s v="Gráfico de Evolución"/>
    <s v="Región de Aysén,regional,trabajadores,dependientes,informados,honorarios,anual,sii,Agencia Información,Economía,Trabajadores dependientes o a honorarios,Empresas"/>
    <s v="https://analytics.zoho.com/open-view/2395394000008038797?ZOHO_CRITERIA=%225.1%20Empresas_Tama%C3%B1o%22.%22Cod_Regi%C3%B3n%22%3D11"/>
    <x v="11"/>
    <s v="#1774B9"/>
  </r>
  <r>
    <s v="0417"/>
    <n v="990"/>
    <s v="Agencia Información"/>
    <s v="Economía"/>
    <n v="12"/>
    <x v="33"/>
    <x v="12"/>
    <x v="1"/>
    <x v="12"/>
    <x v="1"/>
    <x v="43"/>
    <s v="Periodo 2005-2019"/>
    <s v="Personas"/>
    <s v="Servicio de Impuestos Internos (SII)"/>
    <s v="Número de trabajadores informados por tipo de contrato para cada año en la Región de Magallanes, Periodo 2005-2019"/>
    <s v="En la región de Magallanes, la menor diferencia entre los trabajadores dependientes y a honorarios se presenta el año 2005 con 64.906 personas, en tanto que la mayor diferencia se presenta el año 2019 con 92.626 personas."/>
    <s v="Gráfico de Evolución"/>
    <s v="Región de Magallanes,regional,trabajadores,dependientes,informados,honorarios,anual,sii,Agencia Información,Economía,Trabajadores dependientes o a honorarios,Empresas"/>
    <s v="https://analytics.zoho.com/open-view/2395394000008038797?ZOHO_CRITERIA=%225.1%20Empresas_Tama%C3%B1o%22.%22Cod_Regi%C3%B3n%22%3D12"/>
    <x v="12"/>
    <s v="#1774B9"/>
  </r>
  <r>
    <s v="0418"/>
    <n v="990"/>
    <s v="Agencia Información"/>
    <s v="Economía"/>
    <n v="13"/>
    <x v="33"/>
    <x v="12"/>
    <x v="1"/>
    <x v="13"/>
    <x v="1"/>
    <x v="43"/>
    <s v="Periodo 2005-2019"/>
    <s v="Personas"/>
    <s v="Servicio de Impuestos Internos (SII)"/>
    <s v="Número de trabajadores informados por tipo de contrato para cada año en la Región Metropolitana, Periodo 2005-2019"/>
    <s v="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
    <s v="Gráfico de Evolución"/>
    <s v="Región Metropolitana,regional,trabajadores,dependientes,informados,honorarios,anual,sii,Agencia Información,Economía,Trabajadores dependientes o a honorarios,Empresas"/>
    <s v="https://analytics.zoho.com/open-view/2395394000008038797?ZOHO_CRITERIA=%225.1%20Empresas_Tama%C3%B1o%22.%22Cod_Regi%C3%B3n%22%3D13"/>
    <x v="13"/>
    <s v="#1774B9"/>
  </r>
  <r>
    <s v="0419"/>
    <n v="990"/>
    <s v="Agencia Información"/>
    <s v="Economía"/>
    <n v="14"/>
    <x v="33"/>
    <x v="12"/>
    <x v="1"/>
    <x v="14"/>
    <x v="1"/>
    <x v="43"/>
    <s v="Periodo 2005-2019"/>
    <s v="Personas"/>
    <s v="Servicio de Impuestos Internos (SII)"/>
    <s v="Número de trabajadores informados por tipo de contrato para cada año en la Región de Los Ríos, Periodo 2005-2019"/>
    <s v="En la región de Los Ríos, los trabajadores dependientes superan a los de honorarios, presentándose el año 2019 una diferencia de 108.586 trabajadores entre ambos grupos."/>
    <s v="Gráfico de Evolución"/>
    <s v="Región de Los Ríos,regional,trabajadores,dependientes,informados,honorarios,anual,sii,Agencia Información,Economía,Trabajadores dependientes o a honorarios,Empresas"/>
    <s v="https://analytics.zoho.com/open-view/2395394000008038797?ZOHO_CRITERIA=%225.1%20Empresas_Tama%C3%B1o%22.%22Cod_Regi%C3%B3n%22%3D14"/>
    <x v="14"/>
    <s v="#1774B9"/>
  </r>
  <r>
    <s v="0420"/>
    <n v="990"/>
    <s v="Agencia Información"/>
    <s v="Economía"/>
    <n v="15"/>
    <x v="33"/>
    <x v="12"/>
    <x v="1"/>
    <x v="15"/>
    <x v="1"/>
    <x v="43"/>
    <s v="Periodo 2005-2019"/>
    <s v="Personas"/>
    <s v="Servicio de Impuestos Internos (SII)"/>
    <s v="Número de trabajadores informados por tipo de contrato para cada año en la Región de Arica y Parinacota, Periodo 2005-2019"/>
    <s v="En la región de Arica y Parinacota, la menor diferencia entre los trabajadores dependientes y a honorarios se presenta el año 2005 con 47.086 personas, en tanto que la mayor diferencia se presenta el año 2019 con 62.662 personas."/>
    <s v="Gráfico de Evolución"/>
    <s v="Región de Arica y Parinacota,regional,trabajadores,dependientes,informados,honorarios,anual,sii,Agencia Información,Economía,Trabajadores dependientes o a honorarios,Empresas"/>
    <s v="https://analytics.zoho.com/open-view/2395394000008038797?ZOHO_CRITERIA=%225.1%20Empresas_Tama%C3%B1o%22.%22Cod_Regi%C3%B3n%22%3D15"/>
    <x v="15"/>
    <s v="#1774B9"/>
  </r>
  <r>
    <s v="0421"/>
    <n v="990"/>
    <s v="Agencia Información"/>
    <s v="Economía"/>
    <n v="16"/>
    <x v="33"/>
    <x v="12"/>
    <x v="1"/>
    <x v="16"/>
    <x v="1"/>
    <x v="43"/>
    <s v="Periodo 2005-2019"/>
    <s v="Personas"/>
    <s v="Servicio de Impuestos Internos (SII)"/>
    <s v="Número de trabajadores informados por tipo de contrato para cada año en la Región de Ñuble, Periodo 2005-2019"/>
    <s v="En la región de Ñuble, los trabajadores dependientes superan a los de honorarios, presentándose el año 2019 una diferencia de 209.178 trabajadores entre ambos grupos."/>
    <s v="Gráfico de Evolución"/>
    <s v="Región de Ñuble,regional,trabajadores,dependientes,informados,honorarios,anual,sii,Agencia Información,Economía,Trabajadores dependientes o a honorarios,Empresas"/>
    <s v="https://analytics.zoho.com/open-view/2395394000008038797?ZOHO_CRITERIA=%225.1%20Empresas_Tama%C3%B1o%22.%22Cod_Regi%C3%B3n%22%3D16"/>
    <x v="16"/>
    <s v="#1774B9"/>
  </r>
  <r>
    <s v="0422"/>
    <n v="990"/>
    <s v="Agencia Información"/>
    <s v="Educación"/>
    <n v="0"/>
    <x v="34"/>
    <x v="1"/>
    <x v="0"/>
    <x v="0"/>
    <x v="2"/>
    <x v="44"/>
    <s v="Periodo 2015 - 2018"/>
    <s v="Puntaje"/>
    <s v="Agencia de Calidad de la Educación"/>
    <s v="Evolución de Puntaje SIMCE de Lectura por Dependencia de Establecimientos para 4° Básico en Chile para el Periodo 2015 - 2018"/>
    <s v="El puntaje promedio obtenido por los colegios Particulares, en la prueba SIMCE de lectura tomada a los alumnos de 4° Básico, es sobre los 130 puntos, superando por más de 30 puntos a los colegios de otras dependencias del país, en los años 2015, 2016, 2017 y 2018."/>
    <s v="Gráfico de Evolución"/>
    <s v="Chile,educación básica,cuarto básico,puntaje,lectura,municipal,subvencionado,corporación,lenguaje,particular,Agencia Información,Educación,SIMCE,Métricas de la Educación"/>
    <s v="https://analytics.zoho.com/open-view/2395394000007908466"/>
    <x v="17"/>
    <s v="#1774B9"/>
  </r>
  <r>
    <s v="0423"/>
    <n v="990"/>
    <s v="Agencia Información"/>
    <s v="Educación"/>
    <n v="1"/>
    <x v="34"/>
    <x v="1"/>
    <x v="1"/>
    <x v="1"/>
    <x v="3"/>
    <x v="44"/>
    <s v="Periodo 2015 - 2018"/>
    <s v="Puntaje"/>
    <s v="Agencia de Calidad de la Educación"/>
    <s v="Evolución de Puntaje SIMCE de Lectura por Dependencia de Establecimientos para 4° Básico en la Región de Tarapacá para el Periodo 2015 - 2018"/>
    <s v="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
    <s v="Gráfico de Evolución"/>
    <s v="Región de Tarapacá,educación básica,cuarto básico,puntaje,lectura,municipal,subvencionado,corporación,lenguaje,particular,Agencia Información,Educación,SIMCE,Métricas de la Educación"/>
    <s v="https://analytics.zoho.com/open-view/2395394000009042076?ZOHO_CRITERIA=%22Localiza%20CL%22.%22Codreg%22%3D1"/>
    <x v="18"/>
    <s v="#1774B9"/>
  </r>
  <r>
    <s v="0424"/>
    <n v="990"/>
    <s v="Agencia Información"/>
    <s v="Educación"/>
    <n v="2"/>
    <x v="34"/>
    <x v="1"/>
    <x v="1"/>
    <x v="2"/>
    <x v="3"/>
    <x v="44"/>
    <s v="Periodo 2015 - 2018"/>
    <s v="Puntaje"/>
    <s v="Agencia de Calidad de la Educación"/>
    <s v="Evolución de Puntaje SIMCE de Lectura por Dependencia de Establecimientos para 4° Básico en la Región de Antofagasta para el Periodo 2015 - 2018"/>
    <s v="En la región de Antofagasta, en la prueba SIMCE de lectura rendida por los alumnos de 4° Básicos, desde los años 2015 al 2018, el puntaje promedio obtenido por los colegios Subvencionados, es mayor que los colegios de otras dependencias."/>
    <s v="Gráfico de Evolución"/>
    <s v="Región de Antofagasta,educación básica,cuarto básico,puntaje,lectura,municipal,subvencionado,corporación,lenguaje,particular,Agencia Información,Educación,SIMCE,Métricas de la Educación"/>
    <s v="https://analytics.zoho.com/open-view/2395394000009042076?ZOHO_CRITERIA=%22Localiza%20CL%22.%22Codreg%22%3D2"/>
    <x v="19"/>
    <s v="#1774B9"/>
  </r>
  <r>
    <s v="0425"/>
    <n v="990"/>
    <s v="Agencia Información"/>
    <s v="Educación"/>
    <n v="3"/>
    <x v="34"/>
    <x v="1"/>
    <x v="1"/>
    <x v="3"/>
    <x v="3"/>
    <x v="44"/>
    <s v="Periodo 2015 - 2018"/>
    <s v="Puntaje"/>
    <s v="Agencia de Calidad de la Educación"/>
    <s v="Evolución de Puntaje SIMCE de Lectura por Dependencia de Establecimientos para 4° Básico en la Región de Atacama para el Periodo 2015 - 2018"/>
    <s v="En la región de Atacama, en la prueba SIMCE de lectura rendida por los alumnos de 4° Básicos, desde los años 2015 al 2018, el puntaje promedio obtenido por los colegios particulares, es mayor que los colegios de otras dependencias, con un promedio aproximado de 153 puntos."/>
    <s v="Gráfico de Evolución"/>
    <s v="Región de Atacama,educación básica,cuarto básico,puntaje,lectura,municipal,subvencionado,corporación,lenguaje,particular,Agencia Información,Educación,SIMCE,Métricas de la Educación"/>
    <s v="https://analytics.zoho.com/open-view/2395394000009042076?ZOHO_CRITERIA=%22Localiza%20CL%22.%22Codreg%22%3D3"/>
    <x v="20"/>
    <s v="#1774B9"/>
  </r>
  <r>
    <s v="0426"/>
    <n v="990"/>
    <s v="Agencia Información"/>
    <s v="Educación"/>
    <n v="4"/>
    <x v="34"/>
    <x v="1"/>
    <x v="1"/>
    <x v="4"/>
    <x v="3"/>
    <x v="44"/>
    <s v="Periodo 2015 - 2018"/>
    <s v="Puntaje"/>
    <s v="Agencia de Calidad de la Educación"/>
    <s v="Evolución de Puntaje SIMCE de Lectura por Dependencia de Establecimientos para 4° Básico en la Región de Coquimbo para el Periodo 2015 - 2018"/>
    <s v="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
    <s v="Gráfico de Evolución"/>
    <s v="Región de Coquimbo,educación básica,cuarto básico,puntaje,lectura,municipal,subvencionado,corporación,lenguaje,particular,Agencia Información,Educación,SIMCE,Métricas de la Educación"/>
    <s v="https://analytics.zoho.com/open-view/2395394000009042076?ZOHO_CRITERIA=%22Localiza%20CL%22.%22Codreg%22%3D4"/>
    <x v="21"/>
    <s v="#1774B9"/>
  </r>
  <r>
    <s v="0427"/>
    <n v="990"/>
    <s v="Agencia Información"/>
    <s v="Educación"/>
    <n v="5"/>
    <x v="34"/>
    <x v="1"/>
    <x v="1"/>
    <x v="5"/>
    <x v="3"/>
    <x v="44"/>
    <s v="Periodo 2015 - 2018"/>
    <s v="Puntaje"/>
    <s v="Agencia de Calidad de la Educación"/>
    <s v="Evolución de Puntaje SIMCE de Lectura por Dependencia de Establecimientos para 4° Básico en la Región de Valparaíso para el Periodo 2015 - 2018"/>
    <s v="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
    <s v="Gráfico de Evolución"/>
    <s v="Región de Valparaíso,educación básica,cuarto básico,puntaje,lectura,municipal,subvencionado,corporación,lenguaje,particular,Agencia Información,Educación,SIMCE,Métricas de la Educación"/>
    <s v="https://analytics.zoho.com/open-view/2395394000009042076?ZOHO_CRITERIA=%22Localiza%20CL%22.%22Codreg%22%3D5"/>
    <x v="22"/>
    <s v="#1774B9"/>
  </r>
  <r>
    <s v="0428"/>
    <n v="990"/>
    <s v="Agencia Información"/>
    <s v="Educación"/>
    <n v="6"/>
    <x v="34"/>
    <x v="1"/>
    <x v="1"/>
    <x v="6"/>
    <x v="3"/>
    <x v="44"/>
    <s v="Periodo 2015 - 2018"/>
    <s v="Puntaje"/>
    <s v="Agencia de Calidad de la Educación"/>
    <s v="Evolución de Puntaje SIMCE de Lectura por Dependencia de Establecimientos para 4° Básico en la Región de O'Higgins para el Periodo 2015 - 2018"/>
    <s v="En la región de O'Higgins, el puntaje obtenido por los colegios Particulares, en la prueba SIMCE de lectura tomada a los alumnos de 4° Básico, desde el año 2015 al 2018, es superiores a los colegios de otras dependencias, con un promedio sobre los 140 puntos. "/>
    <s v="Gráfico de Evolución"/>
    <s v="Región de O'Higgins,educación básica,cuarto básico,puntaje,lectura,municipal,subvencionado,corporación,lenguaje,particular,Agencia Información,Educación,SIMCE,Métricas de la Educación"/>
    <s v="https://analytics.zoho.com/open-view/2395394000009042076?ZOHO_CRITERIA=%22Localiza%20CL%22.%22Codreg%22%3D6"/>
    <x v="23"/>
    <s v="#1774B9"/>
  </r>
  <r>
    <s v="0429"/>
    <n v="990"/>
    <s v="Agencia Información"/>
    <s v="Educación"/>
    <n v="7"/>
    <x v="34"/>
    <x v="1"/>
    <x v="1"/>
    <x v="7"/>
    <x v="3"/>
    <x v="44"/>
    <s v="Periodo 2015 - 2018"/>
    <s v="Puntaje"/>
    <s v="Agencia de Calidad de la Educación"/>
    <s v="Evolución de Puntaje SIMCE de Lectura por Dependencia de Establecimientos para 4° Básico en la Región de Maule para el Periodo 2015 - 2018"/>
    <s v="En la región de Maule, el puntaje obtenido por los colegios Particulares, en la prueba SIMCE de lectura tomada a los alumnos de 4° Básico, desde el año 2015 al 2018, es superiores al puntaje de los colegios de otras dependencias, con un promedio sobre los 145 puntos."/>
    <s v="Gráfico de Evolución"/>
    <s v="Región de Maule,educación básica,cuarto básico,puntaje,lectura,municipal,subvencionado,corporación,lenguaje,particular,Agencia Información,Educación,SIMCE,Métricas de la Educación"/>
    <s v="https://analytics.zoho.com/open-view/2395394000009042076?ZOHO_CRITERIA=%22Localiza%20CL%22.%22Codreg%22%3D7"/>
    <x v="24"/>
    <s v="#1774B9"/>
  </r>
  <r>
    <s v="0430"/>
    <n v="990"/>
    <s v="Agencia Información"/>
    <s v="Educación"/>
    <n v="8"/>
    <x v="34"/>
    <x v="1"/>
    <x v="1"/>
    <x v="8"/>
    <x v="3"/>
    <x v="44"/>
    <s v="Periodo 2015 - 2018"/>
    <s v="Puntaje"/>
    <s v="Agencia de Calidad de la Educación"/>
    <s v="Evolución de Puntaje SIMCE de Lectura por Dependencia de Establecimientos para 4° Básico en la Región del Biobío para el Periodo 2015 - 2018"/>
    <s v="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
    <s v="Gráfico de Evolución"/>
    <s v="Región del Biobío,educación básica,cuarto básico,puntaje,lectura,municipal,subvencionado,corporación,lenguaje,particular,Agencia Información,Educación,SIMCE,Métricas de la Educación"/>
    <s v="https://analytics.zoho.com/open-view/2395394000009042076?ZOHO_CRITERIA=%22Localiza%20CL%22.%22Codreg%22%3D8"/>
    <x v="25"/>
    <s v="#1774B9"/>
  </r>
  <r>
    <s v="0431"/>
    <n v="990"/>
    <s v="Agencia Información"/>
    <s v="Educación"/>
    <n v="9"/>
    <x v="34"/>
    <x v="1"/>
    <x v="1"/>
    <x v="9"/>
    <x v="3"/>
    <x v="44"/>
    <s v="Periodo 2015 - 2018"/>
    <s v="Puntaje"/>
    <s v="Agencia de Calidad de la Educación"/>
    <s v="Evolución de Puntaje SIMCE de Lectura por Dependencia de Establecimientos para 4° Básico en la Región de La Araucanía para el Periodo 2015 - 2018"/>
    <s v="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
    <s v="Gráfico de Evolución"/>
    <s v="Región de La Araucanía,educación básica,cuarto básico,puntaje,lectura,municipal,subvencionado,corporación,lenguaje,particular,Agencia Información,Educación,SIMCE,Métricas de la Educación"/>
    <s v="https://analytics.zoho.com/open-view/2395394000009042076?ZOHO_CRITERIA=%22Localiza%20CL%22.%22Codreg%22%3D9"/>
    <x v="26"/>
    <s v="#1774B9"/>
  </r>
  <r>
    <s v="0432"/>
    <n v="990"/>
    <s v="Agencia Información"/>
    <s v="Educación"/>
    <n v="10"/>
    <x v="34"/>
    <x v="1"/>
    <x v="1"/>
    <x v="10"/>
    <x v="3"/>
    <x v="44"/>
    <s v="Periodo 2015 - 2018"/>
    <s v="Puntaje"/>
    <s v="Agencia de Calidad de la Educación"/>
    <s v="Evolución de Puntaje SIMCE de Lectura por Dependencia de Establecimientos para 4° Básico en la Región de Los Lagos para el Periodo 2015 - 2018"/>
    <s v="En la región de Los Lagos, el puntaje promedio obtenido por los colegios Particulares, en la prueba SIMCE de lectura tomada a los alumnos de 4° Básico, desde el año 2015 al 2018, es sobre los 140 puntos, seguidos por los colegios Subvencionados con puntaje aproximado de 93 puntos."/>
    <s v="Gráfico de Evolución"/>
    <s v="Región de Los Lagos,educación básica,cuarto básico,puntaje,lectura,municipal,subvencionado,corporación,lenguaje,particular,Agencia Información,Educación,SIMCE,Métricas de la Educación"/>
    <s v="https://analytics.zoho.com/open-view/2395394000009042076?ZOHO_CRITERIA=%22Localiza%20CL%22.%22Codreg%22%3D10"/>
    <x v="27"/>
    <s v="#1774B9"/>
  </r>
  <r>
    <s v="0433"/>
    <n v="990"/>
    <s v="Agencia Información"/>
    <s v="Educación"/>
    <n v="11"/>
    <x v="34"/>
    <x v="1"/>
    <x v="1"/>
    <x v="11"/>
    <x v="3"/>
    <x v="44"/>
    <s v="Periodo 2015 - 2018"/>
    <s v="Puntaje"/>
    <s v="Agencia de Calidad de la Educación"/>
    <s v="Evolución de Puntaje SIMCE de Lectura por Dependencia de Establecimientos para 4° Básico en la Región de Aysén para el Periodo 2015 - 2018"/>
    <s v="En la región de Aysén, el puntaje promedio obtenido por los colegios Subvencionados, en la prueba SIMCE de lectura tomada a los alumnos de 4° Básico, desde el año 2015 al 2018, es sobre los 105 puntos, superando por 20 puntos a los colegios Municipales. "/>
    <s v="Gráfico de Evolución"/>
    <s v="Región de Aysén,educación básica,cuarto básico,puntaje,lectura,municipal,subvencionado,corporación,lenguaje,particular,Agencia Información,Educación,SIMCE,Métricas de la Educación"/>
    <s v="https://analytics.zoho.com/open-view/2395394000009042076?ZOHO_CRITERIA=%22Localiza%20CL%22.%22Codreg%22%3D11"/>
    <x v="33"/>
    <s v="#1774B9"/>
  </r>
  <r>
    <s v="0434"/>
    <n v="990"/>
    <s v="Agencia Información"/>
    <s v="Educación"/>
    <n v="12"/>
    <x v="34"/>
    <x v="1"/>
    <x v="1"/>
    <x v="12"/>
    <x v="3"/>
    <x v="44"/>
    <s v="Periodo 2015 - 2018"/>
    <s v="Puntaje"/>
    <s v="Agencia de Calidad de la Educación"/>
    <s v="Evolución de Puntaje SIMCE de Lectura por Dependencia de Establecimientos para 4° Básico en la Región de Magallanes para el Periodo 2015 - 2018"/>
    <s v="En la región de Magallanes, el puntaje promedio obtenido por los colegios Particulares, en la prueba SIMCE de lectura tomada a los alumnos de 4° Básico, desde el año 2015 al 2018, es sobre los 130 puntos, seguidos por los colegios Subvencionados con puntaje aproximado de 120 puntos."/>
    <s v="Gráfico de Evolución"/>
    <s v="Región de Magallanes,educación básica,cuarto básico,puntaje,lectura,municipal,subvencionado,corporación,lenguaje,particular,Agencia Información,Educación,SIMCE,Métricas de la Educación"/>
    <s v="https://analytics.zoho.com/open-view/2395394000009042076?ZOHO_CRITERIA=%22Localiza%20CL%22.%22Codreg%22%3D12"/>
    <x v="28"/>
    <s v="#1774B9"/>
  </r>
  <r>
    <s v="0435"/>
    <n v="990"/>
    <s v="Agencia Información"/>
    <s v="Educación"/>
    <n v="13"/>
    <x v="34"/>
    <x v="1"/>
    <x v="1"/>
    <x v="13"/>
    <x v="3"/>
    <x v="44"/>
    <s v="Periodo 2015 - 2018"/>
    <s v="Puntaje"/>
    <s v="Agencia de Calidad de la Educación"/>
    <s v="Evolución de Puntaje SIMCE de Lectura por Dependencia de Establecimientos para 4° Básico en la Región Metropolitana para el Periodo 2015 - 2018"/>
    <s v="En la región Metropolitana, el puntaje promedio obtenido por los colegios Particulares, en la prueba SIMCE de lectura tomada a los alumnos de 4° Básico, desde el año 2015 al 2018, es superior al puntaje obtenidos por colegios de otras dependencias."/>
    <s v="Gráfico de Evolución"/>
    <s v="Región Metropolitana,educación básica,cuarto básico,puntaje,lectura,municipal,subvencionado,corporación,lenguaje,particular,Agencia Información,Educación,SIMCE,Métricas de la Educación"/>
    <s v="https://analytics.zoho.com/open-view/2395394000009042076?ZOHO_CRITERIA=%22Localiza%20CL%22.%22Codreg%22%3D13"/>
    <x v="29"/>
    <s v="#1774B9"/>
  </r>
  <r>
    <s v="0436"/>
    <n v="990"/>
    <s v="Agencia Información"/>
    <s v="Educación"/>
    <n v="14"/>
    <x v="34"/>
    <x v="1"/>
    <x v="1"/>
    <x v="14"/>
    <x v="3"/>
    <x v="44"/>
    <s v="Periodo 2015 - 2018"/>
    <s v="Puntaje"/>
    <s v="Agencia de Calidad de la Educación"/>
    <s v="Evolución de Puntaje SIMCE de Lectura por Dependencia de Establecimientos para 4° Básico en la Región de Los Ríos para el Periodo 2015 - 2018"/>
    <s v="En la región de Los Ríos, el puntaje promedio obtenido por los colegios Particulares, en la prueba SIMCE de lectura tomada a los alumnos de 4° Básico, supera por más de 50 puntos a los colegios de otras dependencias del país, en los años 2015, 2016, 2017 y 2018."/>
    <s v="Gráfico de Evolución"/>
    <s v="Región de Los Ríos,educación básica,cuarto básico,puntaje,lectura,municipal,subvencionado,corporación,lenguaje,particular,Agencia Información,Educación,SIMCE,Métricas de la Educación"/>
    <s v="https://analytics.zoho.com/open-view/2395394000009042076?ZOHO_CRITERIA=%22Localiza%20CL%22.%22Codreg%22%3D14"/>
    <x v="30"/>
    <s v="#1774B9"/>
  </r>
  <r>
    <s v="0437"/>
    <n v="990"/>
    <s v="Agencia Información"/>
    <s v="Educación"/>
    <n v="15"/>
    <x v="34"/>
    <x v="1"/>
    <x v="1"/>
    <x v="15"/>
    <x v="3"/>
    <x v="44"/>
    <s v="Periodo 2015 - 2018"/>
    <s v="Puntaje"/>
    <s v="Agencia de Calidad de la Educación"/>
    <s v="Evolución de Puntaje SIMCE de Lectura por Dependencia de Establecimientos para 4° Básico en la Región de Arica y Parinacota para el Periodo 2015 - 2018"/>
    <s v="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
    <s v="Gráfico de Evolución"/>
    <s v="Región de Arica y Parinacota,educación básica,cuarto básico,puntaje,lectura,municipal,subvencionado,corporación,lenguaje,particular,Agencia Información,Educación,SIMCE,Métricas de la Educación"/>
    <s v="https://analytics.zoho.com/open-view/2395394000009042076?ZOHO_CRITERIA=%22Localiza%20CL%22.%22Codreg%22%3D15"/>
    <x v="31"/>
    <s v="#1774B9"/>
  </r>
  <r>
    <s v="0438"/>
    <n v="990"/>
    <s v="Agencia Información"/>
    <s v="Educación"/>
    <n v="16"/>
    <x v="34"/>
    <x v="1"/>
    <x v="1"/>
    <x v="16"/>
    <x v="3"/>
    <x v="44"/>
    <s v="Periodo 2015 - 2018"/>
    <s v="Puntaje"/>
    <s v="Agencia de Calidad de la Educación"/>
    <s v="Evolución de Puntaje SIMCE de Lectura por Dependencia de Establecimientos para 4° Básico en la Región de Ñuble para el Periodo 2015 - 2018"/>
    <s v="En la región de Ñuble, el puntaje promedio obtenido por los colegios Particulares, en la prueba SIMCE de lectura tomada a los alumnos de 4° Básico, desde el año 2015 al 2018, es de 150 puntos."/>
    <s v="Gráfico de Evolución"/>
    <s v="Región de Ñuble,educación básica,cuarto básico,puntaje,lectura,municipal,subvencionado,corporación,lenguaje,particular,Agencia Información,Educación,SIMCE,Métricas de la Educación"/>
    <s v="https://analytics.zoho.com/open-view/2395394000009042076?ZOHO_CRITERIA=%22Localiza%20CL%22.%22Codreg%22%3D16"/>
    <x v="32"/>
    <s v="#1774B9"/>
  </r>
  <r>
    <s v="0439"/>
    <n v="990"/>
    <s v="Agencia Información"/>
    <s v="Educación"/>
    <n v="0"/>
    <x v="34"/>
    <x v="1"/>
    <x v="0"/>
    <x v="0"/>
    <x v="2"/>
    <x v="44"/>
    <s v="Periodo 2015 - 2018"/>
    <s v="Puntaje"/>
    <s v="Agencia de Calidad de la Educación"/>
    <s v="Evolución de Puntaje SIMCE de Lectura según área urbana o rural para 6° Básico en Chile para el Periodo 2015 - 2018"/>
    <s v="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
    <s v="Gráfico de Evolución"/>
    <s v="Chile,educación básica,sexto básico,puntaje,lectura,rural,urbano,lenguaje,Agencia Información,Educación,SIMCE,Métricas de la Educación"/>
    <s v="https://analytics.zoho.com/open-view/2395394000007909646"/>
    <x v="17"/>
    <s v="#1774B9"/>
  </r>
  <r>
    <s v="0440"/>
    <n v="990"/>
    <s v="Agencia Información"/>
    <s v="Educación"/>
    <n v="1"/>
    <x v="34"/>
    <x v="1"/>
    <x v="1"/>
    <x v="1"/>
    <x v="3"/>
    <x v="44"/>
    <s v="Periodo 2015 - 2018"/>
    <s v="Puntaje"/>
    <s v="Agencia de Calidad de la Educación"/>
    <s v="Evolución de Puntaje SIMCE de Lectura según área urbana o rural para 6° Básico en la Región de Tarapacá para el Periodo 2015 - 2018"/>
    <s v="La región de Tarapacá, en la prueba SIMCE de lectura rendida por los alumnos de 6° Básico, desde el año 2015 al 2018, el puntaje promedio obtenido por los colegios de área urbana es mayor al obtenido por los colegios de áreas rurales, por mas de 60 puntos."/>
    <s v="Gráfico de Evolución"/>
    <s v="Región de Tarapacá,educación básica,sexto básico,puntaje,lectura,rural,urbano,lenguaje,Agencia Información,Educación,SIMCE,Métricas de la Educación"/>
    <s v="https://analytics.zoho.com/open-view/2395394000009042179?ZOHO_CRITERIA=%22Localiza%20CL%22.%22Codreg%22%3D1"/>
    <x v="18"/>
    <s v="#1774B9"/>
  </r>
  <r>
    <s v="0441"/>
    <n v="990"/>
    <s v="Agencia Información"/>
    <s v="Educación"/>
    <n v="2"/>
    <x v="34"/>
    <x v="1"/>
    <x v="1"/>
    <x v="2"/>
    <x v="3"/>
    <x v="44"/>
    <s v="Periodo 2015 - 2018"/>
    <s v="Puntaje"/>
    <s v="Agencia de Calidad de la Educación"/>
    <s v="Evolución de Puntaje SIMCE de Lectura según área urbana o rural para 6° Básico en la Región de Antofagasta para el Periodo 2015 - 2018"/>
    <s v="La región de Antofagasta, en la prueba SIMCE de lectura rendida por los alumnos de 6° Básico, desde el año 2015 al 2018, el puntaje promedio obtenido por los colegios de área urbana es mayor al obtenido por los colegios de áreas rurales, por mas de 80 puntos. "/>
    <s v="Gráfico de Evolución"/>
    <s v="Región de Antofagasta,educación básica,sexto básico,puntaje,lectura,rural,urbano,lenguaje,Agencia Información,Educación,SIMCE,Métricas de la Educación"/>
    <s v="https://analytics.zoho.com/open-view/2395394000009042179?ZOHO_CRITERIA=%22Localiza%20CL%22.%22Codreg%22%3D2"/>
    <x v="19"/>
    <s v="#1774B9"/>
  </r>
  <r>
    <s v="0442"/>
    <n v="990"/>
    <s v="Agencia Información"/>
    <s v="Educación"/>
    <n v="3"/>
    <x v="34"/>
    <x v="1"/>
    <x v="1"/>
    <x v="3"/>
    <x v="3"/>
    <x v="44"/>
    <s v="Periodo 2015 - 2018"/>
    <s v="Puntaje"/>
    <s v="Agencia de Calidad de la Educación"/>
    <s v="Evolución de Puntaje SIMCE de Lectura según área urbana o rural para 6° Básico en la Región de Atacama para el Periodo 2015 - 2018"/>
    <s v="La región de Atacama, en la prueba SIMCE de lectura rendida por los alumnos de 6° Básico, desde el año 2015 al 2018, el puntaje promedio obtenido por los colegios de área urbana es mayor al obtenido por los colegios de áreas rurales, superando los 100 puntos el 2008."/>
    <s v="Gráfico de Evolución"/>
    <s v="Región de Atacama,educación básica,sexto básico,puntaje,lectura,rural,urbano,lenguaje,Agencia Información,Educación,SIMCE,Métricas de la Educación"/>
    <s v="https://analytics.zoho.com/open-view/2395394000009042179?ZOHO_CRITERIA=%22Localiza%20CL%22.%22Codreg%22%3D3"/>
    <x v="20"/>
    <s v="#1774B9"/>
  </r>
  <r>
    <s v="0443"/>
    <n v="990"/>
    <s v="Agencia Información"/>
    <s v="Educación"/>
    <n v="4"/>
    <x v="34"/>
    <x v="1"/>
    <x v="1"/>
    <x v="4"/>
    <x v="3"/>
    <x v="44"/>
    <s v="Periodo 2015 - 2018"/>
    <s v="Puntaje"/>
    <s v="Agencia de Calidad de la Educación"/>
    <s v="Evolución de Puntaje SIMCE de Lectura según área urbana o rural para 6° Básico en la Región de Coquimbo para el Periodo 2015 - 2018"/>
    <s v="La región de Coquimbo, en la prueba SIMCE de lectura rendida por los alumnos de 6° Básico, desde el año 2015 al 2018, el puntaje promedio obtenido por los colegios de área urbana es mayor al obtenido por los colegios de áreas rurales, por más de 60 puntos."/>
    <s v="Gráfico de Evolución"/>
    <s v="Región de Coquimbo,educación básica,sexto básico,puntaje,lectura,rural,urbano,lenguaje,Agencia Información,Educación,SIMCE,Métricas de la Educación"/>
    <s v="https://analytics.zoho.com/open-view/2395394000009042179?ZOHO_CRITERIA=%22Localiza%20CL%22.%22Codreg%22%3D4"/>
    <x v="21"/>
    <s v="#1774B9"/>
  </r>
  <r>
    <s v="0444"/>
    <n v="990"/>
    <s v="Agencia Información"/>
    <s v="Educación"/>
    <n v="5"/>
    <x v="34"/>
    <x v="1"/>
    <x v="1"/>
    <x v="5"/>
    <x v="3"/>
    <x v="44"/>
    <s v="Periodo 2015 - 2018"/>
    <s v="Puntaje"/>
    <s v="Agencia de Calidad de la Educación"/>
    <s v="Evolución de Puntaje SIMCE de Lectura según área urbana o rural para 6° Básico en la Región de Valparaíso para el Periodo 2015 - 2018"/>
    <s v="La región de Valparaíso, en la prueba SIMCE de lectura rendida por los alumnos de 6° Básico, desde el año 2015 al 2018, el puntaje promedio obtenido por los colegios de área urbana es mayor al obtenido por los colegios de áreas rurales, con una diferencia de 40 puntos."/>
    <s v="Gráfico de Evolución"/>
    <s v="Región de Valparaíso,educación básica,sexto básico,puntaje,lectura,rural,urbano,lenguaje,Agencia Información,Educación,SIMCE,Métricas de la Educación"/>
    <s v="https://analytics.zoho.com/open-view/2395394000009042179?ZOHO_CRITERIA=%22Localiza%20CL%22.%22Codreg%22%3D5"/>
    <x v="22"/>
    <s v="#1774B9"/>
  </r>
  <r>
    <s v="0445"/>
    <n v="990"/>
    <s v="Agencia Información"/>
    <s v="Educación"/>
    <n v="6"/>
    <x v="34"/>
    <x v="1"/>
    <x v="1"/>
    <x v="6"/>
    <x v="3"/>
    <x v="44"/>
    <s v="Periodo 2015 - 2018"/>
    <s v="Puntaje"/>
    <s v="Agencia de Calidad de la Educación"/>
    <s v="Evolución de Puntaje SIMCE de Lectura según área urbana o rural para 6° Básico en la Región de O'Higgins para el Periodo 2015 - 2018"/>
    <s v="La región de O'Higgins, en la prueba SIMCE de lectura rendida por los alumnos de 6° Básico, desde el año 2015 al 2018, el puntaje promedio obtenido por los colegios de área urbana es mayor al obtenido por los colegios de áreas rurales, por mas de 30 puntos."/>
    <s v="Gráfico de Evolución"/>
    <s v="Región de O'Higgins,educación básica,sexto básico,puntaje,lectura,rural,urbano,lenguaje,Agencia Información,Educación,SIMCE,Métricas de la Educación"/>
    <s v="V"/>
    <x v="23"/>
    <s v="#1774B9"/>
  </r>
  <r>
    <s v="0446"/>
    <n v="990"/>
    <s v="Agencia Información"/>
    <s v="Educación"/>
    <n v="7"/>
    <x v="34"/>
    <x v="1"/>
    <x v="1"/>
    <x v="7"/>
    <x v="3"/>
    <x v="44"/>
    <s v="Periodo 2015 - 2018"/>
    <s v="Puntaje"/>
    <s v="Agencia de Calidad de la Educación"/>
    <s v="Evolución de Puntaje SIMCE de Lectura según área urbana o rural para 6° Básico en la Región de Maule para el Periodo 2015 - 2018"/>
    <s v="La región del Maule, en la prueba SIMCE de lectura rendida por los alumnos de 6° Básico, desde el año 2015 al 2018, el puntaje promedio obtenido por los colegios de área urbana es mayor al obtenido por los colegios de áreas rurales, por más de 40 puntos."/>
    <s v="Gráfico de Evolución"/>
    <s v="Región de Maule,educación básica,sexto básico,puntaje,lectura,rural,urbano,lenguaje,Agencia Información,Educación,SIMCE,Métricas de la Educación"/>
    <s v="https://analytics.zoho.com/open-view/2395394000009042179?ZOHO_CRITERIA=%22Localiza%20CL%22.%22Codreg%22%3D7"/>
    <x v="24"/>
    <s v="#1774B9"/>
  </r>
  <r>
    <s v="0447"/>
    <n v="990"/>
    <s v="Agencia Información"/>
    <s v="Educación"/>
    <n v="8"/>
    <x v="34"/>
    <x v="1"/>
    <x v="1"/>
    <x v="8"/>
    <x v="3"/>
    <x v="44"/>
    <s v="Periodo 2015 - 2018"/>
    <s v="Puntaje"/>
    <s v="Agencia de Calidad de la Educación"/>
    <s v="Evolución de Puntaje SIMCE de Lectura según área urbana o rural para 6° Básico en la Región del Biobío para el Periodo 2015 - 2018"/>
    <s v="La región del Biobío, en la prueba SIMCE de lectura rendida por los alumnos de 6° Básico, desde el año 2015 al 2018, el puntaje promedio obtenido por los colegios de área urbana es mayor al obtenido por los colegios de áreas rurales, por mas de 55 puntos."/>
    <s v="Gráfico de Evolución"/>
    <s v="Región del Biobío,educación básica,sexto básico,puntaje,lectura,rural,urbano,lenguaje,Agencia Información,Educación,SIMCE,Métricas de la Educación"/>
    <s v="https://analytics.zoho.com/open-view/2395394000009042179?ZOHO_CRITERIA=%22Localiza%20CL%22.%22Codreg%22%3D8"/>
    <x v="25"/>
    <s v="#1774B9"/>
  </r>
  <r>
    <s v="0448"/>
    <n v="990"/>
    <s v="Agencia Información"/>
    <s v="Educación"/>
    <n v="9"/>
    <x v="34"/>
    <x v="1"/>
    <x v="1"/>
    <x v="9"/>
    <x v="3"/>
    <x v="44"/>
    <s v="Periodo 2015 - 2018"/>
    <s v="Puntaje"/>
    <s v="Agencia de Calidad de la Educación"/>
    <s v="Evolución de Puntaje SIMCE de Lectura según área urbana o rural para 6° Básico en la Región de La Araucanía para el Periodo 2015 - 2018"/>
    <s v="La región de La Araucanía, en la prueba SIMCE de lectura rendida por los alumnos de 6° Básico, desde el año 2015 al 2018, el puntaje promedio obtenido por los colegios de área urbana es mayor al obtenido por los colegios de áreas rurales, por mas de 30 puntos."/>
    <s v="Gráfico de Evolución"/>
    <s v="Región de La Araucanía,educación básica,sexto básico,puntaje,lectura,rural,urbano,lenguaje,Agencia Información,Educación,SIMCE,Métricas de la Educación"/>
    <s v="https://analytics.zoho.com/open-view/2395394000009042179?ZOHO_CRITERIA=%22Localiza%20CL%22.%22Codreg%22%3D9"/>
    <x v="26"/>
    <s v="#1774B9"/>
  </r>
  <r>
    <s v="0449"/>
    <n v="990"/>
    <s v="Agencia Información"/>
    <s v="Educación"/>
    <n v="10"/>
    <x v="34"/>
    <x v="1"/>
    <x v="1"/>
    <x v="10"/>
    <x v="3"/>
    <x v="44"/>
    <s v="Periodo 2015 - 2018"/>
    <s v="Puntaje"/>
    <s v="Agencia de Calidad de la Educación"/>
    <s v="Evolución de Puntaje SIMCE de Lectura según área urbana o rural para 6° Básico en la Región de Los Lagos para el Periodo 2015 - 2018"/>
    <s v="La región de Los Lagos, en la prueba SIMCE de lectura rendida por los alumnos de 6° Básico, desde el año 2015 al 2018, el puntaje promedio obtenido por los colegios de área urbana es mayor al obtenido por los colegios de áreas rurales, por mas de 50 puntos."/>
    <s v="Gráfico de Evolución"/>
    <s v="Región de Los Lagos,educación básica,sexto básico,puntaje,lectura,rural,urbano,lenguaje,Agencia Información,Educación,SIMCE,Métricas de la Educación"/>
    <s v="https://analytics.zoho.com/open-view/2395394000009042179?ZOHO_CRITERIA=%22Localiza%20CL%22.%22Codreg%22%3D10"/>
    <x v="27"/>
    <s v="#1774B9"/>
  </r>
  <r>
    <s v="0450"/>
    <n v="990"/>
    <s v="Agencia Información"/>
    <s v="Educación"/>
    <n v="11"/>
    <x v="34"/>
    <x v="1"/>
    <x v="1"/>
    <x v="11"/>
    <x v="3"/>
    <x v="44"/>
    <s v="Periodo 2015 - 2018"/>
    <s v="Puntaje"/>
    <s v="Agencia de Calidad de la Educación"/>
    <s v="Evolución de Puntaje SIMCE de Lectura según área urbana o rural para 6° Básico en la Región de Aysén para el Periodo 2015 - 2018"/>
    <s v="La región de Aysén, en la prueba SIMCE de lectura rendida por los alumnos de 6° Básico, desde el año 2015 al 2018, el puntaje promedio obtenido por los colegios de área urbana es mayor al obtenido por los colegios de áreas rurales, por mas de 40 puntos. "/>
    <s v="Gráfico de Evolución"/>
    <s v="Región de Aysén,educación básica,sexto básico,puntaje,lectura,rural,urbano,lenguaje,Agencia Información,Educación,SIMCE,Métricas de la Educación"/>
    <s v="https://analytics.zoho.com/open-view/2395394000009042179?ZOHO_CRITERIA=%22Localiza%20CL%22.%22Codreg%22%3D11"/>
    <x v="33"/>
    <s v="#1774B9"/>
  </r>
  <r>
    <s v="0451"/>
    <n v="990"/>
    <s v="Agencia Información"/>
    <s v="Educación"/>
    <n v="12"/>
    <x v="34"/>
    <x v="1"/>
    <x v="1"/>
    <x v="12"/>
    <x v="3"/>
    <x v="44"/>
    <s v="Periodo 2015 - 2018"/>
    <s v="Puntaje"/>
    <s v="Agencia de Calidad de la Educación"/>
    <s v="Evolución de Puntaje SIMCE de Lectura según área urbana o rural para 6° Básico en la Región de Magallanes para el Periodo 2015 - 2018"/>
    <s v="La región de Magallanes, según los puntajes SIMCE de lectura para los 6° Básicos en el periodo 2015 - 2018, se observa que los colegios de área urbana tienen puntaje significativamente mayor que los alcanzados en zonas rurales, con una diferencia de 100 puntos promedio. "/>
    <s v="Gráfico de Evolución"/>
    <s v="Región de Magallanes,educación básica,sexto básico,puntaje,lectura,rural,urbano,lenguaje,Agencia Información,Educación,SIMCE,Métricas de la Educación"/>
    <s v="https://analytics.zoho.com/open-view/2395394000009042179?ZOHO_CRITERIA=%22Localiza%20CL%22.%22Codreg%22%3D12"/>
    <x v="28"/>
    <s v="#1774B9"/>
  </r>
  <r>
    <s v="0452"/>
    <n v="990"/>
    <s v="Agencia Información"/>
    <s v="Educación"/>
    <n v="13"/>
    <x v="34"/>
    <x v="1"/>
    <x v="1"/>
    <x v="13"/>
    <x v="3"/>
    <x v="44"/>
    <s v="Periodo 2015 - 2018"/>
    <s v="Puntaje"/>
    <s v="Agencia de Calidad de la Educación"/>
    <s v="Evolución de Puntaje SIMCE de Lectura según área urbana o rural para 6° Básico en la Región Metropolitana para el Periodo 2015 - 2018"/>
    <s v="La región Metropolitana, en la prueba SIMCE de lectura rendida por los alumnos de 6° Básico, desde el año 2015 al 2018, el puntaje promedio obtenido por los colegios de área urbana es mayor al obtenido por los colegios de áreas rurales, con una diferencia de 30 puntos promedio."/>
    <s v="Gráfico de Evolución"/>
    <s v="Región Metropolitana,educación básica,sexto básico,puntaje,lectura,rural,urbano,lenguaje,Agencia Información,Educación,SIMCE,Métricas de la Educación"/>
    <s v="https://analytics.zoho.com/open-view/2395394000009042179?ZOHO_CRITERIA=%22Localiza%20CL%22.%22Codreg%22%3D13"/>
    <x v="29"/>
    <s v="#1774B9"/>
  </r>
  <r>
    <s v="0453"/>
    <n v="990"/>
    <s v="Agencia Información"/>
    <s v="Educación"/>
    <n v="14"/>
    <x v="34"/>
    <x v="1"/>
    <x v="1"/>
    <x v="14"/>
    <x v="3"/>
    <x v="44"/>
    <s v="Periodo 2015 - 2018"/>
    <s v="Puntaje"/>
    <s v="Agencia de Calidad de la Educación"/>
    <s v="Evolución de Puntaje SIMCE de Lectura según área urbana o rural para 6° Básico en la Región de Los Ríos para el Periodo 2015 - 2018"/>
    <s v="La región de Los Ríos, en la prueba SIMCE de lectura rendida por los alumnos de 6° Básico, desde el año 2015 al 2018, el puntaje promedio obtenido por los colegios de área urbana es mayor al obtenido por los colegios de áreas rurales, por más de 40 puntos. "/>
    <s v="Gráfico de Evolución"/>
    <s v="Región de Los Ríos,educación básica,sexto básico,puntaje,lectura,rural,urbano,lenguaje,Agencia Información,Educación,SIMCE,Métricas de la Educación"/>
    <s v="https://analytics.zoho.com/open-view/2395394000009042179?ZOHO_CRITERIA=%22Localiza%20CL%22.%22Codreg%22%3D14"/>
    <x v="30"/>
    <s v="#1774B9"/>
  </r>
  <r>
    <s v="0454"/>
    <n v="990"/>
    <s v="Agencia Información"/>
    <s v="Educación"/>
    <n v="15"/>
    <x v="34"/>
    <x v="1"/>
    <x v="1"/>
    <x v="15"/>
    <x v="3"/>
    <x v="44"/>
    <s v="Periodo 2015 - 2018"/>
    <s v="Puntaje"/>
    <s v="Agencia de Calidad de la Educación"/>
    <s v="Evolución de Puntaje SIMCE de Lectura según área urbana o rural para 6° Básico en la Región de Arica y Parinacota para el Periodo 2015 - 2018"/>
    <s v="La región de Arica y Parinacota, en la prueba SIMCE de lectura rendida por los alumnos de 6° Básico, desde el año 2015 al 2018, el puntaje promedio obtenido por los colegios de área urbana es mayor al obtenido por los colegios de áreas rurales, por más de 90 puntos. "/>
    <s v="Gráfico de Evolución"/>
    <s v="Región de Arica y Parinacota,educación básica,sexto básico,puntaje,lectura,rural,urbano,lenguaje,Agencia Información,Educación,SIMCE,Métricas de la Educación"/>
    <s v="https://analytics.zoho.com/open-view/2395394000009042179?ZOHO_CRITERIA=%22Localiza%20CL%22.%22Codreg%22%3D15"/>
    <x v="31"/>
    <s v="#1774B9"/>
  </r>
  <r>
    <s v="0455"/>
    <n v="990"/>
    <s v="Agencia Información"/>
    <s v="Educación"/>
    <n v="16"/>
    <x v="34"/>
    <x v="1"/>
    <x v="1"/>
    <x v="16"/>
    <x v="3"/>
    <x v="44"/>
    <s v="Periodo 2015 - 2018"/>
    <s v="Puntaje"/>
    <s v="Agencia de Calidad de la Educación"/>
    <s v="Evolución de Puntaje SIMCE de Lectura según área urbana o rural para 6° Básico en la Región de Ñuble para el Periodo 2015 - 2018"/>
    <s v="La región Ñuble, en la prueba SIMCE de lectura rendida por los alumnos de 6° Básico, desde el año 2015 al 2018, el puntaje promedio obtenido por los colegios de área urbana es mayor al obtenido por los colegios de áreas rurales, por más de 30 puntos."/>
    <s v="Gráfico de Evolución"/>
    <s v="Región de Ñuble,educación básica,sexto básico,puntaje,lectura,rural,urbano,lenguaje,Agencia Información,Educación,SIMCE,Métricas de la Educación"/>
    <s v="https://analytics.zoho.com/open-view/2395394000009042179?ZOHO_CRITERIA=%22Localiza%20CL%22.%22Codreg%22%3D16"/>
    <x v="32"/>
    <s v="#1774B9"/>
  </r>
  <r>
    <s v="0456"/>
    <n v="990"/>
    <s v="Agencia Información"/>
    <s v="Educación"/>
    <n v="0"/>
    <x v="34"/>
    <x v="1"/>
    <x v="0"/>
    <x v="0"/>
    <x v="0"/>
    <x v="45"/>
    <s v="Año 2020"/>
    <s v="Puntaje"/>
    <s v="Agencia de Calidad de la Educación"/>
    <s v="Mapa Puntaje Promedio y Máximo en prueba SIMCE de Lectura de 8vo Básico por Comuna en Chile para el Año 2020"/>
    <s v="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educación básica,octavo básico,puntaje,lectura,promedio,máximo,lenguaje,Agencia Información,Educación,SIMCE,Métricas de la Educación"/>
    <s v="https://analytics.zoho.com/open-view/2395394000007908947"/>
    <x v="17"/>
    <s v="#1774B9"/>
  </r>
  <r>
    <s v="0457"/>
    <n v="990"/>
    <s v="Agencia Información"/>
    <s v="Educación"/>
    <n v="1"/>
    <x v="34"/>
    <x v="1"/>
    <x v="1"/>
    <x v="1"/>
    <x v="1"/>
    <x v="45"/>
    <s v="Año 2020"/>
    <s v="Puntaje"/>
    <s v="Agencia de Calidad de la Educación"/>
    <s v="Mapa Puntaje Promedio y Máximo en prueba SIMCE de Lectura de 8vo Básico por Comuna en la Región de Tarapacá para el Año 2020"/>
    <s v="La comuna de Colchane presenta el mayor puntaje promedio en la prueba SIMCE de lectura tomada a los alumnos de 8° Básico, el año 2020, obteniendo 125 puntos promedio. Sin embargo, la comuna de Iquique obtuvo el Puntaje máximo, con 289 puntos."/>
    <s v="Mapa de calor"/>
    <s v="Región de Tarapacá,educación básica,octavo básico,puntaje,lectura,promedio,máximo,lenguaje,Agencia Información,Educación,SIMCE,Métricas de la Educación"/>
    <s v="https://analytics.zoho.com/open-view/2395394000009042285?ZOHO_CRITERIA=%22Localiza%20CL%22.%22Codreg%22%3D1"/>
    <x v="18"/>
    <s v="#1774B9"/>
  </r>
  <r>
    <s v="0458"/>
    <n v="990"/>
    <s v="Agencia Información"/>
    <s v="Educación"/>
    <n v="2"/>
    <x v="34"/>
    <x v="1"/>
    <x v="1"/>
    <x v="2"/>
    <x v="1"/>
    <x v="45"/>
    <s v="Año 2020"/>
    <s v="Puntaje"/>
    <s v="Agencia de Calidad de la Educación"/>
    <s v="Mapa Puntaje Promedio y Máximo en prueba SIMCE de Lectura de 8vo Básico por Comuna en la Región de Antofagasta para el Año 2020"/>
    <s v="La comuna de María Elena presenta el mayor puntaje promedio en la prueba SIMCE de lectura tomada a los alumnos de 8° Básico, el año 2020, obteniendo 136 puntos promedio. Sin embargo, la comuna de Calama obtuvo el Puntaje máximo con 315 puntos."/>
    <s v="Mapa de calor"/>
    <s v="Región de Antofagasta,educación básica,octavo básico,puntaje,lectura,promedio,máximo,lenguaje,Agencia Información,Educación,SIMCE,Métricas de la Educación"/>
    <s v="https://analytics.zoho.com/open-view/2395394000009042285?ZOHO_CRITERIA=%22Localiza%20CL%22.%22Codreg%22%3D2"/>
    <x v="19"/>
    <s v="#1774B9"/>
  </r>
  <r>
    <s v="0459"/>
    <n v="990"/>
    <s v="Agencia Información"/>
    <s v="Educación"/>
    <n v="3"/>
    <x v="34"/>
    <x v="1"/>
    <x v="1"/>
    <x v="3"/>
    <x v="1"/>
    <x v="45"/>
    <s v="Año 2020"/>
    <s v="Puntaje"/>
    <s v="Agencia de Calidad de la Educación"/>
    <s v="Mapa Puntaje Promedio y Máximo en prueba SIMCE de Lectura de 8vo Básico por Comuna en la Región de Atacama para el Año 2020"/>
    <s v="La comuna de Copiapó presenta el mayor puntaje promedio en la prueba SIMCE de lectura tomada a los alumnos de 8° Básico, el año 2020, obteniendo 111 puntos promedio. Por otro lado, la comuna de Huasco obtuvo el Puntaje promedio más bajo con 80 puntos."/>
    <s v="Mapa de calor"/>
    <s v="Región de Atacama,educación básica,octavo básico,puntaje,lectura,promedio,máximo,lenguaje,Agencia Información,Educación,SIMCE,Métricas de la Educación"/>
    <s v="https://analytics.zoho.com/open-view/2395394000009042285?ZOHO_CRITERIA=%22Localiza%20CL%22.%22Codreg%22%3D3"/>
    <x v="20"/>
    <s v="#1774B9"/>
  </r>
  <r>
    <s v="0460"/>
    <n v="990"/>
    <s v="Agencia Información"/>
    <s v="Educación"/>
    <n v="4"/>
    <x v="34"/>
    <x v="1"/>
    <x v="1"/>
    <x v="4"/>
    <x v="1"/>
    <x v="45"/>
    <s v="Año 2020"/>
    <s v="Puntaje"/>
    <s v="Agencia de Calidad de la Educación"/>
    <s v="Mapa Puntaje Promedio y Máximo en prueba SIMCE de Lectura de 8vo Básico por Comuna en la Región de Coquimbo para el Año 2020"/>
    <s v="La comuna de Andacollo presenta el mayor puntaje promedio en la prueba SIMCE de lectura tomada a los alumnos de 8° Básico, el año 2020, obteniendo 122 puntos promedio. Sin embargo la comuna de Combarbalá obtuvo el Puntaje máximo con 331 puntos."/>
    <s v="Mapa de calor"/>
    <s v="Región de Coquimbo,educación básica,octavo básico,puntaje,lectura,promedio,máximo,lenguaje,Agencia Información,Educación,SIMCE,Métricas de la Educación"/>
    <s v="https://analytics.zoho.com/open-view/2395394000009042285?ZOHO_CRITERIA=%22Localiza%20CL%22.%22Codreg%22%3D4"/>
    <x v="21"/>
    <s v="#1774B9"/>
  </r>
  <r>
    <s v="0461"/>
    <n v="990"/>
    <s v="Agencia Información"/>
    <s v="Educación"/>
    <n v="5"/>
    <x v="34"/>
    <x v="1"/>
    <x v="1"/>
    <x v="5"/>
    <x v="1"/>
    <x v="45"/>
    <s v="Año 2020"/>
    <s v="Puntaje"/>
    <s v="Agencia de Calidad de la Educación"/>
    <s v="Mapa Puntaje Promedio y Máximo en prueba SIMCE de Lectura de 8vo Básico por Comuna en la Región de Valparaíso para el Año 2020"/>
    <s v="La comuna de Papudo presenta el mayor puntaje promedio en la prueba SIMCE de lectura tomada a los alumnos de 8° Básico, el año 2020, obteniendo 138 puntos promedio. Sin embargo, la comuna de Viña de Mar obtuvo el Puntaje máximo con 316 puntos."/>
    <s v="Mapa de calor"/>
    <s v="Región de Valparaíso,educación básica,octavo básico,puntaje,lectura,promedio,máximo,lenguaje,Agencia Información,Educación,SIMCE,Métricas de la Educación"/>
    <s v="https://analytics.zoho.com/open-view/2395394000009042285?ZOHO_CRITERIA=%22Localiza%20CL%22.%22Codreg%22%3D5"/>
    <x v="22"/>
    <s v="#1774B9"/>
  </r>
  <r>
    <s v="0462"/>
    <n v="990"/>
    <s v="Agencia Información"/>
    <s v="Educación"/>
    <n v="6"/>
    <x v="34"/>
    <x v="1"/>
    <x v="1"/>
    <x v="6"/>
    <x v="1"/>
    <x v="45"/>
    <s v="Año 2020"/>
    <s v="Puntaje"/>
    <s v="Agencia de Calidad de la Educación"/>
    <s v="Mapa Puntaje Promedio y Máximo en prueba SIMCE de Lectura de 8vo Básico por Comuna en la Región de O'Higgins para el Año 2020"/>
    <s v="La comuna de La Estrella presenta el mayor puntaje promedio en la prueba SIMCE de lectura tomada a los alumnos de 8° Básico, el año 2020, obteniendo 139 puntos promedio. Sin embargo, la comuna de San Fernando obtuvo el Puntaje máximo con 310 puntos."/>
    <s v="Mapa de calor"/>
    <s v="Región de O'Higgins,educación básica,octavo básico,puntaje,lectura,promedio,máximo,lenguaje,Agencia Información,Educación,SIMCE,Métricas de la Educación"/>
    <s v="https://analytics.zoho.com/open-view/2395394000009042285?ZOHO_CRITERIA=%22Localiza%20CL%22.%22Codreg%22%3D6"/>
    <x v="23"/>
    <s v="#1774B9"/>
  </r>
  <r>
    <s v="0463"/>
    <n v="990"/>
    <s v="Agencia Información"/>
    <s v="Educación"/>
    <n v="7"/>
    <x v="34"/>
    <x v="1"/>
    <x v="1"/>
    <x v="7"/>
    <x v="1"/>
    <x v="45"/>
    <s v="Año 2020"/>
    <s v="Puntaje"/>
    <s v="Agencia de Calidad de la Educación"/>
    <s v="Mapa Puntaje Promedio y Máximo en prueba SIMCE de Lectura de 8vo Básico por Comuna en la Región de Maule para el Año 2020"/>
    <s v="La comuna de Empedrado presenta el mayor puntaje promedio en la prueba SIMCE de lectura tomada a los alumnos de 8° Básico, el año 2020, obteniendo 137 puntos promedio; seguido por las comunas de Curepto y Parral, ambas con 121 puntos promedio."/>
    <s v="Mapa de calor"/>
    <s v="Región de Maule,educación básica,octavo básico,puntaje,lectura,promedio,máximo,lenguaje,Agencia Información,Educación,SIMCE,Métricas de la Educación"/>
    <s v="https://analytics.zoho.com/open-view/2395394000009042285?ZOHO_CRITERIA=%22Localiza%20CL%22.%22Codreg%22%3D7"/>
    <x v="24"/>
    <s v="#1774B9"/>
  </r>
  <r>
    <s v="0464"/>
    <n v="990"/>
    <s v="Agencia Información"/>
    <s v="Educación"/>
    <n v="8"/>
    <x v="34"/>
    <x v="1"/>
    <x v="1"/>
    <x v="8"/>
    <x v="1"/>
    <x v="45"/>
    <s v="Año 2020"/>
    <s v="Puntaje"/>
    <s v="Agencia de Calidad de la Educación"/>
    <s v="Mapa Puntaje Promedio y Máximo en prueba SIMCE de Lectura de 8vo Básico por Comuna en la Región del Biobío para el Año 2020"/>
    <s v="La comuna de Antuco presenta el mayor puntaje promedio en la prueba SIMCE de lectura tomada a los alumnos de 8° Básico, el año 2020, obteniendo 138 puntos promedio; seguido por la comuna de Arauco con 121 puntos promedio."/>
    <s v="Mapa de calor"/>
    <s v="Región del Biobío,educación básica,octavo básico,puntaje,lectura,promedio,máximo,lenguaje,Agencia Información,Educación,SIMCE,Métricas de la Educación"/>
    <s v="https://analytics.zoho.com/open-view/2395394000009042285?ZOHO_CRITERIA=%22Localiza%20CL%22.%22Codreg%22%3D8"/>
    <x v="25"/>
    <s v="#1774B9"/>
  </r>
  <r>
    <s v="0465"/>
    <n v="990"/>
    <s v="Agencia Información"/>
    <s v="Educación"/>
    <n v="9"/>
    <x v="34"/>
    <x v="1"/>
    <x v="1"/>
    <x v="9"/>
    <x v="1"/>
    <x v="45"/>
    <s v="Año 2020"/>
    <s v="Puntaje"/>
    <s v="Agencia de Calidad de la Educación"/>
    <s v="Mapa Puntaje Promedio y Máximo en prueba SIMCE de Lectura de 8vo Básico por Comuna en la Región de La Araucanía para el Año 2020"/>
    <s v="La comuna de Purén presenta el mayor puntaje promedio en la prueba SIMCE de lectura tomada a los alumnos de 8° Básico, el año 2020, obteniendo 142 puntos promedio. Sin embargo, la comuna de Temuco obtuvo el Puntaje máximo con 313 puntos."/>
    <s v="Mapa de calor"/>
    <s v="Región de La Araucanía,educación básica,octavo básico,puntaje,lectura,promedio,máximo,lenguaje,Agencia Información,Educación,SIMCE,Métricas de la Educación"/>
    <s v="https://analytics.zoho.com/open-view/2395394000009042285?ZOHO_CRITERIA=%22Localiza%20CL%22.%22Codreg%22%3D9"/>
    <x v="26"/>
    <s v="#1774B9"/>
  </r>
  <r>
    <s v="0466"/>
    <n v="990"/>
    <s v="Agencia Información"/>
    <s v="Educación"/>
    <n v="10"/>
    <x v="34"/>
    <x v="1"/>
    <x v="1"/>
    <x v="10"/>
    <x v="1"/>
    <x v="45"/>
    <s v="Año 2020"/>
    <s v="Puntaje"/>
    <s v="Agencia de Calidad de la Educación"/>
    <s v="Mapa Puntaje Promedio y Máximo en prueba SIMCE de Lectura de 8vo Básico por Comuna en la Región de Los Lagos para el Año 2020"/>
    <s v="La comuna de Futaleufú presenta el mayor puntaje promedio en la prueba SIMCE de lectura tomada a los alumnos de 8° Básico, el año 2020, obteniendo 146 puntos promedio. Sin embargo, la comuna de Calbuco obtuvo el Puntaje máximo con 321 puntos."/>
    <s v="Mapa de calor"/>
    <s v="Región de Los Lagos,educación básica,octavo básico,puntaje,lectura,promedio,máximo,lenguaje,Agencia Información,Educación,SIMCE,Métricas de la Educación"/>
    <s v="https://analytics.zoho.com/open-view/2395394000009042285?ZOHO_CRITERIA=%22Localiza%20CL%22.%22Codreg%22%3D10"/>
    <x v="27"/>
    <s v="#1774B9"/>
  </r>
  <r>
    <s v="0467"/>
    <n v="990"/>
    <s v="Agencia Información"/>
    <s v="Educación"/>
    <n v="11"/>
    <x v="34"/>
    <x v="1"/>
    <x v="1"/>
    <x v="11"/>
    <x v="1"/>
    <x v="45"/>
    <s v="Año 2020"/>
    <s v="Puntaje"/>
    <s v="Agencia de Calidad de la Educación"/>
    <s v="Mapa Puntaje Promedio y Máximo en prueba SIMCE de Lectura de 8vo Básico por Comuna en la Región de Aysén para el Año 2020"/>
    <s v="La comuna de Tortel es la que presenta el mayor puntaje promedio en la prueba SIMCE de lectura tomada a los alumnos de 8° Básico, el año 2020, obteniendo 160 puntos promedio. Por otro lado, la comuna de Lago Verde obtuvo el Puntaje máximo con 304 puntos."/>
    <s v="Mapa de calor"/>
    <s v="Región de Aysén,educación básica,octavo básico,puntaje,lectura,promedio,máximo,lenguaje,Agencia Información,Educación,SIMCE,Métricas de la Educación"/>
    <s v="https://analytics.zoho.com/open-view/2395394000009042285?ZOHO_CRITERIA=%22Localiza%20CL%22.%22Codreg%22%3D11"/>
    <x v="33"/>
    <s v="#1774B9"/>
  </r>
  <r>
    <s v="0468"/>
    <n v="990"/>
    <s v="Agencia Información"/>
    <s v="Educación"/>
    <n v="12"/>
    <x v="34"/>
    <x v="1"/>
    <x v="1"/>
    <x v="12"/>
    <x v="1"/>
    <x v="45"/>
    <s v="Año 2020"/>
    <s v="Puntaje"/>
    <s v="Agencia de Calidad de la Educación"/>
    <s v="Mapa Puntaje Promedio y Máximo en prueba SIMCE de Lectura de 8vo Básico por Comuna en la Región de Magallanes para el Año 2020"/>
    <s v="La comuna de Primavera presenta el mayor puntaje promedio en la prueba SIMCE de lectura tomada a los alumnos de 8° Básico, el año 2020, obteniendo 146 puntos promedio. Sin embargo, la comuna de Punta Arenas obtuvo el Puntaje máximo con 298 puntos."/>
    <s v="Mapa de calor"/>
    <s v="Región de Magallanes,educación básica,octavo básico,puntaje,lectura,promedio,máximo,lenguaje,Agencia Información,Educación,SIMCE,Métricas de la Educación"/>
    <s v="https://analytics.zoho.com/open-view/2395394000009042285?ZOHO_CRITERIA=%22Localiza%20CL%22.%22Codreg%22%3D12"/>
    <x v="28"/>
    <s v="#1774B9"/>
  </r>
  <r>
    <s v="0469"/>
    <n v="990"/>
    <s v="Agencia Información"/>
    <s v="Educación"/>
    <n v="13"/>
    <x v="34"/>
    <x v="1"/>
    <x v="1"/>
    <x v="13"/>
    <x v="1"/>
    <x v="45"/>
    <s v="Año 2020"/>
    <s v="Puntaje"/>
    <s v="Agencia de Calidad de la Educación"/>
    <s v="Mapa Puntaje Promedio y Máximo en prueba SIMCE de Lectura de 8vo Básico por Comuna en la Región Metropolitana para el Año 2020"/>
    <s v="La comuna de Vitacura presenta el mayor puntaje promedio en la prueba SIMCE de lectura tomada a los alumnos de 8° Básico, el año 2020, obteniendo 154 puntos promedio. Sin embargo, la comuna de Isla De Maipo obtuvo el Puntaje máximo con 329 puntos."/>
    <s v="Mapa de calor"/>
    <s v="Región Metropolitana,educación básica,octavo básico,puntaje,lectura,promedio,máximo,lenguaje,Agencia Información,Educación,SIMCE,Métricas de la Educación"/>
    <s v="https://analytics.zoho.com/open-view/2395394000009042285?ZOHO_CRITERIA=%22Localiza%20CL%22.%22Codreg%22%3D13"/>
    <x v="29"/>
    <s v="#1774B9"/>
  </r>
  <r>
    <s v="0470"/>
    <n v="990"/>
    <s v="Agencia Información"/>
    <s v="Educación"/>
    <n v="14"/>
    <x v="34"/>
    <x v="1"/>
    <x v="1"/>
    <x v="14"/>
    <x v="1"/>
    <x v="45"/>
    <s v="Año 2020"/>
    <s v="Puntaje"/>
    <s v="Agencia de Calidad de la Educación"/>
    <s v="Mapa Puntaje Promedio y Máximo en prueba SIMCE de Lectura de 8vo Básico por Comuna en la Región de Los Ríos para el Año 2020"/>
    <s v="La comuna de Máfil presenta el mayor puntaje promedio en la prueba SIMCE de lectura tomada a los alumnos de 8° Básico, el año 2020, obteniendo 136 puntos promedio. Sin embargo, la comuna de La Unión obtuvo el Puntaje máximo con 303 puntos."/>
    <s v="Mapa de calor"/>
    <s v="Región de Los Ríos,educación básica,octavo básico,puntaje,lectura,promedio,máximo,lenguaje,Agencia Información,Educación,SIMCE,Métricas de la Educación"/>
    <s v="https://analytics.zoho.com/open-view/2395394000009042285?ZOHO_CRITERIA=%22Localiza%20CL%22.%22Codreg%22%3D14"/>
    <x v="30"/>
    <s v="#1774B9"/>
  </r>
  <r>
    <s v="0471"/>
    <n v="990"/>
    <s v="Agencia Información"/>
    <s v="Educación"/>
    <n v="15"/>
    <x v="34"/>
    <x v="1"/>
    <x v="1"/>
    <x v="15"/>
    <x v="1"/>
    <x v="45"/>
    <s v="Año 2020"/>
    <s v="Puntaje"/>
    <s v="Agencia de Calidad de la Educación"/>
    <s v="Mapa Puntaje Promedio y Máximo en prueba SIMCE de Lectura de 8vo Básico por Comuna en la Región de Arica y Parinacota para el Año 2020"/>
    <s v="La comuna de General Lagos presenta el mayor puntaje promedio en la prueba SIMCE de lectura tomada a los alumnos de 8° Básico, el año 2020, obteniendo 121 puntos promedio. Sin embargo, la comuna de Arica obtuvo el Puntaje máximo con 294 puntos."/>
    <s v="Mapa de calor"/>
    <s v="Región de Arica y Parinacota,educación básica,octavo básico,puntaje,lectura,promedio,máximo,lenguaje,Agencia Información,Educación,SIMCE,Métricas de la Educación"/>
    <s v="https://analytics.zoho.com/open-view/2395394000009042285?ZOHO_CRITERIA=%22Localiza%20CL%22.%22Codreg%22%3D15"/>
    <x v="31"/>
    <s v="#1774B9"/>
  </r>
  <r>
    <s v="0472"/>
    <n v="990"/>
    <s v="Agencia Información"/>
    <s v="Educación"/>
    <n v="16"/>
    <x v="34"/>
    <x v="1"/>
    <x v="1"/>
    <x v="16"/>
    <x v="1"/>
    <x v="45"/>
    <s v="Año 2020"/>
    <s v="Puntaje"/>
    <s v="Agencia de Calidad de la Educación"/>
    <s v="Mapa Puntaje Promedio y Máximo en prueba SIMCE de Lectura de 8vo Básico por Comuna en la Región de Ñuble para el Año 2020"/>
    <s v="La comuna de San Fabián presenta el mayor puntaje promedio en la prueba SIMCE de lectura tomada a los alumnos de 8° Básico, el año 2020, obteniendo 127 puntos promedio. Sin embargo, la comuna de Ninhue obtuvo el Puntaje máximo con 305 puntos."/>
    <s v="Mapa de calor"/>
    <s v="Región de Ñuble,educación básica,octavo básico,puntaje,lectura,promedio,máximo,lenguaje,Agencia Información,Educación,SIMCE,Métricas de la Educación"/>
    <s v="https://analytics.zoho.com/open-view/2395394000009042285?ZOHO_CRITERIA=%22Localiza%20CL%22.%22Codreg%22%3D16"/>
    <x v="32"/>
    <s v="#1774B9"/>
  </r>
  <r>
    <s v="0473"/>
    <n v="990"/>
    <s v="Agencia Información"/>
    <s v="Educación"/>
    <n v="0"/>
    <x v="35"/>
    <x v="1"/>
    <x v="0"/>
    <x v="0"/>
    <x v="0"/>
    <x v="46"/>
    <s v="Periodo 2014 - 2019"/>
    <s v="Puntaje"/>
    <s v="Agencia de Calidad de la Educación"/>
    <s v="Evolución del Indicador de Participación y formación ciudadana por Dependencia de Establecimientos en Chile para el Periodo 2014 - 20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calidad,puntaje,municipal,subvencionado,corporación,particular,indicador,participación,formación,ciudadana,Agencia Información,Educación,Indicadores de Participación y formación ciudadana,Métricas de la Educación"/>
    <s v="https://analytics.zoho.com/open-view/2395394000007832763"/>
    <x v="0"/>
    <s v="#1774B9"/>
  </r>
  <r>
    <s v="0474"/>
    <n v="990"/>
    <s v="Agencia Información"/>
    <s v="Educación"/>
    <n v="1"/>
    <x v="35"/>
    <x v="1"/>
    <x v="1"/>
    <x v="1"/>
    <x v="1"/>
    <x v="46"/>
    <s v="Periodo 2014 - 2019"/>
    <s v="Puntaje"/>
    <s v="Agencia de Calidad de la Educación"/>
    <s v="Evolución del Indicador de Participación y formación ciudadana por Dependencia de Establecimientos en la Región de Tarapacá para el Periodo 2014 - 2019"/>
    <s v="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Tarapacá,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
    <x v="1"/>
    <s v="#1774B9"/>
  </r>
  <r>
    <s v="0475"/>
    <n v="990"/>
    <s v="Agencia Información"/>
    <s v="Educación"/>
    <n v="2"/>
    <x v="35"/>
    <x v="1"/>
    <x v="1"/>
    <x v="2"/>
    <x v="1"/>
    <x v="46"/>
    <s v="Periodo 2014 - 2019"/>
    <s v="Puntaje"/>
    <s v="Agencia de Calidad de la Educación"/>
    <s v="Evolución del Indicador de Participación y formación ciudadana por Dependencia de Establecimientos en la Región de Antofagasta para el Periodo 2014 - 2019"/>
    <s v="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Antofagast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2"/>
    <x v="2"/>
    <s v="#1774B9"/>
  </r>
  <r>
    <s v="0476"/>
    <n v="990"/>
    <s v="Agencia Información"/>
    <s v="Educación"/>
    <n v="3"/>
    <x v="35"/>
    <x v="1"/>
    <x v="1"/>
    <x v="3"/>
    <x v="1"/>
    <x v="46"/>
    <s v="Periodo 2014 - 2019"/>
    <s v="Puntaje"/>
    <s v="Agencia de Calidad de la Educación"/>
    <s v="Evolución del Indicador de Participación y formación ciudadana por Dependencia de Establecimientos en la Región de Atacama para el Periodo 2014 - 2019"/>
    <s v="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tacam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3"/>
    <x v="3"/>
    <s v="#1774B9"/>
  </r>
  <r>
    <s v="0477"/>
    <n v="990"/>
    <s v="Agencia Información"/>
    <s v="Educación"/>
    <n v="4"/>
    <x v="35"/>
    <x v="1"/>
    <x v="1"/>
    <x v="4"/>
    <x v="1"/>
    <x v="46"/>
    <s v="Periodo 2014 - 2019"/>
    <s v="Puntaje"/>
    <s v="Agencia de Calidad de la Educación"/>
    <s v="Evolución del Indicador de Participación y formación ciudadana por Dependencia de Establecimientos en la Región de Coquimbo para el Periodo 2014 - 2019"/>
    <s v="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
    <s v="Gráfico de Evolución"/>
    <s v="Región de Coquimbo,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4"/>
    <x v="4"/>
    <s v="#1774B9"/>
  </r>
  <r>
    <s v="0478"/>
    <n v="990"/>
    <s v="Agencia Información"/>
    <s v="Educación"/>
    <n v="5"/>
    <x v="35"/>
    <x v="1"/>
    <x v="1"/>
    <x v="5"/>
    <x v="1"/>
    <x v="46"/>
    <s v="Periodo 2014 - 2019"/>
    <s v="Puntaje"/>
    <s v="Agencia de Calidad de la Educación"/>
    <s v="Evolución del Indicador de Participación y formación ciudadana por Dependencia de Establecimientos en la Región de Valparaíso para el Periodo 2014 - 2019"/>
    <s v="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
    <s v="Gráfico de Evolución"/>
    <s v="Región de Valparaíso,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5"/>
    <x v="5"/>
    <s v="#1774B9"/>
  </r>
  <r>
    <s v="0479"/>
    <n v="990"/>
    <s v="Agencia Información"/>
    <s v="Educación"/>
    <n v="6"/>
    <x v="35"/>
    <x v="1"/>
    <x v="1"/>
    <x v="6"/>
    <x v="1"/>
    <x v="46"/>
    <s v="Periodo 2014 - 2019"/>
    <s v="Puntaje"/>
    <s v="Agencia de Calidad de la Educación"/>
    <s v="Evolución del Indicador de Participación y formación ciudadana por Dependencia de Establecimientos en la Región de O'Higgins para el Periodo 2014 - 2019"/>
    <s v="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O'Higgin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6"/>
    <x v="6"/>
    <s v="#1774B9"/>
  </r>
  <r>
    <s v="0480"/>
    <n v="990"/>
    <s v="Agencia Información"/>
    <s v="Educación"/>
    <n v="7"/>
    <x v="35"/>
    <x v="1"/>
    <x v="1"/>
    <x v="7"/>
    <x v="1"/>
    <x v="46"/>
    <s v="Periodo 2014 - 2019"/>
    <s v="Puntaje"/>
    <s v="Agencia de Calidad de la Educación"/>
    <s v="Evolución del Indicador de Participación y formación ciudadana por Dependencia de Establecimientos en la Región de Maule para el Periodo 2014 - 2019"/>
    <s v="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ule,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7"/>
    <x v="7"/>
    <s v="#1774B9"/>
  </r>
  <r>
    <s v="0481"/>
    <n v="990"/>
    <s v="Agencia Información"/>
    <s v="Educación"/>
    <n v="8"/>
    <x v="35"/>
    <x v="1"/>
    <x v="1"/>
    <x v="8"/>
    <x v="1"/>
    <x v="46"/>
    <s v="Periodo 2014 - 2019"/>
    <s v="Puntaje"/>
    <s v="Agencia de Calidad de la Educación"/>
    <s v="Evolución del Indicador de Participación y formación ciudadana por Dependencia de Establecimientos en la Región del Biobío para el Periodo 2014 - 2019"/>
    <s v="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l Biobío,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8"/>
    <x v="8"/>
    <s v="#1774B9"/>
  </r>
  <r>
    <s v="0482"/>
    <n v="990"/>
    <s v="Agencia Información"/>
    <s v="Educación"/>
    <n v="9"/>
    <x v="35"/>
    <x v="1"/>
    <x v="1"/>
    <x v="9"/>
    <x v="1"/>
    <x v="46"/>
    <s v="Periodo 2014 - 2019"/>
    <s v="Puntaje"/>
    <s v="Agencia de Calidad de la Educación"/>
    <s v="Evolución del Indicador de Participación y formación ciudadana por Dependencia de Establecimientos en la Región de La Araucanía para el Periodo 2014 - 2019"/>
    <s v="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a Araucaní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9"/>
    <x v="9"/>
    <s v="#1774B9"/>
  </r>
  <r>
    <s v="0483"/>
    <n v="990"/>
    <s v="Agencia Información"/>
    <s v="Educación"/>
    <n v="10"/>
    <x v="35"/>
    <x v="1"/>
    <x v="1"/>
    <x v="10"/>
    <x v="1"/>
    <x v="46"/>
    <s v="Periodo 2014 - 2019"/>
    <s v="Puntaje"/>
    <s v="Agencia de Calidad de la Educación"/>
    <s v="Evolución del Indicador de Participación y formación ciudadana por Dependencia de Establecimientos en la Región de Los Lagos para el Periodo 2014 - 2019"/>
    <s v="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Los Lago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0"/>
    <x v="10"/>
    <s v="#1774B9"/>
  </r>
  <r>
    <s v="0484"/>
    <n v="990"/>
    <s v="Agencia Información"/>
    <s v="Educación"/>
    <n v="11"/>
    <x v="35"/>
    <x v="1"/>
    <x v="1"/>
    <x v="11"/>
    <x v="1"/>
    <x v="46"/>
    <s v="Periodo 2014 - 2019"/>
    <s v="Puntaje"/>
    <s v="Agencia de Calidad de la Educación"/>
    <s v="Evolución del Indicador de Participación y formación ciudadana por Dependencia de Establecimientos en la Región de Aysén para el Periodo 2014 - 2019"/>
    <s v="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Aysén,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1"/>
    <x v="11"/>
    <s v="#1774B9"/>
  </r>
  <r>
    <s v="0485"/>
    <n v="990"/>
    <s v="Agencia Información"/>
    <s v="Educación"/>
    <n v="12"/>
    <x v="35"/>
    <x v="1"/>
    <x v="1"/>
    <x v="12"/>
    <x v="1"/>
    <x v="46"/>
    <s v="Periodo 2014 - 2019"/>
    <s v="Puntaje"/>
    <s v="Agencia de Calidad de la Educación"/>
    <s v="Evolución del Indicador de Participación y formación ciudadana por Dependencia de Establecimientos en la Región de Magallanes para el Periodo 2014 - 2019"/>
    <s v="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gallane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2"/>
    <x v="12"/>
    <s v="#1774B9"/>
  </r>
  <r>
    <s v="0486"/>
    <n v="990"/>
    <s v="Agencia Información"/>
    <s v="Educación"/>
    <n v="13"/>
    <x v="35"/>
    <x v="1"/>
    <x v="1"/>
    <x v="13"/>
    <x v="1"/>
    <x v="46"/>
    <s v="Periodo 2014 - 2019"/>
    <s v="Puntaje"/>
    <s v="Agencia de Calidad de la Educación"/>
    <s v="Evolución del Indicador de Participación y formación ciudadana por Dependencia de Establecimientos en la Región Metropolitana para el Periodo 2014 - 2019"/>
    <s v="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Metropolitan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3"/>
    <x v="13"/>
    <s v="#1774B9"/>
  </r>
  <r>
    <s v="0487"/>
    <n v="990"/>
    <s v="Agencia Información"/>
    <s v="Educación"/>
    <n v="14"/>
    <x v="35"/>
    <x v="1"/>
    <x v="1"/>
    <x v="14"/>
    <x v="1"/>
    <x v="46"/>
    <s v="Periodo 2014 - 2019"/>
    <s v="Puntaje"/>
    <s v="Agencia de Calidad de la Educación"/>
    <s v="Evolución del Indicador de Participación y formación ciudadana por Dependencia de Establecimientos en la Región de Los Ríos para el Periodo 2014 - 2019"/>
    <s v="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os Ríos,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4"/>
    <x v="14"/>
    <s v="#1774B9"/>
  </r>
  <r>
    <s v="0488"/>
    <n v="990"/>
    <s v="Agencia Información"/>
    <s v="Educación"/>
    <n v="15"/>
    <x v="35"/>
    <x v="1"/>
    <x v="1"/>
    <x v="15"/>
    <x v="1"/>
    <x v="46"/>
    <s v="Periodo 2014 - 2019"/>
    <s v="Puntaje"/>
    <s v="Agencia de Calidad de la Educación"/>
    <s v="Evolución del Indicador de Participación y formación ciudadana por Dependencia de Establecimientos en la Región de Arica y Parinacota para el Periodo 2014 - 2019"/>
    <s v="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rica y Parinacota,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5"/>
    <x v="15"/>
    <s v="#1774B9"/>
  </r>
  <r>
    <s v="0489"/>
    <n v="990"/>
    <s v="Agencia Información"/>
    <s v="Educación"/>
    <n v="16"/>
    <x v="35"/>
    <x v="1"/>
    <x v="1"/>
    <x v="16"/>
    <x v="1"/>
    <x v="46"/>
    <s v="Periodo 2014 - 2019"/>
    <s v="Puntaje"/>
    <s v="Agencia de Calidad de la Educación"/>
    <s v="Evolución del Indicador de Participación y formación ciudadana por Dependencia de Establecimientos en la Región de Ñuble para el Periodo 2014 - 2019"/>
    <s v="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Ñuble,calidad,puntaje,municipal,subvencionado,corporación,particular,indicador,participación,formación,ciudadana,Agencia Información,Educación,Indicadores de Participación y formación ciudadana,Métricas de la Educación"/>
    <s v="https://analytics.zoho.com/open-view/2395394000009042400?ZOHO_CRITERIA=%22Localiza%20CL%22.%22Codreg%22%3D16"/>
    <x v="16"/>
    <s v="#1774B9"/>
  </r>
  <r>
    <s v="0490"/>
    <n v="990"/>
    <s v="Agencia Información"/>
    <s v="Mujeres"/>
    <n v="0"/>
    <x v="36"/>
    <x v="2"/>
    <x v="0"/>
    <x v="0"/>
    <x v="0"/>
    <x v="47"/>
    <s v="Periodo 2010-2021"/>
    <s v="Número de víctimas"/>
    <s v="Ministerio de la Mujer y Equidad de Género (MINMEG)"/>
    <s v="Edad de Víctimas de Femicidios en Chile para el Periodo 2010-2021"/>
    <s v="Entre los 0 y 95 años se registran victimas de femicidio a partir del año 2010 a la fecha, concentrándose la mayor cantidad de víctimas en el rango etario comprendido entre los 16 y los 54 años."/>
    <s v="Gráfico"/>
    <s v="Chilefemicidio,edad,víctima,mujer,Agencia Información,Mujeres,Femicidios,Violencia Contra la Mujer"/>
    <s v="https://analytics.zoho.com/open-view/2395394000007849686"/>
    <x v="0"/>
    <s v="#1774B9"/>
  </r>
  <r>
    <s v="0491"/>
    <n v="990"/>
    <s v="Agencia Información"/>
    <s v="Mujeres"/>
    <n v="1"/>
    <x v="36"/>
    <x v="2"/>
    <x v="1"/>
    <x v="1"/>
    <x v="0"/>
    <x v="47"/>
    <s v="Periodo 2010-2021"/>
    <s v="Número de víctimas"/>
    <s v="Ministerio de la Mujer y Equidad de Género (MINMEG)"/>
    <s v="Edad de Víctimas de Femicidios en la Región de Tarapacá para el Periodo 2010-2021"/>
    <s v="En la región de Tarapacá, en el periodo que comprenden los años 2012 - 2021, la mayor cantidad de victimas de femicidio se concentran en el rango etario comprendido entre los 29 y 67 años."/>
    <s v="Gráfico"/>
    <s v="Región de Tarapacá,femicidio,edad,víctima,mujer,Agencia Información,Mujeres,Femicidios,Violencia Contra la Mujer"/>
    <s v="https://analytics.zoho.com/open-view/2395394000009080171?ZOHO_CRITERIA=%22Localiza%20CL%22.%22Codreg%22%3D1"/>
    <x v="1"/>
    <s v="#1774B9"/>
  </r>
  <r>
    <s v="0492"/>
    <n v="990"/>
    <s v="Agencia Información"/>
    <s v="Mujeres"/>
    <n v="2"/>
    <x v="36"/>
    <x v="2"/>
    <x v="1"/>
    <x v="2"/>
    <x v="0"/>
    <x v="47"/>
    <s v="Periodo 2010-2021"/>
    <s v="Número de víctimas"/>
    <s v="Ministerio de la Mujer y Equidad de Género (MINMEG)"/>
    <s v="Edad de Víctimas de Femicidios en la Región de Antofagasta para el Periodo 2010-2021"/>
    <s v="En la región de Antofagasta, en el periodo que comprenden los años 2010 - 2020, la mayor cantidad de victimas de femicidio se concentran en el rango etario comprendido entre los 20 y 57 años."/>
    <s v="Gráfico"/>
    <s v="Región de Antofagasta,femicidio,edad,víctima,mujer,Agencia Información,Mujeres,Femicidios,Violencia Contra la Mujer"/>
    <s v="https://analytics.zoho.com/open-view/2395394000009080171?ZOHO_CRITERIA=%22Localiza%20CL%22.%22Codreg%22%3D2"/>
    <x v="2"/>
    <s v="#1774B9"/>
  </r>
  <r>
    <s v="0493"/>
    <n v="990"/>
    <s v="Agencia Información"/>
    <s v="Mujeres"/>
    <n v="3"/>
    <x v="36"/>
    <x v="2"/>
    <x v="1"/>
    <x v="3"/>
    <x v="0"/>
    <x v="47"/>
    <s v="Periodo 2010-2021"/>
    <s v="Número de víctimas"/>
    <s v="Ministerio de la Mujer y Equidad de Género (MINMEG)"/>
    <s v="Edad de Víctimas de Femicidios en la Región de Atacama para el Periodo 2010-2021"/>
    <s v="Gráfico de edad de victimas de Femicidio en la región de Atacama, para el periodo que comprenden los años 2010- 2020, según datos del MINMEG."/>
    <s v="Gráfico"/>
    <s v="Región de Atacama,femicidio,edad,víctima,mujer,Agencia Información,Mujeres,Femicidios,Violencia Contra la Mujer"/>
    <s v="https://analytics.zoho.com/open-view/2395394000009080171?ZOHO_CRITERIA=%22Localiza%20CL%22.%22Codreg%22%3D3"/>
    <x v="3"/>
    <s v="#1774B9"/>
  </r>
  <r>
    <s v="0494"/>
    <n v="990"/>
    <s v="Agencia Información"/>
    <s v="Mujeres"/>
    <n v="4"/>
    <x v="36"/>
    <x v="2"/>
    <x v="1"/>
    <x v="4"/>
    <x v="0"/>
    <x v="47"/>
    <s v="Periodo 2010-2021"/>
    <s v="Número de víctimas"/>
    <s v="Ministerio de la Mujer y Equidad de Género (MINMEG)"/>
    <s v="Edad de Víctimas de Femicidios en la Región de Coquimbo para el Periodo 2010-2021"/>
    <s v="En la región de Coquimbo, en el periodo que comprenden los años 2010 - 2020, la mayor cantidad de victimas de femicidio se concentran en el rango etario comprendido entre los 19 y 64 años."/>
    <s v="Gráfico"/>
    <s v="Región de Coquimbo,femicidio,edad,víctima,mujer,Agencia Información,Mujeres,Femicidios,Violencia Contra la Mujer"/>
    <s v="https://analytics.zoho.com/open-view/2395394000009080171?ZOHO_CRITERIA=%22Localiza%20CL%22.%22Codreg%22%3D4"/>
    <x v="4"/>
    <s v="#1774B9"/>
  </r>
  <r>
    <s v="0495"/>
    <n v="990"/>
    <s v="Agencia Información"/>
    <s v="Mujeres"/>
    <n v="5"/>
    <x v="36"/>
    <x v="2"/>
    <x v="1"/>
    <x v="5"/>
    <x v="0"/>
    <x v="47"/>
    <s v="Periodo 2010-2021"/>
    <s v="Número de víctimas"/>
    <s v="Ministerio de la Mujer y Equidad de Género (MINMEG)"/>
    <s v="Edad de Víctimas de Femicidios en la Región de Valparaíso para el Periodo 2010-2021"/>
    <s v="Gráfico de edad de victimas de Femicidio en la región de Valparaíso, para el periodo que comprenden los años 2010- 2020, según datos del MINMEG."/>
    <s v="Gráfico"/>
    <s v="Región de Valparaíso,femicidio,edad,víctima,mujer,Agencia Información,Mujeres,Femicidios,Violencia Contra la Mujer"/>
    <s v="https://analytics.zoho.com/open-view/2395394000009080171?ZOHO_CRITERIA=%22Localiza%20CL%22.%22Codreg%22%3D5"/>
    <x v="5"/>
    <s v="#1774B9"/>
  </r>
  <r>
    <s v="0496"/>
    <n v="990"/>
    <s v="Agencia Información"/>
    <s v="Mujeres"/>
    <n v="6"/>
    <x v="36"/>
    <x v="2"/>
    <x v="1"/>
    <x v="6"/>
    <x v="0"/>
    <x v="47"/>
    <s v="Periodo 2010-2021"/>
    <s v="Número de víctimas"/>
    <s v="Ministerio de la Mujer y Equidad de Género (MINMEG)"/>
    <s v="Edad de Víctimas de Femicidios en la Región de O'Higgins para el Periodo 2010-2021"/>
    <s v="Gráfico de edad de victimas de Femicidio en la región de O'Higgins, para el periodo que comprenden los años 2010- 2020, según datos del MINMEG."/>
    <s v="Gráfico"/>
    <s v="Región de O'Higgins,femicidio,edad,víctima,mujer,Agencia Información,Mujeres,Femicidios,Violencia Contra la Mujer"/>
    <s v="https://analytics.zoho.com/open-view/2395394000009080171?ZOHO_CRITERIA=%22Localiza%20CL%22.%22Codreg%22%3D6"/>
    <x v="6"/>
    <s v="#1774B9"/>
  </r>
  <r>
    <s v="0497"/>
    <n v="990"/>
    <s v="Agencia Información"/>
    <s v="Mujeres"/>
    <n v="7"/>
    <x v="36"/>
    <x v="2"/>
    <x v="1"/>
    <x v="7"/>
    <x v="0"/>
    <x v="47"/>
    <s v="Periodo 2010-2021"/>
    <s v="Número de víctimas"/>
    <s v="Ministerio de la Mujer y Equidad de Género (MINMEG)"/>
    <s v="Edad de Víctimas de Femicidios en la Región de Maule para el Periodo 2010-2021"/>
    <s v="En la región de Maule, en el periodo que comprenden los años 2010 - 2021, la mayor cantidad de victimas de femicidio se concentran en el rango etario comprendido entre los 16 y 73 años."/>
    <s v="Gráfico"/>
    <s v="Región de Maule,femicidio,edad,víctima,mujer,Agencia Información,Mujeres,Femicidios,Violencia Contra la Mujer"/>
    <s v="https://analytics.zoho.com/open-view/2395394000009080171?ZOHO_CRITERIA=%22Localiza%20CL%22.%22Codreg%22%3D7"/>
    <x v="7"/>
    <s v="#1774B9"/>
  </r>
  <r>
    <s v="0498"/>
    <n v="990"/>
    <s v="Agencia Información"/>
    <s v="Mujeres"/>
    <n v="8"/>
    <x v="36"/>
    <x v="2"/>
    <x v="1"/>
    <x v="8"/>
    <x v="0"/>
    <x v="47"/>
    <s v="Periodo 2010-2021"/>
    <s v="Número de víctimas"/>
    <s v="Ministerio de la Mujer y Equidad de Género (MINMEG)"/>
    <s v="Edad de Víctimas de Femicidios en la Región del Biobío para el Periodo 2010-2021"/>
    <s v="En la región del Biobío, en el periodo que comprenden los años 2010 - 2021, la mayor cantidad de victimas de femicidio se concentran en el rango etario comprendido entre los 19 y 71 años."/>
    <s v="Gráfico"/>
    <s v="Región del Biobío,femicidio,edad,víctima,mujer,Agencia Información,Mujeres,Femicidios,Violencia Contra la Mujer"/>
    <s v="https://analytics.zoho.com/open-view/2395394000009080171?ZOHO_CRITERIA=%22Localiza%20CL%22.%22Codreg%22%3D8"/>
    <x v="8"/>
    <s v="#1774B9"/>
  </r>
  <r>
    <s v="0499"/>
    <n v="990"/>
    <s v="Agencia Información"/>
    <s v="Mujeres"/>
    <n v="9"/>
    <x v="36"/>
    <x v="2"/>
    <x v="1"/>
    <x v="9"/>
    <x v="0"/>
    <x v="47"/>
    <s v="Periodo 2010-2021"/>
    <s v="Número de víctimas"/>
    <s v="Ministerio de la Mujer y Equidad de Género (MINMEG)"/>
    <s v="Edad de Víctimas de Femicidios en la Región de La Araucanía para el Periodo 2010-2021"/>
    <s v="En la región de La Araucanía, en el periodo que comprenden los años 2010 - 2021, la mayor cantidad de victimas de femicidio se concentran en el rango etario comprendido entre los 20 y 68 años."/>
    <s v="Gráfico"/>
    <s v="Región de La Araucanía,femicidio,edad,víctima,mujer,Agencia Información,Mujeres,Femicidios,Violencia Contra la Mujer"/>
    <s v="https://analytics.zoho.com/open-view/2395394000009080171?ZOHO_CRITERIA=%22Localiza%20CL%22.%22Codreg%22%3D9"/>
    <x v="9"/>
    <s v="#1774B9"/>
  </r>
  <r>
    <s v="0500"/>
    <n v="990"/>
    <s v="Agencia Información"/>
    <s v="Mujeres"/>
    <n v="10"/>
    <x v="36"/>
    <x v="2"/>
    <x v="1"/>
    <x v="10"/>
    <x v="0"/>
    <x v="47"/>
    <s v="Periodo 2010-2021"/>
    <s v="Número de víctimas"/>
    <s v="Ministerio de la Mujer y Equidad de Género (MINMEG)"/>
    <s v="Edad de Víctimas de Femicidios en la Región de Los Lagos para el Periodo 2010-2021"/>
    <s v="En la región de Los Lagos, en el periodo que comprenden los años 2010 - 2021, la mayor cantidad de victimas de femicidio se concentran en el rango etario comprendido entre los 23 y 48 años."/>
    <s v="Gráfico"/>
    <s v="Región de Los Lagos,femicidio,edad,víctima,mujer,Agencia Información,Mujeres,Femicidios,Violencia Contra la Mujer"/>
    <s v="https://analytics.zoho.com/open-view/2395394000009080171?ZOHO_CRITERIA=%22Localiza%20CL%22.%22Codreg%22%3D10"/>
    <x v="10"/>
    <s v="#1774B9"/>
  </r>
  <r>
    <s v="0501"/>
    <n v="990"/>
    <s v="Agencia Información"/>
    <s v="Mujeres"/>
    <n v="11"/>
    <x v="36"/>
    <x v="2"/>
    <x v="1"/>
    <x v="11"/>
    <x v="0"/>
    <x v="47"/>
    <s v="Periodo 2010-2021"/>
    <s v="Número de víctimas"/>
    <s v="Ministerio de la Mujer y Equidad de Género (MINMEG)"/>
    <s v="Edad de Víctimas de Femicidios en la Región de Aysén para el Periodo 2010-2021"/>
    <s v="Gráfico de edad de victimas de Femicidio en la región de Aysén, para el periodo que comprenden los años 2010- 2020, según datos del MINMEG."/>
    <s v="Gráfico"/>
    <s v="Región de Aysén,femicidio,edad,víctima,mujer,Agencia Información,Mujeres,Femicidios,Violencia Contra la Mujer"/>
    <s v="https://analytics.zoho.com/open-view/2395394000009080171?ZOHO_CRITERIA=%22Localiza%20CL%22.%22Codreg%22%3D11"/>
    <x v="11"/>
    <s v="#1774B9"/>
  </r>
  <r>
    <s v="0502"/>
    <n v="990"/>
    <s v="Agencia Información"/>
    <s v="Mujeres"/>
    <n v="12"/>
    <x v="36"/>
    <x v="2"/>
    <x v="1"/>
    <x v="12"/>
    <x v="0"/>
    <x v="47"/>
    <s v="Periodo 2010-2021"/>
    <s v="Número de víctimas"/>
    <s v="Ministerio de la Mujer y Equidad de Género (MINMEG)"/>
    <s v="Edad de Víctimas de Femicidios en la Región de Magallanes para el Periodo 2010-2021"/>
    <s v="En la región de Magallanes, en el periodo que comprenden los años 2010 - 2021, la mayor cantidad de victimas de femicidio se concentran en el rango etario comprendido entre los 24 y 43 años."/>
    <s v="Gráfico"/>
    <s v="Región de Magallanes,femicidio,edad,víctima,mujer,Agencia Información,Mujeres,Femicidios,Violencia Contra la Mujer"/>
    <s v="https://analytics.zoho.com/open-view/2395394000009080171?ZOHO_CRITERIA=%22Localiza%20CL%22.%22Codreg%22%3D12"/>
    <x v="12"/>
    <s v="#1774B9"/>
  </r>
  <r>
    <s v="0503"/>
    <n v="990"/>
    <s v="Agencia Información"/>
    <s v="Mujeres"/>
    <n v="13"/>
    <x v="36"/>
    <x v="2"/>
    <x v="1"/>
    <x v="13"/>
    <x v="0"/>
    <x v="47"/>
    <s v="Periodo 2010-2021"/>
    <s v="Número de víctimas"/>
    <s v="Ministerio de la Mujer y Equidad de Género (MINMEG)"/>
    <s v="Edad de Víctimas de Femicidios en la Región Metropolitana para el Periodo 2010-2021"/>
    <s v="En la región Metropolitana, en el periodo que comprenden los años 2010 - 2021, la mayor cantidad de victimas de femicidio se concentran en el rango etario comprendido entre los 24 y 50 años."/>
    <s v="Gráfico"/>
    <s v="Región Metropolitana,femicidio,edad,víctima,mujer,Agencia Información,Mujeres,Femicidios,Violencia Contra la Mujer"/>
    <s v="https://analytics.zoho.com/open-view/2395394000009080171?ZOHO_CRITERIA=%22Localiza%20CL%22.%22Codreg%22%3D13"/>
    <x v="13"/>
    <s v="#1774B9"/>
  </r>
  <r>
    <s v="0504"/>
    <n v="990"/>
    <s v="Agencia Información"/>
    <s v="Mujeres"/>
    <n v="14"/>
    <x v="36"/>
    <x v="2"/>
    <x v="1"/>
    <x v="14"/>
    <x v="0"/>
    <x v="47"/>
    <s v="Periodo 2010-2021"/>
    <s v="Número de víctimas"/>
    <s v="Ministerio de la Mujer y Equidad de Género (MINMEG)"/>
    <s v="Edad de Víctimas de Femicidios en la Región de Los Ríos para el Periodo 2010-2021"/>
    <s v="Gráfico de edad de victimas de Femicidio en la región de Los Ríos, para el periodo que comprenden los años 2010- 2020, según datos del MINMEG."/>
    <s v="Gráfico"/>
    <s v="Región de Los Ríos,femicidio,edad,víctima,mujer,Agencia Información,Mujeres,Femicidios,Violencia Contra la Mujer"/>
    <s v="https://analytics.zoho.com/open-view/2395394000009080171?ZOHO_CRITERIA=%22Localiza%20CL%22.%22Codreg%22%3D14"/>
    <x v="14"/>
    <s v="#1774B9"/>
  </r>
  <r>
    <s v="0505"/>
    <n v="990"/>
    <s v="Agencia Información"/>
    <s v="Mujeres"/>
    <n v="15"/>
    <x v="36"/>
    <x v="2"/>
    <x v="1"/>
    <x v="15"/>
    <x v="0"/>
    <x v="47"/>
    <s v="Periodo 2010-2021"/>
    <s v="Número de víctimas"/>
    <s v="Ministerio de la Mujer y Equidad de Género (MINMEG)"/>
    <s v="Edad de Víctimas de Femicidios en la Región de Arica y Parinacota para el Periodo 2010-2021"/>
    <s v="Gráfico de edad de victimas de Femicidio en la región de Arica y Parinacota, para el periodo que comprenden los años 2010- 2020, según datos del MINMEG."/>
    <s v="Gráfico"/>
    <s v="Región de Arica y Parinacota,femicidio,edad,víctima,mujer,Agencia Información,Mujeres,Femicidios,Violencia Contra la Mujer"/>
    <s v="https://analytics.zoho.com/open-view/2395394000009080171?ZOHO_CRITERIA=%22Localiza%20CL%22.%22Codreg%22%3D15"/>
    <x v="15"/>
    <s v="#1774B9"/>
  </r>
  <r>
    <s v="0506"/>
    <n v="990"/>
    <s v="Agencia Información"/>
    <s v="Mujeres"/>
    <n v="16"/>
    <x v="36"/>
    <x v="2"/>
    <x v="1"/>
    <x v="16"/>
    <x v="0"/>
    <x v="47"/>
    <s v="Periodo 2010-2021"/>
    <s v="Número de víctimas"/>
    <s v="Ministerio de la Mujer y Equidad de Género (MINMEG)"/>
    <s v="Edad de Víctimas de Femicidios en la Región de Ñuble para el Periodo 2010-2021"/>
    <s v="En la región de Ñuble, en el periodo que comprenden los años 2010 - 2020, la mayor cantidad de victimas de femicidio se concentran en el rango etario comprendido entre los 19 y 43 años."/>
    <s v="Gráfico"/>
    <s v="Región de Ñuble,femicidio,edad,víctima,mujer,Agencia Información,Mujeres,Femicidios,Violencia Contra la Mujer"/>
    <s v="https://analytics.zoho.com/open-view/2395394000009080171?ZOHO_CRITERIA=%22Localiza%20CL%22.%22Codreg%22%3D16"/>
    <x v="16"/>
    <s v="#1774B9"/>
  </r>
  <r>
    <s v="0507"/>
    <n v="990"/>
    <s v="Agencia Información"/>
    <s v="Mujeres"/>
    <n v="0"/>
    <x v="36"/>
    <x v="2"/>
    <x v="0"/>
    <x v="0"/>
    <x v="0"/>
    <x v="48"/>
    <s v="Periodo 2010-2021"/>
    <s v="Número de víctimas"/>
    <s v="Ministerio de la Mujer y Equidad de Género (MINMEG)"/>
    <s v="Relación Víctima-Femicida en Chile para el Periodo 2010-2021"/>
    <s v="La mayor cantidad de femicidios se llevan a cabo por los convivientes, cónyuges, ex convivientes o ex cónyuges."/>
    <s v="Nube de palabras"/>
    <s v="Chile,femicidio,víctima,mujer,conviviente,cónyuge,pareja,ex,relación,femicida,Agencia Información,Mujeres,Femicidios,Violencia Contra la Mujer"/>
    <s v="https://analytics.zoho.com/open-view/2395394000007849604"/>
    <x v="0"/>
    <s v="#1774B9"/>
  </r>
  <r>
    <s v="0508"/>
    <n v="990"/>
    <s v="Agencia Información"/>
    <s v="Mujeres"/>
    <n v="1"/>
    <x v="36"/>
    <x v="2"/>
    <x v="1"/>
    <x v="1"/>
    <x v="1"/>
    <x v="48"/>
    <s v="Periodo 2010-2021"/>
    <s v="Número de víctimas"/>
    <s v="Ministerio de la Mujer y Equidad de Género (MINMEG)"/>
    <s v="Relación Víctima-Femicida en la Región de Tarapacá para el Periodo 2010-2021"/>
    <s v="En la región de Tarapacá, la mayor cantidad de femicidios se llevan a cabo por los convivientes, cónyuges o ex convivientes."/>
    <s v="Nube de palabras"/>
    <s v="Región de Tarapacá,femicidio,víctima,mujer,conviviente,cónyuge,pareja,ex,relación,femicida,Agencia Información,Mujeres,Femicidios,Violencia Contra la Mujer"/>
    <s v="https://analytics.zoho.com/open-view/2395394000009080286?ZOHO_CRITERIA=%22Localiza%20CL%22.%22Codreg%22%3D1"/>
    <x v="1"/>
    <s v="#1774B9"/>
  </r>
  <r>
    <s v="0509"/>
    <n v="990"/>
    <s v="Agencia Información"/>
    <s v="Mujeres"/>
    <n v="2"/>
    <x v="36"/>
    <x v="2"/>
    <x v="1"/>
    <x v="2"/>
    <x v="1"/>
    <x v="48"/>
    <s v="Periodo 2010-2021"/>
    <s v="Número de víctimas"/>
    <s v="Ministerio de la Mujer y Equidad de Género (MINMEG)"/>
    <s v="Relación Víctima-Femicida en la Región de Antofagasta para el Periodo 2010-2021"/>
    <s v="En la región de Antofagasta, la mayor cantidad de femicidios se llevan a cabo por los convivientes, ex conviviente, cónyuges o ex cónyuges."/>
    <s v="Nube de palabras"/>
    <s v="Región de Antofagasta,femicidio,víctima,mujer,conviviente,cónyuge,pareja,ex,relación,femicida,Agencia Información,Mujeres,Femicidios,Violencia Contra la Mujer"/>
    <s v="https://analytics.zoho.com/open-view/2395394000009080286?ZOHO_CRITERIA=%22Localiza%20CL%22.%22Codreg%22%3D2"/>
    <x v="2"/>
    <s v="#1774B9"/>
  </r>
  <r>
    <s v="0510"/>
    <n v="990"/>
    <s v="Agencia Información"/>
    <s v="Mujeres"/>
    <n v="3"/>
    <x v="36"/>
    <x v="2"/>
    <x v="1"/>
    <x v="3"/>
    <x v="1"/>
    <x v="48"/>
    <s v="Periodo 2010-2021"/>
    <s v="Número de víctimas"/>
    <s v="Ministerio de la Mujer y Equidad de Género (MINMEG)"/>
    <s v="Relación Víctima-Femicida en la Región de Atacama para el Periodo 2010-2021"/>
    <s v="En la región de Atacama, la mayor cantidad de femicidios se llevan a cabo por las parejas o convivientes."/>
    <s v="Nube de palabras"/>
    <s v="Región de Atacama,femicidio,víctima,mujer,conviviente,cónyuge,pareja,ex,relación,femicida,Agencia Información,Mujeres,Femicidios,Violencia Contra la Mujer"/>
    <s v="https://analytics.zoho.com/open-view/2395394000009080286?ZOHO_CRITERIA=%22Localiza%20CL%22.%22Codreg%22%3D3"/>
    <x v="3"/>
    <s v="#1774B9"/>
  </r>
  <r>
    <s v="0511"/>
    <n v="990"/>
    <s v="Agencia Información"/>
    <s v="Mujeres"/>
    <n v="4"/>
    <x v="36"/>
    <x v="2"/>
    <x v="1"/>
    <x v="4"/>
    <x v="1"/>
    <x v="48"/>
    <s v="Periodo 2010-2021"/>
    <s v="Número de víctimas"/>
    <s v="Ministerio de la Mujer y Equidad de Género (MINMEG)"/>
    <s v="Relación Víctima-Femicida en la Región de Coquimbo para el Periodo 2010-2021"/>
    <s v="En la región de Coquimbo, la mayor cantidad de femicidios se llevan a cabo por los cónyuges, conviviente o ex parejas"/>
    <s v="Nube de palabras"/>
    <s v="Región de Coquimbo,femicidio,víctima,mujer,conviviente,cónyuge,pareja,ex,relación,femicida,Agencia Información,Mujeres,Femicidios,Violencia Contra la Mujer"/>
    <s v="https://analytics.zoho.com/open-view/2395394000009080286?ZOHO_CRITERIA=%22Localiza%20CL%22.%22Codreg%22%3D4"/>
    <x v="4"/>
    <s v="#1774B9"/>
  </r>
  <r>
    <s v="0512"/>
    <n v="990"/>
    <s v="Agencia Información"/>
    <s v="Mujeres"/>
    <n v="5"/>
    <x v="36"/>
    <x v="2"/>
    <x v="1"/>
    <x v="5"/>
    <x v="1"/>
    <x v="48"/>
    <s v="Periodo 2010-2021"/>
    <s v="Número de víctimas"/>
    <s v="Ministerio de la Mujer y Equidad de Género (MINMEG)"/>
    <s v="Relación Víctima-Femicida en la Región de Valparaíso para el Periodo 2010-2021"/>
    <s v="En la región de Valparaíso, la mayor cantidad de femicidios se llevan a cabo por los convivientes, cónyuges o ex convivientes."/>
    <s v="Nube de palabras"/>
    <s v="Región de Valparaíso,femicidio,víctima,mujer,conviviente,cónyuge,pareja,ex,relación,femicida,Agencia Información,Mujeres,Femicidios,Violencia Contra la Mujer"/>
    <s v="https://analytics.zoho.com/open-view/2395394000009080286?ZOHO_CRITERIA=%22Localiza%20CL%22.%22Codreg%22%3D5"/>
    <x v="5"/>
    <s v="#1774B9"/>
  </r>
  <r>
    <s v="0513"/>
    <n v="990"/>
    <s v="Agencia Información"/>
    <s v="Mujeres"/>
    <n v="6"/>
    <x v="36"/>
    <x v="2"/>
    <x v="1"/>
    <x v="6"/>
    <x v="1"/>
    <x v="48"/>
    <s v="Periodo 2010-2021"/>
    <s v="Número de víctimas"/>
    <s v="Ministerio de la Mujer y Equidad de Género (MINMEG)"/>
    <s v="Relación Víctima-Femicida en la Región de O'Higgins para el Periodo 2010-2021"/>
    <s v="En la región de O´Higgins, la mayor cantidad de femicidios se llevan a cabo por los cónyuges, convivientes o ex convivientes."/>
    <s v="Nube de palabras"/>
    <s v="Región de O'Higgins,femicidio,víctima,mujer,conviviente,cónyuge,pareja,ex,relación,femicida,Agencia Información,Mujeres,Femicidios,Violencia Contra la Mujer"/>
    <s v="https://analytics.zoho.com/open-view/2395394000009080286?ZOHO_CRITERIA=%22Localiza%20CL%22.%22Codreg%22%3D6"/>
    <x v="6"/>
    <s v="#1774B9"/>
  </r>
  <r>
    <s v="0514"/>
    <n v="990"/>
    <s v="Agencia Información"/>
    <s v="Mujeres"/>
    <n v="7"/>
    <x v="36"/>
    <x v="2"/>
    <x v="1"/>
    <x v="7"/>
    <x v="1"/>
    <x v="48"/>
    <s v="Periodo 2010-2021"/>
    <s v="Número de víctimas"/>
    <s v="Ministerio de la Mujer y Equidad de Género (MINMEG)"/>
    <s v="Relación Víctima-Femicida en la Región de Maule para el Periodo 2010-2021"/>
    <s v="En la región de Maule, la mayor cantidad de femicidios se llevan a cabo por los convivientes, cónyuges o ex cónyuges."/>
    <s v="Nube de palabras"/>
    <s v="Región de Maule,femicidio,víctima,mujer,conviviente,cónyuge,pareja,ex,relación,femicida,Agencia Información,Mujeres,Femicidios,Violencia Contra la Mujer"/>
    <s v="https://analytics.zoho.com/open-view/2395394000009080286?ZOHO_CRITERIA=%22Localiza%20CL%22.%22Codreg%22%3D7"/>
    <x v="7"/>
    <s v="#1774B9"/>
  </r>
  <r>
    <s v="0515"/>
    <n v="990"/>
    <s v="Agencia Información"/>
    <s v="Mujeres"/>
    <n v="8"/>
    <x v="36"/>
    <x v="2"/>
    <x v="1"/>
    <x v="8"/>
    <x v="1"/>
    <x v="48"/>
    <s v="Periodo 2010-2021"/>
    <s v="Número de víctimas"/>
    <s v="Ministerio de la Mujer y Equidad de Género (MINMEG)"/>
    <s v="Relación Víctima-Femicida en la Región del Biobío para el Periodo 2010-2021"/>
    <s v="En la región de Biobío, la mayor cantidad de femicidios se llevan a cabo por los convivientes, cónyuges o ex convivientes."/>
    <s v="Nube de palabras"/>
    <s v="Región del Biobío,femicidio,víctima,mujer,conviviente,cónyuge,pareja,ex,relación,femicida,Agencia Información,Mujeres,Femicidios,Violencia Contra la Mujer"/>
    <s v="https://analytics.zoho.com/open-view/2395394000009080286?ZOHO_CRITERIA=%22Localiza%20CL%22.%22Codreg%22%3D8"/>
    <x v="8"/>
    <s v="#1774B9"/>
  </r>
  <r>
    <s v="0516"/>
    <n v="990"/>
    <s v="Agencia Información"/>
    <s v="Mujeres"/>
    <n v="9"/>
    <x v="36"/>
    <x v="2"/>
    <x v="1"/>
    <x v="9"/>
    <x v="1"/>
    <x v="48"/>
    <s v="Periodo 2010-2021"/>
    <s v="Número de víctimas"/>
    <s v="Ministerio de la Mujer y Equidad de Género (MINMEG)"/>
    <s v="Relación Víctima-Femicida en la Región de La Araucanía para el Periodo 2010-2021"/>
    <s v="En la región de La Araucanía, la mayor cantidad de femicidios se llevan a cabo por los convivientes, cónyuges o ex convivientes."/>
    <s v="Nube de palabras"/>
    <s v="Región de La Araucanía,femicidio,víctima,mujer,conviviente,cónyuge,pareja,ex,relación,femicida,Agencia Información,Mujeres,Femicidios,Violencia Contra la Mujer"/>
    <s v="https://analytics.zoho.com/open-view/2395394000009080286?ZOHO_CRITERIA=%22Localiza%20CL%22.%22Codreg%22%3D9"/>
    <x v="9"/>
    <s v="#1774B9"/>
  </r>
  <r>
    <s v="0517"/>
    <n v="990"/>
    <s v="Agencia Información"/>
    <s v="Mujeres"/>
    <n v="10"/>
    <x v="36"/>
    <x v="2"/>
    <x v="1"/>
    <x v="10"/>
    <x v="1"/>
    <x v="48"/>
    <s v="Periodo 2010-2021"/>
    <s v="Número de víctimas"/>
    <s v="Ministerio de la Mujer y Equidad de Género (MINMEG)"/>
    <s v="Relación Víctima-Femicida en la Región de Los Lagos para el Periodo 2010-2021"/>
    <s v="En la región de Los Lagos, la mayor cantidad de femicidios se llevan a cabo por los cónyuges o convivientes."/>
    <s v="Nube de palabras"/>
    <s v="Región de Los Lagos,femicidio,víctima,mujer,conviviente,cónyuge,pareja,ex,relación,femicida,Agencia Información,Mujeres,Femicidios,Violencia Contra la Mujer"/>
    <s v="https://analytics.zoho.com/open-view/2395394000009080286?ZOHO_CRITERIA=%22Localiza%20CL%22.%22Codreg%22%3D10"/>
    <x v="10"/>
    <s v="#1774B9"/>
  </r>
  <r>
    <s v="0518"/>
    <n v="990"/>
    <s v="Agencia Información"/>
    <s v="Mujeres"/>
    <n v="11"/>
    <x v="36"/>
    <x v="2"/>
    <x v="1"/>
    <x v="11"/>
    <x v="1"/>
    <x v="48"/>
    <s v="Periodo 2010-2021"/>
    <s v="Número de víctimas"/>
    <s v="Ministerio de la Mujer y Equidad de Género (MINMEG)"/>
    <s v="Relación Víctima-Femicida en la Región de Aysén para el Periodo 2010-2021"/>
    <s v="En la región de Aysén, todos los femicidios se han llevado a cabo por convivientes."/>
    <s v="Nube de palabras"/>
    <s v="Región de Aysén,femicidio,víctima,mujer,conviviente,cónyuge,pareja,ex,relación,femicida,Agencia Información,Mujeres,Femicidios,Violencia Contra la Mujer"/>
    <s v="https://analytics.zoho.com/open-view/2395394000009080286?ZOHO_CRITERIA=%22Localiza%20CL%22.%22Codreg%22%3D11"/>
    <x v="11"/>
    <s v="#1774B9"/>
  </r>
  <r>
    <s v="0519"/>
    <n v="990"/>
    <s v="Agencia Información"/>
    <s v="Mujeres"/>
    <n v="12"/>
    <x v="36"/>
    <x v="2"/>
    <x v="1"/>
    <x v="12"/>
    <x v="1"/>
    <x v="48"/>
    <s v="Periodo 2010-2021"/>
    <s v="Número de víctimas"/>
    <s v="Ministerio de la Mujer y Equidad de Género (MINMEG)"/>
    <s v="Relación Víctima-Femicida en la Región de Magallanes para el Periodo 2010-2021"/>
    <s v="En la región de Magallanes, la mayor cantidad de femicidios se llevan a cabo por los ex convivientes."/>
    <s v="Nube de palabras"/>
    <s v="Región de Magallanes,femicidio,víctima,mujer,conviviente,cónyuge,pareja,ex,relación,femicida,Agencia Información,Mujeres,Femicidios,Violencia Contra la Mujer"/>
    <s v="https://analytics.zoho.com/open-view/2395394000009080286?ZOHO_CRITERIA=%22Localiza%20CL%22.%22Codreg%22%3D12"/>
    <x v="12"/>
    <s v="#1774B9"/>
  </r>
  <r>
    <s v="0520"/>
    <n v="990"/>
    <s v="Agencia Información"/>
    <s v="Mujeres"/>
    <n v="13"/>
    <x v="36"/>
    <x v="2"/>
    <x v="1"/>
    <x v="13"/>
    <x v="1"/>
    <x v="48"/>
    <s v="Periodo 2010-2021"/>
    <s v="Número de víctimas"/>
    <s v="Ministerio de la Mujer y Equidad de Género (MINMEG)"/>
    <s v="Relación Víctima-Femicida en la Región Metropolitana para el Periodo 2010-2021"/>
    <s v="En la región Metropolitana, la mayor cantidad de femicidios se llevan a cabo por los convivientes, cónyuges o ex convivientes."/>
    <s v="Nube de palabras"/>
    <s v="Región Metropolitana,femicidio,víctima,mujer,conviviente,cónyuge,pareja,ex,relación,femicida,Agencia Información,Mujeres,Femicidios,Violencia Contra la Mujer"/>
    <s v="https://analytics.zoho.com/open-view/2395394000009080286?ZOHO_CRITERIA=%22Localiza%20CL%22.%22Codreg%22%3D13"/>
    <x v="13"/>
    <s v="#1774B9"/>
  </r>
  <r>
    <s v="0521"/>
    <n v="990"/>
    <s v="Agencia Información"/>
    <s v="Mujeres"/>
    <n v="14"/>
    <x v="36"/>
    <x v="2"/>
    <x v="1"/>
    <x v="14"/>
    <x v="1"/>
    <x v="48"/>
    <s v="Periodo 2010-2021"/>
    <s v="Número de víctimas"/>
    <s v="Ministerio de la Mujer y Equidad de Género (MINMEG)"/>
    <s v="Relación Víctima-Femicida en la Región de Los Ríos para el Periodo 2010-2021"/>
    <s v="En la región Los Ríos, la mayor cantidad de femicidios se llevan a cabo por los convivientes, cónyuges o ex cónyuges."/>
    <s v="Nube de palabras"/>
    <s v="Región de Los Ríos,femicidio,víctima,mujer,conviviente,cónyuge,pareja,ex,relación,femicida,Agencia Información,Mujeres,Femicidios,Violencia Contra la Mujer"/>
    <s v="https://analytics.zoho.com/open-view/2395394000009080286?ZOHO_CRITERIA=%22Localiza%20CL%22.%22Codreg%22%3D14"/>
    <x v="14"/>
    <s v="#1774B9"/>
  </r>
  <r>
    <s v="0522"/>
    <n v="990"/>
    <s v="Agencia Información"/>
    <s v="Mujeres"/>
    <n v="15"/>
    <x v="36"/>
    <x v="2"/>
    <x v="1"/>
    <x v="15"/>
    <x v="1"/>
    <x v="48"/>
    <s v="Periodo 2010-2021"/>
    <s v="Número de víctimas"/>
    <s v="Ministerio de la Mujer y Equidad de Género (MINMEG)"/>
    <s v="Relación Víctima-Femicida en la Región de Arica y Parinacota para el Periodo 2010-2021"/>
    <s v="En la región de Arica y Parinacota, la mayor cantidad de femicidios se lleva a cabo por los cónyuges."/>
    <s v="Nube de palabras"/>
    <s v="Región de Arica y Parinacota,femicidio,víctima,mujer,conviviente,cónyuge,pareja,ex,relación,femicida,Agencia Información,Mujeres,Femicidios,Violencia Contra la Mujer"/>
    <s v="https://analytics.zoho.com/open-view/2395394000009080286?ZOHO_CRITERIA=%22Localiza%20CL%22.%22Codreg%22%3D15"/>
    <x v="15"/>
    <s v="#1774B9"/>
  </r>
  <r>
    <s v="0523"/>
    <n v="990"/>
    <s v="Agencia Información"/>
    <s v="Mujeres"/>
    <n v="16"/>
    <x v="36"/>
    <x v="2"/>
    <x v="1"/>
    <x v="16"/>
    <x v="1"/>
    <x v="48"/>
    <s v="Periodo 2010-2021"/>
    <s v="Número de víctimas"/>
    <s v="Ministerio de la Mujer y Equidad de Género (MINMEG)"/>
    <s v="Relación Víctima-Femicida en la Región de Ñuble para el Periodo 2010-2021"/>
    <s v="En la región de Ñuble, la mayor cantidad de femicidios se lleva a cabo por los ex cónyuges, cónyuges o convivientes."/>
    <s v="Nube de palabras"/>
    <s v="Región de Ñuble,femicidio,víctima,mujer,conviviente,cónyuge,pareja,ex,relación,femicida,Agencia Información,Mujeres,Femicidios,Violencia Contra la Mujer"/>
    <s v="https://analytics.zoho.com/open-view/2395394000009080286?ZOHO_CRITERIA=%22Localiza%20CL%22.%22Codreg%22%3D16"/>
    <x v="16"/>
    <s v="#1774B9"/>
  </r>
  <r>
    <s v="0524"/>
    <n v="990"/>
    <s v="Agencia Información"/>
    <s v="Mujeres"/>
    <n v="0"/>
    <x v="36"/>
    <x v="2"/>
    <x v="0"/>
    <x v="0"/>
    <x v="1"/>
    <x v="49"/>
    <s v="Periodo 2018-2021"/>
    <s v="Número de víctimas"/>
    <s v="Ministerio de la Mujer y Equidad de Género (MINMEG)"/>
    <s v="Evolución Comparada Anual de Femicidios en Chile para el Periodo 2018-2021"/>
    <s v="Comparando los últimos 4 años, coincide el número de víctimas registradas a finales del primer semestre, las que bordean los 20 casos."/>
    <s v="Gráfico"/>
    <s v="Chile,femicidio,víctima,mujer,semestre,año,Agencia Información,Mujeres,Femicidios,Violencia Contra la Mujer"/>
    <s v="https://analytics.zoho.com/open-view/2395394000007774595"/>
    <x v="34"/>
    <s v="#1774B9"/>
  </r>
  <r>
    <s v="0525"/>
    <n v="990"/>
    <s v="Agencia Información"/>
    <s v="Mujeres"/>
    <n v="0"/>
    <x v="36"/>
    <x v="2"/>
    <x v="0"/>
    <x v="0"/>
    <x v="8"/>
    <x v="49"/>
    <s v="Periodo 2010-2021"/>
    <s v="Número de víctimas"/>
    <s v="Ministerio de la Mujer y Equidad de Género (MINMEG)"/>
    <s v="Evolución de Femicidios por mes en Chile para el Periodo 2010-2021"/>
    <s v="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
    <s v="Gráfico"/>
    <s v="Chile,femicidio,víctima,mujer,mes,año,tendencia,Agencia Información,Mujeres,Femicidios,Violencia Contra la Mujer"/>
    <s v="https://analytics.zoho.com/open-view/2395394000009080022"/>
    <x v="34"/>
    <s v="#1774B9"/>
  </r>
  <r>
    <s v="0526"/>
    <n v="990"/>
    <s v="Agencia Información"/>
    <s v="Transporte y tránsito"/>
    <n v="0"/>
    <x v="37"/>
    <x v="21"/>
    <x v="0"/>
    <x v="0"/>
    <x v="1"/>
    <x v="50"/>
    <s v="Periodo 2014-2021"/>
    <s v="Número de vehículos"/>
    <s v="Ministerio de Transportes y Telecomunicaciones"/>
    <s v="Evolución de Parque Vehicular Escolar por Región en Chile para el Periodo 2014-2021"/>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vehículo,escolar,parque,vehicular,evolución,cantidad,transporte,Agencia Información,Transporte y tránsito,Parque Vehicular Escolar,Transporte"/>
    <s v="https://public.flourish.studio/visualisation/6688416/"/>
    <x v="34"/>
    <s v="#1774B9"/>
  </r>
  <r>
    <s v="0527"/>
    <n v="990"/>
    <s v="Agencia Información"/>
    <s v="Política y Gobierno"/>
    <n v="0"/>
    <x v="38"/>
    <x v="7"/>
    <x v="0"/>
    <x v="0"/>
    <x v="1"/>
    <x v="9"/>
    <s v="Periodo 1997-2020"/>
    <s v="Número y Porcentaje"/>
    <s v="Dirección de Presupuestos (DIPRES)"/>
    <s v="Detalle de programas e instituciones evaluados por ministerio en Chile durante el Periodo 1997-2020"/>
    <s v="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
    <s v="Dashboard"/>
    <s v="Chile,programas,desempeño,gobierno,servicio,evaluación,instituciones,público,ministerio,Agencia Información,Política y Gobierno,Detalle Programas e Instituciones,Evaluación de Programas"/>
    <s v="https://infogram.com/evaluacion-programas-2-1h7z2l8xdmzyg6o?live"/>
    <x v="34"/>
    <s v="#1774B9"/>
  </r>
  <r>
    <s v="0528"/>
    <n v="990"/>
    <s v="Agencia Información"/>
    <s v="Salud"/>
    <n v="0"/>
    <x v="39"/>
    <x v="4"/>
    <x v="0"/>
    <x v="0"/>
    <x v="2"/>
    <x v="51"/>
    <s v="Periodo 2020-2021"/>
    <s v="Número de fallecidos"/>
    <s v="Ministerio de Ciencia, Tecnología, Conocimiento e Innovación"/>
    <s v="Evolución de número de fallecidos por 1 millón de habitantes por comuna en Chile durante el Periodo 2020-2021"/>
    <s v="Mapa de fallecidos por millón de habitantes a nivel nacional, con detalle regional y comunal, durante el periodo 2020-2021"/>
    <s v="Gráfico de Evolución"/>
    <s v="Chile,región,comuna,casos activos,fallecidos,recuperados,acumulados,evolución,Agencia Información,Salud,Fallecidos,COVID-19"/>
    <s v="https://analytics.zoho.com/open-view/2395394000009046875"/>
    <x v="17"/>
    <s v="#1774B9"/>
  </r>
  <r>
    <s v="0529"/>
    <n v="990"/>
    <s v="Agencia Información"/>
    <s v="Salud"/>
    <n v="1"/>
    <x v="39"/>
    <x v="4"/>
    <x v="1"/>
    <x v="1"/>
    <x v="3"/>
    <x v="51"/>
    <s v="Periodo 2020-2021"/>
    <s v="Número de fallecidos"/>
    <s v="Ministerio de Ciencia, Tecnología, Conocimiento e Innovación"/>
    <s v="Evolución de número de fallecidos por 1 millón de habitantes por comuna en la Región de Tarapacá durante el Periodo 2020-2021"/>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comuna,casos activos,recuperados,acumulados,evolución,Agencia Información,Salud,Fallecidos,COVID-19"/>
    <s v="https://analytics.zoho.com/open-view/2395394000009055140?ZOHO_CRITERIA=%22Localiza_CL_Poblacion%22.%22Codreg%22%20%3D%201"/>
    <x v="18"/>
    <s v="#1774B9"/>
  </r>
  <r>
    <s v="0530"/>
    <n v="990"/>
    <s v="Agencia Información"/>
    <s v="Salud"/>
    <n v="2"/>
    <x v="39"/>
    <x v="4"/>
    <x v="1"/>
    <x v="2"/>
    <x v="3"/>
    <x v="51"/>
    <s v="Periodo 2020-2021"/>
    <s v="Número de fallecidos"/>
    <s v="Ministerio de Ciencia, Tecnología, Conocimiento e Innovación"/>
    <s v="Evolución de número de fallecidos por 1 millón de habitantes por comuna en la Región de Antofagasta durante el Periodo 2020-2021"/>
    <s v="Mapa de fallecidos por millón de habitantes, en la región de Antofagasta con detalle comunal, durante el periodo 2020-2021, se observa que la  comuna de María Elena es la que presenta mayor cantidad de fallecidos por millón de habitantes, en la región."/>
    <s v="Gráfico de Evolución"/>
    <s v="Región de Antofagasta,comuna,casos activos,recuperados,acumulados,evolución,Agencia Información,Salud,Fallecidos,COVID-19"/>
    <s v="https://analytics.zoho.com/open-view/2395394000009055140?ZOHO_CRITERIA=%22Localiza_CL_Poblacion%22.%22Codreg%22%20%3D%202"/>
    <x v="19"/>
    <s v="#1774B9"/>
  </r>
  <r>
    <s v="0531"/>
    <n v="990"/>
    <s v="Agencia Información"/>
    <s v="Salud"/>
    <n v="3"/>
    <x v="39"/>
    <x v="4"/>
    <x v="1"/>
    <x v="3"/>
    <x v="3"/>
    <x v="51"/>
    <s v="Periodo 2020-2021"/>
    <s v="Número de fallecidos"/>
    <s v="Ministerio de Ciencia, Tecnología, Conocimiento e Innovación"/>
    <s v="Evolución de número de fallecidos por 1 millón de habitantes por comuna en la Región de Atacama durante el Periodo 2020-2021"/>
    <s v="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
    <s v="Gráfico de Evolución"/>
    <s v="Región de Atacama,comuna,casos activos,recuperados,acumulados,evolución,Agencia Información,Salud,Fallecidos,COVID-19"/>
    <s v="https://analytics.zoho.com/open-view/2395394000009055140?ZOHO_CRITERIA=%22Localiza_CL_Poblacion%22.%22Codreg%22%20%3D%203"/>
    <x v="20"/>
    <s v="#1774B9"/>
  </r>
  <r>
    <s v="0532"/>
    <n v="990"/>
    <s v="Agencia Información"/>
    <s v="Salud"/>
    <n v="4"/>
    <x v="39"/>
    <x v="4"/>
    <x v="1"/>
    <x v="4"/>
    <x v="3"/>
    <x v="51"/>
    <s v="Periodo 2020-2021"/>
    <s v="Número de fallecidos"/>
    <s v="Ministerio de Ciencia, Tecnología, Conocimiento e Innovación"/>
    <s v="Evolución de número de fallecidos por 1 millón de habitantes por comuna en la Región de Coquimbo durante el Periodo 2020-2021"/>
    <s v="Mapa de fallecidos por millón de habitantes en la región de Coquimbo con detalle comunal en el periodo 2020-2021."/>
    <s v="Gráfico de Evolución"/>
    <s v="Región de Coquimbo,comuna,casos activos,recuperados,acumulados,evolución,Agencia Información,Salud,Fallecidos,COVID-19"/>
    <s v="https://analytics.zoho.com/open-view/2395394000009055140?ZOHO_CRITERIA=%22Localiza_CL_Poblacion%22.%22Codreg%22%20%3D%204"/>
    <x v="21"/>
    <s v="#1774B9"/>
  </r>
  <r>
    <s v="0533"/>
    <n v="990"/>
    <s v="Agencia Información"/>
    <s v="Salud"/>
    <n v="5"/>
    <x v="39"/>
    <x v="4"/>
    <x v="1"/>
    <x v="5"/>
    <x v="3"/>
    <x v="51"/>
    <s v="Periodo 2020-2021"/>
    <s v="Número de fallecidos"/>
    <s v="Ministerio de Ciencia, Tecnología, Conocimiento e Innovación"/>
    <s v="Evolución de número de fallecidos por 1 millón de habitantes por comuna en la Región de Valparaíso durante el Periodo 2020-2021"/>
    <s v="Mapa de fallecidos por millón de habitantes en la región de Valparaíso con detalle comunal en el periodo 2020-2021."/>
    <s v="Gráfico de Evolución"/>
    <s v="Región de Valparaíso,comuna,casos activos,recuperados,acumulados,evolución,Agencia Información,Salud,Fallecidos,COVID-19"/>
    <s v="https://analytics.zoho.com/open-view/2395394000009055140?ZOHO_CRITERIA=%22Localiza_CL_Poblacion%22.%22Codreg%22%20%3D%205"/>
    <x v="22"/>
    <s v="#1774B9"/>
  </r>
  <r>
    <s v="0534"/>
    <n v="990"/>
    <s v="Agencia Información"/>
    <s v="Salud"/>
    <n v="6"/>
    <x v="39"/>
    <x v="4"/>
    <x v="1"/>
    <x v="6"/>
    <x v="3"/>
    <x v="51"/>
    <s v="Periodo 2020-2021"/>
    <s v="Número de fallecidos"/>
    <s v="Ministerio de Ciencia, Tecnología, Conocimiento e Innovación"/>
    <s v="Evolución de número de fallecidos por 1 millón de habitantes por comuna en la Región de O'Higgins durante el Periodo 2020-2021"/>
    <s v="Mapa de fallecidos por millón de habitantes en la región de O´higgins con detalle comunal en el periodo 2020-2021."/>
    <s v="Gráfico de Evolución"/>
    <s v="Región de O'Higgins,comuna,casos activos,recuperados,acumulados,evolución,Agencia Información,Salud,Fallecidos,COVID-19"/>
    <s v="https://analytics.zoho.com/open-view/2395394000009055140?ZOHO_CRITERIA=%22Localiza_CL_Poblacion%22.%22Codreg%22%20%3D%206"/>
    <x v="23"/>
    <s v="#1774B9"/>
  </r>
  <r>
    <s v="0535"/>
    <n v="990"/>
    <s v="Agencia Información"/>
    <s v="Salud"/>
    <n v="7"/>
    <x v="39"/>
    <x v="4"/>
    <x v="1"/>
    <x v="7"/>
    <x v="3"/>
    <x v="51"/>
    <s v="Periodo 2020-2021"/>
    <s v="Número de fallecidos"/>
    <s v="Ministerio de Ciencia, Tecnología, Conocimiento e Innovación"/>
    <s v="Evolución de número de fallecidos por 1 millón de habitantes por comuna en la Región de Maule durante el Periodo 2020-2021"/>
    <s v="Mapa de fallecidos por millón de habitantes en la región de Maule con detalle comunal en el periodo 2020-2021."/>
    <s v="Gráfico de Evolución"/>
    <s v="Región de Maule,comuna,casos activos,recuperados,acumulados,evolución,Agencia Información,Salud,Fallecidos,COVID-19"/>
    <s v="https://analytics.zoho.com/open-view/2395394000009055140?ZOHO_CRITERIA=%22Localiza_CL_Poblacion%22.%22Codreg%22%20%3D%207"/>
    <x v="24"/>
    <s v="#1774B9"/>
  </r>
  <r>
    <s v="0536"/>
    <n v="990"/>
    <s v="Agencia Información"/>
    <s v="Salud"/>
    <n v="8"/>
    <x v="39"/>
    <x v="4"/>
    <x v="1"/>
    <x v="8"/>
    <x v="3"/>
    <x v="51"/>
    <s v="Periodo 2020-2021"/>
    <s v="Número de fallecidos"/>
    <s v="Ministerio de Ciencia, Tecnología, Conocimiento e Innovación"/>
    <s v="Evolución de número de fallecidos por 1 millón de habitantes por comuna en la Región del Biobío durante el Periodo 2020-2021"/>
    <s v="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
    <s v="Gráfico de Evolución"/>
    <s v="Región del Biobío,comuna,casos activos,recuperados,acumulados,evolución,Agencia Información,Salud,Fallecidos,COVID-19"/>
    <s v="https://analytics.zoho.com/open-view/2395394000009055140?ZOHO_CRITERIA=%22Localiza_CL_Poblacion%22.%22Codreg%22%20%3D%208"/>
    <x v="25"/>
    <s v="#1774B9"/>
  </r>
  <r>
    <s v="0537"/>
    <n v="990"/>
    <s v="Agencia Información"/>
    <s v="Salud"/>
    <n v="9"/>
    <x v="39"/>
    <x v="4"/>
    <x v="1"/>
    <x v="9"/>
    <x v="3"/>
    <x v="51"/>
    <s v="Periodo 2020-2021"/>
    <s v="Número de fallecidos"/>
    <s v="Ministerio de Ciencia, Tecnología, Conocimiento e Innovación"/>
    <s v="Evolución de número de fallecidos por 1 millón de habitantes por comuna en la Región de La Araucanía durante el Periodo 2020-2021"/>
    <s v="Mapa de fallecidos por millón de habitantes en la región de Araucanía con detalle comunal en el periodo 2020-2021."/>
    <s v="Gráfico de Evolución"/>
    <s v="Región de La Araucanía,comuna,casos activos,recuperados,acumulados,evolución,Agencia Información,Salud,Fallecidos,COVID-19"/>
    <s v="https://analytics.zoho.com/open-view/2395394000009055140?ZOHO_CRITERIA=%22Localiza_CL_Poblacion%22.%22Codreg%22%20%3D%209"/>
    <x v="26"/>
    <s v="#1774B9"/>
  </r>
  <r>
    <s v="0538"/>
    <n v="990"/>
    <s v="Agencia Información"/>
    <s v="Salud"/>
    <n v="10"/>
    <x v="39"/>
    <x v="4"/>
    <x v="1"/>
    <x v="10"/>
    <x v="3"/>
    <x v="51"/>
    <s v="Periodo 2020-2021"/>
    <s v="Número de fallecidos"/>
    <s v="Ministerio de Ciencia, Tecnología, Conocimiento e Innovación"/>
    <s v="Evolución de número de fallecidos por 1 millón de habitantes por comuna en la Región de Los Lagos durante el Periodo 2020-2021"/>
    <s v="Mapa de fallecidos por millón de habitantes en la región de Los Lagos con detalle comunal en el periodo 2020-2021."/>
    <s v="Gráfico de Evolución"/>
    <s v="Región de Los Lagos,comuna,casos activos,recuperados,acumulados,evolución,Agencia Información,Salud,Fallecidos,COVID-19"/>
    <s v="https://analytics.zoho.com/open-view/2395394000009055140?ZOHO_CRITERIA=%22Localiza_CL_Poblacion%22.%22Codreg%22%20%3D%2010"/>
    <x v="27"/>
    <s v="#1774B9"/>
  </r>
  <r>
    <s v="0539"/>
    <n v="990"/>
    <s v="Agencia Información"/>
    <s v="Salud"/>
    <n v="11"/>
    <x v="39"/>
    <x v="4"/>
    <x v="1"/>
    <x v="11"/>
    <x v="3"/>
    <x v="51"/>
    <s v="Periodo 2020-2021"/>
    <s v="Número de fallecidos"/>
    <s v="Ministerio de Ciencia, Tecnología, Conocimiento e Innovación"/>
    <s v="Evolución de número de fallecidos por 1 millón de habitantes por comuna en la Región de Aysén durante el Periodo 2020-2021"/>
    <s v="Mapa de fallecidos por millón de habitantes en la región de Aysén con detalle comunal en el periodo 2020-2021."/>
    <s v="Gráfico de Evolución"/>
    <s v="Región de Aysén,comuna,casos activos,recuperados,acumulados,evolución,Agencia Información,Salud,Fallecidos,COVID-19"/>
    <s v="https://analytics.zoho.com/open-view/2395394000009055140?ZOHO_CRITERIA=%22Localiza_CL_Poblacion%22.%22Codreg%22%20%3D%2011"/>
    <x v="33"/>
    <s v="#1774B9"/>
  </r>
  <r>
    <s v="0540"/>
    <n v="990"/>
    <s v="Agencia Información"/>
    <s v="Salud"/>
    <n v="12"/>
    <x v="39"/>
    <x v="4"/>
    <x v="1"/>
    <x v="12"/>
    <x v="3"/>
    <x v="51"/>
    <s v="Periodo 2020-2021"/>
    <s v="Número de fallecidos"/>
    <s v="Ministerio de Ciencia, Tecnología, Conocimiento e Innovación"/>
    <s v="Evolución de número de fallecidos por 1 millón de habitantes por comuna en la Región de Magallanes durante el Periodo 2020-2021"/>
    <s v="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
    <s v="Gráfico de Evolución"/>
    <s v="Región de Magallanes,comuna,casos activos,recuperados,acumulados,evolución,Agencia Información,Salud,Fallecidos,COVID-19"/>
    <s v="https://analytics.zoho.com/open-view/2395394000009055140?ZOHO_CRITERIA=%22Localiza_CL_Poblacion%22.%22Codreg%22%20%3D%2012"/>
    <x v="28"/>
    <s v="#1774B9"/>
  </r>
  <r>
    <s v="0541"/>
    <n v="990"/>
    <s v="Agencia Información"/>
    <s v="Salud"/>
    <n v="13"/>
    <x v="39"/>
    <x v="4"/>
    <x v="1"/>
    <x v="13"/>
    <x v="3"/>
    <x v="51"/>
    <s v="Periodo 2020-2021"/>
    <s v="Número de fallecidos"/>
    <s v="Ministerio de Ciencia, Tecnología, Conocimiento e Innovación"/>
    <s v="Evolución de número de fallecidos por 1 millón de habitantes por comuna en la Región Metropolitana durante el Periodo 2020-2021"/>
    <s v="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
    <s v="Gráfico de Evolución"/>
    <s v="Región Metropolitana,comuna,casos activos,recuperados,acumulados,evolución,Agencia Información,Salud,Fallecidos,COVID-19"/>
    <s v="https://analytics.zoho.com/open-view/2395394000009055140?ZOHO_CRITERIA=%22Localiza_CL_Poblacion%22.%22Codreg%22%20%3D%2013"/>
    <x v="29"/>
    <s v="#1774B9"/>
  </r>
  <r>
    <s v="0542"/>
    <n v="990"/>
    <s v="Agencia Información"/>
    <s v="Salud"/>
    <n v="14"/>
    <x v="39"/>
    <x v="4"/>
    <x v="1"/>
    <x v="14"/>
    <x v="3"/>
    <x v="51"/>
    <s v="Periodo 2020-2021"/>
    <s v="Número de fallecidos"/>
    <s v="Ministerio de Ciencia, Tecnología, Conocimiento e Innovación"/>
    <s v="Evolución de número de fallecidos por 1 millón de habitantes por comuna en la Región de Los Ríos durante el Periodo 2020-2021"/>
    <s v="Mapa de fallecidos por millón de habitantes en la región de Los Ríos con detalle comunal en el periodo 2020-2021."/>
    <s v="Gráfico de Evolución"/>
    <s v="Región de Los Ríos,comuna,casos activos,recuperados,acumulados,evolución,Agencia Información,Salud,Fallecidos,COVID-19"/>
    <s v="https://analytics.zoho.com/open-view/2395394000009055140?ZOHO_CRITERIA=%22Localiza_CL_Poblacion%22.%22Codreg%22%20%3D%2014"/>
    <x v="30"/>
    <s v="#1774B9"/>
  </r>
  <r>
    <s v="0543"/>
    <n v="990"/>
    <s v="Agencia Información"/>
    <s v="Salud"/>
    <n v="15"/>
    <x v="39"/>
    <x v="4"/>
    <x v="1"/>
    <x v="15"/>
    <x v="3"/>
    <x v="51"/>
    <s v="Periodo 2020-2021"/>
    <s v="Número de fallecidos"/>
    <s v="Ministerio de Ciencia, Tecnología, Conocimiento e Innovación"/>
    <s v="Evolución de número de fallecidos por 1 millón de habitantes por comuna en la Región de Arica y Parinacota durante el Periodo 2020-2021"/>
    <s v="Mapa de fallecidos por millón de habitantes en la región de Arica y Parinacota con detalle comunal en el periodo 2020-2021."/>
    <s v="Gráfico de Evolución"/>
    <s v="Región de Arica y Parinacota,comuna,casos activos,recuperados,acumulados,evolución,Agencia Información,Salud,Fallecidos,COVID-19"/>
    <s v="https://analytics.zoho.com/open-view/2395394000009055140?ZOHO_CRITERIA=%22Localiza_CL_Poblacion%22.%22Codreg%22%20%3D%2015"/>
    <x v="31"/>
    <s v="#1774B9"/>
  </r>
  <r>
    <s v="0544"/>
    <n v="990"/>
    <s v="Agencia Información"/>
    <s v="Salud"/>
    <n v="16"/>
    <x v="39"/>
    <x v="4"/>
    <x v="1"/>
    <x v="16"/>
    <x v="3"/>
    <x v="51"/>
    <s v="Periodo 2020-2021"/>
    <s v="Número de fallecidos"/>
    <s v="Ministerio de Ciencia, Tecnología, Conocimiento e Innovación"/>
    <s v="Evolución de número de fallecidos por 1 millón de habitantes por comuna en la Región de Ñuble durante el Periodo 2020-2021"/>
    <s v="Mapa de fallecidos por millón de habitantes en la región de Ñuble con detalle comunal en el periodo 2020-2021."/>
    <s v="Gráfico de Evolución"/>
    <s v="Región de Ñuble,comuna,casos activos,recuperados,acumulados,evolución,Agencia Información,Salud,Fallecidos,COVID-19"/>
    <s v="https://analytics.zoho.com/open-view/2395394000009055140?ZOHO_CRITERIA=%22Localiza_CL_Poblacion%22.%22Codreg%22%20%3D%2016"/>
    <x v="32"/>
    <s v="#1774B9"/>
  </r>
  <r>
    <s v="0545"/>
    <n v="990"/>
    <s v="Agencia Información"/>
    <s v="Educación"/>
    <n v="0"/>
    <x v="34"/>
    <x v="1"/>
    <x v="0"/>
    <x v="0"/>
    <x v="2"/>
    <x v="44"/>
    <s v="Periodo 2015-2018"/>
    <s v="Puntaje"/>
    <s v="Agencia de Calidad de la Educación"/>
    <s v="Evolución de Puntaje SIMCE de Lectura por Dependencia de Establecimientos para 2° Medio en Chile, Periodo 2015-2018"/>
    <s v="Los colegios particulares han obtenido un puntaje sobre los 229 puntos en la prueba SIMCE de lectura tomada a los alumnos de 2° Medio, superando por más de 60 puntos a los colegios municipales, subvencionados y de otras dependencias del país, en los años 2015, 2016, 2017 y 2018."/>
    <s v="Gráfico de Evolución"/>
    <s v="Chile,educación media,segundo medio,puntaje,lectura,municipal,subvencionado,corporación,lenguaje,particular,Agencia Información,Educación,SIMCE,Métricas de la Educación"/>
    <s v="https://analytics.zoho.com/open-view/2395394000007908748"/>
    <x v="17"/>
    <s v="#1774B9"/>
  </r>
  <r>
    <s v="0546"/>
    <n v="990"/>
    <s v="Agencia Información"/>
    <s v="Educación"/>
    <n v="1"/>
    <x v="34"/>
    <x v="1"/>
    <x v="1"/>
    <x v="1"/>
    <x v="3"/>
    <x v="44"/>
    <s v="Periodo 2015-2018"/>
    <s v="Puntaje"/>
    <s v="Agencia de Calidad de la Educación"/>
    <s v="Evolución de Puntaje SIMCE de Lectura por Dependencia de Establecimientos para 2° Medio en la Región de Tarapacá, Periodo 2015-2018"/>
    <s v="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
    <s v="Gráfico de Evolución"/>
    <s v="Región de Tarapacá,educación media,segundo medio,puntaje,lectura,municipal,subvencionado,corporación,lenguaje,particular,Agencia Información,Educación,SIMCE,Métricas de la Educación"/>
    <s v="https://analytics.zoho.com/open-view/2395394000009042568?ZOHO_CRITERIA=%22Localiza%20CL%22.%22Codreg%22%3D1"/>
    <x v="18"/>
    <s v="#1774B9"/>
  </r>
  <r>
    <s v="0547"/>
    <n v="990"/>
    <s v="Agencia Información"/>
    <s v="Educación"/>
    <n v="2"/>
    <x v="34"/>
    <x v="1"/>
    <x v="1"/>
    <x v="2"/>
    <x v="3"/>
    <x v="44"/>
    <s v="Periodo 2015-2018"/>
    <s v="Puntaje"/>
    <s v="Agencia de Calidad de la Educación"/>
    <s v="Evolución de Puntaje SIMCE de Lectura por Dependencia de Establecimientos para 2° Medio en la Región de Antofagasta, Periodo 2015-2018"/>
    <s v="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
    <s v="Gráfico de Evolución"/>
    <s v="Región de Antofagasta,educación media,segundo medio,puntaje,lectura,municipal,subvencionado,corporación,lenguaje,particular,Agencia Información,Educación,SIMCE,Métricas de la Educación"/>
    <s v="https://analytics.zoho.com/open-view/2395394000009042568?ZOHO_CRITERIA=%22Localiza%20CL%22.%22Codreg%22%3D2"/>
    <x v="19"/>
    <s v="#1774B9"/>
  </r>
  <r>
    <s v="0548"/>
    <n v="990"/>
    <s v="Agencia Información"/>
    <s v="Educación"/>
    <n v="3"/>
    <x v="34"/>
    <x v="1"/>
    <x v="1"/>
    <x v="3"/>
    <x v="3"/>
    <x v="44"/>
    <s v="Periodo 2015-2018"/>
    <s v="Puntaje"/>
    <s v="Agencia de Calidad de la Educación"/>
    <s v="Evolución de Puntaje SIMCE de Lectura por Dependencia de Establecimientos para 2° Medio en la Región de Atacama, Periodo 2015-2018"/>
    <s v="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
    <s v="Gráfico de Evolución"/>
    <s v="Región de Atacama,educación media,segundo medio,puntaje,lectura,municipal,subvencionado,corporación,lenguaje,particular,Agencia Información,Educación,SIMCE,Métricas de la Educación"/>
    <s v="https://analytics.zoho.com/open-view/2395394000009042568?ZOHO_CRITERIA=%22Localiza%20CL%22.%22Codreg%22%3D3"/>
    <x v="20"/>
    <s v="#1774B9"/>
  </r>
  <r>
    <s v="0549"/>
    <n v="990"/>
    <s v="Agencia Información"/>
    <s v="Educación"/>
    <n v="4"/>
    <x v="34"/>
    <x v="1"/>
    <x v="1"/>
    <x v="4"/>
    <x v="3"/>
    <x v="44"/>
    <s v="Periodo 2015-2018"/>
    <s v="Puntaje"/>
    <s v="Agencia de Calidad de la Educación"/>
    <s v="Evolución de Puntaje SIMCE de Lectura por Dependencia de Establecimientos para 2° Medio en la Región de Coquimbo, Periodo 2015-2018"/>
    <s v="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
    <s v="Gráfico de Evolución"/>
    <s v="Región de Coquimbo,educación media,segundo medio,puntaje,lectura,municipal,subvencionado,corporación,lenguaje,particular,Agencia Información,Educación,SIMCE,Métricas de la Educación"/>
    <s v="https://analytics.zoho.com/open-view/2395394000009042568?ZOHO_CRITERIA=%22Localiza%20CL%22.%22Codreg%22%3D4"/>
    <x v="21"/>
    <s v="#1774B9"/>
  </r>
  <r>
    <s v="0550"/>
    <n v="990"/>
    <s v="Agencia Información"/>
    <s v="Educación"/>
    <n v="5"/>
    <x v="34"/>
    <x v="1"/>
    <x v="1"/>
    <x v="5"/>
    <x v="3"/>
    <x v="44"/>
    <s v="Periodo 2015-2018"/>
    <s v="Puntaje"/>
    <s v="Agencia de Calidad de la Educación"/>
    <s v="Evolución de Puntaje SIMCE de Lectura por Dependencia de Establecimientos para 2° Medio en la Región de Valparaíso, Periodo 2015-2018"/>
    <s v="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
    <s v="Gráfico de Evolución"/>
    <s v="Región de Valparaíso,educación media,segundo medio,puntaje,lectura,municipal,subvencionado,corporación,lenguaje,particular,Agencia Información,Educación,SIMCE,Métricas de la Educación"/>
    <s v="https://analytics.zoho.com/open-view/2395394000009042568?ZOHO_CRITERIA=%22Localiza%20CL%22.%22Codreg%22%3D5"/>
    <x v="22"/>
    <s v="#1774B9"/>
  </r>
  <r>
    <s v="0551"/>
    <n v="990"/>
    <s v="Agencia Información"/>
    <s v="Educación"/>
    <n v="6"/>
    <x v="34"/>
    <x v="1"/>
    <x v="1"/>
    <x v="6"/>
    <x v="3"/>
    <x v="44"/>
    <s v="Periodo 2015-2018"/>
    <s v="Puntaje"/>
    <s v="Agencia de Calidad de la Educación"/>
    <s v="Evolución de Puntaje SIMCE de Lectura por Dependencia de Establecimientos para 2° Medio en la Región de O'Higgins, Periodo 2015-2018"/>
    <s v="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
    <s v="Gráfico de Evolución"/>
    <s v="Región de O'Higgins,educación media,segundo medio,puntaje,lectura,municipal,subvencionado,corporación,lenguaje,particular,Agencia Información,Educación,SIMCE,Métricas de la Educación"/>
    <s v="https://analytics.zoho.com/open-view/2395394000009042568?ZOHO_CRITERIA=%22Localiza%20CL%22.%22Codreg%22%3D6"/>
    <x v="23"/>
    <s v="#1774B9"/>
  </r>
  <r>
    <s v="0552"/>
    <n v="990"/>
    <s v="Agencia Información"/>
    <s v="Educación"/>
    <n v="7"/>
    <x v="34"/>
    <x v="1"/>
    <x v="1"/>
    <x v="7"/>
    <x v="3"/>
    <x v="44"/>
    <s v="Periodo 2015-2018"/>
    <s v="Puntaje"/>
    <s v="Agencia de Calidad de la Educación"/>
    <s v="Evolución de Puntaje SIMCE de Lectura por Dependencia de Establecimientos para 2° Medio en la Región de Maule, Periodo 2015-2018"/>
    <s v="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
    <s v="Gráfico de Evolución"/>
    <s v="Región de Maule,educación media,segundo medio,puntaje,lectura,municipal,subvencionado,corporación,lenguaje,particular,Agencia Información,Educación,SIMCE,Métricas de la Educación"/>
    <s v="https://analytics.zoho.com/open-view/2395394000009042568?ZOHO_CRITERIA=%22Localiza%20CL%22.%22Codreg%22%3D7"/>
    <x v="24"/>
    <s v="#1774B9"/>
  </r>
  <r>
    <s v="0553"/>
    <n v="990"/>
    <s v="Agencia Información"/>
    <s v="Educación"/>
    <n v="8"/>
    <x v="34"/>
    <x v="1"/>
    <x v="1"/>
    <x v="8"/>
    <x v="3"/>
    <x v="44"/>
    <s v="Periodo 2015-2018"/>
    <s v="Puntaje"/>
    <s v="Agencia de Calidad de la Educación"/>
    <s v="Evolución de Puntaje SIMCE de Lectura por Dependencia de Establecimientos para 2° Medio en la Región del Biobío, Periodo 2015-2018"/>
    <s v="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
    <s v="Gráfico de Evolución"/>
    <s v="Región del Biobío,educación media,segundo medio,puntaje,lectura,municipal,subvencionado,corporación,lenguaje,particular,Agencia Información,Educación,SIMCE,Métricas de la Educación"/>
    <s v="https://analytics.zoho.com/open-view/2395394000009042568?ZOHO_CRITERIA=%22Localiza%20CL%22.%22Codreg%22%3D8"/>
    <x v="25"/>
    <s v="#1774B9"/>
  </r>
  <r>
    <s v="0554"/>
    <n v="990"/>
    <s v="Agencia Información"/>
    <s v="Educación"/>
    <n v="9"/>
    <x v="34"/>
    <x v="1"/>
    <x v="1"/>
    <x v="9"/>
    <x v="3"/>
    <x v="44"/>
    <s v="Periodo 2015-2018"/>
    <s v="Puntaje"/>
    <s v="Agencia de Calidad de la Educación"/>
    <s v="Evolución de Puntaje SIMCE de Lectura por Dependencia de Establecimientos para 2° Medio en la Región de La Araucanía, Periodo 2015-2018"/>
    <s v="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
    <s v="Gráfico de Evolución"/>
    <s v="Región de La Araucanía,educación media,segundo medio,puntaje,lectura,municipal,subvencionado,corporación,lenguaje,particular,Agencia Información,Educación,SIMCE,Métricas de la Educación"/>
    <s v="https://analytics.zoho.com/open-view/2395394000009042568?ZOHO_CRITERIA=%22Localiza%20CL%22.%22Codreg%22%3D9"/>
    <x v="26"/>
    <s v="#1774B9"/>
  </r>
  <r>
    <s v="0555"/>
    <n v="990"/>
    <s v="Agencia Información"/>
    <s v="Educación"/>
    <n v="10"/>
    <x v="34"/>
    <x v="1"/>
    <x v="1"/>
    <x v="10"/>
    <x v="3"/>
    <x v="44"/>
    <s v="Periodo 2015-2018"/>
    <s v="Puntaje"/>
    <s v="Agencia de Calidad de la Educación"/>
    <s v="Evolución de Puntaje SIMCE de Lectura por Dependencia de Establecimientos para 2° Medio en la Región de Los Lagos, Periodo 2015-2018"/>
    <s v="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
    <s v="Gráfico de Evolución"/>
    <s v="Región de Los Lagos,educación media,segundo medio,puntaje,lectura,municipal,subvencionado,corporación,lenguaje,particular,Agencia Información,Educación,SIMCE,Métricas de la Educación"/>
    <s v="https://analytics.zoho.com/open-view/2395394000009042568?ZOHO_CRITERIA=%22Localiza%20CL%22.%22Codreg%22%3D10"/>
    <x v="27"/>
    <s v="#1774B9"/>
  </r>
  <r>
    <s v="0556"/>
    <n v="990"/>
    <s v="Agencia Información"/>
    <s v="Educación"/>
    <n v="11"/>
    <x v="34"/>
    <x v="1"/>
    <x v="1"/>
    <x v="11"/>
    <x v="3"/>
    <x v="44"/>
    <s v="Periodo 2015-2018"/>
    <s v="Puntaje"/>
    <s v="Agencia de Calidad de la Educación"/>
    <s v="Evolución de Puntaje SIMCE de Lectura por Dependencia de Establecimientos para 2° Medio en la Región de Aysén, Periodo 2015-2018"/>
    <s v="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
    <s v="Gráfico de Evolución"/>
    <s v="Región de Aysén,educación media,segundo medio,puntaje,lectura,municipal,subvencionado,corporación,lenguaje,particular,Agencia Información,Educación,SIMCE,Métricas de la Educación"/>
    <s v="https://analytics.zoho.com/open-view/2395394000009042568?ZOHO_CRITERIA=%22Localiza%20CL%22.%22Codreg%22%3D11"/>
    <x v="33"/>
    <s v="#1774B9"/>
  </r>
  <r>
    <s v="0557"/>
    <n v="990"/>
    <s v="Agencia Información"/>
    <s v="Educación"/>
    <n v="12"/>
    <x v="34"/>
    <x v="1"/>
    <x v="1"/>
    <x v="12"/>
    <x v="3"/>
    <x v="44"/>
    <s v="Periodo 2015-2018"/>
    <s v="Puntaje"/>
    <s v="Agencia de Calidad de la Educación"/>
    <s v="Evolución de Puntaje SIMCE de Lectura por Dependencia de Establecimientos para 2° Medio en la Región de Magallanes, Periodo 2015-2018"/>
    <s v="En la región de Magallanes, el puntaje promedio obtenido por los colegios Particulares en la prueba SIMCE de lectura rendida por los 2° Medio, desde los años 2015 - 2018, se encuentra sobre los 185 puntos, superando por más de 50 puntos a los Municipales."/>
    <s v="Gráfico de Evolución"/>
    <s v="Región de Magallanes,educación media,segundo medio,puntaje,lectura,municipal,subvencionado,corporación,lenguaje,particular,Agencia Información,Educación,SIMCE,Métricas de la Educación"/>
    <s v="https://analytics.zoho.com/open-view/2395394000009042568?ZOHO_CRITERIA=%22Localiza%20CL%22.%22Codreg%22%3D12"/>
    <x v="28"/>
    <s v="#1774B9"/>
  </r>
  <r>
    <s v="0558"/>
    <n v="990"/>
    <s v="Agencia Información"/>
    <s v="Educación"/>
    <n v="13"/>
    <x v="34"/>
    <x v="1"/>
    <x v="1"/>
    <x v="13"/>
    <x v="3"/>
    <x v="44"/>
    <s v="Periodo 2015-2018"/>
    <s v="Puntaje"/>
    <s v="Agencia de Calidad de la Educación"/>
    <s v="Evolución de Puntaje SIMCE de Lectura por Dependencia de Establecimientos para 2° Medio en la Región Metropolitana, Periodo 2015-2018"/>
    <s v="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
    <s v="Gráfico de Evolución"/>
    <s v="Región Metropolitana,educación media,segundo medio,puntaje,lectura,municipal,subvencionado,corporación,lenguaje,particular,Agencia Información,Educación,SIMCE,Métricas de la Educación"/>
    <s v="https://analytics.zoho.com/open-view/2395394000009042568?ZOHO_CRITERIA=%22Localiza%20CL%22.%22Codreg%22%3D13"/>
    <x v="29"/>
    <s v="#1774B9"/>
  </r>
  <r>
    <s v="0559"/>
    <n v="990"/>
    <s v="Agencia Información"/>
    <s v="Educación"/>
    <n v="14"/>
    <x v="34"/>
    <x v="1"/>
    <x v="1"/>
    <x v="14"/>
    <x v="3"/>
    <x v="44"/>
    <s v="Periodo 2015-2018"/>
    <s v="Puntaje"/>
    <s v="Agencia de Calidad de la Educación"/>
    <s v="Evolución de Puntaje SIMCE de Lectura por Dependencia de Establecimientos para 2° Medio en la Región de Los Ríos, Periodo 2015-2018"/>
    <s v="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
    <s v="Gráfico de Evolución"/>
    <s v="Región de Los Ríos,educación media,segundo medio,puntaje,lectura,municipal,subvencionado,corporación,lenguaje,particular,Agencia Información,Educación,SIMCE,Métricas de la Educación"/>
    <s v="https://analytics.zoho.com/open-view/2395394000009042568?ZOHO_CRITERIA=%22Localiza%20CL%22.%22Codreg%22%3D14"/>
    <x v="30"/>
    <s v="#1774B9"/>
  </r>
  <r>
    <s v="0560"/>
    <n v="990"/>
    <s v="Agencia Información"/>
    <s v="Educación"/>
    <n v="15"/>
    <x v="34"/>
    <x v="1"/>
    <x v="1"/>
    <x v="15"/>
    <x v="3"/>
    <x v="44"/>
    <s v="Periodo 2015-2018"/>
    <s v="Puntaje"/>
    <s v="Agencia de Calidad de la Educación"/>
    <s v="Evolución de Puntaje SIMCE de Lectura por Dependencia de Establecimientos para 2° Medio en la Región de Arica y Parinacota, Periodo 2015-2018"/>
    <s v="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
    <s v="Gráfico de Evolución"/>
    <s v="Región de Arica y Parinacota,educación media,segundo medio,puntaje,lectura,municipal,subvencionado,corporación,lenguaje,particular,Agencia Información,Educación,SIMCE,Métricas de la Educación"/>
    <s v="https://analytics.zoho.com/open-view/2395394000009042568?ZOHO_CRITERIA=%22Localiza%20CL%22.%22Codreg%22%3D15"/>
    <x v="31"/>
    <s v="#1774B9"/>
  </r>
  <r>
    <s v="0561"/>
    <n v="990"/>
    <s v="Agencia Información"/>
    <s v="Educación"/>
    <n v="16"/>
    <x v="34"/>
    <x v="1"/>
    <x v="1"/>
    <x v="16"/>
    <x v="3"/>
    <x v="44"/>
    <s v="Periodo 2015-2018"/>
    <s v="Puntaje"/>
    <s v="Agencia de Calidad de la Educación"/>
    <s v="Evolución de Puntaje SIMCE de Lectura por Dependencia de Establecimientos para 2° Medio en la Región de Ñuble, Periodo 2015-2018"/>
    <s v="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
    <s v="Gráfico de Evolución"/>
    <s v="Región de Ñuble,educación media,segundo medio,puntaje,lectura,municipal,subvencionado,corporación,lenguaje,particular,Agencia Información,Educación,SIMCE,Métricas de la Educación"/>
    <s v="https://analytics.zoho.com/open-view/2395394000009042568?ZOHO_CRITERIA=%22Localiza%20CL%22.%22Codreg%22%3D16"/>
    <x v="32"/>
    <s v="#1774B9"/>
  </r>
  <r>
    <s v="0562"/>
    <n v="990"/>
    <s v="Agencia Información"/>
    <s v="Educación"/>
    <n v="0"/>
    <x v="34"/>
    <x v="1"/>
    <x v="0"/>
    <x v="0"/>
    <x v="2"/>
    <x v="44"/>
    <s v="Periodo 2015-2018"/>
    <s v="Puntaje"/>
    <s v="Agencia de Calidad de la Educación"/>
    <s v="Evolución de Puntaje SIMCE de Matemáticas por Dependencia de Establecimientos para 2° Medio en Chile, Periodo 2015-201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educación media,segundo medio,puntaje,matemáticas,municipal,subvencionado,corporación,lenguaje,particular,Agencia Información,Educación,SIMCE,Métricas de la Educación"/>
    <s v="https://analytics.zoho.com/open-view/2395394000007946692"/>
    <x v="17"/>
    <s v="#1774B9"/>
  </r>
  <r>
    <s v="0563"/>
    <n v="990"/>
    <s v="Agencia Información"/>
    <s v="Educación"/>
    <n v="1"/>
    <x v="34"/>
    <x v="1"/>
    <x v="1"/>
    <x v="1"/>
    <x v="3"/>
    <x v="44"/>
    <s v="Periodo 2015-2018"/>
    <s v="Puntaje"/>
    <s v="Agencia de Calidad de la Educación"/>
    <s v="Evolución de Puntaje SIMCE de Matemáticas por Dependencia de Establecimientos para 2° Medio en la Región de Tarapacá, Periodo 2015-2018"/>
    <s v="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
    <s v="Gráfico de Evolución"/>
    <s v="Región de Tarapacá,educación media,segundo medio,puntaje,matemáticas,municipal,subvencionado,corporación,lenguaje,particular,Agencia Información,Educación,SIMCE,Métricas de la Educación"/>
    <s v="https://analytics.zoho.com/open-view/2395394000009042688?ZOHO_CRITERIA=%22Localiza%20CL%22.%22Codreg%22%3D1"/>
    <x v="18"/>
    <s v="#1774B9"/>
  </r>
  <r>
    <s v="0564"/>
    <n v="990"/>
    <s v="Agencia Información"/>
    <s v="Educación"/>
    <n v="2"/>
    <x v="34"/>
    <x v="1"/>
    <x v="1"/>
    <x v="2"/>
    <x v="3"/>
    <x v="44"/>
    <s v="Periodo 2015-2018"/>
    <s v="Puntaje"/>
    <s v="Agencia de Calidad de la Educación"/>
    <s v="Evolución de Puntaje SIMCE de Matemáticas por Dependencia de Establecimientos para 2° Medio en la Región de Antofagasta, Periodo 2015-2018"/>
    <s v="En la región de Antofagasta, el puntaje promedio obtenido por los colegios Particulares en la prueba SIMCE de matemática rendida por los 2° Medio, desde los años 2015 - 2018, se encuentra sobre los 234 puntos. "/>
    <s v="Gráfico de Evolución"/>
    <s v="Región de Antofagasta,educación media,segundo medio,puntaje,matemáticas,municipal,subvencionado,corporación,lenguaje,particular,Agencia Información,Educación,SIMCE,Métricas de la Educación"/>
    <s v="https://analytics.zoho.com/open-view/2395394000009042688?ZOHO_CRITERIA=%22Localiza%20CL%22.%22Codreg%22%3D2"/>
    <x v="19"/>
    <s v="#1774B9"/>
  </r>
  <r>
    <s v="0565"/>
    <n v="990"/>
    <s v="Agencia Información"/>
    <s v="Educación"/>
    <n v="3"/>
    <x v="34"/>
    <x v="1"/>
    <x v="1"/>
    <x v="3"/>
    <x v="3"/>
    <x v="44"/>
    <s v="Periodo 2015-2018"/>
    <s v="Puntaje"/>
    <s v="Agencia de Calidad de la Educación"/>
    <s v="Evolución de Puntaje SIMCE de Matemáticas por Dependencia de Establecimientos para 2° Medio en la Región de Atacama, Periodo 2015-2018"/>
    <s v="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
    <s v="Gráfico de Evolución"/>
    <s v="Región de Atacama,educación media,segundo medio,puntaje,matemáticas,municipal,subvencionado,corporación,lenguaje,particular,Agencia Información,Educación,SIMCE,Métricas de la Educación"/>
    <s v="https://analytics.zoho.com/open-view/2395394000009042688?ZOHO_CRITERIA=%22Localiza%20CL%22.%22Codreg%22%3D3"/>
    <x v="20"/>
    <s v="#1774B9"/>
  </r>
  <r>
    <s v="0566"/>
    <n v="990"/>
    <s v="Agencia Información"/>
    <s v="Educación"/>
    <n v="4"/>
    <x v="34"/>
    <x v="1"/>
    <x v="1"/>
    <x v="4"/>
    <x v="3"/>
    <x v="44"/>
    <s v="Periodo 2015-2018"/>
    <s v="Puntaje"/>
    <s v="Agencia de Calidad de la Educación"/>
    <s v="Evolución de Puntaje SIMCE de Matemáticas por Dependencia de Establecimientos para 2° Medio en la Región de Coquimbo, Periodo 2015-2018"/>
    <s v="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
    <s v="Gráfico de Evolución"/>
    <s v="Región de Coquimbo,educación media,segundo medio,puntaje,matemáticas,municipal,subvencionado,corporación,lenguaje,particular,Agencia Información,Educación,SIMCE,Métricas de la Educación"/>
    <s v="https://analytics.zoho.com/open-view/2395394000009042688?ZOHO_CRITERIA=%22Localiza%20CL%22.%22Codreg%22%3D4"/>
    <x v="21"/>
    <s v="#1774B9"/>
  </r>
  <r>
    <s v="0567"/>
    <n v="990"/>
    <s v="Agencia Información"/>
    <s v="Educación"/>
    <n v="5"/>
    <x v="34"/>
    <x v="1"/>
    <x v="1"/>
    <x v="5"/>
    <x v="3"/>
    <x v="44"/>
    <s v="Periodo 2015-2018"/>
    <s v="Puntaje"/>
    <s v="Agencia de Calidad de la Educación"/>
    <s v="Evolución de Puntaje SIMCE de Matemáticas por Dependencia de Establecimientos para 2° Medio en la Región de Valparaíso, Periodo 2015-2018"/>
    <s v="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
    <s v="Gráfico de Evolución"/>
    <s v="Región de Valparaíso,educación media,segundo medio,puntaje,matemáticas,municipal,subvencionado,corporación,lenguaje,particular,Agencia Información,Educación,SIMCE,Métricas de la Educación"/>
    <s v="https://analytics.zoho.com/open-view/2395394000009042688?ZOHO_CRITERIA=%22Localiza%20CL%22.%22Codreg%22%3D5"/>
    <x v="22"/>
    <s v="#1774B9"/>
  </r>
  <r>
    <s v="0568"/>
    <n v="990"/>
    <s v="Agencia Información"/>
    <s v="Educación"/>
    <n v="6"/>
    <x v="34"/>
    <x v="1"/>
    <x v="1"/>
    <x v="6"/>
    <x v="3"/>
    <x v="44"/>
    <s v="Periodo 2015-2018"/>
    <s v="Puntaje"/>
    <s v="Agencia de Calidad de la Educación"/>
    <s v="Evolución de Puntaje SIMCE de Matemáticas por Dependencia de Establecimientos para 2° Medio en la Región de O'Higgins, Periodo 2015-2018"/>
    <s v="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
    <s v="Gráfico de Evolución"/>
    <s v="Región de O'Higgins,educación media,segundo medio,puntaje,matemáticas,municipal,subvencionado,corporación,lenguaje,particular,Agencia Información,Educación,SIMCE,Métricas de la Educación"/>
    <s v="https://analytics.zoho.com/open-view/2395394000009042688?ZOHO_CRITERIA=%22Localiza%20CL%22.%22Codreg%22%3D6"/>
    <x v="23"/>
    <s v="#1774B9"/>
  </r>
  <r>
    <s v="0569"/>
    <n v="990"/>
    <s v="Agencia Información"/>
    <s v="Educación"/>
    <n v="7"/>
    <x v="34"/>
    <x v="1"/>
    <x v="1"/>
    <x v="7"/>
    <x v="3"/>
    <x v="44"/>
    <s v="Periodo 2015-2018"/>
    <s v="Puntaje"/>
    <s v="Agencia de Calidad de la Educación"/>
    <s v="Evolución de Puntaje SIMCE de Matemáticas por Dependencia de Establecimientos para 2° Medio en la Región de Maule, Periodo 2015-2018"/>
    <s v="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
    <s v="Gráfico de Evolución"/>
    <s v="Región de Maule,educación media,segundo medio,puntaje,matemáticas,municipal,subvencionado,corporación,lenguaje,particular,Agencia Información,Educación,SIMCE,Métricas de la Educación"/>
    <s v="https://analytics.zoho.com/open-view/2395394000009042688?ZOHO_CRITERIA=%22Localiza%20CL%22.%22Codreg%22%3D7"/>
    <x v="24"/>
    <s v="#1774B9"/>
  </r>
  <r>
    <s v="0570"/>
    <n v="990"/>
    <s v="Agencia Información"/>
    <s v="Educación"/>
    <n v="8"/>
    <x v="34"/>
    <x v="1"/>
    <x v="1"/>
    <x v="8"/>
    <x v="3"/>
    <x v="44"/>
    <s v="Periodo 2015-2018"/>
    <s v="Puntaje"/>
    <s v="Agencia de Calidad de la Educación"/>
    <s v="Evolución de Puntaje SIMCE de Matemáticas por Dependencia de Establecimientos para 2° Medio en la Región del Biobío, Periodo 2015-2018"/>
    <s v="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
    <s v="Gráfico de Evolución"/>
    <s v="Región del Biobío,educación media,segundo medio,puntaje,matemáticas,municipal,subvencionado,corporación,lenguaje,particular,Agencia Información,Educación,SIMCE,Métricas de la Educación"/>
    <s v="https://analytics.zoho.com/open-view/2395394000009042688?ZOHO_CRITERIA=%22Localiza%20CL%22.%22Codreg%22%3D8"/>
    <x v="25"/>
    <s v="#1774B9"/>
  </r>
  <r>
    <s v="0571"/>
    <n v="990"/>
    <s v="Agencia Información"/>
    <s v="Educación"/>
    <n v="9"/>
    <x v="34"/>
    <x v="1"/>
    <x v="1"/>
    <x v="9"/>
    <x v="3"/>
    <x v="44"/>
    <s v="Periodo 2015-2018"/>
    <s v="Puntaje"/>
    <s v="Agencia de Calidad de la Educación"/>
    <s v="Evolución de Puntaje SIMCE de Matemáticas por Dependencia de Establecimientos para 2° Medio en la Región de La Araucanía, Periodo 2015-2018"/>
    <s v="En la región de La Araucanía, el puntaje promedio obtenido por los colegios Particulares en la prueba SIMCE de matemática rendida por los 2° Medio, desde los años 2015 - 2018, se encuentra sobre los 310 puntos, superando por más de 114 puntos a los colegios Municipales."/>
    <s v="Gráfico de Evolución"/>
    <s v="Región de La Araucanía,educación media,segundo medio,puntaje,matemáticas,municipal,subvencionado,corporación,lenguaje,particular,Agencia Información,Educación,SIMCE,Métricas de la Educación"/>
    <s v="https://analytics.zoho.com/open-view/2395394000009042688?ZOHO_CRITERIA=%22Localiza%20CL%22.%22Codreg%22%3D9"/>
    <x v="26"/>
    <s v="#1774B9"/>
  </r>
  <r>
    <s v="0572"/>
    <n v="990"/>
    <s v="Agencia Información"/>
    <s v="Educación"/>
    <n v="10"/>
    <x v="34"/>
    <x v="1"/>
    <x v="1"/>
    <x v="10"/>
    <x v="3"/>
    <x v="44"/>
    <s v="Periodo 2015-2018"/>
    <s v="Puntaje"/>
    <s v="Agencia de Calidad de la Educación"/>
    <s v="Evolución de Puntaje SIMCE de Matemáticas por Dependencia de Establecimientos para 2° Medio en la Región de Los Lagos, Periodo 2015-2018"/>
    <s v="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
    <s v="Gráfico de Evolución"/>
    <s v="Región de Los Lagos,educación media,segundo medio,puntaje,matemáticas,municipal,subvencionado,corporación,lenguaje,particular,Agencia Información,Educación,SIMCE,Métricas de la Educación"/>
    <s v="https://analytics.zoho.com/open-view/2395394000009042688?ZOHO_CRITERIA=%22Localiza%20CL%22.%22Codreg%22%3D10"/>
    <x v="27"/>
    <s v="#1774B9"/>
  </r>
  <r>
    <s v="0573"/>
    <n v="990"/>
    <s v="Agencia Información"/>
    <s v="Educación"/>
    <n v="11"/>
    <x v="34"/>
    <x v="1"/>
    <x v="1"/>
    <x v="11"/>
    <x v="3"/>
    <x v="44"/>
    <s v="Periodo 2015-2018"/>
    <s v="Puntaje"/>
    <s v="Agencia de Calidad de la Educación"/>
    <s v="Evolución de Puntaje SIMCE de Matemáticas por Dependencia de Establecimientos para 2° Medio en la Región de Aysén, Periodo 2015-2018"/>
    <s v="En la región de Aysén, el puntaje promedio obtenido por los colegios Subvencionados en la prueba SIMCE de matemática rendida por los 2° Medio, desde los años 2015 - 2018, se encuentra sobre los 158 puntos."/>
    <s v="Gráfico de Evolución"/>
    <s v="Región de Aysén,educación media,segundo medio,puntaje,matemáticas,municipal,subvencionado,corporación,lenguaje,particular,Agencia Información,Educación,SIMCE,Métricas de la Educación"/>
    <s v="https://analytics.zoho.com/open-view/2395394000009042688?ZOHO_CRITERIA=%22Localiza%20CL%22.%22Codreg%22%3D11"/>
    <x v="33"/>
    <s v="#1774B9"/>
  </r>
  <r>
    <s v="0574"/>
    <n v="990"/>
    <s v="Agencia Información"/>
    <s v="Educación"/>
    <n v="12"/>
    <x v="34"/>
    <x v="1"/>
    <x v="1"/>
    <x v="12"/>
    <x v="3"/>
    <x v="44"/>
    <s v="Periodo 2015-2018"/>
    <s v="Puntaje"/>
    <s v="Agencia de Calidad de la Educación"/>
    <s v="Evolución de Puntaje SIMCE de Matemáticas por Dependencia de Establecimientos para 2° Medio en la Región de Magallanes, Periodo 2015-2018"/>
    <s v="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
    <s v="Gráfico de Evolución"/>
    <s v="Región de Magallanes,educación media,segundo medio,puntaje,matemáticas,municipal,subvencionado,corporación,lenguaje,particular,Agencia Información,Educación,SIMCE,Métricas de la Educación"/>
    <s v="https://analytics.zoho.com/open-view/2395394000009042688?ZOHO_CRITERIA=%22Localiza%20CL%22.%22Codreg%22%3D12"/>
    <x v="28"/>
    <s v="#1774B9"/>
  </r>
  <r>
    <s v="0575"/>
    <n v="990"/>
    <s v="Agencia Información"/>
    <s v="Educación"/>
    <n v="13"/>
    <x v="34"/>
    <x v="1"/>
    <x v="1"/>
    <x v="13"/>
    <x v="3"/>
    <x v="44"/>
    <s v="Periodo 2015-2018"/>
    <s v="Puntaje"/>
    <s v="Agencia de Calidad de la Educación"/>
    <s v="Evolución de Puntaje SIMCE de Matemáticas por Dependencia de Establecimientos para 2° Medio en la Región Metropolitana, Periodo 2015-2018"/>
    <s v="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
    <s v="Gráfico de Evolución"/>
    <s v="Región Metropolitana,educación media,segundo medio,puntaje,matemáticas,municipal,subvencionado,corporación,lenguaje,particular,Agencia Información,Educación,SIMCE,Métricas de la Educación"/>
    <s v="https://analytics.zoho.com/open-view/2395394000009042688?ZOHO_CRITERIA=%22Localiza%20CL%22.%22Codreg%22%3D13"/>
    <x v="29"/>
    <s v="#1774B9"/>
  </r>
  <r>
    <s v="0576"/>
    <n v="990"/>
    <s v="Agencia Información"/>
    <s v="Educación"/>
    <n v="14"/>
    <x v="34"/>
    <x v="1"/>
    <x v="1"/>
    <x v="14"/>
    <x v="3"/>
    <x v="44"/>
    <s v="Periodo 2015-2018"/>
    <s v="Puntaje"/>
    <s v="Agencia de Calidad de la Educación"/>
    <s v="Evolución de Puntaje SIMCE de Matemáticas por Dependencia de Establecimientos para 2° Medio en la Región de Los Ríos, Periodo 2015-2018"/>
    <s v="En la región de Los Ríos, el puntaje promedio obtenido por los colegios Particulares en la prueba SIMCE de matemática rendida por los 2° Medio, desde los años 2015 - 2018, se encuentra sobre los 295 puntos, superando por más de 115 puntos a los colegios Municipales."/>
    <s v="Gráfico de Evolución"/>
    <s v="Región de Los Ríos,educación media,segundo medio,puntaje,matemáticas,municipal,subvencionado,corporación,lenguaje,particular,Agencia Información,Educación,SIMCE,Métricas de la Educación"/>
    <s v="https://analytics.zoho.com/open-view/2395394000009042688?ZOHO_CRITERIA=%22Localiza%20CL%22.%22Codreg%22%3D14"/>
    <x v="30"/>
    <s v="#1774B9"/>
  </r>
  <r>
    <s v="0577"/>
    <n v="990"/>
    <s v="Agencia Información"/>
    <s v="Educación"/>
    <n v="15"/>
    <x v="34"/>
    <x v="1"/>
    <x v="1"/>
    <x v="15"/>
    <x v="3"/>
    <x v="44"/>
    <s v="Periodo 2015-2018"/>
    <s v="Puntaje"/>
    <s v="Agencia de Calidad de la Educación"/>
    <s v="Evolución de Puntaje SIMCE de Matemáticas por Dependencia de Establecimientos para 2° Medio en la Región de Arica y Parinacota, Periodo 2015-2018"/>
    <s v="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
    <s v="Gráfico de Evolución"/>
    <s v="Región de Arica y Parinacota,educación media,segundo medio,puntaje,matemáticas,municipal,subvencionado,corporación,lenguaje,particular,Agencia Información,Educación,SIMCE,Métricas de la Educación"/>
    <s v="https://analytics.zoho.com/open-view/2395394000009042688?ZOHO_CRITERIA=%22Localiza%20CL%22.%22Codreg%22%3D15"/>
    <x v="31"/>
    <s v="#1774B9"/>
  </r>
  <r>
    <s v="0578"/>
    <n v="990"/>
    <s v="Agencia Información"/>
    <s v="Educación"/>
    <n v="16"/>
    <x v="34"/>
    <x v="1"/>
    <x v="1"/>
    <x v="16"/>
    <x v="3"/>
    <x v="44"/>
    <s v="Periodo 2015-2018"/>
    <s v="Puntaje"/>
    <s v="Agencia de Calidad de la Educación"/>
    <s v="Evolución de Puntaje SIMCE de Matemáticas por Dependencia de Establecimientos para 2° Medio en la Región de Ñuble, Periodo 2015-2018"/>
    <s v="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
    <s v="Gráfico de Evolución"/>
    <s v="Región de Ñuble,educación media,segundo medio,puntaje,matemáticas,municipal,subvencionado,corporación,lenguaje,particular,Agencia Información,Educación,SIMCE,Métricas de la Educación"/>
    <s v="https://analytics.zoho.com/open-view/2395394000009042688?ZOHO_CRITERIA=%22Localiza%20CL%22.%22Codreg%22%3D16"/>
    <x v="32"/>
    <s v="#1774B9"/>
  </r>
  <r>
    <s v="0579"/>
    <n v="990"/>
    <s v="Agencia Información"/>
    <s v="Educación"/>
    <n v="0"/>
    <x v="40"/>
    <x v="1"/>
    <x v="0"/>
    <x v="0"/>
    <x v="3"/>
    <x v="46"/>
    <s v="Periodo 2014-2019"/>
    <s v="Puntaje"/>
    <s v="Agencia de Calidad de la Educación"/>
    <s v="Resumen de Indicadores de Desarrollo Personal y Social por Dependencia de Establecimiento por comuna en Chile, Periodo 2014-2019"/>
    <s v="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
    <s v="Gráfico de Evolución"/>
    <s v="Chile,calidad,puntaje,municipal,subvencionado,corporación,particular,autoestima,convivencia,hábitos,salud,participación,desarrollo,personal,indicadores,Agencia Información,Educación,Indicadores de Desarrollo Personal y Social,Métricas de la Educación"/>
    <s v="https://analytics.zoho.com/open-view/2395394000009042786"/>
    <x v="17"/>
    <s v="#1774B9"/>
  </r>
  <r>
    <s v="0580"/>
    <n v="990"/>
    <s v="Agencia Información"/>
    <s v="Educación"/>
    <n v="1"/>
    <x v="40"/>
    <x v="1"/>
    <x v="1"/>
    <x v="1"/>
    <x v="3"/>
    <x v="46"/>
    <s v="Periodo 2014-2019"/>
    <s v="Puntaje"/>
    <s v="Agencia de Calidad de la Educación"/>
    <s v="Resumen de Indicadores de Desarrollo Personal y Social por Dependencia de Establecimiento por comuna en la Región de Tarapacá, Periodo 2014-2019"/>
    <s v="En la región de Tarapacá, los Indicadores de Desarrollo Personal y Social obtuvieron los valores más altos el año 2017, entre los 64 y 73 puntos promedio, los cuales varían según el tipo de dependencia del establecimiento y por cada establecimiento en particular."/>
    <s v="Gráfico de Evolución"/>
    <s v="Región de Tarapacá,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
    <x v="18"/>
    <s v="#1774B9"/>
  </r>
  <r>
    <s v="0581"/>
    <n v="990"/>
    <s v="Agencia Información"/>
    <s v="Educación"/>
    <n v="2"/>
    <x v="40"/>
    <x v="1"/>
    <x v="1"/>
    <x v="2"/>
    <x v="3"/>
    <x v="46"/>
    <s v="Periodo 2014-2019"/>
    <s v="Puntaje"/>
    <s v="Agencia de Calidad de la Educación"/>
    <s v="Resumen de Indicadores de Desarrollo Personal y Social por Dependencia de Establecimiento por comuna en la Región de Antofagasta, Periodo 2014-2019"/>
    <s v="En la región de Antofagasta, los Indicadores de Desarrollo Personal y Social obtuvieron los valores más altos el año 2017, entre los 67 y 75 puntos promedio, los cuales varían según el tipo de dependencia del establecimiento y por cada establecimiento en particular."/>
    <s v="Gráfico de Evolución"/>
    <s v="Región de Antofagast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2"/>
    <x v="19"/>
    <s v="#1774B9"/>
  </r>
  <r>
    <s v="0582"/>
    <n v="990"/>
    <s v="Agencia Información"/>
    <s v="Educación"/>
    <n v="3"/>
    <x v="40"/>
    <x v="1"/>
    <x v="1"/>
    <x v="3"/>
    <x v="3"/>
    <x v="46"/>
    <s v="Periodo 2014-2019"/>
    <s v="Puntaje"/>
    <s v="Agencia de Calidad de la Educación"/>
    <s v="Resumen de Indicadores de Desarrollo Personal y Social por Dependencia de Establecimiento por comuna en la Región de Atacama, Periodo 2014-2019"/>
    <s v="En la región de Atacama, los Indicadores de Desarrollo Personal y Social obtuvieron los valores más bajos el año 2019, entre los 25 y 29 puntos promedio, los cuales varían según el tipo de dependencia del establecimiento y por cada establecimiento en particular."/>
    <s v="Gráfico de Evolución"/>
    <s v="Región de Atacam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3"/>
    <x v="20"/>
    <s v="#1774B9"/>
  </r>
  <r>
    <s v="0583"/>
    <n v="990"/>
    <s v="Agencia Información"/>
    <s v="Educación"/>
    <n v="4"/>
    <x v="40"/>
    <x v="1"/>
    <x v="1"/>
    <x v="4"/>
    <x v="3"/>
    <x v="46"/>
    <s v="Periodo 2014-2019"/>
    <s v="Puntaje"/>
    <s v="Agencia de Calidad de la Educación"/>
    <s v="Resumen de Indicadores de Desarrollo Personal y Social por Dependencia de Establecimiento por comuna en la Región de Coquimbo,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
    <s v="Gráfico de Evolución"/>
    <s v="Región de Coquimbo,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4"/>
    <x v="21"/>
    <s v="#1774B9"/>
  </r>
  <r>
    <s v="0584"/>
    <n v="990"/>
    <s v="Agencia Información"/>
    <s v="Educación"/>
    <n v="5"/>
    <x v="40"/>
    <x v="1"/>
    <x v="1"/>
    <x v="5"/>
    <x v="3"/>
    <x v="46"/>
    <s v="Periodo 2014-2019"/>
    <s v="Puntaje"/>
    <s v="Agencia de Calidad de la Educación"/>
    <s v="Resumen de Indicadores de Desarrollo Personal y Social por Dependencia de Establecimiento por comuna en la Región de Valparaíso, Periodo 2014-2019"/>
    <s v="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
    <s v="Gráfico de Evolución"/>
    <s v="Región de Valparaíso,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5"/>
    <x v="22"/>
    <s v="#1774B9"/>
  </r>
  <r>
    <s v="0585"/>
    <n v="990"/>
    <s v="Agencia Información"/>
    <s v="Educación"/>
    <n v="6"/>
    <x v="40"/>
    <x v="1"/>
    <x v="1"/>
    <x v="6"/>
    <x v="3"/>
    <x v="46"/>
    <s v="Periodo 2014-2019"/>
    <s v="Puntaje"/>
    <s v="Agencia de Calidad de la Educación"/>
    <s v="Resumen de Indicadores de Desarrollo Personal y Social por Dependencia de Establecimiento por comuna en la Región de O'Higgins, Periodo 2014-2019"/>
    <s v="En la región de O'Higgins, en los Indicadores de Desarrollo Personal y Social, los colegios de Corporación de Administración Delegada obtienen los mayores puntajes, entre los 67 y 81 puntos, en el periodo del 2014 - 2019, los que varían por cada establecimiento en particular."/>
    <s v="Gráfico de Evolución"/>
    <s v="Región de O'Higgin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6"/>
    <x v="23"/>
    <s v="#1774B9"/>
  </r>
  <r>
    <s v="0586"/>
    <n v="990"/>
    <s v="Agencia Información"/>
    <s v="Educación"/>
    <n v="7"/>
    <x v="40"/>
    <x v="1"/>
    <x v="1"/>
    <x v="7"/>
    <x v="3"/>
    <x v="46"/>
    <s v="Periodo 2014-2019"/>
    <s v="Puntaje"/>
    <s v="Agencia de Calidad de la Educación"/>
    <s v="Resumen de Indicadores de Desarrollo Personal y Social por Dependencia de Establecimiento por comuna en la Región de Mau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
    <s v="Gráfico de Evolución"/>
    <s v="Región de Maule,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7"/>
    <x v="24"/>
    <s v="#1774B9"/>
  </r>
  <r>
    <s v="0587"/>
    <n v="990"/>
    <s v="Agencia Información"/>
    <s v="Educación"/>
    <n v="8"/>
    <x v="40"/>
    <x v="1"/>
    <x v="1"/>
    <x v="8"/>
    <x v="3"/>
    <x v="46"/>
    <s v="Periodo 2014-2019"/>
    <s v="Puntaje"/>
    <s v="Agencia de Calidad de la Educación"/>
    <s v="Resumen de Indicadores de Desarrollo Personal y Social por Dependencia de Establecimiento por comuna en la Región del Biobío, Periodo 2014-2019"/>
    <s v="En la región del Biobío, los Indicadores de Desarrollo Personal y Social, en los colegios de Corporación de Administración Delegada obtienen los mayores puntajes, entre los 62 y 78 puntos, en el periodo del 2014 - 2019, los que varían por cada establecimiento en particular."/>
    <s v="Gráfico de Evolución"/>
    <s v="Región del Biobío,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8"/>
    <x v="25"/>
    <s v="#1774B9"/>
  </r>
  <r>
    <s v="0588"/>
    <n v="990"/>
    <s v="Agencia Información"/>
    <s v="Educación"/>
    <n v="9"/>
    <x v="40"/>
    <x v="1"/>
    <x v="1"/>
    <x v="9"/>
    <x v="3"/>
    <x v="46"/>
    <s v="Periodo 2014-2019"/>
    <s v="Puntaje"/>
    <s v="Agencia de Calidad de la Educación"/>
    <s v="Resumen de Indicadores de Desarrollo Personal y Social por Dependencia de Establecimiento por comuna en la Región de La Araucaní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
    <s v="Gráfico de Evolución"/>
    <s v="Región de La Araucaní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9"/>
    <x v="26"/>
    <s v="#1774B9"/>
  </r>
  <r>
    <s v="0589"/>
    <n v="990"/>
    <s v="Agencia Información"/>
    <s v="Educación"/>
    <n v="10"/>
    <x v="40"/>
    <x v="1"/>
    <x v="1"/>
    <x v="10"/>
    <x v="3"/>
    <x v="46"/>
    <s v="Periodo 2014-2019"/>
    <s v="Puntaje"/>
    <s v="Agencia de Calidad de la Educación"/>
    <s v="Resumen de Indicadores de Desarrollo Personal y Social por Dependencia de Establecimiento por comuna en la Región de Los Lag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
    <s v="Gráfico de Evolución"/>
    <s v="Región de Los Lago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0"/>
    <x v="27"/>
    <s v="#1774B9"/>
  </r>
  <r>
    <s v="0590"/>
    <n v="990"/>
    <s v="Agencia Información"/>
    <s v="Educación"/>
    <n v="11"/>
    <x v="40"/>
    <x v="1"/>
    <x v="1"/>
    <x v="11"/>
    <x v="3"/>
    <x v="46"/>
    <s v="Periodo 2014-2019"/>
    <s v="Puntaje"/>
    <s v="Agencia de Calidad de la Educación"/>
    <s v="Resumen de Indicadores de Desarrollo Personal y Social por Dependencia de Establecimiento por comuna en la Región de Aysén, Periodo 2014-2019"/>
    <s v="En la región de Aysén, los Indicadores de Desarrollo Personal y Social, el año 2017, tiene los mayores valores, entre los 65 y 73 puntos promedio, los que varían según el tipo de dependencia del establecimiento y por cada establecimiento en particular."/>
    <s v="Gráfico de Evolución"/>
    <s v="Región de Aysén,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1"/>
    <x v="33"/>
    <s v="#1774B9"/>
  </r>
  <r>
    <s v="0591"/>
    <n v="990"/>
    <s v="Agencia Información"/>
    <s v="Educación"/>
    <n v="12"/>
    <x v="40"/>
    <x v="1"/>
    <x v="1"/>
    <x v="12"/>
    <x v="3"/>
    <x v="46"/>
    <s v="Periodo 2014-2019"/>
    <s v="Puntaje"/>
    <s v="Agencia de Calidad de la Educación"/>
    <s v="Resumen de Indicadores de Desarrollo Personal y Social por Dependencia de Establecimiento por comuna en la Región de Magallanes, Periodo 2014-2019"/>
    <s v="En la región de Magallanes, los Indicadores de Desarrollo Personal y Social, el año 2019, tienen los valores más bajos, entre los 25 y 27 puntos promedio, los que varían según el tipo de dependencia del establecimiento y por cada establecimiento en particular."/>
    <s v="Gráfico de Evolución"/>
    <s v="Región de Magallane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2"/>
    <x v="28"/>
    <s v="#1774B9"/>
  </r>
  <r>
    <s v="0592"/>
    <n v="990"/>
    <s v="Agencia Información"/>
    <s v="Educación"/>
    <n v="13"/>
    <x v="40"/>
    <x v="1"/>
    <x v="1"/>
    <x v="13"/>
    <x v="3"/>
    <x v="46"/>
    <s v="Periodo 2014-2019"/>
    <s v="Puntaje"/>
    <s v="Agencia de Calidad de la Educación"/>
    <s v="Resumen de Indicadores de Desarrollo Personal y Social por Dependencia de Establecimiento por comuna en la Región Metropolitan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
    <s v="Gráfico de Evolución"/>
    <s v="Región Metropolitan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3"/>
    <x v="29"/>
    <s v="#1774B9"/>
  </r>
  <r>
    <s v="0593"/>
    <n v="990"/>
    <s v="Agencia Información"/>
    <s v="Educación"/>
    <n v="14"/>
    <x v="40"/>
    <x v="1"/>
    <x v="1"/>
    <x v="14"/>
    <x v="3"/>
    <x v="46"/>
    <s v="Periodo 2014-2019"/>
    <s v="Puntaje"/>
    <s v="Agencia de Calidad de la Educación"/>
    <s v="Resumen de Indicadores de Desarrollo Personal y Social por Dependencia de Establecimiento por comuna en la Región de Los Rí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
    <s v="Gráfico de Evolución"/>
    <s v="Región de Los Ríos,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4"/>
    <x v="30"/>
    <s v="#1774B9"/>
  </r>
  <r>
    <s v="0594"/>
    <n v="990"/>
    <s v="Agencia Información"/>
    <s v="Educación"/>
    <n v="15"/>
    <x v="40"/>
    <x v="1"/>
    <x v="1"/>
    <x v="15"/>
    <x v="3"/>
    <x v="46"/>
    <s v="Periodo 2014-2019"/>
    <s v="Puntaje"/>
    <s v="Agencia de Calidad de la Educación"/>
    <s v="Resumen de Indicadores de Desarrollo Personal y Social por Dependencia de Establecimiento por comuna en la Región de Arica y Parinacota, Periodo 2014-2019"/>
    <s v="En la región de Arica y Parinacota, los Indicadores de Desarrollo Personal y Social, el año 2017, tiene los mayores valores, entre los 63 y 71 puntos promedio, los que varían según el tipo de dependencia del establecimiento y por cada establecimiento en particular."/>
    <s v="Gráfico de Evolución"/>
    <s v="Región de Arica y Parinacota,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5"/>
    <x v="31"/>
    <s v="#1774B9"/>
  </r>
  <r>
    <s v="0595"/>
    <n v="990"/>
    <s v="Agencia Información"/>
    <s v="Educación"/>
    <n v="16"/>
    <x v="40"/>
    <x v="1"/>
    <x v="1"/>
    <x v="16"/>
    <x v="3"/>
    <x v="46"/>
    <s v="Periodo 2014-2019"/>
    <s v="Puntaje"/>
    <s v="Agencia de Calidad de la Educación"/>
    <s v="Resumen de Indicadores de Desarrollo Personal y Social por Dependencia de Establecimiento por comuna en la Región de Ñub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
    <s v="Gráfico de Evolución"/>
    <s v="Región de Ñuble,calidad,puntaje,municipal,subvencionado,corporación,particular,autoestima,convivencia,hábitos,salud,participación,desarrollo,personal,indicadores,Agencia Información,Educación,Indicadores de Desarrollo Personal y Social,Métricas de la Educación"/>
    <s v="https://analytics.zoho.com/open-view/2395394000007990413?ZOHO_CRITERIA=%22Localiza%20CL%22.%22Codreg%22%3D16"/>
    <x v="32"/>
    <s v="#1774B9"/>
  </r>
  <r>
    <s v="0596"/>
    <n v="990"/>
    <s v="Agencia Información"/>
    <s v="Educación"/>
    <n v="0"/>
    <x v="40"/>
    <x v="1"/>
    <x v="0"/>
    <x v="0"/>
    <x v="0"/>
    <x v="46"/>
    <s v="Periodo 2014-2019"/>
    <s v="Puntaje"/>
    <s v="Agencia de Calidad de la Educación"/>
    <s v="Mapa de distribución geográfica en Chile del Indicador de Autoestima Académica y Motivación Escolar, Periodo 2014-2019"/>
    <s v="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
    <s v="Mapa de calor"/>
    <s v="Chile,calidad,puntaje,autoestima,motivación,escolar,desarrollo,personal,indicador,académica,Agencia Información,Educación,Indicadores de Desarrollo Personal y Social,Métricas de la Educación"/>
    <s v="https://analytics.zoho.com/open-view/2395394000007959800"/>
    <x v="17"/>
    <s v="#1774B9"/>
  </r>
  <r>
    <s v="0597"/>
    <n v="990"/>
    <s v="Agencia Información"/>
    <s v="Educación"/>
    <n v="1"/>
    <x v="40"/>
    <x v="1"/>
    <x v="1"/>
    <x v="1"/>
    <x v="1"/>
    <x v="46"/>
    <s v="Periodo 2014-2019"/>
    <s v="Puntaje"/>
    <s v="Agencia de Calidad de la Educación"/>
    <s v="Mapa de distribución geográfica en la Región de Tarapacá del Indicador de Autoestima Académica y Motivación Escolar, Periodo 2014-2019"/>
    <s v="La comuna de Alto Hospicio presenta el mayor puntaje promedio en el indicador de Autoestima Académica y Motivación para el periodo 2014-2019, con 56,4 puntos, seguido por la comuna de Iquique con 55,2 puntos. Por otro lado, la comuna de Huara presenta el menor puntaje."/>
    <s v="Mapa de calor"/>
    <s v="Región de Tarapacá,calidad,puntaje,autoestima,motivación,escolar,desarrollo,personal,indicador,académica,Agencia Información,Educación,Indicadores de Desarrollo Personal y Social,Métricas de la Educación"/>
    <s v="https://analytics.zoho.com/open-view/2395394000009056027?ZOHO_CRITERIA=%22Localiza%20CL%22.%22Codreg%22%3D1"/>
    <x v="18"/>
    <s v="#1774B9"/>
  </r>
  <r>
    <s v="0598"/>
    <n v="990"/>
    <s v="Agencia Información"/>
    <s v="Educación"/>
    <n v="2"/>
    <x v="40"/>
    <x v="1"/>
    <x v="1"/>
    <x v="2"/>
    <x v="1"/>
    <x v="46"/>
    <s v="Periodo 2014-2019"/>
    <s v="Puntaje"/>
    <s v="Agencia de Calidad de la Educación"/>
    <s v="Mapa de distribución geográfica en la Región de Antofagasta del Indicador de Autoestima Académica y Motivación Escolar, Periodo 2014-2019"/>
    <s v="Las comunas de la región de Antofagasta que están sobre los 55 puntos promedio en el indicador de Autoestima Académica y Motivación para el periodo 2014-2019 son: Antofagasta, Mejillones, Ollagüe y Calama con 55,7; 57,8; 58,4 y 55,5 puntos promedio, respectivamente."/>
    <s v="Mapa de calor"/>
    <s v="Región de Antofagasta,calidad,puntaje,autoestima,motivación,escolar,desarrollo,personal,indicador,académica,Agencia Información,Educación,Indicadores de Desarrollo Personal y Social,Métricas de la Educación"/>
    <s v="https://analytics.zoho.com/open-view/2395394000009056027?ZOHO_CRITERIA=%22Localiza%20CL%22.%22Codreg%22%3D2"/>
    <x v="19"/>
    <s v="#1774B9"/>
  </r>
  <r>
    <s v="0599"/>
    <n v="990"/>
    <s v="Agencia Información"/>
    <s v="Educación"/>
    <n v="3"/>
    <x v="40"/>
    <x v="1"/>
    <x v="1"/>
    <x v="3"/>
    <x v="1"/>
    <x v="46"/>
    <s v="Periodo 2014-2019"/>
    <s v="Puntaje"/>
    <s v="Agencia de Calidad de la Educación"/>
    <s v="Mapa de distribución geográfica en la Región de Atacama del Indicador de Autoestima Académica y Motivación Escolar, Periodo 2014-2019"/>
    <s v="En la región de Atacama, en la medición del indicador de Autoestima Académica y Motivación Escolar, 6 de las 9 comunas de la región obtuvieron sobre 55 puntos promedio, en el periodo 2014-2019. La comuna de Diego de Almagro presenta el mayor puntaje con 57,8 puntos."/>
    <s v="Mapa de calor"/>
    <s v="Región de Atacama,calidad,puntaje,autoestima,motivación,escolar,desarrollo,personal,indicador,académica,Agencia Información,Educación,Indicadores de Desarrollo Personal y Social,Métricas de la Educación"/>
    <s v="https://analytics.zoho.com/open-view/2395394000009056027?ZOHO_CRITERIA=%22Localiza%20CL%22.%22Codreg%22%3D3"/>
    <x v="20"/>
    <s v="#1774B9"/>
  </r>
  <r>
    <s v="0600"/>
    <n v="990"/>
    <s v="Agencia Información"/>
    <s v="Educación"/>
    <n v="4"/>
    <x v="40"/>
    <x v="1"/>
    <x v="1"/>
    <x v="4"/>
    <x v="1"/>
    <x v="46"/>
    <s v="Periodo 2014-2019"/>
    <s v="Puntaje"/>
    <s v="Agencia de Calidad de la Educación"/>
    <s v="Mapa de distribución geográfica en la Región de Coquimbo del Indicador de Autoestima Académica y Motivación Escolar, Periodo 2014-2019"/>
    <s v="La comuna de La Serena presenta el mayor puntaje promedio en el indicador de Autoestima Académica y Motivación para el periodo 2014-2019, con 55 puntos, seguido por la comuna de Coquimbo con 54,8 puntos. Por otro lado, la comuna de Canela presenta el menor puntaje."/>
    <s v="Mapa de calor"/>
    <s v="Región de Coquimbo,calidad,puntaje,autoestima,motivación,escolar,desarrollo,personal,indicador,académica,Agencia Información,Educación,Indicadores de Desarrollo Personal y Social,Métricas de la Educación"/>
    <s v="https://analytics.zoho.com/open-view/2395394000009056027?ZOHO_CRITERIA=%22Localiza%20CL%22.%22Codreg%22%3D4"/>
    <x v="21"/>
    <s v="#1774B9"/>
  </r>
  <r>
    <s v="0601"/>
    <n v="990"/>
    <s v="Agencia Información"/>
    <s v="Educación"/>
    <n v="5"/>
    <x v="40"/>
    <x v="1"/>
    <x v="1"/>
    <x v="5"/>
    <x v="1"/>
    <x v="46"/>
    <s v="Periodo 2014-2019"/>
    <s v="Puntaje"/>
    <s v="Agencia de Calidad de la Educación"/>
    <s v="Mapa de distribución geográfica en la Región de Valparaíso del Indicador de Autoestima Académica y Motivación Escolar, Periodo 2014-2019"/>
    <s v="Isla de Pascua presenta 57,2 puntos promedio en el indicador de Autoestima Académica y Motivación para el periodo 2014-2019. Por otro lado Juan Fernández presenta 57,8 puntos. Ambas comunas insulares se sitúan sobre la media de la región."/>
    <s v="Mapa de calor"/>
    <s v="Región de Valparaíso,calidad,puntaje,autoestima,motivación,escolar,desarrollo,personal,indicador,académica,Agencia Información,Educación,Indicadores de Desarrollo Personal y Social,Métricas de la Educación"/>
    <s v="https://analytics.zoho.com/open-view/2395394000009056027?ZOHO_CRITERIA=%22Localiza%20CL%22.%22Codreg%22%3D5"/>
    <x v="22"/>
    <s v="#1774B9"/>
  </r>
  <r>
    <s v="0602"/>
    <n v="990"/>
    <s v="Agencia Información"/>
    <s v="Educación"/>
    <n v="6"/>
    <x v="40"/>
    <x v="1"/>
    <x v="1"/>
    <x v="6"/>
    <x v="1"/>
    <x v="46"/>
    <s v="Periodo 2014-2019"/>
    <s v="Puntaje"/>
    <s v="Agencia de Calidad de la Educación"/>
    <s v="Mapa de distribución geográfica en la Región de O'Higgins del Indicador de Autoestima Académica y Motivación Escolar, Periodo 2014-2019"/>
    <s v="Mapa de la distribución geográfica en la Región de O'Higgins del Indicador de Autoestima Académica y Motivación Escolar, Periodo 2014-2019."/>
    <s v="Mapa de calor"/>
    <s v="Región de O'Higgins,calidad,puntaje,autoestima,motivación,escolar,desarrollo,personal,indicador,académica,Agencia Información,Educación,Indicadores de Desarrollo Personal y Social,Métricas de la Educación"/>
    <s v="https://analytics.zoho.com/open-view/2395394000009056027?ZOHO_CRITERIA=%22Localiza%20CL%22.%22Codreg%22%3D6"/>
    <x v="23"/>
    <s v="#1774B9"/>
  </r>
  <r>
    <s v="0603"/>
    <n v="990"/>
    <s v="Agencia Información"/>
    <s v="Educación"/>
    <n v="7"/>
    <x v="40"/>
    <x v="1"/>
    <x v="1"/>
    <x v="7"/>
    <x v="1"/>
    <x v="46"/>
    <s v="Periodo 2014-2019"/>
    <s v="Puntaje"/>
    <s v="Agencia de Calidad de la Educación"/>
    <s v="Mapa de distribución geográfica en la Región de Maule del Indicador de Autoestima Académica y Motivación Escolar, Periodo 2014-2019"/>
    <s v="La comuna de Teno presenta el mayor puntaje en el indicador de Autoestima Académica y Motivación para el periodo 2014-2019, con 58,1 puntos promedio. Por otro lado, la comuna de Curepto presenta el menor puntaje promedio, con 43,3 puntos."/>
    <s v="Mapa de calor"/>
    <s v="Región de Maule,calidad,puntaje,autoestima,motivación,escolar,desarrollo,personal,indicador,académica,Agencia Información,Educación,Indicadores de Desarrollo Personal y Social,Métricas de la Educación"/>
    <s v="https://analytics.zoho.com/open-view/2395394000009056027?ZOHO_CRITERIA=%22Localiza%20CL%22.%22Codreg%22%3D7"/>
    <x v="24"/>
    <s v="#1774B9"/>
  </r>
  <r>
    <s v="0604"/>
    <n v="990"/>
    <s v="Agencia Información"/>
    <s v="Educación"/>
    <n v="8"/>
    <x v="40"/>
    <x v="1"/>
    <x v="1"/>
    <x v="8"/>
    <x v="1"/>
    <x v="46"/>
    <s v="Periodo 2014-2019"/>
    <s v="Puntaje"/>
    <s v="Agencia de Calidad de la Educación"/>
    <s v="Mapa de distribución geográfica en la Región del Biobío del Indicador de Autoestima Académica y Motivación Escolar, Periodo 2014-2019"/>
    <s v="Las comunas de Penco y Negrete presentan el mayor puntaje en el indicador de Autoestima Académica y Motivación para el periodo 2014-2019, con 55,9 puntos promedio. Por otro lado, la comuna de San Rosendo presenta el menor puntaje promedio, con 42,2 puntos."/>
    <s v="Mapa de calor"/>
    <s v="Región del Biobío,calidad,puntaje,autoestima,motivación,escolar,desarrollo,personal,indicador,académica,Agencia Información,Educación,Indicadores de Desarrollo Personal y Social,Métricas de la Educación"/>
    <s v="https://analytics.zoho.com/open-view/2395394000009056027?ZOHO_CRITERIA=%22Localiza%20CL%22.%22Codreg%22%3D8"/>
    <x v="25"/>
    <s v="#1774B9"/>
  </r>
  <r>
    <s v="0605"/>
    <n v="990"/>
    <s v="Agencia Información"/>
    <s v="Educación"/>
    <n v="9"/>
    <x v="40"/>
    <x v="1"/>
    <x v="1"/>
    <x v="9"/>
    <x v="1"/>
    <x v="46"/>
    <s v="Periodo 2014-2019"/>
    <s v="Puntaje"/>
    <s v="Agencia de Calidad de la Educación"/>
    <s v="Mapa de distribución geográfica en la Región de La Araucanía del Indicador de Autoestima Académica y Motivación Escolar, Periodo 2014-2019"/>
    <s v="Mapa de la distribución geográfica en la Región de La Araucanía del Indicador de Autoestima Académica y Motivación Escolar, Periodo 2014-2019. Datos de la Agencia de Calidad de la Educación."/>
    <s v="Mapa de calor"/>
    <s v="Región de La Araucanía,calidad,puntaje,autoestima,motivación,escolar,desarrollo,personal,indicador,académica,Agencia Información,Educación,Indicadores de Desarrollo Personal y Social,Métricas de la Educación"/>
    <s v="https://analytics.zoho.com/open-view/2395394000009056027?ZOHO_CRITERIA=%22Localiza%20CL%22.%22Codreg%22%3D9"/>
    <x v="26"/>
    <s v="#1774B9"/>
  </r>
  <r>
    <s v="0606"/>
    <n v="990"/>
    <s v="Agencia Información"/>
    <s v="Educación"/>
    <n v="10"/>
    <x v="40"/>
    <x v="1"/>
    <x v="1"/>
    <x v="10"/>
    <x v="1"/>
    <x v="46"/>
    <s v="Periodo 2014-2019"/>
    <s v="Puntaje"/>
    <s v="Agencia de Calidad de la Educación"/>
    <s v="Mapa de distribución geográfica en la Región de Los Lagos del Indicador de Autoestima Académica y Motivación Escolar, Periodo 2014-2019"/>
    <s v="La comuna de Osorno presenta el mayor puntaje promedio del indicador de Autoestima Académica y Motivación en el periodo 2014-2019, con 52,8 puntos promedio. Por otro lado, la comuna de Cochamó presenta el menor puntaje promedio, con 36,7 puntos."/>
    <s v="Mapa de calor"/>
    <s v="Región de Los Lagos,calidad,puntaje,autoestima,motivación,escolar,desarrollo,personal,indicador,académica,Agencia Información,Educación,Indicadores de Desarrollo Personal y Social,Métricas de la Educación"/>
    <s v="https://analytics.zoho.com/open-view/2395394000009056027?ZOHO_CRITERIA=%22Localiza%20CL%22.%22Codreg%22%3D10"/>
    <x v="27"/>
    <s v="#1774B9"/>
  </r>
  <r>
    <s v="0607"/>
    <n v="990"/>
    <s v="Agencia Información"/>
    <s v="Educación"/>
    <n v="11"/>
    <x v="40"/>
    <x v="1"/>
    <x v="1"/>
    <x v="11"/>
    <x v="1"/>
    <x v="46"/>
    <s v="Periodo 2014-2019"/>
    <s v="Puntaje"/>
    <s v="Agencia de Calidad de la Educación"/>
    <s v="Mapa de distribución geográfica en la Región de Aysén del Indicador de Autoestima Académica y Motivación Escolar, Periodo 2014-2019"/>
    <s v="Las comunas de la región de Aysén que están sobre los 55 puntos promedio del indicador de Autoestima Académica y Motivación, en el periodo 2014-2019, son: Tortel y O'Higgins con 57,2 y 56,5 puntos promedio, respectivamente."/>
    <s v="Mapa de calor"/>
    <s v="Región de Aysén,calidad,puntaje,autoestima,motivación,escolar,desarrollo,personal,indicador,académica,Agencia Información,Educación,Indicadores de Desarrollo Personal y Social,Métricas de la Educación"/>
    <s v="https://analytics.zoho.com/open-view/2395394000009056027?ZOHO_CRITERIA=%22Localiza%20CL%22.%22Codreg%22%3D11"/>
    <x v="33"/>
    <s v="#1774B9"/>
  </r>
  <r>
    <s v="0608"/>
    <n v="990"/>
    <s v="Agencia Información"/>
    <s v="Educación"/>
    <n v="12"/>
    <x v="40"/>
    <x v="1"/>
    <x v="1"/>
    <x v="12"/>
    <x v="1"/>
    <x v="46"/>
    <s v="Periodo 2014-2019"/>
    <s v="Puntaje"/>
    <s v="Agencia de Calidad de la Educación"/>
    <s v="Mapa de distribución geográfica en la Región de Magallanes del Indicador de Autoestima Académica y Motivación Escolar, Periodo 2014-2019"/>
    <s v="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
    <s v="Mapa de calor"/>
    <s v="Región de Magallanes,calidad,puntaje,autoestima,motivación,escolar,desarrollo,personal,indicador,académica,Agencia Información,Educación,Indicadores de Desarrollo Personal y Social,Métricas de la Educación"/>
    <s v="https://analytics.zoho.com/open-view/2395394000009056027?ZOHO_CRITERIA=%22Localiza%20CL%22.%22Codreg%22%3D12"/>
    <x v="28"/>
    <s v="#1774B9"/>
  </r>
  <r>
    <s v="0609"/>
    <n v="990"/>
    <s v="Agencia Información"/>
    <s v="Educación"/>
    <n v="13"/>
    <x v="40"/>
    <x v="1"/>
    <x v="1"/>
    <x v="13"/>
    <x v="1"/>
    <x v="46"/>
    <s v="Periodo 2014-2019"/>
    <s v="Puntaje"/>
    <s v="Agencia de Calidad de la Educación"/>
    <s v="Mapa de distribución geográfica en la Región Metropolitana del Indicador de Autoestima Académica y Motivación Escolar, Periodo 2014-2019"/>
    <s v="La comuna de San Pedro presenta el mayor puntaje promedio del indicador de Autoestima Académica y Motivación, en el periodo 2014-2019, con 58,1 puntos promedio. Por otro lado, la comuna de Tiltil presenta el menor puntaje promedio, con 50,4 puntos."/>
    <s v="Mapa de calor"/>
    <s v="Región Metropolitana,calidad,puntaje,autoestima,motivación,escolar,desarrollo,personal,indicador,académica,Agencia Información,Educación,Indicadores de Desarrollo Personal y Social,Métricas de la Educación"/>
    <s v="https://analytics.zoho.com/open-view/2395394000009056027?ZOHO_CRITERIA=%22Localiza%20CL%22.%22Codreg%22%3D13"/>
    <x v="29"/>
    <s v="#1774B9"/>
  </r>
  <r>
    <s v="0610"/>
    <n v="990"/>
    <s v="Agencia Información"/>
    <s v="Educación"/>
    <n v="14"/>
    <x v="40"/>
    <x v="1"/>
    <x v="1"/>
    <x v="14"/>
    <x v="1"/>
    <x v="46"/>
    <s v="Periodo 2014-2019"/>
    <s v="Puntaje"/>
    <s v="Agencia de Calidad de la Educación"/>
    <s v="Mapa de distribución geográfica en la Región de Los Ríos del Indicador de Autoestima Académica y Motivación Escolar, Periodo 2014-2019"/>
    <s v="Mapa de la distribución geográfica en la Región de Los Ríos del Indicador de Autoestima Académica y Motivación Escolar, Periodo 2014-2019. Datos de la Agencia de Calidad de la Educación."/>
    <s v="Mapa de calor"/>
    <s v="Región de Los Ríos,calidad,puntaje,autoestima,motivación,escolar,desarrollo,personal,indicador,académica,Agencia Información,Educación,Indicadores de Desarrollo Personal y Social,Métricas de la Educación"/>
    <s v="https://analytics.zoho.com/open-view/2395394000009056027?ZOHO_CRITERIA=%22Localiza%20CL%22.%22Codreg%22%3D14"/>
    <x v="30"/>
    <s v="#1774B9"/>
  </r>
  <r>
    <s v="0611"/>
    <n v="990"/>
    <s v="Agencia Información"/>
    <s v="Educación"/>
    <n v="15"/>
    <x v="40"/>
    <x v="1"/>
    <x v="1"/>
    <x v="15"/>
    <x v="1"/>
    <x v="46"/>
    <s v="Periodo 2014-2019"/>
    <s v="Puntaje"/>
    <s v="Agencia de Calidad de la Educación"/>
    <s v="Mapa de distribución geográfica en la Región de Arica y Parinacota del Indicador de Autoestima Académica y Motivación Escolar, Periodo 2014-2019"/>
    <s v="La comuna de Arica presenta el mayor puntaje promedio del indicador de Autoestima Académica y Motivación en el periodo 2014-2019, con 55,5 puntos promedio. Por otro lado, la comuna de General Lagos presenta el menor puntaje promedio, con 25,9 puntos."/>
    <s v="Mapa de calor"/>
    <s v="Región de Arica y Parinacota,calidad,puntaje,autoestima,motivación,escolar,desarrollo,personal,indicador,académica,Agencia Información,Educación,Indicadores de Desarrollo Personal y Social,Métricas de la Educación"/>
    <s v="https://analytics.zoho.com/open-view/2395394000009056027?ZOHO_CRITERIA=%22Localiza%20CL%22.%22Codreg%22%3D15"/>
    <x v="31"/>
    <s v="#1774B9"/>
  </r>
  <r>
    <s v="0612"/>
    <n v="990"/>
    <s v="Agencia Información"/>
    <s v="Educación"/>
    <n v="16"/>
    <x v="40"/>
    <x v="1"/>
    <x v="1"/>
    <x v="16"/>
    <x v="1"/>
    <x v="46"/>
    <s v="Periodo 2014-2019"/>
    <s v="Puntaje"/>
    <s v="Agencia de Calidad de la Educación"/>
    <s v="Mapa de distribución geográfica en la Región de Ñuble del Indicador de Autoestima Académica y Motivación Escolar, Periodo 2014-2019"/>
    <s v="La comuna de Ñiquén presenta el mayor puntaje promedio del indicador de Autoestima Académica y Motivación en el periodo 2014-2019, con 57,2 puntos promedio, seguido por la comuna de Quillón con 56,6 puntos."/>
    <s v="Mapa de calor"/>
    <s v="Región de Ñuble,calidad,puntaje,autoestima,motivación,escolar,desarrollo,personal,indicador,académica,Agencia Información,Educación,Indicadores de Desarrollo Personal y Social,Métricas de la Educación"/>
    <s v="https://analytics.zoho.com/open-view/2395394000009056027?ZOHO_CRITERIA=%22Localiza%20CL%22.%22Codreg%22%3D16"/>
    <x v="32"/>
    <s v="#1774B9"/>
  </r>
  <r>
    <s v="0613"/>
    <n v="990"/>
    <s v="Agencia Información"/>
    <s v="Educación"/>
    <n v="0"/>
    <x v="40"/>
    <x v="1"/>
    <x v="0"/>
    <x v="0"/>
    <x v="0"/>
    <x v="46"/>
    <s v="Periodo 2014-2019"/>
    <s v="Puntaje"/>
    <s v="Agencia de Calidad de la Educación"/>
    <s v="Evolución del Indicador de Clima de Convivencia Escolar por Dependencia de Establecimientos en Chile, Periodo 2014-201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calidad,puntaje,municipal,subvencionado,corporación,particular,convivencia,escolar,indicador,Agencia Información,Educación,Indicadores de Desarrollo Personal y Social,Métricas de la Educación"/>
    <s v="https://analytics.zoho.com/open-view/2395394000007946934"/>
    <x v="0"/>
    <s v="#1774B9"/>
  </r>
  <r>
    <s v="0614"/>
    <n v="990"/>
    <s v="Agencia Información"/>
    <s v="Educación"/>
    <n v="1"/>
    <x v="40"/>
    <x v="1"/>
    <x v="1"/>
    <x v="1"/>
    <x v="1"/>
    <x v="46"/>
    <s v="Periodo 2014-2019"/>
    <s v="Puntaje"/>
    <s v="Agencia de Calidad de la Educación"/>
    <s v="Evolución del Indicador de Clima de Convivencia Escolar por Dependencia de Establecimientos en la Región de Tarapacá, Periodo 2014-2019"/>
    <s v="En la región de Tarapacá, los colegios de Corporación de Administración Delegada obtienen el mayor puntaje en el Indicador de Clima de Convivencia Escolar, a nivel regional, el año 2019."/>
    <s v="Gráfico de Evolución"/>
    <s v="Región de Tarapacá,calidad,puntaje,municipal,subvencionado,corporación,particular,convivencia,escolar,indicador,Agencia Información,Educación,Indicadores de Desarrollo Personal y Social,Métricas de la Educación"/>
    <s v="https://analytics.zoho.com/open-view/2395394000009056168?ZOHO_CRITERIA=%22Localiza%20CL%22.%22Codreg%22%3D1"/>
    <x v="1"/>
    <s v="#1774B9"/>
  </r>
  <r>
    <s v="0615"/>
    <n v="990"/>
    <s v="Agencia Información"/>
    <s v="Educación"/>
    <n v="2"/>
    <x v="40"/>
    <x v="1"/>
    <x v="1"/>
    <x v="2"/>
    <x v="1"/>
    <x v="46"/>
    <s v="Periodo 2014-2019"/>
    <s v="Puntaje"/>
    <s v="Agencia de Calidad de la Educación"/>
    <s v="Evolución del Indicador de Clima de Convivencia Escolar por Dependencia de Establecimientos en la Región de Antofagasta, Periodo 2014-2019"/>
    <s v="En la región de Antofagasta, los colegios Municipales presentan el mayor puntaje en el Indicador de Clima de Convivencia Escolar, a nivel regional, el año 2019."/>
    <s v="Gráfico de Evolución"/>
    <s v="Región de Antofagasta,calidad,puntaje,municipal,subvencionado,corporación,particular,convivencia,escolar,indicador,Agencia Información,Educación,Indicadores de Desarrollo Personal y Social,Métricas de la Educación"/>
    <s v="https://analytics.zoho.com/open-view/2395394000009056168?ZOHO_CRITERIA=%22Localiza%20CL%22.%22Codreg%22%3D2"/>
    <x v="2"/>
    <s v="#1774B9"/>
  </r>
  <r>
    <s v="0616"/>
    <n v="990"/>
    <s v="Agencia Información"/>
    <s v="Educación"/>
    <n v="3"/>
    <x v="40"/>
    <x v="1"/>
    <x v="1"/>
    <x v="3"/>
    <x v="1"/>
    <x v="46"/>
    <s v="Periodo 2014-2019"/>
    <s v="Puntaje"/>
    <s v="Agencia de Calidad de la Educación"/>
    <s v="Evolución del Indicador de Clima de Convivencia Escolar por Dependencia de Establecimientos en la Región de Atacama, Periodo 2014-2019"/>
    <s v="Gráfico de la evolución del Indicador de Clima de Convivencia Escolar por Dependencia de Establecimientos en la Región de Atacama, para el periodo 2014-2019. Datos de la Agencia de Calidad de la Educación."/>
    <s v="Gráfico de Evolución"/>
    <s v="Región de Atacama,calidad,puntaje,municipal,subvencionado,corporación,particular,convivencia,escolar,indicador,Agencia Información,Educación,Indicadores de Desarrollo Personal y Social,Métricas de la Educación"/>
    <s v="https://analytics.zoho.com/open-view/2395394000009056168?ZOHO_CRITERIA=%22Localiza%20CL%22.%22Codreg%22%3D3"/>
    <x v="3"/>
    <s v="#1774B9"/>
  </r>
  <r>
    <s v="0617"/>
    <n v="990"/>
    <s v="Agencia Información"/>
    <s v="Educación"/>
    <n v="4"/>
    <x v="40"/>
    <x v="1"/>
    <x v="1"/>
    <x v="4"/>
    <x v="1"/>
    <x v="46"/>
    <s v="Periodo 2014-2019"/>
    <s v="Puntaje"/>
    <s v="Agencia de Calidad de la Educación"/>
    <s v="Evolución del Indicador de Clima de Convivencia Escolar por Dependencia de Establecimientos en la Región de Coquimbo, Periodo 2014-2019"/>
    <s v="En la región de Coquimbo, entre los años 2014 y 2018, los colegios de Corporación de Administración Delegada obtienen el mejor puntaje del indicador de Clima de Convivencia Escolar."/>
    <s v="Gráfico de Evolución"/>
    <s v="Región de Coquimbo,calidad,puntaje,municipal,subvencionado,corporación,particular,convivencia,escolar,indicador,Agencia Información,Educación,Indicadores de Desarrollo Personal y Social,Métricas de la Educación"/>
    <s v="https://analytics.zoho.com/open-view/2395394000009056168?ZOHO_CRITERIA=%22Localiza%20CL%22.%22Codreg%22%3D4"/>
    <x v="4"/>
    <s v="#1774B9"/>
  </r>
  <r>
    <s v="0618"/>
    <n v="990"/>
    <s v="Agencia Información"/>
    <s v="Educación"/>
    <n v="5"/>
    <x v="40"/>
    <x v="1"/>
    <x v="1"/>
    <x v="5"/>
    <x v="1"/>
    <x v="46"/>
    <s v="Periodo 2014-2019"/>
    <s v="Puntaje"/>
    <s v="Agencia de Calidad de la Educación"/>
    <s v="Evolución del Indicador de Clima de Convivencia Escolar por Dependencia de Establecimientos en la Región de Valparaíso, Periodo 2014-2019"/>
    <s v="En la región de Valparaíso, entre los años 2014 y 2018, los colegios de Corporación de Administración Delegada obtienen el mejor puntaje del indicador de Clima de Convivencia Escolar."/>
    <s v="Gráfico de Evolución"/>
    <s v="Región de Valparaíso,calidad,puntaje,municipal,subvencionado,corporación,particular,convivencia,escolar,indicador,Agencia Información,Educación,Indicadores de Desarrollo Personal y Social,Métricas de la Educación"/>
    <s v="https://analytics.zoho.com/open-view/2395394000009056168?ZOHO_CRITERIA=%22Localiza%20CL%22.%22Codreg%22%3D5"/>
    <x v="5"/>
    <s v="#1774B9"/>
  </r>
  <r>
    <s v="0619"/>
    <n v="990"/>
    <s v="Agencia Información"/>
    <s v="Educación"/>
    <n v="6"/>
    <x v="40"/>
    <x v="1"/>
    <x v="1"/>
    <x v="6"/>
    <x v="1"/>
    <x v="46"/>
    <s v="Periodo 2014-2019"/>
    <s v="Puntaje"/>
    <s v="Agencia de Calidad de la Educación"/>
    <s v="Evolución del Indicador de Clima de Convivencia Escolar por Dependencia de Establecimientos en la Región de O'Higgins, Periodo 2014-2019"/>
    <s v="En la región de O'Higgins, los colegios Municipales obtienen el mayor puntaje en el Indicador de Clima de Convivencia Escolar, a nivel regional, el año 2019."/>
    <s v="Gráfico de Evolución"/>
    <s v="Región de O'Higgins,calidad,puntaje,municipal,subvencionado,corporación,particular,convivencia,escolar,indicador,Agencia Información,Educación,Indicadores de Desarrollo Personal y Social,Métricas de la Educación"/>
    <s v="https://analytics.zoho.com/open-view/2395394000009056168?ZOHO_CRITERIA=%22Localiza%20CL%22.%22Codreg%22%3D6"/>
    <x v="6"/>
    <s v="#1774B9"/>
  </r>
  <r>
    <s v="0620"/>
    <n v="990"/>
    <s v="Agencia Información"/>
    <s v="Educación"/>
    <n v="7"/>
    <x v="40"/>
    <x v="1"/>
    <x v="1"/>
    <x v="7"/>
    <x v="1"/>
    <x v="46"/>
    <s v="Periodo 2014-2019"/>
    <s v="Puntaje"/>
    <s v="Agencia de Calidad de la Educación"/>
    <s v="Evolución del Indicador de Clima de Convivencia Escolar por Dependencia de Establecimientos en la Región de Maule, Periodo 2014-2019"/>
    <s v="Gráfico de la evolución del Indicador de Clima de Convivencia Escolar por Dependencia de Establecimientos en la Región de Maule, para el periodo 2014-2019. Datos de la Agencia de Calidad de la Educación."/>
    <s v="Gráfico de Evolución"/>
    <s v="Región de Maule,calidad,puntaje,municipal,subvencionado,corporación,particular,convivencia,escolar,indicador,Agencia Información,Educación,Indicadores de Desarrollo Personal y Social,Métricas de la Educación"/>
    <s v="https://analytics.zoho.com/open-view/2395394000009056168?ZOHO_CRITERIA=%22Localiza%20CL%22.%22Codreg%22%3D7"/>
    <x v="7"/>
    <s v="#1774B9"/>
  </r>
  <r>
    <s v="0621"/>
    <n v="990"/>
    <s v="Agencia Información"/>
    <s v="Educación"/>
    <n v="8"/>
    <x v="40"/>
    <x v="1"/>
    <x v="1"/>
    <x v="8"/>
    <x v="1"/>
    <x v="46"/>
    <s v="Periodo 2014-2019"/>
    <s v="Puntaje"/>
    <s v="Agencia de Calidad de la Educación"/>
    <s v="Evolución del Indicador de Clima de Convivencia Escolar por Dependencia de Establecimientos en la Región del Biobío, Periodo 2014-2019"/>
    <s v="En la región del Biobío, los colegios Subvencionados obtienen el mayor puntaje en el Indicador de Clima de Convivencia Escolar, a nivel regional, el año 2019."/>
    <s v="Gráfico de Evolución"/>
    <s v="Región del Biobío,calidad,puntaje,municipal,subvencionado,corporación,particular,convivencia,escolar,indicador,Agencia Información,Educación,Indicadores de Desarrollo Personal y Social,Métricas de la Educación"/>
    <s v="https://analytics.zoho.com/open-view/2395394000009056168?ZOHO_CRITERIA=%22Localiza%20CL%22.%22Codreg%22%3D8"/>
    <x v="8"/>
    <s v="#1774B9"/>
  </r>
  <r>
    <s v="0622"/>
    <n v="990"/>
    <s v="Agencia Información"/>
    <s v="Educación"/>
    <n v="9"/>
    <x v="40"/>
    <x v="1"/>
    <x v="1"/>
    <x v="9"/>
    <x v="1"/>
    <x v="46"/>
    <s v="Periodo 2014-2019"/>
    <s v="Puntaje"/>
    <s v="Agencia de Calidad de la Educación"/>
    <s v="Evolución del Indicador de Clima de Convivencia Escolar por Dependencia de Establecimientos en la Región de La Araucanía, Periodo 2014-2019"/>
    <s v="Gráfico de la evolución del Indicador de Clima de Convivencia Escolar por Dependencia de Establecimientos en la Región de La Araucanía, para el periodo 2014-2019. Datos de la Agencia de Calidad de la Educación."/>
    <s v="Gráfico de Evolución"/>
    <s v="Región de La Araucanía,calidad,puntaje,municipal,subvencionado,corporación,particular,convivencia,escolar,indicador,Agencia Información,Educación,Indicadores de Desarrollo Personal y Social,Métricas de la Educación"/>
    <s v="https://analytics.zoho.com/open-view/2395394000009056168?ZOHO_CRITERIA=%22Localiza%20CL%22.%22Codreg%22%3D9"/>
    <x v="9"/>
    <s v="#1774B9"/>
  </r>
  <r>
    <s v="0623"/>
    <n v="990"/>
    <s v="Agencia Información"/>
    <s v="Educación"/>
    <n v="10"/>
    <x v="40"/>
    <x v="1"/>
    <x v="1"/>
    <x v="10"/>
    <x v="1"/>
    <x v="46"/>
    <s v="Periodo 2014-2019"/>
    <s v="Puntaje"/>
    <s v="Agencia de Calidad de la Educación"/>
    <s v="Evolución del Indicador de Clima de Convivencia Escolar por Dependencia de Establecimientos en la Región de Los Lagos, Periodo 2014-2019"/>
    <s v="En la región de Los Lagos, entre los años 2014 y 2018, los colegios de Corporación de Administración Delegada obtienen el mejor puntaje del indicador de Clima de Convivencia Escolar."/>
    <s v="Gráfico de Evolución"/>
    <s v="Región de Los Lagos,calidad,puntaje,municipal,subvencionado,corporación,particular,convivencia,escolar,indicador,Agencia Información,Educación,Indicadores de Desarrollo Personal y Social,Métricas de la Educación"/>
    <s v="https://analytics.zoho.com/open-view/2395394000009056168?ZOHO_CRITERIA=%22Localiza%20CL%22.%22Codreg%22%3D10"/>
    <x v="10"/>
    <s v="#1774B9"/>
  </r>
  <r>
    <s v="0624"/>
    <n v="990"/>
    <s v="Agencia Información"/>
    <s v="Educación"/>
    <n v="11"/>
    <x v="40"/>
    <x v="1"/>
    <x v="1"/>
    <x v="11"/>
    <x v="1"/>
    <x v="46"/>
    <s v="Periodo 2014-2019"/>
    <s v="Puntaje"/>
    <s v="Agencia de Calidad de la Educación"/>
    <s v="Evolución del Indicador de Clima de Convivencia Escolar por Dependencia de Establecimientos en la Región de Aysén, Periodo 2014-2019"/>
    <s v="En la región de Aysén, los colegios Municipales presentan el mayor puntaje en el Indicador de Clima de Convivencia Escolar, a nivel regional, el año 2019."/>
    <s v="Gráfico de Evolución"/>
    <s v="Región de Aysén,calidad,puntaje,municipal,subvencionado,corporación,particular,convivencia,escolar,indicador,Agencia Información,Educación,Indicadores de Desarrollo Personal y Social,Métricas de la Educación"/>
    <s v="https://analytics.zoho.com/open-view/2395394000009056168?ZOHO_CRITERIA=%22Localiza%20CL%22.%22Codreg%22%3D11"/>
    <x v="11"/>
    <s v="#1774B9"/>
  </r>
  <r>
    <s v="0625"/>
    <n v="990"/>
    <s v="Agencia Información"/>
    <s v="Educación"/>
    <n v="12"/>
    <x v="40"/>
    <x v="1"/>
    <x v="1"/>
    <x v="12"/>
    <x v="1"/>
    <x v="46"/>
    <s v="Periodo 2014-2019"/>
    <s v="Puntaje"/>
    <s v="Agencia de Calidad de la Educación"/>
    <s v="Evolución del Indicador de Clima de Convivencia Escolar por Dependencia de Establecimientos en la Región de Magallanes, Periodo 2014-2019"/>
    <s v="Gráfico de la evolución del Indicador de Clima de Convivencia Escolar por Dependencia de Establecimientos en la Región de Magallanes, para el periodo 2014-2019. Datos de la Agencia de Calidad de la Educación."/>
    <s v="Gráfico de Evolución"/>
    <s v="Región de Magallanes,calidad,puntaje,municipal,subvencionado,corporación,particular,convivencia,escolar,indicador,Agencia Información,Educación,Indicadores de Desarrollo Personal y Social,Métricas de la Educación"/>
    <s v="https://analytics.zoho.com/open-view/2395394000009056168?ZOHO_CRITERIA=%22Localiza%20CL%22.%22Codreg%22%3D12"/>
    <x v="12"/>
    <s v="#1774B9"/>
  </r>
  <r>
    <s v="0626"/>
    <n v="990"/>
    <s v="Agencia Información"/>
    <s v="Educación"/>
    <n v="13"/>
    <x v="40"/>
    <x v="1"/>
    <x v="1"/>
    <x v="13"/>
    <x v="1"/>
    <x v="46"/>
    <s v="Periodo 2014-2019"/>
    <s v="Puntaje"/>
    <s v="Agencia de Calidad de la Educación"/>
    <s v="Evolución del Indicador de Clima de Convivencia Escolar por Dependencia de Establecimientos en la Región Metropolitana, Periodo 2014-2019"/>
    <s v="En la región Metropolitana, entre los años 2016 al 2018, los colegios de Corporación de Administración Delegada obtienen el mejor puntaje del indicador de Clima de Convivencia Escolar."/>
    <s v="Gráfico de Evolución"/>
    <s v="Región Metropolitana,calidad,puntaje,municipal,subvencionado,corporación,particular,convivencia,escolar,indicador,Agencia Información,Educación,Indicadores de Desarrollo Personal y Social,Métricas de la Educación"/>
    <s v="https://analytics.zoho.com/open-view/2395394000009056168?ZOHO_CRITERIA=%22Localiza%20CL%22.%22Codreg%22%3D13"/>
    <x v="13"/>
    <s v="#1774B9"/>
  </r>
  <r>
    <s v="0627"/>
    <n v="990"/>
    <s v="Agencia Información"/>
    <s v="Educación"/>
    <n v="14"/>
    <x v="40"/>
    <x v="1"/>
    <x v="1"/>
    <x v="14"/>
    <x v="1"/>
    <x v="46"/>
    <s v="Periodo 2014-2019"/>
    <s v="Puntaje"/>
    <s v="Agencia de Calidad de la Educación"/>
    <s v="Evolución del Indicador de Clima de Convivencia Escolar por Dependencia de Establecimientos en la Región de Los Ríos, Periodo 2014-2019"/>
    <s v="En la región de Los Ríos, los colegios Particulares obtienen el mayor puntaje en el Indicador de Clima de Convivencia Escolar, a nivel regional, el año 2019."/>
    <s v="Gráfico de Evolución"/>
    <s v="Región de Los Ríos,calidad,puntaje,municipal,subvencionado,corporación,particular,convivencia,escolar,indicador,Agencia Información,Educación,Indicadores de Desarrollo Personal y Social,Métricas de la Educación"/>
    <s v="https://analytics.zoho.com/open-view/2395394000009056168?ZOHO_CRITERIA=%22Localiza%20CL%22.%22Codreg%22%3D14"/>
    <x v="14"/>
    <s v="#1774B9"/>
  </r>
  <r>
    <s v="0628"/>
    <n v="990"/>
    <s v="Agencia Información"/>
    <s v="Educación"/>
    <n v="15"/>
    <x v="40"/>
    <x v="1"/>
    <x v="1"/>
    <x v="15"/>
    <x v="1"/>
    <x v="46"/>
    <s v="Periodo 2014-2019"/>
    <s v="Puntaje"/>
    <s v="Agencia de Calidad de la Educación"/>
    <s v="Evolución del Indicador de Clima de Convivencia Escolar por Dependencia de Establecimientos en la Región de Arica y Parinacota, Periodo 2014-2019"/>
    <s v="Gráfico de la evolución del Indicador de Clima de Convivencia Escolar por Dependencia de Establecimientos en la Región de Arica y Parinacota, para el periodo 2014-2019. Datos de la Agencia de Calidad de la Educación."/>
    <s v="Gráfico de Evolución"/>
    <s v="Región de Arica y Parinacota,calidad,puntaje,municipal,subvencionado,corporación,particular,convivencia,escolar,indicador,Agencia Información,Educación,Indicadores de Desarrollo Personal y Social,Métricas de la Educación"/>
    <s v="https://analytics.zoho.com/open-view/2395394000009056168?ZOHO_CRITERIA=%22Localiza%20CL%22.%22Codreg%22%3D15"/>
    <x v="15"/>
    <s v="#1774B9"/>
  </r>
  <r>
    <s v="0629"/>
    <n v="990"/>
    <s v="Agencia Información"/>
    <s v="Educación"/>
    <n v="16"/>
    <x v="40"/>
    <x v="1"/>
    <x v="1"/>
    <x v="16"/>
    <x v="1"/>
    <x v="46"/>
    <s v="Periodo 2014-2019"/>
    <s v="Puntaje"/>
    <s v="Agencia de Calidad de la Educación"/>
    <s v="Evolución del Indicador de Clima de Convivencia Escolar por Dependencia de Establecimientos en la Región de Ñuble, Periodo 2014-2019"/>
    <s v="En la región de Ñuble, los colegios Municipales obtienen el mayor puntaje en el Indicador de Clima de Convivencia Escolar, a nivel regional, el año 2019."/>
    <s v="Gráfico de Evolución"/>
    <s v="Región de Ñuble,calidad,puntaje,municipal,subvencionado,corporación,particular,convivencia,escolar,indicador,Agencia Información,Educación,Indicadores de Desarrollo Personal y Social,Métricas de la Educación"/>
    <s v="https://analytics.zoho.com/open-view/2395394000009056168?ZOHO_CRITERIA=%22Localiza%20CL%22.%22Codreg%22%3D16"/>
    <x v="16"/>
    <s v="#1774B9"/>
  </r>
  <r>
    <s v="0630"/>
    <n v="990"/>
    <s v="Agencia Información"/>
    <s v="Vivienda y Construcción"/>
    <n v="0"/>
    <x v="41"/>
    <x v="22"/>
    <x v="0"/>
    <x v="0"/>
    <x v="1"/>
    <x v="52"/>
    <s v="Periodo 2020-2021"/>
    <s v="m2"/>
    <s v="Instituto Nacional de Estadísticas (INE)"/>
    <s v="Superficie de Solicitudes de Edificación Autorizadas por Categoría en Chile, Periodo 2020-2021"/>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s v="https://public.flourish.studio/visualisation/6691988/"/>
    <x v="34"/>
    <s v="#1774B9"/>
  </r>
  <r>
    <s v="0631"/>
    <n v="990"/>
    <s v="Agencia Información"/>
    <s v="Economía"/>
    <n v="0"/>
    <x v="42"/>
    <x v="12"/>
    <x v="0"/>
    <x v="0"/>
    <x v="0"/>
    <x v="53"/>
    <s v="Año 2019"/>
    <s v="Personas"/>
    <s v="Servicio de Impuestos Internos (SII)"/>
    <s v="Número trabajadores dependientes informados por género según tamaño de empresa en Chile, Año 2019"/>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trabajadores,dependientes,informados,tramo,empresas,ventas,anuales,grande,mediana,pequeña,micro,mujeres,sexo,hombres,género,sii,Agencia Información,Economía,Trabajadores por sexo,Empresas"/>
    <s v="https://analytics.zoho.com/open-view/2395394000008038558"/>
    <x v="0"/>
    <s v="#1774B9"/>
  </r>
  <r>
    <s v="0632"/>
    <n v="990"/>
    <s v="Agencia Información"/>
    <s v="Economía"/>
    <n v="1"/>
    <x v="42"/>
    <x v="12"/>
    <x v="1"/>
    <x v="1"/>
    <x v="1"/>
    <x v="53"/>
    <s v="Año 2019"/>
    <s v="Personas"/>
    <s v="Servicio de Impuestos Internos (SII)"/>
    <s v="Número trabajadores dependientes informados por sexo según tamaño de empresa en la Región de Tarapacá, Año 2019"/>
    <s v="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Tarapacá,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
    <x v="1"/>
    <s v="#1774B9"/>
  </r>
  <r>
    <s v="0633"/>
    <n v="990"/>
    <s v="Agencia Información"/>
    <s v="Economía"/>
    <n v="2"/>
    <x v="42"/>
    <x v="12"/>
    <x v="1"/>
    <x v="2"/>
    <x v="1"/>
    <x v="53"/>
    <s v="Año 2019"/>
    <s v="Personas"/>
    <s v="Servicio de Impuestos Internos (SII)"/>
    <s v="Número trabajadores dependientes informados por sexo según tamaño de empresa en la Región de Antofagasta, Año 2019"/>
    <s v="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
    <s v="Gráfico"/>
    <s v="Región de Antofagast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2"/>
    <x v="2"/>
    <s v="#1774B9"/>
  </r>
  <r>
    <s v="0634"/>
    <n v="990"/>
    <s v="Agencia Información"/>
    <s v="Economía"/>
    <n v="3"/>
    <x v="42"/>
    <x v="12"/>
    <x v="1"/>
    <x v="3"/>
    <x v="1"/>
    <x v="53"/>
    <s v="Año 2019"/>
    <s v="Personas"/>
    <s v="Servicio de Impuestos Internos (SII)"/>
    <s v="Número trabajadores dependientes informados por sexo según tamaño de empresa en la Región de Atacama, Año 2019"/>
    <s v="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
    <s v="Gráfico"/>
    <s v="Región de Atacam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3"/>
    <x v="3"/>
    <s v="#1774B9"/>
  </r>
  <r>
    <s v="0635"/>
    <n v="990"/>
    <s v="Agencia Información"/>
    <s v="Economía"/>
    <n v="4"/>
    <x v="42"/>
    <x v="12"/>
    <x v="1"/>
    <x v="4"/>
    <x v="1"/>
    <x v="53"/>
    <s v="Año 2019"/>
    <s v="Personas"/>
    <s v="Servicio de Impuestos Internos (SII)"/>
    <s v="Número trabajadores dependientes informados por sexo según tamaño de empresa en la Región de Coquimbo, Año 2019"/>
    <s v="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
    <s v="Gráfico"/>
    <s v="Región de Coquimbo,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4"/>
    <x v="4"/>
    <s v="#1774B9"/>
  </r>
  <r>
    <s v="0636"/>
    <n v="990"/>
    <s v="Agencia Información"/>
    <s v="Economía"/>
    <n v="5"/>
    <x v="42"/>
    <x v="12"/>
    <x v="1"/>
    <x v="5"/>
    <x v="1"/>
    <x v="53"/>
    <s v="Año 2019"/>
    <s v="Personas"/>
    <s v="Servicio de Impuestos Internos (SII)"/>
    <s v="Número trabajadores dependientes informados por sexo según tamaño de empresa en la Región de Valparaíso, Año 2019"/>
    <s v="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Valparaíso,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5"/>
    <x v="5"/>
    <s v="#1774B9"/>
  </r>
  <r>
    <s v="0637"/>
    <n v="990"/>
    <s v="Agencia Información"/>
    <s v="Economía"/>
    <n v="6"/>
    <x v="42"/>
    <x v="12"/>
    <x v="1"/>
    <x v="6"/>
    <x v="1"/>
    <x v="53"/>
    <s v="Año 2019"/>
    <s v="Personas"/>
    <s v="Servicio de Impuestos Internos (SII)"/>
    <s v="Número trabajadores dependientes informados por sexo según tamaño de empresa en la Región de O'Higgins, Año 2019"/>
    <s v="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
    <s v="Gráfico"/>
    <s v="Región de O'Higgin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6"/>
    <x v="6"/>
    <s v="#1774B9"/>
  </r>
  <r>
    <s v="0638"/>
    <n v="990"/>
    <s v="Agencia Información"/>
    <s v="Economía"/>
    <n v="7"/>
    <x v="42"/>
    <x v="12"/>
    <x v="1"/>
    <x v="7"/>
    <x v="1"/>
    <x v="53"/>
    <s v="Año 2019"/>
    <s v="Personas"/>
    <s v="Servicio de Impuestos Internos (SII)"/>
    <s v="Número trabajadores dependientes informados por sexo según tamaño de empresa en la Región de Maule, Año 2019"/>
    <s v="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
    <s v="Gráfico"/>
    <s v="Región de Maule,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7"/>
    <x v="7"/>
    <s v="#1774B9"/>
  </r>
  <r>
    <s v="0639"/>
    <n v="990"/>
    <s v="Agencia Información"/>
    <s v="Economía"/>
    <n v="8"/>
    <x v="42"/>
    <x v="12"/>
    <x v="1"/>
    <x v="8"/>
    <x v="1"/>
    <x v="53"/>
    <s v="Año 2019"/>
    <s v="Personas"/>
    <s v="Servicio de Impuestos Internos (SII)"/>
    <s v="Número trabajadores dependientes informados por sexo según tamaño de empresa en la Región del Biobío, Año 2019"/>
    <s v="Gráfico que muestra el número de trabajadores dependientes informados por género para cada tramo, según las ventas anuales en UF, en la región de Biobío, según datos entregados por el Servicio de Impuestos Internos (SII)."/>
    <s v="Gráfico"/>
    <s v="Región del Biobío,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8"/>
    <x v="8"/>
    <s v="#1774B9"/>
  </r>
  <r>
    <s v="0640"/>
    <n v="990"/>
    <s v="Agencia Información"/>
    <s v="Economía"/>
    <n v="9"/>
    <x v="42"/>
    <x v="12"/>
    <x v="1"/>
    <x v="9"/>
    <x v="1"/>
    <x v="53"/>
    <s v="Año 2019"/>
    <s v="Personas"/>
    <s v="Servicio de Impuestos Internos (SII)"/>
    <s v="Número trabajadores dependientes informados por sexo según tamaño de empresa en la Región de La Araucanía, Año 2019"/>
    <s v="Gráfico que muestra el número de trabajadores dependientes informados por género para cada tramo, según las ventas anuales en UF, en la región de La Araucanía, según datos entregados por el Servicio de Impuestos Internos (SII)."/>
    <s v="Gráfico"/>
    <s v="Región de La Araucaní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9"/>
    <x v="9"/>
    <s v="#1774B9"/>
  </r>
  <r>
    <s v="0641"/>
    <n v="990"/>
    <s v="Agencia Información"/>
    <s v="Economía"/>
    <n v="10"/>
    <x v="42"/>
    <x v="12"/>
    <x v="1"/>
    <x v="10"/>
    <x v="1"/>
    <x v="53"/>
    <s v="Año 2019"/>
    <s v="Personas"/>
    <s v="Servicio de Impuestos Internos (SII)"/>
    <s v="Número trabajadores dependientes informados por sexo según tamaño de empresa en la Región de Los Lagos, Año 2019"/>
    <s v="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
    <s v="Gráfico"/>
    <s v="Región de Los Lago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0"/>
    <x v="10"/>
    <s v="#1774B9"/>
  </r>
  <r>
    <s v="0642"/>
    <n v="990"/>
    <s v="Agencia Información"/>
    <s v="Economía"/>
    <n v="11"/>
    <x v="42"/>
    <x v="12"/>
    <x v="1"/>
    <x v="11"/>
    <x v="1"/>
    <x v="53"/>
    <s v="Año 2019"/>
    <s v="Personas"/>
    <s v="Servicio de Impuestos Internos (SII)"/>
    <s v="Número trabajadores dependientes informados por sexo según tamaño de empresa en la Región de Aysén, Año 2019"/>
    <s v="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
    <s v="Gráfico"/>
    <s v="Región de Aysén,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1"/>
    <x v="11"/>
    <s v="#1774B9"/>
  </r>
  <r>
    <s v="0643"/>
    <n v="990"/>
    <s v="Agencia Información"/>
    <s v="Economía"/>
    <n v="12"/>
    <x v="42"/>
    <x v="12"/>
    <x v="1"/>
    <x v="12"/>
    <x v="1"/>
    <x v="53"/>
    <s v="Año 2019"/>
    <s v="Personas"/>
    <s v="Servicio de Impuestos Internos (SII)"/>
    <s v="Número trabajadores dependientes informados por sexo según tamaño de empresa en la Región de Magallanes, Año 2019"/>
    <s v="Gráfico que muestra el número de trabajadores dependientes informados por género para cada tramo, según las ventas anuales en UF, en la región de Magallanes, según datos entregados por el Servicio de Impuestos Internos (SII)."/>
    <s v="Gráfico"/>
    <s v="Región de Magallane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2"/>
    <x v="12"/>
    <s v="#1774B9"/>
  </r>
  <r>
    <s v="0644"/>
    <n v="990"/>
    <s v="Agencia Información"/>
    <s v="Economía"/>
    <n v="13"/>
    <x v="42"/>
    <x v="12"/>
    <x v="1"/>
    <x v="13"/>
    <x v="1"/>
    <x v="53"/>
    <s v="Año 2019"/>
    <s v="Personas"/>
    <s v="Servicio de Impuestos Internos (SII)"/>
    <s v="Número trabajadores dependientes informados por sexo según tamaño de empresa en la Región Metropolitana, Año 2019"/>
    <s v="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
    <s v="Gráfico"/>
    <s v="Región Metropolitan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3"/>
    <x v="13"/>
    <s v="#1774B9"/>
  </r>
  <r>
    <s v="0645"/>
    <n v="990"/>
    <s v="Agencia Información"/>
    <s v="Economía"/>
    <n v="14"/>
    <x v="42"/>
    <x v="12"/>
    <x v="1"/>
    <x v="14"/>
    <x v="1"/>
    <x v="53"/>
    <s v="Año 2019"/>
    <s v="Personas"/>
    <s v="Servicio de Impuestos Internos (SII)"/>
    <s v="Número trabajadores dependientes informados por sexo según tamaño de empresa en la Región de Los Ríos, Año 2019"/>
    <s v="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
    <s v="Gráfico"/>
    <s v="Región de Los Ríos,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4"/>
    <x v="14"/>
    <s v="#1774B9"/>
  </r>
  <r>
    <s v="0646"/>
    <n v="990"/>
    <s v="Agencia Información"/>
    <s v="Economía"/>
    <n v="15"/>
    <x v="42"/>
    <x v="12"/>
    <x v="1"/>
    <x v="15"/>
    <x v="1"/>
    <x v="53"/>
    <s v="Año 2019"/>
    <s v="Personas"/>
    <s v="Servicio de Impuestos Internos (SII)"/>
    <s v="Número trabajadores dependientes informados por sexo según tamaño de empresa en la Región de Arica y Parinacota, Año 2019"/>
    <s v="Gráfico que muestra el número de trabajadores dependientes informados por género para cada tramo, según las ventas anuales en UF, en la región de Arica y Parinacota, según datos entregados por el Servicio de Impuestos Internos (SII)."/>
    <s v="Gráfico"/>
    <s v="Región de Arica y Parinacota,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5"/>
    <x v="15"/>
    <s v="#1774B9"/>
  </r>
  <r>
    <s v="0647"/>
    <n v="990"/>
    <s v="Agencia Información"/>
    <s v="Economía"/>
    <n v="16"/>
    <x v="42"/>
    <x v="12"/>
    <x v="1"/>
    <x v="16"/>
    <x v="1"/>
    <x v="53"/>
    <s v="Año 2019"/>
    <s v="Personas"/>
    <s v="Servicio de Impuestos Internos (SII)"/>
    <s v="Número trabajadores dependientes informados por sexo según tamaño de empresa en la Región de Ñuble, Año 2019"/>
    <s v="Gráfico que muestra el número de trabajadores dependientes informados por género para cada tramo, según las ventas anuales en UF, en la región de Ñuble, según datos entregados por el Servicio de Impuestos Internos (SII)."/>
    <s v="Gráfico"/>
    <s v="Región de Ñuble,trabajadores,dependientes,informados,tramo,empresas,ventas,anuales,grande,mediana,pequeña,micro,mujeres,sexo,hombres,género,sii,Agencia Información,Economía,Trabajadores por sexo,Empresas"/>
    <s v="https://analytics.zoho.com/open-view/2395394000008435819?ZOHO_CRITERIA=%225.1%20Empresas_Tama%C3%B1o%22.%22Cod_Regi%C3%B3n%22%3D16"/>
    <x v="16"/>
    <s v="#1774B9"/>
  </r>
  <r>
    <s v="0648"/>
    <n v="990"/>
    <s v="Agencia Información"/>
    <s v="Economía"/>
    <n v="0"/>
    <x v="43"/>
    <x v="12"/>
    <x v="0"/>
    <x v="0"/>
    <x v="0"/>
    <x v="54"/>
    <s v="Periodo 2005-2019"/>
    <s v="CLP"/>
    <s v="Servicio de Impuestos Internos (SII)"/>
    <s v="Renta neta informada de trabajadoras en Chile, Periodo 2005-2019"/>
    <s v="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Chile,regional,trabajadoras,mujeres,femenino,género,renta,neta,informada,sii,tamaño,empresa,micro,pequeña,mediana,grande,PYME,Agencia Información,Economía,Renta neta,Empresas"/>
    <s v="https://analytics.zoho.com/open-view/2395394000008435942"/>
    <x v="0"/>
    <s v="#1774B9"/>
  </r>
  <r>
    <s v="0649"/>
    <n v="990"/>
    <s v="Agencia Información"/>
    <s v="Economía"/>
    <n v="1"/>
    <x v="43"/>
    <x v="12"/>
    <x v="1"/>
    <x v="1"/>
    <x v="1"/>
    <x v="54"/>
    <s v="Periodo 2005-2019"/>
    <s v="CLP"/>
    <s v="Servicio de Impuestos Internos (SII)"/>
    <s v="Renta neta informada de trabajadoras en la Región de Tarapacá, Periodo 2005-2019"/>
    <s v="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
    <s v="Gráfico de Evolución"/>
    <s v="Región de Tarapacá,regional,trabajadoras,mujeres,femenino,género,renta,neta,informada,sii,tamaño,empresa,micro,pequeña,mediana,grande,PYME,Agencia Información,Economía,Renta neta,Empresas"/>
    <s v="https://analytics.zoho.com/open-view/2395394000008038636?ZOHO_CRITERIA=%225.1%20Empresas_Tama%C3%B1o%22.%22Cod_Regi%C3%B3n%22%3D1"/>
    <x v="1"/>
    <s v="#1774B9"/>
  </r>
  <r>
    <s v="0650"/>
    <n v="990"/>
    <s v="Agencia Información"/>
    <s v="Economía"/>
    <n v="2"/>
    <x v="43"/>
    <x v="12"/>
    <x v="1"/>
    <x v="2"/>
    <x v="1"/>
    <x v="54"/>
    <s v="Periodo 2005-2019"/>
    <s v="CLP"/>
    <s v="Servicio de Impuestos Internos (SII)"/>
    <s v="Renta neta informada de trabajadoras en la Región de Antofagasta, Periodo 2005-2019"/>
    <s v="Gráfico que muestra la evolución de la renta neta informada de trabajadoras, por tramo de empresas, a nivel regional, en el periodo 2005-2019, según datos del Servicio de Impuestos Internos (SII)."/>
    <s v="Gráfico de Evolución"/>
    <s v="Región de Antofagasta,regional,trabajadoras,mujeres,femenino,género,renta,neta,informada,sii,tamaño,empresa,micro,pequeña,mediana,grande,PYME,Agencia Información,Economía,Renta neta,Empresas"/>
    <s v="https://analytics.zoho.com/open-view/2395394000008038636?ZOHO_CRITERIA=%225.1%20Empresas_Tama%C3%B1o%22.%22Cod_Regi%C3%B3n%22%3D2"/>
    <x v="2"/>
    <s v="#1774B9"/>
  </r>
  <r>
    <s v="0651"/>
    <n v="990"/>
    <s v="Agencia Información"/>
    <s v="Economía"/>
    <n v="3"/>
    <x v="43"/>
    <x v="12"/>
    <x v="1"/>
    <x v="3"/>
    <x v="1"/>
    <x v="54"/>
    <s v="Periodo 2005-2019"/>
    <s v="CLP"/>
    <s v="Servicio de Impuestos Internos (SII)"/>
    <s v="Renta neta informada de trabajadoras en la Región de Atacama, Periodo 2005-2019"/>
    <s v="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
    <s v="Gráfico de Evolución"/>
    <s v="Región de Atacama,regional,trabajadoras,mujeres,femenino,género,renta,neta,informada,sii,tamaño,empresa,micro,pequeña,mediana,grande,PYME,Agencia Información,Economía,Renta neta,Empresas"/>
    <s v="https://analytics.zoho.com/open-view/2395394000008038636?ZOHO_CRITERIA=%225.1%20Empresas_Tama%C3%B1o%22.%22Cod_Regi%C3%B3n%22%3D3"/>
    <x v="3"/>
    <s v="#1774B9"/>
  </r>
  <r>
    <s v="0652"/>
    <n v="990"/>
    <s v="Agencia Información"/>
    <s v="Economía"/>
    <n v="4"/>
    <x v="43"/>
    <x v="12"/>
    <x v="1"/>
    <x v="4"/>
    <x v="1"/>
    <x v="54"/>
    <s v="Periodo 2005-2019"/>
    <s v="CLP"/>
    <s v="Servicio de Impuestos Internos (SII)"/>
    <s v="Renta neta informada de trabajadoras en la Región de Coquimbo, Periodo 2005-2019"/>
    <s v="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regional,trabajadoras,mujeres,femenino,género,renta,neta,informada,sii,tamaño,empresa,micro,pequeña,mediana,grande,PYME,Agencia Información,Economía,Renta neta,Empresas"/>
    <s v="https://analytics.zoho.com/open-view/2395394000008038636?ZOHO_CRITERIA=%225.1%20Empresas_Tama%C3%B1o%22.%22Cod_Regi%C3%B3n%22%3D4"/>
    <x v="4"/>
    <s v="#1774B9"/>
  </r>
  <r>
    <s v="0653"/>
    <n v="990"/>
    <s v="Agencia Información"/>
    <s v="Economía"/>
    <n v="5"/>
    <x v="43"/>
    <x v="12"/>
    <x v="1"/>
    <x v="5"/>
    <x v="1"/>
    <x v="54"/>
    <s v="Periodo 2005-2019"/>
    <s v="CLP"/>
    <s v="Servicio de Impuestos Internos (SII)"/>
    <s v="Renta neta informada de trabajadoras en la Región de Valparaíso, Periodo 2005-2019"/>
    <s v="Gráfico que muestra la evolución de la renta neta informada de trabajadoras, por tramo de empresas, a nivel regional, en el periodo 2005-2019, según datos del Servicio de Impuestos Internos (SII)."/>
    <s v="Gráfico de Evolución"/>
    <s v="Región de Valparaíso,regional,trabajadoras,mujeres,femenino,género,renta,neta,informada,sii,tamaño,empresa,micro,pequeña,mediana,grande,PYME,Agencia Información,Economía,Renta neta,Empresas"/>
    <s v="https://analytics.zoho.com/open-view/2395394000008038636?ZOHO_CRITERIA=%225.1%20Empresas_Tama%C3%B1o%22.%22Cod_Regi%C3%B3n%22%3D5"/>
    <x v="5"/>
    <s v="#1774B9"/>
  </r>
  <r>
    <s v="0654"/>
    <n v="990"/>
    <s v="Agencia Información"/>
    <s v="Economía"/>
    <n v="6"/>
    <x v="43"/>
    <x v="12"/>
    <x v="1"/>
    <x v="6"/>
    <x v="1"/>
    <x v="54"/>
    <s v="Periodo 2005-2019"/>
    <s v="CLP"/>
    <s v="Servicio de Impuestos Internos (SII)"/>
    <s v="Renta neta informada de trabajadoras en la Región de O'Higgins, Periodo 2005-2019"/>
    <s v="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
    <s v="Gráfico de Evolución"/>
    <s v="Región de O'Higgins,regional,trabajadoras,mujeres,femenino,género,renta,neta,informada,sii,tamaño,empresa,micro,pequeña,mediana,grande,PYME,Agencia Información,Economía,Renta neta,Empresas"/>
    <s v="https://analytics.zoho.com/open-view/2395394000008038636?ZOHO_CRITERIA=%225.1%20Empresas_Tama%C3%B1o%22.%22Cod_Regi%C3%B3n%22%3D6"/>
    <x v="6"/>
    <s v="#1774B9"/>
  </r>
  <r>
    <s v="0655"/>
    <n v="990"/>
    <s v="Agencia Información"/>
    <s v="Economía"/>
    <n v="7"/>
    <x v="43"/>
    <x v="12"/>
    <x v="1"/>
    <x v="7"/>
    <x v="1"/>
    <x v="54"/>
    <s v="Periodo 2005-2019"/>
    <s v="CLP"/>
    <s v="Servicio de Impuestos Internos (SII)"/>
    <s v="Renta neta informada de trabajadoras en la Región de Maule, Periodo 2005-2019"/>
    <s v="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
    <s v="Gráfico de Evolución"/>
    <s v="Región de Maule,regional,trabajadoras,mujeres,femenino,género,renta,neta,informada,sii,tamaño,empresa,micro,pequeña,mediana,grande,PYME,Agencia Información,Economía,Renta neta,Empresas"/>
    <s v="https://analytics.zoho.com/open-view/2395394000008038636?ZOHO_CRITERIA=%225.1%20Empresas_Tama%C3%B1o%22.%22Cod_Regi%C3%B3n%22%3D7"/>
    <x v="7"/>
    <s v="#1774B9"/>
  </r>
  <r>
    <s v="0656"/>
    <n v="990"/>
    <s v="Agencia Información"/>
    <s v="Economía"/>
    <n v="8"/>
    <x v="43"/>
    <x v="12"/>
    <x v="1"/>
    <x v="8"/>
    <x v="1"/>
    <x v="54"/>
    <s v="Periodo 2005-2019"/>
    <s v="CLP"/>
    <s v="Servicio de Impuestos Internos (SII)"/>
    <s v="Renta neta informada de trabajadoras en la Región del Biobío, Periodo 2005-2019"/>
    <s v="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
    <s v="Gráfico de Evolución"/>
    <s v="Región del Biobío,regional,trabajadoras,mujeres,femenino,género,renta,neta,informada,sii,tamaño,empresa,micro,pequeña,mediana,grande,PYME,Agencia Información,Economía,Renta neta,Empresas"/>
    <s v="https://analytics.zoho.com/open-view/2395394000008038636?ZOHO_CRITERIA=%225.1%20Empresas_Tama%C3%B1o%22.%22Cod_Regi%C3%B3n%22%3D8"/>
    <x v="8"/>
    <s v="#1774B9"/>
  </r>
  <r>
    <s v="0657"/>
    <n v="990"/>
    <s v="Agencia Información"/>
    <s v="Economía"/>
    <n v="9"/>
    <x v="43"/>
    <x v="12"/>
    <x v="1"/>
    <x v="9"/>
    <x v="1"/>
    <x v="54"/>
    <s v="Periodo 2005-2019"/>
    <s v="CLP"/>
    <s v="Servicio de Impuestos Internos (SII)"/>
    <s v="Renta neta informada de trabajadoras en la Región de La Araucanía, Periodo 2005-2019"/>
    <s v="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
    <s v="Gráfico de Evolución"/>
    <s v="Región de La Araucanía,regional,trabajadoras,mujeres,femenino,género,renta,neta,informada,sii,tamaño,empresa,micro,pequeña,mediana,grande,PYME,Agencia Información,Economía,Renta neta,Empresas"/>
    <s v="https://analytics.zoho.com/open-view/2395394000008038636?ZOHO_CRITERIA=%225.1%20Empresas_Tama%C3%B1o%22.%22Cod_Regi%C3%B3n%22%3D9"/>
    <x v="9"/>
    <s v="#1774B9"/>
  </r>
  <r>
    <s v="0658"/>
    <n v="990"/>
    <s v="Agencia Información"/>
    <s v="Economía"/>
    <n v="10"/>
    <x v="43"/>
    <x v="12"/>
    <x v="1"/>
    <x v="10"/>
    <x v="1"/>
    <x v="54"/>
    <s v="Periodo 2005-2019"/>
    <s v="CLP"/>
    <s v="Servicio de Impuestos Internos (SII)"/>
    <s v="Renta neta informada de trabajadoras en la Región de Los Lagos, Periodo 2005-2019"/>
    <s v="Gráfico que muestra la evolución de la renta neta informada de trabajadoras, por tramo de empresas, a nivel regional, en el periodo 2005-2019, según datos del Servicio de Impuestos Internos (SII)."/>
    <s v="Gráfico de Evolución"/>
    <s v="Región de Los Lagos,regional,trabajadoras,mujeres,femenino,género,renta,neta,informada,sii,tamaño,empresa,micro,pequeña,mediana,grande,PYME,Agencia Información,Economía,Renta neta,Empresas"/>
    <s v="https://analytics.zoho.com/open-view/2395394000008038636?ZOHO_CRITERIA=%225.1%20Empresas_Tama%C3%B1o%22.%22Cod_Regi%C3%B3n%22%3D10"/>
    <x v="10"/>
    <s v="#1774B9"/>
  </r>
  <r>
    <s v="0659"/>
    <n v="990"/>
    <s v="Agencia Información"/>
    <s v="Economía"/>
    <n v="11"/>
    <x v="43"/>
    <x v="12"/>
    <x v="1"/>
    <x v="11"/>
    <x v="1"/>
    <x v="54"/>
    <s v="Periodo 2005-2019"/>
    <s v="CLP"/>
    <s v="Servicio de Impuestos Internos (SII)"/>
    <s v="Renta neta informada de trabajadoras en la Región de Aysén, Periodo 2005-2019"/>
    <s v="Gráfico que muestra la evolución de la renta neta informada de trabajadoras, por tramo de empresas, a nivel regional, en el periodo 2005-2019, según datos del Servicio de Impuestos Internos (SII)."/>
    <s v="Gráfico de Evolución"/>
    <s v="Región de Aysén,regional,trabajadoras,mujeres,femenino,género,renta,neta,informada,sii,tamaño,empresa,micro,pequeña,mediana,grande,PYME,Agencia Información,Economía,Renta neta,Empresas"/>
    <s v="https://analytics.zoho.com/open-view/2395394000008038636?ZOHO_CRITERIA=%225.1%20Empresas_Tama%C3%B1o%22.%22Cod_Regi%C3%B3n%22%3D11"/>
    <x v="11"/>
    <s v="#1774B9"/>
  </r>
  <r>
    <s v="0660"/>
    <n v="990"/>
    <s v="Agencia Información"/>
    <s v="Economía"/>
    <n v="12"/>
    <x v="43"/>
    <x v="12"/>
    <x v="1"/>
    <x v="12"/>
    <x v="1"/>
    <x v="54"/>
    <s v="Periodo 2005-2019"/>
    <s v="CLP"/>
    <s v="Servicio de Impuestos Internos (SII)"/>
    <s v="Renta neta informada de trabajadoras en la Región de Magallanes, Periodo 2005-2019"/>
    <s v="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
    <s v="Gráfico de Evolución"/>
    <s v="Región de Magallanes,regional,trabajadoras,mujeres,femenino,género,renta,neta,informada,sii,tamaño,empresa,micro,pequeña,mediana,grande,PYME,Agencia Información,Economía,Renta neta,Empresas"/>
    <s v="https://analytics.zoho.com/open-view/2395394000008038636?ZOHO_CRITERIA=%225.1%20Empresas_Tama%C3%B1o%22.%22Cod_Regi%C3%B3n%22%3D12"/>
    <x v="12"/>
    <s v="#1774B9"/>
  </r>
  <r>
    <s v="0661"/>
    <n v="990"/>
    <s v="Agencia Información"/>
    <s v="Economía"/>
    <n v="13"/>
    <x v="43"/>
    <x v="12"/>
    <x v="1"/>
    <x v="13"/>
    <x v="1"/>
    <x v="54"/>
    <s v="Periodo 2005-2019"/>
    <s v="CLP"/>
    <s v="Servicio de Impuestos Internos (SII)"/>
    <s v="Renta neta informada de trabajadoras en la Región Metropolitana, Periodo 2005-2019"/>
    <s v="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Región Metropolitana,regional,trabajadoras,mujeres,femenino,género,renta,neta,informada,sii,tamaño,empresa,micro,pequeña,mediana,grande,PYME,Agencia Información,Economía,Renta neta,Empresas"/>
    <s v="https://analytics.zoho.com/open-view/2395394000008038636?ZOHO_CRITERIA=%225.1%20Empresas_Tama%C3%B1o%22.%22Cod_Regi%C3%B3n%22%3D13"/>
    <x v="13"/>
    <s v="#1774B9"/>
  </r>
  <r>
    <s v="0662"/>
    <n v="990"/>
    <s v="Agencia Información"/>
    <s v="Economía"/>
    <n v="14"/>
    <x v="43"/>
    <x v="12"/>
    <x v="1"/>
    <x v="14"/>
    <x v="1"/>
    <x v="54"/>
    <s v="Periodo 2005-2019"/>
    <s v="CLP"/>
    <s v="Servicio de Impuestos Internos (SII)"/>
    <s v="Renta neta informada de trabajadoras en la Región de Los Ríos, Periodo 2005-2019"/>
    <s v="Gráfico que muestra la evolución de la renta neta informada de trabajadoras, por tramo de empresas, a nivel regional, en el periodo 2005-2019, según datos del Servicio de Impuestos Internos (SII)."/>
    <s v="Gráfico de Evolución"/>
    <s v="Región de Los Ríos,regional,trabajadoras,mujeres,femenino,género,renta,neta,informada,sii,tamaño,empresa,micro,pequeña,mediana,grande,PYME,Agencia Información,Economía,Renta neta,Empresas"/>
    <s v="https://analytics.zoho.com/open-view/2395394000008038636?ZOHO_CRITERIA=%225.1%20Empresas_Tama%C3%B1o%22.%22Cod_Regi%C3%B3n%22%3D14"/>
    <x v="14"/>
    <s v="#1774B9"/>
  </r>
  <r>
    <s v="0663"/>
    <n v="990"/>
    <s v="Agencia Información"/>
    <s v="Economía"/>
    <n v="15"/>
    <x v="43"/>
    <x v="12"/>
    <x v="1"/>
    <x v="15"/>
    <x v="1"/>
    <x v="54"/>
    <s v="Periodo 2005-2019"/>
    <s v="CLP"/>
    <s v="Servicio de Impuestos Internos (SII)"/>
    <s v="Renta neta informada de trabajadoras en la Región de Arica y Parinacota, Periodo 2005-2019"/>
    <s v="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
    <s v="Gráfico de Evolución"/>
    <s v="Región de Arica y Parinacota,regional,trabajadoras,mujeres,femenino,género,renta,neta,informada,sii,tamaño,empresa,micro,pequeña,mediana,grande,PYME,Agencia Información,Economía,Renta neta,Empresas"/>
    <s v="https://analytics.zoho.com/open-view/2395394000008038636?ZOHO_CRITERIA=%225.1%20Empresas_Tama%C3%B1o%22.%22Cod_Regi%C3%B3n%22%3D15"/>
    <x v="15"/>
    <s v="#1774B9"/>
  </r>
  <r>
    <s v="0664"/>
    <n v="990"/>
    <s v="Agencia Información"/>
    <s v="Economía"/>
    <n v="16"/>
    <x v="43"/>
    <x v="12"/>
    <x v="1"/>
    <x v="16"/>
    <x v="1"/>
    <x v="54"/>
    <s v="Periodo 2005-2019"/>
    <s v="CLP"/>
    <s v="Servicio de Impuestos Internos (SII)"/>
    <s v="Renta neta informada de trabajadoras en la Región de Ñuble, Periodo 2005-2019"/>
    <s v="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
    <s v="Gráfico de Evolución"/>
    <s v="Región de Ñuble,regional,trabajadoras,mujeres,femenino,género,renta,neta,informada,sii,tamaño,empresa,micro,pequeña,mediana,grande,PYME,Agencia Información,Economía,Renta neta,Empresas"/>
    <s v="https://analytics.zoho.com/open-view/2395394000008038636?ZOHO_CRITERIA=%225.1%20Empresas_Tama%C3%B1o%22.%22Cod_Regi%C3%B3n%22%3D16"/>
    <x v="16"/>
    <s v="#1774B9"/>
  </r>
  <r>
    <s v="0665"/>
    <n v="990"/>
    <s v="Agencia Información"/>
    <s v="Economía"/>
    <n v="0"/>
    <x v="44"/>
    <x v="12"/>
    <x v="0"/>
    <x v="0"/>
    <x v="0"/>
    <x v="55"/>
    <s v="Periodo 2005-2019"/>
    <s v="Número de empresas"/>
    <s v="Servicio de Impuestos Internos (SII)"/>
    <s v="Número de Empresas por Tamaño según ventas en Chile, Periodo 2005-2019"/>
    <s v="A nivel nacional se observa un crecimiento en los últimos años, en el número de empresas por tamaño según ventas en Chile, en el periodo 2005-2019, destacando el año 2019 con el mayor crecimiento."/>
    <s v="Gráfico de Evolución"/>
    <s v="Chile,empresas,regional,tramos,ventas,uf,micro,mediana,grande,pequeña,PYME,sii,Agencia Información,Economía,Empresas por tamaño,Empresas"/>
    <s v="https://analytics.zoho.com/open-view/2395394000008438077"/>
    <x v="0"/>
    <s v="#1774B9"/>
  </r>
  <r>
    <s v="0666"/>
    <n v="990"/>
    <s v="Agencia Información"/>
    <s v="Economía"/>
    <n v="1"/>
    <x v="44"/>
    <x v="12"/>
    <x v="1"/>
    <x v="1"/>
    <x v="1"/>
    <x v="55"/>
    <s v="Periodo 2005-2019"/>
    <s v="Número de empresas"/>
    <s v="Servicio de Impuestos Internos (SII)"/>
    <s v="Número de Empresas por Tamaño según ventas en la Región de Tarapacá, Periodo 2005-2019"/>
    <s v="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
    <s v="Gráfico de Evolución"/>
    <s v="Región de Tarapacá,empresas,regional,tramos,ventas,uf,micro,mediana,grande,pequeña,PYME,sii,Agencia Información,Economía,Empresas por tamaño,Empresas"/>
    <s v="https://analytics.zoho.com/open-view/2395394000008039000?ZOHO_CRITERIA=%225.1%20Empresas_Tama%C3%B1o%22.%22Cod_Regi%C3%B3n%22%3D1"/>
    <x v="1"/>
    <s v="#1774B9"/>
  </r>
  <r>
    <s v="0667"/>
    <n v="990"/>
    <s v="Agencia Información"/>
    <s v="Economía"/>
    <n v="2"/>
    <x v="44"/>
    <x v="12"/>
    <x v="1"/>
    <x v="2"/>
    <x v="1"/>
    <x v="55"/>
    <s v="Periodo 2005-2019"/>
    <s v="Número de empresas"/>
    <s v="Servicio de Impuestos Internos (SII)"/>
    <s v="Número de Empresas por Tamaño según ventas en la Región de Antofagasta, Periodo 2005-2019"/>
    <s v="Gráfico que muestra la evolución del número de empresas por tamaño, según ventas en la región de Antofagasta, en el periodo 2005-2019, según información entregada por el Servicio de Impuestos Internos (SII)."/>
    <s v="Gráfico de Evolución"/>
    <s v="Región de Antofagasta,empresas,regional,tramos,ventas,uf,micro,mediana,grande,pequeña,PYME,sii,Agencia Información,Economía,Empresas por tamaño,Empresas"/>
    <s v="https://analytics.zoho.com/open-view/2395394000008039000?ZOHO_CRITERIA=%225.1%20Empresas_Tama%C3%B1o%22.%22Cod_Regi%C3%B3n%22%3D2"/>
    <x v="2"/>
    <s v="#1774B9"/>
  </r>
  <r>
    <s v="0668"/>
    <n v="990"/>
    <s v="Agencia Información"/>
    <s v="Economía"/>
    <n v="3"/>
    <x v="44"/>
    <x v="12"/>
    <x v="1"/>
    <x v="3"/>
    <x v="1"/>
    <x v="55"/>
    <s v="Periodo 2005-2019"/>
    <s v="Número de empresas"/>
    <s v="Servicio de Impuestos Internos (SII)"/>
    <s v="Número de Empresas por Tamaño según ventas en la Región de Atacama, Periodo 2005-2019"/>
    <s v="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
    <s v="Gráfico de Evolución"/>
    <s v="Región de Atacama,empresas,regional,tramos,ventas,uf,micro,mediana,grande,pequeña,PYME,sii,Agencia Información,Economía,Empresas por tamaño,Empresas"/>
    <s v="https://analytics.zoho.com/open-view/2395394000008039000?ZOHO_CRITERIA=%225.1%20Empresas_Tama%C3%B1o%22.%22Cod_Regi%C3%B3n%22%3D3"/>
    <x v="3"/>
    <s v="#1774B9"/>
  </r>
  <r>
    <s v="0669"/>
    <n v="990"/>
    <s v="Agencia Información"/>
    <s v="Economía"/>
    <n v="4"/>
    <x v="44"/>
    <x v="12"/>
    <x v="1"/>
    <x v="4"/>
    <x v="1"/>
    <x v="55"/>
    <s v="Periodo 2005-2019"/>
    <s v="Número de empresas"/>
    <s v="Servicio de Impuestos Internos (SII)"/>
    <s v="Número de Empresas por Tamaño según ventas en la Región de Coquimbo, Periodo 2005-2019"/>
    <s v="El número de empresas aumentó sostenidamente durante los años comprendidos en el periodo 2005-2019, en la región de Coquimbo. Las empresas correspondientes al tramo Sin Ventas, presentan el mayor crecimiento durante todo este periodo, seguido por los tramos Micro 3 y Micro 1."/>
    <s v="Gráfico de Evolución"/>
    <s v="Región de Coquimbo,empresas,regional,tramos,ventas,uf,micro,mediana,grande,pequeña,PYME,sii,Agencia Información,Economía,Empresas por tamaño,Empresas"/>
    <s v="https://analytics.zoho.com/open-view/2395394000008039000?ZOHO_CRITERIA=%225.1%20Empresas_Tama%C3%B1o%22.%22Cod_Regi%C3%B3n%22%3D4"/>
    <x v="4"/>
    <s v="#1774B9"/>
  </r>
  <r>
    <s v="0670"/>
    <n v="990"/>
    <s v="Agencia Información"/>
    <s v="Economía"/>
    <n v="5"/>
    <x v="44"/>
    <x v="12"/>
    <x v="1"/>
    <x v="5"/>
    <x v="1"/>
    <x v="55"/>
    <s v="Periodo 2005-2019"/>
    <s v="Número de empresas"/>
    <s v="Servicio de Impuestos Internos (SII)"/>
    <s v="Número de Empresas por Tamaño según ventas en la Región de Valparaíso, Periodo 2005-2019"/>
    <s v="Gráfico que muestra la evolución del número de empresas por tamaño, según ventas en la región de Valparaíso, en el periodo 2005-2019, según información entregada por el Servicio de Impuestos Internos (SII)."/>
    <s v="Gráfico de Evolución"/>
    <s v="Región de Valparaíso,empresas,regional,tramos,ventas,uf,micro,mediana,grande,pequeña,PYME,sii,Agencia Información,Economía,Empresas por tamaño,Empresas"/>
    <s v="https://analytics.zoho.com/open-view/2395394000008039000?ZOHO_CRITERIA=%225.1%20Empresas_Tama%C3%B1o%22.%22Cod_Regi%C3%B3n%22%3D5"/>
    <x v="5"/>
    <s v="#1774B9"/>
  </r>
  <r>
    <s v="0671"/>
    <n v="990"/>
    <s v="Agencia Información"/>
    <s v="Economía"/>
    <n v="6"/>
    <x v="44"/>
    <x v="12"/>
    <x v="1"/>
    <x v="6"/>
    <x v="1"/>
    <x v="55"/>
    <s v="Periodo 2005-2019"/>
    <s v="Número de empresas"/>
    <s v="Servicio de Impuestos Internos (SII)"/>
    <s v="Número de Empresas por Tamaño según ventas en la Región de O'Higgins, Periodo 2005-2019"/>
    <s v="El número de empresas aumentó sostenidamente durante los años comprendidos en el periodo 2005-2019, en la región de O'Higgins. En el año 2019 las empresas correspondientes al tramo Sin Ventas, presentan el mayor crecimiento, seguido por los tramos Micro 1 y Micro 3."/>
    <s v="Gráfico de Evolución"/>
    <s v="Región de O'Higgins,empresas,regional,tramos,ventas,uf,micro,mediana,grande,pequeña,PYME,sii,Agencia Información,Economía,Empresas por tamaño,Empresas"/>
    <s v="https://analytics.zoho.com/open-view/2395394000008039000?ZOHO_CRITERIA=%225.1%20Empresas_Tama%C3%B1o%22.%22Cod_Regi%C3%B3n%22%3D6"/>
    <x v="6"/>
    <s v="#1774B9"/>
  </r>
  <r>
    <s v="0672"/>
    <n v="990"/>
    <s v="Agencia Información"/>
    <s v="Economía"/>
    <n v="7"/>
    <x v="44"/>
    <x v="12"/>
    <x v="1"/>
    <x v="7"/>
    <x v="1"/>
    <x v="55"/>
    <s v="Periodo 2005-2019"/>
    <s v="Número de empresas"/>
    <s v="Servicio de Impuestos Internos (SII)"/>
    <s v="Número de Empresas por Tamaño según ventas en la Región de Maule, Periodo 2005-2019"/>
    <s v="El número de empresas aumentó sostenidamente durante los años comprendidos en el periodo 2005-2019, en la región de Maule. En el año 2019 las empresas correspondientes al tramo Sin Ventas, presentan el mayor crecimiento, seguido por los tramos Micro 1 y Micro 2."/>
    <s v="Gráfico de Evolución"/>
    <s v="Región de Maule,empresas,regional,tramos,ventas,uf,micro,mediana,grande,pequeña,PYME,sii,Agencia Información,Economía,Empresas por tamaño,Empresas"/>
    <s v="https://analytics.zoho.com/open-view/2395394000008039000?ZOHO_CRITERIA=%225.1%20Empresas_Tama%C3%B1o%22.%22Cod_Regi%C3%B3n%22%3D7"/>
    <x v="7"/>
    <s v="#1774B9"/>
  </r>
  <r>
    <s v="0673"/>
    <n v="990"/>
    <s v="Agencia Información"/>
    <s v="Economía"/>
    <n v="8"/>
    <x v="44"/>
    <x v="12"/>
    <x v="1"/>
    <x v="8"/>
    <x v="1"/>
    <x v="55"/>
    <s v="Periodo 2005-2019"/>
    <s v="Número de empresas"/>
    <s v="Servicio de Impuestos Internos (SII)"/>
    <s v="Número de Empresas por Tamaño según ventas en la Región del Biobío, Periodo 2005-2019"/>
    <s v="Gráfico que muestra la evolución del número de empresas por tamaño, según ventas en la región de Biobío, en el periodo 2005-2019, según información entregada por el Servicio de Impuestos Internos (SII)."/>
    <s v="Gráfico de Evolución"/>
    <s v="Región del Biobío,empresas,regional,tramos,ventas,uf,micro,mediana,grande,pequeña,PYME,sii,Agencia Información,Economía,Empresas por tamaño,Empresas"/>
    <s v="https://analytics.zoho.com/open-view/2395394000008039000?ZOHO_CRITERIA=%225.1%20Empresas_Tama%C3%B1o%22.%22Cod_Regi%C3%B3n%22%3D8"/>
    <x v="8"/>
    <s v="#1774B9"/>
  </r>
  <r>
    <s v="0674"/>
    <n v="990"/>
    <s v="Agencia Información"/>
    <s v="Economía"/>
    <n v="9"/>
    <x v="44"/>
    <x v="12"/>
    <x v="1"/>
    <x v="9"/>
    <x v="1"/>
    <x v="55"/>
    <s v="Periodo 2005-2019"/>
    <s v="Número de empresas"/>
    <s v="Servicio de Impuestos Internos (SII)"/>
    <s v="Número de Empresas por Tamaño según ventas en la Región de La Araucanía, Periodo 2005-2019"/>
    <s v="El número de empresas aumentó sostenidamente durante los años comprendidos en el periodo 2005-2019, en la región de La Araucanía. En el año 2019 las empresas correspondientes al tramo Sin Ventas, presentan el mayor crecimiento, seguido por el tramo Micro 3."/>
    <s v="Gráfico de Evolución"/>
    <s v="Región de La Araucanía,empresas,regional,tramos,ventas,uf,micro,mediana,grande,pequeña,PYME,sii,Agencia Información,Economía,Empresas por tamaño,Empresas"/>
    <s v="https://analytics.zoho.com/open-view/2395394000008039000?ZOHO_CRITERIA=%225.1%20Empresas_Tama%C3%B1o%22.%22Cod_Regi%C3%B3n%22%3D9"/>
    <x v="9"/>
    <s v="#1774B9"/>
  </r>
  <r>
    <s v="0675"/>
    <n v="990"/>
    <s v="Agencia Información"/>
    <s v="Economía"/>
    <n v="10"/>
    <x v="44"/>
    <x v="12"/>
    <x v="1"/>
    <x v="10"/>
    <x v="1"/>
    <x v="55"/>
    <s v="Periodo 2005-2019"/>
    <s v="Número de empresas"/>
    <s v="Servicio de Impuestos Internos (SII)"/>
    <s v="Número de Empresas por Tamaño según ventas en la Región de Los Lagos, Periodo 2005-2019"/>
    <s v="Gráfico que muestra la evolución del número de empresas por tamaño, según ventas en la región de Los Lagos, en el periodo 2005-2019, según información entregada por el Servicio de Impuestos Internos (SII)."/>
    <s v="Gráfico de Evolución"/>
    <s v="Región de Los Lagos,empresas,regional,tramos,ventas,uf,micro,mediana,grande,pequeña,PYME,sii,Agencia Información,Economía,Empresas por tamaño,Empresas"/>
    <s v="https://analytics.zoho.com/open-view/2395394000008039000?ZOHO_CRITERIA=%225.1%20Empresas_Tama%C3%B1o%22.%22Cod_Regi%C3%B3n%22%3D10"/>
    <x v="10"/>
    <s v="#1774B9"/>
  </r>
  <r>
    <s v="0676"/>
    <n v="990"/>
    <s v="Agencia Información"/>
    <s v="Economía"/>
    <n v="11"/>
    <x v="44"/>
    <x v="12"/>
    <x v="1"/>
    <x v="11"/>
    <x v="1"/>
    <x v="55"/>
    <s v="Periodo 2005-2019"/>
    <s v="Número de empresas"/>
    <s v="Servicio de Impuestos Internos (SII)"/>
    <s v="Número de Empresas por Tamaño según ventas en la Región de Aysén, Periodo 2005-2019"/>
    <s v="El número de empresas aumentó sostenidamente durante los años comprendidos en el periodo 2005-2019, en la región de Aysén. En el año 2019 las empresas correspondientes al tramo Micro 1, presentan el mayor crecimiento, seguido por el tramo Sin Ventas."/>
    <s v="Gráfico de Evolución"/>
    <s v="Región de Aysén,empresas,regional,tramos,ventas,uf,micro,mediana,grande,pequeña,PYME,sii,Agencia Información,Economía,Empresas por tamaño,Empresas"/>
    <s v="https://analytics.zoho.com/open-view/2395394000008039000?ZOHO_CRITERIA=%225.1%20Empresas_Tama%C3%B1o%22.%22Cod_Regi%C3%B3n%22%3D11"/>
    <x v="11"/>
    <s v="#1774B9"/>
  </r>
  <r>
    <s v="0677"/>
    <n v="990"/>
    <s v="Agencia Información"/>
    <s v="Economía"/>
    <n v="12"/>
    <x v="44"/>
    <x v="12"/>
    <x v="1"/>
    <x v="12"/>
    <x v="1"/>
    <x v="55"/>
    <s v="Periodo 2005-2019"/>
    <s v="Número de empresas"/>
    <s v="Servicio de Impuestos Internos (SII)"/>
    <s v="Número de Empresas por Tamaño según ventas en la Región de Magallanes, Periodo 2005-2019"/>
    <s v="Gráfico que muestra la evolución del número de empresas por tamaño, según ventas en la región de Magallanes, en el periodo 2005-2019, según información entregada por el Servicio de Impuestos Internos (SII)."/>
    <s v="Gráfico de Evolución"/>
    <s v="Región de Magallanes,empresas,regional,tramos,ventas,uf,micro,mediana,grande,pequeña,PYME,sii,Agencia Información,Economía,Empresas por tamaño,Empresas"/>
    <s v="https://analytics.zoho.com/open-view/2395394000008039000?ZOHO_CRITERIA=%225.1%20Empresas_Tama%C3%B1o%22.%22Cod_Regi%C3%B3n%22%3D12"/>
    <x v="12"/>
    <s v="#1774B9"/>
  </r>
  <r>
    <s v="0678"/>
    <n v="990"/>
    <s v="Agencia Información"/>
    <s v="Economía"/>
    <n v="13"/>
    <x v="44"/>
    <x v="12"/>
    <x v="1"/>
    <x v="13"/>
    <x v="1"/>
    <x v="55"/>
    <s v="Periodo 2005-2019"/>
    <s v="Número de empresas"/>
    <s v="Servicio de Impuestos Internos (SII)"/>
    <s v="Número de Empresas por Tamaño según ventas en la Región Metropolitana, Periodo 2005-2019"/>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empresas,regional,tramos,ventas,uf,micro,mediana,grande,pequeña,PYME,sii,Agencia Información,Economía,Empresas por tamaño,Empresas"/>
    <s v="https://analytics.zoho.com/open-view/2395394000008039000?ZOHO_CRITERIA=%225.1%20Empresas_Tama%C3%B1o%22.%22Cod_Regi%C3%B3n%22%3D13"/>
    <x v="13"/>
    <s v="#1774B9"/>
  </r>
  <r>
    <s v="0679"/>
    <n v="990"/>
    <s v="Agencia Información"/>
    <s v="Economía"/>
    <n v="14"/>
    <x v="44"/>
    <x v="12"/>
    <x v="1"/>
    <x v="14"/>
    <x v="1"/>
    <x v="55"/>
    <s v="Periodo 2005-2019"/>
    <s v="Número de empresas"/>
    <s v="Servicio de Impuestos Internos (SII)"/>
    <s v="Número de Empresas por Tamaño según ventas en la Región de Los Ríos, Periodo 2005-2019"/>
    <s v="El número de empresas aumentó sostenidamente durante los años comprendidos en el periodo 2005-2019, en la región de Los Ríos. En el año 2019 las empresas correspondientes al tramo Sin Ventas, presentan el mayor crecimiento, seguido por el tramo Micro 1."/>
    <s v="Gráfico de Evolución"/>
    <s v="Región de Los Ríos,empresas,regional,tramos,ventas,uf,micro,mediana,grande,pequeña,PYME,sii,Agencia Información,Economía,Empresas por tamaño,Empresas"/>
    <s v="https://analytics.zoho.com/open-view/2395394000008039000?ZOHO_CRITERIA=%225.1%20Empresas_Tama%C3%B1o%22.%22Cod_Regi%C3%B3n%22%3D14"/>
    <x v="14"/>
    <s v="#1774B9"/>
  </r>
  <r>
    <s v="0680"/>
    <n v="990"/>
    <s v="Agencia Información"/>
    <s v="Economía"/>
    <n v="15"/>
    <x v="44"/>
    <x v="12"/>
    <x v="1"/>
    <x v="15"/>
    <x v="1"/>
    <x v="55"/>
    <s v="Periodo 2005-2019"/>
    <s v="Número de empresas"/>
    <s v="Servicio de Impuestos Internos (SII)"/>
    <s v="Número de Empresas por Tamaño según ventas en la Región de Arica y Parinacota, Periodo 2005-2019"/>
    <s v="El número de empresas aumentó sostenidamente durante los años comprendidos en el periodo 2005-2019, en la región de Arica y Parinacota. El tramo de empresas que presenta mayor crecimiento entre los años 2017-2019 es Micro 1."/>
    <s v="Gráfico de Evolución"/>
    <s v="Región de Arica y Parinacota,empresas,regional,tramos,ventas,uf,micro,mediana,grande,pequeña,PYME,sii,Agencia Información,Economía,Empresas por tamaño,Empresas"/>
    <s v="https://analytics.zoho.com/open-view/2395394000008039000?ZOHO_CRITERIA=%225.1%20Empresas_Tama%C3%B1o%22.%22Cod_Regi%C3%B3n%22%3D15"/>
    <x v="15"/>
    <s v="#1774B9"/>
  </r>
  <r>
    <s v="0681"/>
    <n v="990"/>
    <s v="Agencia Información"/>
    <s v="Economía"/>
    <n v="16"/>
    <x v="44"/>
    <x v="12"/>
    <x v="1"/>
    <x v="16"/>
    <x v="1"/>
    <x v="55"/>
    <s v="Periodo 2005-2019"/>
    <s v="Número de empresas"/>
    <s v="Servicio de Impuestos Internos (SII)"/>
    <s v="Número de Empresas por Tamaño según ventas en la Región de Ñuble, Periodo 2005-2019"/>
    <s v="El número de empresas aumentó sostenidamente durante los años comprendidos en el periodo 2005-2019, en la región de Ñuble. En el año 2019 las empresas correspondientes al tramo Sin Ventas, presentan el mayor crecimiento, seguido por el tramo Micro 1."/>
    <s v="Gráfico de Evolución"/>
    <s v="Región de Ñuble,empresas,regional,tramos,ventas,uf,micro,mediana,grande,pequeña,PYME,sii,Agencia Información,Economía,Empresas por tamaño,Empresas"/>
    <s v="https://analytics.zoho.com/open-view/2395394000008039000?ZOHO_CRITERIA=%225.1%20Empresas_Tama%C3%B1o%22.%22Cod_Regi%C3%B3n%22%3D16"/>
    <x v="16"/>
    <s v="#1774B9"/>
  </r>
  <r>
    <s v="0682"/>
    <n v="990"/>
    <s v="Agencia Información"/>
    <s v="Salud"/>
    <n v="0"/>
    <x v="45"/>
    <x v="15"/>
    <x v="0"/>
    <x v="0"/>
    <x v="9"/>
    <x v="32"/>
    <s v="Año 2018"/>
    <s v="Personas"/>
    <s v="Departamento de Estadísticas e Información de la Salud (DEIS) - Ministerio de Salud"/>
    <s v="Población en Control del Programa de Salud Cardiovascular en Chile, Año 2018"/>
    <s v="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
    <s v="Gráfico"/>
    <s v="Chile,enfermedad,cardiovascular,PSCV,casos,población,control,programa,condiciones,riesgo,patologías,hipertensión,enfermedad,renal,dislipidemias,infartoAgencia Información,Salud,Programa de Salud Cardiovascular,Programas de Salud"/>
    <s v="https://analytics.zoho.com/open-view/2395394000008043046"/>
    <x v="34"/>
    <s v="#1774B9"/>
  </r>
  <r>
    <s v="0683"/>
    <n v="990"/>
    <s v="Agencia Información"/>
    <s v="Medio Ambiente"/>
    <n v="0"/>
    <x v="46"/>
    <x v="20"/>
    <x v="0"/>
    <x v="0"/>
    <x v="1"/>
    <x v="56"/>
    <s v="Periodo 1990-2018"/>
    <s v="Kilotoneladas"/>
    <s v="Sistema Nacional de Inventarios de Gases de Efecto Invernadero"/>
    <s v="Mapa de Absorciones (kt) de CO2 por Región, Chile, Periodo 1990-2018"/>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GEI,absorciones,CO2,dióxido,carbono,regiones,gas,efecto,invernadero,Agencia Información,Medio Ambiente,Absorciones GEI,Inventario de Gases de Efecto Invernadero (GEI)"/>
    <s v="https://analytics.zoho.com/open-view/2395394000007900622"/>
    <x v="34"/>
    <s v="#1774B9"/>
  </r>
  <r>
    <s v="0684"/>
    <n v="990"/>
    <s v="Agencia Información"/>
    <s v="Medio Ambiente"/>
    <n v="0"/>
    <x v="31"/>
    <x v="20"/>
    <x v="0"/>
    <x v="0"/>
    <x v="1"/>
    <x v="57"/>
    <s v="Periodo 1990-2018"/>
    <s v="Kilotoneladas"/>
    <s v="Sistema Nacional de Inventarios de Gases de Efecto Invernadero"/>
    <s v="Promedio de Emisiones Netas (kt) de CO2 equivalente, Chile, Periodo 1990-2018"/>
    <s v="En el año 1990, se observó la cantidad más baja de emisiones netas de CO2 en el país, con -684 kilotoneladas (kt), mientras que en el año 2017 ocurrió la más alta, alcanzando 6.219 (kt)."/>
    <s v="Gráfico de Evolución"/>
    <s v="Chile,GEI,emisiones,netas,CO2 equivalente,dióxido,carbono,gas,efecto,invernadero,Agencia Información,Medio Ambiente,Emisiones GEI,Inventario de Gases de Efecto Invernadero (GEI)"/>
    <s v="https://analytics.zoho.com/open-view/2395394000007906094"/>
    <x v="34"/>
    <s v="#1774B9"/>
  </r>
  <r>
    <s v="0685"/>
    <n v="990"/>
    <s v="Agencia Información"/>
    <s v="Medio Ambiente"/>
    <n v="0"/>
    <x v="31"/>
    <x v="20"/>
    <x v="0"/>
    <x v="0"/>
    <x v="1"/>
    <x v="58"/>
    <s v="Periodo 1990-2018"/>
    <s v="Kilotoneladas"/>
    <s v="Sistema Nacional de Inventarios de Gases de Efecto Invernadero"/>
    <s v="Emisiones (kt) de CO2 equivalente por Gas en Chile, durante el Periodo 1990-2018"/>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GEI,emisiones,CO2 equivalente,dióxido,carbono,gas,efecto,invernadero,metano,óxido,nitroso,CH4,N2O,HFC,SF6,Agencia Información,Medio Ambiente,Emisiones GEI,Inventario de Gases de Efecto Invernadero (GEI)"/>
    <s v="https://analytics.zoho.com/open-view/2395394000007972705"/>
    <x v="34"/>
    <s v="#1774B9"/>
  </r>
  <r>
    <s v="0686"/>
    <n v="990"/>
    <s v="Agencia Información"/>
    <s v="Medio Ambiente"/>
    <n v="0"/>
    <x v="47"/>
    <x v="20"/>
    <x v="0"/>
    <x v="0"/>
    <x v="1"/>
    <x v="59"/>
    <s v="Año 2018"/>
    <s v="Kilotoneladas"/>
    <s v="Sistema Nacional de Inventarios de Gases de Efecto Invernadero"/>
    <s v="Emisiones y Absorciones (kt) de CO2 equivalente por Subsector en Chile, para el Año 2018"/>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GEI,emisiones,absorciones,CO2 equivalente,dióxido,carbono,subsector,gas,efecto,invernadero,Agencia Información,Medio Ambiente,Emisiones y Absorciones GEI,Inventario de Gases de Efecto Invernadero (GEI)"/>
    <s v="https://analytics.zoho.com/open-view/2395394000008027347"/>
    <x v="34"/>
    <s v="#1774B9"/>
  </r>
  <r>
    <s v="0687"/>
    <n v="990"/>
    <s v="Agencia Información"/>
    <s v="Economía"/>
    <n v="0"/>
    <x v="42"/>
    <x v="12"/>
    <x v="0"/>
    <x v="0"/>
    <x v="0"/>
    <x v="53"/>
    <s v="Periodo 2005-2019"/>
    <s v="Personas"/>
    <s v="Servicio de Impuestos Internos (SII)"/>
    <s v="Número de trabajadores dependientes por sexo, en el rubro B-Explotación minera y canteras, según año comercial y a nivel regional en Chile, Periodo 2005-2019"/>
    <s v="A nivel nacional, según el número de trabajadores dependientes en el rubro B- Explotación mineta y canteras, en el periodo 2005-2019, se observa que el mayor porcentaje son hombres, produciéndose la mayor diferencia el año 2012 con 58.499 hombres y 4.560 mujeres."/>
    <s v="Gráfico"/>
    <s v="Chile,personas,trabajadores,género,sexo,mujeres,hombres,proporción,explotación,canteras,mineras,sii,Agencia Información,Economía,Trabajadores por sexo,Empresas"/>
    <s v="https://analytics.zoho.com/open-view/2395394000008532437"/>
    <x v="0"/>
    <s v="#1774B9"/>
  </r>
  <r>
    <s v="0688"/>
    <n v="990"/>
    <s v="Agencia Información"/>
    <s v="Economía"/>
    <n v="1"/>
    <x v="42"/>
    <x v="12"/>
    <x v="1"/>
    <x v="1"/>
    <x v="1"/>
    <x v="53"/>
    <s v="Periodo 2005-2019"/>
    <s v="Personas"/>
    <s v="Servicio de Impuestos Internos (SII)"/>
    <s v="Número de trabajadores dependientes por sexo, en el rubro B-Explotación minera y canteras, según año comercial en la Región de Tarapacá, Periodo 2005-2019"/>
    <s v="En la Región de Tarapacá, el año 2011 es el que presenta mayor cantidad de trabajadores dependientes en el rubro B-Explotación minera y canteras, 5.711 hombres y 371 mujeres. En tanto el año 2019 registra 2.465 hombres y 191 mujeres."/>
    <s v="Gráfico"/>
    <s v="Región de Tarapacá,personas,trabajadores,género,sexo,mujeres,hombres,proporción,explotación,canteras,mineras,sii,Agencia Información,Economía,Trabajadores por sexo,Empresas"/>
    <s v="https://analytics.zoho.com/open-view/2395394000008438205?ZOHO_CRITERIA=%22Rubros_Todo%22.%22Id_Regi%C3%B3n%22%3D1"/>
    <x v="1"/>
    <s v="#1774B9"/>
  </r>
  <r>
    <s v="0689"/>
    <n v="990"/>
    <s v="Agencia Información"/>
    <s v="Economía"/>
    <n v="2"/>
    <x v="42"/>
    <x v="12"/>
    <x v="1"/>
    <x v="2"/>
    <x v="1"/>
    <x v="53"/>
    <s v="Periodo 2005-2019"/>
    <s v="Personas"/>
    <s v="Servicio de Impuestos Internos (SII)"/>
    <s v="Número de trabajadores dependientes por sexo, en el rubro B-Explotación minera y canteras, según año comercial en la Región de Antofagasta, Periodo 2005-2019"/>
    <s v="Durante el año 2019, en la región de Antofagasta se registraron 9.330 hombres trabajadores dependientes informados y 829 mujeres trabajadoras dependientes informadas, en el rubro B-Explotación minera y canteras."/>
    <s v="Gráfico"/>
    <s v="Región de Antofagasta,personas,trabajadores,género,sexo,mujeres,hombres,proporción,explotación,canteras,mineras,sii,Agencia Información,Economía,Trabajadores por sexo,Empresas"/>
    <s v="https://analytics.zoho.com/open-view/2395394000008438205?ZOHO_CRITERIA=%22Rubros_Todo%22.%22Id_Regi%C3%B3n%22%3D2"/>
    <x v="2"/>
    <s v="#1774B9"/>
  </r>
  <r>
    <s v="0690"/>
    <n v="990"/>
    <s v="Agencia Información"/>
    <s v="Economía"/>
    <n v="3"/>
    <x v="42"/>
    <x v="12"/>
    <x v="1"/>
    <x v="3"/>
    <x v="1"/>
    <x v="53"/>
    <s v="Periodo 2005-2019"/>
    <s v="Personas"/>
    <s v="Servicio de Impuestos Internos (SII)"/>
    <s v="Número de trabajadores dependientes por sexo, en el rubro B-Explotación minera y canteras, según año comercial en la Región de Atacama, Periodo 2005-2019"/>
    <s v="Gráfico que muestra la evolución del número de trabajadores dependientes por sexo en el rubro B - Explotación minera y canteras, en la región de Atacama, periodo 2005 - 2019, según información de Servicio Impuestos Internos (SII)."/>
    <s v="Gráfico"/>
    <s v="Región de Atacama,personas,trabajadores,género,sexo,mujeres,hombres,proporción,explotación,canteras,mineras,sii,Agencia Información,Economía,Trabajadores por sexo,Empresas"/>
    <s v="https://analytics.zoho.com/open-view/2395394000008438205?ZOHO_CRITERIA=%22Rubros_Todo%22.%22Id_Regi%C3%B3n%22%3D3"/>
    <x v="3"/>
    <s v="#1774B9"/>
  </r>
  <r>
    <s v="0691"/>
    <n v="990"/>
    <s v="Agencia Información"/>
    <s v="Economía"/>
    <n v="4"/>
    <x v="42"/>
    <x v="12"/>
    <x v="1"/>
    <x v="4"/>
    <x v="1"/>
    <x v="53"/>
    <s v="Periodo 2005-2019"/>
    <s v="Personas"/>
    <s v="Servicio de Impuestos Internos (SII)"/>
    <s v="Número de trabajadores dependientes por sexo, en el rubro B-Explotación minera y canteras, según año comercial en la Región de Coquimbo, Periodo 2005-2019"/>
    <s v="En la Región de Coquimbo, el año 2011 es el que presenta mayor cantidad de trabajadores dependientes en el rubro B-Explotación minera y canteras, 10.249 hombres y 990 mujeres. En tanto el año 2019 registra 7.093 hombres y 717 mujeres."/>
    <s v="Gráfico"/>
    <s v="Región de Coquimbo,personas,trabajadores,género,sexo,mujeres,hombres,proporción,explotación,canteras,mineras,sii,Agencia Información,Economía,Trabajadores por sexo,Empresas"/>
    <s v="https://analytics.zoho.com/open-view/2395394000008438205?ZOHO_CRITERIA=%22Rubros_Todo%22.%22Id_Regi%C3%B3n%22%3D4"/>
    <x v="4"/>
    <s v="#1774B9"/>
  </r>
  <r>
    <s v="0692"/>
    <n v="990"/>
    <s v="Agencia Información"/>
    <s v="Economía"/>
    <n v="5"/>
    <x v="42"/>
    <x v="12"/>
    <x v="1"/>
    <x v="5"/>
    <x v="1"/>
    <x v="53"/>
    <s v="Periodo 2005-2019"/>
    <s v="Personas"/>
    <s v="Servicio de Impuestos Internos (SII)"/>
    <s v="Número de trabajadores dependientes por sexo, en el rubro B-Explotación minera y canteras, según año comercial en la Región de Valparaíso, Periodo 2005-2019"/>
    <s v="Durante el año 2019, en la región de Valparaíso se registraron 2.974 hombres trabajadores dependientes informados y 319 mujeres trabajadoras dependientes informadas, en el rubro B-Explotación minera y canteras."/>
    <s v="Gráfico"/>
    <s v="Región de Valparaíso,personas,trabajadores,género,sexo,mujeres,hombres,proporción,explotación,canteras,mineras,sii,Agencia Información,Economía,Trabajadores por sexo,Empresas"/>
    <s v="https://analytics.zoho.com/open-view/2395394000008438205?ZOHO_CRITERIA=%22Rubros_Todo%22.%22Id_Regi%C3%B3n%22%3D5"/>
    <x v="5"/>
    <s v="#1774B9"/>
  </r>
  <r>
    <s v="0693"/>
    <n v="990"/>
    <s v="Agencia Información"/>
    <s v="Economía"/>
    <n v="6"/>
    <x v="42"/>
    <x v="12"/>
    <x v="1"/>
    <x v="6"/>
    <x v="1"/>
    <x v="53"/>
    <s v="Periodo 2005-2019"/>
    <s v="Personas"/>
    <s v="Servicio de Impuestos Internos (SII)"/>
    <s v="Número de trabajadores dependientes por sexo, en el rubro B-Explotación minera y canteras, según año comercial en la Región de O'Higgins, Periodo 2005-2019"/>
    <s v="Gráfico que muestra la evolución del número de trabajadores dependientes por sexo en el rubro B - Explotación minera y canteras, en la región de O'Higgins, periodo 2005 - 2019, según información de Servicio Impuestos Internos (SII)."/>
    <s v="Gráfico"/>
    <s v="Región de O'Higgins,personas,trabajadores,género,sexo,mujeres,hombres,proporción,explotación,canteras,mineras,sii,Agencia Información,Economía,Trabajadores por sexo,Empresas"/>
    <s v="https://analytics.zoho.com/open-view/2395394000008438205?ZOHO_CRITERIA=%22Rubros_Todo%22.%22Id_Regi%C3%B3n%22%3D6"/>
    <x v="6"/>
    <s v="#1774B9"/>
  </r>
  <r>
    <s v="0694"/>
    <n v="990"/>
    <s v="Agencia Información"/>
    <s v="Economía"/>
    <n v="7"/>
    <x v="42"/>
    <x v="12"/>
    <x v="1"/>
    <x v="7"/>
    <x v="1"/>
    <x v="53"/>
    <s v="Periodo 2005-2019"/>
    <s v="Personas"/>
    <s v="Servicio de Impuestos Internos (SII)"/>
    <s v="Número de trabajadores dependientes por sexo, en el rubro B-Explotación minera y canteras, según año comercial en la Región de Maule, Periodo 2005-2019"/>
    <s v="En la Región de Maule, el año 2010 es el que presenta mayor cantidad de trabajadores dependientes en el rubro B-Explotación minera y canteras, 3.081 hombres y 104 mujeres. En tanto el año 2019 registra 1.502 hombres y 130 mujeres."/>
    <s v="Gráfico"/>
    <s v="Región de Maule,personas,trabajadores,género,sexo,mujeres,hombres,proporción,explotación,canteras,mineras,sii,Agencia Información,Economía,Trabajadores por sexo,Empresas"/>
    <s v="https://analytics.zoho.com/open-view/2395394000008438205?ZOHO_CRITERIA=%22Rubros_Todo%22.%22Id_Regi%C3%B3n%22%3D7"/>
    <x v="7"/>
    <s v="#1774B9"/>
  </r>
  <r>
    <s v="0695"/>
    <n v="990"/>
    <s v="Agencia Información"/>
    <s v="Economía"/>
    <n v="8"/>
    <x v="42"/>
    <x v="12"/>
    <x v="1"/>
    <x v="8"/>
    <x v="1"/>
    <x v="53"/>
    <s v="Periodo 2005-2019"/>
    <s v="Personas"/>
    <s v="Servicio de Impuestos Internos (SII)"/>
    <s v="Número de trabajadores dependientes por sexo, en el rubro B-Explotación minera y canteras, según año comercial en la Región del Biobío, Periodo 2005-2019"/>
    <s v="En la Región de Biobío, el año 2013 es el que presenta mayor cantidad de trabajadores dependientes en el rubro B-Explotación minera y canteras, 4.282 hombres y 299 mujeres. En tanto el año 2019 registra 1.718 hombres y 150 mujeres."/>
    <s v="Gráfico"/>
    <s v="Región del Biobío,personas,trabajadores,género,sexo,mujeres,hombres,proporción,explotación,canteras,mineras,sii,Agencia Información,Economía,Trabajadores por sexo,Empresas"/>
    <s v="https://analytics.zoho.com/open-view/2395394000008438205?ZOHO_CRITERIA=%22Rubros_Todo%22.%22Id_Regi%C3%B3n%22%3D8"/>
    <x v="8"/>
    <s v="#1774B9"/>
  </r>
  <r>
    <s v="0696"/>
    <n v="990"/>
    <s v="Agencia Información"/>
    <s v="Economía"/>
    <n v="9"/>
    <x v="42"/>
    <x v="12"/>
    <x v="1"/>
    <x v="9"/>
    <x v="1"/>
    <x v="53"/>
    <s v="Periodo 2005-2019"/>
    <s v="Personas"/>
    <s v="Servicio de Impuestos Internos (SII)"/>
    <s v="Número de trabajadores dependientes por sexo, en el rubro B-Explotación minera y canteras, según año comercial en la Región de La Araucanía, Periodo 2005-2019"/>
    <s v="Gráfico que muestra la evolución del número de trabajadores dependientes por sexo en el rubro B - Explotación minera y canteras, en la región de La Araucanía, periodo 2005 - 2019, según información de Servicio Impuestos Internos (SII)."/>
    <s v="Gráfico"/>
    <s v="Región de La Araucanía,personas,trabajadores,género,sexo,mujeres,hombres,proporción,explotación,canteras,mineras,sii,Agencia Información,Economía,Trabajadores por sexo,Empresas"/>
    <s v="https://analytics.zoho.com/open-view/2395394000008438205?ZOHO_CRITERIA=%22Rubros_Todo%22.%22Id_Regi%C3%B3n%22%3D9"/>
    <x v="9"/>
    <s v="#1774B9"/>
  </r>
  <r>
    <s v="0697"/>
    <n v="990"/>
    <s v="Agencia Información"/>
    <s v="Economía"/>
    <n v="10"/>
    <x v="42"/>
    <x v="12"/>
    <x v="1"/>
    <x v="10"/>
    <x v="1"/>
    <x v="53"/>
    <s v="Periodo 2005-2019"/>
    <s v="Personas"/>
    <s v="Servicio de Impuestos Internos (SII)"/>
    <s v="Número de trabajadores dependientes por sexo, en el rubro B-Explotación minera y canteras, según año comercial en la Región de Los Lagos, Periodo 2005-2019"/>
    <s v="Durante el año 2019, en la región de Los Lagos se registraron 781 hombres trabajadores dependientes informados y 88 mujeres trabajadoras dependientes informadas, en el rubro B-Explotación minera y canteras."/>
    <s v="Gráfico"/>
    <s v="Región de Los Lagos,personas,trabajadores,género,sexo,mujeres,hombres,proporción,explotación,canteras,mineras,sii,Agencia Información,Economía,Trabajadores por sexo,Empresas"/>
    <s v="https://analytics.zoho.com/open-view/2395394000008438205?ZOHO_CRITERIA=%22Rubros_Todo%22.%22Id_Regi%C3%B3n%22%3D10"/>
    <x v="10"/>
    <s v="#1774B9"/>
  </r>
  <r>
    <s v="0698"/>
    <n v="990"/>
    <s v="Agencia Información"/>
    <s v="Economía"/>
    <n v="11"/>
    <x v="42"/>
    <x v="12"/>
    <x v="1"/>
    <x v="11"/>
    <x v="1"/>
    <x v="53"/>
    <s v="Periodo 2005-2019"/>
    <s v="Personas"/>
    <s v="Servicio de Impuestos Internos (SII)"/>
    <s v="Número de trabajadores dependientes por sexo, en el rubro B-Explotación minera y canteras, según año comercial en la Región de Aysén, Periodo 2005-2019"/>
    <s v="Durante el año 2019, en la región de Aysén se registró la menor cantidad de trabajadores dependientes en el rubro B-Explotación minera y canteras, con 133 hombres y 15 mujeres. "/>
    <s v="Gráfico"/>
    <s v="Región de Aysén,personas,trabajadores,género,sexo,mujeres,hombres,proporción,explotación,canteras,mineras,sii,Agencia Información,Economía,Trabajadores por sexo,Empresas"/>
    <s v="https://analytics.zoho.com/open-view/2395394000008438205?ZOHO_CRITERIA=%22Rubros_Todo%22.%22Id_Regi%C3%B3n%22%3D11"/>
    <x v="11"/>
    <s v="#1774B9"/>
  </r>
  <r>
    <s v="0699"/>
    <n v="990"/>
    <s v="Agencia Información"/>
    <s v="Economía"/>
    <n v="12"/>
    <x v="42"/>
    <x v="12"/>
    <x v="1"/>
    <x v="12"/>
    <x v="1"/>
    <x v="53"/>
    <s v="Periodo 2005-2019"/>
    <s v="Personas"/>
    <s v="Servicio de Impuestos Internos (SII)"/>
    <s v="Número de trabajadores dependientes por sexo, en el rubro B-Explotación minera y canteras, según año comercial en la Región de Magallanes, Periodo 2005-2019"/>
    <s v="Durante el año tributario 2019, en la región de Magallanes se registraron 855 hombres trabajadores dependientes informados y 83 mujeres trabajadoras dependientes informadas, en el rubro B-Explotación minera y canteras."/>
    <s v="Gráfico"/>
    <s v="Región de Magallanes,personas,trabajadores,género,sexo,mujeres,hombres,proporción,explotación,canteras,mineras,sii,Agencia Información,Economía,Trabajadores por sexo,Empresas"/>
    <s v="https://analytics.zoho.com/open-view/2395394000008438205?ZOHO_CRITERIA=%22Rubros_Todo%22.%22Id_Regi%C3%B3n%22%3D12"/>
    <x v="12"/>
    <s v="#1774B9"/>
  </r>
  <r>
    <s v="0700"/>
    <n v="990"/>
    <s v="Agencia Información"/>
    <s v="Economía"/>
    <n v="13"/>
    <x v="42"/>
    <x v="12"/>
    <x v="1"/>
    <x v="13"/>
    <x v="1"/>
    <x v="53"/>
    <s v="Periodo 2005-2019"/>
    <s v="Personas"/>
    <s v="Servicio de Impuestos Internos (SII)"/>
    <s v="Número de trabajadores dependientes por sexo, en el rubro B-Explotación minera y canteras, según año comercial en la Región Metropolitana, Periodo 2005-2019"/>
    <s v="Durante el año 2019, en la región Metropolitana se registraron 62.190 hombres trabajadores dependientes informados y 7.984 mujeres trabajadoras dependientes informadas, en el rubro B-Explotación minera y canteras."/>
    <s v="Gráfico"/>
    <s v="Región Metropolitana,personas,trabajadores,género,sexo,mujeres,hombres,proporción,explotación,canteras,mineras,sii,Agencia Información,Economía,Trabajadores por sexo,Empresas"/>
    <s v="https://analytics.zoho.com/open-view/2395394000008438205?ZOHO_CRITERIA=%22Rubros_Todo%22.%22Id_Regi%C3%B3n%22%3D13"/>
    <x v="13"/>
    <s v="#1774B9"/>
  </r>
  <r>
    <s v="0701"/>
    <n v="990"/>
    <s v="Agencia Información"/>
    <s v="Economía"/>
    <n v="14"/>
    <x v="42"/>
    <x v="12"/>
    <x v="1"/>
    <x v="14"/>
    <x v="1"/>
    <x v="53"/>
    <s v="Periodo 2005-2019"/>
    <s v="Personas"/>
    <s v="Servicio de Impuestos Internos (SII)"/>
    <s v="Número de trabajadores dependientes por sexo, en el rubro B-Explotación minera y canteras, según año comercial en la Región de Los Ríos, Periodo 2005-2019"/>
    <s v="En la Región de Los Ríos, el año 2019 es el que presenta mayor cantidad de trabajadores dependientes en el rubro B-Explotación minera y canteras del periodo, siendo 1.095 hombres y 615 mujeres. "/>
    <s v="Gráfico"/>
    <s v="Región de Los Ríos,personas,trabajadores,género,sexo,mujeres,hombres,proporción,explotación,canteras,mineras,sii,Agencia Información,Economía,Trabajadores por sexo,Empresas"/>
    <s v="https://analytics.zoho.com/open-view/2395394000008438205?ZOHO_CRITERIA=%22Rubros_Todo%22.%22Id_Regi%C3%B3n%22%3D14"/>
    <x v="14"/>
    <s v="#1774B9"/>
  </r>
  <r>
    <s v="0702"/>
    <n v="990"/>
    <s v="Agencia Información"/>
    <s v="Economía"/>
    <n v="15"/>
    <x v="42"/>
    <x v="12"/>
    <x v="1"/>
    <x v="15"/>
    <x v="1"/>
    <x v="53"/>
    <s v="Periodo 2005-2019"/>
    <s v="Personas"/>
    <s v="Servicio de Impuestos Internos (SII)"/>
    <s v="Número de trabajadores dependientes por sexo, en el rubro B-Explotación minera y canteras, según año comercial en la Región de Arica y Parinacota, Periodo 2005-2019"/>
    <s v="Durante el año 2019, en la región de Arica y Parinacota se registraron 328 hombres trabajadores dependientes informados y 59 mujeres trabajadoras dependientes informadas, en el rubro B-Explotación minera y canteras."/>
    <s v="Gráfico"/>
    <s v="Región de Arica y Parinacota,personas,trabajadores,género,sexo,mujeres,hombres,proporción,explotación,canteras,mineras,sii,Agencia Información,Economía,Trabajadores por sexo,Empresas"/>
    <s v="https://analytics.zoho.com/open-view/2395394000008438205?ZOHO_CRITERIA=%22Rubros_Todo%22.%22Id_Regi%C3%B3n%22%3D15"/>
    <x v="15"/>
    <s v="#1774B9"/>
  </r>
  <r>
    <s v="0703"/>
    <n v="990"/>
    <s v="Agencia Información"/>
    <s v="Economía"/>
    <n v="16"/>
    <x v="42"/>
    <x v="12"/>
    <x v="1"/>
    <x v="16"/>
    <x v="1"/>
    <x v="53"/>
    <s v="Periodo 2005-2019"/>
    <s v="Personas"/>
    <s v="Servicio de Impuestos Internos (SII)"/>
    <s v="Número de trabajadores dependientes por sexo, en el rubro B-Explotación minera y canteras, según año comercial en la Región de Ñuble, Periodo 2005-2019"/>
    <s v="Durante el año 2019, en la región de Ñuble se registraron 583 hombres trabajadores dependientes informados y 35 mujeres trabajadoras dependientes informadas, en el rubro B-Explotación minera y canteras."/>
    <s v="Gráfico"/>
    <s v="Región de Ñuble,personas,trabajadores,género,sexo,mujeres,hombres,proporción,explotación,canteras,mineras,sii,Agencia Información,Economía,Trabajadores por sexo,Empresas"/>
    <s v="https://analytics.zoho.com/open-view/2395394000008438205?ZOHO_CRITERIA=%22Rubros_Todo%22.%22Id_Regi%C3%B3n%22%3D16"/>
    <x v="16"/>
    <s v="#1774B9"/>
  </r>
  <r>
    <s v="0704"/>
    <n v="990"/>
    <s v="Agencia Información"/>
    <s v="Economía"/>
    <n v="0"/>
    <x v="20"/>
    <x v="12"/>
    <x v="0"/>
    <x v="0"/>
    <x v="1"/>
    <x v="22"/>
    <s v="Periodo 2005-2019"/>
    <s v="UF"/>
    <s v="Servicio de Impuestos Internos (SII)"/>
    <s v="Evolución de las Ventas Anuales en UF para el rubro L-Actividades Inmobiliarias en Chile, Periodo 2005-2019"/>
    <s v="A nivel nacional, las ventas anuales en UF muestran una tendencia de crecimiento exponencial, llegando hasta 529.791.788 UF en el rubro de L-Actividades Inmobiliarias."/>
    <s v="Gráfico de Evolución"/>
    <s v="Chile,evolución,anual,ventas,uf,unidad de fomento,rubro,actividades,inmobiliarias,nivel,nacional,Agencia Información,Economía,Ventas,Empresas"/>
    <s v="https://analytics.zoho.com/open-view/2395394000008025748"/>
    <x v="34"/>
    <s v="#1774B9"/>
  </r>
  <r>
    <s v="0705"/>
    <n v="990"/>
    <s v="Agencia Información"/>
    <s v="Mujeres"/>
    <n v="0"/>
    <x v="24"/>
    <x v="14"/>
    <x v="0"/>
    <x v="0"/>
    <x v="10"/>
    <x v="31"/>
    <s v="Periodo 2011-2018"/>
    <s v="Número de Casos"/>
    <s v="Departamento de Estadísticas e Información de la Salud (DEIS) - Ministerio de Salud"/>
    <s v="Evolución Casos de Cáncer de Cuello Uterino por Comuna en Chile, Periodo 2011-2018"/>
    <s v="Para el año 2018, las comunas con la mayor cantidad de casos de Cáncer de Cuello Uterino fueron Temuco con 30 casos, seguido por La Serena y Valparaíso con 23 casos cada una y luego Santiago con 22 casos."/>
    <s v="Gráfico de Evolución"/>
    <s v="Chile,cáncer,cérvico,uterino,cuello,útero,casos,tumor,servicio,nacional,programa,Agencia Información,Mujeres,Programa de Cáncer de Cuello Uterino,Mujer Salud"/>
    <s v="https://analytics.zoho.com/open-view/2395394000008034444"/>
    <x v="17"/>
    <s v="#1774B9"/>
  </r>
  <r>
    <s v="0706"/>
    <n v="990"/>
    <s v="Agencia Información"/>
    <s v="Mujeres"/>
    <n v="1"/>
    <x v="24"/>
    <x v="14"/>
    <x v="1"/>
    <x v="1"/>
    <x v="11"/>
    <x v="31"/>
    <s v="Periodo 2011-2018"/>
    <s v="Número de Casos"/>
    <s v="Departamento de Estadísticas e Información de la Salud (DEIS) - Ministerio de Salud"/>
    <s v="Evolución Casos de Cáncer de Cuello Uterino por Comuna en la Región de Tarapacá, Periodo 2011-2018"/>
    <s v="Considerando la evolución de los casos de Cáncer de Cuello Uterino en la Región de Tarapacá, entre el periodo 2011-2018, se observa que el año con mayor cantidad de casos fue el año 2013, llegando a 24 casos en total. Por su parte, en el año 2018 se observan 5 casos totales. "/>
    <s v="Gráfico de Evolución"/>
    <s v="Región de Tarapacá,cáncer,cérvico,uterino,cuello,útero,casos,tumor,servicio,nacional,programa,Agencia Información,Mujeres,Programa de Cáncer de Cuello Uterino,Mujer Salud"/>
    <s v="https://analytics.zoho.com/open-view/2395394000008389657?ZOHO_CRITERIA=%22Localiza%20CL%22.%22Codreg%22%20%3D%201"/>
    <x v="18"/>
    <s v="#1774B9"/>
  </r>
  <r>
    <s v="0707"/>
    <n v="990"/>
    <s v="Agencia Información"/>
    <s v="Mujeres"/>
    <n v="2"/>
    <x v="24"/>
    <x v="14"/>
    <x v="1"/>
    <x v="2"/>
    <x v="11"/>
    <x v="31"/>
    <s v="Periodo 2011-2018"/>
    <s v="Número de Casos"/>
    <s v="Departamento de Estadísticas e Información de la Salud (DEIS) - Ministerio de Salud"/>
    <s v="Evolución Casos de Cáncer de Cuello Uterino por Comuna en la Región de Antofagasta, Periodo 2011-2018"/>
    <s v="Al observar la evolución de los casos de Cáncer de Cuello Uterino en la región de Antofagasta en el periodo 2011-2018, destaca que la comuna con mayor cantidad de casos es la comuna de Antofagasta, siendo el año 2014 el que presenta mayor cantidad de casos en la región."/>
    <s v="Gráfico de Evolución"/>
    <s v="Región de Antofagasta,cáncer,cérvico,uterino,cuello,útero,casos,tumor,servicio,nacional,programa,Agencia Información,Mujeres,Programa de Cáncer de Cuello Uterino,Mujer Salud"/>
    <s v="https://analytics.zoho.com/open-view/2395394000008389657?ZOHO_CRITERIA=%22Localiza%20CL%22.%22Codreg%22%20%3D%202"/>
    <x v="19"/>
    <s v="#1774B9"/>
  </r>
  <r>
    <s v="0708"/>
    <n v="990"/>
    <s v="Agencia Información"/>
    <s v="Mujeres"/>
    <n v="3"/>
    <x v="24"/>
    <x v="14"/>
    <x v="1"/>
    <x v="3"/>
    <x v="11"/>
    <x v="31"/>
    <s v="Periodo 2011-2018"/>
    <s v="Número de Casos"/>
    <s v="Departamento de Estadísticas e Información de la Salud (DEIS) - Ministerio de Salud"/>
    <s v="Evolución Casos de Cáncer de Cuello Uterino por Comuna en la Región de Atacama, Periodo 2011-2018"/>
    <s v="En la Región de Atacama destaca que la comuna de Copiapó es la que presenta más cantidad de casos de Cáncer de Cuello Uterino en el periodo 2011 - 2018."/>
    <s v="Gráfico de Evolución"/>
    <s v="Región de Atacama,cáncer,cérvico,uterino,cuello,útero,casos,tumor,servicio,nacional,programa,Agencia Información,Mujeres,Programa de Cáncer de Cuello Uterino,Mujer Salud"/>
    <s v="https://analytics.zoho.com/open-view/2395394000008389657?ZOHO_CRITERIA=%22Localiza%20CL%22.%22Codreg%22%20%3D%203"/>
    <x v="20"/>
    <s v="#1774B9"/>
  </r>
  <r>
    <s v="0709"/>
    <n v="990"/>
    <s v="Agencia Información"/>
    <s v="Mujeres"/>
    <n v="4"/>
    <x v="24"/>
    <x v="14"/>
    <x v="1"/>
    <x v="4"/>
    <x v="11"/>
    <x v="31"/>
    <s v="Periodo 2011-2018"/>
    <s v="Número de Casos"/>
    <s v="Departamento de Estadísticas e Información de la Salud (DEIS) - Ministerio de Salud"/>
    <s v="Evolución Casos de Cáncer de Cuello Uterino por Comuna en la Región de Coquimbo, Periodo 2011-2018"/>
    <s v="Considerando la evolución de los casos de Cáncer de Cuello Uterino en la Región de Coquimbo, entre el periodo 2011-2018, se observa que el año con mayor cantidad de casos fue el año 2012, llegando a 72 casos en total. En tanto, en el año 2018 se observan 23 casos totales. "/>
    <s v="Gráfico de Evolución"/>
    <s v="Región de Coquimbo,cáncer,cérvico,uterino,cuello,útero,casos,tumor,servicio,nacional,programa,Agencia Información,Mujeres,Programa de Cáncer de Cuello Uterino,Mujer Salud"/>
    <s v="https://analytics.zoho.com/open-view/2395394000008389657?ZOHO_CRITERIA=%22Localiza%20CL%22.%22Codreg%22%20%3D%204"/>
    <x v="21"/>
    <s v="#1774B9"/>
  </r>
  <r>
    <s v="0710"/>
    <n v="990"/>
    <s v="Agencia Información"/>
    <s v="Mujeres"/>
    <n v="5"/>
    <x v="24"/>
    <x v="14"/>
    <x v="1"/>
    <x v="5"/>
    <x v="11"/>
    <x v="31"/>
    <s v="Periodo 2011-2018"/>
    <s v="Número de Casos"/>
    <s v="Departamento de Estadísticas e Información de la Salud (DEIS) - Ministerio de Salud"/>
    <s v="Evolución Casos de Cáncer de Cuello Uterino por Comuna en la Región de Valparaíso, Periodo 2011-2018"/>
    <s v="Al observar la evolución de los casos de Cáncer de Cuello Uterino en la región de Valparaíso, en el periodo 2011-2018, destaca que la comuna con mayor cantidad de casos es la comuna de Valparaíso, seguida de Viña del Mar. "/>
    <s v="Gráfico de Evolución"/>
    <s v="Región de Valparaíso,cáncer,cérvico,uterino,cuello,útero,casos,tumor,servicio,nacional,programa,Agencia Información,Mujeres,Programa de Cáncer de Cuello Uterino,Mujer Salud"/>
    <s v="https://analytics.zoho.com/open-view/2395394000008389657?ZOHO_CRITERIA=%22Localiza%20CL%22.%22Codreg%22%20%3D%205"/>
    <x v="22"/>
    <s v="#1774B9"/>
  </r>
  <r>
    <s v="0711"/>
    <n v="990"/>
    <s v="Agencia Información"/>
    <s v="Mujeres"/>
    <n v="6"/>
    <x v="24"/>
    <x v="14"/>
    <x v="1"/>
    <x v="6"/>
    <x v="11"/>
    <x v="31"/>
    <s v="Periodo 2011-2018"/>
    <s v="Número de Casos"/>
    <s v="Departamento de Estadísticas e Información de la Salud (DEIS) - Ministerio de Salud"/>
    <s v="Evolución Casos de Cáncer de Cuello Uterino por Comuna en la Región de O'Higgins, Periodo 2011-2018"/>
    <s v="Considerando la evolución de los casos de Cáncer de Cuello Uterino en la Región de O'Higgins, entre el periodo 2011-2018, se observa que el año con mayor cantidad de casos fue el año 2012, llegando a 34 casos en total. En tanto, en el año 2018 se observa solo un caso. "/>
    <s v="Gráfico de Evolución"/>
    <s v="Región de O'Higgins,cáncer,cérvico,uterino,cuello,útero,casos,tumor,servicio,nacional,programa,Agencia Información,Mujeres,Programa de Cáncer de Cuello Uterino,Mujer Salud"/>
    <s v="https://analytics.zoho.com/open-view/2395394000008389657?ZOHO_CRITERIA=%22Localiza%20CL%22.%22Codreg%22%20%3D%206"/>
    <x v="23"/>
    <s v="#1774B9"/>
  </r>
  <r>
    <s v="0712"/>
    <n v="990"/>
    <s v="Agencia Información"/>
    <s v="Mujeres"/>
    <n v="7"/>
    <x v="24"/>
    <x v="14"/>
    <x v="1"/>
    <x v="7"/>
    <x v="11"/>
    <x v="31"/>
    <s v="Periodo 2011-2018"/>
    <s v="Número de Casos"/>
    <s v="Departamento de Estadísticas e Información de la Salud (DEIS) - Ministerio de Salud"/>
    <s v="Evolución Casos de Cáncer de Cuello Uterino por Comuna en la Región de Maule, Periodo 2011-2018"/>
    <s v="En la Región de Maule destaca que la comuna de Talca es la que presenta más cantidad de casos de Cáncer de Cuello Uterino en el periodo 2011 - 2018."/>
    <s v="Gráfico de Evolución"/>
    <s v="Región de Maule,cáncer,cérvico,uterino,cuello,útero,casos,tumor,servicio,nacional,programa,Agencia Información,Mujeres,Programa de Cáncer de Cuello Uterino,Mujer Salud"/>
    <s v="https://analytics.zoho.com/open-view/2395394000008389657?ZOHO_CRITERIA=%22Localiza%20CL%22.%22Codreg%22%20%3D%207"/>
    <x v="24"/>
    <s v="#1774B9"/>
  </r>
  <r>
    <s v="0713"/>
    <n v="990"/>
    <s v="Agencia Información"/>
    <s v="Mujeres"/>
    <n v="8"/>
    <x v="24"/>
    <x v="14"/>
    <x v="1"/>
    <x v="8"/>
    <x v="11"/>
    <x v="31"/>
    <s v="Periodo 2011-2018"/>
    <s v="Número de Casos"/>
    <s v="Departamento de Estadísticas e Información de la Salud (DEIS) - Ministerio de Salud"/>
    <s v="Evolución Casos de Cáncer de Cuello Uterino por Comuna en la Región del Biobío, Periodo 2011-2018"/>
    <s v="Considerando la evolución de los casos de Cáncer de Cuello Uterino en la Región de Biobío, entre el periodo 2011-2018, se observa que el año con mayor cantidad de casos fue el año 2015, llegando a 65 casos en total. En tanto, en el año 2018 se observan 22 casos. "/>
    <s v="Gráfico de Evolución"/>
    <s v="Región del Biobío,cáncer,cérvico,uterino,cuello,útero,casos,tumor,servicio,nacional,programa,Agencia Información,Mujeres,Programa de Cáncer de Cuello Uterino,Mujer Salud"/>
    <s v="https://analytics.zoho.com/open-view/2395394000008389657?ZOHO_CRITERIA=%22Localiza%20CL%22.%22Codreg%22%20%3D%208"/>
    <x v="25"/>
    <s v="#1774B9"/>
  </r>
  <r>
    <s v="0714"/>
    <n v="990"/>
    <s v="Agencia Información"/>
    <s v="Mujeres"/>
    <n v="9"/>
    <x v="24"/>
    <x v="14"/>
    <x v="1"/>
    <x v="9"/>
    <x v="11"/>
    <x v="31"/>
    <s v="Periodo 2011-2018"/>
    <s v="Número de Casos"/>
    <s v="Departamento de Estadísticas e Información de la Salud (DEIS) - Ministerio de Salud"/>
    <s v="Evolución Casos de Cáncer de Cuello Uterino por Comuna en la Región de La Araucanía, Periodo 2011-2018"/>
    <s v="Considerando la evolución de los casos de Cáncer de Cuello Uterino en la Región de La Araucanía, entre el periodo 2011-2018, se observa un aumento en los últimos años, siendo el año 2016 el que tuvo mayor cantidad con 34 casos. En tanto, en el año 2018 se observan 32 casos."/>
    <s v="Gráfico de Evolución"/>
    <s v="Región de La Araucanía,cáncer,cérvico,uterino,cuello,útero,casos,tumor,servicio,nacional,programa,Agencia Información,Mujeres,Programa de Cáncer de Cuello Uterino,Mujer Salud"/>
    <s v="https://analytics.zoho.com/open-view/2395394000008389657?ZOHO_CRITERIA=%22Localiza%20CL%22.%22Codreg%22%20%3D%209"/>
    <x v="26"/>
    <s v="#1774B9"/>
  </r>
  <r>
    <s v="0715"/>
    <n v="990"/>
    <s v="Agencia Información"/>
    <s v="Mujeres"/>
    <n v="10"/>
    <x v="24"/>
    <x v="14"/>
    <x v="1"/>
    <x v="10"/>
    <x v="11"/>
    <x v="31"/>
    <s v="Periodo 2011-2018"/>
    <s v="Número de Casos"/>
    <s v="Departamento de Estadísticas e Información de la Salud (DEIS) - Ministerio de Salud"/>
    <s v="Evolución Casos de Cáncer de Cuello Uterino por Comuna en la Región de Los Lagos, Periodo 2011-2018"/>
    <s v="Considerando la evolución de los casos de Cáncer de Cuello Uterino en la Región de Los Lagos, en el periodo 2011-2018, se observa que el año 2015 es el que presenta menor cantidad de casos llegando a 6, subiendo luego año a año, llegando a 14 caos en el año 2018."/>
    <s v="Gráfico de Evolución"/>
    <s v="Región de Los Lagos,cáncer,cérvico,uterino,cuello,útero,casos,tumor,servicio,nacional,programa,Agencia Información,Mujeres,Programa de Cáncer de Cuello Uterino,Mujer Salud"/>
    <s v="https://analytics.zoho.com/open-view/2395394000008389657?ZOHO_CRITERIA=%22Localiza%20CL%22.%22Codreg%22%20%3D%2010"/>
    <x v="27"/>
    <s v="#1774B9"/>
  </r>
  <r>
    <s v="0716"/>
    <n v="990"/>
    <s v="Agencia Información"/>
    <s v="Mujeres"/>
    <n v="11"/>
    <x v="24"/>
    <x v="14"/>
    <x v="1"/>
    <x v="11"/>
    <x v="11"/>
    <x v="31"/>
    <s v="Periodo 2011-2018"/>
    <s v="Número de Casos"/>
    <s v="Departamento de Estadísticas e Información de la Salud (DEIS) - Ministerio de Salud"/>
    <s v="Evolución Casos de Cáncer de Cuello Uterino por Comuna en la Región de Aysén, Periodo 2011-2018"/>
    <s v="Gráfico que muestra la evolución de los casos de Cáncer de Cuello Uterino en la Región de Aysén con detalle comunal, en el periodo 2011 - 2018, según información entregada por DEIS del Ministerio de Salud."/>
    <s v="Gráfico de Evolución"/>
    <s v="Región de Aysén,cáncer,cérvico,uterino,cuello,útero,casos,tumor,servicio,nacional,programa,Agencia Información,Mujeres,Programa de Cáncer de Cuello Uterino,Mujer Salud"/>
    <s v="https://analytics.zoho.com/open-view/2395394000008389657?ZOHO_CRITERIA=%22Localiza%20CL%22.%22Codreg%22%20%3D%2011"/>
    <x v="33"/>
    <s v="#1774B9"/>
  </r>
  <r>
    <s v="0717"/>
    <n v="990"/>
    <s v="Agencia Información"/>
    <s v="Mujeres"/>
    <n v="12"/>
    <x v="24"/>
    <x v="14"/>
    <x v="1"/>
    <x v="12"/>
    <x v="11"/>
    <x v="31"/>
    <s v="Periodo 2011-2018"/>
    <s v="Número de Casos"/>
    <s v="Departamento de Estadísticas e Información de la Salud (DEIS) - Ministerio de Salud"/>
    <s v="Evolución Casos de Cáncer de Cuello Uterino por Comuna en la Región de Magallanes, Periodo 2011-2018"/>
    <s v="Gráfico que muestra la evolución de los casos de Cáncer de Cuello Uterino en la Región de Magallanes con detalle comunal, en el periodo 2011 - 2018, según información entregada por DEIS del Ministerio de Salud."/>
    <s v="Gráfico de Evolución"/>
    <s v="Región de Magallanes,cáncer,cérvico,uterino,cuello,útero,casos,tumor,servicio,nacional,programa,Agencia Información,Mujeres,Programa de Cáncer de Cuello Uterino,Mujer Salud"/>
    <s v="https://analytics.zoho.com/open-view/2395394000008389657?ZOHO_CRITERIA=%22Localiza%20CL%22.%22Codreg%22%20%3D%2012"/>
    <x v="28"/>
    <s v="#1774B9"/>
  </r>
  <r>
    <s v="0718"/>
    <n v="990"/>
    <s v="Agencia Información"/>
    <s v="Mujeres"/>
    <n v="13"/>
    <x v="24"/>
    <x v="14"/>
    <x v="1"/>
    <x v="13"/>
    <x v="11"/>
    <x v="31"/>
    <s v="Periodo 2011-2018"/>
    <s v="Número de Casos"/>
    <s v="Departamento de Estadísticas e Información de la Salud (DEIS) - Ministerio de Salud"/>
    <s v="Evolución Casos de Cáncer de Cuello Uterino por Comuna en la Región Metropolitana, Periodo 2011-2018"/>
    <s v="Considerando la evolución de los casos de Cáncer de Cuello Uterino en la Región Metropolitana, entre el periodo 2011-2018, se observa que los años con mayor cantidad de casos son 2011 y 2012, llegando a 81 casos cada uno. En tanto, en el año 2018 se observan 66 casos. "/>
    <s v="Gráfico de Evolución"/>
    <s v="Región Metropolitana,cáncer,cérvico,uterino,cuello,útero,casos,tumor,servicio,nacional,programa,Agencia Información,Mujeres,Programa de Cáncer de Cuello Uterino,Mujer Salud"/>
    <s v="https://analytics.zoho.com/open-view/2395394000008389657?ZOHO_CRITERIA=%22Localiza%20CL%22.%22Codreg%22%20%3D%2013"/>
    <x v="29"/>
    <s v="#1774B9"/>
  </r>
  <r>
    <s v="0719"/>
    <n v="990"/>
    <s v="Agencia Información"/>
    <s v="Mujeres"/>
    <n v="14"/>
    <x v="24"/>
    <x v="14"/>
    <x v="1"/>
    <x v="14"/>
    <x v="11"/>
    <x v="31"/>
    <s v="Periodo 2011-2018"/>
    <s v="Número de Casos"/>
    <s v="Departamento de Estadísticas e Información de la Salud (DEIS) - Ministerio de Salud"/>
    <s v="Evolución Casos de Cáncer de Cuello Uterino por Comuna en la Región de Los Ríos, Periodo 2011-2018"/>
    <s v="Considerando la evolución de los casos de Cáncer de Cuello Uterino en la Región de Los Ríos, entre el periodo 2011-2018, se observa que el año con mayor cantidad de casos es el 2016, llegando a 9 casos. En tanto en el año 2018 se llegó a 8 casos. "/>
    <s v="Gráfico de Evolución"/>
    <s v="Región de Los Ríos,cáncer,cérvico,uterino,cuello,útero,casos,tumor,servicio,nacional,programa,Agencia Información,Mujeres,Programa de Cáncer de Cuello Uterino,Mujer Salud"/>
    <s v="https://analytics.zoho.com/open-view/2395394000008389657?ZOHO_CRITERIA=%22Localiza%20CL%22.%22Codreg%22%20%3D%2014"/>
    <x v="30"/>
    <s v="#1774B9"/>
  </r>
  <r>
    <s v="0720"/>
    <n v="990"/>
    <s v="Agencia Información"/>
    <s v="Mujeres"/>
    <n v="15"/>
    <x v="24"/>
    <x v="14"/>
    <x v="1"/>
    <x v="15"/>
    <x v="11"/>
    <x v="31"/>
    <s v="Periodo 2011-2018"/>
    <s v="Número de Casos"/>
    <s v="Departamento de Estadísticas e Información de la Salud (DEIS) - Ministerio de Salud"/>
    <s v="Evolución Casos de Cáncer de Cuello Uterino por Comuna en la Región de Arica y Parinacota, Periodo 2011-2018"/>
    <s v="Considerando la evolución de los casos de Cáncer de Cuello Uterino en la Región de Los Arica y Parinacota, entre el periodo 2011-2018, se observa que el año con mayor cantidad de casos es el 2015, llegando a 16 casos. En tanto el año 2018 llega a 10 casos. "/>
    <s v="Gráfico de Evolución"/>
    <s v="Región de Arica y Parinacota,cáncer,cérvico,uterino,cuello,útero,casos,tumor,servicio,nacional,programa,Agencia Información,Mujeres,Programa de Cáncer de Cuello Uterino,Mujer Salud"/>
    <s v="https://analytics.zoho.com/open-view/2395394000008389657?ZOHO_CRITERIA=%22Localiza%20CL%22.%22Codreg%22%20%3D%2015"/>
    <x v="31"/>
    <s v="#1774B9"/>
  </r>
  <r>
    <s v="0721"/>
    <n v="990"/>
    <s v="Agencia Información"/>
    <s v="Mujeres"/>
    <n v="16"/>
    <x v="24"/>
    <x v="14"/>
    <x v="1"/>
    <x v="16"/>
    <x v="11"/>
    <x v="31"/>
    <s v="Periodo 2011-2018"/>
    <s v="Número de Casos"/>
    <s v="Departamento de Estadísticas e Información de la Salud (DEIS) - Ministerio de Salud"/>
    <s v="Evolución Casos de Cáncer de Cuello Uterino por Comuna en la Región de Ñuble, Periodo 2011-2018"/>
    <s v="Considerando la evolución de los casos de Cáncer de Cuello Uterino en la Región Metropolitana, entre el periodo 2011-2018, se observa un aumento significativo el año 2018 en comparación a los años anteriores, llegando a 9 casos."/>
    <s v="Gráfico de Evolución"/>
    <s v="Región de Ñuble,cáncer,cérvico,uterino,cuello,útero,casos,tumor,servicio,nacional,programa,Agencia Información,Mujeres,Programa de Cáncer de Cuello Uterino,Mujer Salud"/>
    <s v="https://analytics.zoho.com/open-view/2395394000008389657?ZOHO_CRITERIA=%22Localiza%20CL%22.%22Codreg%22%20%3D%2016"/>
    <x v="32"/>
    <s v="#1774B9"/>
  </r>
  <r>
    <s v="0722"/>
    <n v="990"/>
    <s v="Agencia Información"/>
    <s v="Medio Ambiente"/>
    <n v="0"/>
    <x v="31"/>
    <x v="20"/>
    <x v="0"/>
    <x v="0"/>
    <x v="1"/>
    <x v="58"/>
    <s v="Año 2018"/>
    <s v="Kilotoneladas"/>
    <s v="Sistema Nacional de Inventarios de Gases de Efecto Invernadero"/>
    <s v="Emisiones Netas (kt) de CO2 equivalente por Región en Chile, Año 201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GEI,emisiones,netas,CO2 equivalente,dióxido,carbono,regiones,gas,efecto,invernadero,Agencia Información,Medio Ambiente,Emisiones GEI,Inventario de Gases de Efecto Invernadero (GEI)"/>
    <s v="https://analytics.zoho.com/open-view/2395394000008034280"/>
    <x v="34"/>
    <s v="#1774B9"/>
  </r>
  <r>
    <s v="0723"/>
    <n v="990"/>
    <s v="Agencia Información"/>
    <s v="Agropecuario y Forestal"/>
    <n v="0"/>
    <x v="11"/>
    <x v="8"/>
    <x v="0"/>
    <x v="0"/>
    <x v="1"/>
    <x v="60"/>
    <s v="Periodo 2010-2020"/>
    <s v="Hectáreas"/>
    <s v="Corporación Nacional Forestal (CONAF)"/>
    <s v="Superficie de Incendios Forestales por Comuna en Chile, Periodo 2010-2020"/>
    <s v="En los últimos 10 años (2010 y 2020) se produjeron en Chile un total de 63.974  incendios forestales que afectaron una superficie de 1.212.326,0 hectáreas. La causa más relevante en el periodo en comento fue la de &quot;Incendios intencionales&quot; con un total de 23.718 incendios forestales y una superficie afectada de 384.315,4 hectáreas en la región. La cifras anteriores permiten deducir que la superficie promedio por incendio a escala nacional asciende a 19,0 hectáreas/incendio."/>
    <s v="Gráfico animado"/>
    <s v="Chile,incendios,forestales,hectáreas,superficie,comunas,Agencia Información,Agropecuario y Forestal,Incendios Forestales,Forestal"/>
    <s v="https://public.flourish.studio/visualisation/7122409/"/>
    <x v="34"/>
    <s v="#1774B9"/>
  </r>
  <r>
    <s v="0724"/>
    <n v="990"/>
    <s v="Agencia Información"/>
    <s v="Agropecuario y Forestal"/>
    <n v="1"/>
    <x v="11"/>
    <x v="8"/>
    <x v="1"/>
    <x v="1"/>
    <x v="1"/>
    <x v="60"/>
    <s v="Periodo 2010-2020"/>
    <s v="Hectáreas"/>
    <s v="Corporación Nacional Forestal (CONAF)"/>
    <s v="Superficie de Incendios Forestales por Comuna en la Región de Tarapacá, Periodo 2010-2020"/>
    <s v="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quot;Faenas forestales&quot;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
    <s v="Gráfico animado"/>
    <s v="Región de Tarapacá,incendios,forestales,hectáreas,superficie,comunas,Agencia Información,Agropecuario y Forestal,Incendios Forestales,Forestal"/>
    <s v="https://public.flourish.studio/visualisation/7125265/"/>
    <x v="1"/>
    <s v="#1774B9"/>
  </r>
  <r>
    <s v="0725"/>
    <n v="990"/>
    <s v="Agencia Información"/>
    <s v="Agropecuario y Forestal"/>
    <n v="2"/>
    <x v="11"/>
    <x v="8"/>
    <x v="1"/>
    <x v="2"/>
    <x v="1"/>
    <x v="60"/>
    <s v="Periodo 2010-2020"/>
    <s v="Hectáreas"/>
    <s v="Corporación Nacional Forestal (CONAF)"/>
    <s v="Superficie de Incendios Forestales por Comuna en la Región de Antofagasta, Periodo 2010-2020"/>
    <s v="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quot;Incendios de causa desconocida&quot;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
    <s v="Gráfico animado"/>
    <s v="Región de Antofagasta,incendios,forestales,hectáreas,superficie,comunas,Agencia Información,Agropecuario y Forestal,Incendios Forestales,Forestal"/>
    <s v="https://public.flourish.studio/visualisation/7125253/"/>
    <x v="2"/>
    <s v="#1774B9"/>
  </r>
  <r>
    <s v="0726"/>
    <n v="990"/>
    <s v="Agencia Información"/>
    <s v="Agropecuario y Forestal"/>
    <n v="3"/>
    <x v="11"/>
    <x v="8"/>
    <x v="1"/>
    <x v="3"/>
    <x v="1"/>
    <x v="60"/>
    <s v="Periodo 2010-2020"/>
    <s v="Hectáreas"/>
    <s v="Corporación Nacional Forestal (CONAF)"/>
    <s v="Superficie de Incendios Forestales por Comuna en la Región de Atacama, Periodo 2010-2020"/>
    <s v="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quot;Incendios de causa desconocida&quot;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
    <s v="Gráfico animado"/>
    <s v="Región de Atacama,incendios,forestales,hectáreas,superficie,comunas,Agencia Información,Agropecuario y Forestal,Incendios Forestales,Forestal"/>
    <s v="https://public.flourish.studio/visualisation/7125250/"/>
    <x v="3"/>
    <s v="#1774B9"/>
  </r>
  <r>
    <s v="0727"/>
    <n v="990"/>
    <s v="Agencia Información"/>
    <s v="Agropecuario y Forestal"/>
    <n v="4"/>
    <x v="11"/>
    <x v="8"/>
    <x v="1"/>
    <x v="4"/>
    <x v="1"/>
    <x v="60"/>
    <s v="Periodo 2010-2020"/>
    <s v="Hectáreas"/>
    <s v="Corporación Nacional Forestal (CONAF)"/>
    <s v="Superficie de Incendios Forestales por Comuna en la Región de Coquimbo, Periodo 2010-2020"/>
    <s v="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quot;Accidentes eléctricos&quot;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
    <s v="Gráfico animado"/>
    <s v="Región de Coquimbo,incendios,forestales,hectáreas,superficie,comunas,Agencia Información,Agropecuario y Forestal,Incendios Forestales,Forestal"/>
    <s v="https://public.flourish.studio/visualisation/7125239/"/>
    <x v="4"/>
    <s v="#1774B9"/>
  </r>
  <r>
    <s v="0728"/>
    <n v="990"/>
    <s v="Agencia Información"/>
    <s v="Agropecuario y Forestal"/>
    <n v="5"/>
    <x v="11"/>
    <x v="8"/>
    <x v="1"/>
    <x v="5"/>
    <x v="1"/>
    <x v="60"/>
    <s v="Periodo 2010-2020"/>
    <s v="Hectáreas"/>
    <s v="Corporación Nacional Forestal (CONAF)"/>
    <s v="Superficie de Incendios Forestales por Comuna en la Región de Valparaíso, Periodo 2010-2020"/>
    <s v="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quot;Tránsito de personas  vehículos o aeronaves &quot;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
    <s v="Gráfico animado"/>
    <s v="Región de Valparaíso,incendios,forestales,hectáreas,superficie,comunas,Agencia Información,Agropecuario y Forestal,Incendios Forestales,Forestal"/>
    <s v="https://public.flourish.studio/visualisation/7125220/"/>
    <x v="5"/>
    <s v="#1774B9"/>
  </r>
  <r>
    <s v="0729"/>
    <n v="990"/>
    <s v="Agencia Información"/>
    <s v="Agropecuario y Forestal"/>
    <n v="6"/>
    <x v="11"/>
    <x v="8"/>
    <x v="1"/>
    <x v="6"/>
    <x v="1"/>
    <x v="60"/>
    <s v="Periodo 2010-2020"/>
    <s v="Hectáreas"/>
    <s v="Corporación Nacional Forestal (CONAF)"/>
    <s v="Superficie de Incendios Forestales por Comuna en la Región de O'Higgins, Periodo 2010-2020"/>
    <s v="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quot;Accidentes eléctricos&quot;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
    <s v="Gráfico animado"/>
    <s v="Región de O'Higgins,incendios,forestales,hectáreas,superficie,comunas,Agencia Información,Agropecuario y Forestal,Incendios Forestales,Forestal"/>
    <s v="https://public.flourish.studio/visualisation/7125190/"/>
    <x v="6"/>
    <s v="#1774B9"/>
  </r>
  <r>
    <s v="0730"/>
    <n v="990"/>
    <s v="Agencia Información"/>
    <s v="Agropecuario y Forestal"/>
    <n v="7"/>
    <x v="11"/>
    <x v="8"/>
    <x v="1"/>
    <x v="7"/>
    <x v="1"/>
    <x v="60"/>
    <s v="Periodo 2010-2020"/>
    <s v="Hectáreas"/>
    <s v="Corporación Nacional Forestal (CONAF)"/>
    <s v="Superficie de Incendios Forestales por Comuna en la Región de Maule, Periodo 2010-2020"/>
    <s v="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quot;Incendios de causa desconocida&quot;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
    <s v="Gráfico animado"/>
    <s v="Región de Maule,incendios,forestales,hectáreas,superficie,comunas,Agencia Información,Agropecuario y Forestal,Incendios Forestales,Forestal"/>
    <s v="https://public.flourish.studio/visualisation/7125138/"/>
    <x v="7"/>
    <s v="#1774B9"/>
  </r>
  <r>
    <s v="0731"/>
    <n v="990"/>
    <s v="Agencia Información"/>
    <s v="Agropecuario y Forestal"/>
    <n v="8"/>
    <x v="11"/>
    <x v="8"/>
    <x v="1"/>
    <x v="8"/>
    <x v="1"/>
    <x v="60"/>
    <s v="Periodo 2010-2020"/>
    <s v="Hectáreas"/>
    <s v="Corporación Nacional Forestal (CONAF)"/>
    <s v="Superficie de Incendios Forestales por Comuna en la Región del Biobío, Periodo 2010-2020"/>
    <s v="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quot;Incendios intencionales&quot;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
    <s v="Gráfico animado"/>
    <s v="Región del Biobío,incendios,forestales,hectáreas,superficie,comunas,Agencia Información,Agropecuario y Forestal,Incendios Forestales,Forestal"/>
    <s v="https://public.flourish.studio/visualisation/7124803/"/>
    <x v="8"/>
    <s v="#1774B9"/>
  </r>
  <r>
    <s v="0732"/>
    <n v="990"/>
    <s v="Agencia Información"/>
    <s v="Agropecuario y Forestal"/>
    <n v="9"/>
    <x v="11"/>
    <x v="8"/>
    <x v="1"/>
    <x v="9"/>
    <x v="1"/>
    <x v="60"/>
    <s v="Periodo 2010-2020"/>
    <s v="Hectáreas"/>
    <s v="Corporación Nacional Forestal (CONAF)"/>
    <s v="Superficie de Incendios Forestales por Comuna en la Región de La Araucanía, Periodo 2010-2020"/>
    <s v="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quot;Incendios intencionales&quot;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
    <s v="Gráfico animado"/>
    <s v="Región de La Araucanía,incendios,forestales,hectáreas,superficie,comunas,Agencia Información,Agropecuario y Forestal,Incendios Forestales,Forestal"/>
    <s v="https://public.flourish.studio/visualisation/7124958/"/>
    <x v="9"/>
    <s v="#1774B9"/>
  </r>
  <r>
    <s v="0733"/>
    <n v="990"/>
    <s v="Agencia Información"/>
    <s v="Agropecuario y Forestal"/>
    <n v="10"/>
    <x v="11"/>
    <x v="8"/>
    <x v="1"/>
    <x v="10"/>
    <x v="1"/>
    <x v="60"/>
    <s v="Periodo 2010-2020"/>
    <s v="Hectáreas"/>
    <s v="Corporación Nacional Forestal (CONAF)"/>
    <s v="Superficie de Incendios Forestales por Comuna en la Región de Los Lagos, Periodo 2010-2020"/>
    <s v="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quot;Faenas forestales&quot;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
    <s v="Gráfico animado"/>
    <s v="Región de Los Lagos,incendios,forestales,hectáreas,superficie,comunas,Agencia Información,Agropecuario y Forestal,Incendios Forestales,Forestal"/>
    <s v="https://public.flourish.studio/visualisation/7125030/"/>
    <x v="10"/>
    <s v="#1774B9"/>
  </r>
  <r>
    <s v="0734"/>
    <n v="990"/>
    <s v="Agencia Información"/>
    <s v="Agropecuario y Forestal"/>
    <n v="11"/>
    <x v="11"/>
    <x v="8"/>
    <x v="1"/>
    <x v="11"/>
    <x v="1"/>
    <x v="60"/>
    <s v="Periodo 2010-2020"/>
    <s v="Hectáreas"/>
    <s v="Corporación Nacional Forestal (CONAF)"/>
    <s v="Superficie de Incendios Forestales por Comuna en la Región de Aysén, Periodo 2010-2020"/>
    <s v="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ot;Quema de desechos&quot;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
    <s v="Gráfico animado"/>
    <s v="Región de Aysén,incendios,forestales,hectáreas,superficie,comunas,Agencia Información,Agropecuario y Forestal,Incendios Forestales,Forestal"/>
    <s v="https://public.flourish.studio/visualisation/7125051/"/>
    <x v="11"/>
    <s v="#1774B9"/>
  </r>
  <r>
    <s v="0735"/>
    <n v="990"/>
    <s v="Agencia Información"/>
    <s v="Agropecuario y Forestal"/>
    <n v="12"/>
    <x v="11"/>
    <x v="8"/>
    <x v="1"/>
    <x v="12"/>
    <x v="1"/>
    <x v="60"/>
    <s v="Periodo 2010-2020"/>
    <s v="Hectáreas"/>
    <s v="Corporación Nacional Forestal (CONAF)"/>
    <s v="Superficie de Incendios Forestales por Comuna en la Región de Magallanes, Periodo 2010-2020"/>
    <s v="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quot;Tránsito de personas  vehículos o aeronaves &quot;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
    <s v="Gráfico animado"/>
    <s v="Región de Magallanes,incendios,forestales,hectáreas,superficie,comunas,Agencia Información,Agropecuario y Forestal,Incendios Forestales,Forestal"/>
    <s v="https://public.flourish.studio/visualisation/7125092/"/>
    <x v="12"/>
    <s v="#1774B9"/>
  </r>
  <r>
    <s v="0736"/>
    <n v="990"/>
    <s v="Agencia Información"/>
    <s v="Agropecuario y Forestal"/>
    <n v="13"/>
    <x v="11"/>
    <x v="8"/>
    <x v="1"/>
    <x v="13"/>
    <x v="1"/>
    <x v="60"/>
    <s v="Periodo 2010-2020"/>
    <s v="Hectáreas"/>
    <s v="Corporación Nacional Forestal (CONAF)"/>
    <s v="Superficie de Incendios Forestales por Comuna en la Región Metropolitana, Periodo 2010-2020"/>
    <s v="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quot;Tránsito de personas  vehículos o aeronaves &quot;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
    <s v="Gráfico animado"/>
    <s v="Región Metropolitana,incendios,forestales,hectáreas,superficie,comunas,Agencia Información,Agropecuario y Forestal,Incendios Forestales,Forestal"/>
    <s v="https://public.flourish.studio/visualisation/7125199/"/>
    <x v="13"/>
    <s v="#1774B9"/>
  </r>
  <r>
    <s v="0737"/>
    <n v="990"/>
    <s v="Agencia Información"/>
    <s v="Agropecuario y Forestal"/>
    <n v="14"/>
    <x v="11"/>
    <x v="8"/>
    <x v="1"/>
    <x v="14"/>
    <x v="1"/>
    <x v="60"/>
    <s v="Periodo 2010-2020"/>
    <s v="Hectáreas"/>
    <s v="Corporación Nacional Forestal (CONAF)"/>
    <s v="Superficie de Incendios Forestales por Comuna en la Región de Los Ríos, Periodo 2010-2020"/>
    <s v="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quot;Faenas agríolas y pecuarias&quot;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
    <s v="Gráfico animado"/>
    <s v="Región de Los Ríos,incendios,forestales,hectáreas,superficie,comunas,Agencia Información,Agropecuario y Forestal,Incendios Forestales,Forestal"/>
    <s v="https://public.flourish.studio/visualisation/7125004/"/>
    <x v="14"/>
    <s v="#1774B9"/>
  </r>
  <r>
    <s v="0738"/>
    <n v="990"/>
    <s v="Agencia Información"/>
    <s v="Agropecuario y Forestal"/>
    <n v="15"/>
    <x v="11"/>
    <x v="8"/>
    <x v="1"/>
    <x v="15"/>
    <x v="1"/>
    <x v="60"/>
    <s v="Periodo 2010-2020"/>
    <s v="Hectáreas"/>
    <s v="Corporación Nacional Forestal (CONAF)"/>
    <s v="Superficie de Incendios Forestales por Comuna en la Región de Arica y Parinacota, Periodo 2010-2020"/>
    <s v="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quot;Faenas forestales&quot;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
    <s v="Gráfico animado"/>
    <s v="Región de Arica y Parinacota,incendios,forestales,hectáreas,superficie,comunas,Agencia Información,Agropecuario y Forestal,Incendios Forestales,Forestal"/>
    <s v="https://public.flourish.studio/visualisation/7125302/"/>
    <x v="15"/>
    <s v="#1774B9"/>
  </r>
  <r>
    <s v="0739"/>
    <n v="990"/>
    <s v="Agencia Información"/>
    <s v="Agropecuario y Forestal"/>
    <n v="16"/>
    <x v="11"/>
    <x v="8"/>
    <x v="1"/>
    <x v="16"/>
    <x v="1"/>
    <x v="60"/>
    <s v="Periodo 2010-2020"/>
    <s v="Hectáreas"/>
    <s v="Corporación Nacional Forestal (CONAF)"/>
    <s v="Superficie de Incendios Forestales por Comuna en la Región de Ñuble, Periodo 2010-2020"/>
    <s v="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quot;Incendios de causa desconocida&quot;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
    <s v="Gráfico animado"/>
    <s v="Región de Ñuble,incendios,forestales,hectáreas,superficie,comunas,Agencia Información,Agropecuario y Forestal,Incendios Forestales,Forestal"/>
    <s v="https://public.flourish.studio/visualisation/7125115/"/>
    <x v="16"/>
    <s v="#1774B9"/>
  </r>
  <r>
    <s v="0740"/>
    <n v="990"/>
    <s v="Agencia Información"/>
    <s v="Agropecuario y Forestal"/>
    <n v="0"/>
    <x v="11"/>
    <x v="8"/>
    <x v="0"/>
    <x v="0"/>
    <x v="1"/>
    <x v="10"/>
    <s v="Periodo 2010-2020"/>
    <s v="Número de incendios y Hectáreas"/>
    <s v="Corporación Nacional Forestal (CONAF)"/>
    <s v="Incendios y superficie afectada de plantaciones Forestales según causas específicas en Chile, Periodo 2010-2020"/>
    <s v="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quot;Incendios intencionales&quot; . En cuanto a superficie, en la temporada 2016-2017 más de 515.000 hectáreas sufrieron incendios, siendo la causa mayoritaria la definida como &quot;Desconocida (se investiga pero no es posible establecer la causa origen)&quot; (174.368,1 ha) lo que representa un 68,1% de la superficie afectada en la temporada mencionada."/>
    <s v="Dashboard"/>
    <s v="Chile,incendios,forestales,hectáreas,superficie,cantidad,número,causa,plantaciones,temporada,fuego,Agencia Información,Agropecuario y Forestal,Incendios Forestales,Forestal"/>
    <s v="https://app.powerbi.com/view?r=eyJrIjoiYTU4N2U3YjktZjQ5OS00OGU4LThmYzItNDY4NGYxMzAyNjk2IiwidCI6IjhmYmFhNWJmLTJlY2MtNGRjOC1iNTZiLThmOTJlMzA3ZjA3NiIsImMiOjR9"/>
    <x v="34"/>
    <s v="#1774B9"/>
  </r>
  <r>
    <s v="0741"/>
    <n v="990"/>
    <s v="Agencia Información"/>
    <s v="Agropecuario y Forestal"/>
    <n v="3"/>
    <x v="11"/>
    <x v="8"/>
    <x v="1"/>
    <x v="3"/>
    <x v="1"/>
    <x v="10"/>
    <s v="Periodo 2010-2020"/>
    <s v="Número de incendios y Hectáreas"/>
    <s v="Corporación Nacional Forestal (CONAF)"/>
    <s v="Incendios y superficie afectada de plantaciones Forestales según causas específicas en la Región de Atacama, Periodo 2010-2020"/>
    <s v="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quot;Desconocida (se investiga pero no es posible establecer la causa origen)&quot; . En cuanto a superficie, en la temporada 2015-2016 más de 39 hectáreas sufrieron incendios, siendo la causa mayoritaria la definida como &quot;Desconocida (se investiga pero no es posible establecer la causa origen)&quot; (39,3 ha) lo que representa un 100,0% de la superficie afectada en la temporada mencionada."/>
    <s v="Dashboard"/>
    <s v="Región de Atacama,incendios,forestales,hectáreas,superficie,cantidad,número,causa,plantaciones,temporada,fuego,Agencia Información,Agropecuario y Forestal,Incendios Forestales,Forestal"/>
    <s v="https://app.powerbi.com/view?r=eyJrIjoiZDA2MGUzOWItMzM3Yi00NmUwLThlYzctZmI2YzdmYzBmNDA2IiwidCI6IjhmYmFhNWJmLTJlY2MtNGRjOC1iNTZiLThmOTJlMzA3ZjA3NiIsImMiOjR9"/>
    <x v="3"/>
    <s v="#1774B9"/>
  </r>
  <r>
    <s v="0742"/>
    <n v="990"/>
    <s v="Agencia Información"/>
    <s v="Agropecuario y Forestal"/>
    <n v="4"/>
    <x v="11"/>
    <x v="8"/>
    <x v="1"/>
    <x v="4"/>
    <x v="1"/>
    <x v="10"/>
    <s v="Periodo 2010-2020"/>
    <s v="Número de incendios y Hectáreas"/>
    <s v="Corporación Nacional Forestal (CONAF)"/>
    <s v="Incendios y superficie afectada de plantaciones Forestales según causas específicas en la Región de Coquimbo, Periodo 2010-2020"/>
    <s v="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quot;Uso de fuego por transeúntes&quot; . En cuanto a superficie, en la temporada 2010-2011 más de 281 hectáreas sufrieron incendios, siendo la causa mayoritaria la definida como &quot;Uso de fuego por transeúntes&quot; (202,5 ha) lo que representa un 72,2% de la superficie afectada en la temporada mencionada."/>
    <s v="Dashboard"/>
    <s v="Región de Coquimbo,incendios,forestales,hectáreas,superficie,cantidad,número,causa,plantaciones,temporada,fuego,Agencia Información,Agropecuario y Forestal,Incendios Forestales,Forestal"/>
    <s v="https://app.powerbi.com/view?r=eyJrIjoiYmEwNjFkOGUtMTAyNC00ZTM3LWI3OTItNTdhMjIzNzc5ODdkIiwidCI6IjhmYmFhNWJmLTJlY2MtNGRjOC1iNTZiLThmOTJlMzA3ZjA3NiIsImMiOjR9"/>
    <x v="4"/>
    <s v="#1774B9"/>
  </r>
  <r>
    <s v="0743"/>
    <n v="990"/>
    <s v="Agencia Información"/>
    <s v="Agropecuario y Forestal"/>
    <n v="5"/>
    <x v="11"/>
    <x v="8"/>
    <x v="1"/>
    <x v="5"/>
    <x v="1"/>
    <x v="10"/>
    <s v="Periodo 2010-2020"/>
    <s v="Número de incendios y Hectáreas"/>
    <s v="Corporación Nacional Forestal (CONAF)"/>
    <s v="Incendios y superficie afectada de plantaciones Forestales según causas específicas en la Región de Valparaíso, Periodo 2010-2020"/>
    <s v="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quot;Uso de fuego por transeúntes&quot; . En cuanto a superficie, en la temporada 2016-2017 más de 17.232 hectáreas sufrieron incendios, siendo la causa mayoritaria la definida como &quot;Uso de fuego por transeúntes&quot; (11.727,9 ha) lo que representa un 68,1% de la superficie afectada en la temporada mencionada."/>
    <s v="Dashboard"/>
    <s v="Región de Valparaíso,incendios,forestales,hectáreas,superficie,cantidad,número,causa,plantaciones,temporada,fuego,Agencia Información,Agropecuario y Forestal,Incendios Forestales,Forestal"/>
    <s v="https://app.powerbi.com/view?r=eyJrIjoiNmJkNDVkNTAtYjZlZC00M2EyLWIxYjEtY2I4YTAxYWYwNmRkIiwidCI6IjhmYmFhNWJmLTJlY2MtNGRjOC1iNTZiLThmOTJlMzA3ZjA3NiIsImMiOjR9"/>
    <x v="5"/>
    <s v="#1774B9"/>
  </r>
  <r>
    <s v="0744"/>
    <n v="990"/>
    <s v="Agencia Información"/>
    <s v="Agropecuario y Forestal"/>
    <n v="6"/>
    <x v="11"/>
    <x v="8"/>
    <x v="1"/>
    <x v="6"/>
    <x v="1"/>
    <x v="10"/>
    <s v="Periodo 2010-2020"/>
    <s v="Número de incendios y Hectáreas"/>
    <s v="Corporación Nacional Forestal (CONAF)"/>
    <s v="Incendios y superficie afectada de plantaciones Forestales según causas específicas en la Región de O'Higgins, Periodo 2010-2020"/>
    <s v="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quot;Uso de fuego por transeúntes&quot; . En cuanto a superficie, en la temporada 2016-2017 más de 99.930 hectáreas sufrieron incendios, siendo la causa mayoritaria la definida como &quot;Corte de cable por caí­da de tendido eléctrico o postación&quot; (65.072,8 ha) lo que representa un 65,1% de la superficie afectada en la temporada mencionada."/>
    <s v="Dashboard"/>
    <s v="Región de O'Higgins,incendios,forestales,hectáreas,superficie,cantidad,número,causa,plantaciones,temporada,fuego,Agencia Información,Agropecuario y Forestal,Incendios Forestales,Forestal"/>
    <s v="https://app.powerbi.com/view?r=eyJrIjoiOGI2NDMyOTYtMzdmNi00ZjNiLTliNTMtYWU2OTQ4ZDkxMDA3IiwidCI6IjhmYmFhNWJmLTJlY2MtNGRjOC1iNTZiLThmOTJlMzA3ZjA3NiIsImMiOjR9"/>
    <x v="6"/>
    <s v="#1774B9"/>
  </r>
  <r>
    <s v="0745"/>
    <n v="990"/>
    <s v="Agencia Información"/>
    <s v="Agropecuario y Forestal"/>
    <n v="7"/>
    <x v="11"/>
    <x v="8"/>
    <x v="1"/>
    <x v="7"/>
    <x v="1"/>
    <x v="10"/>
    <s v="Periodo 2010-2020"/>
    <s v="Número de incendios y Hectáreas"/>
    <s v="Corporación Nacional Forestal (CONAF)"/>
    <s v="Incendios y superficie afectada de plantaciones Forestales según causas específicas en la Región de Maule, Periodo 2010-2020"/>
    <s v="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quot;Uso de fuego por transeúntes&quot; . En cuanto a superficie, en la temporada 2016-2017 más de 250.020 hectáreas sufrieron incendios, siendo la causa mayoritaria la definida como &quot;Desconocida (se investiga pero no es posible establecer la causa origen)&quot; (162.909,4 ha) lo que representa un 65,2% de la superficie afectada en la temporada mencionada."/>
    <s v="Dashboard"/>
    <s v="Región de Maule,incendios,forestales,hectáreas,superficie,cantidad,número,causa,plantaciones,temporada,fuego,Agencia Información,Agropecuario y Forestal,Incendios Forestales,Forestal"/>
    <s v="https://app.powerbi.com/view?r=eyJrIjoiZTZjMGE0MjAtZjg0OS00MmU0LWI4ODItOTc4ZTYyYTQ0OGJjIiwidCI6IjhmYmFhNWJmLTJlY2MtNGRjOC1iNTZiLThmOTJlMzA3ZjA3NiIsImMiOjR9"/>
    <x v="7"/>
    <s v="#1774B9"/>
  </r>
  <r>
    <s v="0746"/>
    <n v="990"/>
    <s v="Agencia Información"/>
    <s v="Agropecuario y Forestal"/>
    <n v="8"/>
    <x v="11"/>
    <x v="8"/>
    <x v="1"/>
    <x v="8"/>
    <x v="1"/>
    <x v="10"/>
    <s v="Periodo 2010-2020"/>
    <s v="Número de incendios y Hectáreas"/>
    <s v="Corporación Nacional Forestal (CONAF)"/>
    <s v="Incendios y superficie afectada de plantaciones Forestales según causas específicas en la Región del Biobío, Periodo 2010-2020"/>
    <s v="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quot;Uso de fuego por transeúntes&quot; . En cuanto a superficie, en la temporada 2016-2017 más de 84.002 hectáreas sufrieron incendios, siendo la causa mayoritaria la definida como &quot;Otros intencionales no clasificados&quot; (57.259,6 ha) lo que representa un 68,2% de la superficie afectada en la temporada mencionada."/>
    <s v="Dashboard"/>
    <s v="Región del Biobío,incendios,forestales,hectáreas,superficie,cantidad,número,causa,plantaciones,temporada,fuego,Agencia Información,Agropecuario y Forestal,Incendios Forestales,Forestal"/>
    <s v="https://app.powerbi.com/view?r=eyJrIjoiOTJkNmVmNzYtM2MxMy00NzkwLWIzMDEtMmUyMmE3Zjg3MTkxIiwidCI6IjhmYmFhNWJmLTJlY2MtNGRjOC1iNTZiLThmOTJlMzA3ZjA3NiIsImMiOjR9"/>
    <x v="8"/>
    <s v="#1774B9"/>
  </r>
  <r>
    <s v="0747"/>
    <n v="990"/>
    <s v="Agencia Información"/>
    <s v="Agropecuario y Forestal"/>
    <n v="9"/>
    <x v="11"/>
    <x v="8"/>
    <x v="1"/>
    <x v="9"/>
    <x v="1"/>
    <x v="10"/>
    <s v="Periodo 2010-2020"/>
    <s v="Número de incendios y Hectáreas"/>
    <s v="Corporación Nacional Forestal (CONAF)"/>
    <s v="Incendios y superficie afectada de plantaciones Forestales según causas específicas en la Región de La Araucanía, Periodo 2010-2020"/>
    <s v="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quot;Vandalismo (excluidos terrorismo y atentado incendiario)&quot; . En cuanto a superficie, en la temporada 2019-2020 más de 31.648 hectáreas sufrieron incendios, siendo la causa mayoritaria la definida como &quot;Vandalismo (excluidos terrorismo y atentado incendiario)&quot; (11.742,8 ha) lo que representa un 37,1% de la superficie afectada en la temporada mencionada."/>
    <s v="Dashboard"/>
    <s v="Región de La Araucanía,incendios,forestales,hectáreas,superficie,cantidad,número,causa,plantaciones,temporada,fuego,Agencia Información,Agropecuario y Forestal,Incendios Forestales,Forestal"/>
    <s v="https://app.powerbi.com/view?r=eyJrIjoiYzIxYmRlNzctOWNlNy00YWEzLWIyOWUtZDRmYzY5MjA1MmZlIiwidCI6IjhmYmFhNWJmLTJlY2MtNGRjOC1iNTZiLThmOTJlMzA3ZjA3NiIsImMiOjR9"/>
    <x v="9"/>
    <s v="#1774B9"/>
  </r>
  <r>
    <s v="0748"/>
    <n v="990"/>
    <s v="Agencia Información"/>
    <s v="Agropecuario y Forestal"/>
    <n v="10"/>
    <x v="11"/>
    <x v="8"/>
    <x v="1"/>
    <x v="10"/>
    <x v="1"/>
    <x v="10"/>
    <s v="Periodo 2010-2020"/>
    <s v="Número de incendios y Hectáreas"/>
    <s v="Corporación Nacional Forestal (CONAF)"/>
    <s v="Incendios y superficie afectada de plantaciones Forestales según causas específicas en la Región de Los Lagos, Periodo 2010-2020"/>
    <s v="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quot;Uso de fuego por transeúntes&quot; . En cuanto a superficie, en la temporada 2014-2015 más de 710 hectáreas sufrieron incendios, siendo la causa mayoritaria la definida como &quot;Quema ilegal de desechos agrí­colas&quot; (282,8 ha) lo que representa un 39,8% de la superficie afectada en la temporada mencionada."/>
    <s v="Dashboard"/>
    <s v="Región de Los Lagos,incendios,forestales,hectáreas,superficie,cantidad,número,causa,plantaciones,temporada,fuego,Agencia Información,Agropecuario y Forestal,Incendios Forestales,Forestal"/>
    <s v="https://app.powerbi.com/view?r=eyJrIjoiMGU1NjM0MjEtODEzMi00OWQ3LTg5NzgtMzRiMGVkYjJiYzgxIiwidCI6IjhmYmFhNWJmLTJlY2MtNGRjOC1iNTZiLThmOTJlMzA3ZjA3NiIsImMiOjR9"/>
    <x v="10"/>
    <s v="#1774B9"/>
  </r>
  <r>
    <s v="0749"/>
    <n v="990"/>
    <s v="Agencia Información"/>
    <s v="Agropecuario y Forestal"/>
    <n v="11"/>
    <x v="11"/>
    <x v="8"/>
    <x v="1"/>
    <x v="11"/>
    <x v="1"/>
    <x v="10"/>
    <s v="Periodo 2010-2020"/>
    <s v="Número de incendios y Hectáreas"/>
    <s v="Corporación Nacional Forestal (CONAF)"/>
    <s v="Incendios y superficie afectada de plantaciones Forestales según causas específicas en la Región de Aysén, Periodo 2010-2020"/>
    <s v="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quot;No determinada (la causa no es investigada)&quot; . En cuanto a superficie, en la temporada 2015-2016 más de 2.190 hectáreas sufrieron incendios, siendo la causa mayoritaria la definida como &quot;Uso de fuego para actividades recreativas en áreas no habilitadas  (excursionistas  paseantes  asados)&quot; (2.186,5 ha) lo que representa un 99,8% de la superficie afectada en la temporada mencionada."/>
    <s v="Dashboard"/>
    <s v="Región de Aysén,incendios,forestales,hectáreas,superficie,cantidad,número,causa,plantaciones,temporada,fuego,Agencia Información,Agropecuario y Forestal,Incendios Forestales,Forestal"/>
    <s v="https://app.powerbi.com/view?r=eyJrIjoiZDRiOGFmYTAtOWIyYy00NDcyLWI0Y2ItNWYwMzczMjdhYTgwIiwidCI6IjhmYmFhNWJmLTJlY2MtNGRjOC1iNTZiLThmOTJlMzA3ZjA3NiIsImMiOjR9"/>
    <x v="11"/>
    <s v="#1774B9"/>
  </r>
  <r>
    <s v="0750"/>
    <n v="990"/>
    <s v="Agencia Información"/>
    <s v="Agropecuario y Forestal"/>
    <n v="12"/>
    <x v="11"/>
    <x v="8"/>
    <x v="1"/>
    <x v="12"/>
    <x v="1"/>
    <x v="10"/>
    <s v="Periodo 2010-2020"/>
    <s v="Número de incendios y Hectáreas"/>
    <s v="Corporación Nacional Forestal (CONAF)"/>
    <s v="Incendios y superficie afectada de plantaciones Forestales según causas específicas en la Región de Magallanes, Periodo 2010-2020"/>
    <s v="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quot;Todas&quot; . En cuanto a superficie, en la temporada 2011-2012 más de 17.606 hectáreas sufrieron incendios, siendo la causa mayoritaria la definida como &quot;Uso de fuego por transeúntes&quot; (17.606,3 ha) lo que representa un 100,0% de la superficie afectada en la temporada mencionada."/>
    <s v="Dashboard"/>
    <s v="Región de Magallanes,incendios,forestales,hectáreas,superficie,cantidad,número,causa,plantaciones,temporada,fuego,Agencia Información,Agropecuario y Forestal,Incendios Forestales,Forestal"/>
    <s v="https://app.powerbi.com/view?r=eyJrIjoiMmRlZmU2MWMtYmU1Zi00MGYzLThhYTUtZmRiYjczOTNjN2ZjIiwidCI6IjhmYmFhNWJmLTJlY2MtNGRjOC1iNTZiLThmOTJlMzA3ZjA3NiIsImMiOjR9"/>
    <x v="12"/>
    <s v="#1774B9"/>
  </r>
  <r>
    <s v="0751"/>
    <n v="990"/>
    <s v="Agencia Información"/>
    <s v="Agropecuario y Forestal"/>
    <n v="13"/>
    <x v="11"/>
    <x v="8"/>
    <x v="1"/>
    <x v="13"/>
    <x v="1"/>
    <x v="10"/>
    <s v="Periodo 2010-2020"/>
    <s v="Número de incendios y Hectáreas"/>
    <s v="Corporación Nacional Forestal (CONAF)"/>
    <s v="Incendios y superficie afectada de plantaciones Forestales según causas específicas en la Región Metropolitana, Periodo 2010-2020"/>
    <s v="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quot;Uso de fuego por transeúntes&quot; . En cuanto a superficie, en la temporada 2016-2017 más de 23.791 hectáreas sufrieron incendios, siendo la causa mayoritaria la definida como &quot;Soldadura y montaje de estructuras varias (torres de alta tensión  oleoductos  etc.)&quot; (7.990,5 ha) lo que representa un 33,6% de la superficie afectada en la temporada mencionada."/>
    <s v="Dashboard"/>
    <s v="Región Metropolitana,incendios,forestales,hectáreas,superficie,cantidad,número,causa,plantaciones,temporada,fuego,Agencia Información,Agropecuario y Forestal,Incendios Forestales,Forestal"/>
    <s v="https://app.powerbi.com/view?r=eyJrIjoiNzcwNDhlNTgtODUxMy00OTAwLWE4N2YtYzUzNjNlYTRhZmQ0IiwidCI6IjhmYmFhNWJmLTJlY2MtNGRjOC1iNTZiLThmOTJlMzA3ZjA3NiIsImMiOjR9"/>
    <x v="13"/>
    <s v="#1774B9"/>
  </r>
  <r>
    <s v="0752"/>
    <n v="990"/>
    <s v="Agencia Información"/>
    <s v="Agropecuario y Forestal"/>
    <n v="14"/>
    <x v="11"/>
    <x v="8"/>
    <x v="1"/>
    <x v="14"/>
    <x v="1"/>
    <x v="10"/>
    <s v="Periodo 2010-2020"/>
    <s v="Número de incendios y Hectáreas"/>
    <s v="Corporación Nacional Forestal (CONAF)"/>
    <s v="Incendios y superficie afectada de plantaciones Forestales según causas específicas en la Región de Los Ríos, Periodo 2010-2020"/>
    <s v="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quot;Desconocida (se investiga pero no es posible establecer la causa origen)&quot; . En cuanto a superficie, en la temporada 2015-2016 más de 642 hectáreas sufrieron incendios, siendo la causa mayoritaria la definida como &quot;Uso de fuego en zonas de faenas agropecuarias (alimentación y calefacción)&quot; (247,7 ha) lo que representa un 38,6% de la superficie afectada en la temporada mencionada."/>
    <s v="Dashboard"/>
    <s v="Región de Los Ríos,incendios,forestales,hectáreas,superficie,cantidad,número,causa,plantaciones,temporada,fuego,Agencia Información,Agropecuario y Forestal,Incendios Forestales,Forestal"/>
    <s v="https://app.powerbi.com/view?r=eyJrIjoiNmMzM2ViNTctYzkwMy00MDAwLTg3OGQtM2VhNTkxNmJhNjVjIiwidCI6IjhmYmFhNWJmLTJlY2MtNGRjOC1iNTZiLThmOTJlMzA3ZjA3NiIsImMiOjR9"/>
    <x v="14"/>
    <s v="#1774B9"/>
  </r>
  <r>
    <s v="0753"/>
    <n v="990"/>
    <s v="Agencia Información"/>
    <s v="Agropecuario y Forestal"/>
    <n v="16"/>
    <x v="11"/>
    <x v="8"/>
    <x v="1"/>
    <x v="16"/>
    <x v="1"/>
    <x v="10"/>
    <s v="Periodo 2010-2020"/>
    <s v="Número de incendios y Hectáreas"/>
    <s v="Corporación Nacional Forestal (CONAF)"/>
    <s v="Incendios y superficie afectada de plantaciones Forestales según causas específicas en la Región de Ñuble, Periodo 2010-2020"/>
    <s v="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quot;Otros intencionales no clasificados&quot; . En cuanto a superficie, en la temporada 2016-2017 más de 32.583 hectáreas sufrieron incendios, siendo la causa mayoritaria la definida como &quot;Niños jugando con fuego&quot; (12.249,4 ha) lo que representa un 37,6% de la superficie afectada en la temporada mencionada."/>
    <s v="Dashboard"/>
    <s v="Región de Ñuble,incendios,forestales,hectáreas,superficie,cantidad,número,causa,plantaciones,temporada,fuego,Agencia Información,Agropecuario y Forestal,Incendios Forestales,Forestal"/>
    <s v="https://app.powerbi.com/view?r=eyJrIjoiMGZhOWI5YTctNzI5Mi00YTRlLTlhOTctNjdiOTk0NTQ5OGRiIiwidCI6IjhmYmFhNWJmLTJlY2MtNGRjOC1iNTZiLThmOTJlMzA3ZjA3NiIsImMiOjR9"/>
    <x v="16"/>
    <s v="#1774B9"/>
  </r>
  <r>
    <s v="0754"/>
    <n v="990"/>
    <s v="Agencia Información"/>
    <s v="Agropecuario y Forestal"/>
    <n v="0"/>
    <x v="11"/>
    <x v="8"/>
    <x v="0"/>
    <x v="0"/>
    <x v="1"/>
    <x v="61"/>
    <s v="Periodo 2010-2020"/>
    <s v="Número de incendios y Hectáreas"/>
    <s v="Corporación Nacional Forestal (CONAF)"/>
    <s v="Incendios y superficie afectada según causas generales y específicas en Chile, Periodo 2010-2020"/>
    <s v="La superficie total afectada por incendios forestales entre los años 2010 y 2020 en Chile fue de 1.212.326,0 hectáreas. Durante la temporada 2016-2017 se afectaron 570.197,1 hectáreas en la región, siendo la causa general más recurrente reportada la de &quot;Incendios de causa desconocida&quot; con 177.898,1 hectáreas afectadas. De esta superficie, 174.710,1 hectáreas fueron clasificadas dentro de la causa específica &quot;Desconocida (se investiga pero no es posible establecer la causa origen)&quot; lo que representa un 98,2% de la Causa General."/>
    <s v="Dashboard"/>
    <s v="Chile,incendios,forestales,hectáreas,superficie,cantidad,número,causa,general,específica,temporada,fuego,Agencia Información,Agropecuario y Forestal,Incendios Forestales,Forestal"/>
    <s v="https://app.powerbi.com/view?r=eyJrIjoiYzRmMGQzMTMtYTU4ZS00MzEwLTk2ZjUtZDZmNDc2MDMzNmZjIiwidCI6IjhmYmFhNWJmLTJlY2MtNGRjOC1iNTZiLThmOTJlMzA3ZjA3NiIsImMiOjR9"/>
    <x v="0"/>
    <s v="#1774B9"/>
  </r>
  <r>
    <s v="0755"/>
    <n v="990"/>
    <s v="Agencia Información"/>
    <s v="Agropecuario y Forestal"/>
    <n v="1"/>
    <x v="11"/>
    <x v="8"/>
    <x v="1"/>
    <x v="1"/>
    <x v="1"/>
    <x v="61"/>
    <s v="Periodo 2010-2020"/>
    <s v="Número de incendios y Hectáreas"/>
    <s v="Corporación Nacional Forestal (CONAF)"/>
    <s v="Incendios y superficie afectada según causas generales y específicas en la Región de Tarapacá, Periodo 2010-2020"/>
    <s v="La superficie total afectada por incendios forestales entre los años 2010 y 2020 en la Región de Tarapacá fue de 8,8 hectáreas. Durante la temporada 2019-2020 se afectaron 6,8 hectáreas en la región, siendo la causa general más recurrente reportada la de &quot;Faenas forestales&quot; con 5,5 hectáreas afectadas. De esta superficie, 5,0 hectáreas fueron clasificadas dentro de la causa específica &quot;Quema ilegal con otros fines forestales (quema sanitaria  manejo de vida silvestre  etc.)&quot; lo que representa un 90,9% de la Causa General."/>
    <s v="Dashboard"/>
    <s v="Región de Tarapacá,incendios,forestales,hectáreas,superficie,cantidad,número,causa,general,específica,temporada,fuego,Agencia Información,Agropecuario y Forestal,Incendios Forestales,Forestal"/>
    <s v="https://app.powerbi.com/view?r=eyJrIjoiNzljMWVjMDMtY2VmMS00ZmE2LTkzMDgtOGFiMDljOTQ0NGY0IiwidCI6IjhmYmFhNWJmLTJlY2MtNGRjOC1iNTZiLThmOTJlMzA3ZjA3NiIsImMiOjR9"/>
    <x v="1"/>
    <s v="#1774B9"/>
  </r>
  <r>
    <s v="0756"/>
    <n v="990"/>
    <s v="Agencia Información"/>
    <s v="Agropecuario y Forestal"/>
    <n v="2"/>
    <x v="11"/>
    <x v="8"/>
    <x v="1"/>
    <x v="2"/>
    <x v="1"/>
    <x v="61"/>
    <s v="Periodo 2010-2020"/>
    <s v="Número de incendios y Hectáreas"/>
    <s v="Corporación Nacional Forestal (CONAF)"/>
    <s v="Incendios y superficie afectada según causas generales y específicas en la Región de Antofagasta, Periodo 2010-2020"/>
    <s v="La superficie total afectada por incendios forestales entre los años 2010 y 2020 en la Región de Antofagasta fue de 54,3 hectáreas. Durante la temporada 2019-2020 se afectaron 54,3 hectáreas en la región, siendo la causa general más recurrente reportada la de &quot;Incendios de causa desconocida&quot; con 50,5 hectáreas afectadas. De esta superficie, 50,1 hectáreas fueron clasificadas dentro de la causa específica &quot;Desconocida (se investiga pero no es posible establecer la causa origen)&quot; lo que representa un 99,2% de la Causa General."/>
    <s v="Dashboard"/>
    <s v="Región de Antofagasta,incendios,forestales,hectáreas,superficie,cantidad,número,causa,general,específica,temporada,fuego,Agencia Información,Agropecuario y Forestal,Incendios Forestales,Forestal"/>
    <s v="https://app.powerbi.com/view?r=eyJrIjoiNGI4NDk4MDQtMTIyZC00MDEzLWE1YjAtYzRhNDNlZWQwYWU0IiwidCI6IjhmYmFhNWJmLTJlY2MtNGRjOC1iNTZiLThmOTJlMzA3ZjA3NiIsImMiOjR9"/>
    <x v="2"/>
    <s v="#1774B9"/>
  </r>
  <r>
    <s v="0757"/>
    <n v="990"/>
    <s v="Agencia Información"/>
    <s v="Agropecuario y Forestal"/>
    <n v="3"/>
    <x v="11"/>
    <x v="8"/>
    <x v="1"/>
    <x v="3"/>
    <x v="1"/>
    <x v="61"/>
    <s v="Periodo 2010-2020"/>
    <s v="Número de incendios y Hectáreas"/>
    <s v="Corporación Nacional Forestal (CONAF)"/>
    <s v="Incendios y superficie afectada según causas generales y específicas en la Región de Atacama, Periodo 2010-2020"/>
    <s v="La superficie total afectada por incendios forestales entre los años 2010 y 2020 en la Región de Atacama fue de 341,7 hectáreas. Durante la temporada 2015-2016 se afectaron 103,6 hectáreas en la región, siendo la causa general más recurrente reportada la de &quot;Incendios de causa desconocida&quot; con 103,6 hectáreas afectadas. De esta superficie, 103,6 hectáreas fueron clasificadas dentro de la causa específica &quot;Desconocida (se investiga pero no es posible establecer la causa origen)&quot; lo que representa un 100,0% de la Causa General."/>
    <s v="Dashboard"/>
    <s v="Región de Atacama,incendios,forestales,hectáreas,superficie,cantidad,número,causa,general,específica,temporada,fuego,Agencia Información,Agropecuario y Forestal,Incendios Forestales,Forestal"/>
    <s v="https://app.powerbi.com/view?r=eyJrIjoiMTQ5YjMxMmItNDYyYS00NDIxLWEwNzktYTlmZGZiODhjMWViIiwidCI6IjhmYmFhNWJmLTJlY2MtNGRjOC1iNTZiLThmOTJlMzA3ZjA3NiIsImMiOjR9"/>
    <x v="3"/>
    <s v="#1774B9"/>
  </r>
  <r>
    <s v="0758"/>
    <n v="990"/>
    <s v="Agencia Información"/>
    <s v="Agropecuario y Forestal"/>
    <n v="4"/>
    <x v="11"/>
    <x v="8"/>
    <x v="1"/>
    <x v="4"/>
    <x v="1"/>
    <x v="61"/>
    <s v="Periodo 2010-2020"/>
    <s v="Número de incendios y Hectáreas"/>
    <s v="Corporación Nacional Forestal (CONAF)"/>
    <s v="Incendios y superficie afectada según causas generales y específicas en la Región de Coquimbo, Periodo 2010-2020"/>
    <s v="La superficie total afectada por incendios forestales entre los años 2010 y 2020 en la Región de Coquimbo fue de 7.960,1 hectáreas. Durante la temporada 2016-2017 se afectaron 3.639,8 hectáreas en la región, siendo la causa general más recurrente reportada la de &quot;Accidentes eléctricos&quot; con 3.160,9 hectáreas afectadas. De esta superficie, 3.106,2 hectáreas fueron clasificadas dentro de la causa específica &quot;Corte de cable por otro accidente o acción no clasificada&quot; lo que representa un 98,3% de la Causa General."/>
    <s v="Dashboard"/>
    <s v="Región de Coquimbo,incendios,forestales,hectáreas,superficie,cantidad,número,causa,general,específica,temporada,fuego,Agencia Información,Agropecuario y Forestal,Incendios Forestales,Forestal"/>
    <s v="https://app.powerbi.com/view?r=eyJrIjoiY2Q1ZjQxOTItNjU0MS00NDlmLWE1YmUtMGFlNWY5ZTA5ZWM2IiwidCI6IjhmYmFhNWJmLTJlY2MtNGRjOC1iNTZiLThmOTJlMzA3ZjA3NiIsImMiOjR9"/>
    <x v="4"/>
    <s v="#1774B9"/>
  </r>
  <r>
    <s v="0759"/>
    <n v="990"/>
    <s v="Agencia Información"/>
    <s v="Agropecuario y Forestal"/>
    <n v="5"/>
    <x v="11"/>
    <x v="8"/>
    <x v="1"/>
    <x v="5"/>
    <x v="1"/>
    <x v="61"/>
    <s v="Periodo 2010-2020"/>
    <s v="Número de incendios y Hectáreas"/>
    <s v="Corporación Nacional Forestal (CONAF)"/>
    <s v="Incendios y superficie afectada según causas generales y específicas en la Región de Valparaíso, Periodo 2010-2020"/>
    <s v="La superficie total afectada por incendios forestales entre los años 2010 y 2020 en la Región de Valparaíso fue de 81.197,1 hectáreas. Durante la temporada 2016-2017 se afectaron 27.118,1 hectáreas en la región, siendo la causa general más recurrente reportada la de &quot;Tránsito de personas  vehículos o aeronaves &quot; con 16.663,3 hectáreas afectadas. De esta superficie, 16.637,7 hectáreas fueron clasificadas dentro de la causa específica &quot;Uso de fuego por transeúntes&quot; lo que representa un 99,8% de la Causa General."/>
    <s v="Dashboard"/>
    <s v="Región de Valparaíso,incendios,forestales,hectáreas,superficie,cantidad,número,causa,general,específica,temporada,fuego,Agencia Información,Agropecuario y Forestal,Incendios Forestales,Forestal"/>
    <s v="https://app.powerbi.com/view?r=eyJrIjoiYjJhMDkxMjEtODNmNS00N2Y4LWE5ODctZWMzMWI1ODM2ZmQ4IiwidCI6IjhmYmFhNWJmLTJlY2MtNGRjOC1iNTZiLThmOTJlMzA3ZjA3NiIsImMiOjR9"/>
    <x v="5"/>
    <s v="#1774B9"/>
  </r>
  <r>
    <s v="0760"/>
    <n v="990"/>
    <s v="Agencia Información"/>
    <s v="Agropecuario y Forestal"/>
    <n v="6"/>
    <x v="11"/>
    <x v="8"/>
    <x v="1"/>
    <x v="6"/>
    <x v="1"/>
    <x v="61"/>
    <s v="Periodo 2010-2020"/>
    <s v="Número de incendios y Hectáreas"/>
    <s v="Corporación Nacional Forestal (CONAF)"/>
    <s v="Incendios y superficie afectada según causas generales y específicas en la Región de O'Higgins, Periodo 2010-2020"/>
    <s v="La superficie total afectada por incendios forestales entre los años 2010 y 2020 en la Región de O'Higgins fue de 157.791,6 hectáreas. Durante la temporada 2016-2017 se afectaron 105.542,9 hectáreas en la región, siendo la causa general más recurrente reportada la de &quot;Accidentes eléctricos&quot; con 77.117,7 hectáreas afectadas. De esta superficie, 65.082,4 hectáreas fueron clasificadas dentro de la causa específica &quot;Corte de cable por caída de tendido eléctrico o postación&quot; lo que representa un 84,4% de la Causa General."/>
    <s v="Dashboard"/>
    <s v="Región de O'Higgins,incendios,forestales,hectáreas,superficie,cantidad,número,causa,general,específica,temporada,fuego,Agencia Información,Agropecuario y Forestal,Incendios Forestales,Forestal"/>
    <s v="https://app.powerbi.com/view?r=eyJrIjoiYWE4MGYxNmYtZTJmNi00OGE4LWFiMjItYzMwZjA5ZWI2MmQzIiwidCI6IjhmYmFhNWJmLTJlY2MtNGRjOC1iNTZiLThmOTJlMzA3ZjA3NiIsImMiOjR9"/>
    <x v="6"/>
    <s v="#1774B9"/>
  </r>
  <r>
    <s v="0761"/>
    <n v="990"/>
    <s v="Agencia Información"/>
    <s v="Agropecuario y Forestal"/>
    <n v="7"/>
    <x v="11"/>
    <x v="8"/>
    <x v="1"/>
    <x v="7"/>
    <x v="1"/>
    <x v="61"/>
    <s v="Periodo 2010-2020"/>
    <s v="Número de incendios y Hectáreas"/>
    <s v="Corporación Nacional Forestal (CONAF)"/>
    <s v="Incendios y superficie afectada según causas generales y específicas en la Región de Maule, Periodo 2010-2020"/>
    <s v="La superficie total afectada por incendios forestales entre los años 2010 y 2020 en la Región de Maule fue de 357.099,6 hectáreas. Durante la temporada 2016-2017 se afectaron 252.561,7 hectáreas en la región, siendo la causa general más recurrente reportada la de &quot;Incendios de causa desconocida&quot; con 163.054,5 hectáreas afectadas. De esta superficie, 162.992,6 hectáreas fueron clasificadas dentro de la causa específica &quot;Desconocida (se investiga pero no es posible establecer la causa origen)&quot; lo que representa un 100,0% de la Causa General."/>
    <s v="Dashboard"/>
    <s v="Región de Maule,incendios,forestales,hectáreas,superficie,cantidad,número,causa,general,específica,temporada,fuego,Agencia Información,Agropecuario y Forestal,Incendios Forestales,Forestal"/>
    <s v="https://app.powerbi.com/view?r=eyJrIjoiNzM3N2E2MTYtMDAyMS00OGE4LWI4MDMtMDYwMjI5MzNkYjhiIiwidCI6IjhmYmFhNWJmLTJlY2MtNGRjOC1iNTZiLThmOTJlMzA3ZjA3NiIsImMiOjR9"/>
    <x v="7"/>
    <s v="#1774B9"/>
  </r>
  <r>
    <s v="0762"/>
    <n v="990"/>
    <s v="Agencia Información"/>
    <s v="Agropecuario y Forestal"/>
    <n v="8"/>
    <x v="11"/>
    <x v="8"/>
    <x v="1"/>
    <x v="8"/>
    <x v="1"/>
    <x v="61"/>
    <s v="Periodo 2010-2020"/>
    <s v="Número de incendios y Hectáreas"/>
    <s v="Corporación Nacional Forestal (CONAF)"/>
    <s v="Incendios y superficie afectada según causas generales y específicas en la Región del Biobío, Periodo 2010-2020"/>
    <s v="La superficie total afectada por incendios forestales entre los años 2010 y 2020 en la Región del Biobío fue de 197.507,1 hectáreas. Durante la temporada 2016-2017 se afectaron 85.257,4 hectáreas en la región, siendo la causa general más recurrente reportada la de &quot;Incendios intencionales&quot; con 61.637,2 hectáreas afectadas. De esta superficie, 57.527,5 hectáreas fueron clasificadas dentro de la causa específica &quot;Otros intencionales no clasificados&quot; lo que representa un 93,3% de la Causa General."/>
    <s v="Dashboard"/>
    <s v="Región del Biobío,incendios,forestales,hectáreas,superficie,cantidad,número,causa,general,específica,temporada,fuego,Agencia Información,Agropecuario y Forestal,Incendios Forestales,Forestal"/>
    <s v="https://app.powerbi.com/view?r=eyJrIjoiNjViZWFiZDctY2Y3OC00ZmNlLTliNWEtZGVhYmMxZDJmN2E4IiwidCI6IjhmYmFhNWJmLTJlY2MtNGRjOC1iNTZiLThmOTJlMzA3ZjA3NiIsImMiOjR9"/>
    <x v="8"/>
    <s v="#1774B9"/>
  </r>
  <r>
    <s v="0763"/>
    <n v="990"/>
    <s v="Agencia Información"/>
    <s v="Agropecuario y Forestal"/>
    <n v="9"/>
    <x v="11"/>
    <x v="8"/>
    <x v="1"/>
    <x v="9"/>
    <x v="1"/>
    <x v="61"/>
    <s v="Periodo 2010-2020"/>
    <s v="Número de incendios y Hectáreas"/>
    <s v="Corporación Nacional Forestal (CONAF)"/>
    <s v="Incendios y superficie afectada según causas generales y específicas en la Región de La Araucanía, Periodo 2010-2020"/>
    <s v="La superficie total afectada por incendios forestales entre los años 2010 y 2020 en la Región de La Araucanía fue de 179.491,8 hectáreas. Durante la temporada 2014-2015 se afectaron 45.971,9 hectáreas en la región, siendo la causa general más recurrente reportada la de &quot;Incendios intencionales&quot; con 24.923,4 hectáreas afectadas. De esta superficie, 6.214,2 hectáreas fueron clasificadas dentro de la causa específica &quot;Provocado por persona bajo la influencia del alcohol y/o drogas&quot; lo que representa un 24,9% de la Causa General."/>
    <s v="Dashboard"/>
    <s v="Región de La Araucanía,incendios,forestales,hectáreas,superficie,cantidad,número,causa,general,específica,temporada,fuego,Agencia Información,Agropecuario y Forestal,Incendios Forestales,Forestal"/>
    <s v="https://app.powerbi.com/view?r=eyJrIjoiZWYwNWIxNWUtYjQ0Ny00ZmE5LWE1M2UtNzIxNTFkZDMyYTVjIiwidCI6IjhmYmFhNWJmLTJlY2MtNGRjOC1iNTZiLThmOTJlMzA3ZjA3NiIsImMiOjR9"/>
    <x v="9"/>
    <s v="#1774B9"/>
  </r>
  <r>
    <s v="0764"/>
    <n v="990"/>
    <s v="Agencia Información"/>
    <s v="Agropecuario y Forestal"/>
    <n v="10"/>
    <x v="11"/>
    <x v="8"/>
    <x v="1"/>
    <x v="10"/>
    <x v="1"/>
    <x v="61"/>
    <s v="Periodo 2010-2020"/>
    <s v="Número de incendios y Hectáreas"/>
    <s v="Corporación Nacional Forestal (CONAF)"/>
    <s v="Incendios y superficie afectada según causas generales y específicas en la Región de Los Lagos, Periodo 2010-2020"/>
    <s v="La superficie total afectada por incendios forestales entre los años 2010 y 2020 en la Región de Los Lagos fue de 15.540,1 hectáreas. Durante la temporada 2014-2015 se afectaron 4.933,6 hectáreas en la región, siendo la causa general más recurrente reportada la de &quot;Confección y/o extracción productos secundarios del bosque&quot; con 1.963,5 hectáreas afectadas. De esta superficie, 1.768,1 hectáreas fueron clasificadas dentro de la causa específica &quot;Uso de fuego en faena de extracción de hongos y frutos (rosa mosqueta  frutilla  piñones  cocos de palma  miel de abeja  hongos otros)&quot; lo que representa un 90,0% de la Causa General."/>
    <s v="Dashboard"/>
    <s v="Región de Los Lagos,incendios,forestales,hectáreas,superficie,cantidad,número,causa,general,específica,temporada,fuego,Agencia Información,Agropecuario y Forestal,Incendios Forestales,Forestal"/>
    <s v="https://app.powerbi.com/view?r=eyJrIjoiYWE4ODdhYzAtNTFmMS00YWQ5LTk5N2EtMTRkNWRmMjgyMjk5IiwidCI6IjhmYmFhNWJmLTJlY2MtNGRjOC1iNTZiLThmOTJlMzA3ZjA3NiIsImMiOjR9"/>
    <x v="10"/>
    <s v="#1774B9"/>
  </r>
  <r>
    <s v="0765"/>
    <n v="990"/>
    <s v="Agencia Información"/>
    <s v="Agropecuario y Forestal"/>
    <n v="11"/>
    <x v="11"/>
    <x v="8"/>
    <x v="1"/>
    <x v="11"/>
    <x v="1"/>
    <x v="61"/>
    <s v="Periodo 2010-2020"/>
    <s v="Número de incendios y Hectáreas"/>
    <s v="Corporación Nacional Forestal (CONAF)"/>
    <s v="Incendios y superficie afectada según causas generales y específicas en la Región de Aysén, Periodo 2010-2020"/>
    <s v="La superficie total afectada por incendios forestales entre los años 2010 y 2020 en la Región de Aysén fue de 25.305,1 hectáreas. Durante la temporada 2018-2019 se afectaron 15.713,0 hectáreas en la región, siendo la causa general más recurrente reportada la de &quot;Quema de desechos&quot; con 15.145,5 hectáreas afectadas. De esta superficie, 15.145,0 hectáreas fueron clasificadas dentro de la causa específica &quot;Quema de basuras  desechos vegetales u otros no clasificados (distintos de vertederos o basurales autorizados)&quot; lo que representa un 100,0% de la Causa General."/>
    <s v="Dashboard"/>
    <s v="Región de Aysén,incendios,forestales,hectáreas,superficie,cantidad,número,causa,general,específica,temporada,fuego,Agencia Información,Agropecuario y Forestal,Incendios Forestales,Forestal"/>
    <s v="https://app.powerbi.com/view?r=eyJrIjoiNDkxZDIzOTctMGFjYi00NTI0LWI3MWEtNTcyOTgxZmZjMjhlIiwidCI6IjhmYmFhNWJmLTJlY2MtNGRjOC1iNTZiLThmOTJlMzA3ZjA3NiIsImMiOjR9"/>
    <x v="11"/>
    <s v="#1774B9"/>
  </r>
  <r>
    <s v="0766"/>
    <n v="990"/>
    <s v="Agencia Información"/>
    <s v="Agropecuario y Forestal"/>
    <n v="12"/>
    <x v="11"/>
    <x v="8"/>
    <x v="1"/>
    <x v="12"/>
    <x v="1"/>
    <x v="61"/>
    <s v="Periodo 2010-2020"/>
    <s v="Número de incendios y Hectáreas"/>
    <s v="Corporación Nacional Forestal (CONAF)"/>
    <s v="Incendios y superficie afectada según causas generales y específicas en la Región de Magallanes, Periodo 2010-2020"/>
    <s v="La superficie total afectada por incendios forestales entre los años 2010 y 2020 en la Región de Magallanes fue de 18.328,3 hectáreas. Durante la temporada 2011-2012 se afectaron 17.608,2 hectáreas en la región, siendo la causa general más recurrente reportada la de &quot;Tránsito de personas  vehículos o aeronaves &quot; con 17.606,6 hectáreas afectadas. De esta superficie, 17.606,5 hectáreas fueron clasificadas dentro de la causa específica &quot;Uso de fuego por transeúntes&quot; lo que representa un 100,0% de la Causa General."/>
    <s v="Dashboard"/>
    <s v="Región de Magallanes,incendios,forestales,hectáreas,superficie,cantidad,número,causa,general,específica,temporada,fuego,Agencia Información,Agropecuario y Forestal,Incendios Forestales,Forestal"/>
    <s v="https://app.powerbi.com/view?r=eyJrIjoiNGQzMWI4MTEtNDM5MC00NzBhLTlmOGItY2VkYWVmNjYzMGNhIiwidCI6IjhmYmFhNWJmLTJlY2MtNGRjOC1iNTZiLThmOTJlMzA3ZjA3NiIsImMiOjR9"/>
    <x v="12"/>
    <s v="#1774B9"/>
  </r>
  <r>
    <s v="0767"/>
    <n v="990"/>
    <s v="Agencia Información"/>
    <s v="Agropecuario y Forestal"/>
    <n v="13"/>
    <x v="11"/>
    <x v="8"/>
    <x v="1"/>
    <x v="13"/>
    <x v="1"/>
    <x v="61"/>
    <s v="Periodo 2010-2020"/>
    <s v="Número de incendios y Hectáreas"/>
    <s v="Corporación Nacional Forestal (CONAF)"/>
    <s v="Incendios y superficie afectada según causas generales y específicas en la Región Metropolitana, Periodo 2010-2020"/>
    <s v="La superficie total afectada por incendios forestales entre los años 2010 y 2020 en la Región de Metropolitana fue de 101.995,0 hectáreas. Durante la temporada 2016-2017 se afectaron 53.235,7 hectáreas en la región, siendo la causa general más recurrente reportada la de &quot;Otras actividades&quot; con 21.424,3 hectáreas afectadas. De esta superficie, 20.268,6 hectáreas fueron clasificadas dentro de la causa específica &quot;Soldadura y montaje de estructuras varias (torres de alta tensión  oleoductos  etc.)&quot; lo que representa un 94,6% de la Causa General."/>
    <s v="Dashboard"/>
    <s v="Región Metropolitana,incendios,forestales,hectáreas,superficie,cantidad,número,causa,general,específica,temporada,fuego,Agencia Información,Agropecuario y Forestal,Incendios Forestales,Forestal"/>
    <s v="https://app.powerbi.com/view?r=eyJrIjoiMjcyYzIwZGYtZmUwMy00OGJiLWEwODktZjczYTY3NjE3ODM4IiwidCI6IjhmYmFhNWJmLTJlY2MtNGRjOC1iNTZiLThmOTJlMzA3ZjA3NiIsImMiOjR9"/>
    <x v="13"/>
    <s v="#1774B9"/>
  </r>
  <r>
    <s v="0768"/>
    <n v="990"/>
    <s v="Agencia Información"/>
    <s v="Agropecuario y Forestal"/>
    <n v="14"/>
    <x v="11"/>
    <x v="8"/>
    <x v="1"/>
    <x v="14"/>
    <x v="1"/>
    <x v="61"/>
    <s v="Periodo 2010-2020"/>
    <s v="Número de incendios y Hectáreas"/>
    <s v="Corporación Nacional Forestal (CONAF)"/>
    <s v="Incendios y superficie afectada según causas generales y específicas en la Región de Los Ríos, Periodo 2010-2020"/>
    <s v="La superficie total afectada por incendios forestales entre los años 2010 y 2020 en la Región de Los Ríos fue de 4.274,6 hectáreas. Durante la temporada 2015-2016 se afectaron 1.093,3 hectáreas en la región, siendo la causa general más recurrente reportada la de &quot;Faenas agríolas y pecuarias&quot; con 515,4 hectáreas afectadas. De esta superficie, 247,7 hectáreas fueron clasificadas dentro de la causa específica &quot;Uso de fuego en zonas de faenas agropecuarias (alimentación y calefacción)&quot; lo que representa un 48,1% de la Causa General."/>
    <s v="Dashboard"/>
    <s v="Región de Los Ríos,incendios,forestales,hectáreas,superficie,cantidad,número,causa,general,específica,temporada,fuego,Agencia Información,Agropecuario y Forestal,Incendios Forestales,Forestal"/>
    <s v="https://app.powerbi.com/view?r=eyJrIjoiMWMxZmIxNDQtMTIzYi00NWQ5LThmN2QtNzJkNTVhZWZkYTIzIiwidCI6IjhmYmFhNWJmLTJlY2MtNGRjOC1iNTZiLThmOTJlMzA3ZjA3NiIsImMiOjR9"/>
    <x v="14"/>
    <s v="#1774B9"/>
  </r>
  <r>
    <s v="0769"/>
    <n v="990"/>
    <s v="Agencia Información"/>
    <s v="Agropecuario y Forestal"/>
    <n v="15"/>
    <x v="11"/>
    <x v="8"/>
    <x v="1"/>
    <x v="15"/>
    <x v="1"/>
    <x v="61"/>
    <s v="Periodo 2010-2020"/>
    <s v="Número de incendios y Hectáreas"/>
    <s v="Corporación Nacional Forestal (CONAF)"/>
    <s v="Incendios y superficie afectada según causas generales y específicas en la Región de Arica y Parinacota, Periodo 2010-2020"/>
    <s v="La superficie total afectada por incendios forestales entre los años 2010 y 2020 en la Región de Arica y Parinacota fue de 49,9 hectáreas. Durante la temporada 2018-2019 se afectaron 23,3 hectáreas en la región, siendo la causa general más recurrente reportada la de &quot;Faenas forestales&quot; con 23,1 hectáreas afectadas. De esta superficie, 11,7 hectáreas fueron clasificadas dentro de la causa específica &quot;Quema ilegal con otros fines forestales (quema sanitaria  manejo de vida silvestre  etc.)&quot; lo que representa un 50,7% de la Causa General."/>
    <s v="Dashboard"/>
    <s v="Región de Arica y Parinacota,incendios,forestales,hectáreas,superficie,cantidad,número,causa,general,específica,temporada,fuego,Agencia Información,Agropecuario y Forestal,Incendios Forestales,Forestal"/>
    <s v="https://app.powerbi.com/view?r=eyJrIjoiYjdhYzkzMmItZmM2Yi00NzczLWE0ZDYtMzY3YmYyNWY4ZjM4IiwidCI6IjhmYmFhNWJmLTJlY2MtNGRjOC1iNTZiLThmOTJlMzA3ZjA3NiIsImMiOjR9"/>
    <x v="15"/>
    <s v="#1774B9"/>
  </r>
  <r>
    <s v="0770"/>
    <n v="990"/>
    <s v="Agencia Información"/>
    <s v="Agropecuario y Forestal"/>
    <n v="16"/>
    <x v="11"/>
    <x v="8"/>
    <x v="1"/>
    <x v="16"/>
    <x v="1"/>
    <x v="61"/>
    <s v="Periodo 2010-2020"/>
    <s v="Número de incendios y Hectáreas"/>
    <s v="Corporación Nacional Forestal (CONAF)"/>
    <s v="Incendios y superficie afectada según causas generales y específicas en la Región de Ñuble, Periodo 2010-2020"/>
    <s v="La superficie total afectada por incendios forestales entre los años 2010 y 2020 en la Región de Ñuble fue de 65.380,9 hectáreas. Durante la temporada 2016-2017 se afectaron 34.145,9 hectáreas en la región, siendo la causa general más recurrente reportada la de &quot;Actividades recreativas&quot; con 12.344,4 hectáreas afectadas. De esta superficie, 12.275,0 hectáreas fueron clasificadas dentro de la causa específica &quot;Niños jugando con fuego&quot; lo que representa un 99,4% de la Causa General."/>
    <s v="Dashboard"/>
    <s v="Región de Ñuble,incendios,forestales,hectáreas,superficie,cantidad,número,causa,general,específica,temporada,fuego,Agencia Información,Agropecuario y Forestal,Incendios Forestales,Forestal"/>
    <s v="https://app.powerbi.com/view?r=eyJrIjoiMTJlNjA5ZjktMGIyMC00ZDc5LThjZDctN2Y4NDA5NTExMDY1IiwidCI6IjhmYmFhNWJmLTJlY2MtNGRjOC1iNTZiLThmOTJlMzA3ZjA3NiIsImMiOjR9"/>
    <x v="16"/>
    <s v="#1774B9"/>
  </r>
  <r>
    <s v="0771"/>
    <n v="990"/>
    <s v="Agencia Información"/>
    <s v="Política y Gobierno"/>
    <n v="0"/>
    <x v="48"/>
    <x v="23"/>
    <x v="0"/>
    <x v="0"/>
    <x v="2"/>
    <x v="62"/>
    <s v="Periodo 1990-2020"/>
    <s v="Número de votos"/>
    <s v="Servicio Electoral (SERVEL)"/>
    <s v="Candidatos electos, Lista-Partido y Votación Obtenida a los cargos de Elección Popular, para 6 comunas por Región en Chi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Chileelecciones,candidatos,electos,consejeros,regionales,senadores,diputados,alcaldes,concejales,cargos,votación,cantidad,número,votos,partidos,Agencia Información,Política y Gobierno,Candidatos electos,Elecciones"/>
    <s v="https://app.powerbi.com/view?r=eyJrIjoiZmFhNDBiZTktN2FmMC00YjI4LTgyN2MtZGQ5YjFlNGM2ZTRmIiwidCI6IjhmYmFhNWJmLTJlY2MtNGRjOC1iNTZiLThmOTJlMzA3ZjA3NiIsImMiOjR9"/>
    <x v="17"/>
    <s v="#1774B9"/>
  </r>
  <r>
    <s v="0772"/>
    <n v="990"/>
    <s v="Agencia Información"/>
    <s v="Política y Gobierno"/>
    <n v="1"/>
    <x v="48"/>
    <x v="23"/>
    <x v="1"/>
    <x v="1"/>
    <x v="3"/>
    <x v="62"/>
    <s v="Periodo 1990-2020"/>
    <s v="Número de votos"/>
    <s v="Servicio Electoral (SERVEL)"/>
    <s v="Candidatos electos, Lista-Partido y Votación Obtenida a los cargos de Elección Popular, para 6 comunas en la Región de Tarapacá,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Tarapacá,elecciones,candidatos,electos,consejeros,regionales,senadores,diputados,alcaldes,concejales,cargos,votación,cantidad,número,votos,partidos,Agencia Información,Política y Gobierno,Candidatos electos,Elecciones"/>
    <s v="https://app.powerbi.com/view?r=eyJrIjoiN2JkNmMxYTYtMDE0ZC00NDM0LWIxZjctMWJhYmZhYTM0NmRjIiwidCI6IjhmYmFhNWJmLTJlY2MtNGRjOC1iNTZiLThmOTJlMzA3ZjA3NiIsImMiOjR9"/>
    <x v="18"/>
    <s v="#1774B9"/>
  </r>
  <r>
    <s v="0773"/>
    <n v="990"/>
    <s v="Agencia Información"/>
    <s v="Política y Gobierno"/>
    <n v="2"/>
    <x v="48"/>
    <x v="23"/>
    <x v="1"/>
    <x v="2"/>
    <x v="3"/>
    <x v="62"/>
    <s v="Periodo 1990-2020"/>
    <s v="Número de votos"/>
    <s v="Servicio Electoral (SERVEL)"/>
    <s v="Candidatos electos, Lista-Partido y Votación Obtenida a los cargos de Elección Popular, para 6 comunas en la Región de Antofagas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ntofagasta,elecciones,candidatos,electos,consejeros,regionales,senadores,diputados,alcaldes,concejales,cargos,votación,cantidad,número,votos,partidos,Agencia Información,Política y Gobierno,Candidatos electos,Elecciones"/>
    <s v="https://app.powerbi.com/view?r=eyJrIjoiMzZjYWQwMDktMzUxNS00MTJlLThmYzUtNzFjMzA3MWM1Y2E5IiwidCI6IjhmYmFhNWJmLTJlY2MtNGRjOC1iNTZiLThmOTJlMzA3ZjA3NiIsImMiOjR9"/>
    <x v="19"/>
    <s v="#1774B9"/>
  </r>
  <r>
    <s v="0774"/>
    <n v="990"/>
    <s v="Agencia Información"/>
    <s v="Política y Gobierno"/>
    <n v="3"/>
    <x v="48"/>
    <x v="23"/>
    <x v="1"/>
    <x v="3"/>
    <x v="3"/>
    <x v="62"/>
    <s v="Periodo 1990-2020"/>
    <s v="Número de votos"/>
    <s v="Servicio Electoral (SERVEL)"/>
    <s v="Candidatos electos, Lista-Partido y Votación Obtenida a los cargos de Elección Popular, para 6 comunas en la Región de Atacam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tacama,elecciones,candidatos,electos,consejeros,regionales,senadores,diputados,alcaldes,concejales,cargos,votación,cantidad,número,votos,partidos,Agencia Información,Política y Gobierno,Candidatos electos,Elecciones"/>
    <s v="https://app.powerbi.com/view?r=eyJrIjoiZjRhOTM0ODctZjQ3ZS00OTA2LTliZjctNmM3ZWJjODJlNDliIiwidCI6IjhmYmFhNWJmLTJlY2MtNGRjOC1iNTZiLThmOTJlMzA3ZjA3NiIsImMiOjR9"/>
    <x v="20"/>
    <s v="#1774B9"/>
  </r>
  <r>
    <s v="0775"/>
    <n v="990"/>
    <s v="Agencia Información"/>
    <s v="Política y Gobierno"/>
    <n v="4"/>
    <x v="48"/>
    <x v="23"/>
    <x v="1"/>
    <x v="4"/>
    <x v="3"/>
    <x v="62"/>
    <s v="Periodo 1990-2020"/>
    <s v="Número de votos"/>
    <s v="Servicio Electoral (SERVEL)"/>
    <s v="Candidatos electos, Lista-Partido y Votación Obtenida a los cargos de Elección Popular, para 6 comunas en la Región de Coquimb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Coquimbo,elecciones,candidatos,electos,consejeros,regionales,senadores,diputados,alcaldes,concejales,cargos,votación,cantidad,número,votos,partidos,Agencia Información,Política y Gobierno,Candidatos electos,Elecciones"/>
    <s v="https://app.powerbi.com/view?r=eyJrIjoiYWRhNTI4ZmQtYWJhMS00MzllLWIxYWMtOGZlYmI5NjBiODBiIiwidCI6IjhmYmFhNWJmLTJlY2MtNGRjOC1iNTZiLThmOTJlMzA3ZjA3NiIsImMiOjR9"/>
    <x v="21"/>
    <s v="#1774B9"/>
  </r>
  <r>
    <s v="0776"/>
    <n v="990"/>
    <s v="Agencia Información"/>
    <s v="Política y Gobierno"/>
    <n v="5"/>
    <x v="48"/>
    <x v="23"/>
    <x v="1"/>
    <x v="5"/>
    <x v="3"/>
    <x v="62"/>
    <s v="Periodo 1990-2020"/>
    <s v="Número de votos"/>
    <s v="Servicio Electoral (SERVEL)"/>
    <s v="Candidatos electos, Lista-Partido y Votación Obtenida a los cargos de Elección Popular, para 6 comunas en la Región de Valparaís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Valparaíso,elecciones,candidatos,electos,consejeros,regionales,senadores,diputados,alcaldes,concejales,cargos,votación,cantidad,número,votos,partidos,Agencia Información,Política y Gobierno,Candidatos electos,Elecciones"/>
    <s v="https://app.powerbi.com/view?r=eyJrIjoiZTE0YzU4OWUtOTBlOC00MzUzLTg4NDQtZDg2Y2FlMDg4ZGIzIiwidCI6IjhmYmFhNWJmLTJlY2MtNGRjOC1iNTZiLThmOTJlMzA3ZjA3NiIsImMiOjR9"/>
    <x v="22"/>
    <s v="#1774B9"/>
  </r>
  <r>
    <s v="0777"/>
    <n v="990"/>
    <s v="Agencia Información"/>
    <s v="Política y Gobierno"/>
    <n v="6"/>
    <x v="48"/>
    <x v="23"/>
    <x v="1"/>
    <x v="6"/>
    <x v="3"/>
    <x v="62"/>
    <s v="Periodo 1990-2020"/>
    <s v="Número de votos"/>
    <s v="Servicio Electoral (SERVEL)"/>
    <s v="Candidatos electos, Lista-Partido y Votación Obtenida a los cargos de Elección Popular, para 6 comunas en la Región de O'Higgin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O'Higgins,elecciones,candidatos,electos,consejeros,regionales,senadores,diputados,alcaldes,concejales,cargos,votación,cantidad,número,votos,partidos,Agencia Información,Política y Gobierno,Candidatos electos,Elecciones"/>
    <s v="https://app.powerbi.com/view?r=eyJrIjoiYWU1Mzg4NDItYTcxMy00M2Y4LTkzNjgtZTY2Y2FlOGEwZTNhIiwidCI6IjhmYmFhNWJmLTJlY2MtNGRjOC1iNTZiLThmOTJlMzA3ZjA3NiIsImMiOjR9"/>
    <x v="23"/>
    <s v="#1774B9"/>
  </r>
  <r>
    <s v="0778"/>
    <n v="990"/>
    <s v="Agencia Información"/>
    <s v="Política y Gobierno"/>
    <n v="7"/>
    <x v="48"/>
    <x v="23"/>
    <x v="1"/>
    <x v="7"/>
    <x v="3"/>
    <x v="62"/>
    <s v="Periodo 1990-2020"/>
    <s v="Número de votos"/>
    <s v="Servicio Electoral (SERVEL)"/>
    <s v="Candidatos electos, Lista-Partido y Votación Obtenida a los cargos de Elección Popular, para 6 comunas en la Región de Mau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ule,elecciones,candidatos,electos,consejeros,regionales,senadores,diputados,alcaldes,concejales,cargos,votación,cantidad,número,votos,partidos,Agencia Información,Política y Gobierno,Candidatos electos,Elecciones"/>
    <s v="https://app.powerbi.com/view?r=eyJrIjoiNjBmZmYzZGEtMmFiZC00YTU2LTg5Y2UtMTIxMDc4NGIwZDFhIiwidCI6IjhmYmFhNWJmLTJlY2MtNGRjOC1iNTZiLThmOTJlMzA3ZjA3NiIsImMiOjR9"/>
    <x v="24"/>
    <s v="#1774B9"/>
  </r>
  <r>
    <s v="0779"/>
    <n v="990"/>
    <s v="Agencia Información"/>
    <s v="Política y Gobierno"/>
    <n v="8"/>
    <x v="48"/>
    <x v="23"/>
    <x v="1"/>
    <x v="8"/>
    <x v="3"/>
    <x v="62"/>
    <s v="Periodo 1990-2020"/>
    <s v="Número de votos"/>
    <s v="Servicio Electoral (SERVEL)"/>
    <s v="Candidatos electos, Lista-Partido y Votación Obtenida a los cargos de Elección Popular, para 6 comunas en la Región del Biobí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l Biobío,elecciones,candidatos,electos,consejeros,regionales,senadores,diputados,alcaldes,concejales,cargos,votación,cantidad,número,votos,partidos,Agencia Información,Política y Gobierno,Candidatos electos,Elecciones"/>
    <s v="https://app.powerbi.com/view?r=eyJrIjoiYzAyMzExM2EtMGNjZi00ZmYxLThjYmUtYWViOWMyZmM3ZjI3IiwidCI6IjhmYmFhNWJmLTJlY2MtNGRjOC1iNTZiLThmOTJlMzA3ZjA3NiIsImMiOjR9"/>
    <x v="25"/>
    <s v="#1774B9"/>
  </r>
  <r>
    <s v="0780"/>
    <n v="990"/>
    <s v="Agencia Información"/>
    <s v="Política y Gobierno"/>
    <n v="9"/>
    <x v="48"/>
    <x v="23"/>
    <x v="1"/>
    <x v="9"/>
    <x v="3"/>
    <x v="62"/>
    <s v="Periodo 1990-2020"/>
    <s v="Número de votos"/>
    <s v="Servicio Electoral (SERVEL)"/>
    <s v="Candidatos electos, Lista-Partido y Votación Obtenida a los cargos de Elección Popular, para 6 comunas en la Región de La Araucaní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a Araucanía,elecciones,candidatos,electos,consejeros,regionales,senadores,diputados,alcaldes,concejales,cargos,votación,cantidad,número,votos,partidos,Agencia Información,Política y Gobierno,Candidatos electos,Elecciones"/>
    <s v="https://app.powerbi.com/view?r=eyJrIjoiMmVmMTNjNzUtYzUxZi00ZWVjLWExYzctZTgyNTJmNWZjMWI3IiwidCI6IjhmYmFhNWJmLTJlY2MtNGRjOC1iNTZiLThmOTJlMzA3ZjA3NiIsImMiOjR9"/>
    <x v="26"/>
    <s v="#1774B9"/>
  </r>
  <r>
    <s v="0781"/>
    <n v="990"/>
    <s v="Agencia Información"/>
    <s v="Política y Gobierno"/>
    <n v="10"/>
    <x v="48"/>
    <x v="23"/>
    <x v="1"/>
    <x v="10"/>
    <x v="3"/>
    <x v="62"/>
    <s v="Periodo 1990-2020"/>
    <s v="Número de votos"/>
    <s v="Servicio Electoral (SERVEL)"/>
    <s v="Candidatos electos, Lista-Partido y Votación Obtenida a los cargos de Elección Popular, para 6 comunas en la Región de Los Lag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Lagos,elecciones,candidatos,electos,consejeros,regionales,senadores,diputados,alcaldes,concejales,cargos,votación,cantidad,número,votos,partidos,Agencia Información,Política y Gobierno,Candidatos electos,Elecciones"/>
    <s v="https://app.powerbi.com/view?r=eyJrIjoiOWU5N2QxMDgtYTcyZC00OTNkLThlNTctOWExYmZhYTRkOTM0IiwidCI6IjhmYmFhNWJmLTJlY2MtNGRjOC1iNTZiLThmOTJlMzA3ZjA3NiIsImMiOjR9"/>
    <x v="27"/>
    <s v="#1774B9"/>
  </r>
  <r>
    <s v="0782"/>
    <n v="990"/>
    <s v="Agencia Información"/>
    <s v="Política y Gobierno"/>
    <n v="11"/>
    <x v="48"/>
    <x v="23"/>
    <x v="1"/>
    <x v="11"/>
    <x v="3"/>
    <x v="62"/>
    <s v="Periodo 1990-2020"/>
    <s v="Número de votos"/>
    <s v="Servicio Electoral (SERVEL)"/>
    <s v="Candidatos electos, Lista-Partido y Votación Obtenida a los cargos de Elección Popular, para 6 comunas en la Región de Aysén,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ysén,elecciones,candidatos,electos,consejeros,regionales,senadores,diputados,alcaldes,concejales,cargos,votación,cantidad,número,votos,partidos,Agencia Información,Política y Gobierno,Candidatos electos,Elecciones"/>
    <s v="https://app.powerbi.com/view?r=eyJrIjoiNTkzNTNiZTgtZmFiNy00OGM4LTllNjQtNGNlYWE4YjY5NTc1IiwidCI6IjhmYmFhNWJmLTJlY2MtNGRjOC1iNTZiLThmOTJlMzA3ZjA3NiIsImMiOjR9"/>
    <x v="33"/>
    <s v="#1774B9"/>
  </r>
  <r>
    <s v="0783"/>
    <n v="990"/>
    <s v="Agencia Información"/>
    <s v="Política y Gobierno"/>
    <n v="12"/>
    <x v="48"/>
    <x v="23"/>
    <x v="1"/>
    <x v="12"/>
    <x v="3"/>
    <x v="62"/>
    <s v="Periodo 1990-2020"/>
    <s v="Número de votos"/>
    <s v="Servicio Electoral (SERVEL)"/>
    <s v="Candidatos electos, Lista-Partido y Votación Obtenida a los cargos de Elección Popular, para 6 comunas en la Región de Magallane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gallanes,elecciones,candidatos,electos,consejeros,regionales,senadores,diputados,alcaldes,concejales,cargos,votación,cantidad,número,votos,partidos,Agencia Información,Política y Gobierno,Candidatos electos,Elecciones"/>
    <s v="https://app.powerbi.com/view?r=eyJrIjoiY2FmMzQ5ZmMtY2ZiZC00ZGNiLWFjNjEtOTk2ZTY3NGI4OTAyIiwidCI6IjhmYmFhNWJmLTJlY2MtNGRjOC1iNTZiLThmOTJlMzA3ZjA3NiIsImMiOjR9"/>
    <x v="28"/>
    <s v="#1774B9"/>
  </r>
  <r>
    <s v="0784"/>
    <n v="990"/>
    <s v="Agencia Información"/>
    <s v="Política y Gobierno"/>
    <n v="13"/>
    <x v="48"/>
    <x v="23"/>
    <x v="1"/>
    <x v="13"/>
    <x v="3"/>
    <x v="62"/>
    <s v="Periodo 1990-2020"/>
    <s v="Número de votos"/>
    <s v="Servicio Electoral (SERVEL)"/>
    <s v="Candidatos electos, Lista-Partido y Votación Obtenida a los cargos de Elección Popular, para 6 comunas en la Región Metropolitan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Metropolitana,elecciones,candidatos,electos,consejeros,regionales,senadores,diputados,alcaldes,concejales,cargos,votación,cantidad,número,votos,partidos,Agencia Información,Política y Gobierno,Candidatos electos,Elecciones"/>
    <s v="https://app.powerbi.com/view?r=eyJrIjoiZGYzYWVjYzYtNmZiOC00MTBlLTkxODUtNjJjNTQ5OWRiYmY4IiwidCI6IjhmYmFhNWJmLTJlY2MtNGRjOC1iNTZiLThmOTJlMzA3ZjA3NiIsImMiOjR9"/>
    <x v="29"/>
    <s v="#1774B9"/>
  </r>
  <r>
    <s v="0785"/>
    <n v="990"/>
    <s v="Agencia Información"/>
    <s v="Política y Gobierno"/>
    <n v="14"/>
    <x v="48"/>
    <x v="23"/>
    <x v="1"/>
    <x v="14"/>
    <x v="3"/>
    <x v="62"/>
    <s v="Periodo 1990-2020"/>
    <s v="Número de votos"/>
    <s v="Servicio Electoral (SERVEL)"/>
    <s v="Candidatos electos, Lista-Partido y Votación Obtenida a los cargos de Elección Popular, para 6 comunas en la Región de Los Rí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Ríos,elecciones,candidatos,electos,consejeros,regionales,senadores,diputados,alcaldes,concejales,cargos,votación,cantidad,número,votos,partidos,Agencia Información,Política y Gobierno,Candidatos electos,Elecciones"/>
    <s v="https://app.powerbi.com/view?r=eyJrIjoiYzZjMjQ3MWYtNDBjNC00MGU0LThiZjAtZTdhOGFiOWRmY2MyIiwidCI6IjhmYmFhNWJmLTJlY2MtNGRjOC1iNTZiLThmOTJlMzA3ZjA3NiIsImMiOjR9"/>
    <x v="30"/>
    <s v="#1774B9"/>
  </r>
  <r>
    <s v="0786"/>
    <n v="990"/>
    <s v="Agencia Información"/>
    <s v="Política y Gobierno"/>
    <n v="15"/>
    <x v="48"/>
    <x v="23"/>
    <x v="1"/>
    <x v="15"/>
    <x v="3"/>
    <x v="62"/>
    <s v="Periodo 1990-2020"/>
    <s v="Número de votos"/>
    <s v="Servicio Electoral (SERVEL)"/>
    <s v="Candidatos electos, Lista-Partido y Votación Obtenida a los cargos de Elección Popular, para 4 comunas en la Región de Arica y Parinaco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rica y Parinacota,elecciones,candidatos,electos,consejeros,regionales,senadores,diputados,alcaldes,concejales,cargos,votación,cantidad,número,votos,partidos,Agencia Información,Política y Gobierno,Candidatos electos,Elecciones"/>
    <s v="https://app.powerbi.com/view?r=eyJrIjoiODU0Y2U2NGYtYzQzOS00ZmJhLWE0MWQtNWM0MmU4ODBmZjRmIiwidCI6IjhmYmFhNWJmLTJlY2MtNGRjOC1iNTZiLThmOTJlMzA3ZjA3NiIsImMiOjR9"/>
    <x v="31"/>
    <s v="#1774B9"/>
  </r>
  <r>
    <s v="0787"/>
    <n v="990"/>
    <s v="Agencia Información"/>
    <s v="Política y Gobierno"/>
    <n v="16"/>
    <x v="48"/>
    <x v="23"/>
    <x v="1"/>
    <x v="16"/>
    <x v="3"/>
    <x v="62"/>
    <s v="Periodo 1990-2020"/>
    <s v="Número de votos"/>
    <s v="Servicio Electoral (SERVEL)"/>
    <s v="Candidatos electos, Lista-Partido y Votación Obtenida a los cargos de Elección Popular, para 6 comunas en la Región de Ñub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Ñuble,elecciones,candidatos,electos,consejeros,regionales,senadores,diputados,alcaldes,concejales,cargos,votación,cantidad,número,votos,partidos,Agencia Información,Política y Gobierno,Candidatos electos,Elecciones"/>
    <s v="https://app.powerbi.com/view?r=eyJrIjoiM2UzOWE3YjAtYTk5NC00N2FlLTk2YWUtY2VmMGYzMmQxYjdlIiwidCI6IjhmYmFhNWJmLTJlY2MtNGRjOC1iNTZiLThmOTJlMzA3ZjA3NiIsImMiOjR9"/>
    <x v="32"/>
    <s v="#1774B9"/>
  </r>
  <r>
    <s v="0788"/>
    <n v="990"/>
    <s v="Agencia Información"/>
    <s v="Política y Gobierno"/>
    <n v="0"/>
    <x v="49"/>
    <x v="23"/>
    <x v="0"/>
    <x v="0"/>
    <x v="2"/>
    <x v="63"/>
    <s v="Año 2021"/>
    <s v="Número de cupos"/>
    <s v="Servicio Electoral (SERVEL)"/>
    <s v="Cupos para cargos de Elección Popular, a nivel regional y comunal en Chile"/>
    <s v="Cantidad de cupos para cargos de Elección Popular, específicamente para senadores, diputados, consejeros regionales, alcaldes y concejales, al año 2021. Cantidad varía según el cargo a ocupar y la densidad poblacional para las diferentes regiones y comunas de Chile."/>
    <s v="Dashboard"/>
    <s v="Chile,elecciones,candidatos,consejeros,regionales,senadores,diputados,alcaldes,concejales,municipal,municipio,comuna,distrito,cargos,circunscripción,Agencia Información,Política y Gobierno,Cupos,Elecciones"/>
    <s v="https://app.powerbi.com/view?r=eyJrIjoiZGVkN2YxMjctMGZhZC00MGE1LTgzZWMtMjBlYjQxN2UzNTY0IiwidCI6IjhmYmFhNWJmLTJlY2MtNGRjOC1iNTZiLThmOTJlMzA3ZjA3NiIsImMiOjR9"/>
    <x v="17"/>
    <s v="#1774B9"/>
  </r>
  <r>
    <s v="0789"/>
    <n v="990"/>
    <s v="Agencia Información"/>
    <s v="Política y Gobierno"/>
    <n v="1"/>
    <x v="49"/>
    <x v="23"/>
    <x v="1"/>
    <x v="1"/>
    <x v="3"/>
    <x v="63"/>
    <s v="Año 2021"/>
    <s v="Número de cupos"/>
    <s v="Servicio Electoral (SERVEL)"/>
    <s v="Cupos para cargos de Elección Popular, a nivel regional y comunal en la Región de Tarapacá"/>
    <s v="Cantidad de cupos para cargos de Elección Popular, específicamente para Senadores de la Circunscripción Senatorial N° 2, Diputados del Distrito N° 2, Consejeros Regionales, Alcaldes y Concejales de la Región de Tarapacá, al año 2021."/>
    <s v="Dashboard"/>
    <s v="Región de Tarapacá,elecciones,candidatos,consejeros,regionales,senadores,diputados,alcaldes,concejales,municipal,municipio,comuna,distrito,cargos,circunscripción,Agencia Información,Política y Gobierno,Cupos,Elecciones"/>
    <s v="https://app.powerbi.com/view?r=eyJrIjoiNGJjZDhiMWUtMzk3ZS00M2Y4LTk3ZDMtNzJiNTAxN2U4ZDk2IiwidCI6IjhmYmFhNWJmLTJlY2MtNGRjOC1iNTZiLThmOTJlMzA3ZjA3NiIsImMiOjR9"/>
    <x v="18"/>
    <s v="#1774B9"/>
  </r>
  <r>
    <s v="0790"/>
    <n v="990"/>
    <s v="Agencia Información"/>
    <s v="Política y Gobierno"/>
    <n v="2"/>
    <x v="49"/>
    <x v="23"/>
    <x v="1"/>
    <x v="2"/>
    <x v="3"/>
    <x v="63"/>
    <s v="Año 2021"/>
    <s v="Número de cupos"/>
    <s v="Servicio Electoral (SERVEL)"/>
    <s v="Cupos para cargos de Elección Popular, a nivel regional y comunal en la Región de Antofagasta"/>
    <s v="Cantidad de cupos para cargos de Elección Popular, específicamente para Senadores de la Circunscripción Senatorial N° 3, Diputados del Distrito N° 3, Consejeros Regionales, Alcaldes y Concejales de la Región de Antofagasta, al año 2021."/>
    <s v="Dashboard"/>
    <s v="Región de Antofagasta,elecciones,candidatos,consejeros,regionales,senadores,diputados,alcaldes,concejales,municipal,municipio,comuna,distrito,cargos,circunscripción,Agencia Información,Política y Gobierno,Cupos,Elecciones"/>
    <s v="https://app.powerbi.com/view?r=eyJrIjoiNWEzMTMyZmYtMjA0MS00YjQxLTlhODAtNjY3MTBlOWJiNjg0IiwidCI6IjhmYmFhNWJmLTJlY2MtNGRjOC1iNTZiLThmOTJlMzA3ZjA3NiIsImMiOjR9"/>
    <x v="19"/>
    <s v="#1774B9"/>
  </r>
  <r>
    <s v="0791"/>
    <n v="990"/>
    <s v="Agencia Información"/>
    <s v="Política y Gobierno"/>
    <n v="3"/>
    <x v="49"/>
    <x v="23"/>
    <x v="1"/>
    <x v="3"/>
    <x v="3"/>
    <x v="63"/>
    <s v="Año 2021"/>
    <s v="Número de cupos"/>
    <s v="Servicio Electoral (SERVEL)"/>
    <s v="Cupos para cargos de Elección Popular, a nivel regional y comunal en la Región de Atacama"/>
    <s v="Cantidad de cupos para cargos de Elección Popular, específicamente para Senadores de la Circunscripción Senatorial N° 4, Diputados del Distrito N° 4, Consejeros Regionales, Alcaldes y Concejales de la Región de Atacama, al año 2021."/>
    <s v="Dashboard"/>
    <s v="Región de Atacama,elecciones,candidatos,consejeros,regionales,senadores,diputados,alcaldes,concejales,municipal,municipio,comuna,distrito,cargos,circunscripción,Agencia Información,Política y Gobierno,Cupos,Elecciones"/>
    <s v="https://app.powerbi.com/view?r=eyJrIjoiYzkwYmY4NTMtYTBlMS00ODM5LThhYTktZjZmYWNmMzc1ODQxIiwidCI6IjhmYmFhNWJmLTJlY2MtNGRjOC1iNTZiLThmOTJlMzA3ZjA3NiIsImMiOjR9"/>
    <x v="20"/>
    <s v="#1774B9"/>
  </r>
  <r>
    <s v="0792"/>
    <n v="990"/>
    <s v="Agencia Información"/>
    <s v="Política y Gobierno"/>
    <n v="4"/>
    <x v="49"/>
    <x v="23"/>
    <x v="1"/>
    <x v="4"/>
    <x v="3"/>
    <x v="63"/>
    <s v="Año 2021"/>
    <s v="Número de cupos"/>
    <s v="Servicio Electoral (SERVEL)"/>
    <s v="Cupos para cargos de Elección Popular, a nivel regional y comunal en la Región de Coquimbo"/>
    <s v="Cantidad de cupos para cargos de Elección Popular, específicamente para Senadores de la Circunscripción Senatorial N° 5, Diputados del Distrito N° 5, Consejeros Regionales, Alcaldes y Concejales de la Región de Coquimbo, al año 2021."/>
    <s v="Dashboard"/>
    <s v="Región de Coquimbo,elecciones,candidatos,consejeros,regionales,senadores,diputados,alcaldes,concejales,municipal,municipio,comuna,distrito,cargos,circunscripción,Agencia Información,Política y Gobierno,Cupos,Elecciones"/>
    <s v="https://app.powerbi.com/view?r=eyJrIjoiZWY4Y2NjYWQtYmY5Zi00MjlhLWE3MTEtNTQ1NjYwZjkzNzgyIiwidCI6IjhmYmFhNWJmLTJlY2MtNGRjOC1iNTZiLThmOTJlMzA3ZjA3NiIsImMiOjR9"/>
    <x v="21"/>
    <s v="#1774B9"/>
  </r>
  <r>
    <s v="0793"/>
    <n v="990"/>
    <s v="Agencia Información"/>
    <s v="Política y Gobierno"/>
    <n v="5"/>
    <x v="49"/>
    <x v="23"/>
    <x v="1"/>
    <x v="5"/>
    <x v="3"/>
    <x v="63"/>
    <s v="Año 2021"/>
    <s v="Número de cupos"/>
    <s v="Servicio Electoral (SERVEL)"/>
    <s v="Cupos para cargos de Elección Popular, a nivel regional y comunal en la Región de Valparaíso"/>
    <s v="Cantidad de cupos para cargos de Elección Popular, específicamente para Senadores de la Circunscripción Senatorial N° 6, Diputados del Distrito N° 6 y 7, Consejeros Regionales, Alcaldes y Concejales de la Región de Valparaíso, al año 2021."/>
    <s v="Dashboard"/>
    <s v="Región de Valparaíso,elecciones,candidatos,consejeros,regionales,senadores,diputados,alcaldes,concejales,municipal,municipio,comuna,distrito,cargos,circunscripción,Agencia Información,Política y Gobierno,Cupos,Elecciones"/>
    <s v="https://app.powerbi.com/view?r=eyJrIjoiMWQ2ZGU5ZjMtZWIwZS00MDVjLWJmYmYtZWQxNWYwMWI3YjMxIiwidCI6IjhmYmFhNWJmLTJlY2MtNGRjOC1iNTZiLThmOTJlMzA3ZjA3NiIsImMiOjR9"/>
    <x v="22"/>
    <s v="#1774B9"/>
  </r>
  <r>
    <s v="0794"/>
    <n v="990"/>
    <s v="Agencia Información"/>
    <s v="Política y Gobierno"/>
    <n v="6"/>
    <x v="49"/>
    <x v="23"/>
    <x v="1"/>
    <x v="6"/>
    <x v="3"/>
    <x v="63"/>
    <s v="Año 2021"/>
    <s v="Número de cupos"/>
    <s v="Servicio Electoral (SERVEL)"/>
    <s v="Cupos para cargos de Elección Popular, a nivel regional y comunal en la Región de O'Higgins"/>
    <s v="Cantidad de cupos para cargos de Elección Popular, específicamente para Senadores de la Circunscripción Senatorial N° 8, Diputados del Distrito N° 15 y 16, Consejeros Regionales, Alcaldes y Concejales de la Región de O'Higgins, al año 2021."/>
    <s v="Dashboard"/>
    <s v="Región de O'Higgins,elecciones,candidatos,consejeros,regionales,senadores,diputados,alcaldes,concejales,municipal,municipio,comuna,distrito,cargos,circunscripción,Agencia Información,Política y Gobierno,Cupos,Elecciones"/>
    <s v="https://app.powerbi.com/view?r=eyJrIjoiZTlhNjA2YzQtOTI5Ny00MDAxLWI0YzEtNzViYzgwNDZhY2ZlIiwidCI6IjhmYmFhNWJmLTJlY2MtNGRjOC1iNTZiLThmOTJlMzA3ZjA3NiIsImMiOjR9"/>
    <x v="23"/>
    <s v="#1774B9"/>
  </r>
  <r>
    <s v="0795"/>
    <n v="990"/>
    <s v="Agencia Información"/>
    <s v="Política y Gobierno"/>
    <n v="7"/>
    <x v="49"/>
    <x v="23"/>
    <x v="1"/>
    <x v="7"/>
    <x v="3"/>
    <x v="63"/>
    <s v="Año 2021"/>
    <s v="Número de cupos"/>
    <s v="Servicio Electoral (SERVEL)"/>
    <s v="Cupos para cargos de Elección Popular, a nivel regional y comunal en la Región de Maule"/>
    <s v="Cantidad de cupos para cargos de Elección Popular, específicamente para Senadores de la Circunscripción Senatorial N° 9, Diputados del Distrito N° 17 y 18, Consejeros Regionales, Alcaldes y Concejales de la Región de Maule, al año 2021."/>
    <s v="Dashboard"/>
    <s v="Región de Maule,elecciones,candidatos,consejeros,regionales,senadores,diputados,alcaldes,concejales,municipal,municipio,comuna,distrito,cargos,circunscripción,Agencia Información,Política y Gobierno,Cupos,Elecciones"/>
    <s v="https://app.powerbi.com/view?r=eyJrIjoiZmI4YzUwZWUtOTIyZi00ZDdkLTkyZDMtNDc5NzY3NDdlMzgzIiwidCI6IjhmYmFhNWJmLTJlY2MtNGRjOC1iNTZiLThmOTJlMzA3ZjA3NiIsImMiOjR9"/>
    <x v="24"/>
    <s v="#1774B9"/>
  </r>
  <r>
    <s v="0796"/>
    <n v="990"/>
    <s v="Agencia Información"/>
    <s v="Política y Gobierno"/>
    <n v="8"/>
    <x v="49"/>
    <x v="23"/>
    <x v="1"/>
    <x v="8"/>
    <x v="3"/>
    <x v="63"/>
    <s v="Año 2021"/>
    <s v="Número de cupos"/>
    <s v="Servicio Electoral (SERVEL)"/>
    <s v="Cupos para cargos de Elección Popular, a nivel regional y comunal en la Región del Biobío"/>
    <s v="Cantidad de cupos para cargos de Elección Popular, específicamente para Senadores de la Circunscripción Senatorial N° 10, Diputados del Distrito N° 20 y 21, Consejeros Regionales, Alcaldes y Concejales de la Región del Biobío, al año 2021."/>
    <s v="Dashboard"/>
    <s v="Región del Biobío,elecciones,candidatos,consejeros,regionales,senadores,diputados,alcaldes,concejales,municipal,municipio,comuna,distrito,cargos,circunscripción,Agencia Información,Política y Gobierno,Cupos,Elecciones"/>
    <s v="https://app.powerbi.com/view?r=eyJrIjoiNzNjY2RiYmMtMjViYy00YjI3LTllYzktZmQwM2E0ZjkyOTI0IiwidCI6IjhmYmFhNWJmLTJlY2MtNGRjOC1iNTZiLThmOTJlMzA3ZjA3NiIsImMiOjR9"/>
    <x v="25"/>
    <s v="#1774B9"/>
  </r>
  <r>
    <s v="0797"/>
    <n v="990"/>
    <s v="Agencia Información"/>
    <s v="Política y Gobierno"/>
    <n v="9"/>
    <x v="49"/>
    <x v="23"/>
    <x v="1"/>
    <x v="9"/>
    <x v="3"/>
    <x v="63"/>
    <s v="Año 2021"/>
    <s v="Número de cupos"/>
    <s v="Servicio Electoral (SERVEL)"/>
    <s v="Cupos para cargos de Elección Popular, a nivel regional y comunal en la Región de La Araucanía"/>
    <s v="Cantidad de cupos para cargos de Elección Popular, específicamente para Senadores de la Circunscripción Senatorial N° 11, Diputados del Distrito N° 22 y 23, Consejeros Regionales, Alcaldes y Concejales de la Región de La Araucanía, al año 2021."/>
    <s v="Dashboard"/>
    <s v="Región de La Araucanía,elecciones,candidatos,consejeros,regionales,senadores,diputados,alcaldes,concejales,municipal,municipio,comuna,distrito,cargos,circunscripción,Agencia Información,Política y Gobierno,Cupos,Elecciones"/>
    <s v="https://app.powerbi.com/view?r=eyJrIjoiNzdiMGUxMTAtMWEyZi00NzVkLTg5N2ItYzhkYTQzZWJjMWQ0IiwidCI6IjhmYmFhNWJmLTJlY2MtNGRjOC1iNTZiLThmOTJlMzA3ZjA3NiIsImMiOjR9"/>
    <x v="26"/>
    <s v="#1774B9"/>
  </r>
  <r>
    <s v="0798"/>
    <n v="990"/>
    <s v="Agencia Información"/>
    <s v="Política y Gobierno"/>
    <n v="10"/>
    <x v="49"/>
    <x v="23"/>
    <x v="1"/>
    <x v="10"/>
    <x v="3"/>
    <x v="63"/>
    <s v="Año 2021"/>
    <s v="Número de cupos"/>
    <s v="Servicio Electoral (SERVEL)"/>
    <s v="Cupos para cargos de Elección Popular, a nivel regional y comunal en la Región de Los Lagos"/>
    <s v="Cantidad de cupos para cargos de Elección Popular, específicamente para Senadores de la Circunscripción Senatorial N° 13, Diputados del Distrito N° 25 y 26, Consejeros Regionales, Alcaldes y Concejales de la Región de Los Lagos, al año 2021."/>
    <s v="Dashboard"/>
    <s v="Región de Los Lagos,elecciones,candidatos,consejeros,regionales,senadores,diputados,alcaldes,concejales,municipal,municipio,comuna,distrito,cargos,circunscripción,Agencia Información,Política y Gobierno,Cupos,Elecciones"/>
    <s v="https://app.powerbi.com/view?r=eyJrIjoiYjI5YmYzYjAtYTk0Zi00MmFlLWFhM2MtNDljNTBlYjA5NWZiIiwidCI6IjhmYmFhNWJmLTJlY2MtNGRjOC1iNTZiLThmOTJlMzA3ZjA3NiIsImMiOjR9"/>
    <x v="27"/>
    <s v="#1774B9"/>
  </r>
  <r>
    <s v="0799"/>
    <n v="990"/>
    <s v="Agencia Información"/>
    <s v="Política y Gobierno"/>
    <n v="11"/>
    <x v="49"/>
    <x v="23"/>
    <x v="1"/>
    <x v="11"/>
    <x v="3"/>
    <x v="63"/>
    <s v="Año 2021"/>
    <s v="Número de cupos"/>
    <s v="Servicio Electoral (SERVEL)"/>
    <s v="Cupos para cargos de Elección Popular, a nivel regional y comunal en la Región de Aysén"/>
    <s v="Cantidad de cupos para cargos de Elección Popular, específicamente para Senadores de la Circunscripción Senatorial N° 14, Diputados del Distrito N° 27, Consejeros Regionales, Alcaldes y Concejales de la Región de Aysén, al año 2021."/>
    <s v="Dashboard"/>
    <s v="Región de Aysén,elecciones,candidatos,consejeros,regionales,senadores,diputados,alcaldes,concejales,municipal,municipio,comuna,distrito,cargos,circunscripción,Agencia Información,Política y Gobierno,Cupos,Elecciones"/>
    <s v="https://app.powerbi.com/view?r=eyJrIjoiMmY5MGUzNWMtM2Q3Zi00YmRmLTg1MWQtNTMyNjkyYjIzZDIzIiwidCI6IjhmYmFhNWJmLTJlY2MtNGRjOC1iNTZiLThmOTJlMzA3ZjA3NiIsImMiOjR9"/>
    <x v="33"/>
    <s v="#1774B9"/>
  </r>
  <r>
    <s v="0800"/>
    <n v="990"/>
    <s v="Agencia Información"/>
    <s v="Política y Gobierno"/>
    <n v="12"/>
    <x v="49"/>
    <x v="23"/>
    <x v="1"/>
    <x v="12"/>
    <x v="3"/>
    <x v="63"/>
    <s v="Año 2021"/>
    <s v="Número de cupos"/>
    <s v="Servicio Electoral (SERVEL)"/>
    <s v="Cupos para cargos de Elección Popular, a nivel regional y comunal en la Región de Magallanes"/>
    <s v="Cantidad de cupos para cargos de Elección Popular, específicamente para Senadores de la Circunscripción Senatorial N° 15, Diputados del Distrito N° 28, Consejeros Regionales, Alcaldes y Concejales de la Región de Magallanes, al año 2021."/>
    <s v="Dashboard"/>
    <s v="Región de Magallanes,elecciones,candidatos,consejeros,regionales,senadores,diputados,alcaldes,concejales,municipal,municipio,comuna,distrito,cargos,circunscripción,Agencia Información,Política y Gobierno,Cupos,Elecciones"/>
    <s v="https://app.powerbi.com/view?r=eyJrIjoiOGViZjM0NDEtNzBjZC00YTUyLTk4N2EtYzZkM2NiNDRhNGRkIiwidCI6IjhmYmFhNWJmLTJlY2MtNGRjOC1iNTZiLThmOTJlMzA3ZjA3NiIsImMiOjR9"/>
    <x v="28"/>
    <s v="#1774B9"/>
  </r>
  <r>
    <s v="0801"/>
    <n v="990"/>
    <s v="Agencia Información"/>
    <s v="Política y Gobierno"/>
    <n v="13"/>
    <x v="49"/>
    <x v="23"/>
    <x v="1"/>
    <x v="13"/>
    <x v="3"/>
    <x v="63"/>
    <s v="Año 2021"/>
    <s v="Número de cupos"/>
    <s v="Servicio Electoral (SERVEL)"/>
    <s v="Cupos para cargos de Elección Popular, a nivel regional y comunal en la Región Metropolitana"/>
    <s v="Cantidad de cupos para cargos de Elección Popular, específicamente para Senadores de la Circunscripción Senatorial N° 7, Diputados del Distrito N° 8 al 14, Consejeros Regionales, Alcaldes y Concejales de la Región Metropolitana, al año 2021."/>
    <s v="Dashboard"/>
    <s v="Región Metropolitana,elecciones,candidatos,consejeros,regionales,senadores,diputados,alcaldes,concejales,municipal,municipio,comuna,distrito,cargos,circunscripción,Agencia Información,Política y Gobierno,Cupos,Elecciones"/>
    <s v="https://app.powerbi.com/view?r=eyJrIjoiYzY4N2NhZDQtZmZhMC00ODc3LTg3YWQtYmViY2NkMmUxZGE3IiwidCI6IjhmYmFhNWJmLTJlY2MtNGRjOC1iNTZiLThmOTJlMzA3ZjA3NiIsImMiOjR9"/>
    <x v="29"/>
    <s v="#1774B9"/>
  </r>
  <r>
    <s v="0802"/>
    <n v="990"/>
    <s v="Agencia Información"/>
    <s v="Política y Gobierno"/>
    <n v="14"/>
    <x v="49"/>
    <x v="23"/>
    <x v="1"/>
    <x v="14"/>
    <x v="3"/>
    <x v="63"/>
    <s v="Año 2021"/>
    <s v="Número de cupos"/>
    <s v="Servicio Electoral (SERVEL)"/>
    <s v="Cupos para cargos de Elección Popular, a nivel regional y comunal en la Región de Los Ríos"/>
    <s v="Cantidad de cupos para cargos de Elección Popular, específicamente para Senadores de la Circunscripción Senatorial N° 12, Diputados del Distrito N° 24, Consejeros Regionales, Alcaldes y Concejales de la Región de Los Ríos, al año 2021."/>
    <s v="Dashboard"/>
    <s v="Región de Los Ríos,elecciones,candidatos,consejeros,regionales,senadores,diputados,alcaldes,concejales,municipal,municipio,comuna,distrito,cargos,circunscripción,Agencia Información,Política y Gobierno,Cupos,Elecciones"/>
    <s v="https://app.powerbi.com/view?r=eyJrIjoiNmRhZWE4NzktZThmMi00MjcyLThlZTYtMzIxODQzM2FlMWYxIiwidCI6IjhmYmFhNWJmLTJlY2MtNGRjOC1iNTZiLThmOTJlMzA3ZjA3NiIsImMiOjR9"/>
    <x v="30"/>
    <s v="#1774B9"/>
  </r>
  <r>
    <s v="0803"/>
    <n v="990"/>
    <s v="Agencia Información"/>
    <s v="Política y Gobierno"/>
    <n v="15"/>
    <x v="49"/>
    <x v="23"/>
    <x v="1"/>
    <x v="15"/>
    <x v="3"/>
    <x v="63"/>
    <s v="Año 2021"/>
    <s v="Número de cupos"/>
    <s v="Servicio Electoral (SERVEL)"/>
    <s v="Cupos para cargos de Elección Popular, a nivel regional y comunal en la Región de Arica y Parinacota"/>
    <s v="Cantidad de cupos para cargos de Elección Popular, específicamente para Senadores de la Circunscripción Senatorial N° 1, Diputados del Distrito N° 1, Consejeros Regionales, Alcaldes y Concejales de la Región de Arica y Parinacota, al año 2021."/>
    <s v="Dashboard"/>
    <s v="Región de Arica y Parinacota,elecciones,candidatos,consejeros,regionales,senadores,diputados,alcaldes,concejales,municipal,municipio,comuna,distrito,cargos,circunscripción,Agencia Información,Política y Gobierno,Cupos,Elecciones"/>
    <s v="https://app.powerbi.com/view?r=eyJrIjoiOWQwMzQ4NmUtMTRiOS00MWE5LWFiZDUtM2JlZTg5OGY3Njc3IiwidCI6IjhmYmFhNWJmLTJlY2MtNGRjOC1iNTZiLThmOTJlMzA3ZjA3NiIsImMiOjR9"/>
    <x v="31"/>
    <s v="#1774B9"/>
  </r>
  <r>
    <s v="0804"/>
    <n v="990"/>
    <s v="Agencia Información"/>
    <s v="Política y Gobierno"/>
    <n v="16"/>
    <x v="49"/>
    <x v="23"/>
    <x v="1"/>
    <x v="16"/>
    <x v="3"/>
    <x v="63"/>
    <s v="Año 2021"/>
    <s v="Número de cupos"/>
    <s v="Servicio Electoral (SERVEL)"/>
    <s v="Cupos para cargos de Elección Popular, a nivel regional y comunal en la Región de Ñuble"/>
    <s v="Cantidad de cupos para cargos de Elección Popular, específicamente para Senadores de la Circunscripción Senatorial N° 16, Diputados del Distrito N° 19, Consejeros Regionales, Alcaldes y Concejales de la Región de Ñuble, al año 2021."/>
    <s v="Dashboard"/>
    <s v="Región de Ñuble,elecciones,candidatos,consejeros,regionales,senadores,diputados,alcaldes,concejales,municipal,municipio,comuna,distrito,cargos,circunscripción,Agencia Información,Política y Gobierno,Cupos,Elecciones"/>
    <s v="https://app.powerbi.com/view?r=eyJrIjoiYmVmYjJhOWUtNTM1Mi00NTUwLWE1OGYtZjY0MTdlNzBmZjNjIiwidCI6IjhmYmFhNWJmLTJlY2MtNGRjOC1iNTZiLThmOTJlMzA3ZjA3NiIsImMiOjR9"/>
    <x v="32"/>
    <s v="#1774B9"/>
  </r>
  <r>
    <s v="0805"/>
    <n v="990"/>
    <s v="Agencia Información"/>
    <s v="Economía"/>
    <n v="0"/>
    <x v="50"/>
    <x v="12"/>
    <x v="0"/>
    <x v="0"/>
    <x v="2"/>
    <x v="64"/>
    <s v="Periodo 1993-2019"/>
    <s v="Número de empresas"/>
    <s v="Servicio de Impuestos Internos (SII)"/>
    <s v="Número de empresas vigentes según año de inicio de actividades y tipo de contribuyente en Chile, Periodo 1993-2019"/>
    <s v="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quot;Persona Jurídica Comercial&quot;."/>
    <s v="Gráfico de Evolución"/>
    <s v="Chile,evolución,anual,cantidad,número,empresas,tipo,contribuyente,SII,regional,activas,año,tributario,fiscal,inicio,actividades,Agencia Información,Economía,Empresas vigentes,Empresas"/>
    <s v="https://analytics.zoho.com/open-view/2395394000008461061"/>
    <x v="17"/>
    <s v="#1774B9"/>
  </r>
  <r>
    <s v="0806"/>
    <n v="990"/>
    <s v="Agencia Información"/>
    <s v="Economía"/>
    <n v="1"/>
    <x v="50"/>
    <x v="12"/>
    <x v="1"/>
    <x v="1"/>
    <x v="3"/>
    <x v="64"/>
    <s v="Periodo 1993-2019"/>
    <s v="Número de empresas"/>
    <s v="Servicio de Impuestos Internos (SII)"/>
    <s v="Número de empresas vigentes según año de inicio de actividades y tipo de contribuyente en la Región de Tarapacá,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quot;Persona Jurídica Comercial&quot;."/>
    <s v="Gráfico de Evolución"/>
    <s v="Región de Tarapacá,evolución,anual,cantidad,número,empresas,tipo,contribuyente,SII,regional,activas,año,tributario,fiscal,inicio,actividades,Agencia Información,Economía,Empresas vigentes,Empresas"/>
    <s v="https://analytics.zoho.com/open-view/2395394000008062255?ZOHO_CRITERIA=%22Directorio_Todo%22.%22Cod_Regi%C3%B3n%22%3D1"/>
    <x v="18"/>
    <s v="#1774B9"/>
  </r>
  <r>
    <s v="0807"/>
    <n v="990"/>
    <s v="Agencia Información"/>
    <s v="Economía"/>
    <n v="2"/>
    <x v="50"/>
    <x v="12"/>
    <x v="1"/>
    <x v="2"/>
    <x v="3"/>
    <x v="64"/>
    <s v="Periodo 1993-2019"/>
    <s v="Número de empresas"/>
    <s v="Servicio de Impuestos Internos (SII)"/>
    <s v="Número de empresas vigentes según año de inicio de actividades y tipo de contribuyente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evolución,anual,cantidad,número,empresas,tipo,contribuyente,SII,regional,activas,año,tributario,fiscal,inicio,actividades,Agencia Información,Economía,Empresas vigentes,Empresas"/>
    <s v="https://analytics.zoho.com/open-view/2395394000008062255?ZOHO_CRITERIA=%22Directorio_Todo%22.%22Cod_Regi%C3%B3n%22%3D2"/>
    <x v="19"/>
    <s v="#1774B9"/>
  </r>
  <r>
    <s v="0808"/>
    <n v="990"/>
    <s v="Agencia Información"/>
    <s v="Economía"/>
    <n v="3"/>
    <x v="50"/>
    <x v="12"/>
    <x v="1"/>
    <x v="3"/>
    <x v="3"/>
    <x v="64"/>
    <s v="Periodo 1993-2019"/>
    <s v="Número de empresas"/>
    <s v="Servicio de Impuestos Internos (SII)"/>
    <s v="Número de empresas vigentes según año de inicio de actividades y tipo de contribuyente en la Región de Atacam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quot;Persona Jurídica Comercial&quot; aumentaron exponencialmente hasta el año 2019, alcanzando las 926 empresas."/>
    <s v="Gráfico de Evolución"/>
    <s v="Región de Atacama,evolución,anual,cantidad,número,empresas,tipo,contribuyente,SII,regional,activas,año,tributario,fiscal,inicio,actividades,Agencia Información,Economía,Empresas vigentes,Empresas"/>
    <s v="https://analytics.zoho.com/open-view/2395394000008062255?ZOHO_CRITERIA=%22Directorio_Todo%22.%22Cod_Regi%C3%B3n%22%3D3"/>
    <x v="20"/>
    <s v="#1774B9"/>
  </r>
  <r>
    <s v="0809"/>
    <n v="990"/>
    <s v="Agencia Información"/>
    <s v="Economía"/>
    <n v="4"/>
    <x v="50"/>
    <x v="12"/>
    <x v="1"/>
    <x v="4"/>
    <x v="3"/>
    <x v="64"/>
    <s v="Periodo 1993-2019"/>
    <s v="Número de empresas"/>
    <s v="Servicio de Impuestos Internos (SII)"/>
    <s v="Número de empresas vigentes según año de inicio de actividades y tipo de contribuyente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quot;Persona Jurídica Comercial&quot; aumentaron exponencialmente hasta el año 2019, alcanzando las 3.039 empresas."/>
    <s v="Gráfico de Evolución"/>
    <s v="Región de Coquimbo,evolución,anual,cantidad,número,empresas,tipo,contribuyente,SII,regional,activas,año,tributario,fiscal,inicio,actividades,Agencia Información,Economía,Empresas vigentes,Empresas"/>
    <s v="https://analytics.zoho.com/open-view/2395394000008062255?ZOHO_CRITERIA=%22Directorio_Todo%22.%22Cod_Regi%C3%B3n%22%3D4"/>
    <x v="21"/>
    <s v="#1774B9"/>
  </r>
  <r>
    <s v="0810"/>
    <n v="990"/>
    <s v="Agencia Información"/>
    <s v="Economía"/>
    <n v="5"/>
    <x v="50"/>
    <x v="12"/>
    <x v="1"/>
    <x v="5"/>
    <x v="3"/>
    <x v="64"/>
    <s v="Periodo 1993-2019"/>
    <s v="Número de empresas"/>
    <s v="Servicio de Impuestos Internos (SII)"/>
    <s v="Número de empresas vigentes según año de inicio de actividades y tipo de contribuyente en la Región de Valparaíso, Periodo 1993-2019"/>
    <s v="En la región de Valparaíso, se observa que la mayor cantidad de empresas vigentes según año de inicio de actividades, en el periodo 1993-2019, son del tipo contribuyente &quot;Persona Jurídica Comercial&quot;, llegando en el año 2019 a 8.103 empresas."/>
    <s v="Gráfico de Evolución"/>
    <s v="Región de Valparaíso,evolución,anual,cantidad,número,empresas,tipo,contribuyente,SII,regional,activas,año,tributario,fiscal,inicio,actividades,Agencia Información,Economía,Empresas vigentes,Empresas"/>
    <s v="https://analytics.zoho.com/open-view/2395394000008062255?ZOHO_CRITERIA=%22Directorio_Todo%22.%22Cod_Regi%C3%B3n%22%3D5"/>
    <x v="22"/>
    <s v="#1774B9"/>
  </r>
  <r>
    <s v="0811"/>
    <n v="990"/>
    <s v="Agencia Información"/>
    <s v="Economía"/>
    <n v="6"/>
    <x v="50"/>
    <x v="12"/>
    <x v="1"/>
    <x v="6"/>
    <x v="3"/>
    <x v="64"/>
    <s v="Periodo 1993-2019"/>
    <s v="Número de empresas"/>
    <s v="Servicio de Impuestos Internos (SII)"/>
    <s v="Número de empresas vigentes según año de inicio de actividades y tipo de contribuyente en la Región de O'Higgins, Periodo 1993-2019"/>
    <s v="Gráfico que muestra la evolución del número de empresas vigentes según el año de inicio de actividades y tipo de contribuyente en la región de O'Higgins, en el periodo 1993-2019. Información en base a registro de Servicio de Impuestos Internos (SII)."/>
    <s v="Gráfico de Evolución"/>
    <s v="Región de O'Higgins,evolución,anual,cantidad,número,empresas,tipo,contribuyente,SII,regional,activas,año,tributario,fiscal,inicio,actividades,Agencia Información,Economía,Empresas vigentes,Empresas"/>
    <s v="https://analytics.zoho.com/open-view/2395394000008062255?ZOHO_CRITERIA=%22Directorio_Todo%22.%22Cod_Regi%C3%B3n%22%3D6"/>
    <x v="23"/>
    <s v="#1774B9"/>
  </r>
  <r>
    <s v="0812"/>
    <n v="990"/>
    <s v="Agencia Información"/>
    <s v="Economía"/>
    <n v="7"/>
    <x v="50"/>
    <x v="12"/>
    <x v="1"/>
    <x v="7"/>
    <x v="3"/>
    <x v="64"/>
    <s v="Periodo 1993-2019"/>
    <s v="Número de empresas"/>
    <s v="Servicio de Impuestos Internos (SII)"/>
    <s v="Número de empresas vigentes según año de inicio de actividades y tipo de contribuyente en la Región de Maule, Periodo 1993-2019"/>
    <s v="En la región de Maule se observa que la mayor cantidad de empresas vigentes según año de inicio de actividades, en el periodo 1993-2019, son del tipo contribuyente &quot;Persona Jurídica Comercial&quot;, llegando en el año 2019 a 4.407 empresas."/>
    <s v="Gráfico de Evolución"/>
    <s v="Región de Maule,evolución,anual,cantidad,número,empresas,tipo,contribuyente,SII,regional,activas,año,tributario,fiscal,inicio,actividades,Agencia Información,Economía,Empresas vigentes,Empresas"/>
    <s v="https://analytics.zoho.com/open-view/2395394000008062255?ZOHO_CRITERIA=%22Directorio_Todo%22.%22Cod_Regi%C3%B3n%22%3D7"/>
    <x v="24"/>
    <s v="#1774B9"/>
  </r>
  <r>
    <s v="0813"/>
    <n v="990"/>
    <s v="Agencia Información"/>
    <s v="Economía"/>
    <n v="8"/>
    <x v="50"/>
    <x v="12"/>
    <x v="1"/>
    <x v="8"/>
    <x v="3"/>
    <x v="64"/>
    <s v="Periodo 1993-2019"/>
    <s v="Número de empresas"/>
    <s v="Servicio de Impuestos Internos (SII)"/>
    <s v="Número de empresas vigentes según año de inicio de actividades y tipo de contribuyente en la Región del Biobí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quot;Persona Jurídica Comercial&quot; aumentaron exponencialmente hasta el año 2019, alcanzando las 5.973 empresas."/>
    <s v="Gráfico de Evolución"/>
    <s v="Región del Biobío,evolución,anual,cantidad,número,empresas,tipo,contribuyente,SII,regional,activas,año,tributario,fiscal,inicio,actividades,Agencia Información,Economía,Empresas vigentes,Empresas"/>
    <s v="https://analytics.zoho.com/open-view/2395394000008062255?ZOHO_CRITERIA=%22Directorio_Todo%22.%22Cod_Regi%C3%B3n%22%3D8"/>
    <x v="25"/>
    <s v="#1774B9"/>
  </r>
  <r>
    <s v="0814"/>
    <n v="990"/>
    <s v="Agencia Información"/>
    <s v="Economía"/>
    <n v="9"/>
    <x v="50"/>
    <x v="12"/>
    <x v="1"/>
    <x v="9"/>
    <x v="3"/>
    <x v="64"/>
    <s v="Periodo 1993-2019"/>
    <s v="Número de empresas"/>
    <s v="Servicio de Impuestos Internos (SII)"/>
    <s v="Número de empresas vigentes según año de inicio de actividades y tipo de contribuyente en la Región de La Araucanía, Periodo 1993-2019"/>
    <s v="Gráfico que muestra la evolución del número de empresas vigentes según el año de inicio de actividades y tipo de contribuyente en la región de Araucanía, en el periodo 1993-2019. Información en base a registro de Servicio de Impuestos Internos (SII)."/>
    <s v="Gráfico de Evolución"/>
    <s v="Región de La Araucanía,evolución,anual,cantidad,número,empresas,tipo,contribuyente,SII,regional,activas,año,tributario,fiscal,inicio,actividades,Agencia Información,Economía,Empresas vigentes,Empresas"/>
    <s v="https://analytics.zoho.com/open-view/2395394000008062255?ZOHO_CRITERIA=%22Directorio_Todo%22.%22Cod_Regi%C3%B3n%22%3D9"/>
    <x v="26"/>
    <s v="#1774B9"/>
  </r>
  <r>
    <s v="0815"/>
    <n v="990"/>
    <s v="Agencia Información"/>
    <s v="Economía"/>
    <n v="10"/>
    <x v="50"/>
    <x v="12"/>
    <x v="1"/>
    <x v="10"/>
    <x v="3"/>
    <x v="64"/>
    <s v="Periodo 1993-2019"/>
    <s v="Número de empresas"/>
    <s v="Servicio de Impuestos Internos (SII)"/>
    <s v="Número de empresas vigentes según año de inicio de actividades y tipo de contribuyente en la Región de Los Lagos, Periodo 1993-2019"/>
    <s v="En la región de Los Lagos, se observa que la mayor cantidad de empresas vigentes según año de inicio de actividades, en el periodo 1993-2019, son del tipo contribuyente &quot;Persona Jurídica Comercial&quot;, llegando en el año 2019 a 3.941 empresas."/>
    <s v="Gráfico de Evolución"/>
    <s v="Región de Los Lagos,evolución,anual,cantidad,número,empresas,tipo,contribuyente,SII,regional,activas,año,tributario,fiscal,inicio,actividades,Agencia Información,Economía,Empresas vigentes,Empresas"/>
    <s v="https://analytics.zoho.com/open-view/2395394000008062255?ZOHO_CRITERIA=%22Directorio_Todo%22.%22Cod_Regi%C3%B3n%22%3D10"/>
    <x v="27"/>
    <s v="#1774B9"/>
  </r>
  <r>
    <s v="0816"/>
    <n v="990"/>
    <s v="Agencia Información"/>
    <s v="Economía"/>
    <n v="11"/>
    <x v="50"/>
    <x v="12"/>
    <x v="1"/>
    <x v="11"/>
    <x v="3"/>
    <x v="64"/>
    <s v="Periodo 1993-2019"/>
    <s v="Número de empresas"/>
    <s v="Servicio de Impuestos Internos (SII)"/>
    <s v="Número de empresas vigentes según año de inicio de actividades y tipo de contribuyente en la Región de Aysén, Periodo 1993-2019"/>
    <s v="En la región de Aysén se observa que la mayor cantidad de empresas vigentes según año de inicio de actividades, en el periodo 1993-2019, son del tipo contribuyente &quot;Persona Jurídica Comercial&quot;, llegando en el año 2019 a 616 empresas."/>
    <s v="Gráfico de Evolución"/>
    <s v="Región de Aysén,evolución,anual,cantidad,número,empresas,tipo,contribuyente,SII,regional,activas,año,tributario,fiscal,inicio,actividades,Agencia Información,Economía,Empresas vigentes,Empresas"/>
    <s v="https://analytics.zoho.com/open-view/2395394000008062255?ZOHO_CRITERIA=%22Directorio_Todo%22.%22Cod_Regi%C3%B3n%22%3D11"/>
    <x v="33"/>
    <s v="#1774B9"/>
  </r>
  <r>
    <s v="0817"/>
    <n v="990"/>
    <s v="Agencia Información"/>
    <s v="Economía"/>
    <n v="12"/>
    <x v="50"/>
    <x v="12"/>
    <x v="1"/>
    <x v="12"/>
    <x v="3"/>
    <x v="64"/>
    <s v="Periodo 1993-2019"/>
    <s v="Número de empresas"/>
    <s v="Servicio de Impuestos Internos (SII)"/>
    <s v="Número de empresas vigentes según año de inicio de actividades y tipo de contribuyente en la Región de Magallanes, Periodo 1993-2019"/>
    <s v="Gráfico que muestra la evolución del número de empresas vigentes según el año de inicio de actividades y tipo de contribuyente en la región de Magallanes, en el periodo 1993-2019. Información en base a registro de Servicio de Impuestos Internos (SII)."/>
    <s v="Gráfico de Evolución"/>
    <s v="Región de Magallanes,evolución,anual,cantidad,número,empresas,tipo,contribuyente,SII,regional,activas,año,tributario,fiscal,inicio,actividades,Agencia Información,Economía,Empresas vigentes,Empresas"/>
    <s v="https://analytics.zoho.com/open-view/2395394000008062255?ZOHO_CRITERIA=%22Directorio_Todo%22.%22Cod_Regi%C3%B3n%22%3D12"/>
    <x v="28"/>
    <s v="#1774B9"/>
  </r>
  <r>
    <s v="0818"/>
    <n v="990"/>
    <s v="Agencia Información"/>
    <s v="Economía"/>
    <n v="13"/>
    <x v="50"/>
    <x v="12"/>
    <x v="1"/>
    <x v="13"/>
    <x v="3"/>
    <x v="64"/>
    <s v="Periodo 1993-2019"/>
    <s v="Número de empresas"/>
    <s v="Servicio de Impuestos Internos (SII)"/>
    <s v="Número de empresas vigentes según año de inicio de actividades y tipo de contribuyente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quot;Persona Jurídica Comercial&quot; aumentaron exponencialmente hasta el año 2019, alcanzando las 45.136 empresas."/>
    <s v="Gráfico de Evolución"/>
    <s v="Región Metropolitana,evolución,anual,cantidad,número,empresas,tipo,contribuyente,SII,regional,activas,año,tributario,fiscal,inicio,actividades,Agencia Información,Economía,Empresas vigentes,Empresas"/>
    <s v="https://analytics.zoho.com/open-view/2395394000008062255?ZOHO_CRITERIA=%22Directorio_Todo%22.%22Cod_Regi%C3%B3n%22%3D13"/>
    <x v="29"/>
    <s v="#1774B9"/>
  </r>
  <r>
    <s v="0819"/>
    <n v="990"/>
    <s v="Agencia Información"/>
    <s v="Economía"/>
    <n v="14"/>
    <x v="50"/>
    <x v="12"/>
    <x v="1"/>
    <x v="14"/>
    <x v="3"/>
    <x v="64"/>
    <s v="Periodo 1993-2019"/>
    <s v="Número de empresas"/>
    <s v="Servicio de Impuestos Internos (SII)"/>
    <s v="Número de empresas vigentes según año de inicio de actividades y tipo de contribuyente en la Región de Los Ríos, Periodo 1993-2019"/>
    <s v="En la región de Los Ríos se observa que la mayor cantidad de empresas vigentes según año de inicio de actividades, en el periodo 1993-2019, son del tipo contribuyente &quot;Persona Jurídica Comercial&quot;, llegando en el año 2019 a 1.543 empresas."/>
    <s v="Gráfico de Evolución"/>
    <s v="Región de Los Ríos,evolución,anual,cantidad,número,empresas,tipo,contribuyente,SII,regional,activas,año,tributario,fiscal,inicio,actividades,Agencia Información,Economía,Empresas vigentes,Empresas"/>
    <s v="https://analytics.zoho.com/open-view/2395394000008062255?ZOHO_CRITERIA=%22Directorio_Todo%22.%22Cod_Regi%C3%B3n%22%3D14"/>
    <x v="30"/>
    <s v="#1774B9"/>
  </r>
  <r>
    <s v="0820"/>
    <n v="990"/>
    <s v="Agencia Información"/>
    <s v="Economía"/>
    <n v="15"/>
    <x v="50"/>
    <x v="12"/>
    <x v="1"/>
    <x v="15"/>
    <x v="3"/>
    <x v="64"/>
    <s v="Periodo 1993-2019"/>
    <s v="Número de empresas"/>
    <s v="Servicio de Impuestos Internos (SII)"/>
    <s v="Número de empresas vigentes según año de inicio de actividades y tipo de contribuyente en la Región de Arica y Parinacota, Periodo 1993-2019"/>
    <s v="En la región de Arica y Parinacota se observa que la mayor cantidad de empresas vigentes según año de inicio de actividades, en el periodo 1993-2019, son del tipo contribuyente &quot;Persona Jurídica Comercial&quot;, llegando en el año 2019 a 660 empresas."/>
    <s v="Gráfico de Evolución"/>
    <s v="Región de Arica y Parinacota,evolución,anual,cantidad,número,empresas,tipo,contribuyente,SII,regional,activas,año,tributario,fiscal,inicio,actividades,Agencia Información,Economía,Empresas vigentes,Empresas"/>
    <s v="https://analytics.zoho.com/open-view/2395394000008062255?ZOHO_CRITERIA=%22Directorio_Todo%22.%22Cod_Regi%C3%B3n%22%3D15"/>
    <x v="31"/>
    <s v="#1774B9"/>
  </r>
  <r>
    <s v="0821"/>
    <n v="990"/>
    <s v="Agencia Información"/>
    <s v="Economía"/>
    <n v="16"/>
    <x v="50"/>
    <x v="12"/>
    <x v="1"/>
    <x v="16"/>
    <x v="3"/>
    <x v="64"/>
    <s v="Periodo 1993-2019"/>
    <s v="Número de empresas"/>
    <s v="Servicio de Impuestos Internos (SII)"/>
    <s v="Número de empresas vigentes según año de inicio de actividades y tipo de contribuyente en la Región de Ñuble, Periodo 1993-2019"/>
    <s v="Gráfico que muestra la evolución del número de empresas vigentes según el año de inicio de actividades y tipo de contribuyente en la región de Ñuble, en el periodo 1993-2019. Información en base a registro de Servicio de Impuestos Internos (SII)."/>
    <s v="Gráfico de Evolución"/>
    <s v="Región de Ñuble,evolución,anual,cantidad,número,empresas,tipo,contribuyente,SII,regional,activas,año,tributario,fiscal,inicio,actividades,Agencia Información,Economía,Empresas vigentes,Empresas"/>
    <s v="https://analytics.zoho.com/open-view/2395394000008062255?ZOHO_CRITERIA=%22Directorio_Todo%22.%22Cod_Regi%C3%B3n%22%3D16"/>
    <x v="32"/>
    <s v="#1774B9"/>
  </r>
  <r>
    <s v="0822"/>
    <n v="990"/>
    <s v="Agencia Información"/>
    <s v="Economía"/>
    <n v="0"/>
    <x v="51"/>
    <x v="12"/>
    <x v="0"/>
    <x v="0"/>
    <x v="2"/>
    <x v="65"/>
    <s v="Periodo 1993-2019"/>
    <s v="Número de trabajadores"/>
    <s v="Servicio de Impuestos Internos (SII)"/>
    <s v="Número de trabajadores de empresas vigentes, por año de inicio de actividades y tipo de contribuyentes en Chile, Periodo 1993-2019"/>
    <s v="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
    <s v="Gráfico de Evolución"/>
    <s v="Chile,evolución,anual,trabajadores,tipo,contribuyente,empresas,activas,vigente,SII,año,tributario,fiscal,Agencia Información,Economía,Trabajadores ,Empresas"/>
    <s v="https://analytics.zoho.com/open-view/2395394000008461297"/>
    <x v="17"/>
    <s v="#1774B9"/>
  </r>
  <r>
    <s v="0823"/>
    <n v="990"/>
    <s v="Agencia Información"/>
    <s v="Economía"/>
    <n v="1"/>
    <x v="51"/>
    <x v="12"/>
    <x v="1"/>
    <x v="1"/>
    <x v="3"/>
    <x v="65"/>
    <s v="Periodo 1993-2019"/>
    <s v="Número de trabajadores"/>
    <s v="Servicio de Impuestos Internos (SII)"/>
    <s v="Número de trabajadores de empresas vigentes, por año de inicio de actividades y tipo de contribuyentes en la Región de Tarapacá, Periodo 1993-2019"/>
    <s v="En la región de Tarapacá se observa una baja en el número de trabajadores de empresas vigente, por año de inicio de actividades, en el año 2019, bajando de 5.708 trabajadores en el año 2018 a 1.996 en el año 2019."/>
    <s v="Gráfico de Evolución"/>
    <s v="Región de Tarapacá,evolución,anual,trabajadores,tipo,contribuyente,empresas,activas,vigente,SII,año,tributario,fiscal,Agencia Información,Economía,Trabajadores ,Empresas"/>
    <s v="https://analytics.zoho.com/open-view/2395394000008062434?ZOHO_CRITERIA=%22Directorio_Todo%22.%22Cod_Regi%C3%B3n%22%3D1"/>
    <x v="18"/>
    <s v="#1774B9"/>
  </r>
  <r>
    <s v="0824"/>
    <n v="990"/>
    <s v="Agencia Información"/>
    <s v="Economía"/>
    <n v="2"/>
    <x v="51"/>
    <x v="12"/>
    <x v="1"/>
    <x v="2"/>
    <x v="3"/>
    <x v="65"/>
    <s v="Periodo 1993-2019"/>
    <s v="Número de trabajadores"/>
    <s v="Servicio de Impuestos Internos (SII)"/>
    <s v="Número de trabajadores de empresas vigentes, por año de inicio de actividades y tipo de contribuyentes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
    <s v="Gráfico de Evolución"/>
    <s v="Región de Antofagasta,evolución,anual,trabajadores,tipo,contribuyente,empresas,activas,vigente,SII,año,tributario,fiscal,Agencia Información,Economía,Trabajadores ,Empresas"/>
    <s v="https://analytics.zoho.com/open-view/2395394000008062434?ZOHO_CRITERIA=%22Directorio_Todo%22.%22Cod_Regi%C3%B3n%22%3D2"/>
    <x v="19"/>
    <s v="#1774B9"/>
  </r>
  <r>
    <s v="0825"/>
    <n v="990"/>
    <s v="Agencia Información"/>
    <s v="Economía"/>
    <n v="3"/>
    <x v="51"/>
    <x v="12"/>
    <x v="1"/>
    <x v="3"/>
    <x v="3"/>
    <x v="65"/>
    <s v="Periodo 1993-2019"/>
    <s v="Número de trabajadores"/>
    <s v="Servicio de Impuestos Internos (SII)"/>
    <s v="Número de trabajadores de empresas vigentes, por año de inicio de actividades y tipo de contribuyentes en la Región de Atacama, Periodo 1993-2019"/>
    <s v="En la región de Atacama se observa una baja en el número de trabajadores de empresas vigente, por año de inicio de actividades, en el año 2019, bajando de 5.777 trabajadores en el año 2018 a 1.505 en el año 2019."/>
    <s v="Gráfico de Evolución"/>
    <s v="Región de Atacama,evolución,anual,trabajadores,tipo,contribuyente,empresas,activas,vigente,SII,año,tributario,fiscal,Agencia Información,Economía,Trabajadores ,Empresas"/>
    <s v="https://analytics.zoho.com/open-view/2395394000008062434?ZOHO_CRITERIA=%22Directorio_Todo%22.%22Cod_Regi%C3%B3n%22%3D3"/>
    <x v="20"/>
    <s v="#1774B9"/>
  </r>
  <r>
    <s v="0826"/>
    <n v="990"/>
    <s v="Agencia Información"/>
    <s v="Economía"/>
    <n v="4"/>
    <x v="51"/>
    <x v="12"/>
    <x v="1"/>
    <x v="4"/>
    <x v="3"/>
    <x v="65"/>
    <s v="Periodo 1993-2019"/>
    <s v="Número de trabajadores"/>
    <s v="Servicio de Impuestos Internos (SII)"/>
    <s v="Número de trabajadores de empresas vigentes, por año de inicio de actividades y tipo de contribuyentes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
    <s v="Gráfico de Evolución"/>
    <s v="Región de Coquimbo,evolución,anual,trabajadores,tipo,contribuyente,empresas,activas,vigente,SII,año,tributario,fiscal,Agencia Información,Economía,Trabajadores ,Empresas"/>
    <s v="https://analytics.zoho.com/open-view/2395394000008062434?ZOHO_CRITERIA=%22Directorio_Todo%22.%22Cod_Regi%C3%B3n%22%3D4"/>
    <x v="21"/>
    <s v="#1774B9"/>
  </r>
  <r>
    <s v="0827"/>
    <n v="990"/>
    <s v="Agencia Información"/>
    <s v="Economía"/>
    <n v="5"/>
    <x v="51"/>
    <x v="12"/>
    <x v="1"/>
    <x v="5"/>
    <x v="3"/>
    <x v="65"/>
    <s v="Periodo 1993-2019"/>
    <s v="Número de trabajadores"/>
    <s v="Servicio de Impuestos Internos (SII)"/>
    <s v="Número de trabajadores de empresas vigentes, por año de inicio de actividades y tipo de contribuyentes en la Región de Valparaíso, Periodo 1993-2019"/>
    <s v="En la región de Valparaíso se observa que el año con mayor número de trabajadores de empresas vigente, por año de inicio de actividades, es el año 2018 con 34.277. En tanto en el año 2019 se ve una baja, llegando a 15.248 trabajadores."/>
    <s v="Gráfico de Evolución"/>
    <s v="Región de Valparaíso,evolución,anual,trabajadores,tipo,contribuyente,empresas,activas,vigente,SII,año,tributario,fiscal,Agencia Información,Economía,Trabajadores ,Empresas"/>
    <s v="https://analytics.zoho.com/open-view/2395394000008062434?ZOHO_CRITERIA=%22Directorio_Todo%22.%22Cod_Regi%C3%B3n%22%3D5"/>
    <x v="22"/>
    <s v="#1774B9"/>
  </r>
  <r>
    <s v="0828"/>
    <n v="990"/>
    <s v="Agencia Información"/>
    <s v="Economía"/>
    <n v="6"/>
    <x v="51"/>
    <x v="12"/>
    <x v="1"/>
    <x v="6"/>
    <x v="3"/>
    <x v="65"/>
    <s v="Periodo 1993-2019"/>
    <s v="Número de trabajadores"/>
    <s v="Servicio de Impuestos Internos (SII)"/>
    <s v="Número de trabajadores de empresas vigentes, por año de inicio de actividades y tipo de contribuyentes en la Región de O'Higgins, Periodo 1993-2019"/>
    <s v="En la región de O'Higgins se observa que el año con mayor número de trabajadores de empresas vigente, por año de inicio de actividades, es el año 2018 con 30.124. En tanto en el año 2019 se ve una baja, llegando a 17.955 trabajadores."/>
    <s v="Gráfico de Evolución"/>
    <s v="Región de O'Higgins,evolución,anual,trabajadores,tipo,contribuyente,empresas,activas,vigente,SII,año,tributario,fiscal,Agencia Información,Economía,Trabajadores ,Empresas"/>
    <s v="https://analytics.zoho.com/open-view/2395394000008062434?ZOHO_CRITERIA=%22Directorio_Todo%22.%22Cod_Regi%C3%B3n%22%3D6"/>
    <x v="23"/>
    <s v="#1774B9"/>
  </r>
  <r>
    <s v="0829"/>
    <n v="990"/>
    <s v="Agencia Información"/>
    <s v="Economía"/>
    <n v="7"/>
    <x v="51"/>
    <x v="12"/>
    <x v="1"/>
    <x v="7"/>
    <x v="3"/>
    <x v="65"/>
    <s v="Periodo 1993-2019"/>
    <s v="Número de trabajadores"/>
    <s v="Servicio de Impuestos Internos (SII)"/>
    <s v="Número de trabajadores de empresas vigentes, por año de inicio de actividades y tipo de contribuyentes en la Región de Maule, Periodo 1993-2019"/>
    <s v="En la región de Maule se observa una baja en el número de trabajadores de empresas vigente, por año de inicio de actividades, en el año 2019, bajando de 19.460 trabajadores en el año 2018 a 12.211 en el año 2019."/>
    <s v="Gráfico de Evolución"/>
    <s v="Región de Maule,evolución,anual,trabajadores,tipo,contribuyente,empresas,activas,vigente,SII,año,tributario,fiscal,Agencia Información,Economía,Trabajadores ,Empresas"/>
    <s v="https://analytics.zoho.com/open-view/2395394000008062434?ZOHO_CRITERIA=%22Directorio_Todo%22.%22Cod_Regi%C3%B3n%22%3D7"/>
    <x v="24"/>
    <s v="#1774B9"/>
  </r>
  <r>
    <s v="0830"/>
    <n v="990"/>
    <s v="Agencia Información"/>
    <s v="Economía"/>
    <n v="8"/>
    <x v="51"/>
    <x v="12"/>
    <x v="1"/>
    <x v="8"/>
    <x v="3"/>
    <x v="65"/>
    <s v="Periodo 1993-2019"/>
    <s v="Número de trabajadores"/>
    <s v="Servicio de Impuestos Internos (SII)"/>
    <s v="Número de trabajadores de empresas vigentes, por año de inicio de actividades y tipo de contribuyentes en la Región del Biobío, Periodo 1993-2019"/>
    <s v="En la región del Biobío se observa una baja en el número de trabajadores de empresas vigente, por año de inicio de actividades, en el año 2019, bajando de 28.297 trabajadores en el año 2018 a 10.776 en el año 2019."/>
    <s v="Gráfico de Evolución"/>
    <s v="Región del Biobío,evolución,anual,trabajadores,tipo,contribuyente,empresas,activas,vigente,SII,año,tributario,fiscal,Agencia Información,Economía,Trabajadores ,Empresas"/>
    <s v="https://analytics.zoho.com/open-view/2395394000008062434?ZOHO_CRITERIA=%22Directorio_Todo%22.%22Cod_Regi%C3%B3n%22%3D8"/>
    <x v="25"/>
    <s v="#1774B9"/>
  </r>
  <r>
    <s v="0831"/>
    <n v="990"/>
    <s v="Agencia Información"/>
    <s v="Economía"/>
    <n v="9"/>
    <x v="51"/>
    <x v="12"/>
    <x v="1"/>
    <x v="9"/>
    <x v="3"/>
    <x v="65"/>
    <s v="Periodo 1993-2019"/>
    <s v="Número de trabajadores"/>
    <s v="Servicio de Impuestos Internos (SII)"/>
    <s v="Número de trabajadores de empresas vigentes, por año de inicio de actividades y tipo de contribuyentes en la Región de La Araucaní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
    <s v="Gráfico de Evolución"/>
    <s v="Región de La Araucanía,evolución,anual,trabajadores,tipo,contribuyente,empresas,activas,vigente,SII,año,tributario,fiscal,Agencia Información,Economía,Trabajadores ,Empresas"/>
    <s v="https://analytics.zoho.com/open-view/2395394000008062434?ZOHO_CRITERIA=%22Directorio_Todo%22.%22Cod_Regi%C3%B3n%22%3D9"/>
    <x v="26"/>
    <s v="#1774B9"/>
  </r>
  <r>
    <s v="0832"/>
    <n v="990"/>
    <s v="Agencia Información"/>
    <s v="Economía"/>
    <n v="10"/>
    <x v="51"/>
    <x v="12"/>
    <x v="1"/>
    <x v="10"/>
    <x v="3"/>
    <x v="65"/>
    <s v="Periodo 1993-2019"/>
    <s v="Número de trabajadores"/>
    <s v="Servicio de Impuestos Internos (SII)"/>
    <s v="Número de trabajadores de empresas vigentes, por año de inicio de actividades y tipo de contribuyentes en la Región de Los Lagos, Periodo 1993-2019"/>
    <s v="En la región de Los Lagos se observa una baja en el número de trabajadores de empresas vigente, por año de inicio de actividades, en el año 2019, bajando de 15.069 trabajadores en el año 2018 a 7.628 en el año 2019."/>
    <s v="Gráfico de Evolución"/>
    <s v="Región de Los Lagos,evolución,anual,trabajadores,tipo,contribuyente,empresas,activas,vigente,SII,año,tributario,fiscal,Agencia Información,Economía,Trabajadores ,Empresas"/>
    <s v="https://analytics.zoho.com/open-view/2395394000008062434?ZOHO_CRITERIA=%22Directorio_Todo%22.%22Cod_Regi%C3%B3n%22%3D10"/>
    <x v="27"/>
    <s v="#1774B9"/>
  </r>
  <r>
    <s v="0833"/>
    <n v="990"/>
    <s v="Agencia Información"/>
    <s v="Economía"/>
    <n v="11"/>
    <x v="51"/>
    <x v="12"/>
    <x v="1"/>
    <x v="11"/>
    <x v="3"/>
    <x v="65"/>
    <s v="Periodo 1993-2019"/>
    <s v="Número de trabajadores"/>
    <s v="Servicio de Impuestos Internos (SII)"/>
    <s v="Número de trabajadores de empresas vigentes, por año de inicio de actividades y tipo de contribuyentes en la Región de Aysén, Periodo 1993-2019"/>
    <s v="En la región de Aysén se observa que el año con mayor número de trabajadores de empresas vigente, por año de inicio de actividades, es el año 2017 con 2.569. En tanto el año 2019 se ve una baja, llegando a 626 trabajadores."/>
    <s v="Gráfico de Evolución"/>
    <s v="Región de Aysén,evolución,anual,trabajadores,tipo,contribuyente,empresas,activas,vigente,SII,año,tributario,fiscal,Agencia Información,Economía,Trabajadores ,Empresas"/>
    <s v="https://analytics.zoho.com/open-view/2395394000008062434?ZOHO_CRITERIA=%22Directorio_Todo%22.%22Cod_Regi%C3%B3n%22%3D11"/>
    <x v="33"/>
    <s v="#1774B9"/>
  </r>
  <r>
    <s v="0834"/>
    <n v="990"/>
    <s v="Agencia Información"/>
    <s v="Economía"/>
    <n v="12"/>
    <x v="51"/>
    <x v="12"/>
    <x v="1"/>
    <x v="12"/>
    <x v="3"/>
    <x v="65"/>
    <s v="Periodo 1993-2019"/>
    <s v="Número de trabajadores"/>
    <s v="Servicio de Impuestos Internos (SII)"/>
    <s v="Número de trabajadores de empresas vigentes, por año de inicio de actividades y tipo de contribuyentes en la Región de Magallanes, Periodo 1993-2019"/>
    <s v="En la región de Magallanes se observa una baja en el número de trabajadores de empresas vigente, por año de inicio de actividades, en el año 2019, bajando de 2.128 trabajadores en el año 2018 a 1.316 en el año 2019."/>
    <s v="Gráfico de Evolución"/>
    <s v="Región de Magallanes,evolución,anual,trabajadores,tipo,contribuyente,empresas,activas,vigente,SII,año,tributario,fiscal,Agencia Información,Economía,Trabajadores ,Empresas"/>
    <s v="https://analytics.zoho.com/open-view/2395394000008062434?ZOHO_CRITERIA=%22Directorio_Todo%22.%22Cod_Regi%C3%B3n%22%3D12"/>
    <x v="28"/>
    <s v="#1774B9"/>
  </r>
  <r>
    <s v="0835"/>
    <n v="990"/>
    <s v="Agencia Información"/>
    <s v="Economía"/>
    <n v="13"/>
    <x v="51"/>
    <x v="12"/>
    <x v="1"/>
    <x v="13"/>
    <x v="3"/>
    <x v="65"/>
    <s v="Periodo 1993-2019"/>
    <s v="Número de trabajadores"/>
    <s v="Servicio de Impuestos Internos (SII)"/>
    <s v="Número de trabajadores de empresas vigentes, por año de inicio de actividades y tipo de contribuyentes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
    <s v="Gráfico de Evolución"/>
    <s v="Región Metropolitana,evolución,anual,trabajadores,tipo,contribuyente,empresas,activas,vigente,SII,año,tributario,fiscal,Agencia Información,Economía,Trabajadores ,Empresas"/>
    <s v="https://analytics.zoho.com/open-view/2395394000008062434?ZOHO_CRITERIA=%22Directorio_Todo%22.%22Cod_Regi%C3%B3n%22%3D13"/>
    <x v="29"/>
    <s v="#1774B9"/>
  </r>
  <r>
    <s v="0836"/>
    <n v="990"/>
    <s v="Agencia Información"/>
    <s v="Economía"/>
    <n v="14"/>
    <x v="51"/>
    <x v="12"/>
    <x v="1"/>
    <x v="14"/>
    <x v="3"/>
    <x v="65"/>
    <s v="Periodo 1993-2019"/>
    <s v="Número de trabajadores"/>
    <s v="Servicio de Impuestos Internos (SII)"/>
    <s v="Número de trabajadores de empresas vigentes, por año de inicio de actividades y tipo de contribuyentes en la Región de Los Ríos, Periodo 1993-2019"/>
    <s v="En la región de Los Ríos se observa que el año con mayor número de trabajadores de empresas vigente, por año de inicio de actividades, es el año 2016 con 5.629. En tanto el año 2019 se ve una baja, llegando a 1.563 trabajadores."/>
    <s v="Gráfico de Evolución"/>
    <s v="Región de Los Ríos,evolución,anual,trabajadores,tipo,contribuyente,empresas,activas,vigente,SII,año,tributario,fiscal,Agencia Información,Economía,Trabajadores ,Empresas"/>
    <s v="https://analytics.zoho.com/open-view/2395394000008062434?ZOHO_CRITERIA=%22Directorio_Todo%22.%22Cod_Regi%C3%B3n%22%3D14"/>
    <x v="30"/>
    <s v="#1774B9"/>
  </r>
  <r>
    <s v="0837"/>
    <n v="990"/>
    <s v="Agencia Información"/>
    <s v="Economía"/>
    <n v="15"/>
    <x v="51"/>
    <x v="12"/>
    <x v="1"/>
    <x v="15"/>
    <x v="3"/>
    <x v="65"/>
    <s v="Periodo 1993-2019"/>
    <s v="Número de trabajadores"/>
    <s v="Servicio de Impuestos Internos (SII)"/>
    <s v="Número de trabajadores de empresas vigentes, por año de inicio de actividades y tipo de contribuyentes en la Región de Arica y Parinaco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
    <s v="Gráfico de Evolución"/>
    <s v="Región de Arica y Parinacota,evolución,anual,trabajadores,tipo,contribuyente,empresas,activas,vigente,SII,año,tributario,fiscal,Agencia Información,Economía,Trabajadores ,Empresas"/>
    <s v="https://analytics.zoho.com/open-view/2395394000008062434?ZOHO_CRITERIA=%22Directorio_Todo%22.%22Cod_Regi%C3%B3n%22%3D15"/>
    <x v="31"/>
    <s v="#1774B9"/>
  </r>
  <r>
    <s v="0838"/>
    <n v="990"/>
    <s v="Agencia Información"/>
    <s v="Economía"/>
    <n v="16"/>
    <x v="51"/>
    <x v="12"/>
    <x v="1"/>
    <x v="16"/>
    <x v="3"/>
    <x v="65"/>
    <s v="Periodo 1993-2019"/>
    <s v="Número de trabajadores"/>
    <s v="Servicio de Impuestos Internos (SII)"/>
    <s v="Número de trabajadores de empresas vigentes, por año de inicio de actividades y tipo de contribuyentes en la Región de Ñuble, Periodo 1993-2019"/>
    <s v="En la región de Ñuble se observa una baja en el número de trabajadores de empresas vigente, por año de inicio de actividades, en el año 2019, bajando de 5.691 trabajadores en el año 2018 a 2.394 en el año 2019."/>
    <s v="Gráfico de Evolución"/>
    <s v="Región de Ñuble,evolución,anual,trabajadores,tipo,contribuyente,empresas,activas,vigente,SII,año,tributario,fiscal,Agencia Información,Economía,Trabajadores ,Empresas"/>
    <s v="https://analytics.zoho.com/open-view/2395394000008062434?ZOHO_CRITERIA=%22Directorio_Todo%22.%22Cod_Regi%C3%B3n%22%3D16"/>
    <x v="32"/>
    <s v="#1774B9"/>
  </r>
  <r>
    <s v="0839"/>
    <n v="990"/>
    <s v="Agencia Información"/>
    <s v="Salud"/>
    <n v="0"/>
    <x v="25"/>
    <x v="15"/>
    <x v="0"/>
    <x v="0"/>
    <x v="10"/>
    <x v="32"/>
    <s v="Periodo 2012-2018"/>
    <s v="Número de Casos"/>
    <s v="Departamento de Estadísticas e Información de la Salud (DEIS) - Ministerio de Salud"/>
    <s v="Evolución de Población en el Programa de VIH/SIDA según Comuna en Chile, Periodo 2012-201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VIH,SIDA,enfermedad,transmisión,sexual,casos,población,control,programa,servicio de salud,servicio nacional,comuna,comunal,Agencia Información,Salud,Programa de VIH/SIDA,Programas de Salud"/>
    <s v="https://analytics.zoho.com/open-view/2395394000008049492"/>
    <x v="17"/>
    <s v="#1774B9"/>
  </r>
  <r>
    <s v="0840"/>
    <n v="990"/>
    <s v="Agencia Información"/>
    <s v="Salud"/>
    <n v="1"/>
    <x v="25"/>
    <x v="15"/>
    <x v="1"/>
    <x v="1"/>
    <x v="11"/>
    <x v="32"/>
    <s v="Periodo 2012-2018"/>
    <s v="Número de Casos"/>
    <s v="Departamento de Estadísticas e Información de la Salud (DEIS) - Ministerio de Salud"/>
    <s v="Evolución de Población en el Programa de VIH/SIDA según Comuna en la Región de Tarapacá, Periodo 2012-2018"/>
    <s v="En la región de Tarapacá, el año 2012 la comuna de Iquique registró 373 pacientes en el programa VIH/SIDA. El año 2018 esta cifra aumenta registrando 712 pacientes. "/>
    <s v="Gráfico de Evolución"/>
    <s v="Región de Tarapacá,VIH,SIDA,enfermedad,transmisión,sexual,casos,población,control,programa,servicio de salud,servicio nacional,comuna,comunal,Agencia Información,Salud,Programa de VIH/SIDA,Programas de Salud"/>
    <s v="https://analytics.zoho.com/open-view/2395394000008389806?ZOHO_CRITERIA=%22Localiza%20CL%22.%22Codreg%22%20%3D%201"/>
    <x v="18"/>
    <s v="#1774B9"/>
  </r>
  <r>
    <s v="0841"/>
    <n v="990"/>
    <s v="Agencia Información"/>
    <s v="Salud"/>
    <n v="2"/>
    <x v="25"/>
    <x v="15"/>
    <x v="1"/>
    <x v="2"/>
    <x v="11"/>
    <x v="32"/>
    <s v="Periodo 2012-2018"/>
    <s v="Número de Casos"/>
    <s v="Departamento de Estadísticas e Información de la Salud (DEIS) - Ministerio de Salud"/>
    <s v="Evolución de Población en el Programa de VIH/SIDA según Comuna en la Región de Antofagasta, Periodo 2012-2018"/>
    <s v="En la región de Antofagasta, el año 2012, la comuna de Antofagasta registra 428  pacientes en el programa VIH/SIDA , y la comuna de Calama 153. El año 2018, estas cifras aumentan, registrando 932 pacientes en la comuna de Antofagasta y 276 en la comuna de Calama. "/>
    <s v="Gráfico de Evolución"/>
    <s v="Región de Antofagasta,VIH,SIDA,enfermedad,transmisión,sexual,casos,población,control,programa,servicio de salud,servicio nacional,comuna,comunal,Agencia Información,Salud,Programa de VIH/SIDA,Programas de Salud"/>
    <s v="https://analytics.zoho.com/open-view/2395394000008389806?ZOHO_CRITERIA=%22Localiza%20CL%22.%22Codreg%22%20%3D%202"/>
    <x v="19"/>
    <s v="#1774B9"/>
  </r>
  <r>
    <s v="0842"/>
    <n v="990"/>
    <s v="Agencia Información"/>
    <s v="Salud"/>
    <n v="3"/>
    <x v="25"/>
    <x v="15"/>
    <x v="1"/>
    <x v="3"/>
    <x v="11"/>
    <x v="32"/>
    <s v="Periodo 2012-2018"/>
    <s v="Número de Casos"/>
    <s v="Departamento de Estadísticas e Información de la Salud (DEIS) - Ministerio de Salud"/>
    <s v="Evolución de Población en el Programa de VIH/SIDA según Comuna en la Región de Atacama, Periodo 2012-2018"/>
    <s v="En la región de Atacama, el año 2012 la comuna de Copiapó registra 251 pacientes en el programa VIH/SIDA. El año 2018 esta cifra aumenta registrando 491  pacientes."/>
    <s v="Gráfico de Evolución"/>
    <s v="Región de Atacama,VIH,SIDA,enfermedad,transmisión,sexual,casos,población,control,programa,servicio de salud,servicio nacional,comuna,comunal,Agencia Información,Salud,Programa de VIH/SIDA,Programas de Salud"/>
    <s v="https://analytics.zoho.com/open-view/2395394000008389806?ZOHO_CRITERIA=%22Localiza%20CL%22.%22Codreg%22%20%3D%203"/>
    <x v="20"/>
    <s v="#1774B9"/>
  </r>
  <r>
    <s v="0843"/>
    <n v="990"/>
    <s v="Agencia Información"/>
    <s v="Salud"/>
    <n v="4"/>
    <x v="25"/>
    <x v="15"/>
    <x v="1"/>
    <x v="4"/>
    <x v="11"/>
    <x v="32"/>
    <s v="Periodo 2012-2018"/>
    <s v="Número de Casos"/>
    <s v="Departamento de Estadísticas e Información de la Salud (DEIS) - Ministerio de Salud"/>
    <s v="Evolución de Población en el Programa de VIH/SIDA según Comuna en la Región de Coquimbo, Periodo 2012-2018"/>
    <s v="En la región de Coquimbo, el año 2012 la comuna de Coquimbo registra 353 pacientes en el programa VIH/SIDA, y la comuna de La Serena 309. El año 2018, estas cifras aumentan, registrando 845 pacientes en la comuna de Coquimbo y 662 en la comuna de Calama."/>
    <s v="Gráfico de Evolución"/>
    <s v="Región de Coquimbo,VIH,SIDA,enfermedad,transmisión,sexual,casos,población,control,programa,servicio de salud,servicio nacional,comuna,comunal,Agencia Información,Salud,Programa de VIH/SIDA,Programas de Salud"/>
    <s v="https://analytics.zoho.com/open-view/2395394000008389806?ZOHO_CRITERIA=%22Localiza%20CL%22.%22Codreg%22%20%3D%204"/>
    <x v="21"/>
    <s v="#1774B9"/>
  </r>
  <r>
    <s v="0844"/>
    <n v="990"/>
    <s v="Agencia Información"/>
    <s v="Salud"/>
    <n v="5"/>
    <x v="25"/>
    <x v="15"/>
    <x v="1"/>
    <x v="5"/>
    <x v="11"/>
    <x v="32"/>
    <s v="Periodo 2012-2018"/>
    <s v="Número de Casos"/>
    <s v="Departamento de Estadísticas e Información de la Salud (DEIS) - Ministerio de Salud"/>
    <s v="Evolución de Población en el Programa de VIH/SIDA según Comuna en la Región de Valparaíso, Periodo 2012-2018"/>
    <s v="En la región de Valparaíso, el año 2012 la comuna Valparaíso registra 1.698 pacientes  en el programa VIH/SIDA y la comuna Viña del Mar 896. El año 2018, estas cifras aumentan, registrando 1.824 en la comuna de Viña del Mar y 1.327 en la comuna de Valparaíso."/>
    <s v="Gráfico de Evolución"/>
    <s v="Región de Valparaíso,VIH,SIDA,enfermedad,transmisión,sexual,casos,población,control,programa,servicio de salud,servicio nacional,comuna,comunal,Agencia Información,Salud,Programa de VIH/SIDA,Programas de Salud"/>
    <s v="https://analytics.zoho.com/open-view/2395394000008389806?ZOHO_CRITERIA=%22Localiza%20CL%22.%22Codreg%22%20%3D%205"/>
    <x v="22"/>
    <s v="#1774B9"/>
  </r>
  <r>
    <s v="0845"/>
    <n v="990"/>
    <s v="Agencia Información"/>
    <s v="Salud"/>
    <n v="6"/>
    <x v="25"/>
    <x v="15"/>
    <x v="1"/>
    <x v="6"/>
    <x v="11"/>
    <x v="32"/>
    <s v="Periodo 2012-2018"/>
    <s v="Número de Casos"/>
    <s v="Departamento de Estadísticas e Información de la Salud (DEIS) - Ministerio de Salud"/>
    <s v="Evolución de Población en el Programa de VIH/SIDA según Comuna en la Región de O'Higgins, Periodo 2012-2018"/>
    <s v="En la región de O'Higgins, el año 2012 la comuna de Rancagua registra 436 pacientes en el programa VIH/SIDA. El año 2018 esta cifra aumenta registrando 980 pacientes."/>
    <s v="Gráfico de Evolución"/>
    <s v="Región de O'Higgins,VIH,SIDA,enfermedad,transmisión,sexual,casos,población,control,programa,servicio de salud,servicio nacional,comuna,comunal,Agencia Información,Salud,Programa de VIH/SIDA,Programas de Salud"/>
    <s v="https://analytics.zoho.com/open-view/2395394000008389806?ZOHO_CRITERIA=%22Localiza%20CL%22.%22Codreg%22%20%3D%206"/>
    <x v="23"/>
    <s v="#1774B9"/>
  </r>
  <r>
    <s v="0846"/>
    <n v="990"/>
    <s v="Agencia Información"/>
    <s v="Salud"/>
    <n v="7"/>
    <x v="25"/>
    <x v="15"/>
    <x v="1"/>
    <x v="7"/>
    <x v="11"/>
    <x v="32"/>
    <s v="Periodo 2012-2018"/>
    <s v="Número de Casos"/>
    <s v="Departamento de Estadísticas e Información de la Salud (DEIS) - Ministerio de Salud"/>
    <s v="Evolución de Población en el Programa de VIH/SIDA según Comuna en la Región de Maule, Periodo 2012-2018"/>
    <s v="En la región del Maule, el año 2012, la comuna de Talca registra 308 pacientes en el programa en el programa VIH/SIDA y la  comuna de Curicó 114. El año 2018, estas cifras aumentan, registrando 708 pacientes en la comuna de Talca y 309 en la comuna de Curicó."/>
    <s v="Gráfico de Evolución"/>
    <s v="Región de Maule,VIH,SIDA,enfermedad,transmisión,sexual,casos,población,control,programa,servicio de salud,servicio nacional,comuna,comunal,Agencia Información,Salud,Programa de VIH/SIDA,Programas de Salud"/>
    <s v="https://analytics.zoho.com/open-view/2395394000008389806?ZOHO_CRITERIA=%22Localiza%20CL%22.%22Codreg%22%20%3D%207"/>
    <x v="24"/>
    <s v="#1774B9"/>
  </r>
  <r>
    <s v="0847"/>
    <n v="990"/>
    <s v="Agencia Información"/>
    <s v="Salud"/>
    <n v="8"/>
    <x v="25"/>
    <x v="15"/>
    <x v="1"/>
    <x v="8"/>
    <x v="11"/>
    <x v="32"/>
    <s v="Periodo 2012-2018"/>
    <s v="Número de Casos"/>
    <s v="Departamento de Estadísticas e Información de la Salud (DEIS) - Ministerio de Salud"/>
    <s v="Evolución de Población en el Programa de VIH/SIDA según Comuna en la Región del Biobío, Periodo 2012-2018"/>
    <s v="En la región del Biobío, el año 2012, la comuna de Concepción registra 849 pacientes en el programa en el programa VIH/SIDA y la  comuna de Los Ángeles 109. El año 2018, estas cifras aumentan, registrando 1.285 pacientes en la comuna de Concepción y 618 en la comuna de Talcahuano."/>
    <s v="Gráfico de Evolución"/>
    <s v="Región del Biobío,VIH,SIDA,enfermedad,transmisión,sexual,casos,población,control,programa,servicio de salud,servicio nacional,comuna,comunal,Agencia Información,Salud,Programa de VIH/SIDA,Programas de Salud"/>
    <s v="https://analytics.zoho.com/open-view/2395394000008389806?ZOHO_CRITERIA=%22Localiza%20CL%22.%22Codreg%22%20%3D%208"/>
    <x v="25"/>
    <s v="#1774B9"/>
  </r>
  <r>
    <s v="0848"/>
    <n v="990"/>
    <s v="Agencia Información"/>
    <s v="Salud"/>
    <n v="9"/>
    <x v="25"/>
    <x v="15"/>
    <x v="1"/>
    <x v="9"/>
    <x v="11"/>
    <x v="32"/>
    <s v="Periodo 2012-2018"/>
    <s v="Número de Casos"/>
    <s v="Departamento de Estadísticas e Información de la Salud (DEIS) - Ministerio de Salud"/>
    <s v="Evolución de Población en el Programa de VIH/SIDA según Comuna en la Región de La Araucanía, Periodo 2012-2018"/>
    <s v="En la región de La Araucanía, el año 2012 la comuna de Temuco registra 558 pacientes en el programa VIH/SIDA. El año 2018 esta cifra aumenta registrando 989 pacientes."/>
    <s v="Gráfico de Evolución"/>
    <s v="Región de La Araucanía,VIH,SIDA,enfermedad,transmisión,sexual,casos,población,control,programa,servicio de salud,servicio nacional,comuna,comunal,Agencia Información,Salud,Programa de VIH/SIDA,Programas de Salud"/>
    <s v="https://analytics.zoho.com/open-view/2395394000008389806?ZOHO_CRITERIA=%22Localiza%20CL%22.%22Codreg%22%20%3D%209"/>
    <x v="26"/>
    <s v="#1774B9"/>
  </r>
  <r>
    <s v="0849"/>
    <n v="990"/>
    <s v="Agencia Información"/>
    <s v="Salud"/>
    <n v="10"/>
    <x v="25"/>
    <x v="15"/>
    <x v="1"/>
    <x v="10"/>
    <x v="11"/>
    <x v="32"/>
    <s v="Periodo 2012-2018"/>
    <s v="Número de Casos"/>
    <s v="Departamento de Estadísticas e Información de la Salud (DEIS) - Ministerio de Salud"/>
    <s v="Evolución de Población en el Programa de VIH/SIDA según Comuna en la Región de Los Lagos, Periodo 2012-2018"/>
    <s v="En la región de Los Lagos, el año 2012, la comuna de Puerto Montt registra 413 pacientes en el programa en el programa VIH/SIDA y la comuna de Osorno 220. El año 2018, estas cifras aumentan, registrando 871 pacientes en la comuna de Puerto Montt y 497 en la comuna de Osorno."/>
    <s v="Gráfico de Evolución"/>
    <s v="Región de Los Lagos,VIH,SIDA,enfermedad,transmisión,sexual,casos,población,control,programa,servicio de salud,servicio nacional,comuna,comunal,Agencia Información,Salud,Programa de VIH/SIDA,Programas de Salud"/>
    <s v="https://analytics.zoho.com/open-view/2395394000008389806?ZOHO_CRITERIA=%22Localiza%20CL%22.%22Codreg%22%20%3D%2010"/>
    <x v="27"/>
    <s v="#1774B9"/>
  </r>
  <r>
    <s v="0850"/>
    <n v="990"/>
    <s v="Agencia Información"/>
    <s v="Salud"/>
    <n v="11"/>
    <x v="25"/>
    <x v="15"/>
    <x v="1"/>
    <x v="11"/>
    <x v="11"/>
    <x v="32"/>
    <s v="Periodo 2012-2018"/>
    <s v="Número de Casos"/>
    <s v="Departamento de Estadísticas e Información de la Salud (DEIS) - Ministerio de Salud"/>
    <s v="Evolución de Población en el Programa de VIH/SIDA según Comuna en la Región de Aysén, Periodo 2012-2018"/>
    <s v="En la región de Aysén, el año 2012 la comuna de Coyhaique registra 8 pacientes en el programa VIH/SIDA. El año 2018 esta cifra aumenta registrando 115 pacientes."/>
    <s v="Gráfico de Evolución"/>
    <s v="Región de Aysén,VIH,SIDA,enfermedad,transmisión,sexual,casos,población,control,programa,servicio de salud,servicio nacional,comuna,comunal,Agencia Información,Salud,Programa de VIH/SIDA,Programas de Salud"/>
    <s v="https://analytics.zoho.com/open-view/2395394000008389806?ZOHO_CRITERIA=%22Localiza%20CL%22.%22Codreg%22%20%3D%2011"/>
    <x v="33"/>
    <s v="#1774B9"/>
  </r>
  <r>
    <s v="0851"/>
    <n v="990"/>
    <s v="Agencia Información"/>
    <s v="Salud"/>
    <n v="12"/>
    <x v="25"/>
    <x v="15"/>
    <x v="1"/>
    <x v="12"/>
    <x v="11"/>
    <x v="32"/>
    <s v="Periodo 2012-2018"/>
    <s v="Número de Casos"/>
    <s v="Departamento de Estadísticas e Información de la Salud (DEIS) - Ministerio de Salud"/>
    <s v="Evolución de Población en el Programa de VIH/SIDA según Comuna en la Región de Magallanes, Periodo 2012-2018"/>
    <s v="En la región de Magallanes, el año 2012 la comuna de Punta Arenas registra 145 pacientes en el programa VIH/SIDA. El año 2018 esta cifra disminuye registrando 36 pacientes."/>
    <s v="Gráfico de Evolución"/>
    <s v="Región de Magallanes,VIH,SIDA,enfermedad,transmisión,sexual,casos,población,control,programa,servicio de salud,servicio nacional,comuna,comunal,Agencia Información,Salud,Programa de VIH/SIDA,Programas de Salud"/>
    <s v="https://analytics.zoho.com/open-view/2395394000008389806?ZOHO_CRITERIA=%22Localiza%20CL%22.%22Codreg%22%20%3D%2012"/>
    <x v="28"/>
    <s v="#1774B9"/>
  </r>
  <r>
    <s v="0852"/>
    <n v="990"/>
    <s v="Agencia Información"/>
    <s v="Salud"/>
    <n v="13"/>
    <x v="25"/>
    <x v="15"/>
    <x v="1"/>
    <x v="13"/>
    <x v="11"/>
    <x v="32"/>
    <s v="Periodo 2012-2018"/>
    <s v="Número de Casos"/>
    <s v="Departamento de Estadísticas e Información de la Salud (DEIS) - Ministerio de Salud"/>
    <s v="Evolución de Población en el Programa de VIH/SIDA según Comuna en la Región Metropolitana, Periodo 2012-2018"/>
    <s v="En la región Metropolitana, el año 2012, la comuna de Santiago registra 2.736 pacientes en el programa en el programa VIH/SIDA y la  comuna de providencia 2.724. El año 2018, estas cifras aumentan, registrando 7007 pacientes en la comuna de Santiago y 3.546 en la comuna de providencia."/>
    <s v="Gráfico de Evolución"/>
    <s v="Región Metropolitana,VIH,SIDA,enfermedad,transmisión,sexual,casos,población,control,programa,servicio de salud,servicio nacional,comuna,comunal,Agencia Información,Salud,Programa de VIH/SIDA,Programas de Salud"/>
    <s v="https://analytics.zoho.com/open-view/2395394000008389806?ZOHO_CRITERIA=%22Localiza%20CL%22.%22Codreg%22%20%3D%2013"/>
    <x v="29"/>
    <s v="#1774B9"/>
  </r>
  <r>
    <s v="0853"/>
    <n v="990"/>
    <s v="Agencia Información"/>
    <s v="Salud"/>
    <n v="14"/>
    <x v="25"/>
    <x v="15"/>
    <x v="1"/>
    <x v="14"/>
    <x v="11"/>
    <x v="32"/>
    <s v="Periodo 2012-2018"/>
    <s v="Número de Casos"/>
    <s v="Departamento de Estadísticas e Información de la Salud (DEIS) - Ministerio de Salud"/>
    <s v="Evolución de Población en el Programa de VIH/SIDA según Comuna en la Región de Los Ríos, Periodo 2012-2018"/>
    <s v="En la región de Los Ríos, el año 2012 la comuna de Valdivia registra 275 pacientes en el programa VIH/SIDA. El año 2018 esta cifra aumenta registrando 521 pacientes."/>
    <s v="Gráfico de Evolución"/>
    <s v="Región de Los Ríos,VIH,SIDA,enfermedad,transmisión,sexual,casos,población,control,programa,servicio de salud,servicio nacional,comuna,comunal,Agencia Información,Salud,Programa de VIH/SIDA,Programas de Salud"/>
    <s v="https://analytics.zoho.com/open-view/2395394000008389806?ZOHO_CRITERIA=%22Localiza%20CL%22.%22Codreg%22%20%3D%2014"/>
    <x v="30"/>
    <s v="#1774B9"/>
  </r>
  <r>
    <s v="0854"/>
    <n v="990"/>
    <s v="Agencia Información"/>
    <s v="Salud"/>
    <n v="15"/>
    <x v="25"/>
    <x v="15"/>
    <x v="1"/>
    <x v="15"/>
    <x v="11"/>
    <x v="32"/>
    <s v="Periodo 2012-2018"/>
    <s v="Número de Casos"/>
    <s v="Departamento de Estadísticas e Información de la Salud (DEIS) - Ministerio de Salud"/>
    <s v="Evolución de Población en el Programa de VIH/SIDA según Comuna en la Región de Arica y Parinacota, Periodo 2012-2018"/>
    <s v="En la región de Arica y Parinacota, el año 2012 la comuna de Arica registra 508 pacientes en el programa VIH/SIDA. El año 2018 esta cifra aumenta registrando 943 pacientes."/>
    <s v="Gráfico de Evolución"/>
    <s v="Región de Arica y Parinacota,VIH,SIDA,enfermedad,transmisión,sexual,casos,población,control,programa,servicio de salud,servicio nacional,comuna,comunal,Agencia Información,Salud,Programa de VIH/SIDA,Programas de Salud"/>
    <s v="https://analytics.zoho.com/open-view/2395394000008389806?ZOHO_CRITERIA=%22Localiza%20CL%22.%22Codreg%22%20%3D%2015"/>
    <x v="31"/>
    <s v="#1774B9"/>
  </r>
  <r>
    <s v="0855"/>
    <n v="990"/>
    <s v="Agencia Información"/>
    <s v="Salud"/>
    <n v="16"/>
    <x v="25"/>
    <x v="15"/>
    <x v="1"/>
    <x v="16"/>
    <x v="11"/>
    <x v="32"/>
    <s v="Periodo 2012-2018"/>
    <s v="Número de Casos"/>
    <s v="Departamento de Estadísticas e Información de la Salud (DEIS) - Ministerio de Salud"/>
    <s v="Evolución de Población en el Programa de VIH/SIDA según Comuna en la Región de Ñuble, Periodo 2012-2018"/>
    <s v="En la región de Ñuble, el año 2012 la comuna de Chillán registra 166 pacientes en el programa VIH/SIDA. El año 2018 esta cifra aumenta registrando 371 pacientes."/>
    <s v="Gráfico de Evolución"/>
    <s v="Región de Ñuble,VIH,SIDA,enfermedad,transmisión,sexual,casos,población,control,programa,servicio de salud,servicio nacional,comuna,comunal,Agencia Información,Salud,Programa de VIH/SIDA,Programas de Salud"/>
    <s v="https://analytics.zoho.com/open-view/2395394000008389806?ZOHO_CRITERIA=%22Localiza%20CL%22.%22Codreg%22%20%3D%2016"/>
    <x v="32"/>
    <s v="#1774B9"/>
  </r>
  <r>
    <s v="0856"/>
    <n v="990"/>
    <s v="Agencia Información"/>
    <s v="Salud"/>
    <n v="0"/>
    <x v="25"/>
    <x v="15"/>
    <x v="0"/>
    <x v="0"/>
    <x v="0"/>
    <x v="32"/>
    <s v="Periodo 2012-2018"/>
    <s v="Personas"/>
    <s v="Departamento de Estadísticas e Información de la Salud (DEIS) - Ministerio de Salud"/>
    <s v="Evolución de Población en Control en el Programa de VIH/SIDA según Región en Chile, Periodo 2012-2018"/>
    <s v="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
    <s v="Gráfico de Evolución"/>
    <s v="Chile,VIH,SIDA,enfermedad,transmisión,sexual,casos,personas,población,control,programa,región,regional,Agencia Información,Salud,Programa de VIH/SIDA,Programas de Salud"/>
    <s v="https://analytics.zoho.com/open-view/2395394000008049248"/>
    <x v="0"/>
    <s v="#1774B9"/>
  </r>
  <r>
    <s v="0857"/>
    <n v="990"/>
    <s v="Agencia Información"/>
    <s v="Salud"/>
    <n v="1"/>
    <x v="25"/>
    <x v="15"/>
    <x v="1"/>
    <x v="1"/>
    <x v="1"/>
    <x v="32"/>
    <s v="Periodo 2012-2018"/>
    <s v="Personas"/>
    <s v="Departamento de Estadísticas e Información de la Salud (DEIS) - Ministerio de Salud"/>
    <s v="Evolución de Población en Control en el Programa de VIH/SIDA en la Región de Tarapacá, Periodo 2012-2018"/>
    <s v="La región de Tarapacá, registró 373 pacientes  en el programa de VIH/SIDA, el año 2012. El año 2018 esta cifra aumenta registrando 712 pacientes. "/>
    <s v="Gráfico de Evolución"/>
    <s v="Región de Tarapacá,VIH,SIDA,enfermedad,transmisión,sexual,casos,personas,población,control,programa,región,regional,Agencia Información,Salud,Programa de VIH/SIDA,Programas de Salud"/>
    <s v="https://analytics.zoho.com/open-view/2395394000008049248?ZOHO_CRITERIA=%22Localiza%20CL%22.%22Codreg%22%20%3D%201"/>
    <x v="1"/>
    <s v="#1774B9"/>
  </r>
  <r>
    <s v="0858"/>
    <n v="990"/>
    <s v="Agencia Información"/>
    <s v="Salud"/>
    <n v="2"/>
    <x v="25"/>
    <x v="15"/>
    <x v="1"/>
    <x v="2"/>
    <x v="1"/>
    <x v="32"/>
    <s v="Periodo 2012-2018"/>
    <s v="Personas"/>
    <s v="Departamento de Estadísticas e Información de la Salud (DEIS) - Ministerio de Salud"/>
    <s v="Evolución de Población en Control en el Programa de VIH/SIDA en la Región de Antofagasta, Periodo 2012-2018"/>
    <s v="La región de Antofagasta, registró 581 pacientes  en el programa de VIH/SIDA, el año 2012. El año 2018 esta cifra aumenta registrando 1.208 pacientes. "/>
    <s v="Gráfico de Evolución"/>
    <s v="Región de Antofagasta,VIH,SIDA,enfermedad,transmisión,sexual,casos,personas,población,control,programa,región,regional,Agencia Información,Salud,Programa de VIH/SIDA,Programas de Salud"/>
    <s v="https://analytics.zoho.com/open-view/2395394000008049248?ZOHO_CRITERIA=%22Localiza%20CL%22.%22Codreg%22%20%3D%202"/>
    <x v="2"/>
    <s v="#1774B9"/>
  </r>
  <r>
    <s v="0859"/>
    <n v="990"/>
    <s v="Agencia Información"/>
    <s v="Salud"/>
    <n v="3"/>
    <x v="25"/>
    <x v="15"/>
    <x v="1"/>
    <x v="3"/>
    <x v="1"/>
    <x v="32"/>
    <s v="Periodo 2012-2018"/>
    <s v="Personas"/>
    <s v="Departamento de Estadísticas e Información de la Salud (DEIS) - Ministerio de Salud"/>
    <s v="Evolución de Población en Control en el Programa de VIH/SIDA en la Región de Atacama, Periodo 2012-2018"/>
    <s v="La región de Atacama, registró 251 pacientes  en el programa de VIH/SIDA, el año 2012. El año 2018 esta cifra aumenta registrando 491 pacientes. "/>
    <s v="Gráfico de Evolución"/>
    <s v="Región de Atacama,VIH,SIDA,enfermedad,transmisión,sexual,casos,personas,población,control,programa,región,regional,Agencia Información,Salud,Programa de VIH/SIDA,Programas de Salud"/>
    <s v="https://analytics.zoho.com/open-view/2395394000008049248?ZOHO_CRITERIA=%22Localiza%20CL%22.%22Codreg%22%20%3D%203"/>
    <x v="3"/>
    <s v="#1774B9"/>
  </r>
  <r>
    <s v="0860"/>
    <n v="990"/>
    <s v="Agencia Información"/>
    <s v="Salud"/>
    <n v="4"/>
    <x v="25"/>
    <x v="15"/>
    <x v="1"/>
    <x v="4"/>
    <x v="1"/>
    <x v="32"/>
    <s v="Periodo 2012-2018"/>
    <s v="Personas"/>
    <s v="Departamento de Estadísticas e Información de la Salud (DEIS) - Ministerio de Salud"/>
    <s v="Evolución de Población en Control en el Programa de VIH/SIDA en la Región de Coquimbo, Periodo 2012-2018"/>
    <s v="La región de Coquimbo, registró 701 pacientes  en el programa de VIH/SIDA, el año 2012. El año 2018 esta cifra aumenta registrando 1.507 pacientes. "/>
    <s v="Gráfico de Evolución"/>
    <s v="Región de Coquimbo,VIH,SIDA,enfermedad,transmisión,sexual,casos,personas,población,control,programa,región,regional,Agencia Información,Salud,Programa de VIH/SIDA,Programas de Salud"/>
    <s v="https://analytics.zoho.com/open-view/2395394000008049248?ZOHO_CRITERIA=%22Localiza%20CL%22.%22Codreg%22%20%3D%204"/>
    <x v="4"/>
    <s v="#1774B9"/>
  </r>
  <r>
    <s v="0861"/>
    <n v="990"/>
    <s v="Agencia Información"/>
    <s v="Salud"/>
    <n v="5"/>
    <x v="25"/>
    <x v="15"/>
    <x v="1"/>
    <x v="5"/>
    <x v="1"/>
    <x v="32"/>
    <s v="Periodo 2012-2018"/>
    <s v="Personas"/>
    <s v="Departamento de Estadísticas e Información de la Salud (DEIS) - Ministerio de Salud"/>
    <s v="Evolución de Población en Control en el Programa de VIH/SIDA en la Región de Valparaíso, Periodo 2012-2018"/>
    <s v="La región de Valparaíso, registró 2.859 pacientes  en el programa de VIH/SIDA, el año 2012. El año 2018 esta cifra aumenta registrando 3.337 pacientes. "/>
    <s v="Gráfico de Evolución"/>
    <s v="Región de Valparaíso,VIH,SIDA,enfermedad,transmisión,sexual,casos,personas,población,control,programa,región,regional,Agencia Información,Salud,Programa de VIH/SIDA,Programas de Salud"/>
    <s v="https://analytics.zoho.com/open-view/2395394000008049248?ZOHO_CRITERIA=%22Localiza%20CL%22.%22Codreg%22%20%3D%205"/>
    <x v="5"/>
    <s v="#1774B9"/>
  </r>
  <r>
    <s v="0862"/>
    <n v="990"/>
    <s v="Agencia Información"/>
    <s v="Salud"/>
    <n v="6"/>
    <x v="25"/>
    <x v="15"/>
    <x v="1"/>
    <x v="6"/>
    <x v="1"/>
    <x v="32"/>
    <s v="Periodo 2012-2018"/>
    <s v="Personas"/>
    <s v="Departamento de Estadísticas e Información de la Salud (DEIS) - Ministerio de Salud"/>
    <s v="Evolución de Población en Control en el Programa de VIH/SIDA en la Región de O'Higgins, Periodo 2012-2018"/>
    <s v="La región de O'Higgins, registró 436 pacientes  en el programa de VIH/SIDA, el año 2012. El año 2018 esta cifra aumenta registrando 1.076 pacientes. "/>
    <s v="Gráfico de Evolución"/>
    <s v="Región de O'Higgins,VIH,SIDA,enfermedad,transmisión,sexual,casos,personas,población,control,programa,región,regional,Agencia Información,Salud,Programa de VIH/SIDA,Programas de Salud"/>
    <s v="https://analytics.zoho.com/open-view/2395394000008049248?ZOHO_CRITERIA=%22Localiza%20CL%22.%22Codreg%22%20%3D%206"/>
    <x v="6"/>
    <s v="#1774B9"/>
  </r>
  <r>
    <s v="0863"/>
    <n v="990"/>
    <s v="Agencia Información"/>
    <s v="Salud"/>
    <n v="7"/>
    <x v="25"/>
    <x v="15"/>
    <x v="1"/>
    <x v="7"/>
    <x v="1"/>
    <x v="32"/>
    <s v="Periodo 2012-2018"/>
    <s v="Personas"/>
    <s v="Departamento de Estadísticas e Información de la Salud (DEIS) - Ministerio de Salud"/>
    <s v="Evolución de Población en Control en el Programa de VIH/SIDA en la Región de Maule, Periodo 2012-2018"/>
    <s v="La región de Maule, registró 505 pacientes  en el programa de VIH/SIDA, el año 2012. El año 2018 esta cifra aumenta registrando 1.202 pacientes. "/>
    <s v="Gráfico de Evolución"/>
    <s v="Región de Maule,VIH,SIDA,enfermedad,transmisión,sexual,casos,personas,población,control,programa,región,regional,Agencia Información,Salud,Programa de VIH/SIDA,Programas de Salud"/>
    <s v="https://analytics.zoho.com/open-view/2395394000008049248?ZOHO_CRITERIA=%22Localiza%20CL%22.%22Codreg%22%20%3D%207"/>
    <x v="7"/>
    <s v="#1774B9"/>
  </r>
  <r>
    <s v="0864"/>
    <n v="990"/>
    <s v="Agencia Información"/>
    <s v="Salud"/>
    <n v="8"/>
    <x v="25"/>
    <x v="15"/>
    <x v="1"/>
    <x v="8"/>
    <x v="1"/>
    <x v="32"/>
    <s v="Periodo 2012-2018"/>
    <s v="Personas"/>
    <s v="Departamento de Estadísticas e Información de la Salud (DEIS) - Ministerio de Salud"/>
    <s v="Evolución de Población en Control en el Programa de VIH/SIDA en la Región del Biobío, Periodo 2012-2018"/>
    <s v="La región del Biobío, registró 976 pacientes  en el programa de VIH/SIDA, el año 2012. El año 2018 esta cifra aumenta registrando 2.276 pacientes. "/>
    <s v="Gráfico de Evolución"/>
    <s v="Región del Biobío,VIH,SIDA,enfermedad,transmisión,sexual,casos,personas,población,control,programa,región,regional,Agencia Información,Salud,Programa de VIH/SIDA,Programas de Salud"/>
    <s v="https://analytics.zoho.com/open-view/2395394000008049248?ZOHO_CRITERIA=%22Localiza%20CL%22.%22Codreg%22%20%3D%208"/>
    <x v="8"/>
    <s v="#1774B9"/>
  </r>
  <r>
    <s v="0865"/>
    <n v="990"/>
    <s v="Agencia Información"/>
    <s v="Salud"/>
    <n v="9"/>
    <x v="25"/>
    <x v="15"/>
    <x v="1"/>
    <x v="9"/>
    <x v="1"/>
    <x v="32"/>
    <s v="Periodo 2012-2018"/>
    <s v="Personas"/>
    <s v="Departamento de Estadísticas e Información de la Salud (DEIS) - Ministerio de Salud"/>
    <s v="Evolución de Población en Control en el Programa de VIH/SIDA en la Región de La Araucanía, Periodo 2012-2018"/>
    <s v="La región de La Araucanía, registró 578 pacientes  en el programa de VIH/SIDA, el año 2012. El año 2018 esta cifra aumenta registrando 1.112 pacientes. "/>
    <s v="Gráfico de Evolución"/>
    <s v="Región de La Araucanía,VIH,SIDA,enfermedad,transmisión,sexual,casos,personas,población,control,programa,región,regional,Agencia Información,Salud,Programa de VIH/SIDA,Programas de Salud"/>
    <s v="https://analytics.zoho.com/open-view/2395394000008049248?ZOHO_CRITERIA=%22Localiza%20CL%22.%22Codreg%22%20%3D%209"/>
    <x v="9"/>
    <s v="#1774B9"/>
  </r>
  <r>
    <s v="0866"/>
    <n v="990"/>
    <s v="Agencia Información"/>
    <s v="Salud"/>
    <n v="10"/>
    <x v="25"/>
    <x v="15"/>
    <x v="1"/>
    <x v="10"/>
    <x v="1"/>
    <x v="32"/>
    <s v="Periodo 2012-2018"/>
    <s v="Personas"/>
    <s v="Departamento de Estadísticas e Información de la Salud (DEIS) - Ministerio de Salud"/>
    <s v="Evolución de Población en Control en el Programa de VIH/SIDA en la Región de Los Lagos, Periodo 2012-2018"/>
    <s v="La región de Los Lagos, registró 679 pacientes  en el programa de VIH/SIDA, el año 2012. El año 2018 esta cifra aumenta registrando 1.540 pacientes. "/>
    <s v="Gráfico de Evolución"/>
    <s v="Región de Los Lagos,VIH,SIDA,enfermedad,transmisión,sexual,casos,personas,población,control,programa,región,regional,Agencia Información,Salud,Programa de VIH/SIDA,Programas de Salud"/>
    <s v="https://analytics.zoho.com/open-view/2395394000008049248?ZOHO_CRITERIA=%22Localiza%20CL%22.%22Codreg%22%20%3D%2010"/>
    <x v="10"/>
    <s v="#1774B9"/>
  </r>
  <r>
    <s v="0867"/>
    <n v="990"/>
    <s v="Agencia Información"/>
    <s v="Salud"/>
    <n v="11"/>
    <x v="25"/>
    <x v="15"/>
    <x v="1"/>
    <x v="11"/>
    <x v="1"/>
    <x v="32"/>
    <s v="Periodo 2012-2018"/>
    <s v="Personas"/>
    <s v="Departamento de Estadísticas e Información de la Salud (DEIS) - Ministerio de Salud"/>
    <s v="Evolución de Población en Control en el Programa de VIH/SIDA en la Región de Aysén, Periodo 2012-2018"/>
    <s v="La región de Aysén, registró 8 pacientes  en el programa de VIH/SIDA, el año 2012. El año 2018 esta cifra aumenta registrando 115 pacientes. "/>
    <s v="Gráfico de Evolución"/>
    <s v="Región de Aysén,VIH,SIDA,enfermedad,transmisión,sexual,casos,personas,población,control,programa,región,regional,Agencia Información,Salud,Programa de VIH/SIDA,Programas de Salud"/>
    <s v="https://analytics.zoho.com/open-view/2395394000008049248?ZOHO_CRITERIA=%22Localiza%20CL%22.%22Codreg%22%20%3D%2011"/>
    <x v="11"/>
    <s v="#1774B9"/>
  </r>
  <r>
    <s v="0868"/>
    <n v="990"/>
    <s v="Agencia Información"/>
    <s v="Salud"/>
    <n v="12"/>
    <x v="25"/>
    <x v="15"/>
    <x v="1"/>
    <x v="12"/>
    <x v="1"/>
    <x v="32"/>
    <s v="Periodo 2012-2018"/>
    <s v="Personas"/>
    <s v="Departamento de Estadísticas e Información de la Salud (DEIS) - Ministerio de Salud"/>
    <s v="Evolución de Población en Control en el Programa de VIH/SIDA en la Región de Magallanes, Periodo 2012-2018"/>
    <s v="La región de Magallanes, registró 145 pacientes  en el programa de VIH/SIDA, el año 2012. El año 2018 esta cifra disminuye registrando 36 pacientes. "/>
    <s v="Gráfico de Evolución"/>
    <s v="Región de Magallanes,VIH,SIDA,enfermedad,transmisión,sexual,casos,personas,población,control,programa,región,regional,Agencia Información,Salud,Programa de VIH/SIDA,Programas de Salud"/>
    <s v="https://analytics.zoho.com/open-view/2395394000008049248?ZOHO_CRITERIA=%22Localiza%20CL%22.%22Codreg%22%20%3D%2012"/>
    <x v="12"/>
    <s v="#1774B9"/>
  </r>
  <r>
    <s v="0869"/>
    <n v="990"/>
    <s v="Agencia Información"/>
    <s v="Salud"/>
    <n v="13"/>
    <x v="25"/>
    <x v="15"/>
    <x v="1"/>
    <x v="13"/>
    <x v="1"/>
    <x v="32"/>
    <s v="Periodo 2012-2018"/>
    <s v="Personas"/>
    <s v="Departamento de Estadísticas e Información de la Salud (DEIS) - Ministerio de Salud"/>
    <s v="Evolución de Población en Control en el Programa de VIH/SIDA en la Región Metropolitana, Periodo 2012-2018"/>
    <s v="La región Metropolitana, registró 9.174 pacientes  en el programa de VIH/SIDA, el año 2012. El año 2018 esta cifra aumenta registrando 19.261 pacientes. "/>
    <s v="Gráfico de Evolución"/>
    <s v="Región Metropolitana,VIH,SIDA,enfermedad,transmisión,sexual,casos,personas,población,control,programa,región,regional,Agencia Información,Salud,Programa de VIH/SIDA,Programas de Salud"/>
    <s v="https://analytics.zoho.com/open-view/2395394000008049248?ZOHO_CRITERIA=%22Localiza%20CL%22.%22Codreg%22%20%3D%2013"/>
    <x v="13"/>
    <s v="#1774B9"/>
  </r>
  <r>
    <s v="0870"/>
    <n v="990"/>
    <s v="Agencia Información"/>
    <s v="Salud"/>
    <n v="14"/>
    <x v="25"/>
    <x v="15"/>
    <x v="1"/>
    <x v="14"/>
    <x v="1"/>
    <x v="32"/>
    <s v="Periodo 2012-2018"/>
    <s v="Personas"/>
    <s v="Departamento de Estadísticas e Información de la Salud (DEIS) - Ministerio de Salud"/>
    <s v="Evolución de Población en Control en el Programa de VIH/SIDA en la Región de Los Ríos, Periodo 2012-2018"/>
    <s v="La región de Los Ríos, registró 275 pacientes  en el programa de VIH/SIDA, el año 2012. El año 2018 esta cifra aumenta registrando 521 pacientes. "/>
    <s v="Gráfico de Evolución"/>
    <s v="Región de Los Ríos,VIH,SIDA,enfermedad,transmisión,sexual,casos,personas,población,control,programa,región,regional,Agencia Información,Salud,Programa de VIH/SIDA,Programas de Salud"/>
    <s v="https://analytics.zoho.com/open-view/2395394000008049248?ZOHO_CRITERIA=%22Localiza%20CL%22.%22Codreg%22%20%3D%2014"/>
    <x v="14"/>
    <s v="#1774B9"/>
  </r>
  <r>
    <s v="0871"/>
    <n v="990"/>
    <s v="Agencia Información"/>
    <s v="Salud"/>
    <n v="15"/>
    <x v="25"/>
    <x v="15"/>
    <x v="1"/>
    <x v="15"/>
    <x v="1"/>
    <x v="32"/>
    <s v="Periodo 2012-2018"/>
    <s v="Personas"/>
    <s v="Departamento de Estadísticas e Información de la Salud (DEIS) - Ministerio de Salud"/>
    <s v="Evolución de Población en Control en el Programa de VIH/SIDA en la Región de Arica y Parinacota, Periodo 2012-2018"/>
    <s v="La región de Arica y Parinacota, registró 508 pacientes  en el programa de VIH/SIDA, el año 2012. El año 2018 esta cifra aumenta registrando 943 pacientes. "/>
    <s v="Gráfico de Evolución"/>
    <s v="Región de Arica y Parinacota,VIH,SIDA,enfermedad,transmisión,sexual,casos,personas,población,control,programa,región,regional,Agencia Información,Salud,Programa de VIH/SIDA,Programas de Salud"/>
    <s v="https://analytics.zoho.com/open-view/2395394000008049248?ZOHO_CRITERIA=%22Localiza%20CL%22.%22Codreg%22%20%3D%2015"/>
    <x v="15"/>
    <s v="#1774B9"/>
  </r>
  <r>
    <s v="0872"/>
    <n v="990"/>
    <s v="Agencia Información"/>
    <s v="Salud"/>
    <n v="16"/>
    <x v="25"/>
    <x v="15"/>
    <x v="1"/>
    <x v="16"/>
    <x v="1"/>
    <x v="32"/>
    <s v="Periodo 2012-2018"/>
    <s v="Personas"/>
    <s v="Departamento de Estadísticas e Información de la Salud (DEIS) - Ministerio de Salud"/>
    <s v="Evolución de Población en Control en el Programa de VIH/SIDA en la Región de Ñuble, Periodo 2012-2018"/>
    <s v="La región de Ñuble, registró 166 pacientes  en el programa de VIH/SIDA, el año 2012. El año 2018 esta cifra aumenta registrando 371 pacientes. "/>
    <s v="Gráfico de Evolución"/>
    <s v="Región de Ñuble,VIH,SIDA,enfermedad,transmisión,sexual,casos,personas,población,control,programa,región,regional,Agencia Información,Salud,Programa de VIH/SIDA,Programas de Salud"/>
    <s v="https://analytics.zoho.com/open-view/2395394000008049248?ZOHO_CRITERIA=%22Localiza%20CL%22.%22Codreg%22%20%3D%2016"/>
    <x v="16"/>
    <s v="#1774B9"/>
  </r>
  <r>
    <s v="0873"/>
    <n v="990"/>
    <s v="Agencia Información"/>
    <s v="Salud"/>
    <n v="0"/>
    <x v="25"/>
    <x v="15"/>
    <x v="0"/>
    <x v="0"/>
    <x v="0"/>
    <x v="32"/>
    <s v="Periodo 2012-2018"/>
    <s v="Personas"/>
    <s v="Departamento de Estadísticas e Información de la Salud (DEIS) - Ministerio de Salud"/>
    <s v="Evolución de Población en Control en el Programa de VIH/SIDA según Rango Etario en Chile, Periodo 2012-2018"/>
    <s v="La Población en el Programa VIH/SIDA ha ido en aumento, registrando el año 2018 más de 35 mil casos. En todo el periodo 2012-2018, el rango etario de 25-64 año registra la mayor cantidad de casos acumulados, con aproximadamente 80%. Por otro lado, el rango etario &quot;menos de un año - 1 año&quot; registra la menor cantidad de casos, con un 0,1%, que corresponde a 87 pacientes. "/>
    <s v="Gráfico de Evolución"/>
    <s v="Chile,VIH,SIDA,enfermedad,transmisión,sexual,casos,personas,población,programa,edad,rango etario,Agencia Información,Salud,Programa de VIH/SIDA,Programas de Salud"/>
    <s v="https://analytics.zoho.com/open-view/2395394000008049343"/>
    <x v="0"/>
    <s v="#1774B9"/>
  </r>
  <r>
    <s v="0874"/>
    <n v="990"/>
    <s v="Agencia Información"/>
    <s v="Salud"/>
    <n v="1"/>
    <x v="25"/>
    <x v="15"/>
    <x v="1"/>
    <x v="1"/>
    <x v="1"/>
    <x v="32"/>
    <s v="Periodo 2012-2018"/>
    <s v="Personas"/>
    <s v="Departamento de Estadísticas e Información de la Salud (DEIS) - Ministerio de Salud"/>
    <s v="Evolución de Población en Control en el Programa de VIH/SIDA según Rango Etario en la Región de Tarapacá, Periodo 2012-2018"/>
    <s v="En la región de Tarapacá,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Tarapacá,VIH,SIDA,enfermedad,transmisión,sexual,casos,personas,población,programa,edad,rango etario,Agencia Información,Salud,Programa de VIH/SIDA,Programas de Salud"/>
    <s v="https://analytics.zoho.com/open-view/2395394000008463151?ZOHO_CRITERIA=%22Localiza%20CL%22.%22Codreg%22%20%3D%201"/>
    <x v="1"/>
    <s v="#1774B9"/>
  </r>
  <r>
    <s v="0875"/>
    <n v="990"/>
    <s v="Agencia Información"/>
    <s v="Salud"/>
    <n v="2"/>
    <x v="25"/>
    <x v="15"/>
    <x v="1"/>
    <x v="2"/>
    <x v="1"/>
    <x v="32"/>
    <s v="Periodo 2012-2018"/>
    <s v="Personas"/>
    <s v="Departamento de Estadísticas e Información de la Salud (DEIS) - Ministerio de Salud"/>
    <s v="Evolución de Población en Control en el Programa de VIH/SIDA según Rango Etario en la Región de Antofagasta, Periodo 2012-2018"/>
    <s v="En la región de Antofagas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ntofagasta,VIH,SIDA,enfermedad,transmisión,sexual,casos,personas,población,programa,edad,rango etario,Agencia Información,Salud,Programa de VIH/SIDA,Programas de Salud"/>
    <s v="https://analytics.zoho.com/open-view/2395394000008463151?ZOHO_CRITERIA=%22Localiza%20CL%22.%22Codreg%22%20%3D%202"/>
    <x v="2"/>
    <s v="#1774B9"/>
  </r>
  <r>
    <s v="0876"/>
    <n v="990"/>
    <s v="Agencia Información"/>
    <s v="Salud"/>
    <n v="3"/>
    <x v="25"/>
    <x v="15"/>
    <x v="1"/>
    <x v="3"/>
    <x v="1"/>
    <x v="32"/>
    <s v="Periodo 2012-2018"/>
    <s v="Personas"/>
    <s v="Departamento de Estadísticas e Información de la Salud (DEIS) - Ministerio de Salud"/>
    <s v="Evolución de Población en Control en el Programa de VIH/SIDA según Rango Etario en la Región de Atacama, Periodo 2012-2018"/>
    <s v="En la región de Atacam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tacama,VIH,SIDA,enfermedad,transmisión,sexual,casos,personas,población,programa,edad,rango etario,Agencia Información,Salud,Programa de VIH/SIDA,Programas de Salud"/>
    <s v="https://analytics.zoho.com/open-view/2395394000008463151?ZOHO_CRITERIA=%22Localiza%20CL%22.%22Codreg%22%20%3D%203"/>
    <x v="3"/>
    <s v="#1774B9"/>
  </r>
  <r>
    <s v="0877"/>
    <n v="990"/>
    <s v="Agencia Información"/>
    <s v="Salud"/>
    <n v="4"/>
    <x v="25"/>
    <x v="15"/>
    <x v="1"/>
    <x v="4"/>
    <x v="1"/>
    <x v="32"/>
    <s v="Periodo 2012-2018"/>
    <s v="Personas"/>
    <s v="Departamento de Estadísticas e Información de la Salud (DEIS) - Ministerio de Salud"/>
    <s v="Evolución de Población en Control en el Programa de VIH/SIDA según Rango Etario en la Región de Coquimbo, Periodo 2012-2018"/>
    <s v="En la región de Coquimbo, durante el periodo 2012-2018, el rango etario de 25-64 años registra la mayor cantidad de pacientes en el Programa de VIH/SIDA, mientras que los rangos etarios de “menos de un año - 1 año” y de 2 - 9 años registran la menor cantidad de casos."/>
    <s v="Gráfico de Evolución"/>
    <s v="Región de Coquimbo,VIH,SIDA,enfermedad,transmisión,sexual,casos,personas,población,programa,edad,rango etario,Agencia Información,Salud,Programa de VIH/SIDA,Programas de Salud"/>
    <s v="https://analytics.zoho.com/open-view/2395394000008463151?ZOHO_CRITERIA=%22Localiza%20CL%22.%22Codreg%22%20%3D%204"/>
    <x v="4"/>
    <s v="#1774B9"/>
  </r>
  <r>
    <s v="0878"/>
    <n v="990"/>
    <s v="Agencia Información"/>
    <s v="Salud"/>
    <n v="5"/>
    <x v="25"/>
    <x v="15"/>
    <x v="1"/>
    <x v="5"/>
    <x v="1"/>
    <x v="32"/>
    <s v="Periodo 2012-2018"/>
    <s v="Personas"/>
    <s v="Departamento de Estadísticas e Información de la Salud (DEIS) - Ministerio de Salud"/>
    <s v="Evolución de Población en Control en el Programa de VIH/SIDA según Rango Etario en la Región de Valparaíso, Periodo 2012-2018"/>
    <s v="En la región de Valparaíso, durante el periodo 2012-2018, el rango etario de 25-64 años registra la mayor cantidad de pacientes en el Programa de VIH/SIDA, mientras que los rangos etarios de “menos de un año - 1 año” y de 2 - 9 años registran la menor cantidad de casos."/>
    <s v="Gráfico de Evolución"/>
    <s v="Región de Valparaíso,VIH,SIDA,enfermedad,transmisión,sexual,casos,personas,población,programa,edad,rango etario,Agencia Información,Salud,Programa de VIH/SIDA,Programas de Salud"/>
    <s v="https://analytics.zoho.com/open-view/2395394000008463151?ZOHO_CRITERIA=%22Localiza%20CL%22.%22Codreg%22%20%3D%205"/>
    <x v="5"/>
    <s v="#1774B9"/>
  </r>
  <r>
    <s v="0879"/>
    <n v="990"/>
    <s v="Agencia Información"/>
    <s v="Salud"/>
    <n v="6"/>
    <x v="25"/>
    <x v="15"/>
    <x v="1"/>
    <x v="6"/>
    <x v="1"/>
    <x v="32"/>
    <s v="Periodo 2012-2018"/>
    <s v="Personas"/>
    <s v="Departamento de Estadísticas e Información de la Salud (DEIS) - Ministerio de Salud"/>
    <s v="Evolución de Población en Control en el Programa de VIH/SIDA según Rango Etario en la Región de O'Higgins, Periodo 2012-2018"/>
    <s v="En la región de O'Higgins, durante el periodo 2012-2018, el rango etario de 25-64 años registra la mayor cantidad de pacientes en el Programa de VIH/SIDA, mientras que los rangos etarios de “menos de un año - 1 año” y de 2 - 9 años registran la menor cantidad de casos."/>
    <s v="Gráfico de Evolución"/>
    <s v="Región de O'Higgins,VIH,SIDA,enfermedad,transmisión,sexual,casos,personas,población,programa,edad,rango etario,Agencia Información,Salud,Programa de VIH/SIDA,Programas de Salud"/>
    <s v="https://analytics.zoho.com/open-view/2395394000008463151?ZOHO_CRITERIA=%22Localiza%20CL%22.%22Codreg%22%20%3D%206"/>
    <x v="6"/>
    <s v="#1774B9"/>
  </r>
  <r>
    <s v="0880"/>
    <n v="990"/>
    <s v="Agencia Información"/>
    <s v="Salud"/>
    <n v="7"/>
    <x v="25"/>
    <x v="15"/>
    <x v="1"/>
    <x v="7"/>
    <x v="1"/>
    <x v="32"/>
    <s v="Periodo 2012-2018"/>
    <s v="Personas"/>
    <s v="Departamento de Estadísticas e Información de la Salud (DEIS) - Ministerio de Salud"/>
    <s v="Evolución de Población en Control en el Programa de VIH/SIDA según Rango Etario en la Región de Maule, Periodo 2012-2018"/>
    <s v="En la región de Maule,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ule,VIH,SIDA,enfermedad,transmisión,sexual,casos,personas,población,programa,edad,rango etario,Agencia Información,Salud,Programa de VIH/SIDA,Programas de Salud"/>
    <s v="https://analytics.zoho.com/open-view/2395394000008463151?ZOHO_CRITERIA=%22Localiza%20CL%22.%22Codreg%22%20%3D%207"/>
    <x v="7"/>
    <s v="#1774B9"/>
  </r>
  <r>
    <s v="0881"/>
    <n v="990"/>
    <s v="Agencia Información"/>
    <s v="Salud"/>
    <n v="8"/>
    <x v="25"/>
    <x v="15"/>
    <x v="1"/>
    <x v="8"/>
    <x v="1"/>
    <x v="32"/>
    <s v="Periodo 2012-2018"/>
    <s v="Personas"/>
    <s v="Departamento de Estadísticas e Información de la Salud (DEIS) - Ministerio de Salud"/>
    <s v="Evolución de Población en Control en el Programa de VIH/SIDA según Rango Etario en la Región del Biobío, Periodo 2012-2018"/>
    <s v="En la región del Biobío, durante el periodo 2012-2018, el rango etario de 25-64 años registra la mayor cantidad de pacientes en el Programa de VIH/SIDA, mientras que los rangos etarios de “menos de un año - 1 año” y de 10 - 14 años registran la menor cantidad de casos."/>
    <s v="Gráfico de Evolución"/>
    <s v="Región del Biobío,VIH,SIDA,enfermedad,transmisión,sexual,casos,personas,población,programa,edad,rango etario,Agencia Información,Salud,Programa de VIH/SIDA,Programas de Salud"/>
    <s v="https://analytics.zoho.com/open-view/2395394000008463151?ZOHO_CRITERIA=%22Localiza%20CL%22.%22Codreg%22%20%3D%208"/>
    <x v="8"/>
    <s v="#1774B9"/>
  </r>
  <r>
    <s v="0882"/>
    <n v="990"/>
    <s v="Agencia Información"/>
    <s v="Salud"/>
    <n v="9"/>
    <x v="25"/>
    <x v="15"/>
    <x v="1"/>
    <x v="9"/>
    <x v="1"/>
    <x v="32"/>
    <s v="Periodo 2012-2018"/>
    <s v="Personas"/>
    <s v="Departamento de Estadísticas e Información de la Salud (DEIS) - Ministerio de Salud"/>
    <s v="Evolución de Población en Control en el Programa de VIH/SIDA según Rango Etario en la Región de La Araucanía, Periodo 2012-2018"/>
    <s v="En la región de La Araucaní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a Araucanía,VIH,SIDA,enfermedad,transmisión,sexual,casos,personas,población,programa,edad,rango etario,Agencia Información,Salud,Programa de VIH/SIDA,Programas de Salud"/>
    <s v="https://analytics.zoho.com/open-view/2395394000008463151?ZOHO_CRITERIA=%22Localiza%20CL%22.%22Codreg%22%20%3D%209"/>
    <x v="9"/>
    <s v="#1774B9"/>
  </r>
  <r>
    <s v="0883"/>
    <n v="990"/>
    <s v="Agencia Información"/>
    <s v="Salud"/>
    <n v="10"/>
    <x v="25"/>
    <x v="15"/>
    <x v="1"/>
    <x v="10"/>
    <x v="1"/>
    <x v="32"/>
    <s v="Periodo 2012-2018"/>
    <s v="Personas"/>
    <s v="Departamento de Estadísticas e Información de la Salud (DEIS) - Ministerio de Salud"/>
    <s v="Evolución de Población en Control en el Programa de VIH/SIDA según Rango Etario en la Región de Los Lagos, Periodo 2012-2018"/>
    <s v="En la región de Los Lagos, durante el periodo 2012-2018, el rango etario de 25-64 años registra la mayor cantidad de pacientes en el Programa de VIH/SIDA, mientras que los rangos etarios de “menos de un año - 1 año” y de 2 - 9 años registran la menor cantidad de casos."/>
    <s v="Gráfico de Evolución"/>
    <s v="Región de Los Lagos,VIH,SIDA,enfermedad,transmisión,sexual,casos,personas,población,programa,edad,rango etario,Agencia Información,Salud,Programa de VIH/SIDA,Programas de Salud"/>
    <s v="https://analytics.zoho.com/open-view/2395394000008463151?ZOHO_CRITERIA=%22Localiza%20CL%22.%22Codreg%22%20%3D%2010"/>
    <x v="10"/>
    <s v="#1774B9"/>
  </r>
  <r>
    <s v="0884"/>
    <n v="990"/>
    <s v="Agencia Información"/>
    <s v="Salud"/>
    <n v="11"/>
    <x v="25"/>
    <x v="15"/>
    <x v="1"/>
    <x v="11"/>
    <x v="1"/>
    <x v="32"/>
    <s v="Periodo 2012-2018"/>
    <s v="Personas"/>
    <s v="Departamento de Estadísticas e Información de la Salud (DEIS) - Ministerio de Salud"/>
    <s v="Evolución de Población en Control en el Programa de VIH/SIDA según Rango Etario en la Región de Aysén, Periodo 2012-2018"/>
    <s v="En la región de Aysén,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ysén,VIH,SIDA,enfermedad,transmisión,sexual,casos,personas,población,programa,edad,rango etario,Agencia Información,Salud,Programa de VIH/SIDA,Programas de Salud"/>
    <s v="https://analytics.zoho.com/open-view/2395394000008463151?ZOHO_CRITERIA=%22Localiza%20CL%22.%22Codreg%22%20%3D%2011"/>
    <x v="11"/>
    <s v="#1774B9"/>
  </r>
  <r>
    <s v="0885"/>
    <n v="990"/>
    <s v="Agencia Información"/>
    <s v="Salud"/>
    <n v="12"/>
    <x v="25"/>
    <x v="15"/>
    <x v="1"/>
    <x v="12"/>
    <x v="1"/>
    <x v="32"/>
    <s v="Periodo 2012-2018"/>
    <s v="Personas"/>
    <s v="Departamento de Estadísticas e Información de la Salud (DEIS) - Ministerio de Salud"/>
    <s v="Evolución de Población en Control en el Programa de VIH/SIDA según Rango Etario en la Región de Magallanes, Periodo 2012-2018"/>
    <s v="En la región de Magallanes,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gallanes,VIH,SIDA,enfermedad,transmisión,sexual,casos,personas,población,programa,edad,rango etario,Agencia Información,Salud,Programa de VIH/SIDA,Programas de Salud"/>
    <s v="https://analytics.zoho.com/open-view/2395394000008463151?ZOHO_CRITERIA=%22Localiza%20CL%22.%22Codreg%22%20%3D%2012"/>
    <x v="12"/>
    <s v="#1774B9"/>
  </r>
  <r>
    <s v="0886"/>
    <n v="990"/>
    <s v="Agencia Información"/>
    <s v="Salud"/>
    <n v="13"/>
    <x v="25"/>
    <x v="15"/>
    <x v="1"/>
    <x v="13"/>
    <x v="1"/>
    <x v="32"/>
    <s v="Periodo 2012-2018"/>
    <s v="Personas"/>
    <s v="Departamento de Estadísticas e Información de la Salud (DEIS) - Ministerio de Salud"/>
    <s v="Evolución de Población en Control en el Programa de VIH/SIDA según Rango Etario en la Región Metropolitana, Periodo 2012-2018"/>
    <s v="En la región Metropolitana, durante el periodo 2012-2018, el rango etario de 25-64 años registra la mayor cantidad de pacientes en el Programa de VIH/SIDA, mientras que los rangos etarios de “menos de un año - 1 año” y de 2 - 9 años registran la menor cantidad de casos."/>
    <s v="Gráfico de Evolución"/>
    <s v="Región Metropolitana,VIH,SIDA,enfermedad,transmisión,sexual,casos,personas,población,programa,edad,rango etario,Agencia Información,Salud,Programa de VIH/SIDA,Programas de Salud"/>
    <s v="https://analytics.zoho.com/open-view/2395394000008463151?ZOHO_CRITERIA=%22Localiza%20CL%22.%22Codreg%22%20%3D%2013"/>
    <x v="13"/>
    <s v="#1774B9"/>
  </r>
  <r>
    <s v="0887"/>
    <n v="990"/>
    <s v="Agencia Información"/>
    <s v="Salud"/>
    <n v="14"/>
    <x v="25"/>
    <x v="15"/>
    <x v="1"/>
    <x v="14"/>
    <x v="1"/>
    <x v="32"/>
    <s v="Periodo 2012-2018"/>
    <s v="Personas"/>
    <s v="Departamento de Estadísticas e Información de la Salud (DEIS) - Ministerio de Salud"/>
    <s v="Evolución de Población en Control en el Programa de VIH/SIDA según Rango Etario en la Región de Los Ríos, Periodo 2012-2018"/>
    <s v="En la región de Los Ríos,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os Ríos,VIH,SIDA,enfermedad,transmisión,sexual,casos,personas,población,programa,edad,rango etario,Agencia Información,Salud,Programa de VIH/SIDA,Programas de Salud"/>
    <s v="https://analytics.zoho.com/open-view/2395394000008463151?ZOHO_CRITERIA=%22Localiza%20CL%22.%22Codreg%22%20%3D%2014"/>
    <x v="14"/>
    <s v="#1774B9"/>
  </r>
  <r>
    <s v="0888"/>
    <n v="990"/>
    <s v="Agencia Información"/>
    <s v="Salud"/>
    <n v="15"/>
    <x v="25"/>
    <x v="15"/>
    <x v="1"/>
    <x v="15"/>
    <x v="1"/>
    <x v="32"/>
    <s v="Periodo 2012-2018"/>
    <s v="Personas"/>
    <s v="Departamento de Estadísticas e Información de la Salud (DEIS) - Ministerio de Salud"/>
    <s v="Evolución de Población en Control en el Programa de VIH/SIDA según Rango Etario en la Región de Arica y Parinacota, Periodo 2012-2018"/>
    <s v="En la región de Arica y Parinaco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rica y Parinacota,VIH,SIDA,enfermedad,transmisión,sexual,casos,personas,población,programa,edad,rango etario,Agencia Información,Salud,Programa de VIH/SIDA,Programas de Salud"/>
    <s v="https://analytics.zoho.com/open-view/2395394000008463151?ZOHO_CRITERIA=%22Localiza%20CL%22.%22Codreg%22%20%3D%2015"/>
    <x v="15"/>
    <s v="#1774B9"/>
  </r>
  <r>
    <s v="0889"/>
    <n v="990"/>
    <s v="Agencia Información"/>
    <s v="Salud"/>
    <n v="16"/>
    <x v="25"/>
    <x v="15"/>
    <x v="1"/>
    <x v="16"/>
    <x v="1"/>
    <x v="32"/>
    <s v="Periodo 2012-2018"/>
    <s v="Personas"/>
    <s v="Departamento de Estadísticas e Información de la Salud (DEIS) - Ministerio de Salud"/>
    <s v="Evolución de Población en Control en el Programa de VIH/SIDA según Rango Etario en la Región de Ñuble, Periodo 2012-2018"/>
    <s v="En la región de Ñuble,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Ñuble,VIH,SIDA,enfermedad,transmisión,sexual,casos,personas,población,programa,edad,rango etario,Agencia Información,Salud,Programa de VIH/SIDA,Programas de Salud"/>
    <s v="https://analytics.zoho.com/open-view/2395394000008463151?ZOHO_CRITERIA=%22Localiza%20CL%22.%22Codreg%22%20%3D%2016"/>
    <x v="16"/>
    <s v="#1774B9"/>
  </r>
  <r>
    <s v="0890"/>
    <n v="990"/>
    <s v="Agencia Información"/>
    <s v="Arte y cultura"/>
    <n v="0"/>
    <x v="52"/>
    <x v="9"/>
    <x v="0"/>
    <x v="0"/>
    <x v="0"/>
    <x v="13"/>
    <s v="Año 2021"/>
    <s v="Número de espacios culturales"/>
    <s v="Observatorio Cultural"/>
    <s v="Mapa de la Cantidad de Espacios Culturales por Comuna en Chile, Año 2021"/>
    <s v="Las comunas que tienen más de 50 espacios culturales son Santiago, Valparaíso y Providencia, con 104, 60 y 51 espacios, respectivamente."/>
    <s v="Mapa de calor"/>
    <s v="Chile,espacio,cultural,infraestructura,número,cantidad,Agencia Información,Arte y cultura,Espacios culturales,Cultura"/>
    <s v="https://analytics.zoho.com/open-view/2395394000008046482"/>
    <x v="17"/>
    <s v="#1774B9"/>
  </r>
  <r>
    <s v="0891"/>
    <n v="990"/>
    <s v="Agencia Información"/>
    <s v="Arte y cultura"/>
    <n v="1"/>
    <x v="52"/>
    <x v="9"/>
    <x v="1"/>
    <x v="1"/>
    <x v="1"/>
    <x v="13"/>
    <s v="Año 2021"/>
    <s v="Número de espacios culturales"/>
    <s v="Observatorio Cultural"/>
    <s v="Mapa de la Cantidad de Espacios Culturales por Comuna en la Región de Tarapacá, Año 2021"/>
    <s v="La comuna de la Región de Tarapacá con más espacios culturales es Iquique con 27 espacios, mientras que la que tiene menor cantidad es la comuna de Colchane con 3."/>
    <s v="Mapa de calor"/>
    <s v="Región de Tarapacá,espacio,cultural,infraestructura,número,cantidad,Agencia Información,Arte y cultura,Espacios culturales,Cultura"/>
    <s v="https://analytics.zoho.com/open-view/2395394000008464012?ZOHO_CRITERIA=%22Espacios_Culturales_Completo%201%22.%22C%C3%B3digo_Regi%C3%B3n%22%20%3D%201"/>
    <x v="18"/>
    <s v="#1774B9"/>
  </r>
  <r>
    <s v="0892"/>
    <n v="990"/>
    <s v="Agencia Información"/>
    <s v="Arte y cultura"/>
    <n v="2"/>
    <x v="52"/>
    <x v="9"/>
    <x v="1"/>
    <x v="2"/>
    <x v="1"/>
    <x v="13"/>
    <s v="Año 2021"/>
    <s v="Número de espacios culturales"/>
    <s v="Observatorio Cultural"/>
    <s v="Mapa de la Cantidad de Espacios Culturales por Comuna en la Región de Antofagasta, Año 2021"/>
    <s v="La comuna de Antofagasta presenta la mayor cantidad de espacios culturales en la Región de Antofagasta en el año 2021, contabilizando 22 espacios. "/>
    <s v="Mapa de calor"/>
    <s v="Región de Antofagasta,espacio,cultural,infraestructura,número,cantidad,Agencia Información,Arte y cultura,Espacios culturales,Cultura"/>
    <s v="https://analytics.zoho.com/open-view/2395394000008464012?ZOHO_CRITERIA=%22Espacios_Culturales_Completo%201%22.%22C%C3%B3digo_Regi%C3%B3n%22%20%3D%202"/>
    <x v="19"/>
    <s v="#1774B9"/>
  </r>
  <r>
    <s v="0893"/>
    <n v="990"/>
    <s v="Agencia Información"/>
    <s v="Arte y cultura"/>
    <n v="3"/>
    <x v="52"/>
    <x v="9"/>
    <x v="1"/>
    <x v="3"/>
    <x v="1"/>
    <x v="13"/>
    <s v="Año 2021"/>
    <s v="Número de espacios culturales"/>
    <s v="Observatorio Cultural"/>
    <s v="Mapa de la Cantidad de Espacios Culturales por Comuna en la Región de Atacama, Año 2021"/>
    <s v="La Región de Atacama cuenta con 51 espacios culturales, de los cuales 10 se encuentran en Copiapó, las comunas con menos cantidad son Huasco y Freirina con 4 y 2 respectivamente."/>
    <s v="Mapa de calor"/>
    <s v="Región de Atacama,espacio,cultural,infraestructura,número,cantidad,Agencia Información,Arte y cultura,Espacios culturales,Cultura"/>
    <s v="https://analytics.zoho.com/open-view/2395394000008464012?ZOHO_CRITERIA=%22Espacios_Culturales_Completo%201%22.%22C%C3%B3digo_Regi%C3%B3n%22%20%3D%203"/>
    <x v="20"/>
    <s v="#1774B9"/>
  </r>
  <r>
    <s v="0894"/>
    <n v="990"/>
    <s v="Agencia Información"/>
    <s v="Arte y cultura"/>
    <n v="4"/>
    <x v="52"/>
    <x v="9"/>
    <x v="1"/>
    <x v="4"/>
    <x v="1"/>
    <x v="13"/>
    <s v="Año 2021"/>
    <s v="Número de espacios culturales"/>
    <s v="Observatorio Cultural"/>
    <s v="Mapa de la Cantidad de Espacios Culturales por Comuna en la Región de Coquimbo, Año 2021"/>
    <s v="La Región de Coquimbo cuenta con 120 espacios culturales para el año 2021, destacando 3 comunas con la cantidad más alta, que son Coquimbo con 17, La Serena con 16 y Vicuña con 12 espacios."/>
    <s v="Mapa de calor"/>
    <s v="Región de Coquimbo,espacio,cultural,infraestructura,número,cantidad,Agencia Información,Arte y cultura,Espacios culturales,Cultura"/>
    <s v="https://analytics.zoho.com/open-view/2395394000008464012?ZOHO_CRITERIA=%22Espacios_Culturales_Completo%201%22.%22C%C3%B3digo_Regi%C3%B3n%22%20%3D%204"/>
    <x v="21"/>
    <s v="#1774B9"/>
  </r>
  <r>
    <s v="0895"/>
    <n v="990"/>
    <s v="Agencia Información"/>
    <s v="Arte y cultura"/>
    <n v="5"/>
    <x v="52"/>
    <x v="9"/>
    <x v="1"/>
    <x v="5"/>
    <x v="1"/>
    <x v="13"/>
    <s v="Año 2021"/>
    <s v="Número de espacios culturales"/>
    <s v="Observatorio Cultural"/>
    <s v="Mapa de la Cantidad de Espacios Culturales por Comuna en la Región de Valparaíso, Año 2021"/>
    <s v="La comuna de Valparaíso es la que presenta el mayor número de espacios culturales en la Región de Valparaíso, contabilizando 60 espacio el año 2021."/>
    <s v="Mapa de calor"/>
    <s v="Región de Valparaíso,espacio,cultural,infraestructura,número,cantidad,Agencia Información,Arte y cultura,Espacios culturales,Cultura"/>
    <s v="https://analytics.zoho.com/open-view/2395394000008464012?ZOHO_CRITERIA=%22Espacios_Culturales_Completo%201%22.%22C%C3%B3digo_Regi%C3%B3n%22%20%3D%205"/>
    <x v="22"/>
    <s v="#1774B9"/>
  </r>
  <r>
    <s v="0896"/>
    <n v="990"/>
    <s v="Agencia Información"/>
    <s v="Arte y cultura"/>
    <n v="6"/>
    <x v="52"/>
    <x v="9"/>
    <x v="1"/>
    <x v="6"/>
    <x v="1"/>
    <x v="13"/>
    <s v="Año 2021"/>
    <s v="Número de espacios culturales"/>
    <s v="Observatorio Cultural"/>
    <s v="Mapa de la Cantidad de Espacios Culturales por Comuna en la Región de O'Higgins, Año 2021"/>
    <s v="En la Región de O'Higgins, la comuna con la mayor cantidad de espacios culturales es Rancagua, con 20 espacios. Las comunas con menos cantidad son Codegua y Nancagua ambos con 2."/>
    <s v="Mapa de calor"/>
    <s v="Región de O'Higgins,espacio,cultural,infraestructura,número,cantidad,Agencia Información,Arte y cultura,Espacios culturales,Cultura"/>
    <s v="https://analytics.zoho.com/open-view/2395394000008464012?ZOHO_CRITERIA=%22Espacios_Culturales_Completo%201%22.%22C%C3%B3digo_Regi%C3%B3n%22%20%3D%206"/>
    <x v="23"/>
    <s v="#1774B9"/>
  </r>
  <r>
    <s v="0897"/>
    <n v="990"/>
    <s v="Agencia Información"/>
    <s v="Arte y cultura"/>
    <n v="7"/>
    <x v="52"/>
    <x v="9"/>
    <x v="1"/>
    <x v="7"/>
    <x v="1"/>
    <x v="13"/>
    <s v="Año 2021"/>
    <s v="Número de espacios culturales"/>
    <s v="Observatorio Cultural"/>
    <s v="Mapa de la Cantidad de Espacios Culturales por Comuna en la Región de Maule, Año 2021"/>
    <s v="La Región de Maule cuenta con 169 espacios culturales, de los cuales 35 se encuentran en Talca. Las comunas con menos cantidad son San Clemente, Pencahue y Pulluhue todos con 3 espacios."/>
    <s v="Mapa de calor"/>
    <s v="Región de Maule,espacio,cultural,infraestructura,número,cantidad,Agencia Información,Arte y cultura,Espacios culturales,Cultura"/>
    <s v="https://analytics.zoho.com/open-view/2395394000008464012?ZOHO_CRITERIA=%22Espacios_Culturales_Completo%201%22.%22C%C3%B3digo_Regi%C3%B3n%22%20%3D%207"/>
    <x v="24"/>
    <s v="#1774B9"/>
  </r>
  <r>
    <s v="0898"/>
    <n v="990"/>
    <s v="Agencia Información"/>
    <s v="Arte y cultura"/>
    <n v="8"/>
    <x v="52"/>
    <x v="9"/>
    <x v="1"/>
    <x v="8"/>
    <x v="1"/>
    <x v="13"/>
    <s v="Año 2021"/>
    <s v="Número de espacios culturales"/>
    <s v="Observatorio Cultural"/>
    <s v="Mapa de la Cantidad de Espacios Culturales por Comuna en la Región del Biobío, Año 2021"/>
    <s v="La Región de Biobío cuenta con 163 espacios culturales, de estos solo uno se encuentra en el rango de 21 a 30, se trata de Concepción con 28 espacios."/>
    <s v="Mapa de calor"/>
    <s v="Región del Biobío,espacio,cultural,infraestructura,número,cantidad,Agencia Información,Arte y cultura,Espacios culturales,Cultura"/>
    <s v="https://analytics.zoho.com/open-view/2395394000008464012?ZOHO_CRITERIA=%22Espacios_Culturales_Completo%201%22.%22C%C3%B3digo_Regi%C3%B3n%22%20%3D%208"/>
    <x v="25"/>
    <s v="#1774B9"/>
  </r>
  <r>
    <s v="0899"/>
    <n v="990"/>
    <s v="Agencia Información"/>
    <s v="Arte y cultura"/>
    <n v="9"/>
    <x v="52"/>
    <x v="9"/>
    <x v="1"/>
    <x v="9"/>
    <x v="1"/>
    <x v="13"/>
    <s v="Año 2021"/>
    <s v="Número de espacios culturales"/>
    <s v="Observatorio Cultural"/>
    <s v="Mapa de la Cantidad de Espacios Culturales por Comuna en la Región de La Araucanía, Año 2021"/>
    <s v="La Región de La Araucanía cuenta con una comuna en el rango de 21 a 30 espacios culturales, se trata de Temuco, en tanto en el menor rango de 0 a 3, encontramos 11 comunas de la región."/>
    <s v="Mapa de calor"/>
    <s v="Región de La Araucanía,espacio,cultural,infraestructura,número,cantidad,Agencia Información,Arte y cultura,Espacios culturales,Cultura"/>
    <s v="https://analytics.zoho.com/open-view/2395394000008464012?ZOHO_CRITERIA=%22Espacios_Culturales_Completo%201%22.%22C%C3%B3digo_Regi%C3%B3n%22%20%3D%209"/>
    <x v="26"/>
    <s v="#1774B9"/>
  </r>
  <r>
    <s v="0900"/>
    <n v="990"/>
    <s v="Agencia Información"/>
    <s v="Arte y cultura"/>
    <n v="10"/>
    <x v="52"/>
    <x v="9"/>
    <x v="1"/>
    <x v="10"/>
    <x v="1"/>
    <x v="13"/>
    <s v="Año 2021"/>
    <s v="Número de espacios culturales"/>
    <s v="Observatorio Cultural"/>
    <s v="Mapa de la Cantidad de Espacios Culturales por Comuna en la Región de Los Lagos, Año 2021"/>
    <s v="La Región de Los Lagos cuenta con tres comunas en el rango de 11 a 20 espacios culturales, se tratan de Osorno, Puerto Montt y Puerto Varas, en tanto en el menor rango, de 0 a 3, encontramos solo 1 comuna de la región."/>
    <s v="Mapa de calor"/>
    <s v="Región de Los Lagos,espacio,cultural,infraestructura,número,cantidad,Agencia Información,Arte y cultura,Espacios culturales,Cultura"/>
    <s v="https://analytics.zoho.com/open-view/2395394000008464012?ZOHO_CRITERIA=%22Espacios_Culturales_Completo%201%22.%22C%C3%B3digo_Regi%C3%B3n%22%20%3D%2010"/>
    <x v="27"/>
    <s v="#1774B9"/>
  </r>
  <r>
    <s v="0901"/>
    <n v="990"/>
    <s v="Agencia Información"/>
    <s v="Arte y cultura"/>
    <n v="11"/>
    <x v="52"/>
    <x v="9"/>
    <x v="1"/>
    <x v="11"/>
    <x v="1"/>
    <x v="13"/>
    <s v="Año 2021"/>
    <s v="Número de espacios culturales"/>
    <s v="Observatorio Cultural"/>
    <s v="Mapa de la Cantidad de Espacios Culturales por Comuna en la Región de Aysén, Año 2021"/>
    <s v="La Región de Aysén cuenta con 83 espacios culturales en total, la mayor parte de las comunas se encuentran en el rango de 5 a 10 espacios, en tanto la comuna con mayor cantidad es Coihaique con 21 espacios culturales."/>
    <s v="Mapa de calor"/>
    <s v="Región de Aysén,espacio,cultural,infraestructura,número,cantidad,Agencia Información,Arte y cultura,Espacios culturales,Cultura"/>
    <s v="https://analytics.zoho.com/open-view/2395394000008464012?ZOHO_CRITERIA=%22Espacios_Culturales_Completo%201%22.%22C%C3%B3digo_Regi%C3%B3n%22%20%3D%2011"/>
    <x v="33"/>
    <s v="#1774B9"/>
  </r>
  <r>
    <s v="0902"/>
    <n v="990"/>
    <s v="Agencia Información"/>
    <s v="Arte y cultura"/>
    <n v="12"/>
    <x v="52"/>
    <x v="9"/>
    <x v="1"/>
    <x v="12"/>
    <x v="1"/>
    <x v="13"/>
    <s v="Año 2021"/>
    <s v="Número de espacios culturales"/>
    <s v="Observatorio Cultural"/>
    <s v="Mapa de la Cantidad de Espacios Culturales por Comuna en la Región de Magallanes, Año 2021"/>
    <s v="En la Región de Magallanes, la comuna con mayor cantidad de espacios culturales es Punta Arenas que se encuentra en el rango de 21 a 30, en tanto que Cabo de Hornos es la comuna con menor cantidad de espacios culturales."/>
    <s v="Mapa de calor"/>
    <s v="Región de Magallanes,espacio,cultural,infraestructura,número,cantidad,Agencia Información,Arte y cultura,Espacios culturales,Cultura"/>
    <s v="https://analytics.zoho.com/open-view/2395394000008464012?ZOHO_CRITERIA=%22Espacios_Culturales_Completo%201%22.%22C%C3%B3digo_Regi%C3%B3n%22%20%3D%2012"/>
    <x v="28"/>
    <s v="#1774B9"/>
  </r>
  <r>
    <s v="0903"/>
    <n v="990"/>
    <s v="Agencia Información"/>
    <s v="Arte y cultura"/>
    <n v="13"/>
    <x v="52"/>
    <x v="9"/>
    <x v="1"/>
    <x v="13"/>
    <x v="1"/>
    <x v="13"/>
    <s v="Año 2021"/>
    <s v="Número de espacios culturales"/>
    <s v="Observatorio Cultural"/>
    <s v="Mapa de la Cantidad de Espacios Culturales por Comuna en la Región Metropolitana, Año 2021"/>
    <s v="En la región Metropolitana, las comunas que tienen más de 50 espacios culturales son Santiago, Valparaíso y Providencia, con 104, 60 y 51 espacios, respectivamente."/>
    <s v="Mapa de calor"/>
    <s v="Región Metropolitana,espacio,cultural,infraestructura,número,cantidad,Agencia Información,Arte y cultura,Espacios culturales,Cultura"/>
    <s v="https://analytics.zoho.com/open-view/2395394000008464012?ZOHO_CRITERIA=%22Espacios_Culturales_Completo%201%22.%22C%C3%B3digo_Regi%C3%B3n%22%20%3D%2013"/>
    <x v="29"/>
    <s v="#1774B9"/>
  </r>
  <r>
    <s v="0904"/>
    <n v="990"/>
    <s v="Agencia Información"/>
    <s v="Arte y cultura"/>
    <n v="14"/>
    <x v="52"/>
    <x v="9"/>
    <x v="1"/>
    <x v="14"/>
    <x v="1"/>
    <x v="13"/>
    <s v="Año 2021"/>
    <s v="Número de espacios culturales"/>
    <s v="Observatorio Cultural"/>
    <s v="Mapa de la Cantidad de Espacios Culturales por Comuna en la Región de Los Ríos, Año 2021"/>
    <s v="En la Región de Los Ríos, la comuna con mayor cantidad de espacios culturales es Valdivia que se encuentra en el rango de 21 a 30, en tanto que las comunas en el menor rango de 0 a 3 son Mariquina y Corral."/>
    <s v="Mapa de calor"/>
    <s v="Región de Los Ríos,espacio,cultural,infraestructura,número,cantidad,Agencia Información,Arte y cultura,Espacios culturales,Cultura"/>
    <s v="https://analytics.zoho.com/open-view/2395394000008464012?ZOHO_CRITERIA=%22Espacios_Culturales_Completo%201%22.%22C%C3%B3digo_Regi%C3%B3n%22%20%3D%2014"/>
    <x v="30"/>
    <s v="#1774B9"/>
  </r>
  <r>
    <s v="0905"/>
    <n v="990"/>
    <s v="Agencia Información"/>
    <s v="Arte y cultura"/>
    <n v="15"/>
    <x v="52"/>
    <x v="9"/>
    <x v="1"/>
    <x v="15"/>
    <x v="1"/>
    <x v="13"/>
    <s v="Año 2021"/>
    <s v="Número de espacios culturales"/>
    <s v="Observatorio Cultural"/>
    <s v="Mapa de la Cantidad de Espacios Culturales por Comuna en la Región de Arica y Parinacota, Año 2021"/>
    <s v="En la Región de Arica y Parinacota se centra la mayor cantidad de centros culturales en la comuna de Arica, la que se encuentra en el rango de 21-30, en cambio las otras 3 comunas de la región se encuentran en el rango menor de 0-3."/>
    <s v="Mapa de calor"/>
    <s v="Región de Arica y Parinacota,espacio,cultural,infraestructura,número,cantidad,Agencia Información,Arte y cultura,Espacios culturales,Cultura"/>
    <s v="https://analytics.zoho.com/open-view/2395394000008464012?ZOHO_CRITERIA=%22Espacios_Culturales_Completo%201%22.%22C%C3%B3digo_Regi%C3%B3n%22%20%3D%2015"/>
    <x v="31"/>
    <s v="#1774B9"/>
  </r>
  <r>
    <s v="0906"/>
    <n v="990"/>
    <s v="Agencia Información"/>
    <s v="Arte y cultura"/>
    <n v="16"/>
    <x v="52"/>
    <x v="9"/>
    <x v="1"/>
    <x v="16"/>
    <x v="1"/>
    <x v="13"/>
    <s v="Año 2021"/>
    <s v="Número de espacios culturales"/>
    <s v="Observatorio Cultural"/>
    <s v="Mapa de la Cantidad de Espacios Culturales por Comuna en la Región de Ñuble, Año 2021"/>
    <s v="La Región de Ñuble cuenta con una comuna en el rango de 21 a 30 espacios culturales, se trata de Chillán, en tanto en el menor rango, de 0 a 3, encontramos 11 comunas de la región."/>
    <s v="Mapa de calor"/>
    <s v="Región de Ñuble,espacio,cultural,infraestructura,número,cantidad,Agencia Información,Arte y cultura,Espacios culturales,Cultura"/>
    <s v="https://analytics.zoho.com/open-view/2395394000008464012?ZOHO_CRITERIA=%22Espacios_Culturales_Completo%201%22.%22C%C3%B3digo_Regi%C3%B3n%22%20%3D%2016"/>
    <x v="32"/>
    <s v="#1774B9"/>
  </r>
  <r>
    <s v="0907"/>
    <n v="990"/>
    <s v="Agencia Información"/>
    <s v="Arte y cultura"/>
    <n v="0"/>
    <x v="53"/>
    <x v="9"/>
    <x v="0"/>
    <x v="0"/>
    <x v="3"/>
    <x v="13"/>
    <s v="Año 2021"/>
    <s v="Número de espacios culturales"/>
    <s v="Observatorio Cultural"/>
    <s v="Cantidad de Espacios Culturales por Fuente de Financiamiento y Región en Chile, Año 2021"/>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
    <s v="Gráfico"/>
    <s v="Chile,espacio,cultural,infraestructura,fuente,financiamiento,pública,privada,mixta,Agencia Información,Arte y cultura,Financiamiento de espacios culturales,Cultura"/>
    <s v="https://analytics.zoho.com/open-view/2395394000008056809"/>
    <x v="17"/>
    <s v="#1774B9"/>
  </r>
  <r>
    <s v="0908"/>
    <n v="990"/>
    <s v="Agencia Información"/>
    <s v="Arte y cultura"/>
    <n v="1"/>
    <x v="53"/>
    <x v="9"/>
    <x v="1"/>
    <x v="1"/>
    <x v="3"/>
    <x v="13"/>
    <s v="Año 2021"/>
    <s v="Número de espacios culturales"/>
    <s v="Observatorio Cultural"/>
    <s v="Cantidad de Espacios Culturales por Fuente de Financiamiento en la Región de Tarapacá, Año 2021"/>
    <s v="En la Región de Tarapacá la gran parte de los espacios culturales se financian por fuentes públicas, llegando a 43 espacios del total regional."/>
    <s v="Gráfico"/>
    <s v="Región de Tarapacá,espacio,cultural,infraestructura,fuente,financiamiento,pública,privada,mixta,Agencia Información,Arte y cultura,Financiamiento de espacios culturales,Cultura"/>
    <s v="https://analytics.zoho.com/open-view/2395394000008464140?ZOHO_CRITERIA=%22Espacios_Culturales_Completo%201%22.%22C%C3%B3digo_Regi%C3%B3n%22%20%3D%201"/>
    <x v="18"/>
    <s v="#1774B9"/>
  </r>
  <r>
    <s v="0909"/>
    <n v="990"/>
    <s v="Agencia Información"/>
    <s v="Arte y cultura"/>
    <n v="2"/>
    <x v="53"/>
    <x v="9"/>
    <x v="1"/>
    <x v="2"/>
    <x v="3"/>
    <x v="13"/>
    <s v="Año 2021"/>
    <s v="Número de espacios culturales"/>
    <s v="Observatorio Cultural"/>
    <s v="Cantidad de Espacios Culturales por Fuente de Financiamiento en la Región de Antofagasta, Año 2021"/>
    <s v="La Región de Antofagasta presenta 62 espacios culturales, de estos, 24 se financian de fuentes públicas, 19 con financiamiento mixto y 15 con financiamiento privado."/>
    <s v="Gráfico"/>
    <s v="Región de Antofagasta,espacio,cultural,infraestructura,fuente,financiamiento,pública,privada,mixta,Agencia Información,Arte y cultura,Financiamiento de espacios culturales,Cultura"/>
    <s v="https://analytics.zoho.com/open-view/2395394000008464140?ZOHO_CRITERIA=%22Espacios_Culturales_Completo%201%22.%22C%C3%B3digo_Regi%C3%B3n%22%20%3D%202"/>
    <x v="19"/>
    <s v="#1774B9"/>
  </r>
  <r>
    <s v="0910"/>
    <n v="990"/>
    <s v="Agencia Información"/>
    <s v="Arte y cultura"/>
    <n v="3"/>
    <x v="53"/>
    <x v="9"/>
    <x v="1"/>
    <x v="3"/>
    <x v="3"/>
    <x v="13"/>
    <s v="Año 2021"/>
    <s v="Número de espacios culturales"/>
    <s v="Observatorio Cultural"/>
    <s v="Cantidad de Espacios Culturales por Fuente de Financiamiento en la Región de Atacama, Año 2021"/>
    <s v="En la Región de Atacama la gran parte de los espacios culturales se financian por fuentes públicas, llegando a 34 espacios del total regional."/>
    <s v="Gráfico"/>
    <s v="Región de Atacama,espacio,cultural,infraestructura,fuente,financiamiento,pública,privada,mixta,Agencia Información,Arte y cultura,Financiamiento de espacios culturales,Cultura"/>
    <s v="https://analytics.zoho.com/open-view/2395394000008464140?ZOHO_CRITERIA=%22Espacios_Culturales_Completo%201%22.%22C%C3%B3digo_Regi%C3%B3n%22%20%3D%203"/>
    <x v="20"/>
    <s v="#1774B9"/>
  </r>
  <r>
    <s v="0911"/>
    <n v="990"/>
    <s v="Agencia Información"/>
    <s v="Arte y cultura"/>
    <n v="4"/>
    <x v="53"/>
    <x v="9"/>
    <x v="1"/>
    <x v="4"/>
    <x v="3"/>
    <x v="13"/>
    <s v="Año 2021"/>
    <s v="Número de espacios culturales"/>
    <s v="Observatorio Cultural"/>
    <s v="Cantidad de Espacios Culturales por Fuente de Financiamiento en la Región de Coquimbo, Año 2021"/>
    <s v="En la Región de Coquimbo, de los 120 espacios culturales de la región, 84 son financiados por fuentes públicas."/>
    <s v="Gráfico"/>
    <s v="Región de Coquimbo,espacio,cultural,infraestructura,fuente,financiamiento,pública,privada,mixta,Agencia Información,Arte y cultura,Financiamiento de espacios culturales,Cultura"/>
    <s v="https://analytics.zoho.com/open-view/2395394000008464140?ZOHO_CRITERIA=%22Espacios_Culturales_Completo%201%22.%22C%C3%B3digo_Regi%C3%B3n%22%20%3D%204"/>
    <x v="21"/>
    <s v="#1774B9"/>
  </r>
  <r>
    <s v="0912"/>
    <n v="990"/>
    <s v="Agencia Información"/>
    <s v="Arte y cultura"/>
    <n v="5"/>
    <x v="53"/>
    <x v="9"/>
    <x v="1"/>
    <x v="5"/>
    <x v="3"/>
    <x v="13"/>
    <s v="Año 2021"/>
    <s v="Número de espacios culturales"/>
    <s v="Observatorio Cultural"/>
    <s v="Cantidad de Espacios Culturales por Fuente de Financiamiento en la Región de Valparaíso, Año 2021"/>
    <s v="La Región de Valparaíso presenta 324 espacios culturales; de estos, 133 son financiados por fuentes públicas, 85 por fuentes privadas y 55 por fuentes mixtas."/>
    <s v="Gráfico"/>
    <s v="Región de Valparaíso,espacio,cultural,infraestructura,fuente,financiamiento,pública,privada,mixta,Agencia Información,Arte y cultura,Financiamiento de espacios culturales,Cultura"/>
    <s v="https://analytics.zoho.com/open-view/2395394000008464140?ZOHO_CRITERIA=%22Espacios_Culturales_Completo%201%22.%22C%C3%B3digo_Regi%C3%B3n%22%20%3D%205"/>
    <x v="22"/>
    <s v="#1774B9"/>
  </r>
  <r>
    <s v="0913"/>
    <n v="990"/>
    <s v="Agencia Información"/>
    <s v="Arte y cultura"/>
    <n v="6"/>
    <x v="53"/>
    <x v="9"/>
    <x v="1"/>
    <x v="6"/>
    <x v="3"/>
    <x v="13"/>
    <s v="Año 2021"/>
    <s v="Número de espacios culturales"/>
    <s v="Observatorio Cultural"/>
    <s v="Cantidad de Espacios Culturales por Fuente de Financiamiento en la Región de O'Higgins, Año 2021"/>
    <s v="En la Región de O'Higgins, de los 206 espacios culturales existentes, se observa que el mayor porcentaje, equivalente a 120 espacios, son financiados por fuentes públicas."/>
    <s v="Gráfico"/>
    <s v="Región de O'Higgins,espacio,cultural,infraestructura,fuente,financiamiento,pública,privada,mixta,Agencia Información,Arte y cultura,Financiamiento de espacios culturales,Cultura"/>
    <s v="https://analytics.zoho.com/open-view/2395394000008464140?ZOHO_CRITERIA=%22Espacios_Culturales_Completo%201%22.%22C%C3%B3digo_Regi%C3%B3n%22%20%3D%206"/>
    <x v="23"/>
    <s v="#1774B9"/>
  </r>
  <r>
    <s v="0914"/>
    <n v="990"/>
    <s v="Agencia Información"/>
    <s v="Arte y cultura"/>
    <n v="7"/>
    <x v="53"/>
    <x v="9"/>
    <x v="1"/>
    <x v="7"/>
    <x v="3"/>
    <x v="13"/>
    <s v="Año 2021"/>
    <s v="Número de espacios culturales"/>
    <s v="Observatorio Cultural"/>
    <s v="Cantidad de Espacios Culturales por Fuente de Financiamiento en la Región de Maule, Año 2021"/>
    <s v="En la Región de Maule se observa que de los 169 espacios culturales de la región, 24 de ellos son financiados por fuentes privadas."/>
    <s v="Gráfico"/>
    <s v="Región de Maule,espacio,cultural,infraestructura,fuente,financiamiento,pública,privada,mixta,Agencia Información,Arte y cultura,Financiamiento de espacios culturales,Cultura"/>
    <s v="https://analytics.zoho.com/open-view/2395394000008464140?ZOHO_CRITERIA=%22Espacios_Culturales_Completo%201%22.%22C%C3%B3digo_Regi%C3%B3n%22%20%3D%207"/>
    <x v="24"/>
    <s v="#1774B9"/>
  </r>
  <r>
    <s v="0915"/>
    <n v="990"/>
    <s v="Agencia Información"/>
    <s v="Arte y cultura"/>
    <n v="8"/>
    <x v="53"/>
    <x v="9"/>
    <x v="1"/>
    <x v="8"/>
    <x v="3"/>
    <x v="13"/>
    <s v="Año 2021"/>
    <s v="Número de espacios culturales"/>
    <s v="Observatorio Cultural"/>
    <s v="Cantidad de Espacios Culturales por Fuente de Financiamiento en la Región del Biobío, Año 2021"/>
    <s v="En la Región de Biobío se observa que de los 163 espacios culturales de la región, 33 son financiados por fuentes privadas."/>
    <s v="Gráfico"/>
    <s v="Región del Biobío,espacio,cultural,infraestructura,fuente,financiamiento,pública,privada,mixta,Agencia Información,Arte y cultura,Financiamiento de espacios culturales,Cultura"/>
    <s v="https://analytics.zoho.com/open-view/2395394000008464140?ZOHO_CRITERIA=%22Espacios_Culturales_Completo%201%22.%22C%C3%B3digo_Regi%C3%B3n%22%20%3D%208"/>
    <x v="25"/>
    <s v="#1774B9"/>
  </r>
  <r>
    <s v="0916"/>
    <n v="990"/>
    <s v="Agencia Información"/>
    <s v="Arte y cultura"/>
    <n v="9"/>
    <x v="53"/>
    <x v="9"/>
    <x v="1"/>
    <x v="9"/>
    <x v="3"/>
    <x v="13"/>
    <s v="Año 2021"/>
    <s v="Número de espacios culturales"/>
    <s v="Observatorio Cultural"/>
    <s v="Cantidad de Espacios Culturales por Fuente de Financiamiento en la Región de La Araucanía, Año 2021"/>
    <s v="La Región de La Araucanía presenta 70 espacios culturales financiados por fuentes públicas y 9 por fuentes privadas."/>
    <s v="Gráfico"/>
    <s v="Región de La Araucanía,espacio,cultural,infraestructura,fuente,financiamiento,pública,privada,mixta,Agencia Información,Arte y cultura,Financiamiento de espacios culturales,Cultura"/>
    <s v="https://analytics.zoho.com/open-view/2395394000008464140?ZOHO_CRITERIA=%22Espacios_Culturales_Completo%201%22.%22C%C3%B3digo_Regi%C3%B3n%22%20%3D%209"/>
    <x v="26"/>
    <s v="#1774B9"/>
  </r>
  <r>
    <s v="0917"/>
    <n v="990"/>
    <s v="Agencia Información"/>
    <s v="Arte y cultura"/>
    <n v="10"/>
    <x v="53"/>
    <x v="9"/>
    <x v="1"/>
    <x v="10"/>
    <x v="3"/>
    <x v="13"/>
    <s v="Año 2021"/>
    <s v="Número de espacios culturales"/>
    <s v="Observatorio Cultural"/>
    <s v="Cantidad de Espacios Culturales por Fuente de Financiamiento en la Región de Los Lagos, Año 2021"/>
    <s v="En la Región de Los Lagos se observa que de los 153 espacios culturales de la región, 92 son financiados por fuentes públicas."/>
    <s v="Gráfico"/>
    <s v="Región de Los Lagos,espacio,cultural,infraestructura,fuente,financiamiento,pública,privada,mixta,Agencia Información,Arte y cultura,Financiamiento de espacios culturales,Cultura"/>
    <s v="https://analytics.zoho.com/open-view/2395394000008464140?ZOHO_CRITERIA=%22Espacios_Culturales_Completo%201%22.%22C%C3%B3digo_Regi%C3%B3n%22%20%3D%2010"/>
    <x v="27"/>
    <s v="#1774B9"/>
  </r>
  <r>
    <s v="0918"/>
    <n v="990"/>
    <s v="Agencia Información"/>
    <s v="Arte y cultura"/>
    <n v="11"/>
    <x v="53"/>
    <x v="9"/>
    <x v="1"/>
    <x v="11"/>
    <x v="3"/>
    <x v="13"/>
    <s v="Año 2021"/>
    <s v="Número de espacios culturales"/>
    <s v="Observatorio Cultural"/>
    <s v="Cantidad de Espacios Culturales por Fuente de Financiamiento en la Región de Aysén, Año 2021"/>
    <s v="En la Región de Aysén, de los 83 espacios culturales totales, se observa que el mayor porcentaje, equivalente a 66espacios, son financiados por fuentes públicas."/>
    <s v="Gráfico"/>
    <s v="Región de Aysén,espacio,cultural,infraestructura,fuente,financiamiento,pública,privada,mixta,Agencia Información,Arte y cultura,Financiamiento de espacios culturales,Cultura"/>
    <s v="https://analytics.zoho.com/open-view/2395394000008464140?ZOHO_CRITERIA=%22Espacios_Culturales_Completo%201%22.%22C%C3%B3digo_Regi%C3%B3n%22%20%3D%2011"/>
    <x v="33"/>
    <s v="#1774B9"/>
  </r>
  <r>
    <s v="0919"/>
    <n v="990"/>
    <s v="Agencia Información"/>
    <s v="Arte y cultura"/>
    <n v="12"/>
    <x v="53"/>
    <x v="9"/>
    <x v="1"/>
    <x v="12"/>
    <x v="3"/>
    <x v="13"/>
    <s v="Año 2021"/>
    <s v="Número de espacios culturales"/>
    <s v="Observatorio Cultural"/>
    <s v="Cantidad de Espacios Culturales por Fuente de Financiamiento en la Región de Magallanes, Año 2021"/>
    <s v="La Región de Magallanes posee 63 espacios culturales, de ellos 44 tienen financiamiento público, 11 financiamiento privado y 7 financiamiento mixto."/>
    <s v="Gráfico"/>
    <s v="Región de Magallanes,espacio,cultural,infraestructura,fuente,financiamiento,pública,privada,mixta,Agencia Información,Arte y cultura,Financiamiento de espacios culturales,Cultura"/>
    <s v="https://analytics.zoho.com/open-view/2395394000008464140?ZOHO_CRITERIA=%22Espacios_Culturales_Completo%201%22.%22C%C3%B3digo_Regi%C3%B3n%22%20%3D%2012"/>
    <x v="28"/>
    <s v="#1774B9"/>
  </r>
  <r>
    <s v="0920"/>
    <n v="990"/>
    <s v="Agencia Información"/>
    <s v="Arte y cultura"/>
    <n v="13"/>
    <x v="53"/>
    <x v="9"/>
    <x v="1"/>
    <x v="13"/>
    <x v="3"/>
    <x v="13"/>
    <s v="Año 2021"/>
    <s v="Número de espacios culturales"/>
    <s v="Observatorio Cultural"/>
    <s v="Cantidad de Espacios Culturales por Fuente de Financiamiento en la Región Metropolitana, Año 2021"/>
    <s v="La región Metropolitana presenta variados financiamientos para los espacios culturales de la región, siendo 146 espacios financiados mediante fuentes públicas, 113 con fuentes privadas y 70 con fuentes mixtas."/>
    <s v="Gráfico"/>
    <s v="Región Metropolitana,espacio,cultural,infraestructura,fuente,financiamiento,pública,privada,mixta,Agencia Información,Arte y cultura,Financiamiento de espacios culturales,Cultura"/>
    <s v="https://analytics.zoho.com/open-view/2395394000008464140?ZOHO_CRITERIA=%22Espacios_Culturales_Completo%201%22.%22C%C3%B3digo_Regi%C3%B3n%22%20%3D%2013"/>
    <x v="29"/>
    <s v="#1774B9"/>
  </r>
  <r>
    <s v="0921"/>
    <n v="990"/>
    <s v="Agencia Información"/>
    <s v="Arte y cultura"/>
    <n v="14"/>
    <x v="53"/>
    <x v="9"/>
    <x v="1"/>
    <x v="14"/>
    <x v="3"/>
    <x v="13"/>
    <s v="Año 2021"/>
    <s v="Número de espacios culturales"/>
    <s v="Observatorio Cultural"/>
    <s v="Cantidad de Espacios Culturales por Fuente de Financiamiento en la Región de Los Ríos, Año 2021"/>
    <s v="Del total de 77 espacios culturales de la Región de Los Ríos, 20 tienen financiamiento público. Llama la atención que para 36 espacios no se posee información respecto de su fuente de financiamiento."/>
    <s v="Gráfico"/>
    <s v="Región de Los Ríos,espacio,cultural,infraestructura,fuente,financiamiento,pública,privada,mixta,Agencia Información,Arte y cultura,Financiamiento de espacios culturales,Cultura"/>
    <s v="https://analytics.zoho.com/open-view/2395394000008464140?ZOHO_CRITERIA=%22Espacios_Culturales_Completo%201%22.%22C%C3%B3digo_Regi%C3%B3n%22%20%3D%2014"/>
    <x v="30"/>
    <s v="#1774B9"/>
  </r>
  <r>
    <s v="0922"/>
    <n v="990"/>
    <s v="Agencia Información"/>
    <s v="Arte y cultura"/>
    <n v="15"/>
    <x v="53"/>
    <x v="9"/>
    <x v="1"/>
    <x v="15"/>
    <x v="3"/>
    <x v="13"/>
    <s v="Año 2021"/>
    <s v="Número de espacios culturales"/>
    <s v="Observatorio Cultural"/>
    <s v="Cantidad de Espacios Culturales por Fuente de Financiamiento en la Región de Arica y Parinacota, Año 2021"/>
    <s v="En la Región de Arica y Parinacota, 10 de los espacios culturales de la región tienen fuentes de financiamiento privadas, mientras que 18 tienen fuentes públicas de financiamiento."/>
    <s v="Gráfico"/>
    <s v="Región de Arica y Parinacota,espacio,cultural,infraestructura,fuente,financiamiento,pública,privada,mixta,Agencia Información,Arte y cultura,Financiamiento de espacios culturales,Cultura"/>
    <s v="https://analytics.zoho.com/open-view/2395394000008464140?ZOHO_CRITERIA=%22Espacios_Culturales_Completo%201%22.%22C%C3%B3digo_Regi%C3%B3n%22%20%3D%2015"/>
    <x v="31"/>
    <s v="#1774B9"/>
  </r>
  <r>
    <s v="0923"/>
    <n v="990"/>
    <s v="Agencia Información"/>
    <s v="Arte y cultura"/>
    <n v="16"/>
    <x v="53"/>
    <x v="9"/>
    <x v="1"/>
    <x v="16"/>
    <x v="3"/>
    <x v="13"/>
    <s v="Año 2021"/>
    <s v="Número de espacios culturales"/>
    <s v="Observatorio Cultural"/>
    <s v="Cantidad de Espacios Culturales por Fuente de Financiamiento en la Región de Ñuble, Año 2021"/>
    <s v="En la Región de Ñuble, de los 86 espacios culturales de la región, 48 poseen financiamiento público, mientras que para 20 no se posee información."/>
    <s v="Gráfico"/>
    <s v="Región de Ñuble,espacio,cultural,infraestructura,fuente,financiamiento,pública,privada,mixta,Agencia Información,Arte y cultura,Financiamiento de espacios culturales,Cultura"/>
    <s v="https://analytics.zoho.com/open-view/2395394000008464140?ZOHO_CRITERIA=%22Espacios_Culturales_Completo%201%22.%22C%C3%B3digo_Regi%C3%B3n%22%20%3D%2016"/>
    <x v="32"/>
    <s v="#1774B9"/>
  </r>
  <r>
    <s v="0924"/>
    <n v="990"/>
    <s v="Agencia Información"/>
    <s v="Arte y cultura"/>
    <n v="0"/>
    <x v="52"/>
    <x v="9"/>
    <x v="0"/>
    <x v="0"/>
    <x v="3"/>
    <x v="13"/>
    <s v="Año 2021"/>
    <s v="Número de espacios culturales"/>
    <s v="Observatorio Cultural"/>
    <s v="Cantidad de Espacios Culturales por Categoría y Región en Chile, Año 2021"/>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espacio,cultural,infraestructura,cantidad,número,categoría,tipo,biblioteca,museo,archivo,centro cultural,sala de exposición,galería de arte,cine,casa de la cultura,Agencia Información,Arte y cultura,Espacios culturales,Cultura"/>
    <s v="https://analytics.zoho.com/open-view/2395394000008056535"/>
    <x v="17"/>
    <s v="#1774B9"/>
  </r>
  <r>
    <s v="0925"/>
    <n v="990"/>
    <s v="Agencia Información"/>
    <s v="Arte y cultura"/>
    <n v="1"/>
    <x v="52"/>
    <x v="9"/>
    <x v="1"/>
    <x v="1"/>
    <x v="3"/>
    <x v="13"/>
    <s v="Año 2021"/>
    <s v="Número de espacios culturales"/>
    <s v="Observatorio Cultural"/>
    <s v="Cantidad de Espacios Culturales por Categoría en la Región de Tarapacá, Año 2021"/>
    <s v="La Región de Tarapacá posee 57 espacios culturales, predomina las categorías &quot;Otros espacios con uso cultural&quot; y &quot;Biblioteca&quot;, con 23 y 10 espacios respectivamente."/>
    <s v="Gráfico"/>
    <s v="Región de Tarapacá,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
    <x v="18"/>
    <s v="#1774B9"/>
  </r>
  <r>
    <s v="0926"/>
    <n v="990"/>
    <s v="Agencia Información"/>
    <s v="Arte y cultura"/>
    <n v="2"/>
    <x v="52"/>
    <x v="9"/>
    <x v="1"/>
    <x v="2"/>
    <x v="3"/>
    <x v="13"/>
    <s v="Año 2021"/>
    <s v="Número de espacios culturales"/>
    <s v="Observatorio Cultural"/>
    <s v="Cantidad de Espacios Culturales por Categoría en la Región de Antofagasta, Año 2021"/>
    <s v="La Región de Antofagasta posee 62 espacios culturales, predominan las categorías &quot;Otros espacios con uso cultural&quot; y &quot;Centro cultural o Casa de la cultura&quot;, con 28 y 13 espacios respectivamente."/>
    <s v="Gráfico"/>
    <s v="Región de Antofagast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2"/>
    <x v="19"/>
    <s v="#1774B9"/>
  </r>
  <r>
    <s v="0927"/>
    <n v="990"/>
    <s v="Agencia Información"/>
    <s v="Arte y cultura"/>
    <n v="3"/>
    <x v="52"/>
    <x v="9"/>
    <x v="1"/>
    <x v="3"/>
    <x v="3"/>
    <x v="13"/>
    <s v="Año 2021"/>
    <s v="Número de espacios culturales"/>
    <s v="Observatorio Cultural"/>
    <s v="Cantidad de Espacios Culturales por Categoría en la Región de Atacama, Año 2021"/>
    <s v="La categoría de espacio cultural que predomina en la Región de Atacama es &quot;Otros espacios con uso cultural&quot;, con 27 espacios del total regional. Por otro lado, las categorías menos habituales son &quot;Sala de exposición&quot;, &quot;Galería de arte&quot;, &quot;Cine o sala de cine&quot;, &quot;Archivo&quot;, con solo 2 espacios cada una."/>
    <s v="Gráfico"/>
    <s v="Región de Atacam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3"/>
    <x v="20"/>
    <s v="#1774B9"/>
  </r>
  <r>
    <s v="0928"/>
    <n v="990"/>
    <s v="Agencia Información"/>
    <s v="Arte y cultura"/>
    <n v="4"/>
    <x v="52"/>
    <x v="9"/>
    <x v="1"/>
    <x v="4"/>
    <x v="3"/>
    <x v="13"/>
    <s v="Año 2021"/>
    <s v="Número de espacios culturales"/>
    <s v="Observatorio Cultural"/>
    <s v="Cantidad de Espacios Culturales por Categoría en la Región de Coquimbo, Año 2021"/>
    <s v="La Región de Coquimbo posee 120 espacios culturales, predomina la categoría &quot;Otros espacios con uso cultural&quot; y &quot;Centro cultural o Casa de la cultura&quot;, con 56 y 22 espacios respectivamente."/>
    <s v="Gráfico"/>
    <s v="Región de Coquimbo,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4"/>
    <x v="21"/>
    <s v="#1774B9"/>
  </r>
  <r>
    <s v="0929"/>
    <n v="990"/>
    <s v="Agencia Información"/>
    <s v="Arte y cultura"/>
    <n v="5"/>
    <x v="52"/>
    <x v="9"/>
    <x v="1"/>
    <x v="5"/>
    <x v="3"/>
    <x v="13"/>
    <s v="Año 2021"/>
    <s v="Número de espacios culturales"/>
    <s v="Observatorio Cultural"/>
    <s v="Cantidad de Espacios Culturales por Categoría en la Región de Valparaíso, Año 2021"/>
    <s v="La categoría de espacio cultural que predomina en la Región de Valparaíso es &quot;Otros espacios con uso cultural&quot;, con 153 espacios del total regional. Por otro lado, la categoría menos habitual es &quot;Centro de documentación&quot; con solo un espacio."/>
    <s v="Gráfico"/>
    <s v="Región de Valparaíso,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5"/>
    <x v="22"/>
    <s v="#1774B9"/>
  </r>
  <r>
    <s v="0930"/>
    <n v="990"/>
    <s v="Agencia Información"/>
    <s v="Arte y cultura"/>
    <n v="6"/>
    <x v="52"/>
    <x v="9"/>
    <x v="1"/>
    <x v="6"/>
    <x v="3"/>
    <x v="13"/>
    <s v="Año 2021"/>
    <s v="Número de espacios culturales"/>
    <s v="Observatorio Cultural"/>
    <s v="Cantidad de Espacios Culturales por Categoría en la Región de O'Higgins, Año 2021"/>
    <s v="La Región de O'Higgins posee 206 espacios culturales, de estos 10 tienen la categoría &quot;Museo&quot; y 25 la categoría &quot;Biblioteca&quot;."/>
    <s v="Gráfico"/>
    <s v="Región de O'Higgin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6"/>
    <x v="23"/>
    <s v="#1774B9"/>
  </r>
  <r>
    <s v="0931"/>
    <n v="990"/>
    <s v="Agencia Información"/>
    <s v="Arte y cultura"/>
    <n v="7"/>
    <x v="52"/>
    <x v="9"/>
    <x v="1"/>
    <x v="7"/>
    <x v="3"/>
    <x v="13"/>
    <s v="Año 2021"/>
    <s v="Número de espacios culturales"/>
    <s v="Observatorio Cultural"/>
    <s v="Cantidad de Espacios Culturales por Categoría en la Región de Maule, Año 2021"/>
    <s v="La categoría de espacio cultural que predomina en la Región de Maule es &quot;Otros espacios con uso cultural&quot;, con 96 espacios del total regional. Por otro lado, la categoría menos habitual es &quot;Sala de ensayo&quot; y &quot;Galería de arte&quot; con solo un espacio cada uno."/>
    <s v="Gráfico"/>
    <s v="Región de Maule,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7"/>
    <x v="24"/>
    <s v="#1774B9"/>
  </r>
  <r>
    <s v="0932"/>
    <n v="990"/>
    <s v="Agencia Información"/>
    <s v="Arte y cultura"/>
    <n v="8"/>
    <x v="52"/>
    <x v="9"/>
    <x v="1"/>
    <x v="8"/>
    <x v="3"/>
    <x v="13"/>
    <s v="Año 2021"/>
    <s v="Número de espacios culturales"/>
    <s v="Observatorio Cultural"/>
    <s v="Cantidad de Espacios Culturales por Categoría en la Región del Biobío, Año 2021"/>
    <s v="La Región de Biobío posee 163 espacios culturales, de estos 13 tienen la categoría &quot;Museo&quot; y 7 la categoría &quot;Galería de arte&quot;."/>
    <s v="Gráfico"/>
    <s v="Región del Biobío,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8"/>
    <x v="25"/>
    <s v="#1774B9"/>
  </r>
  <r>
    <s v="0933"/>
    <n v="990"/>
    <s v="Agencia Información"/>
    <s v="Arte y cultura"/>
    <n v="9"/>
    <x v="52"/>
    <x v="9"/>
    <x v="1"/>
    <x v="9"/>
    <x v="3"/>
    <x v="13"/>
    <s v="Año 2021"/>
    <s v="Número de espacios culturales"/>
    <s v="Observatorio Cultural"/>
    <s v="Cantidad de Espacios Culturales por Categoría en la Región de La Araucanía, Año 2021"/>
    <s v="Las categorías de espacios culturales menos habituales en la Región de La Araucanía son &quot;Sala de exposición&quot;, &quot;Centro de documentación&quot; y &quot;Archivo&quot; con solo un espacio cada una. Por otro lado, la categoría que predomina en la región es &quot;Otros espacios con uso cultural&quot;, con 38 espacios."/>
    <s v="Gráfico"/>
    <s v="Región de La Araucaní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9"/>
    <x v="26"/>
    <s v="#1774B9"/>
  </r>
  <r>
    <s v="0934"/>
    <n v="990"/>
    <s v="Agencia Información"/>
    <s v="Arte y cultura"/>
    <n v="10"/>
    <x v="52"/>
    <x v="9"/>
    <x v="1"/>
    <x v="10"/>
    <x v="3"/>
    <x v="13"/>
    <s v="Año 2021"/>
    <s v="Número de espacios culturales"/>
    <s v="Observatorio Cultural"/>
    <s v="Cantidad de Espacios Culturales por Categoría en la Región de Los Lagos, Año 2021"/>
    <s v="La Región de Los Lagos posee 153 espacios culturales, predominan las categorías &quot;Otros espacios con uso cultural&quot; y &quot;Centro cultural o Casa de la cultura&quot;, con 66 y 26 espacios respectivamente."/>
    <s v="Gráfico"/>
    <s v="Región de Los Lago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0"/>
    <x v="27"/>
    <s v="#1774B9"/>
  </r>
  <r>
    <s v="0935"/>
    <n v="990"/>
    <s v="Agencia Información"/>
    <s v="Arte y cultura"/>
    <n v="11"/>
    <x v="52"/>
    <x v="9"/>
    <x v="1"/>
    <x v="11"/>
    <x v="3"/>
    <x v="13"/>
    <s v="Año 2021"/>
    <s v="Número de espacios culturales"/>
    <s v="Observatorio Cultural"/>
    <s v="Cantidad de Espacios Culturales por Categoría en la Región de Aysén, Año 2021"/>
    <s v="La Región de Aysén posee 83 espacios culturales, predominan en la región las categorías &quot;Otros espacios con uso cultural&quot; y &quot;Biblioteca&quot;, con 57 y 13 espacios respectivamente."/>
    <s v="Gráfico"/>
    <s v="Región de Aysén,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1"/>
    <x v="33"/>
    <s v="#1774B9"/>
  </r>
  <r>
    <s v="0936"/>
    <n v="990"/>
    <s v="Agencia Información"/>
    <s v="Arte y cultura"/>
    <n v="12"/>
    <x v="52"/>
    <x v="9"/>
    <x v="1"/>
    <x v="12"/>
    <x v="3"/>
    <x v="13"/>
    <s v="Año 2021"/>
    <s v="Número de espacios culturales"/>
    <s v="Observatorio Cultural"/>
    <s v="Cantidad de Espacios Culturales por Categoría en la Región de Magallanes, Año 2021"/>
    <s v="La categoría de espacio cultural que predomina en la Región de Magallanes es &quot;Otros espacios con uso cultural&quot;, con 31 espacios del total regional. Por otro lado, la categoría menos habitual es &quot;Sala de ensayo&quot; con solo un espacio."/>
    <s v="Gráfico"/>
    <s v="Región de Magallane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2"/>
    <x v="28"/>
    <s v="#1774B9"/>
  </r>
  <r>
    <s v="0937"/>
    <n v="990"/>
    <s v="Agencia Información"/>
    <s v="Arte y cultura"/>
    <n v="13"/>
    <x v="52"/>
    <x v="9"/>
    <x v="1"/>
    <x v="13"/>
    <x v="3"/>
    <x v="13"/>
    <s v="Año 2021"/>
    <s v="Número de espacios culturales"/>
    <s v="Observatorio Cultural"/>
    <s v="Cantidad de Espacios Culturales por Categoría en la Región Metropolitana, Año 2021"/>
    <s v="La región Metropolitana posee 397 espacios culturales, predominando en la región las categorías &quot;Biblioteca&quot; y &quot;Centro cultural o Casa de la cultura&quot;, con 101 y 75 espacios respectivamente. Por otro lado, la categoría menos habitual es &quot;Sala de ensayo&quot;, con solo dos espacios del total regional."/>
    <s v="Gráfico"/>
    <s v="Región Metropolitan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3"/>
    <x v="29"/>
    <s v="#1774B9"/>
  </r>
  <r>
    <s v="0938"/>
    <n v="990"/>
    <s v="Agencia Información"/>
    <s v="Arte y cultura"/>
    <n v="14"/>
    <x v="52"/>
    <x v="9"/>
    <x v="1"/>
    <x v="14"/>
    <x v="3"/>
    <x v="13"/>
    <s v="Año 2021"/>
    <s v="Número de espacios culturales"/>
    <s v="Observatorio Cultural"/>
    <s v="Cantidad de Espacios Culturales por Categoría en la Región de Los Ríos, Año 2021"/>
    <s v="La Región de Los Ríos posee 77 espacios culturales, predominando en la región la categoría &quot;Otros espacios con uso cultural&quot;, con 39 espacios del total regional. Por otro lado, las categorías menos habituales son &quot;Sala de exposición&quot;, &quot;Sala de ensayo&quot;, &quot;Galería de arte&quot; y &quot;Cine o sala de cine&quot; con dos espacios cada una."/>
    <s v="Gráfico"/>
    <s v="Región de Los Ríos,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4"/>
    <x v="30"/>
    <s v="#1774B9"/>
  </r>
  <r>
    <s v="0939"/>
    <n v="990"/>
    <s v="Agencia Información"/>
    <s v="Arte y cultura"/>
    <n v="15"/>
    <x v="52"/>
    <x v="9"/>
    <x v="1"/>
    <x v="15"/>
    <x v="3"/>
    <x v="13"/>
    <s v="Año 2021"/>
    <s v="Número de espacios culturales"/>
    <s v="Observatorio Cultural"/>
    <s v="Cantidad de Espacios Culturales por Categoría en la Región de Arica y Parinacota, Año 2021"/>
    <s v="La Región de Arica y Parinacota posee 34 espacios culturales, predominando en la región la categoría de &quot;Biblioteca&quot; con 12 espacios del total regional."/>
    <s v="Gráfico"/>
    <s v="Región de Arica y Parinacota,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5"/>
    <x v="31"/>
    <s v="#1774B9"/>
  </r>
  <r>
    <s v="0940"/>
    <n v="990"/>
    <s v="Agencia Información"/>
    <s v="Arte y cultura"/>
    <n v="16"/>
    <x v="52"/>
    <x v="9"/>
    <x v="1"/>
    <x v="16"/>
    <x v="3"/>
    <x v="13"/>
    <s v="Año 2021"/>
    <s v="Número de espacios culturales"/>
    <s v="Observatorio Cultural"/>
    <s v="Cantidad de Espacios Culturales por Categoría en la Región de Ñuble, Año 2021"/>
    <s v="En la Región de Ñuble predominan las categorías &quot;Otros espacios con uso cultural&quot; y &quot;Biblioteca&quot; con 35 y 23 espacios respectivamente del total regional de espacios culturales."/>
    <s v="Gráfico"/>
    <s v="Región de Ñuble,espacio,cultural,infraestructura,cantidad,número,categoría,tipo,biblioteca,museo,archivo,centro cultural,sala de exposición,galería de arte,cine,casa de la cultura,Agencia Información,Arte y cultura,Espacios culturales,Cultura"/>
    <s v="https://analytics.zoho.com/open-view/2395394000008464179?ZOHO_CRITERIA=%22Espacios_Culturales_Completo%201%22.%22C%C3%B3digo_Regi%C3%B3n%22%20%3D%2016"/>
    <x v="32"/>
    <s v="#1774B9"/>
  </r>
  <r>
    <s v="0941"/>
    <n v="990"/>
    <s v="Agencia Información"/>
    <s v="Arte y cultura"/>
    <n v="0"/>
    <x v="54"/>
    <x v="9"/>
    <x v="0"/>
    <x v="0"/>
    <x v="3"/>
    <x v="13"/>
    <s v="Año 2021"/>
    <s v="Número de espacios culturales"/>
    <s v="Observatorio Cultural"/>
    <s v="Cantidad de Espacios Culturales por Estado de Mantención y Región en Chile, Año 2021"/>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espacio,cultural,infraestructura,estado,mantención,bueno,regular,malo,cantidad,Agencia Información,Arte y cultura,Estado de mantención de espacios culturales,Cultura"/>
    <s v="https://analytics.zoho.com/open-view/2395394000008056334"/>
    <x v="17"/>
    <s v="#1774B9"/>
  </r>
  <r>
    <s v="0942"/>
    <n v="990"/>
    <s v="Agencia Información"/>
    <s v="Arte y cultura"/>
    <n v="1"/>
    <x v="54"/>
    <x v="9"/>
    <x v="1"/>
    <x v="1"/>
    <x v="3"/>
    <x v="13"/>
    <s v="Año 2021"/>
    <s v="Número de espacios culturales"/>
    <s v="Observatorio Cultural"/>
    <s v="Cantidad de Espacios Culturales por Estado de Mantención en la Región de Tarapacá, Año 2021"/>
    <s v="En la Región de Tarapacá se observa que el estado de mantención de los espacios culturales se encuentra en su mayoría en estado bueno o regular, clasificados 27 en buen estado y 24 regular."/>
    <s v="Gráfico"/>
    <s v="Región de Tarapacá,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
    <x v="18"/>
    <s v="#1774B9"/>
  </r>
  <r>
    <s v="0943"/>
    <n v="990"/>
    <s v="Agencia Información"/>
    <s v="Arte y cultura"/>
    <n v="2"/>
    <x v="54"/>
    <x v="9"/>
    <x v="1"/>
    <x v="2"/>
    <x v="3"/>
    <x v="13"/>
    <s v="Año 2021"/>
    <s v="Número de espacios culturales"/>
    <s v="Observatorio Cultural"/>
    <s v="Cantidad de Espacios Culturales por Estado de Mantención en la Región de Antofagasta, Año 2021"/>
    <s v="De los 62 espacios culturales de la Región de Antofagasta, 46 se encuentran en buen estado de mantención, 9 en estado regular y dos en mal estado."/>
    <s v="Gráfico"/>
    <s v="Región de Antofagast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2"/>
    <x v="19"/>
    <s v="#1774B9"/>
  </r>
  <r>
    <s v="0944"/>
    <n v="990"/>
    <s v="Agencia Información"/>
    <s v="Arte y cultura"/>
    <n v="3"/>
    <x v="54"/>
    <x v="9"/>
    <x v="1"/>
    <x v="3"/>
    <x v="3"/>
    <x v="13"/>
    <s v="Año 2021"/>
    <s v="Número de espacios culturales"/>
    <s v="Observatorio Cultural"/>
    <s v="Cantidad de Espacios Culturales por Estado de Mantención en la Región de Atacama, Año 2021"/>
    <s v="En la Región de Atacama se observa que el estado de mantención de los espacios culturales se encuentra en su mayoría en estado bueno o regular, clasificándose 23 en buen estado y 20 como regular."/>
    <s v="Gráfico"/>
    <s v="Región de Atacam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3"/>
    <x v="20"/>
    <s v="#1774B9"/>
  </r>
  <r>
    <s v="0945"/>
    <n v="990"/>
    <s v="Agencia Información"/>
    <s v="Arte y cultura"/>
    <n v="4"/>
    <x v="54"/>
    <x v="9"/>
    <x v="1"/>
    <x v="4"/>
    <x v="3"/>
    <x v="13"/>
    <s v="Año 2021"/>
    <s v="Número de espacios culturales"/>
    <s v="Observatorio Cultural"/>
    <s v="Cantidad de Espacios Culturales por Estado de Mantención en la Región de Coquimbo, Año 2021"/>
    <s v="De los 120 espacios culturales de la Región de Coquimbo, 80 se encuentran en buen estado de mantención, 33 en estado regular y 2 en mal estado."/>
    <s v="Gráfico"/>
    <s v="Región de Coquimbo,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4"/>
    <x v="21"/>
    <s v="#1774B9"/>
  </r>
  <r>
    <s v="0946"/>
    <n v="990"/>
    <s v="Agencia Información"/>
    <s v="Arte y cultura"/>
    <n v="5"/>
    <x v="54"/>
    <x v="9"/>
    <x v="1"/>
    <x v="5"/>
    <x v="3"/>
    <x v="13"/>
    <s v="Año 2021"/>
    <s v="Número de espacios culturales"/>
    <s v="Observatorio Cultural"/>
    <s v="Cantidad de Espacios Culturales por Estado de Mantención en la Región de Valparaíso, Año 2021"/>
    <s v="La Región de Valparaíso presenta un alto porcentaje de espacios culturales en buen estado de mantención, llegando a 208, sin embargo 62 espacios se encuentran en estado regular y para 48 no hay información disponible,"/>
    <s v="Gráfico"/>
    <s v="Región de Valparaíso,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5"/>
    <x v="22"/>
    <s v="#1774B9"/>
  </r>
  <r>
    <s v="0947"/>
    <n v="990"/>
    <s v="Agencia Información"/>
    <s v="Arte y cultura"/>
    <n v="6"/>
    <x v="54"/>
    <x v="9"/>
    <x v="1"/>
    <x v="6"/>
    <x v="3"/>
    <x v="13"/>
    <s v="Año 2021"/>
    <s v="Número de espacios culturales"/>
    <s v="Observatorio Cultural"/>
    <s v="Cantidad de Espacios Culturales por Estado de Mantención en la Región de O'Higgins, Año 2021"/>
    <s v="La mayoría de los espacios culturales con los que cuenta la Región de O'Higgins, al año 2021, se encuentran en buen estado de mantención, siendo estos 122 de los 206 espacios que posee la región."/>
    <s v="Gráfico"/>
    <s v="Región de O'Higgin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6"/>
    <x v="23"/>
    <s v="#1774B9"/>
  </r>
  <r>
    <s v="0948"/>
    <n v="990"/>
    <s v="Agencia Información"/>
    <s v="Arte y cultura"/>
    <n v="7"/>
    <x v="54"/>
    <x v="9"/>
    <x v="1"/>
    <x v="7"/>
    <x v="3"/>
    <x v="13"/>
    <s v="Año 2021"/>
    <s v="Número de espacios culturales"/>
    <s v="Observatorio Cultural"/>
    <s v="Cantidad de Espacios Culturales por Estado de Mantención en la Región de Maule, Año 2021"/>
    <s v="La Región de Maule presenta un bajo porcentaje de espacios culturales en mal estado de mantención, con solo 3 espacios del total regional. La gran mayoría de espadios (102) se encuentran en buen estado."/>
    <s v="Gráfico"/>
    <s v="Región de Maule,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7"/>
    <x v="24"/>
    <s v="#1774B9"/>
  </r>
  <r>
    <s v="0949"/>
    <n v="990"/>
    <s v="Agencia Información"/>
    <s v="Arte y cultura"/>
    <n v="8"/>
    <x v="54"/>
    <x v="9"/>
    <x v="1"/>
    <x v="8"/>
    <x v="3"/>
    <x v="13"/>
    <s v="Año 2021"/>
    <s v="Número de espacios culturales"/>
    <s v="Observatorio Cultural"/>
    <s v="Cantidad de Espacios Culturales por Estado de Mantención en la Región del Biobío, Año 2021"/>
    <s v="La Región de Biobío posee 163 espacios culturales al año 2021, de los cuales 70 se encuentran en buen estado de mantención y 31 en estado regular."/>
    <s v="Gráfico"/>
    <s v="Región del Biobío,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8"/>
    <x v="25"/>
    <s v="#1774B9"/>
  </r>
  <r>
    <s v="0950"/>
    <n v="990"/>
    <s v="Agencia Información"/>
    <s v="Arte y cultura"/>
    <n v="9"/>
    <x v="54"/>
    <x v="9"/>
    <x v="1"/>
    <x v="9"/>
    <x v="3"/>
    <x v="13"/>
    <s v="Año 2021"/>
    <s v="Número de espacios culturales"/>
    <s v="Observatorio Cultural"/>
    <s v="Cantidad de Espacios Culturales por Estado de Mantención en la Región de La Araucanía, Año 2021"/>
    <s v="La Región de La Araucanía presenta un bajo porcentaje de espacios culturales en mal estado de mantención, con sólo 3 espacios del total regional. La gran mayoría de espadios (68) se encuentran en buen estado."/>
    <s v="Gráfico"/>
    <s v="Región de La Araucaní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9"/>
    <x v="26"/>
    <s v="#1774B9"/>
  </r>
  <r>
    <s v="0951"/>
    <n v="990"/>
    <s v="Agencia Información"/>
    <s v="Arte y cultura"/>
    <n v="10"/>
    <x v="54"/>
    <x v="9"/>
    <x v="1"/>
    <x v="10"/>
    <x v="3"/>
    <x v="13"/>
    <s v="Año 2021"/>
    <s v="Número de espacios culturales"/>
    <s v="Observatorio Cultural"/>
    <s v="Cantidad de Espacios Culturales por Estado de Mantención en la Región de Los Lagos, Año 2021"/>
    <s v="La Región de Los Lagos posee 153 espacios culturales al año 2021, de los cuales 78 se encuentran en buen estado de mantención y 42 en estado regular."/>
    <s v="Gráfico"/>
    <s v="Región de Los Lago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0"/>
    <x v="27"/>
    <s v="#1774B9"/>
  </r>
  <r>
    <s v="0952"/>
    <n v="990"/>
    <s v="Agencia Información"/>
    <s v="Arte y cultura"/>
    <n v="11"/>
    <x v="54"/>
    <x v="9"/>
    <x v="1"/>
    <x v="11"/>
    <x v="3"/>
    <x v="13"/>
    <s v="Año 2021"/>
    <s v="Número de espacios culturales"/>
    <s v="Observatorio Cultural"/>
    <s v="Cantidad de Espacios Culturales por Estado de Mantención en la Región de Aysén, Año 2021"/>
    <s v="La Región de Aysén registra 83 espacios culturales al año 2021; de ellos, 17 espacios presentan un mal estado de mantención y 38 un buen estado."/>
    <s v="Gráfico"/>
    <s v="Región de Aysén,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1"/>
    <x v="33"/>
    <s v="#1774B9"/>
  </r>
  <r>
    <s v="0953"/>
    <n v="990"/>
    <s v="Agencia Información"/>
    <s v="Arte y cultura"/>
    <n v="12"/>
    <x v="54"/>
    <x v="9"/>
    <x v="1"/>
    <x v="12"/>
    <x v="3"/>
    <x v="13"/>
    <s v="Año 2021"/>
    <s v="Número de espacios culturales"/>
    <s v="Observatorio Cultural"/>
    <s v="Cantidad de Espacios Culturales por Estado de Mantención en la Región de Magallanes, Año 2021"/>
    <s v="La Región de Magallanes registra 63 espacios culturales al año 2021; de ellos, 45 espacios presentan un buen estado de mantención y 14 un estado regular."/>
    <s v="Gráfico"/>
    <s v="Región de Magallane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2"/>
    <x v="28"/>
    <s v="#1774B9"/>
  </r>
  <r>
    <s v="0954"/>
    <n v="990"/>
    <s v="Agencia Información"/>
    <s v="Arte y cultura"/>
    <n v="13"/>
    <x v="54"/>
    <x v="9"/>
    <x v="1"/>
    <x v="13"/>
    <x v="3"/>
    <x v="13"/>
    <s v="Año 2021"/>
    <s v="Número de espacios culturales"/>
    <s v="Observatorio Cultural"/>
    <s v="Cantidad de Espacios Culturales por Estado de Mantención en la Región Metropolitana, Año 2021"/>
    <s v="La región Metropolitana posee 281 espacios culturales en buen estado mantención, siendo solo 48 espacios los catalogados como en estado regular o malo. "/>
    <s v="Gráfico"/>
    <s v="Región Metropolitan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3"/>
    <x v="29"/>
    <s v="#1774B9"/>
  </r>
  <r>
    <s v="0955"/>
    <n v="990"/>
    <s v="Agencia Información"/>
    <s v="Arte y cultura"/>
    <n v="14"/>
    <x v="54"/>
    <x v="9"/>
    <x v="1"/>
    <x v="14"/>
    <x v="3"/>
    <x v="13"/>
    <s v="Año 2021"/>
    <s v="Número de espacios culturales"/>
    <s v="Observatorio Cultural"/>
    <s v="Cantidad de Espacios Culturales por Estado de Mantención en la Región de Los Ríos, Año 2021"/>
    <s v="La Región de Los Ríos posee 77 espacios culturales al año 2021; de ellos, 31 espacios presentan un buen estado de mantención, sin embargo, 35 espacios no presentan registro de información de estado."/>
    <s v="Gráfico"/>
    <s v="Región de Los Ríos,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4"/>
    <x v="30"/>
    <s v="#1774B9"/>
  </r>
  <r>
    <s v="0956"/>
    <n v="990"/>
    <s v="Agencia Información"/>
    <s v="Arte y cultura"/>
    <n v="15"/>
    <x v="54"/>
    <x v="9"/>
    <x v="1"/>
    <x v="15"/>
    <x v="3"/>
    <x v="13"/>
    <s v="Año 2021"/>
    <s v="Número de espacios culturales"/>
    <s v="Observatorio Cultural"/>
    <s v="Cantidad de Espacios Culturales por Estado de Mantención en la Región de Arica y Parinacota, Año 2021"/>
    <s v="La Región de Arica y Parinacota posee solo 1 espacio cultural en mal estado de mantención, mientras que la gran mayoría, equivalente a 21 espacios, posee buen estado de mantención."/>
    <s v="Gráfico"/>
    <s v="Región de Arica y Parinacota,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5"/>
    <x v="31"/>
    <s v="#1774B9"/>
  </r>
  <r>
    <s v="0957"/>
    <n v="990"/>
    <s v="Agencia Información"/>
    <s v="Arte y cultura"/>
    <n v="16"/>
    <x v="54"/>
    <x v="9"/>
    <x v="1"/>
    <x v="16"/>
    <x v="3"/>
    <x v="13"/>
    <s v="Año 2021"/>
    <s v="Número de espacios culturales"/>
    <s v="Observatorio Cultural"/>
    <s v="Cantidad de Espacios Culturales por Estado de Mantención en la Región de Ñuble, Año 2021"/>
    <s v="En la Región de Ñuble, de los 86 espacios culturales de la región, 46 se encuentran en la categoría de buen estado de mantención."/>
    <s v="Gráfico"/>
    <s v="Región de Ñuble,espacio,cultural,infraestructura,estado,mantención,bueno,regular,malo,cantidad,Agencia Información,Arte y cultura,Estado de mantención de espacios culturales,Cultura"/>
    <s v="https://analytics.zoho.com/open-view/2395394000008464286?ZOHO_CRITERIA=%22Espacios_Culturales_Completo%201%22.%22C%C3%B3digo_Regi%C3%B3n%22%20%3D%2016"/>
    <x v="32"/>
    <s v="#1774B9"/>
  </r>
  <r>
    <s v="0958"/>
    <n v="990"/>
    <s v="Agencia Información"/>
    <s v="Arte y cultura"/>
    <n v="0"/>
    <x v="55"/>
    <x v="9"/>
    <x v="0"/>
    <x v="0"/>
    <x v="2"/>
    <x v="66"/>
    <s v="Año 2021"/>
    <s v="Lat-Long"/>
    <s v="Observatorio Cultural"/>
    <s v="Mapa de Espacios Culturales en Chile, Año 2021"/>
    <s v="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
    <s v="Mapa "/>
    <s v="Chile,espacio,cultural,infraestructura,ubicación,latitud,longitud,biblioteca,museo,archivo,centro cultural,sala de exposición,galería de arte,cine,casa de la cultura,Agencia Información,Arte y cultura,Ubicación de espacios culturales,Cultura"/>
    <s v="https://analytics.zoho.com/open-view/2395394000008056877"/>
    <x v="17"/>
    <s v="#1774B9"/>
  </r>
  <r>
    <s v="0959"/>
    <n v="990"/>
    <s v="Agencia Información"/>
    <s v="Arte y cultura"/>
    <n v="1"/>
    <x v="55"/>
    <x v="9"/>
    <x v="1"/>
    <x v="1"/>
    <x v="3"/>
    <x v="66"/>
    <s v="Año 2021"/>
    <s v="Lat-Long"/>
    <s v="Observatorio Cultural"/>
    <s v="Mapa de Espacios Culturales en la Región de Tarapacá, Año 2021"/>
    <s v="Mapa de espacios culturales en la Región de Tarapacá a nivel regional y comunal, para el año 2021, indicando ubicación geográfica y descripción de cada espacio cultural."/>
    <s v="Mapa "/>
    <s v="Región de Tarapacá,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
    <x v="18"/>
    <s v="#1774B9"/>
  </r>
  <r>
    <s v="0960"/>
    <n v="990"/>
    <s v="Agencia Información"/>
    <s v="Arte y cultura"/>
    <n v="2"/>
    <x v="55"/>
    <x v="9"/>
    <x v="1"/>
    <x v="2"/>
    <x v="3"/>
    <x v="66"/>
    <s v="Año 2021"/>
    <s v="Lat-Long"/>
    <s v="Observatorio Cultural"/>
    <s v="Mapa de Espacios Culturales en la Región de Antofagasta, Año 2021"/>
    <s v="Mapa de espacios culturales en la Región de Antofagasta a nivel regional y comunal, para el año 2021, indicando ubicación geográfica y descripción de cada espacio cultural."/>
    <s v="Mapa "/>
    <s v="Región de Antofagast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2"/>
    <x v="19"/>
    <s v="#1774B9"/>
  </r>
  <r>
    <s v="0961"/>
    <n v="990"/>
    <s v="Agencia Información"/>
    <s v="Arte y cultura"/>
    <n v="3"/>
    <x v="55"/>
    <x v="9"/>
    <x v="1"/>
    <x v="3"/>
    <x v="3"/>
    <x v="66"/>
    <s v="Año 2021"/>
    <s v="Lat-Long"/>
    <s v="Observatorio Cultural"/>
    <s v="Mapa de Espacios Culturales en la Región de Atacama, Año 2021"/>
    <s v="Mapa de espacios culturales en la Región de Atacama a nivel regional y comunal, para el año 2021, indicando ubicación geográfica y descripción de cada espacio cultural."/>
    <s v="Mapa "/>
    <s v="Región de Atacam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3"/>
    <x v="20"/>
    <s v="#1774B9"/>
  </r>
  <r>
    <s v="0962"/>
    <n v="990"/>
    <s v="Agencia Información"/>
    <s v="Arte y cultura"/>
    <n v="4"/>
    <x v="55"/>
    <x v="9"/>
    <x v="1"/>
    <x v="4"/>
    <x v="3"/>
    <x v="66"/>
    <s v="Año 2021"/>
    <s v="Lat-Long"/>
    <s v="Observatorio Cultural"/>
    <s v="Mapa de Espacios Culturales en la Región de Coquimbo, Año 2021"/>
    <s v="Mapa de espacios culturales en la Región de Coquimbo a nivel regional y comunal, para el año 2021, indicando ubicación geográfica y descripción de cada espacio cultural."/>
    <s v="Mapa "/>
    <s v="Región de Coquimbo,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4"/>
    <x v="21"/>
    <s v="#1774B9"/>
  </r>
  <r>
    <s v="0963"/>
    <n v="990"/>
    <s v="Agencia Información"/>
    <s v="Arte y cultura"/>
    <n v="5"/>
    <x v="55"/>
    <x v="9"/>
    <x v="1"/>
    <x v="5"/>
    <x v="3"/>
    <x v="66"/>
    <s v="Año 2021"/>
    <s v="Lat-Long"/>
    <s v="Observatorio Cultural"/>
    <s v="Mapa de Espacios Culturales en la Región de Valparaíso, Año 2021"/>
    <s v="Mapa de espacios culturales en la Región de Valparaíso a nivel regional y comunal, para el año 2021, indicando ubicación geográfica y descripción de cada espacio cultural."/>
    <s v="Mapa "/>
    <s v="Región de Valparaíso,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5"/>
    <x v="22"/>
    <s v="#1774B9"/>
  </r>
  <r>
    <s v="0964"/>
    <n v="990"/>
    <s v="Agencia Información"/>
    <s v="Arte y cultura"/>
    <n v="6"/>
    <x v="55"/>
    <x v="9"/>
    <x v="1"/>
    <x v="6"/>
    <x v="3"/>
    <x v="66"/>
    <s v="Año 2021"/>
    <s v="Lat-Long"/>
    <s v="Observatorio Cultural"/>
    <s v="Mapa de Espacios Culturales en la Región de O'Higgins, Año 2021"/>
    <s v="Mapa de espacios culturales en la Región de O'Higgins a nivel regional y comunal, para el año 2021, indicando ubicación geográfica y descripción de cada espacio cultural."/>
    <s v="Mapa "/>
    <s v="Región de O'Higgin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6"/>
    <x v="23"/>
    <s v="#1774B9"/>
  </r>
  <r>
    <s v="0965"/>
    <n v="990"/>
    <s v="Agencia Información"/>
    <s v="Arte y cultura"/>
    <n v="7"/>
    <x v="55"/>
    <x v="9"/>
    <x v="1"/>
    <x v="7"/>
    <x v="3"/>
    <x v="66"/>
    <s v="Año 2021"/>
    <s v="Lat-Long"/>
    <s v="Observatorio Cultural"/>
    <s v="Mapa de Espacios Culturales en la Región de Maule, Año 2021"/>
    <s v="Mapa de espacios culturales en la Región de Maule a nivel regional y comunal, para el año 2021, indicando ubicación geográfica y descripción de cada espacio cultural."/>
    <s v="Mapa "/>
    <s v="Región de Maule,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7"/>
    <x v="24"/>
    <s v="#1774B9"/>
  </r>
  <r>
    <s v="0966"/>
    <n v="990"/>
    <s v="Agencia Información"/>
    <s v="Arte y cultura"/>
    <n v="8"/>
    <x v="55"/>
    <x v="9"/>
    <x v="1"/>
    <x v="8"/>
    <x v="3"/>
    <x v="66"/>
    <s v="Año 2021"/>
    <s v="Lat-Long"/>
    <s v="Observatorio Cultural"/>
    <s v="Mapa de Espacios Culturales en la Región del Biobío, Año 2021"/>
    <s v="Mapa de espacios culturales en la Región de Biobío a nivel regional y comunal, para el año 2021, indicando ubicación geográfica y descripción de cada espacio cultural."/>
    <s v="Mapa "/>
    <s v="Región del Biobío,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8"/>
    <x v="25"/>
    <s v="#1774B9"/>
  </r>
  <r>
    <s v="0967"/>
    <n v="990"/>
    <s v="Agencia Información"/>
    <s v="Arte y cultura"/>
    <n v="9"/>
    <x v="55"/>
    <x v="9"/>
    <x v="1"/>
    <x v="9"/>
    <x v="3"/>
    <x v="66"/>
    <s v="Año 2021"/>
    <s v="Lat-Long"/>
    <s v="Observatorio Cultural"/>
    <s v="Mapa de Espacios Culturales en la Región de La Araucanía, Año 2021"/>
    <s v="Mapa de espacios culturales en la Región de La Araucanía a nivel regional y comunal, para el año 2021, indicando ubicación geográfica y descripción de cada espacio cultural."/>
    <s v="Mapa "/>
    <s v="Región de La Araucaní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9"/>
    <x v="26"/>
    <s v="#1774B9"/>
  </r>
  <r>
    <s v="0968"/>
    <n v="990"/>
    <s v="Agencia Información"/>
    <s v="Arte y cultura"/>
    <n v="10"/>
    <x v="55"/>
    <x v="9"/>
    <x v="1"/>
    <x v="10"/>
    <x v="3"/>
    <x v="66"/>
    <s v="Año 2021"/>
    <s v="Lat-Long"/>
    <s v="Observatorio Cultural"/>
    <s v="Mapa de Espacios Culturales en la Región de Los Lagos, Año 2021"/>
    <s v="Mapa de espacios culturales en la Región de Los Lagos a nivel regional y comunal, para el año 2021, indicando ubicación geográfica y descripción de cada espacio cultural."/>
    <s v="Mapa "/>
    <s v="Región de Los Lago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0"/>
    <x v="27"/>
    <s v="#1774B9"/>
  </r>
  <r>
    <s v="0969"/>
    <n v="990"/>
    <s v="Agencia Información"/>
    <s v="Arte y cultura"/>
    <n v="11"/>
    <x v="55"/>
    <x v="9"/>
    <x v="1"/>
    <x v="11"/>
    <x v="3"/>
    <x v="66"/>
    <s v="Año 2021"/>
    <s v="Lat-Long"/>
    <s v="Observatorio Cultural"/>
    <s v="Mapa de Espacios Culturales en la Región de Aysén, Año 2021"/>
    <s v="Mapa de espacios culturales en la Región de Aysén a nivel regional y comunal, para el año 2021, indicando ubicación geográfica y descripción de cada espacio cultural."/>
    <s v="Mapa "/>
    <s v="Región de Aysén,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1"/>
    <x v="33"/>
    <s v="#1774B9"/>
  </r>
  <r>
    <s v="0970"/>
    <n v="990"/>
    <s v="Agencia Información"/>
    <s v="Arte y cultura"/>
    <n v="12"/>
    <x v="55"/>
    <x v="9"/>
    <x v="1"/>
    <x v="12"/>
    <x v="3"/>
    <x v="66"/>
    <s v="Año 2021"/>
    <s v="Lat-Long"/>
    <s v="Observatorio Cultural"/>
    <s v="Mapa de Espacios Culturales en la Región de Magallanes, Año 2021"/>
    <s v="Mapa de espacios culturales en la Región de Magallanes a nivel regional y comunal, para el año 2021, indicando ubicación geográfica y descripción de cada espacio cultural."/>
    <s v="Mapa "/>
    <s v="Región de Magallane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2"/>
    <x v="28"/>
    <s v="#1774B9"/>
  </r>
  <r>
    <s v="0971"/>
    <n v="990"/>
    <s v="Agencia Información"/>
    <s v="Arte y cultura"/>
    <n v="13"/>
    <x v="55"/>
    <x v="9"/>
    <x v="1"/>
    <x v="13"/>
    <x v="3"/>
    <x v="66"/>
    <s v="Año 2021"/>
    <s v="Lat-Long"/>
    <s v="Observatorio Cultural"/>
    <s v="Mapa de Espacios Culturales en la Región Metropolitana, Año 2021"/>
    <s v="Mapa de espacios culturales en la región Metropolitana a nivel regional y comunal, para el año 2021, indicando ubicación geográfica y descripción de cada espacio cultural."/>
    <s v="Mapa "/>
    <s v="Región Metropolitan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3"/>
    <x v="29"/>
    <s v="#1774B9"/>
  </r>
  <r>
    <s v="0972"/>
    <n v="990"/>
    <s v="Agencia Información"/>
    <s v="Arte y cultura"/>
    <n v="14"/>
    <x v="55"/>
    <x v="9"/>
    <x v="1"/>
    <x v="14"/>
    <x v="3"/>
    <x v="66"/>
    <s v="Año 2021"/>
    <s v="Lat-Long"/>
    <s v="Observatorio Cultural"/>
    <s v="Mapa de Espacios Culturales en la Región de Los Ríos, Año 2021"/>
    <s v="Mapa de espacios culturales en la Región de Los Ríos a nivel regional y comunal, para el año 2021, indicando ubicación geográfica y descripción de cada espacio cultural."/>
    <s v="Mapa "/>
    <s v="Región de Los Ríos,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4"/>
    <x v="30"/>
    <s v="#1774B9"/>
  </r>
  <r>
    <s v="0973"/>
    <n v="990"/>
    <s v="Agencia Información"/>
    <s v="Arte y cultura"/>
    <n v="15"/>
    <x v="55"/>
    <x v="9"/>
    <x v="1"/>
    <x v="15"/>
    <x v="3"/>
    <x v="66"/>
    <s v="Año 2021"/>
    <s v="Lat-Long"/>
    <s v="Observatorio Cultural"/>
    <s v="Mapa de Espacios Culturales en la Región de Arica y Parinacota, Año 2021"/>
    <s v="Mapa de espacios culturales en la Región de Arica y Parinacota a nivel regional y comunal, para el año 2021, indicando ubicación geográfica y descripción de cada espacio cultural."/>
    <s v="Mapa "/>
    <s v="Región de Arica y Parinacota,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5"/>
    <x v="31"/>
    <s v="#1774B9"/>
  </r>
  <r>
    <s v="0974"/>
    <n v="990"/>
    <s v="Agencia Información"/>
    <s v="Arte y cultura"/>
    <n v="16"/>
    <x v="55"/>
    <x v="9"/>
    <x v="1"/>
    <x v="16"/>
    <x v="3"/>
    <x v="66"/>
    <s v="Año 2021"/>
    <s v="Lat-Long"/>
    <s v="Observatorio Cultural"/>
    <s v="Mapa de Espacios Culturales en la Región de Ñuble, Año 2021"/>
    <s v="Mapa de espacios culturales en la Región de Ñuble a nivel regional y comunal, para el año 2021, indicando ubicación geográfica y descripción de cada espacio cultural."/>
    <s v="Mapa "/>
    <s v="Región de Ñuble,espacio,cultural,infraestructura,ubicación,latitud,longitud,biblioteca,museo,archivo,centro cultural,sala de exposición,galería de arte,cine,casa de la cultura,Agencia Información,Arte y cultura,Ubicación de espacios culturales,Cultura"/>
    <s v="https://analytics.zoho.com/open-view/2395394000008464353?ZOHO_CRITERIA=%22Espacios_Culturales_Completo%201%22.%22C%C3%B3digo_Regi%C3%B3n%22%20%3D%2016"/>
    <x v="32"/>
    <s v="#1774B9"/>
  </r>
  <r>
    <s v="0975"/>
    <n v="990"/>
    <s v="Agencia Información"/>
    <s v="Mujeres"/>
    <n v="0"/>
    <x v="24"/>
    <x v="14"/>
    <x v="0"/>
    <x v="0"/>
    <x v="0"/>
    <x v="31"/>
    <s v="Periodo 2011-2018"/>
    <s v="Número de Casos"/>
    <s v="Departamento de Estadísticas e Información de la Salud (DEIS) - Ministerio de Salud"/>
    <s v="Población en Control del Programa de Cáncer de Cuello Uterino por Rango Etario en Chile, Periodo 2011-2018"/>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cáncer,cuello,uterino,cérvico,útero,PAP,Papanicolaou,casos,control,población,edad,rango,etario,Agencia Información,Mujeres,Programa de Cáncer de Cuello Uterino,Mujer Salud"/>
    <s v="https://analytics.zoho.com/open-view/2395394000008099175"/>
    <x v="0"/>
    <s v="#1774B9"/>
  </r>
  <r>
    <s v="0976"/>
    <n v="990"/>
    <s v="Agencia Información"/>
    <s v="Mujeres"/>
    <n v="1"/>
    <x v="24"/>
    <x v="14"/>
    <x v="1"/>
    <x v="1"/>
    <x v="1"/>
    <x v="31"/>
    <s v="Periodo 2011-2018"/>
    <s v="Número de Casos"/>
    <s v="Departamento de Estadísticas e Información de la Salud (DEIS) - Ministerio de Salud"/>
    <s v="Población en Control del Programa de Cáncer de Cuello Uterino por Rango Etario en la Región de Tarapacá, Periodo 2011-2018"/>
    <s v="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
    <s v="Gráfico de Evolución"/>
    <s v="Región de Tarapacá,cáncer,cuello,uterino,cérvico,útero,PAP,Papanicolaou,casos,control,población,edad,rango,etario,Agencia Información,Mujeres,Programa de Cáncer de Cuello Uterino,Mujer Salud"/>
    <s v="https://analytics.zoho.com/open-view/2395394000008463005?ZOHO_CRITERIA=%22Localiza%20CL%22.%22Codreg%22%20%3D%201"/>
    <x v="1"/>
    <s v="#1774B9"/>
  </r>
  <r>
    <s v="0977"/>
    <n v="990"/>
    <s v="Agencia Información"/>
    <s v="Mujeres"/>
    <n v="2"/>
    <x v="24"/>
    <x v="14"/>
    <x v="1"/>
    <x v="2"/>
    <x v="1"/>
    <x v="31"/>
    <s v="Periodo 2011-2018"/>
    <s v="Número de Casos"/>
    <s v="Departamento de Estadísticas e Información de la Salud (DEIS) - Ministerio de Salud"/>
    <s v="Población en Control del Programa de Cáncer de Cuello Uterino por Rango Etario en la Región de Antofagasta, Periodo 2011-2018"/>
    <s v="Gráfico que muestra la evolución de la población en control del Programa de Cáncer de Cuello Uterino por rango etario en la Región de Antofagasta para el periodo 2011-2018, según información entregada por el DEIS del Ministerio de Salud."/>
    <s v="Gráfico de Evolución"/>
    <s v="Región de Antofagasta,cáncer,cuello,uterino,cérvico,útero,PAP,Papanicolaou,casos,control,población,edad,rango,etario,Agencia Información,Mujeres,Programa de Cáncer de Cuello Uterino,Mujer Salud"/>
    <s v="https://analytics.zoho.com/open-view/2395394000008463005?ZOHO_CRITERIA=%22Localiza%20CL%22.%22Codreg%22%20%3D%202"/>
    <x v="2"/>
    <s v="#1774B9"/>
  </r>
  <r>
    <s v="0978"/>
    <n v="990"/>
    <s v="Agencia Información"/>
    <s v="Mujeres"/>
    <n v="3"/>
    <x v="24"/>
    <x v="14"/>
    <x v="1"/>
    <x v="3"/>
    <x v="1"/>
    <x v="31"/>
    <s v="Periodo 2011-2018"/>
    <s v="Número de Casos"/>
    <s v="Departamento de Estadísticas e Información de la Salud (DEIS) - Ministerio de Salud"/>
    <s v="Población en Control del Programa de Cáncer de Cuello Uterino por Rango Etario en la Región de Atacama, Periodo 2011-2018"/>
    <s v="Gráfico que muestra la evolución de la población en control del Programa de Cáncer de Cuello Uterino por rango etario en la Región de Atacama para el periodo 2011-2018, según información entregada por el DEIS del Ministerio de Salud."/>
    <s v="Gráfico de Evolución"/>
    <s v="Región de Atacama,cáncer,cuello,uterino,cérvico,útero,PAP,Papanicolaou,casos,control,población,edad,rango,etario,Agencia Información,Mujeres,Programa de Cáncer de Cuello Uterino,Mujer Salud"/>
    <s v="https://analytics.zoho.com/open-view/2395394000008463005?ZOHO_CRITERIA=%22Localiza%20CL%22.%22Codreg%22%20%3D%203"/>
    <x v="3"/>
    <s v="#1774B9"/>
  </r>
  <r>
    <s v="0979"/>
    <n v="990"/>
    <s v="Agencia Información"/>
    <s v="Mujeres"/>
    <n v="4"/>
    <x v="24"/>
    <x v="14"/>
    <x v="1"/>
    <x v="4"/>
    <x v="1"/>
    <x v="31"/>
    <s v="Periodo 2011-2018"/>
    <s v="Número de Casos"/>
    <s v="Departamento de Estadísticas e Información de la Salud (DEIS) - Ministerio de Salud"/>
    <s v="Población en Control del Programa de Cáncer de Cuello Uterino por Rango Etario en la Región de Coquimbo, Periodo 2011-2018"/>
    <s v="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
    <s v="Gráfico de Evolución"/>
    <s v="Región de Coquimbo,cáncer,cuello,uterino,cérvico,útero,PAP,Papanicolaou,casos,control,población,edad,rango,etario,Agencia Información,Mujeres,Programa de Cáncer de Cuello Uterino,Mujer Salud"/>
    <s v="https://analytics.zoho.com/open-view/2395394000008463005?ZOHO_CRITERIA=%22Localiza%20CL%22.%22Codreg%22%20%3D%204"/>
    <x v="4"/>
    <s v="#1774B9"/>
  </r>
  <r>
    <s v="0980"/>
    <n v="990"/>
    <s v="Agencia Información"/>
    <s v="Mujeres"/>
    <n v="5"/>
    <x v="24"/>
    <x v="14"/>
    <x v="1"/>
    <x v="5"/>
    <x v="1"/>
    <x v="31"/>
    <s v="Periodo 2011-2018"/>
    <s v="Número de Casos"/>
    <s v="Departamento de Estadísticas e Información de la Salud (DEIS) - Ministerio de Salud"/>
    <s v="Población en Control del Programa de Cáncer de Cuello Uterino por Rango Etario en la Región de Valparaíso, Periodo 2011-2018"/>
    <s v="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
    <s v="Gráfico de Evolución"/>
    <s v="Región de Valparaíso,cáncer,cuello,uterino,cérvico,útero,PAP,Papanicolaou,casos,control,población,edad,rango,etario,Agencia Información,Mujeres,Programa de Cáncer de Cuello Uterino,Mujer Salud"/>
    <s v="https://analytics.zoho.com/open-view/2395394000008463005?ZOHO_CRITERIA=%22Localiza%20CL%22.%22Codreg%22%20%3D%205"/>
    <x v="5"/>
    <s v="#1774B9"/>
  </r>
  <r>
    <s v="0981"/>
    <n v="990"/>
    <s v="Agencia Información"/>
    <s v="Mujeres"/>
    <n v="6"/>
    <x v="24"/>
    <x v="14"/>
    <x v="1"/>
    <x v="6"/>
    <x v="1"/>
    <x v="31"/>
    <s v="Periodo 2011-2018"/>
    <s v="Número de Casos"/>
    <s v="Departamento de Estadísticas e Información de la Salud (DEIS) - Ministerio de Salud"/>
    <s v="Población en Control del Programa de Cáncer de Cuello Uterino por Rango Etario en la Región de O'Higgins, Periodo 2011-2018"/>
    <s v="Considerando la evolución de la cantidad de casos acumulados de Cáncer de Cuello Uterino en la Región de O'Higgins, en el periodo 2011-2018, se observa que el año 2017 tiene la mayor cantidad de casos acumulados, siendo el rango de &quot;65 y más&quot; el que presenta mayor cantidad de casos. Por su parte, se aprecia una baja total en el año 2018"/>
    <s v="Gráfico de Evolución"/>
    <s v="Región de O'Higgins,cáncer,cuello,uterino,cérvico,útero,PAP,Papanicolaou,casos,control,población,edad,rango,etario,Agencia Información,Mujeres,Programa de Cáncer de Cuello Uterino,Mujer Salud"/>
    <s v="https://analytics.zoho.com/open-view/2395394000008463005?ZOHO_CRITERIA=%22Localiza%20CL%22.%22Codreg%22%20%3D%206"/>
    <x v="6"/>
    <s v="#1774B9"/>
  </r>
  <r>
    <s v="0982"/>
    <n v="990"/>
    <s v="Agencia Información"/>
    <s v="Mujeres"/>
    <n v="7"/>
    <x v="24"/>
    <x v="14"/>
    <x v="1"/>
    <x v="7"/>
    <x v="1"/>
    <x v="31"/>
    <s v="Periodo 2011-2018"/>
    <s v="Número de Casos"/>
    <s v="Departamento de Estadísticas e Información de la Salud (DEIS) - Ministerio de Salud"/>
    <s v="Población en Control del Programa de Cáncer de Cuello Uterino por Rango Etario en la Región de Maule, Periodo 2011-2018"/>
    <s v="Considerando la evolución de la cantidad de casos acumulados de Cáncer de Cuello Uterino en la Región de Maule, en el periodo 2011-2018, se observa que el año 2014 presenta la mayor cantidad de casos en el rango etario de &quot;65 y más&quot;, mientras que el año 2018 presenta solo un caso."/>
    <s v="Gráfico de Evolución"/>
    <s v="Región de Maule,cáncer,cuello,uterino,cérvico,útero,PAP,Papanicolaou,casos,control,población,edad,rango,etario,Agencia Información,Mujeres,Programa de Cáncer de Cuello Uterino,Mujer Salud"/>
    <s v="https://analytics.zoho.com/open-view/2395394000008463005?ZOHO_CRITERIA=%22Localiza%20CL%22.%22Codreg%22%20%3D%207"/>
    <x v="7"/>
    <s v="#1774B9"/>
  </r>
  <r>
    <s v="0983"/>
    <n v="990"/>
    <s v="Agencia Información"/>
    <s v="Mujeres"/>
    <n v="8"/>
    <x v="24"/>
    <x v="14"/>
    <x v="1"/>
    <x v="8"/>
    <x v="1"/>
    <x v="31"/>
    <s v="Periodo 2011-2018"/>
    <s v="Número de Casos"/>
    <s v="Departamento de Estadísticas e Información de la Salud (DEIS) - Ministerio de Salud"/>
    <s v="Población en Control del Programa de Cáncer de Cuello Uterino por Rango Etario en la Región del Biobío, Periodo 2011-2018"/>
    <s v="Considerando la evolución de la cantidad de casos acumulados de Cáncer de Cuello Uterino en la Región de Biobío, en el periodo 2011-2018, se observa que el año 2015 tiene la mayor cantidad de casos acumulados, siendo el rango de &quot;35 a 39&quot; años el mayor."/>
    <s v="Gráfico de Evolución"/>
    <s v="Región del Biobío,cáncer,cuello,uterino,cérvico,útero,PAP,Papanicolaou,casos,control,población,edad,rango,etario,Agencia Información,Mujeres,Programa de Cáncer de Cuello Uterino,Mujer Salud"/>
    <s v="https://analytics.zoho.com/open-view/2395394000008463005?ZOHO_CRITERIA=%22Localiza%20CL%22.%22Codreg%22%20%3D%208"/>
    <x v="8"/>
    <s v="#1774B9"/>
  </r>
  <r>
    <s v="0984"/>
    <n v="990"/>
    <s v="Agencia Información"/>
    <s v="Mujeres"/>
    <n v="9"/>
    <x v="24"/>
    <x v="14"/>
    <x v="1"/>
    <x v="9"/>
    <x v="1"/>
    <x v="31"/>
    <s v="Periodo 2011-2018"/>
    <s v="Número de Casos"/>
    <s v="Departamento de Estadísticas e Información de la Salud (DEIS) - Ministerio de Salud"/>
    <s v="Población en Control del Programa de Cáncer de Cuello Uterino por Rango Etario en la Región de La Araucanía, Periodo 2011-2018"/>
    <s v="Al observar la evolución de la cantidad de casos acumulados de Cáncer de Cuello Uterino en la Región de La Araucanía, en el periodo 2011-2018, se muestra que el año 2016 tiene la mayor cantidad de casos acumulados, siendo el rango de &quot;60-64&quot; años el con más casos."/>
    <s v="Gráfico de Evolución"/>
    <s v="Región de La Araucanía,cáncer,cuello,uterino,cérvico,útero,PAP,Papanicolaou,casos,control,población,edad,rango,etario,Agencia Información,Mujeres,Programa de Cáncer de Cuello Uterino,Mujer Salud"/>
    <s v="https://analytics.zoho.com/open-view/2395394000008463005?ZOHO_CRITERIA=%22Localiza%20CL%22.%22Codreg%22%20%3D%209"/>
    <x v="9"/>
    <s v="#1774B9"/>
  </r>
  <r>
    <s v="0985"/>
    <n v="990"/>
    <s v="Agencia Información"/>
    <s v="Mujeres"/>
    <n v="10"/>
    <x v="24"/>
    <x v="14"/>
    <x v="1"/>
    <x v="10"/>
    <x v="1"/>
    <x v="31"/>
    <s v="Periodo 2011-2018"/>
    <s v="Número de Casos"/>
    <s v="Departamento de Estadísticas e Información de la Salud (DEIS) - Ministerio de Salud"/>
    <s v="Población en Control del Programa de Cáncer de Cuello Uterino por Rango Etario en la Región de Los Lagos, Periodo 2011-2018"/>
    <s v="Considerando la evolución de la cantidad de casos acumulados de Cáncer de Cuello Uterino en la Región de Los Lagos, en el periodo 2011-2018, se observa un aumento de casos en el año 2018, siendo el rango de &quot;55-59&quot; el que tiene la mayor cantidad con 6 casos."/>
    <s v="Gráfico de Evolución"/>
    <s v="Región de Los Lagos,cáncer,cuello,uterino,cérvico,útero,PAP,Papanicolaou,casos,control,población,edad,rango,etario,Agencia Información,Mujeres,Programa de Cáncer de Cuello Uterino,Mujer Salud"/>
    <s v="https://analytics.zoho.com/open-view/2395394000008463005?ZOHO_CRITERIA=%22Localiza%20CL%22.%22Codreg%22%20%3D%2010"/>
    <x v="10"/>
    <s v="#1774B9"/>
  </r>
  <r>
    <s v="0986"/>
    <n v="990"/>
    <s v="Agencia Información"/>
    <s v="Mujeres"/>
    <n v="11"/>
    <x v="24"/>
    <x v="14"/>
    <x v="1"/>
    <x v="11"/>
    <x v="1"/>
    <x v="31"/>
    <s v="Periodo 2011-2018"/>
    <s v="Número de Casos"/>
    <s v="Departamento de Estadísticas e Información de la Salud (DEIS) - Ministerio de Salud"/>
    <s v="Población en Control del Programa de Cáncer de Cuello Uterino por Rango Etario en la Región de Aysén, Periodo 2011-2018"/>
    <s v="Considerando la evolución de la cantidad de casos acumulados de Cáncer de Cuello Uterino en la Región de Aysén, en el periodo 2011-2018, se observa en el año 2018 solo 1 caso para dos rangos etarios, de &quot;35-39&quot; y &quot;40-44&quot; años."/>
    <s v="Gráfico de Evolución"/>
    <s v="Región de Aysén,cáncer,cuello,uterino,cérvico,útero,PAP,Papanicolaou,casos,control,población,edad,rango,etario,Agencia Información,Mujeres,Programa de Cáncer de Cuello Uterino,Mujer Salud"/>
    <s v="https://analytics.zoho.com/open-view/2395394000008463005?ZOHO_CRITERIA=%22Localiza%20CL%22.%22Codreg%22%20%3D%2011"/>
    <x v="11"/>
    <s v="#1774B9"/>
  </r>
  <r>
    <s v="0987"/>
    <n v="990"/>
    <s v="Agencia Información"/>
    <s v="Mujeres"/>
    <n v="12"/>
    <x v="24"/>
    <x v="14"/>
    <x v="1"/>
    <x v="12"/>
    <x v="1"/>
    <x v="31"/>
    <s v="Periodo 2011-2018"/>
    <s v="Número de Casos"/>
    <s v="Departamento de Estadísticas e Información de la Salud (DEIS) - Ministerio de Salud"/>
    <s v="Población en Control del Programa de Cáncer de Cuello Uterino por Rango Etario en la Región de Magallanes, Periodo 2011-2018"/>
    <s v="Considerando la evolución de la cantidad de casos acumulados de Cáncer de Cuello Uterino en la Región de Magallanes, en el periodo 2011-2018, se informan en el año 2018 solo 1 caso para dos rangos etarios, de &quot;40-44&quot; y &quot;menor de 25&quot; años. "/>
    <s v="Gráfico de Evolución"/>
    <s v="Región de Magallanes,cáncer,cuello,uterino,cérvico,útero,PAP,Papanicolaou,casos,control,población,edad,rango,etario,Agencia Información,Mujeres,Programa de Cáncer de Cuello Uterino,Mujer Salud"/>
    <s v="https://analytics.zoho.com/open-view/2395394000008463005?ZOHO_CRITERIA=%22Localiza%20CL%22.%22Codreg%22%20%3D%2012"/>
    <x v="12"/>
    <s v="#1774B9"/>
  </r>
  <r>
    <s v="0988"/>
    <n v="990"/>
    <s v="Agencia Información"/>
    <s v="Mujeres"/>
    <n v="13"/>
    <x v="24"/>
    <x v="14"/>
    <x v="1"/>
    <x v="13"/>
    <x v="1"/>
    <x v="31"/>
    <s v="Periodo 2011-2018"/>
    <s v="Número de Casos"/>
    <s v="Departamento de Estadísticas e Información de la Salud (DEIS) - Ministerio de Salud"/>
    <s v="Población en Control del Programa de Cáncer de Cuello Uterino por Rango Etario en la Región Metropolitana, Periodo 2011-2018"/>
    <s v="Considerando la evolución de la cantidad de casos acumulados de Cáncer de Cuello Uterino en la Región Metropolitana, en el periodo 2011-2018, se observa que en el año 2018 el rango etario con mayor cantidad de casos es de &quot;30-34&quot; años."/>
    <s v="Gráfico de Evolución"/>
    <s v="Región Metropolitana,cáncer,cuello,uterino,cérvico,útero,PAP,Papanicolaou,casos,control,población,edad,rango,etario,Agencia Información,Mujeres,Programa de Cáncer de Cuello Uterino,Mujer Salud"/>
    <s v="https://analytics.zoho.com/open-view/2395394000008463005?ZOHO_CRITERIA=%22Localiza%20CL%22.%22Codreg%22%20%3D%2013"/>
    <x v="13"/>
    <s v="#1774B9"/>
  </r>
  <r>
    <s v="0989"/>
    <n v="990"/>
    <s v="Agencia Información"/>
    <s v="Mujeres"/>
    <n v="14"/>
    <x v="24"/>
    <x v="14"/>
    <x v="1"/>
    <x v="14"/>
    <x v="1"/>
    <x v="31"/>
    <s v="Periodo 2011-2018"/>
    <s v="Número de Casos"/>
    <s v="Departamento de Estadísticas e Información de la Salud (DEIS) - Ministerio de Salud"/>
    <s v="Población en Control del Programa de Cáncer de Cuello Uterino por Rango Etario en la Región de Los Ríos, Periodo 2011-2018"/>
    <s v="Considerando la evolución de la cantidad de casos acumulados de Cáncer de Cuello Uterino en la Región de Los Ríos, en el periodo 2011-2018, se observa en el año 2016 la mayor cantidad de casos en el rango etario &quot;65 y más&quot;, llegando a 4 casos."/>
    <s v="Gráfico de Evolución"/>
    <s v="Región de Los Ríos,cáncer,cuello,uterino,cérvico,útero,PAP,Papanicolaou,casos,control,población,edad,rango,etario,Agencia Información,Mujeres,Programa de Cáncer de Cuello Uterino,Mujer Salud"/>
    <s v="https://analytics.zoho.com/open-view/2395394000008463005?ZOHO_CRITERIA=%22Localiza%20CL%22.%22Codreg%22%20%3D%2014"/>
    <x v="14"/>
    <s v="#1774B9"/>
  </r>
  <r>
    <s v="0990"/>
    <n v="990"/>
    <s v="Agencia Información"/>
    <s v="Mujeres"/>
    <n v="15"/>
    <x v="24"/>
    <x v="14"/>
    <x v="1"/>
    <x v="15"/>
    <x v="1"/>
    <x v="31"/>
    <s v="Periodo 2011-2018"/>
    <s v="Número de Casos"/>
    <s v="Departamento de Estadísticas e Información de la Salud (DEIS) - Ministerio de Salud"/>
    <s v="Población en Control del Programa de Cáncer de Cuello Uterino por Rango Etario en la Región de Arica y Parinacota, Periodo 2011-2018"/>
    <s v="Considerando la evolución de la población en Control del Programa de Cáncer de Cuello Uterino por Rango Etario en la Región de Arica y Parinacota, en el periodo 2011-2018, se observa que el año 2015 tiene la mayor cantidad de casos acumulados siendo el rango de &quot;30-34&quot; años el que presentan mayor cantidad."/>
    <s v="Gráfico de Evolución"/>
    <s v="Región de Arica y Parinacota,cáncer,cuello,uterino,cérvico,útero,PAP,Papanicolaou,casos,control,población,edad,rango,etario,Agencia Información,Mujeres,Programa de Cáncer de Cuello Uterino,Mujer Salud"/>
    <s v="https://analytics.zoho.com/open-view/2395394000008463005?ZOHO_CRITERIA=%22Localiza%20CL%22.%22Codreg%22%20%3D%2015"/>
    <x v="15"/>
    <s v="#1774B9"/>
  </r>
  <r>
    <s v="0991"/>
    <n v="990"/>
    <s v="Agencia Información"/>
    <s v="Mujeres"/>
    <n v="16"/>
    <x v="24"/>
    <x v="14"/>
    <x v="1"/>
    <x v="16"/>
    <x v="1"/>
    <x v="31"/>
    <s v="Periodo 2011-2018"/>
    <s v="Número de Casos"/>
    <s v="Departamento de Estadísticas e Información de la Salud (DEIS) - Ministerio de Salud"/>
    <s v="Población en Control del Programa de Cáncer de Cuello Uterino por Rango Etario en la Región de Ñuble, Periodo 2011-2018"/>
    <s v="Considerando la evolución de la población en Control del Programa de Cáncer de Cuello Uterino por Rango Etario en la Región de Ñuble, en el periodo 2011-2018, se observa un aumento de los casos en el año 2018, siendo el rango etario de &quot;25-29&quot; años el que presenta más casos."/>
    <s v="Gráfico de Evolución"/>
    <s v="Región de Ñuble,cáncer,cuello,uterino,cérvico,útero,PAP,Papanicolaou,casos,control,población,edad,rango,etario,Agencia Información,Mujeres,Programa de Cáncer de Cuello Uterino,Mujer Salud"/>
    <s v="https://analytics.zoho.com/open-view/2395394000008463005?ZOHO_CRITERIA=%22Localiza%20CL%22.%22Codreg%22%20%3D%2016"/>
    <x v="16"/>
    <s v="#1774B9"/>
  </r>
  <r>
    <s v="0992"/>
    <n v="990"/>
    <s v="Agencia Información"/>
    <s v="Mujeres"/>
    <n v="0"/>
    <x v="24"/>
    <x v="14"/>
    <x v="0"/>
    <x v="0"/>
    <x v="1"/>
    <x v="31"/>
    <s v="Periodo 2011-2018"/>
    <s v="Número de Casos"/>
    <s v="Departamento de Estadísticas e Información de la Salud (DEIS) - Ministerio de Salud"/>
    <s v="Población en Control del Programa de Cáncer de Cuello Uterino por Región en Chile, Periodo 2011-2018"/>
    <s v="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
    <s v="Gráfico de Evolución"/>
    <s v="Chile,cáncer,cuello,uterino,cérvico,útero,PAP,papanicolaou,casos,control,población,Agencia Información,Mujeres,Programa de Cáncer de Cuello Uterino,Mujer Salud"/>
    <s v="https://analytics.zoho.com/open-view/2395394000008099329"/>
    <x v="0"/>
    <s v="#1774B9"/>
  </r>
  <r>
    <s v="0993"/>
    <n v="990"/>
    <s v="Agencia Información"/>
    <s v="Mujeres"/>
    <n v="1"/>
    <x v="24"/>
    <x v="14"/>
    <x v="1"/>
    <x v="1"/>
    <x v="1"/>
    <x v="31"/>
    <s v="Periodo 2011-2018"/>
    <s v="Número de Casos"/>
    <s v="Departamento de Estadísticas e Información de la Salud (DEIS) - Ministerio de Salud"/>
    <s v="Población en Control del Programa de Cáncer de Cuello Uterino en la Región de Tarapacá, Periodo 2011-2018"/>
    <s v="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
    <s v="Gráfico de Evolución"/>
    <s v="Región de Tarapacá,cáncer,cuello,uterino,cérvico,útero,PAP,papanicolaou,casos,control,población,Agencia Información,Mujeres,Programa de Cáncer de Cuello Uterino,Mujer Salud"/>
    <s v="https://analytics.zoho.com/open-view/2395394000008099329?ZOHO_CRITERIA=%22Localiza%20CL%22.%22Codreg%22%20%3D%201"/>
    <x v="1"/>
    <s v="#1774B9"/>
  </r>
  <r>
    <s v="0994"/>
    <n v="990"/>
    <s v="Agencia Información"/>
    <s v="Mujeres"/>
    <n v="2"/>
    <x v="24"/>
    <x v="14"/>
    <x v="1"/>
    <x v="2"/>
    <x v="1"/>
    <x v="31"/>
    <s v="Periodo 2011-2018"/>
    <s v="Número de Casos"/>
    <s v="Departamento de Estadísticas e Información de la Salud (DEIS) - Ministerio de Salud"/>
    <s v="Población en Control del Programa de Cáncer de Cuello Uterino en la Región de Antofagasta, Periodo 2011-2018"/>
    <s v="Al observar la evolución de los casos de la población en control del Programa de Cáncer de Cuello Uterino en la Región de Antofagasta, en el periodo 2011-2018, destaca que el año 2015 presenta la menor cantidad de registros, con solo un caso."/>
    <s v="Gráfico de Evolución"/>
    <s v="Región de Antofagasta,cáncer,cuello,uterino,cérvico,útero,PAP,papanicolaou,casos,control,población,Agencia Información,Mujeres,Programa de Cáncer de Cuello Uterino,Mujer Salud"/>
    <s v="https://analytics.zoho.com/open-view/2395394000008099329?ZOHO_CRITERIA=%22Localiza%20CL%22.%22Codreg%22%20%3D%202"/>
    <x v="2"/>
    <s v="#1774B9"/>
  </r>
  <r>
    <s v="0995"/>
    <n v="990"/>
    <s v="Agencia Información"/>
    <s v="Mujeres"/>
    <n v="3"/>
    <x v="24"/>
    <x v="14"/>
    <x v="1"/>
    <x v="3"/>
    <x v="1"/>
    <x v="31"/>
    <s v="Periodo 2011-2018"/>
    <s v="Número de Casos"/>
    <s v="Departamento de Estadísticas e Información de la Salud (DEIS) - Ministerio de Salud"/>
    <s v="Población en Control del Programa de Cáncer de Cuello Uterino en la Región de Atacama, Periodo 2011-2018"/>
    <s v="Al observar la evolución de los casos de la población en control del Programa de Cáncer de Cuello Uterino en la Región de Atacama, en el periodo 2011-2018, muestra que el año 2018 presenta cero casos para la región."/>
    <s v="Gráfico de Evolución"/>
    <s v="Región de Atacama,cáncer,cuello,uterino,cérvico,útero,PAP,papanicolaou,casos,control,población,Agencia Información,Mujeres,Programa de Cáncer de Cuello Uterino,Mujer Salud"/>
    <s v="https://analytics.zoho.com/open-view/2395394000008099329?ZOHO_CRITERIA=%22Localiza%20CL%22.%22Codreg%22%20%3D%203"/>
    <x v="3"/>
    <s v="#1774B9"/>
  </r>
  <r>
    <s v="0996"/>
    <n v="990"/>
    <s v="Agencia Información"/>
    <s v="Mujeres"/>
    <n v="4"/>
    <x v="24"/>
    <x v="14"/>
    <x v="1"/>
    <x v="4"/>
    <x v="1"/>
    <x v="31"/>
    <s v="Periodo 2011-2018"/>
    <s v="Número de Casos"/>
    <s v="Departamento de Estadísticas e Información de la Salud (DEIS) - Ministerio de Salud"/>
    <s v="Población en Control del Programa de Cáncer de Cuello Uterino en la Región de Coquimbo, Periodo 2011-2018"/>
    <s v="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
    <s v="Gráfico de Evolución"/>
    <s v="Región de Coquimbo,cáncer,cuello,uterino,cérvico,útero,PAP,papanicolaou,casos,control,población,Agencia Información,Mujeres,Programa de Cáncer de Cuello Uterino,Mujer Salud"/>
    <s v="https://analytics.zoho.com/open-view/2395394000008099329?ZOHO_CRITERIA=%22Localiza%20CL%22.%22Codreg%22%20%3D%204"/>
    <x v="4"/>
    <s v="#1774B9"/>
  </r>
  <r>
    <s v="0997"/>
    <n v="990"/>
    <s v="Agencia Información"/>
    <s v="Mujeres"/>
    <n v="5"/>
    <x v="24"/>
    <x v="14"/>
    <x v="1"/>
    <x v="5"/>
    <x v="1"/>
    <x v="31"/>
    <s v="Periodo 2011-2018"/>
    <s v="Número de Casos"/>
    <s v="Departamento de Estadísticas e Información de la Salud (DEIS) - Ministerio de Salud"/>
    <s v="Población en Control del Programa de Cáncer de Cuello Uterino en la Región de Valparaíso, Periodo 2011-2018"/>
    <s v="Considerando la evolución de la población en control del Programa de Cáncer de Cuello Uterino en la región de Valparaíso, en el periodo 2011-2018, se observa que el año 2016 presenta la mayor cantidad con 51 casos, mientras que el año 2018 se observan 45 casos."/>
    <s v="Gráfico de Evolución"/>
    <s v="Región de Valparaíso,cáncer,cuello,uterino,cérvico,útero,PAP,papanicolaou,casos,control,población,Agencia Información,Mujeres,Programa de Cáncer de Cuello Uterino,Mujer Salud"/>
    <s v="https://analytics.zoho.com/open-view/2395394000008099329?ZOHO_CRITERIA=%22Localiza%20CL%22.%22Codreg%22%20%3D%205"/>
    <x v="5"/>
    <s v="#1774B9"/>
  </r>
  <r>
    <s v="0998"/>
    <n v="990"/>
    <s v="Agencia Información"/>
    <s v="Mujeres"/>
    <n v="6"/>
    <x v="24"/>
    <x v="14"/>
    <x v="1"/>
    <x v="6"/>
    <x v="1"/>
    <x v="31"/>
    <s v="Periodo 2011-2018"/>
    <s v="Número de Casos"/>
    <s v="Departamento de Estadísticas e Información de la Salud (DEIS) - Ministerio de Salud"/>
    <s v="Población en Control del Programa de Cáncer de Cuello Uterino en la Región de O'Higgins, Periodo 2011-2018"/>
    <s v="Al observar la evolución de los casos de la población en control del Programa de Cáncer de Cuello Uterino en la Región de O'Higgins, en el periodo 2011-2018, destaca que el año 2018 muestra una baja en los números llegando a un solo caso."/>
    <s v="Gráfico de Evolución"/>
    <s v="Región de O'Higgins,cáncer,cuello,uterino,cérvico,útero,PAP,papanicolaou,casos,control,población,Agencia Información,Mujeres,Programa de Cáncer de Cuello Uterino,Mujer Salud"/>
    <s v="https://analytics.zoho.com/open-view/2395394000008099329?ZOHO_CRITERIA=%22Localiza%20CL%22.%22Codreg%22%20%3D%206"/>
    <x v="6"/>
    <s v="#1774B9"/>
  </r>
  <r>
    <s v="0999"/>
    <n v="990"/>
    <s v="Agencia Información"/>
    <s v="Mujeres"/>
    <n v="7"/>
    <x v="24"/>
    <x v="14"/>
    <x v="1"/>
    <x v="7"/>
    <x v="1"/>
    <x v="31"/>
    <s v="Periodo 2011-2018"/>
    <s v="Número de Casos"/>
    <s v="Departamento de Estadísticas e Información de la Salud (DEIS) - Ministerio de Salud"/>
    <s v="Población en Control del Programa de Cáncer de Cuello Uterino en la Región de Maule, Periodo 2011-2018"/>
    <s v="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
    <s v="Gráfico de Evolución"/>
    <s v="Región de Maule,cáncer,cuello,uterino,cérvico,útero,PAP,papanicolaou,casos,control,población,Agencia Información,Mujeres,Programa de Cáncer de Cuello Uterino,Mujer Salud"/>
    <s v="https://analytics.zoho.com/open-view/2395394000008099329?ZOHO_CRITERIA=%22Localiza%20CL%22.%22Codreg%22%20%3D%207"/>
    <x v="7"/>
    <s v="#1774B9"/>
  </r>
  <r>
    <s v="1000"/>
    <n v="990"/>
    <s v="Agencia Información"/>
    <s v="Mujeres"/>
    <n v="8"/>
    <x v="24"/>
    <x v="14"/>
    <x v="1"/>
    <x v="8"/>
    <x v="1"/>
    <x v="31"/>
    <s v="Periodo 2011-2018"/>
    <s v="Número de Casos"/>
    <s v="Departamento de Estadísticas e Información de la Salud (DEIS) - Ministerio de Salud"/>
    <s v="Población en Control del Programa de Cáncer de Cuello Uterino en la Región del Biobío, Periodo 2011-2018"/>
    <s v="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
    <s v="Gráfico de Evolución"/>
    <s v="Región del Biobío,cáncer,cuello,uterino,cérvico,útero,PAP,papanicolaou,casos,control,población,Agencia Información,Mujeres,Programa de Cáncer de Cuello Uterino,Mujer Salud"/>
    <s v="https://analytics.zoho.com/open-view/2395394000008099329?ZOHO_CRITERIA=%22Localiza%20CL%22.%22Codreg%22%20%3D%208"/>
    <x v="8"/>
    <s v="#1774B9"/>
  </r>
  <r>
    <s v="1001"/>
    <n v="990"/>
    <s v="Agencia Información"/>
    <s v="Mujeres"/>
    <n v="9"/>
    <x v="24"/>
    <x v="14"/>
    <x v="1"/>
    <x v="9"/>
    <x v="1"/>
    <x v="31"/>
    <s v="Periodo 2011-2018"/>
    <s v="Número de Casos"/>
    <s v="Departamento de Estadísticas e Información de la Salud (DEIS) - Ministerio de Salud"/>
    <s v="Población en Control del Programa de Cáncer de Cuello Uterino en la Región de La Araucanía, Periodo 2011-2018"/>
    <s v="Al observar la evolución de los casos de la población en control del Programa de Cáncer de Cuello Uterino en la Región de La Araucanía, en el periodo 2011-2018, destaca que se presenta un aumento de casos desde el año 2011 en adelante, presentándose 32 casos el año 2018."/>
    <s v="Gráfico de Evolución"/>
    <s v="Región de La Araucanía,cáncer,cuello,uterino,cérvico,útero,PAP,papanicolaou,casos,control,población,Agencia Información,Mujeres,Programa de Cáncer de Cuello Uterino,Mujer Salud"/>
    <s v="https://analytics.zoho.com/open-view/2395394000008099329?ZOHO_CRITERIA=%22Localiza%20CL%22.%22Codreg%22%20%3D%209"/>
    <x v="9"/>
    <s v="#1774B9"/>
  </r>
  <r>
    <s v="1002"/>
    <n v="990"/>
    <s v="Agencia Información"/>
    <s v="Mujeres"/>
    <n v="10"/>
    <x v="24"/>
    <x v="14"/>
    <x v="1"/>
    <x v="10"/>
    <x v="1"/>
    <x v="31"/>
    <s v="Periodo 2011-2018"/>
    <s v="Número de Casos"/>
    <s v="Departamento de Estadísticas e Información de la Salud (DEIS) - Ministerio de Salud"/>
    <s v="Población en Control del Programa de Cáncer de Cuello Uterino en la Región de Los Lagos, Periodo 2011-2018"/>
    <s v="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
    <s v="Gráfico de Evolución"/>
    <s v="Región de Los Lagos,cáncer,cuello,uterino,cérvico,útero,PAP,papanicolaou,casos,control,población,Agencia Información,Mujeres,Programa de Cáncer de Cuello Uterino,Mujer Salud"/>
    <s v="https://analytics.zoho.com/open-view/2395394000008099329?ZOHO_CRITERIA=%22Localiza%20CL%22.%22Codreg%22%20%3D%2010"/>
    <x v="10"/>
    <s v="#1774B9"/>
  </r>
  <r>
    <s v="1003"/>
    <n v="990"/>
    <s v="Agencia Información"/>
    <s v="Mujeres"/>
    <n v="11"/>
    <x v="24"/>
    <x v="14"/>
    <x v="1"/>
    <x v="11"/>
    <x v="1"/>
    <x v="31"/>
    <s v="Periodo 2011-2018"/>
    <s v="Número de Casos"/>
    <s v="Departamento de Estadísticas e Información de la Salud (DEIS) - Ministerio de Salud"/>
    <s v="Población en Control del Programa de Cáncer de Cuello Uterino en la Región de Aysén, Periodo 2011-2018"/>
    <s v="Gráfico que muestra la evolución de los casos de la población en control del Programa de Cáncer de Cuello Uterino en la Región de Aysén, en el periodo 2011-2018, según información reportada por el DEIS de Ministerio de Salud."/>
    <s v="Gráfico de Evolución"/>
    <s v="Región de Aysén,cáncer,cuello,uterino,cérvico,útero,PAP,papanicolaou,casos,control,población,Agencia Información,Mujeres,Programa de Cáncer de Cuello Uterino,Mujer Salud"/>
    <s v="https://analytics.zoho.com/open-view/2395394000008099329?ZOHO_CRITERIA=%22Localiza%20CL%22.%22Codreg%22%20%3D%2011"/>
    <x v="11"/>
    <s v="#1774B9"/>
  </r>
  <r>
    <s v="1004"/>
    <n v="990"/>
    <s v="Agencia Información"/>
    <s v="Mujeres"/>
    <n v="12"/>
    <x v="24"/>
    <x v="14"/>
    <x v="1"/>
    <x v="12"/>
    <x v="1"/>
    <x v="31"/>
    <s v="Periodo 2011-2018"/>
    <s v="Número de Casos"/>
    <s v="Departamento de Estadísticas e Información de la Salud (DEIS) - Ministerio de Salud"/>
    <s v="Población en Control del Programa de Cáncer de Cuello Uterino en la Región de Magallanes, Periodo 2011-2018"/>
    <s v="Al observar la evolución de los casos de la población en control del Programa de Cáncer de Cuello Uterino en la Región de Magallanes, en el periodo 2011-2018, destaca el año 2011, que presenta la mayor cantidad con 4 casos. En el año 2018 se informan 2 casos."/>
    <s v="Gráfico de Evolución"/>
    <s v="Región de Magallanes,cáncer,cuello,uterino,cérvico,útero,PAP,papanicolaou,casos,control,población,Agencia Información,Mujeres,Programa de Cáncer de Cuello Uterino,Mujer Salud"/>
    <s v="https://analytics.zoho.com/open-view/2395394000008099329?ZOHO_CRITERIA=%22Localiza%20CL%22.%22Codreg%22%20%3D%2012"/>
    <x v="12"/>
    <s v="#1774B9"/>
  </r>
  <r>
    <s v="1005"/>
    <n v="990"/>
    <s v="Agencia Información"/>
    <s v="Mujeres"/>
    <n v="13"/>
    <x v="24"/>
    <x v="14"/>
    <x v="1"/>
    <x v="13"/>
    <x v="1"/>
    <x v="31"/>
    <s v="Periodo 2011-2018"/>
    <s v="Número de Casos"/>
    <s v="Departamento de Estadísticas e Información de la Salud (DEIS) - Ministerio de Salud"/>
    <s v="Población en Control del Programa de Cáncer de Cuello Uterino en la Región Metropolitana, Periodo 2011-2018"/>
    <s v="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
    <s v="Gráfico de Evolución"/>
    <s v="Región Metropolitana,cáncer,cuello,uterino,cérvico,útero,PAP,papanicolaou,casos,control,población,Agencia Información,Mujeres,Programa de Cáncer de Cuello Uterino,Mujer Salud"/>
    <s v="https://analytics.zoho.com/open-view/2395394000008099329?ZOHO_CRITERIA=%22Localiza%20CL%22.%22Codreg%22%20%3D%2013"/>
    <x v="13"/>
    <s v="#1774B9"/>
  </r>
  <r>
    <s v="1006"/>
    <n v="990"/>
    <s v="Agencia Información"/>
    <s v="Mujeres"/>
    <n v="14"/>
    <x v="24"/>
    <x v="14"/>
    <x v="1"/>
    <x v="14"/>
    <x v="1"/>
    <x v="31"/>
    <s v="Periodo 2011-2018"/>
    <s v="Número de Casos"/>
    <s v="Departamento de Estadísticas e Información de la Salud (DEIS) - Ministerio de Salud"/>
    <s v="Población en Control del Programa de Cáncer de Cuello Uterino en la Región de Los Ríos, Periodo 2011-2018"/>
    <s v="Considerando la evolución de la población en control del Programa de Cáncer de Cuello Uterino en la región de Los Ríos, en el periodo 2011-2018, se observa que en el año 2016 se reporta la mayor cantidad con 9 casos, mientras que el año 2018 presenta 8 casos. "/>
    <s v="Gráfico de Evolución"/>
    <s v="Región de Los Ríos,cáncer,cuello,uterino,cérvico,útero,PAP,papanicolaou,casos,control,población,Agencia Información,Mujeres,Programa de Cáncer de Cuello Uterino,Mujer Salud"/>
    <s v="https://analytics.zoho.com/open-view/2395394000008099329?ZOHO_CRITERIA=%22Localiza%20CL%22.%22Codreg%22%20%3D%2014"/>
    <x v="14"/>
    <s v="#1774B9"/>
  </r>
  <r>
    <s v="1007"/>
    <n v="990"/>
    <s v="Agencia Información"/>
    <s v="Mujeres"/>
    <n v="15"/>
    <x v="24"/>
    <x v="14"/>
    <x v="1"/>
    <x v="15"/>
    <x v="1"/>
    <x v="31"/>
    <s v="Periodo 2011-2018"/>
    <s v="Número de Casos"/>
    <s v="Departamento de Estadísticas e Información de la Salud (DEIS) - Ministerio de Salud"/>
    <s v="Población en Control del Programa de Cáncer de Cuello Uterino en la Región de Arica y Parinacota, Periodo 2011-2018"/>
    <s v="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
    <s v="Gráfico de Evolución"/>
    <s v="Región de Arica y Parinacota,cáncer,cuello,uterino,cérvico,útero,PAP,papanicolaou,casos,control,población,Agencia Información,Mujeres,Programa de Cáncer de Cuello Uterino,Mujer Salud"/>
    <s v="https://analytics.zoho.com/open-view/2395394000008099329?ZOHO_CRITERIA=%22Localiza%20CL%22.%22Codreg%22%20%3D%2015"/>
    <x v="15"/>
    <s v="#1774B9"/>
  </r>
  <r>
    <s v="1008"/>
    <n v="990"/>
    <s v="Agencia Información"/>
    <s v="Mujeres"/>
    <n v="16"/>
    <x v="24"/>
    <x v="14"/>
    <x v="1"/>
    <x v="16"/>
    <x v="1"/>
    <x v="31"/>
    <s v="Periodo 2011-2018"/>
    <s v="Número de Casos"/>
    <s v="Departamento de Estadísticas e Información de la Salud (DEIS) - Ministerio de Salud"/>
    <s v="Población en Control del Programa de Cáncer de Cuello Uterino en la Región de Ñuble, Periodo 2011-2018"/>
    <s v="Al observar la evolución de los casos de la población en control del Programa de Cáncer de Cuello Uterino en la Región de Ñuble, en el periodo 2011-2018, destaca un alza en la cantidad de casos, siendo el año 2018 el que presenta mayor cantidad con 9 casos."/>
    <s v="Gráfico de Evolución"/>
    <s v="Región de Ñuble,cáncer,cuello,uterino,cérvico,útero,PAP,papanicolaou,casos,control,población,Agencia Información,Mujeres,Programa de Cáncer de Cuello Uterino,Mujer Salud"/>
    <s v="https://analytics.zoho.com/open-view/2395394000008099329?ZOHO_CRITERIA=%22Localiza%20CL%22.%22Codreg%22%20%3D%2016"/>
    <x v="16"/>
    <s v="#1774B9"/>
  </r>
  <r>
    <s v="1009"/>
    <n v="990"/>
    <s v="Agencia Información"/>
    <s v="Salud"/>
    <n v="0"/>
    <x v="25"/>
    <x v="15"/>
    <x v="0"/>
    <x v="0"/>
    <x v="1"/>
    <x v="32"/>
    <s v="Periodo 2012-2018"/>
    <s v="Número de Casos"/>
    <s v="Departamento de Estadísticas e Información de la Salud (DEIS) - Ministerio de Salud"/>
    <s v="Evolución de Población en Control en el Programa de VIH/SIDA y Variación Anual en Chile, Periodo 2012-2018"/>
    <s v="La Población en Control del Programa VIH/SIDA aumentó entre los años 2012 y 2018, superando los 35 mil casos para este último año, el doble de la cantidad vista al principio del periodo."/>
    <s v="Gráfico de Evolución"/>
    <s v="Chile,VIH,SIDA,enfermedad,transmisión,sexual,casos,control,personas,población,programa,variación,anual,Agencia Información,Salud,Programa de VIH/SIDA,Programas de Salud"/>
    <s v="https://analytics.zoho.com/open-view/2395394000008099475"/>
    <x v="34"/>
    <s v="#1774B9"/>
  </r>
  <r>
    <s v="1010"/>
    <n v="990"/>
    <s v="Agencia Información"/>
    <s v="Salud"/>
    <n v="1"/>
    <x v="25"/>
    <x v="15"/>
    <x v="1"/>
    <x v="1"/>
    <x v="1"/>
    <x v="32"/>
    <s v="Periodo 2012-2018"/>
    <s v="Número de Casos"/>
    <s v="Departamento de Estadísticas e Información de la Salud (DEIS) - Ministerio de Salud"/>
    <s v="Población en Control del Programa de Cáncer de Cuello Uterino en la Región de Tarapacá, Periodo 2012-2018"/>
    <s v="En la región de Tarapacá, el año 2013 registra la mayor cantidad de casos de Cáncer de Cuello Uterino, con 24 casos. Por otro lado, el menor número de casos se registra el año 2015 con tan sólo 1 caso. "/>
    <s v="Gráfico de Evolución"/>
    <s v="Región de Tarapacá,VIH,SIDA,enfermedad,transmisión,sexual,casos,control,personas,población,programa,variación,anual,Agencia Información,Salud,Programa de VIH/SIDA,Programas de Salud"/>
    <s v="https://analytics.zoho.com/open-view/2395394000008099329?ZOHO_CRITERIA=%22Localiza%20CL%22.%22Codreg%22%20%3D%201"/>
    <x v="1"/>
    <s v="#1774B9"/>
  </r>
  <r>
    <s v="1011"/>
    <n v="990"/>
    <s v="Agencia Información"/>
    <s v="Salud"/>
    <n v="2"/>
    <x v="25"/>
    <x v="15"/>
    <x v="1"/>
    <x v="2"/>
    <x v="1"/>
    <x v="32"/>
    <s v="Periodo 2012-2018"/>
    <s v="Número de Casos"/>
    <s v="Departamento de Estadísticas e Información de la Salud (DEIS) - Ministerio de Salud"/>
    <s v="Población en Control del Programa de Cáncer de Cuello Uterino en la Región de Antofagasta, Periodo 2012-2018"/>
    <s v="En la región de Antofagasta, el año 2014 registra la mayor cantidad de casos de Cáncer de Cuello Uterino, con 8 casos. Por otro lado, el menor número de casos se registra el año 2015 con tan sólo 1 caso. "/>
    <s v="Gráfico de Evolución"/>
    <s v="Región de Antofagasta,VIH,SIDA,enfermedad,transmisión,sexual,casos,control,personas,población,programa,variación,anual,Agencia Información,Salud,Programa de VIH/SIDA,Programas de Salud"/>
    <s v="https://analytics.zoho.com/open-view/2395394000008099329?ZOHO_CRITERIA=%22Localiza%20CL%22.%22Codreg%22%20%3D%202"/>
    <x v="2"/>
    <s v="#1774B9"/>
  </r>
  <r>
    <s v="1012"/>
    <n v="990"/>
    <s v="Agencia Información"/>
    <s v="Salud"/>
    <n v="3"/>
    <x v="25"/>
    <x v="15"/>
    <x v="1"/>
    <x v="3"/>
    <x v="1"/>
    <x v="32"/>
    <s v="Periodo 2012-2018"/>
    <s v="Número de Casos"/>
    <s v="Departamento de Estadísticas e Información de la Salud (DEIS) - Ministerio de Salud"/>
    <s v="Población en Control del Programa de Cáncer de Cuello Uterino en la Región de Atacama, Periodo 2012-2018"/>
    <s v="En la región de Atacama, los años 2012, 2014, 2016 y 2017 registran la mayor cantidad de casos de Cáncer de Cuello Uterino, con 2 casos cada año. Por otro lado, el menor número de casos se registran en los años 2013 y 2015 con 0 (cero) casos. "/>
    <s v="Gráfico de Evolución"/>
    <s v="Región de Atacama,VIH,SIDA,enfermedad,transmisión,sexual,casos,control,personas,población,programa,variación,anual,Agencia Información,Salud,Programa de VIH/SIDA,Programas de Salud"/>
    <s v="https://analytics.zoho.com/open-view/2395394000008099329?ZOHO_CRITERIA=%22Localiza%20CL%22.%22Codreg%22%20%3D%203"/>
    <x v="3"/>
    <s v="#1774B9"/>
  </r>
  <r>
    <s v="1013"/>
    <n v="990"/>
    <s v="Agencia Información"/>
    <s v="Salud"/>
    <n v="4"/>
    <x v="25"/>
    <x v="15"/>
    <x v="1"/>
    <x v="4"/>
    <x v="1"/>
    <x v="32"/>
    <s v="Periodo 2012-2018"/>
    <s v="Número de Casos"/>
    <s v="Departamento de Estadísticas e Información de la Salud (DEIS) - Ministerio de Salud"/>
    <s v="Población en Control del Programa de Cáncer de Cuello Uterino en la Región de Coquimbo, Periodo 2012-2018"/>
    <s v="En la región de Coquimbo, el año 2012 registra la mayor cantidad de casos de Cáncer de Cuello Uterino, con 72 casos. Por otro lado, el menor número de casos se registra el año 2015 con 11 casos. "/>
    <s v="Gráfico de Evolución"/>
    <s v="Región de Coquimbo,VIH,SIDA,enfermedad,transmisión,sexual,casos,control,personas,población,programa,variación,anual,Agencia Información,Salud,Programa de VIH/SIDA,Programas de Salud"/>
    <s v="https://analytics.zoho.com/open-view/2395394000008099329?ZOHO_CRITERIA=%22Localiza%20CL%22.%22Codreg%22%20%3D%204"/>
    <x v="4"/>
    <s v="#1774B9"/>
  </r>
  <r>
    <s v="1014"/>
    <n v="990"/>
    <s v="Agencia Información"/>
    <s v="Salud"/>
    <n v="5"/>
    <x v="25"/>
    <x v="15"/>
    <x v="1"/>
    <x v="5"/>
    <x v="1"/>
    <x v="32"/>
    <s v="Periodo 2012-2018"/>
    <s v="Número de Casos"/>
    <s v="Departamento de Estadísticas e Información de la Salud (DEIS) - Ministerio de Salud"/>
    <s v="Población en Control del Programa de Cáncer de Cuello Uterino en la Región de Valparaíso, Periodo 2012-2018"/>
    <s v="En la región de Valparaíso, el año 2016 registra la mayor cantidad de casos de Cáncer de Cuello Uterino, con 51 casos. Por otro lado, el menor número de casos se registra el año 2012 con 15 casos. "/>
    <s v="Gráfico de Evolución"/>
    <s v="Región de Valparaíso,VIH,SIDA,enfermedad,transmisión,sexual,casos,control,personas,población,programa,variación,anual,Agencia Información,Salud,Programa de VIH/SIDA,Programas de Salud"/>
    <s v="https://analytics.zoho.com/open-view/2395394000008099329?ZOHO_CRITERIA=%22Localiza%20CL%22.%22Codreg%22%20%3D%205"/>
    <x v="5"/>
    <s v="#1774B9"/>
  </r>
  <r>
    <s v="1015"/>
    <n v="990"/>
    <s v="Agencia Información"/>
    <s v="Salud"/>
    <n v="6"/>
    <x v="25"/>
    <x v="15"/>
    <x v="1"/>
    <x v="6"/>
    <x v="1"/>
    <x v="32"/>
    <s v="Periodo 2012-2018"/>
    <s v="Número de Casos"/>
    <s v="Departamento de Estadísticas e Información de la Salud (DEIS) - Ministerio de Salud"/>
    <s v="Población en Control del Programa de Cáncer de Cuello Uterino en la Región de O'Higgins, Periodo 2012-2018"/>
    <s v="En la región de O'Higgins, el año 2012 registra la mayor cantidad de casos de Cáncer de Cuello Uterino, con 34 casos. Por otro lado, el menor número de casos se registra el año 2018 con tan sólo 1 caso. "/>
    <s v="Gráfico de Evolución"/>
    <s v="Región de O'Higgins,VIH,SIDA,enfermedad,transmisión,sexual,casos,control,personas,población,programa,variación,anual,Agencia Información,Salud,Programa de VIH/SIDA,Programas de Salud"/>
    <s v="https://analytics.zoho.com/open-view/2395394000008099329?ZOHO_CRITERIA=%22Localiza%20CL%22.%22Codreg%22%20%3D%206"/>
    <x v="6"/>
    <s v="#1774B9"/>
  </r>
  <r>
    <s v="1016"/>
    <n v="990"/>
    <s v="Agencia Información"/>
    <s v="Salud"/>
    <n v="7"/>
    <x v="25"/>
    <x v="15"/>
    <x v="1"/>
    <x v="7"/>
    <x v="1"/>
    <x v="32"/>
    <s v="Periodo 2012-2018"/>
    <s v="Número de Casos"/>
    <s v="Departamento de Estadísticas e Información de la Salud (DEIS) - Ministerio de Salud"/>
    <s v="Población en Control del Programa de Cáncer de Cuello Uterino en la Región de Maule, Periodo 2012-2018"/>
    <s v="En la región del Maule, el año 2012 registra la mayor cantidad de casos de Cáncer de Cuello Uterino, con 10 casos. Por otro lado, el menor número de casos se registran en los años 2016, 2017 y 2018 con tan sólo 1 caso cada año. "/>
    <s v="Gráfico de Evolución"/>
    <s v="Región de Maule,VIH,SIDA,enfermedad,transmisión,sexual,casos,control,personas,población,programa,variación,anual,Agencia Información,Salud,Programa de VIH/SIDA,Programas de Salud"/>
    <s v="https://analytics.zoho.com/open-view/2395394000008099329?ZOHO_CRITERIA=%22Localiza%20CL%22.%22Codreg%22%20%3D%207"/>
    <x v="7"/>
    <s v="#1774B9"/>
  </r>
  <r>
    <s v="1017"/>
    <n v="990"/>
    <s v="Agencia Información"/>
    <s v="Salud"/>
    <n v="8"/>
    <x v="25"/>
    <x v="15"/>
    <x v="1"/>
    <x v="8"/>
    <x v="1"/>
    <x v="32"/>
    <s v="Periodo 2012-2018"/>
    <s v="Número de Casos"/>
    <s v="Departamento de Estadísticas e Información de la Salud (DEIS) - Ministerio de Salud"/>
    <s v="Población en Control del Programa de Cáncer de Cuello Uterino en la Región del Biobío, Periodo 2012-2018"/>
    <s v="En la región del Biobío, el año 2015 registra la mayor cantidad de casos de Cáncer de Cuello Uterino, con 65 casos. Por otro lado, el menor número de casos se registra el año 2012 con 15 casos. "/>
    <s v="Gráfico de Evolución"/>
    <s v="Región del Biobío,VIH,SIDA,enfermedad,transmisión,sexual,casos,control,personas,población,programa,variación,anual,Agencia Información,Salud,Programa de VIH/SIDA,Programas de Salud"/>
    <s v="https://analytics.zoho.com/open-view/2395394000008099329?ZOHO_CRITERIA=%22Localiza%20CL%22.%22Codreg%22%20%3D%208"/>
    <x v="8"/>
    <s v="#1774B9"/>
  </r>
  <r>
    <s v="1018"/>
    <n v="990"/>
    <s v="Agencia Información"/>
    <s v="Salud"/>
    <n v="9"/>
    <x v="25"/>
    <x v="15"/>
    <x v="1"/>
    <x v="9"/>
    <x v="1"/>
    <x v="32"/>
    <s v="Periodo 2012-2018"/>
    <s v="Número de Casos"/>
    <s v="Departamento de Estadísticas e Información de la Salud (DEIS) - Ministerio de Salud"/>
    <s v="Población en Control del Programa de Cáncer de Cuello Uterino en la Región de La Araucanía, Periodo 2012-2018"/>
    <s v="En la región de La Araucanía, el año 2016 registra la mayor cantidad de casos de Cáncer de Cuello Uterino, con 34 casos. Por otro lado, el menor número de casos se registra el año 2011 con 6 casos. "/>
    <s v="Gráfico de Evolución"/>
    <s v="Región de La Araucanía,VIH,SIDA,enfermedad,transmisión,sexual,casos,control,personas,población,programa,variación,anual,Agencia Información,Salud,Programa de VIH/SIDA,Programas de Salud"/>
    <s v="https://analytics.zoho.com/open-view/2395394000008099329?ZOHO_CRITERIA=%22Localiza%20CL%22.%22Codreg%22%20%3D%209"/>
    <x v="9"/>
    <s v="#1774B9"/>
  </r>
  <r>
    <s v="1019"/>
    <n v="990"/>
    <s v="Agencia Información"/>
    <s v="Salud"/>
    <n v="10"/>
    <x v="25"/>
    <x v="15"/>
    <x v="1"/>
    <x v="10"/>
    <x v="1"/>
    <x v="32"/>
    <s v="Periodo 2012-2018"/>
    <s v="Número de Casos"/>
    <s v="Departamento de Estadísticas e Información de la Salud (DEIS) - Ministerio de Salud"/>
    <s v="Población en Control del Programa de Cáncer de Cuello Uterino en la Región de Los Lagos, Periodo 2012-2018"/>
    <s v="En la región de Los Lagos, el año 2011 registra la mayor cantidad de casos de Cáncer de Cuello Uterino, con 15 casos. Por otro lado, el menor número de casos se registra el año 2015 con 6 casos. "/>
    <s v="Gráfico de Evolución"/>
    <s v="Región de Los Lagos,VIH,SIDA,enfermedad,transmisión,sexual,casos,control,personas,población,programa,variación,anual,Agencia Información,Salud,Programa de VIH/SIDA,Programas de Salud"/>
    <s v="https://analytics.zoho.com/open-view/2395394000008099329?ZOHO_CRITERIA=%22Localiza%20CL%22.%22Codreg%22%20%3D%2010"/>
    <x v="10"/>
    <s v="#1774B9"/>
  </r>
  <r>
    <s v="1020"/>
    <n v="990"/>
    <s v="Agencia Información"/>
    <s v="Salud"/>
    <n v="11"/>
    <x v="25"/>
    <x v="15"/>
    <x v="1"/>
    <x v="11"/>
    <x v="1"/>
    <x v="32"/>
    <s v="Periodo 2012-2018"/>
    <s v="Número de Casos"/>
    <s v="Departamento de Estadísticas e Información de la Salud (DEIS) - Ministerio de Salud"/>
    <s v="Población en Control del Programa de Cáncer de Cuello Uterino en la Región de Aysén, Periodo 2012-2018"/>
    <s v="En la región de Aysén, los años 2011, 2014, 2017 y 2018 registran la mayor cantidad de casos de Cáncer de Cuello Uterino, con 2 casos para cada año. Por otro lado, el menor número de casos se registran en los años 2012, 2013 y 2016 con cero casos. "/>
    <s v="Gráfico de Evolución"/>
    <s v="Región de Aysén,VIH,SIDA,enfermedad,transmisión,sexual,casos,control,personas,población,programa,variación,anual,Agencia Información,Salud,Programa de VIH/SIDA,Programas de Salud"/>
    <s v="https://analytics.zoho.com/open-view/2395394000008099329?ZOHO_CRITERIA=%22Localiza%20CL%22.%22Codreg%22%20%3D%2011"/>
    <x v="11"/>
    <s v="#1774B9"/>
  </r>
  <r>
    <s v="1021"/>
    <n v="990"/>
    <s v="Agencia Información"/>
    <s v="Salud"/>
    <n v="12"/>
    <x v="25"/>
    <x v="15"/>
    <x v="1"/>
    <x v="12"/>
    <x v="1"/>
    <x v="32"/>
    <s v="Periodo 2012-2018"/>
    <s v="Número de Casos"/>
    <s v="Departamento de Estadísticas e Información de la Salud (DEIS) - Ministerio de Salud"/>
    <s v="Población en Control del Programa de Cáncer de Cuello Uterino en la Región de Magallanes, Periodo 2012-2018"/>
    <s v="En la región de Magallanes, el año 2011 registra la mayor cantidad de casos de Cáncer de Cuello Uterino, con 4 casos. Por otro lado, el menor número de casos registrados fueron 2 casos. "/>
    <s v="Gráfico de Evolución"/>
    <s v="Región de Magallanes,VIH,SIDA,enfermedad,transmisión,sexual,casos,control,personas,población,programa,variación,anual,Agencia Información,Salud,Programa de VIH/SIDA,Programas de Salud"/>
    <s v="https://analytics.zoho.com/open-view/2395394000008099329?ZOHO_CRITERIA=%22Localiza%20CL%22.%22Codreg%22%20%3D%2012"/>
    <x v="12"/>
    <s v="#1774B9"/>
  </r>
  <r>
    <s v="1022"/>
    <n v="990"/>
    <s v="Agencia Información"/>
    <s v="Salud"/>
    <n v="13"/>
    <x v="25"/>
    <x v="15"/>
    <x v="1"/>
    <x v="13"/>
    <x v="1"/>
    <x v="32"/>
    <s v="Periodo 2012-2018"/>
    <s v="Número de Casos"/>
    <s v="Departamento de Estadísticas e Información de la Salud (DEIS) - Ministerio de Salud"/>
    <s v="Población en Control del Programa de Cáncer de Cuello Uterino en la Región Metropolitana, Periodo 2012-2018"/>
    <s v="En la región Metropolitana, los años 2011 y 212 registran la mayor cantidad de casos de Cáncer de Cuello Uterino, con 81 casos cada año. Por otro lado, el menor número de casos se registra el año 2017 con 52 casos. "/>
    <s v="Gráfico de Evolución"/>
    <s v="Región Metropolitana,VIH,SIDA,enfermedad,transmisión,sexual,casos,control,personas,población,programa,variación,anual,Agencia Información,Salud,Programa de VIH/SIDA,Programas de Salud"/>
    <s v="https://analytics.zoho.com/open-view/2395394000008099329?ZOHO_CRITERIA=%22Localiza%20CL%22.%22Codreg%22%20%3D%2013"/>
    <x v="13"/>
    <s v="#1774B9"/>
  </r>
  <r>
    <s v="1023"/>
    <n v="990"/>
    <s v="Agencia Información"/>
    <s v="Salud"/>
    <n v="14"/>
    <x v="25"/>
    <x v="15"/>
    <x v="1"/>
    <x v="14"/>
    <x v="1"/>
    <x v="32"/>
    <s v="Periodo 2012-2018"/>
    <s v="Número de Casos"/>
    <s v="Departamento de Estadísticas e Información de la Salud (DEIS) - Ministerio de Salud"/>
    <s v="Población en Control del Programa de Cáncer de Cuello Uterino en la Región de Los Ríos, Periodo 2012-2018"/>
    <s v="En la región de Los Ríos, el año 2016 registra la mayor cantidad de casos de Cáncer de Cuello Uterino, con 9 casos. Por otro lado, el menor número de casos se registra el año 2012 con 2 casos. "/>
    <s v="Gráfico de Evolución"/>
    <s v="Región de Los Ríos,VIH,SIDA,enfermedad,transmisión,sexual,casos,control,personas,población,programa,variación,anual,Agencia Información,Salud,Programa de VIH/SIDA,Programas de Salud"/>
    <s v="https://analytics.zoho.com/open-view/2395394000008099329?ZOHO_CRITERIA=%22Localiza%20CL%22.%22Codreg%22%20%3D%2014"/>
    <x v="14"/>
    <s v="#1774B9"/>
  </r>
  <r>
    <s v="1024"/>
    <n v="990"/>
    <s v="Agencia Información"/>
    <s v="Salud"/>
    <n v="15"/>
    <x v="25"/>
    <x v="15"/>
    <x v="1"/>
    <x v="15"/>
    <x v="1"/>
    <x v="32"/>
    <s v="Periodo 2012-2018"/>
    <s v="Número de Casos"/>
    <s v="Departamento de Estadísticas e Información de la Salud (DEIS) - Ministerio de Salud"/>
    <s v="Población en Control del Programa de Cáncer de Cuello Uterino en la Región de Arica y Parinacota, Periodo 2012-2018"/>
    <s v="En la región de Arica y Parinacota, el año 2015 registra la mayor cantidad de casos de Cáncer de Cuello Uterino, con 16 casos. Por otro lado, el menor número de casos se registra el año 2014 con 4 casos. "/>
    <s v="Gráfico de Evolución"/>
    <s v="Región de Arica y Parinacota,VIH,SIDA,enfermedad,transmisión,sexual,casos,control,personas,población,programa,variación,anual,Agencia Información,Salud,Programa de VIH/SIDA,Programas de Salud"/>
    <s v="https://analytics.zoho.com/open-view/2395394000008099329?ZOHO_CRITERIA=%22Localiza%20CL%22.%22Codreg%22%20%3D%2015"/>
    <x v="15"/>
    <s v="#1774B9"/>
  </r>
  <r>
    <s v="1025"/>
    <n v="990"/>
    <s v="Agencia Información"/>
    <s v="Salud"/>
    <n v="16"/>
    <x v="25"/>
    <x v="15"/>
    <x v="1"/>
    <x v="16"/>
    <x v="1"/>
    <x v="32"/>
    <s v="Periodo 2012-2018"/>
    <s v="Número de Casos"/>
    <s v="Departamento de Estadísticas e Información de la Salud (DEIS) - Ministerio de Salud"/>
    <s v="Población en Control del Programa de Cáncer de Cuello Uterino en la Región de Ñuble, Periodo 2012-2018"/>
    <s v="En la región de Ñuble, el año 2018 registra la mayor cantidad de casos de Cáncer de Cuello Uterino, con 9 casos. Por otro lado, el menor número de casos se registran los años 2012 y  2015 con tan sólo 1 caso cada año. "/>
    <s v="Gráfico de Evolución"/>
    <s v="Región de Ñuble,VIH,SIDA,enfermedad,transmisión,sexual,casos,control,personas,población,programa,variación,anual,Agencia Información,Salud,Programa de VIH/SIDA,Programas de Salud"/>
    <s v="https://analytics.zoho.com/open-view/2395394000008099329?ZOHO_CRITERIA=%22Localiza%20CL%22.%22Codreg%22%20%3D%2016"/>
    <x v="16"/>
    <s v="#1774B9"/>
  </r>
  <r>
    <s v="1026"/>
    <n v="990"/>
    <s v="Agencia Información"/>
    <s v="Gobiernos locales"/>
    <n v="0"/>
    <x v="56"/>
    <x v="24"/>
    <x v="0"/>
    <x v="0"/>
    <x v="1"/>
    <x v="67"/>
    <s v="Periodo 2006-2019"/>
    <s v="Número de Predios"/>
    <s v="Sistema Nacional de Información Municipal"/>
    <s v="Cantidad de Predios Agrícolas por Comuna en Chile, Periodo 2006-2019"/>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de Evolución"/>
    <s v="Chile,catastro,predio,municipal,municipio,agrícola,territorio,Agencia Información,Gobiernos locales,Predios Agrícolas,Gestión Municipal Territorial"/>
    <s v="https://analytics.zoho.com/open-view/2395394000008069848"/>
    <x v="17"/>
    <s v="#1774B9"/>
  </r>
  <r>
    <s v="1027"/>
    <n v="990"/>
    <s v="Agencia Información"/>
    <s v="Gobiernos locales"/>
    <n v="1"/>
    <x v="56"/>
    <x v="24"/>
    <x v="1"/>
    <x v="1"/>
    <x v="1"/>
    <x v="67"/>
    <s v="Periodo 2006-2019"/>
    <s v="Número de Predios"/>
    <s v="Sistema Nacional de Información Municipal"/>
    <s v="Cantidad de Predios Agrícolas por Comuna en la Región de Tarapacá, Periodo 2006-2019"/>
    <s v="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
    <s v="Gráfico de Evolución"/>
    <s v="Región de Tarapacá,catastro,predio,municipal,municipio,agrícola,territorio,Agencia Información,Gobiernos locales,Predios Agrícolas,Gestión Municipal Territorial"/>
    <s v="https://analytics.zoho.com/open-view/2395394000008464535?ZOHO_CRITERIA=%22Localiza%20CL%22.%22Codreg%22%20%3D%201"/>
    <x v="18"/>
    <s v="#1774B9"/>
  </r>
  <r>
    <s v="1028"/>
    <n v="990"/>
    <s v="Agencia Información"/>
    <s v="Gobiernos locales"/>
    <n v="2"/>
    <x v="56"/>
    <x v="24"/>
    <x v="1"/>
    <x v="2"/>
    <x v="1"/>
    <x v="67"/>
    <s v="Periodo 2006-2019"/>
    <s v="Número de Predios"/>
    <s v="Sistema Nacional de Información Municipal"/>
    <s v="Cantidad de Predios Agrícolas por Comuna en la Región de Antofagasta, Periodo 2006-2019"/>
    <s v="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
    <s v="Gráfico de Evolución"/>
    <s v="Región de Antofagasta,catastro,predio,municipal,municipio,agrícola,territorio,Agencia Información,Gobiernos locales,Predios Agrícolas,Gestión Municipal Territorial"/>
    <s v="https://analytics.zoho.com/open-view/2395394000008464535?ZOHO_CRITERIA=%22Localiza%20CL%22.%22Codreg%22%20%3D%202"/>
    <x v="19"/>
    <s v="#1774B9"/>
  </r>
  <r>
    <s v="1029"/>
    <n v="990"/>
    <s v="Agencia Información"/>
    <s v="Gobiernos locales"/>
    <n v="3"/>
    <x v="56"/>
    <x v="24"/>
    <x v="1"/>
    <x v="3"/>
    <x v="1"/>
    <x v="67"/>
    <s v="Periodo 2006-2019"/>
    <s v="Número de Predios"/>
    <s v="Sistema Nacional de Información Municipal"/>
    <s v="Cantidad de Predios Agrícolas por Comuna en la Región de Atacama, Periodo 2006-2019"/>
    <s v="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
    <s v="Gráfico de Evolución"/>
    <s v="Región de Atacama,catastro,predio,municipal,municipio,agrícola,territorio,Agencia Información,Gobiernos locales,Predios Agrícolas,Gestión Municipal Territorial"/>
    <s v="https://analytics.zoho.com/open-view/2395394000008464535?ZOHO_CRITERIA=%22Localiza%20CL%22.%22Codreg%22%20%3D%203"/>
    <x v="20"/>
    <s v="#1774B9"/>
  </r>
  <r>
    <s v="1030"/>
    <n v="990"/>
    <s v="Agencia Información"/>
    <s v="Gobiernos locales"/>
    <n v="4"/>
    <x v="56"/>
    <x v="24"/>
    <x v="1"/>
    <x v="4"/>
    <x v="1"/>
    <x v="67"/>
    <s v="Periodo 2006-2019"/>
    <s v="Número de Predios"/>
    <s v="Sistema Nacional de Información Municipal"/>
    <s v="Cantidad de Predios Agrícolas por Comuna en la Región de Coquimbo, Periodo 2006-2019"/>
    <s v="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
    <s v="Gráfico de Evolución"/>
    <s v="Región de Coquimbo,catastro,predio,municipal,municipio,agrícola,territorio,Agencia Información,Gobiernos locales,Predios Agrícolas,Gestión Municipal Territorial"/>
    <s v="https://analytics.zoho.com/open-view/2395394000008464535?ZOHO_CRITERIA=%22Localiza%20CL%22.%22Codreg%22%20%3D%204"/>
    <x v="21"/>
    <s v="#1774B9"/>
  </r>
  <r>
    <s v="1031"/>
    <n v="990"/>
    <s v="Agencia Información"/>
    <s v="Gobiernos locales"/>
    <n v="5"/>
    <x v="56"/>
    <x v="24"/>
    <x v="1"/>
    <x v="5"/>
    <x v="1"/>
    <x v="67"/>
    <s v="Periodo 2006-2019"/>
    <s v="Número de Predios"/>
    <s v="Sistema Nacional de Información Municipal"/>
    <s v="Cantidad de Predios Agrícolas por Comuna en la Región de Valparaíso, Periodo 2006-2019"/>
    <s v="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
    <s v="Gráfico de Evolución"/>
    <s v="Región de Valparaíso,catastro,predio,municipal,municipio,agrícola,territorio,Agencia Información,Gobiernos locales,Predios Agrícolas,Gestión Municipal Territorial"/>
    <s v="https://analytics.zoho.com/open-view/2395394000008464535?ZOHO_CRITERIA=%22Localiza%20CL%22.%22Codreg%22%20%3D%205"/>
    <x v="22"/>
    <s v="#1774B9"/>
  </r>
  <r>
    <s v="1032"/>
    <n v="990"/>
    <s v="Agencia Información"/>
    <s v="Gobiernos locales"/>
    <n v="6"/>
    <x v="56"/>
    <x v="24"/>
    <x v="1"/>
    <x v="6"/>
    <x v="1"/>
    <x v="67"/>
    <s v="Periodo 2006-2019"/>
    <s v="Número de Predios"/>
    <s v="Sistema Nacional de Información Municipal"/>
    <s v="Cantidad de Predios Agrícolas por Comuna en la Región de O'Higgins, Periodo 2006-2019"/>
    <s v="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
    <s v="Gráfico de Evolución"/>
    <s v="Región de O'Higgins,catastro,predio,municipal,municipio,agrícola,territorio,Agencia Información,Gobiernos locales,Predios Agrícolas,Gestión Municipal Territorial"/>
    <s v="https://analytics.zoho.com/open-view/2395394000008464535?ZOHO_CRITERIA=%22Localiza%20CL%22.%22Codreg%22%20%3D%206"/>
    <x v="23"/>
    <s v="#1774B9"/>
  </r>
  <r>
    <s v="1033"/>
    <n v="990"/>
    <s v="Agencia Información"/>
    <s v="Gobiernos locales"/>
    <n v="7"/>
    <x v="56"/>
    <x v="24"/>
    <x v="1"/>
    <x v="7"/>
    <x v="1"/>
    <x v="67"/>
    <s v="Periodo 2006-2019"/>
    <s v="Número de Predios"/>
    <s v="Sistema Nacional de Información Municipal"/>
    <s v="Cantidad de Predios Agrícolas por Comuna en la Región de Maule, Periodo 2006-2019"/>
    <s v="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
    <s v="Gráfico de Evolución"/>
    <s v="Región de Maule,catastro,predio,municipal,municipio,agrícola,territorio,Agencia Información,Gobiernos locales,Predios Agrícolas,Gestión Municipal Territorial"/>
    <s v="https://analytics.zoho.com/open-view/2395394000008464535?ZOHO_CRITERIA=%22Localiza%20CL%22.%22Codreg%22%20%3D%207"/>
    <x v="24"/>
    <s v="#1774B9"/>
  </r>
  <r>
    <s v="1034"/>
    <n v="990"/>
    <s v="Agencia Información"/>
    <s v="Gobiernos locales"/>
    <n v="8"/>
    <x v="56"/>
    <x v="24"/>
    <x v="1"/>
    <x v="8"/>
    <x v="1"/>
    <x v="67"/>
    <s v="Periodo 2006-2019"/>
    <s v="Número de Predios"/>
    <s v="Sistema Nacional de Información Municipal"/>
    <s v="Cantidad de Predios Agrícolas por Comuna en la Región del Biobío, Periodo 2006-2019"/>
    <s v="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
    <s v="Gráfico de Evolución"/>
    <s v="Región del Biobío,catastro,predio,municipal,municipio,agrícola,territorio,Agencia Información,Gobiernos locales,Predios Agrícolas,Gestión Municipal Territorial"/>
    <s v="https://analytics.zoho.com/open-view/2395394000008464535?ZOHO_CRITERIA=%22Localiza%20CL%22.%22Codreg%22%20%3D%208"/>
    <x v="25"/>
    <s v="#1774B9"/>
  </r>
  <r>
    <s v="1035"/>
    <n v="990"/>
    <s v="Agencia Información"/>
    <s v="Gobiernos locales"/>
    <n v="9"/>
    <x v="56"/>
    <x v="24"/>
    <x v="1"/>
    <x v="9"/>
    <x v="1"/>
    <x v="67"/>
    <s v="Periodo 2006-2019"/>
    <s v="Número de Predios"/>
    <s v="Sistema Nacional de Información Municipal"/>
    <s v="Cantidad de Predios Agrícolas por Comuna en la Región de La Araucanía, Periodo 2006-2019"/>
    <s v="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
    <s v="Gráfico de Evolución"/>
    <s v="Región de La Araucanía,catastro,predio,municipal,municipio,agrícola,territorio,Agencia Información,Gobiernos locales,Predios Agrícolas,Gestión Municipal Territorial"/>
    <s v="https://analytics.zoho.com/open-view/2395394000008464535?ZOHO_CRITERIA=%22Localiza%20CL%22.%22Codreg%22%20%3D%209"/>
    <x v="26"/>
    <s v="#1774B9"/>
  </r>
  <r>
    <s v="1036"/>
    <n v="990"/>
    <s v="Agencia Información"/>
    <s v="Gobiernos locales"/>
    <n v="10"/>
    <x v="56"/>
    <x v="24"/>
    <x v="1"/>
    <x v="10"/>
    <x v="1"/>
    <x v="67"/>
    <s v="Periodo 2006-2019"/>
    <s v="Número de Predios"/>
    <s v="Sistema Nacional de Información Municipal"/>
    <s v="Cantidad de Predios Agrícolas por Comuna en la Región de Los Lagos, Periodo 2006-2019"/>
    <s v="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
    <s v="Gráfico de Evolución"/>
    <s v="Región de Los Lagos,catastro,predio,municipal,municipio,agrícola,territorio,Agencia Información,Gobiernos locales,Predios Agrícolas,Gestión Municipal Territorial"/>
    <s v="https://analytics.zoho.com/open-view/2395394000008464535?ZOHO_CRITERIA=%22Localiza%20CL%22.%22Codreg%22%20%3D%2010"/>
    <x v="27"/>
    <s v="#1774B9"/>
  </r>
  <r>
    <s v="1037"/>
    <n v="990"/>
    <s v="Agencia Información"/>
    <s v="Gobiernos locales"/>
    <n v="11"/>
    <x v="56"/>
    <x v="24"/>
    <x v="1"/>
    <x v="11"/>
    <x v="1"/>
    <x v="67"/>
    <s v="Periodo 2006-2019"/>
    <s v="Número de Predios"/>
    <s v="Sistema Nacional de Información Municipal"/>
    <s v="Cantidad de Predios Agrícolas por Comuna en la Región de Aysén, Periodo 2006-2019"/>
    <s v="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
    <s v="Gráfico de Evolución"/>
    <s v="Región de Aysén,catastro,predio,municipal,municipio,agrícola,territorio,Agencia Información,Gobiernos locales,Predios Agrícolas,Gestión Municipal Territorial"/>
    <s v="https://analytics.zoho.com/open-view/2395394000008464535?ZOHO_CRITERIA=%22Localiza%20CL%22.%22Codreg%22%20%3D%2011"/>
    <x v="33"/>
    <s v="#1774B9"/>
  </r>
  <r>
    <s v="1038"/>
    <n v="990"/>
    <s v="Agencia Información"/>
    <s v="Gobiernos locales"/>
    <n v="12"/>
    <x v="56"/>
    <x v="24"/>
    <x v="1"/>
    <x v="12"/>
    <x v="1"/>
    <x v="67"/>
    <s v="Periodo 2006-2019"/>
    <s v="Número de Predios"/>
    <s v="Sistema Nacional de Información Municipal"/>
    <s v="Cantidad de Predios Agrícolas por Comuna en la Región de Magallanes, Periodo 2006-2019"/>
    <s v="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
    <s v="Gráfico de Evolución"/>
    <s v="Región de Magallanes,catastro,predio,municipal,municipio,agrícola,territorio,Agencia Información,Gobiernos locales,Predios Agrícolas,Gestión Municipal Territorial"/>
    <s v="https://analytics.zoho.com/open-view/2395394000008464535?ZOHO_CRITERIA=%22Localiza%20CL%22.%22Codreg%22%20%3D%2012"/>
    <x v="28"/>
    <s v="#1774B9"/>
  </r>
  <r>
    <s v="1039"/>
    <n v="990"/>
    <s v="Agencia Información"/>
    <s v="Gobiernos locales"/>
    <n v="13"/>
    <x v="56"/>
    <x v="24"/>
    <x v="1"/>
    <x v="13"/>
    <x v="1"/>
    <x v="67"/>
    <s v="Periodo 2006-2019"/>
    <s v="Número de Predios"/>
    <s v="Sistema Nacional de Información Municipal"/>
    <s v="Cantidad de Predios Agrícolas por Comuna en la Región Metropolitana, Periodo 2006-2019"/>
    <s v="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
    <s v="Gráfico de Evolución"/>
    <s v="Región Metropolitana,catastro,predio,municipal,municipio,agrícola,territorio,Agencia Información,Gobiernos locales,Predios Agrícolas,Gestión Municipal Territorial"/>
    <s v="https://analytics.zoho.com/open-view/2395394000008464535?ZOHO_CRITERIA=%22Localiza%20CL%22.%22Codreg%22%20%3D%2013"/>
    <x v="29"/>
    <s v="#1774B9"/>
  </r>
  <r>
    <s v="1040"/>
    <n v="990"/>
    <s v="Agencia Información"/>
    <s v="Gobiernos locales"/>
    <n v="14"/>
    <x v="56"/>
    <x v="24"/>
    <x v="1"/>
    <x v="14"/>
    <x v="1"/>
    <x v="67"/>
    <s v="Periodo 2006-2019"/>
    <s v="Número de Predios"/>
    <s v="Sistema Nacional de Información Municipal"/>
    <s v="Cantidad de Predios Agrícolas por Comuna en la Región de Los Ríos, Periodo 2006-2019"/>
    <s v="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
    <s v="Gráfico de Evolución"/>
    <s v="Región de Los Ríos,catastro,predio,municipal,municipio,agrícola,territorio,Agencia Información,Gobiernos locales,Predios Agrícolas,Gestión Municipal Territorial"/>
    <s v="https://analytics.zoho.com/open-view/2395394000008464535?ZOHO_CRITERIA=%22Localiza%20CL%22.%22Codreg%22%20%3D%2014"/>
    <x v="30"/>
    <s v="#1774B9"/>
  </r>
  <r>
    <s v="1041"/>
    <n v="990"/>
    <s v="Agencia Información"/>
    <s v="Gobiernos locales"/>
    <n v="15"/>
    <x v="56"/>
    <x v="24"/>
    <x v="1"/>
    <x v="15"/>
    <x v="1"/>
    <x v="67"/>
    <s v="Periodo 2006-2019"/>
    <s v="Número de Predios"/>
    <s v="Sistema Nacional de Información Municipal"/>
    <s v="Cantidad de Predios Agrícolas por Comuna en la Región de Arica y Parinacota, Periodo 2006-2019"/>
    <s v="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
    <s v="Gráfico de Evolución"/>
    <s v="Región de Arica y Parinacota,catastro,predio,municipal,municipio,agrícola,territorio,Agencia Información,Gobiernos locales,Predios Agrícolas,Gestión Municipal Territorial"/>
    <s v="https://analytics.zoho.com/open-view/2395394000008464535?ZOHO_CRITERIA=%22Localiza%20CL%22.%22Codreg%22%20%3D%2015"/>
    <x v="31"/>
    <s v="#1774B9"/>
  </r>
  <r>
    <s v="1042"/>
    <n v="990"/>
    <s v="Agencia Información"/>
    <s v="Gobiernos locales"/>
    <n v="16"/>
    <x v="56"/>
    <x v="24"/>
    <x v="1"/>
    <x v="16"/>
    <x v="1"/>
    <x v="67"/>
    <s v="Periodo 2006-2019"/>
    <s v="Número de Predios"/>
    <s v="Sistema Nacional de Información Municipal"/>
    <s v="Cantidad de Predios Agrícolas por Comuna en la Región de Ñuble, Periodo 2006-2019"/>
    <s v="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
    <s v="Gráfico de Evolución"/>
    <s v="Región de Ñuble,catastro,predio,municipal,municipio,agrícola,territorio,Agencia Información,Gobiernos locales,Predios Agrícolas,Gestión Municipal Territorial"/>
    <s v="https://analytics.zoho.com/open-view/2395394000008464535?ZOHO_CRITERIA=%22Localiza%20CL%22.%22Codreg%22%20%3D%2016"/>
    <x v="32"/>
    <s v="#1774B9"/>
  </r>
  <r>
    <s v="1043"/>
    <n v="990"/>
    <s v="Agencia Información"/>
    <s v="Salud"/>
    <n v="0"/>
    <x v="57"/>
    <x v="25"/>
    <x v="0"/>
    <x v="0"/>
    <x v="0"/>
    <x v="68"/>
    <s v="Año 2021"/>
    <s v="Número de Establecimientos"/>
    <s v="Departamento de Estadísticas e Información de la Salud (DEIS) - Ministerio de Salud"/>
    <s v="Cantidad de Establecimientos de la Salud por Región en Chile, Año 2021"/>
    <s v="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
    <s v="Gráfico"/>
    <s v="Chile,nacional,región,establecimientos,proporción,hospitales,clínicas,cesfam,sapu,postas,laboratorios,dentales,clínicos,alta,baja,media,complejidad,diálisis,vacunatorios,consultorio,Agencia Información,Salud,Establecimientos de Salud,Establecimientos de Salud"/>
    <s v="https://analytics.zoho.com/open-view/2395394000008230301"/>
    <x v="0"/>
    <s v="#1774B9"/>
  </r>
  <r>
    <s v="1044"/>
    <n v="990"/>
    <s v="Agencia Información"/>
    <s v="Salud"/>
    <n v="1"/>
    <x v="57"/>
    <x v="25"/>
    <x v="1"/>
    <x v="1"/>
    <x v="1"/>
    <x v="68"/>
    <s v="Año 2021"/>
    <s v="Número de Establecimientos"/>
    <s v="Departamento de Estadísticas e Información de la Salud (DEIS) - Ministerio de Salud"/>
    <s v="Cantidad de Establecimientos de la Salud en la Región de Tarapacá, Año 2021"/>
    <s v="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
    <s v="Gráfico"/>
    <s v="Región de Tarapacá,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
    <x v="1"/>
    <s v="#1774B9"/>
  </r>
  <r>
    <s v="1045"/>
    <n v="990"/>
    <s v="Agencia Información"/>
    <s v="Salud"/>
    <n v="2"/>
    <x v="57"/>
    <x v="25"/>
    <x v="1"/>
    <x v="2"/>
    <x v="1"/>
    <x v="68"/>
    <s v="Año 2021"/>
    <s v="Número de Establecimientos"/>
    <s v="Departamento de Estadísticas e Información de la Salud (DEIS) - Ministerio de Salud"/>
    <s v="Cantidad de Establecimientos de la Salud en la Región de Antofagasta, Año 2021"/>
    <s v="La región de Antofagasta cuenta con 101 establecimientos de salud, de estos los tres principales son: Laboratorios Clínicos o Dentales, CESFAM y Postas, con un 30,7%, 18,8% y 11,9% respectivamente; en tanto los Hospitales de alta complejidad son los con menor porcentaje, llegando a un 2%."/>
    <s v="Gráfico"/>
    <s v="Región de Antofagast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2"/>
    <x v="2"/>
    <s v="#1774B9"/>
  </r>
  <r>
    <s v="1046"/>
    <n v="990"/>
    <s v="Agencia Información"/>
    <s v="Salud"/>
    <n v="3"/>
    <x v="57"/>
    <x v="25"/>
    <x v="1"/>
    <x v="3"/>
    <x v="1"/>
    <x v="68"/>
    <s v="Año 2021"/>
    <s v="Número de Establecimientos"/>
    <s v="Departamento de Estadísticas e Información de la Salud (DEIS) - Ministerio de Salud"/>
    <s v="Cantidad de Establecimientos de la Salud en la Región de Atacama, Año 2021"/>
    <s v="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
    <s v="Gráfico"/>
    <s v="Región de Atacam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3"/>
    <x v="3"/>
    <s v="#1774B9"/>
  </r>
  <r>
    <s v="1047"/>
    <n v="990"/>
    <s v="Agencia Información"/>
    <s v="Salud"/>
    <n v="4"/>
    <x v="57"/>
    <x v="25"/>
    <x v="1"/>
    <x v="4"/>
    <x v="1"/>
    <x v="68"/>
    <s v="Año 2021"/>
    <s v="Número de Establecimientos"/>
    <s v="Departamento de Estadísticas e Información de la Salud (DEIS) - Ministerio de Salud"/>
    <s v="Cantidad de Establecimientos de la Salud en la Región de Coquimbo, Año 2021"/>
    <s v="En la región de Coquimbo existen 190 establecimientos de salud, el mayor porcentaje son Postas, llegando al 50,5% del total de la región. En segundo lugar se encuentran los CESFAM con un 21,6%. "/>
    <s v="Gráfico"/>
    <s v="Región de Coquimbo,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4"/>
    <x v="4"/>
    <s v="#1774B9"/>
  </r>
  <r>
    <s v="1048"/>
    <n v="990"/>
    <s v="Agencia Información"/>
    <s v="Salud"/>
    <n v="5"/>
    <x v="57"/>
    <x v="25"/>
    <x v="1"/>
    <x v="5"/>
    <x v="1"/>
    <x v="68"/>
    <s v="Año 2021"/>
    <s v="Número de Establecimientos"/>
    <s v="Departamento de Estadísticas e Información de la Salud (DEIS) - Ministerio de Salud"/>
    <s v="Cantidad de Establecimientos de la Salud en la Región de Valparaíso, Año 2021"/>
    <s v="En la región de Valparaíso existen 274 establecimientos de salud el año 2021, de estos, los tres principales son: CESFAM con un 36,5%, Postas con 21,2% y SAPU con 11,7%; en tanto que el menor porcentaje lo presentan los Hospitales de mediana complejidad y Consultorios, con un 0,7%."/>
    <s v="Gráfico"/>
    <s v="Región de Valparaíso,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5"/>
    <x v="5"/>
    <s v="#1774B9"/>
  </r>
  <r>
    <s v="1049"/>
    <n v="990"/>
    <s v="Agencia Información"/>
    <s v="Salud"/>
    <n v="6"/>
    <x v="57"/>
    <x v="25"/>
    <x v="1"/>
    <x v="6"/>
    <x v="1"/>
    <x v="68"/>
    <s v="Año 2021"/>
    <s v="Número de Establecimientos"/>
    <s v="Departamento de Estadísticas e Información de la Salud (DEIS) - Ministerio de Salud"/>
    <s v="Cantidad de Establecimientos de la Salud en la Región de O'Higgins, Año 2021"/>
    <s v="En la región de O'Higgins existen 197 establecimientos de salud el año 2021, de estos, los tres principales son: Postas con un 40,1%, CESFAM con un 22,8% y Laboratorios Clínicos o Dentales con un 11,7%; en tanto que el menor porcentaje lo presentan los Consultorios, con un 0,5%."/>
    <s v="Gráfico"/>
    <s v="Región de O'Higgin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6"/>
    <x v="6"/>
    <s v="#1774B9"/>
  </r>
  <r>
    <s v="1050"/>
    <n v="990"/>
    <s v="Agencia Información"/>
    <s v="Salud"/>
    <n v="7"/>
    <x v="57"/>
    <x v="25"/>
    <x v="1"/>
    <x v="7"/>
    <x v="1"/>
    <x v="68"/>
    <s v="Año 2021"/>
    <s v="Número de Establecimientos"/>
    <s v="Departamento de Estadísticas e Información de la Salud (DEIS) - Ministerio de Salud"/>
    <s v="Cantidad de Establecimientos de la Salud en la Región de Maule, Año 2021"/>
    <s v="En la región de Maule existen 310 establecimientos de salud, el mayor porcentaje son Postas, llegando al 52,3% del total de la región. En segundo lugar se encuentran los CESFAM con un 22,6%. "/>
    <s v="Gráfico"/>
    <s v="Región de Maule,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7"/>
    <x v="7"/>
    <s v="#1774B9"/>
  </r>
  <r>
    <s v="1051"/>
    <n v="990"/>
    <s v="Agencia Información"/>
    <s v="Salud"/>
    <n v="8"/>
    <x v="57"/>
    <x v="25"/>
    <x v="1"/>
    <x v="8"/>
    <x v="1"/>
    <x v="68"/>
    <s v="Año 2021"/>
    <s v="Número de Establecimientos"/>
    <s v="Departamento de Estadísticas e Información de la Salud (DEIS) - Ministerio de Salud"/>
    <s v="Cantidad de Establecimientos de la Salud en la Región del Biobío, Año 2021"/>
    <s v="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
    <s v="Gráfico"/>
    <s v="Región del Biobío,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8"/>
    <x v="8"/>
    <s v="#1774B9"/>
  </r>
  <r>
    <s v="1052"/>
    <n v="990"/>
    <s v="Agencia Información"/>
    <s v="Salud"/>
    <n v="9"/>
    <x v="57"/>
    <x v="25"/>
    <x v="1"/>
    <x v="9"/>
    <x v="1"/>
    <x v="68"/>
    <s v="Año 2021"/>
    <s v="Número de Establecimientos"/>
    <s v="Departamento de Estadísticas e Información de la Salud (DEIS) - Ministerio de Salud"/>
    <s v="Cantidad de Establecimientos de la Salud en la Región de La Araucanía, Año 2021"/>
    <s v="En la región de La Araucanía existen 327 establecimientos de salud, el mayor porcentaje son Postas, llegando al 57,5% del total de la región. En segundo lugar se encuentran los CESFAM con un 18,0%. "/>
    <s v="Gráfico"/>
    <s v="Región de La Araucaní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9"/>
    <x v="9"/>
    <s v="#1774B9"/>
  </r>
  <r>
    <s v="1053"/>
    <n v="990"/>
    <s v="Agencia Información"/>
    <s v="Salud"/>
    <n v="10"/>
    <x v="57"/>
    <x v="25"/>
    <x v="1"/>
    <x v="10"/>
    <x v="1"/>
    <x v="68"/>
    <s v="Año 2021"/>
    <s v="Número de Establecimientos"/>
    <s v="Departamento de Estadísticas e Información de la Salud (DEIS) - Ministerio de Salud"/>
    <s v="Cantidad de Establecimientos de la Salud en la Región de Los Lagos, Año 2021"/>
    <s v="La región de Los Lagos cuenta con 332 establecimientos de salud, de estos la mayoría son Postas llegando a 187, seguido por CESFAM que son 66 en la región.  La menor cantidad corresponde a Consultorios con 1 establecimiento."/>
    <s v="Gráfico"/>
    <s v="Región de Los Lago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0"/>
    <x v="10"/>
    <s v="#1774B9"/>
  </r>
  <r>
    <s v="1054"/>
    <n v="990"/>
    <s v="Agencia Información"/>
    <s v="Salud"/>
    <n v="11"/>
    <x v="57"/>
    <x v="25"/>
    <x v="1"/>
    <x v="11"/>
    <x v="1"/>
    <x v="68"/>
    <s v="Año 2021"/>
    <s v="Número de Establecimientos"/>
    <s v="Departamento de Estadísticas e Información de la Salud (DEIS) - Ministerio de Salud"/>
    <s v="Cantidad de Establecimientos de la Salud en la Región de Aysén, Año 2021"/>
    <s v="En la región de Aysén existen 46 establecimientos de salud, el mayor porcentaje son Postas, llegando al 60,9% del total de la región. En segundo lugar se encuentran los CESFAM con un 10,9%. "/>
    <s v="Gráfico"/>
    <s v="Región de Aysén,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1"/>
    <x v="11"/>
    <s v="#1774B9"/>
  </r>
  <r>
    <s v="1055"/>
    <n v="990"/>
    <s v="Agencia Información"/>
    <s v="Salud"/>
    <n v="12"/>
    <x v="57"/>
    <x v="25"/>
    <x v="1"/>
    <x v="12"/>
    <x v="1"/>
    <x v="68"/>
    <s v="Año 2021"/>
    <s v="Número de Establecimientos"/>
    <s v="Departamento de Estadísticas e Información de la Salud (DEIS) - Ministerio de Salud"/>
    <s v="Cantidad de Establecimientos de la Salud en la Región de Magallanes, Año 2021"/>
    <s v="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
    <s v="Gráfico"/>
    <s v="Región de Magallane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2"/>
    <x v="12"/>
    <s v="#1774B9"/>
  </r>
  <r>
    <s v="1056"/>
    <n v="990"/>
    <s v="Agencia Información"/>
    <s v="Salud"/>
    <n v="13"/>
    <x v="57"/>
    <x v="25"/>
    <x v="1"/>
    <x v="13"/>
    <x v="1"/>
    <x v="68"/>
    <s v="Año 2021"/>
    <s v="Número de Establecimientos"/>
    <s v="Departamento de Estadísticas e Información de la Salud (DEIS) - Ministerio de Salud"/>
    <s v="Cantidad de Establecimientos de la Salud en la Región Metropolitana, Año 2021"/>
    <s v="La Región Metropolitana es la región con mayor cantidad de establecimientos de la salud, alcanzando en total 578. De estos, los principales son: CESFAM, SAPU y Clínicas con 40,8%; 16,3% y 14,2% respectivamente. La menor cantidad son los Centro de Diálisis con un 0,2%."/>
    <s v="Gráfico"/>
    <s v="Región Metropolitan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3"/>
    <x v="13"/>
    <s v="#1774B9"/>
  </r>
  <r>
    <s v="1057"/>
    <n v="990"/>
    <s v="Agencia Información"/>
    <s v="Salud"/>
    <n v="14"/>
    <x v="57"/>
    <x v="25"/>
    <x v="1"/>
    <x v="14"/>
    <x v="1"/>
    <x v="68"/>
    <s v="Año 2021"/>
    <s v="Número de Establecimientos"/>
    <s v="Departamento de Estadísticas e Información de la Salud (DEIS) - Ministerio de Salud"/>
    <s v="Cantidad de Establecimientos de la Salud en la Región de Los Ríos, Año 2021"/>
    <s v="En la región de Los Ríos existen 141 establecimientos de salud, el mayor porcentaje son Postas, llegando al 41,1% del total de la región. En segundo lugar se encuentran los CESFAM con un 24,1%."/>
    <s v="Gráfico"/>
    <s v="Región de Los Ríos,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4"/>
    <x v="14"/>
    <s v="#1774B9"/>
  </r>
  <r>
    <s v="1058"/>
    <n v="990"/>
    <s v="Agencia Información"/>
    <s v="Salud"/>
    <n v="15"/>
    <x v="57"/>
    <x v="25"/>
    <x v="1"/>
    <x v="15"/>
    <x v="1"/>
    <x v="68"/>
    <s v="Año 2021"/>
    <s v="Número de Establecimientos"/>
    <s v="Departamento de Estadísticas e Información de la Salud (DEIS) - Ministerio de Salud"/>
    <s v="Cantidad de Establecimientos de la Salud en la Región de Arica y Parinacota, Año 2021"/>
    <s v="En la región de Arica y Parinacota existen 36 establecimientos de salud el año 2021, de estos, los tres principales son: CESFAM con 25,0%, Postas con 19,4% y Laboratorios Clínicos o Dentales con 19,4%."/>
    <s v="Gráfico"/>
    <s v="Región de Arica y Parinacota,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5"/>
    <x v="15"/>
    <s v="#1774B9"/>
  </r>
  <r>
    <s v="1059"/>
    <n v="990"/>
    <s v="Agencia Información"/>
    <s v="Salud"/>
    <n v="16"/>
    <x v="57"/>
    <x v="25"/>
    <x v="1"/>
    <x v="16"/>
    <x v="1"/>
    <x v="68"/>
    <s v="Año 2021"/>
    <s v="Número de Establecimientos"/>
    <s v="Departamento de Estadísticas e Información de la Salud (DEIS) - Ministerio de Salud"/>
    <s v="Cantidad de Establecimientos de la Salud en la Región de Ñuble, Año 2021"/>
    <s v="La región de Ñuble cuenta con 121 establecimientos de salud, de estos la mayoría son Postas llegando a 54, seguido por CESFAM que son 37 en la región. "/>
    <s v="Gráfico"/>
    <s v="Región de Ñuble,regional,establecimientos,proporción,hospitales,clínicas,cesfam,sapu,postas,laboratorios,dentales,clínicos,alta,baja,media,complejidad,diálisis,vacunatorios,consultorio,Agencia Información,Salud,Establecimientos de Salud,Establecimientos de Salud"/>
    <s v="https://analytics.zoho.com/open-view/2395394000008516451?ZOHO_CRITERIA=%222.1%22.%22C%C3%B3digo%20Regi%C3%B3n%22%20%3D%2016"/>
    <x v="16"/>
    <s v="#1774B9"/>
  </r>
  <r>
    <s v="1060"/>
    <n v="990"/>
    <s v="Agencia Información"/>
    <s v="Salud"/>
    <n v="0"/>
    <x v="57"/>
    <x v="25"/>
    <x v="0"/>
    <x v="0"/>
    <x v="12"/>
    <x v="68"/>
    <s v="Año 2021"/>
    <s v="Número de Establecimientos"/>
    <s v="Departamento de Estadísticas e Información de la Salud (DEIS) - Ministerio de Salud"/>
    <s v="Cantidad de Establecimientos de la Salud por Comuna en Chile, Año 2021"/>
    <s v="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
    <s v="Mapa de calor"/>
    <s v="Chile,nacional,región,establecimientos,tipo,hospitales,clínicas,cesfam,sapu,postas,laboratorios,dentales,clínicos,alta,baja,media,complejidad,diálisis,vacunatorios,consultorio,Agencia Información,Salud,Establecimientos de Salud,Establecimientos de Salud"/>
    <s v="https://analytics.zoho.com/open-view/2395394000008214196"/>
    <x v="17"/>
    <s v="#1774B9"/>
  </r>
  <r>
    <s v="1061"/>
    <n v="990"/>
    <s v="Agencia Información"/>
    <s v="Salud"/>
    <n v="1"/>
    <x v="57"/>
    <x v="25"/>
    <x v="1"/>
    <x v="1"/>
    <x v="9"/>
    <x v="68"/>
    <s v="Año 2021"/>
    <s v="Número de Establecimientos"/>
    <s v="Departamento de Estadísticas e Información de la Salud (DEIS) - Ministerio de Salud"/>
    <s v="Cantidad de Establecimientos de la Salud por Comuna en la Región de Tarapacá, Año 2021"/>
    <s v="En la región de Tarapacá, Iquique es la comuna con la mayor cantidad de establecimiento de la salud, alcanzando a un total de 32, seguido por la comuna de Alto Hospicio con 11 establecimientos."/>
    <s v="Mapa de calor"/>
    <s v="Región de Tarapacá,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
    <x v="18"/>
    <s v="#1774B9"/>
  </r>
  <r>
    <s v="1062"/>
    <n v="990"/>
    <s v="Agencia Información"/>
    <s v="Salud"/>
    <n v="2"/>
    <x v="57"/>
    <x v="25"/>
    <x v="1"/>
    <x v="2"/>
    <x v="9"/>
    <x v="68"/>
    <s v="Año 2021"/>
    <s v="Número de Establecimientos"/>
    <s v="Departamento de Estadísticas e Información de la Salud (DEIS) - Ministerio de Salud"/>
    <s v="Cantidad de Establecimientos de la Salud por Comuna en la Región de Antofagasta, Año 2021"/>
    <s v="De los 101 establecimientos de la salud de la región, 55 están en Antofagasta y 31 en Calama. Las comunas de Mejillones y Ollagüe, presentan la menor cantidad con solo 1 establecimientos "/>
    <s v="Mapa de calor"/>
    <s v="Región de Antofagast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2"/>
    <x v="19"/>
    <s v="#1774B9"/>
  </r>
  <r>
    <s v="1063"/>
    <n v="990"/>
    <s v="Agencia Información"/>
    <s v="Salud"/>
    <n v="3"/>
    <x v="57"/>
    <x v="25"/>
    <x v="1"/>
    <x v="3"/>
    <x v="9"/>
    <x v="68"/>
    <s v="Año 2021"/>
    <s v="Número de Establecimientos"/>
    <s v="Departamento de Estadísticas e Información de la Salud (DEIS) - Ministerio de Salud"/>
    <s v="Cantidad de Establecimientos de la Salud por Comuna en la Región de Atacama, Año 2021"/>
    <s v="De los 72 establecimientos de la salud de la región, 27 se encuentran en la comuna de Copiapó, entre estos 8 son CESFAM, 3 son Clínicas y 3 son SAPU. La comuna de Freirina y Tierra Amarilla tienen la menor cantidad, con 2 establecimientos cada una."/>
    <s v="Mapa de calor"/>
    <s v="Región de Atacam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3"/>
    <x v="20"/>
    <s v="#1774B9"/>
  </r>
  <r>
    <s v="1064"/>
    <n v="990"/>
    <s v="Agencia Información"/>
    <s v="Salud"/>
    <n v="4"/>
    <x v="57"/>
    <x v="25"/>
    <x v="1"/>
    <x v="4"/>
    <x v="9"/>
    <x v="68"/>
    <s v="Año 2021"/>
    <s v="Número de Establecimientos"/>
    <s v="Departamento de Estadísticas e Información de la Salud (DEIS) - Ministerio de Salud"/>
    <s v="Cantidad de Establecimientos de la Salud por Comuna en la Región de Coquimbo, Año 2021"/>
    <s v="De los 190 establecimientos de salud de la región de Coquimbo, las tres comunas que tienen la mayor cantidad son: La Serena, Ovalle y Coquimbo con 35, 27 y 23 establecimientos, respectivamente. La comuna con menor cantidad es Andacollo con solo 1 establecimiento."/>
    <s v="Mapa de calor"/>
    <s v="Región de Coquimbo,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4"/>
    <x v="21"/>
    <s v="#1774B9"/>
  </r>
  <r>
    <s v="1065"/>
    <n v="990"/>
    <s v="Agencia Información"/>
    <s v="Salud"/>
    <n v="5"/>
    <x v="57"/>
    <x v="25"/>
    <x v="1"/>
    <x v="5"/>
    <x v="9"/>
    <x v="68"/>
    <s v="Año 2021"/>
    <s v="Número de Establecimientos"/>
    <s v="Departamento de Estadísticas e Información de la Salud (DEIS) - Ministerio de Salud"/>
    <s v="Cantidad de Establecimientos de la Salud por Comuna en la Región de Valparaíso, Año 2021"/>
    <s v="De los 274 establecimientos de la salud de la región, las 3 comunas con más establecimientos son: Valparaíso, Viña del Mar y San Antonio, con 43, 38 y 21 establecimientos, respectivamente."/>
    <s v="Mapa de calor"/>
    <s v="Región de Valparaíso,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5"/>
    <x v="22"/>
    <s v="#1774B9"/>
  </r>
  <r>
    <s v="1066"/>
    <n v="990"/>
    <s v="Agencia Información"/>
    <s v="Salud"/>
    <n v="6"/>
    <x v="57"/>
    <x v="25"/>
    <x v="1"/>
    <x v="6"/>
    <x v="9"/>
    <x v="68"/>
    <s v="Año 2021"/>
    <s v="Número de Establecimientos"/>
    <s v="Departamento de Estadísticas e Información de la Salud (DEIS) - Ministerio de Salud"/>
    <s v="Cantidad de Establecimientos de la Salud por Comuna en la Región de O'Higgins, Año 2021"/>
    <s v="En la región de O´Higgins, Rancagua presenta 34 establecimientos, seguido por San Fernando con 22 establecimientos."/>
    <s v="Mapa de calor"/>
    <s v="Región de O'Higgin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6"/>
    <x v="23"/>
    <s v="#1774B9"/>
  </r>
  <r>
    <s v="1067"/>
    <n v="990"/>
    <s v="Agencia Información"/>
    <s v="Salud"/>
    <n v="7"/>
    <x v="57"/>
    <x v="25"/>
    <x v="1"/>
    <x v="7"/>
    <x v="9"/>
    <x v="68"/>
    <s v="Año 2021"/>
    <s v="Número de Establecimientos"/>
    <s v="Departamento de Estadísticas e Información de la Salud (DEIS) - Ministerio de Salud"/>
    <s v="Cantidad de Establecimientos de la Salud por Comuna en la Región de Maule, Año 2021"/>
    <s v="La región de Maule presenta 310 establecimientos de salud. Las 3 comunas con mayor cantidad son Talca con 36, Curicó con 32 y Linares con 30. Las comunas con menor cantidad son San Rafael y Empedrado con 2 establecimientos cada uno."/>
    <s v="Mapa de calor"/>
    <s v="Región de Maule,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7"/>
    <x v="24"/>
    <s v="#1774B9"/>
  </r>
  <r>
    <s v="1068"/>
    <n v="990"/>
    <s v="Agencia Información"/>
    <s v="Salud"/>
    <n v="8"/>
    <x v="57"/>
    <x v="25"/>
    <x v="1"/>
    <x v="8"/>
    <x v="9"/>
    <x v="68"/>
    <s v="Año 2021"/>
    <s v="Número de Establecimientos"/>
    <s v="Departamento de Estadísticas e Información de la Salud (DEIS) - Ministerio de Salud"/>
    <s v="Cantidad de Establecimientos de la Salud por Comuna en la Región del Biobío, Año 2021"/>
    <s v="De los 322 establecimientos de la salud de la región, 50 estan en Concepción y 41 en Los Ángeles. Las comunas de Antuco y San Rosendo, presentan la menor cantidad con solo 2 establecimientos cada una."/>
    <s v="Mapa de calor"/>
    <s v="Región del Biobío,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8"/>
    <x v="25"/>
    <s v="#1774B9"/>
  </r>
  <r>
    <s v="1069"/>
    <n v="990"/>
    <s v="Agencia Información"/>
    <s v="Salud"/>
    <n v="9"/>
    <x v="57"/>
    <x v="25"/>
    <x v="1"/>
    <x v="9"/>
    <x v="9"/>
    <x v="68"/>
    <s v="Año 2021"/>
    <s v="Número de Establecimientos"/>
    <s v="Departamento de Estadísticas e Información de la Salud (DEIS) - Ministerio de Salud"/>
    <s v="Cantidad de Establecimientos de la Salud por Comuna en la Región de La Araucanía, Año 2021"/>
    <s v="La región de La Araucanía cuenta con Postas en todas sus comunas. Sin embargo, sólo cuenta con Hospitales de alta complejidad, en 3 comunas: Temuco, Victoria y Angol. "/>
    <s v="Mapa de calor"/>
    <s v="Región de La Araucaní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9"/>
    <x v="26"/>
    <s v="#1774B9"/>
  </r>
  <r>
    <s v="1070"/>
    <n v="990"/>
    <s v="Agencia Información"/>
    <s v="Salud"/>
    <n v="10"/>
    <x v="57"/>
    <x v="25"/>
    <x v="1"/>
    <x v="10"/>
    <x v="9"/>
    <x v="68"/>
    <s v="Año 2021"/>
    <s v="Número de Establecimientos"/>
    <s v="Departamento de Estadísticas e Información de la Salud (DEIS) - Ministerio de Salud"/>
    <s v="Cantidad de Establecimientos de la Salud por Comuna en la Región de Los Lagos, Año 2021"/>
    <s v="La región de Los Lagos cuenta con Postas en todas sus comunas. Sin embargo, solo cuenta con Hospitales de alta complejidad, en 3 comunas: Puerto Montt, Osorno y Castro. "/>
    <s v="Mapa de calor"/>
    <s v="Región de Los Lago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0"/>
    <x v="27"/>
    <s v="#1774B9"/>
  </r>
  <r>
    <s v="1071"/>
    <n v="990"/>
    <s v="Agencia Información"/>
    <s v="Salud"/>
    <n v="11"/>
    <x v="57"/>
    <x v="25"/>
    <x v="1"/>
    <x v="11"/>
    <x v="9"/>
    <x v="68"/>
    <s v="Año 2021"/>
    <s v="Número de Establecimientos"/>
    <s v="Departamento de Estadísticas e Información de la Salud (DEIS) - Ministerio de Salud"/>
    <s v="Cantidad de Establecimientos de la Salud por Comuna en la Región de Aysén, Año 2021"/>
    <s v="La región de Aysén cuenta con 46 establecimientos de la salud. Las comunas con más establecimientos son Coihaique con 16 y Aysén con 8 establecimientos. Las comunas de Cochrane, Tortel y O´Higgins presentan solo 1 establecimiento cada una."/>
    <s v="Mapa de calor"/>
    <s v="Región de Aysén,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1"/>
    <x v="33"/>
    <s v="#1774B9"/>
  </r>
  <r>
    <s v="1072"/>
    <n v="990"/>
    <s v="Agencia Información"/>
    <s v="Salud"/>
    <n v="12"/>
    <x v="57"/>
    <x v="25"/>
    <x v="1"/>
    <x v="12"/>
    <x v="9"/>
    <x v="68"/>
    <s v="Año 2021"/>
    <s v="Número de Establecimientos"/>
    <s v="Departamento de Estadísticas e Información de la Salud (DEIS) - Ministerio de Salud"/>
    <s v="Cantidad de Establecimientos de la Salud por Comuna en la Región de Magallanes, Año 2021"/>
    <s v="La comuna de Punta Arenas es la que presenta mayor cantidad de establecimientos de salud en la región, llegando a 22, de estos 1 es Hospital de alta complejidad, 8 son CESFAM y 3 son SAPU."/>
    <s v="Mapa de calor"/>
    <s v="Región de Magallane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2"/>
    <x v="28"/>
    <s v="#1774B9"/>
  </r>
  <r>
    <s v="1073"/>
    <n v="990"/>
    <s v="Agencia Información"/>
    <s v="Salud"/>
    <n v="13"/>
    <x v="57"/>
    <x v="25"/>
    <x v="1"/>
    <x v="13"/>
    <x v="9"/>
    <x v="68"/>
    <s v="Año 2021"/>
    <s v="Número de Establecimientos"/>
    <s v="Departamento de Estadísticas e Información de la Salud (DEIS) - Ministerio de Salud"/>
    <s v="Cantidad de Establecimientos de la Salud por Comuna en la Región Metropolitana, Año 2021"/>
    <s v="La región Metropolitana es la que cuenta con la mayor cantidad de establecimientos de salud en el país. Las comunas con mayor cantidad son: Providencia con 50, Santiago con 37 y La Florida con 27. Por otro lado, 13 comunas cuentan con hospitales de alta complejidad."/>
    <s v="Mapa de calor"/>
    <s v="Región Metropolitan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3"/>
    <x v="29"/>
    <s v="#1774B9"/>
  </r>
  <r>
    <s v="1074"/>
    <n v="990"/>
    <s v="Agencia Información"/>
    <s v="Salud"/>
    <n v="14"/>
    <x v="57"/>
    <x v="25"/>
    <x v="1"/>
    <x v="14"/>
    <x v="9"/>
    <x v="68"/>
    <s v="Año 2021"/>
    <s v="Número de Establecimientos"/>
    <s v="Departamento de Estadísticas e Información de la Salud (DEIS) - Ministerio de Salud"/>
    <s v="Cantidad de Establecimientos de la Salud por Comuna en la Región de Los Ríos, Año 2021"/>
    <s v="La comuna de Valdivia es la que presenta mayor cantidad de establecimientos de salud en la región, llegando a 43, de estos 1 es Hospital de alta complejidad, 11 son CESFAM y 4 son SAPU."/>
    <s v="Mapa de calor"/>
    <s v="Región de Los Ríos,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4"/>
    <x v="30"/>
    <s v="#1774B9"/>
  </r>
  <r>
    <s v="1075"/>
    <n v="990"/>
    <s v="Agencia Información"/>
    <s v="Salud"/>
    <n v="15"/>
    <x v="57"/>
    <x v="25"/>
    <x v="1"/>
    <x v="15"/>
    <x v="9"/>
    <x v="68"/>
    <s v="Año 2021"/>
    <s v="Número de Establecimientos"/>
    <s v="Departamento de Estadísticas e Información de la Salud (DEIS) - Ministerio de Salud"/>
    <s v="Cantidad de Establecimientos de la Salud por Comuna en la Región de Arica y Parinacota, Año 2021"/>
    <s v="La región de Arica y Parinacota cuenta con 36 establecimientos de salud. La comuna de Arica presenta la mayor cantidad con 31. De estos 8 son CESFAM, 1 es SAPU y 1 es Hospital de complejidad. "/>
    <s v="Mapa de calor"/>
    <s v="Región de Arica y Parinacota,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5"/>
    <x v="31"/>
    <s v="#1774B9"/>
  </r>
  <r>
    <s v="1076"/>
    <n v="990"/>
    <s v="Agencia Información"/>
    <s v="Salud"/>
    <n v="16"/>
    <x v="57"/>
    <x v="25"/>
    <x v="1"/>
    <x v="16"/>
    <x v="9"/>
    <x v="68"/>
    <s v="Año 2021"/>
    <s v="Número de Establecimientos"/>
    <s v="Departamento de Estadísticas e Información de la Salud (DEIS) - Ministerio de Salud"/>
    <s v="Cantidad de Establecimientos de la Salud por Comuna en la Región de Ñuble, Año 2021"/>
    <s v="La región del Ñuble cuenta con 121 establecimientos de la salud, 33 se ubican en la comuna de Chillán y 12 en la comuna de San Carlos. Las comunas de Quirihue y San Nicolás cuentan con solo 2 establecimientos cada una."/>
    <s v="Mapa de calor"/>
    <s v="Región de Ñuble,regional,establecimientos,tipo,hospitales,clínicas,cesfam,sapu,postas,laboratorios,dentales,clínicos,alta,baja,media,complejidad,diálisis,vacunatorios,consultorio,Agencia Información,Salud,Establecimientos de Salud,Establecimientos de Salud"/>
    <s v="https://analytics.zoho.com/open-view/2395394000008516065?ZOHO_CRITERIA=%222.1%22.%22C%C3%B3digo%20Regi%C3%B3n%22%20%3D%2016"/>
    <x v="32"/>
    <s v="#1774B9"/>
  </r>
  <r>
    <s v="1077"/>
    <n v="990"/>
    <s v="Agencia Información"/>
    <s v="Salud"/>
    <n v="0"/>
    <x v="57"/>
    <x v="25"/>
    <x v="0"/>
    <x v="0"/>
    <x v="0"/>
    <x v="68"/>
    <s v="Año 2021"/>
    <s v="Número de Establecimientos"/>
    <s v="Departamento de Estadísticas e Información de la Salud (DEIS) - Ministerio de Salud"/>
    <s v="Cantidad de Establecimientos de la Salud por Tipo en Chile, Año 2021"/>
    <s v="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
    <s v="Gráfico"/>
    <s v="Chile,nacional,región,establecimientos,tipo,proporción,privados,públicos,Agencia Información,Salud,Establecimientos de Salud,Establecimientos de Salud"/>
    <s v="https://analytics.zoho.com/open-view/2395394000008214357"/>
    <x v="0"/>
    <s v="#1774B9"/>
  </r>
  <r>
    <s v="1078"/>
    <n v="990"/>
    <s v="Agencia Información"/>
    <s v="Salud"/>
    <n v="1"/>
    <x v="57"/>
    <x v="25"/>
    <x v="1"/>
    <x v="1"/>
    <x v="1"/>
    <x v="68"/>
    <s v="Año 2021"/>
    <s v="Número de Establecimientos"/>
    <s v="Departamento de Estadísticas e Información de la Salud (DEIS) - Ministerio de Salud"/>
    <s v="Cantidad de Establecimientos de la Salud por Tipo en la Región de Tarapacá, Año 2021"/>
    <s v="La región de Tarapacá cuenta con 64 establecimientos de salud, de ellos, 38 son establecimientos públicos que corresponden al 59,4% del total regional."/>
    <s v="Gráfico"/>
    <s v="Región de Tarapacá,regional,establecimientos,tipo,proporción,privados,públicos,Agencia Información,Salud,Establecimientos de Salud,Establecimientos de Salud"/>
    <s v="https://analytics.zoho.com/open-view/2395394000008516593?ZOHO_CRITERIA=%222.1%22.%22C%C3%B3digo%20Regi%C3%B3n%22%20%3D%201"/>
    <x v="1"/>
    <s v="#1774B9"/>
  </r>
  <r>
    <s v="1079"/>
    <n v="990"/>
    <s v="Agencia Información"/>
    <s v="Salud"/>
    <n v="2"/>
    <x v="57"/>
    <x v="25"/>
    <x v="1"/>
    <x v="2"/>
    <x v="1"/>
    <x v="68"/>
    <s v="Año 2021"/>
    <s v="Número de Establecimientos"/>
    <s v="Departamento de Estadísticas e Información de la Salud (DEIS) - Ministerio de Salud"/>
    <s v="Cantidad de Establecimientos de la Salud por Tipo en la Región de Antofagasta, Año 2021"/>
    <s v="La región de Antofagasta cuenta con 101 establecimientos de salud, de ellos, 57 son establecimientos privados que corresponden al 56,4% del total regional."/>
    <s v="Gráfico"/>
    <s v="Región de Antofagasta,regional,establecimientos,tipo,proporción,privados,públicos,Agencia Información,Salud,Establecimientos de Salud,Establecimientos de Salud"/>
    <s v="https://analytics.zoho.com/open-view/2395394000008516593?ZOHO_CRITERIA=%222.1%22.%22C%C3%B3digo%20Regi%C3%B3n%22%20%3D%202"/>
    <x v="2"/>
    <s v="#1774B9"/>
  </r>
  <r>
    <s v="1080"/>
    <n v="990"/>
    <s v="Agencia Información"/>
    <s v="Salud"/>
    <n v="3"/>
    <x v="57"/>
    <x v="25"/>
    <x v="1"/>
    <x v="3"/>
    <x v="1"/>
    <x v="68"/>
    <s v="Año 2021"/>
    <s v="Número de Establecimientos"/>
    <s v="Departamento de Estadísticas e Información de la Salud (DEIS) - Ministerio de Salud"/>
    <s v="Cantidad de Establecimientos de la Salud por Tipo en la Región de Atacama, Año 2021"/>
    <s v="En la región de Atacama el 65,3% de los establecimientos de salud son públicos, que equivalen a 47 establecimientos."/>
    <s v="Gráfico"/>
    <s v="Región de Atacama,regional,establecimientos,tipo,proporción,privados,públicos,Agencia Información,Salud,Establecimientos de Salud,Establecimientos de Salud"/>
    <s v="https://analytics.zoho.com/open-view/2395394000008516593?ZOHO_CRITERIA=%222.1%22.%22C%C3%B3digo%20Regi%C3%B3n%22%20%3D%203"/>
    <x v="3"/>
    <s v="#1774B9"/>
  </r>
  <r>
    <s v="1081"/>
    <n v="990"/>
    <s v="Agencia Información"/>
    <s v="Salud"/>
    <n v="4"/>
    <x v="57"/>
    <x v="25"/>
    <x v="1"/>
    <x v="4"/>
    <x v="1"/>
    <x v="68"/>
    <s v="Año 2021"/>
    <s v="Número de Establecimientos"/>
    <s v="Departamento de Estadísticas e Información de la Salud (DEIS) - Ministerio de Salud"/>
    <s v="Cantidad de Establecimientos de la Salud por Tipo en la Región de Coquimbo, Año 2021"/>
    <s v="La región de Coquimbo cuenta con 190 establecimientos de salud, de ellos, el 83,7% corresponde a establecimientos públicos."/>
    <s v="Gráfico"/>
    <s v="Región de Coquimbo,regional,establecimientos,tipo,proporción,privados,públicos,Agencia Información,Salud,Establecimientos de Salud,Establecimientos de Salud"/>
    <s v="https://analytics.zoho.com/open-view/2395394000008516593?ZOHO_CRITERIA=%222.1%22.%22C%C3%B3digo%20Regi%C3%B3n%22%20%3D%204"/>
    <x v="4"/>
    <s v="#1774B9"/>
  </r>
  <r>
    <s v="1082"/>
    <n v="990"/>
    <s v="Agencia Información"/>
    <s v="Salud"/>
    <n v="5"/>
    <x v="57"/>
    <x v="25"/>
    <x v="1"/>
    <x v="5"/>
    <x v="1"/>
    <x v="68"/>
    <s v="Año 2021"/>
    <s v="Número de Establecimientos"/>
    <s v="Departamento de Estadísticas e Información de la Salud (DEIS) - Ministerio de Salud"/>
    <s v="Cantidad de Establecimientos de la Salud por Tipo en la Región de Valparaíso, Año 2021"/>
    <s v="La región de Valparaíso cuenta con 274 establecimientos de salud, 216 son públicos y 58 privados, que corresponden al 78,8% y 21,2% respectivamente."/>
    <s v="Gráfico"/>
    <s v="Región de Valparaíso,regional,establecimientos,tipo,proporción,privados,públicos,Agencia Información,Salud,Establecimientos de Salud,Establecimientos de Salud"/>
    <s v="https://analytics.zoho.com/open-view/2395394000008516593?ZOHO_CRITERIA=%222.1%22.%22C%C3%B3digo%20Regi%C3%B3n%22%20%3D%205"/>
    <x v="5"/>
    <s v="#1774B9"/>
  </r>
  <r>
    <s v="1083"/>
    <n v="990"/>
    <s v="Agencia Información"/>
    <s v="Salud"/>
    <n v="6"/>
    <x v="57"/>
    <x v="25"/>
    <x v="1"/>
    <x v="6"/>
    <x v="1"/>
    <x v="68"/>
    <s v="Año 2021"/>
    <s v="Número de Establecimientos"/>
    <s v="Departamento de Estadísticas e Información de la Salud (DEIS) - Ministerio de Salud"/>
    <s v="Cantidad de Establecimientos de la Salud por Tipo en la Región de O'Higgins, Año 2021"/>
    <s v="En la región de O'Higgins el 75,6% de los establecimientos de salud son públicos, lo que equivale a 149 establecimientos. "/>
    <s v="Gráfico"/>
    <s v="Región de O'Higgins,regional,establecimientos,tipo,proporción,privados,públicos,Agencia Información,Salud,Establecimientos de Salud,Establecimientos de Salud"/>
    <s v="https://analytics.zoho.com/open-view/2395394000008516593?ZOHO_CRITERIA=%222.1%22.%22C%C3%B3digo%20Regi%C3%B3n%22%20%3D%206"/>
    <x v="6"/>
    <s v="#1774B9"/>
  </r>
  <r>
    <s v="1084"/>
    <n v="990"/>
    <s v="Agencia Información"/>
    <s v="Salud"/>
    <n v="7"/>
    <x v="57"/>
    <x v="25"/>
    <x v="1"/>
    <x v="7"/>
    <x v="1"/>
    <x v="68"/>
    <s v="Año 2021"/>
    <s v="Número de Establecimientos"/>
    <s v="Departamento de Estadísticas e Información de la Salud (DEIS) - Ministerio de Salud"/>
    <s v="Cantidad de Establecimientos de la Salud por Tipo en la Región de Maule, Año 2021"/>
    <s v="La región de Maule presenta 310 establecimientos de salud, de ellos, el  82,6% corresponde a establecimientos públicos."/>
    <s v="Gráfico"/>
    <s v="Región de Maule,regional,establecimientos,tipo,proporción,privados,públicos,Agencia Información,Salud,Establecimientos de Salud,Establecimientos de Salud"/>
    <s v="https://analytics.zoho.com/open-view/2395394000008516593?ZOHO_CRITERIA=%222.1%22.%22C%C3%B3digo%20Regi%C3%B3n%22%20%3D%207"/>
    <x v="7"/>
    <s v="#1774B9"/>
  </r>
  <r>
    <s v="1085"/>
    <n v="990"/>
    <s v="Agencia Información"/>
    <s v="Salud"/>
    <n v="8"/>
    <x v="57"/>
    <x v="25"/>
    <x v="1"/>
    <x v="8"/>
    <x v="1"/>
    <x v="68"/>
    <s v="Año 2021"/>
    <s v="Número de Establecimientos"/>
    <s v="Departamento de Estadísticas e Información de la Salud (DEIS) - Ministerio de Salud"/>
    <s v="Cantidad de Establecimientos de la Salud por Tipo en la Región del Biobío, Año 2021"/>
    <s v="En la región del Biobío el 80,7% de los establecimientos de salud son públicos, lo que equivale a 260 establecimientos. "/>
    <s v="Gráfico"/>
    <s v="Región del Biobío,regional,establecimientos,tipo,proporción,privados,públicos,Agencia Información,Salud,Establecimientos de Salud,Establecimientos de Salud"/>
    <s v="https://analytics.zoho.com/open-view/2395394000008516593?ZOHO_CRITERIA=%222.1%22.%22C%C3%B3digo%20Regi%C3%B3n%22%20%3D%208"/>
    <x v="8"/>
    <s v="#1774B9"/>
  </r>
  <r>
    <s v="1086"/>
    <n v="990"/>
    <s v="Agencia Información"/>
    <s v="Salud"/>
    <n v="9"/>
    <x v="57"/>
    <x v="25"/>
    <x v="1"/>
    <x v="9"/>
    <x v="1"/>
    <x v="68"/>
    <s v="Año 2021"/>
    <s v="Número de Establecimientos"/>
    <s v="Departamento de Estadísticas e Información de la Salud (DEIS) - Ministerio de Salud"/>
    <s v="Cantidad de Establecimientos de la Salud por Tipo en la Región de La Araucanía, Año 2021"/>
    <s v="La región de La Araucanía presenta 327 establecimientos de salud, de ellos, el 88,7% corresponde a establecimientos públicos."/>
    <s v="Gráfico"/>
    <s v="Región de La Araucanía,regional,establecimientos,tipo,proporción,privados,públicos,Agencia Información,Salud,Establecimientos de Salud,Establecimientos de Salud"/>
    <s v="https://analytics.zoho.com/open-view/2395394000008516593?ZOHO_CRITERIA=%222.1%22.%22C%C3%B3digo%20Regi%C3%B3n%22%20%3D%209"/>
    <x v="9"/>
    <s v="#1774B9"/>
  </r>
  <r>
    <s v="1087"/>
    <n v="990"/>
    <s v="Agencia Información"/>
    <s v="Salud"/>
    <n v="10"/>
    <x v="57"/>
    <x v="25"/>
    <x v="1"/>
    <x v="10"/>
    <x v="1"/>
    <x v="68"/>
    <s v="Año 2021"/>
    <s v="Número de Establecimientos"/>
    <s v="Departamento de Estadísticas e Información de la Salud (DEIS) - Ministerio de Salud"/>
    <s v="Cantidad de Establecimientos de la Salud por Tipo en la Región de Los Lagos, Año 2021"/>
    <s v="En la región de Los Lagos el 85,2% de los establecimientos de salud son públicos, lo que equivale a 283 establecimientos. "/>
    <s v="Gráfico"/>
    <s v="Región de Los Lagos,regional,establecimientos,tipo,proporción,privados,públicos,Agencia Información,Salud,Establecimientos de Salud,Establecimientos de Salud"/>
    <s v="https://analytics.zoho.com/open-view/2395394000008516593?ZOHO_CRITERIA=%222.1%22.%22C%C3%B3digo%20Regi%C3%B3n%22%20%3D%2010"/>
    <x v="10"/>
    <s v="#1774B9"/>
  </r>
  <r>
    <s v="1088"/>
    <n v="990"/>
    <s v="Agencia Información"/>
    <s v="Salud"/>
    <n v="11"/>
    <x v="57"/>
    <x v="25"/>
    <x v="1"/>
    <x v="11"/>
    <x v="1"/>
    <x v="68"/>
    <s v="Año 2021"/>
    <s v="Número de Establecimientos"/>
    <s v="Departamento de Estadísticas e Información de la Salud (DEIS) - Ministerio de Salud"/>
    <s v="Cantidad de Establecimientos de la Salud por Tipo en la Región de Aysén, Año 2021"/>
    <s v="En la región de Aysén el 89,1% de los establecimientos de salud son públicos, lo que equivale a 41 establecimientos. "/>
    <s v="Gráfico"/>
    <s v="Región de Aysén,regional,establecimientos,tipo,proporción,privados,públicos,Agencia Información,Salud,Establecimientos de Salud,Establecimientos de Salud"/>
    <s v="https://analytics.zoho.com/open-view/2395394000008516593?ZOHO_CRITERIA=%222.1%22.%22C%C3%B3digo%20Regi%C3%B3n%22%20%3D%2011"/>
    <x v="11"/>
    <s v="#1774B9"/>
  </r>
  <r>
    <s v="1089"/>
    <n v="990"/>
    <s v="Agencia Información"/>
    <s v="Salud"/>
    <n v="12"/>
    <x v="57"/>
    <x v="25"/>
    <x v="1"/>
    <x v="12"/>
    <x v="1"/>
    <x v="68"/>
    <s v="Año 2021"/>
    <s v="Número de Establecimientos"/>
    <s v="Departamento de Estadísticas e Información de la Salud (DEIS) - Ministerio de Salud"/>
    <s v="Cantidad de Establecimientos de la Salud por Tipo en la Región de Magallanes, Año 2021"/>
    <s v="En la región de Magallanes el 70,3% de los establecimientos de salud son públicos, lo que equivale a 26 establecimientos. "/>
    <s v="Gráfico"/>
    <s v="Región de Magallanes,regional,establecimientos,tipo,proporción,privados,públicos,Agencia Información,Salud,Establecimientos de Salud,Establecimientos de Salud"/>
    <s v="https://analytics.zoho.com/open-view/2395394000008516593?ZOHO_CRITERIA=%222.1%22.%22C%C3%B3digo%20Regi%C3%B3n%22%20%3D%2012"/>
    <x v="12"/>
    <s v="#1774B9"/>
  </r>
  <r>
    <s v="1090"/>
    <n v="990"/>
    <s v="Agencia Información"/>
    <s v="Salud"/>
    <n v="13"/>
    <x v="57"/>
    <x v="25"/>
    <x v="1"/>
    <x v="13"/>
    <x v="1"/>
    <x v="68"/>
    <s v="Año 2021"/>
    <s v="Número de Establecimientos"/>
    <s v="Departamento de Estadísticas e Información de la Salud (DEIS) - Ministerio de Salud"/>
    <s v="Cantidad de Establecimientos de la Salud por Tipo en la Región Metropolitana, Año 2021"/>
    <s v="En la región Metropolitana el 72% de los establecimientos de salud son públicos, lo que equivale a 416 establecimientos. "/>
    <s v="Gráfico"/>
    <s v="Región Metropolitana,regional,establecimientos,tipo,proporción,privados,públicos,Agencia Información,Salud,Establecimientos de Salud,Establecimientos de Salud"/>
    <s v="https://analytics.zoho.com/open-view/2395394000008516593?ZOHO_CRITERIA=%222.1%22.%22C%C3%B3digo%20Regi%C3%B3n%22%20%3D%2013"/>
    <x v="13"/>
    <s v="#1774B9"/>
  </r>
  <r>
    <s v="1091"/>
    <n v="990"/>
    <s v="Agencia Información"/>
    <s v="Salud"/>
    <n v="14"/>
    <x v="57"/>
    <x v="25"/>
    <x v="1"/>
    <x v="14"/>
    <x v="1"/>
    <x v="68"/>
    <s v="Año 2021"/>
    <s v="Número de Establecimientos"/>
    <s v="Departamento de Estadísticas e Información de la Salud (DEIS) - Ministerio de Salud"/>
    <s v="Cantidad de Establecimientos de la Salud por Tipo en la Región de Los Ríos, Año 2021"/>
    <s v="La región de Los Ríos cuenta con 141 establecimientos de salud, de ellos, el 78,0% corresponde a establecimientos públicos."/>
    <s v="Gráfico"/>
    <s v="Región de Los Ríos,regional,establecimientos,tipo,proporción,privados,públicos,Agencia Información,Salud,Establecimientos de Salud,Establecimientos de Salud"/>
    <s v="https://analytics.zoho.com/open-view/2395394000008516593?ZOHO_CRITERIA=%222.1%22.%22C%C3%B3digo%20Regi%C3%B3n%22%20%3D%2014"/>
    <x v="14"/>
    <s v="#1774B9"/>
  </r>
  <r>
    <s v="1092"/>
    <n v="990"/>
    <s v="Agencia Información"/>
    <s v="Salud"/>
    <n v="15"/>
    <x v="57"/>
    <x v="25"/>
    <x v="1"/>
    <x v="15"/>
    <x v="1"/>
    <x v="68"/>
    <s v="Año 2021"/>
    <s v="Número de Establecimientos"/>
    <s v="Departamento de Estadísticas e Información de la Salud (DEIS) - Ministerio de Salud"/>
    <s v="Cantidad de Establecimientos de la Salud por Tipo en la Región de Arica y Parinacota, Año 2021"/>
    <s v="La región de Arica y Parinacota cuenta con 36 establecimientos de salud, el año 2021, es la única región que cuenta con la misma cantidad de establecimientos privados y públicos, 18 de cada uno."/>
    <s v="Gráfico"/>
    <s v="Región de Arica y Parinacota,regional,establecimientos,tipo,proporción,privados,públicos,Agencia Información,Salud,Establecimientos de Salud,Establecimientos de Salud"/>
    <s v="https://analytics.zoho.com/open-view/2395394000008516593?ZOHO_CRITERIA=%222.1%22.%22C%C3%B3digo%20Regi%C3%B3n%22%20%3D%2015"/>
    <x v="15"/>
    <s v="#1774B9"/>
  </r>
  <r>
    <s v="1093"/>
    <n v="990"/>
    <s v="Agencia Información"/>
    <s v="Salud"/>
    <n v="16"/>
    <x v="57"/>
    <x v="25"/>
    <x v="1"/>
    <x v="16"/>
    <x v="1"/>
    <x v="68"/>
    <s v="Año 2021"/>
    <s v="Número de Establecimientos"/>
    <s v="Departamento de Estadísticas e Información de la Salud (DEIS) - Ministerio de Salud"/>
    <s v="Cantidad de Establecimientos de la Salud por Tipo en la Región de Ñuble, Año 2021"/>
    <s v="En la región de Ñuble el 86% de los establecimientos de salud son públicos, lo que equivale a 104 establecimientos. "/>
    <s v="Gráfico"/>
    <s v="Región de Ñuble,regional,establecimientos,tipo,proporción,privados,públicos,Agencia Información,Salud,Establecimientos de Salud,Establecimientos de Salud"/>
    <s v="https://analytics.zoho.com/open-view/2395394000008516593?ZOHO_CRITERIA=%222.1%22.%22C%C3%B3digo%20Regi%C3%B3n%22%20%3D%2016"/>
    <x v="16"/>
    <s v="#1774B9"/>
  </r>
  <r>
    <s v="1094"/>
    <n v="990"/>
    <s v="Agencia Información"/>
    <s v="Mujeres"/>
    <n v="0"/>
    <x v="58"/>
    <x v="2"/>
    <x v="0"/>
    <x v="0"/>
    <x v="0"/>
    <x v="69"/>
    <s v="Periodo 2010-2016"/>
    <s v="Número de atenciones médicas"/>
    <s v="Departamento de Estadísticas e Información de la Salud (DEIS) - Ministerio de Salud"/>
    <s v="Atenciones Médicas por Violencia de Género por Región en Chile, Periodo 2010-2016"/>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de Evolución"/>
    <s v="Chile,nacional,región,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195644"/>
    <x v="0"/>
    <s v="#1774B9"/>
  </r>
  <r>
    <s v="1095"/>
    <n v="990"/>
    <s v="Agencia Información"/>
    <s v="Mujeres"/>
    <n v="1"/>
    <x v="58"/>
    <x v="2"/>
    <x v="1"/>
    <x v="1"/>
    <x v="1"/>
    <x v="70"/>
    <s v="Periodo 2010-2016"/>
    <s v="Número de atenciones médicas"/>
    <s v="Departamento de Estadísticas e Información de la Salud (DEIS) - Ministerio de Salud"/>
    <s v="Atenciones Médicas por Violencia de Género en la Región de Tarapacá, Periodo 2010-2016"/>
    <s v="Las Atenciones en Salud por Violencia de Género se califican de acuerdo al concepto bajo el cual fue ingresada la urgencia. En la región de Tarapacá, el concepto &quot;Otra Violencia&quot; fue el más común durante el periodo 2010-2016,  registrando el año 2010, 585 atenciones."/>
    <s v="Gráfico de Evolución"/>
    <s v="Región de Tarapacá,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
    <x v="1"/>
    <s v="#1774B9"/>
  </r>
  <r>
    <s v="1096"/>
    <n v="990"/>
    <s v="Agencia Información"/>
    <s v="Mujeres"/>
    <n v="2"/>
    <x v="58"/>
    <x v="2"/>
    <x v="1"/>
    <x v="2"/>
    <x v="1"/>
    <x v="70"/>
    <s v="Periodo 2010-2016"/>
    <s v="Número de atenciones médicas"/>
    <s v="Departamento de Estadísticas e Información de la Salud (DEIS) - Ministerio de Salud"/>
    <s v="Atenciones Médicas por Violencia de Género en la Región de Antofagasta, Periodo 2010-2016"/>
    <s v="Las Atenciones en Salud por Violencia de Género se califican de acuerdo al concepto bajo el cual fue ingresada la urgencia. En la región de Antofagasta, el concepto &quot;Otra Violencia&quot; fue el más común durante el periodo 2010-2016, seguido por &quot;Violencia Intrafamiliar&quot; para el año 2016."/>
    <s v="Gráfico de Evolución"/>
    <s v="Región de Antofagast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2"/>
    <x v="2"/>
    <s v="#1774B9"/>
  </r>
  <r>
    <s v="1097"/>
    <n v="990"/>
    <s v="Agencia Información"/>
    <s v="Mujeres"/>
    <n v="3"/>
    <x v="58"/>
    <x v="2"/>
    <x v="1"/>
    <x v="3"/>
    <x v="1"/>
    <x v="70"/>
    <s v="Periodo 2010-2016"/>
    <s v="Número de atenciones médicas"/>
    <s v="Departamento de Estadísticas e Información de la Salud (DEIS) - Ministerio de Salud"/>
    <s v="Atenciones Médicas por Violencia de Género en la Región de Atacama, Periodo 2010-2016"/>
    <s v="Las Atenciones en Salud por Violencia de Género se califican de acuerdo al concepto bajo el cual fue ingresada la urgencia. En la región de Atacama, el concepto &quot;Otra Violencia&quot; fue el más común durante el periodo 2010-2016,  registrando el mayor número de casos, el año 2016, con 2.089 atenciones. "/>
    <s v="Gráfico de Evolución"/>
    <s v="Región de Atacam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3"/>
    <x v="3"/>
    <s v="#1774B9"/>
  </r>
  <r>
    <s v="1098"/>
    <n v="990"/>
    <s v="Agencia Información"/>
    <s v="Mujeres"/>
    <n v="4"/>
    <x v="58"/>
    <x v="2"/>
    <x v="1"/>
    <x v="4"/>
    <x v="1"/>
    <x v="70"/>
    <s v="Periodo 2010-2016"/>
    <s v="Número de atenciones médicas"/>
    <s v="Departamento de Estadísticas e Información de la Salud (DEIS) - Ministerio de Salud"/>
    <s v="Atenciones Médicas por Violencia de Género en la Región de Coquimbo, Periodo 2010-2016"/>
    <s v="Las Atenciones en Salud por Violencia de Género se califican de acuerdo al concepto bajo el cual fue ingresada la urgencia. En la región de Coquimbo, el concepto &quot;Otra Violencia&quot; fue el más común durante el periodo 2010-2016,  registrando el mayor número de casos, el año 2010, con 2.004 atenciones. "/>
    <s v="Gráfico de Evolución"/>
    <s v="Región de Coquimbo,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4"/>
    <x v="4"/>
    <s v="#1774B9"/>
  </r>
  <r>
    <s v="1099"/>
    <n v="990"/>
    <s v="Agencia Información"/>
    <s v="Mujeres"/>
    <n v="5"/>
    <x v="58"/>
    <x v="2"/>
    <x v="1"/>
    <x v="5"/>
    <x v="1"/>
    <x v="70"/>
    <s v="Periodo 2010-2016"/>
    <s v="Número de atenciones médicas"/>
    <s v="Departamento de Estadísticas e Información de la Salud (DEIS) - Ministerio de Salud"/>
    <s v="Atenciones Médicas por Violencia de Género en la Región de Valparaíso, Periodo 2010-2016"/>
    <s v="Las Atenciones en Salud por Violencia de Género se califican de acuerdo al concepto bajo el cual fue ingresada la urgencia. En la región de Valparaíso, el concepto &quot;Otra Violencia&quot; fue el más común durante el periodo 2010-2016, seguido por &quot;Violencia Intrafamiliar&quot;, en el año 2016."/>
    <s v="Gráfico de Evolución"/>
    <s v="Región de Valparaíso,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5"/>
    <x v="5"/>
    <s v="#1774B9"/>
  </r>
  <r>
    <s v="1100"/>
    <n v="990"/>
    <s v="Agencia Información"/>
    <s v="Mujeres"/>
    <n v="6"/>
    <x v="58"/>
    <x v="2"/>
    <x v="1"/>
    <x v="6"/>
    <x v="1"/>
    <x v="70"/>
    <s v="Periodo 2010-2016"/>
    <s v="Número de atenciones médicas"/>
    <s v="Departamento de Estadísticas e Información de la Salud (DEIS) - Ministerio de Salud"/>
    <s v="Atenciones Médicas por Violencia de Género en la Región de O'Higgins, Periodo 2010-2016"/>
    <s v="Las Atenciones en Salud por Violencia de Género se califican de acuerdo al concepto bajo el cual fue ingresada la urgencia. En la región de O'Higgins, el concepto &quot;Otra Violencia&quot; fue el más común durante el periodo 2010-2016, seguido por &quot;Violencia Intrafamiliar&quot;, en el año 2016."/>
    <s v="Gráfico de Evolución"/>
    <s v="Región de O'Higgin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6"/>
    <x v="6"/>
    <s v="#1774B9"/>
  </r>
  <r>
    <s v="1101"/>
    <n v="990"/>
    <s v="Agencia Información"/>
    <s v="Mujeres"/>
    <n v="7"/>
    <x v="58"/>
    <x v="2"/>
    <x v="1"/>
    <x v="7"/>
    <x v="1"/>
    <x v="70"/>
    <s v="Periodo 2010-2016"/>
    <s v="Número de atenciones médicas"/>
    <s v="Departamento de Estadísticas e Información de la Salud (DEIS) - Ministerio de Salud"/>
    <s v="Atenciones Médicas por Violencia de Género en la Región de Maule, Periodo 2010-2016"/>
    <s v="Las Atenciones en Salud por Violencia de Género se califican de acuerdo al concepto bajo el cual fue ingresada la urgencia. En la región del Maule, el concepto &quot;Otra Violencia&quot; fue el más común durante el periodo 2010-2016,  registrando el mayor número de casos, el año 2016, con 4.932 atenciones."/>
    <s v="Gráfico de Evolución"/>
    <s v="Región de Maule,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7"/>
    <x v="7"/>
    <s v="#1774B9"/>
  </r>
  <r>
    <s v="1102"/>
    <n v="990"/>
    <s v="Agencia Información"/>
    <s v="Mujeres"/>
    <n v="8"/>
    <x v="58"/>
    <x v="2"/>
    <x v="1"/>
    <x v="8"/>
    <x v="1"/>
    <x v="70"/>
    <s v="Periodo 2010-2016"/>
    <s v="Número de atenciones médicas"/>
    <s v="Departamento de Estadísticas e Información de la Salud (DEIS) - Ministerio de Salud"/>
    <s v="Atenciones Médicas por Violencia de Género en la Región del Biobío, Periodo 2010-2016"/>
    <s v="Las Atenciones en Salud por Violencia de Género se califican de acuerdo al concepto bajo el cual fue ingresada la urgencia. En la región de Biobío, el concepto &quot;Otra Violencia&quot; fue el más común durante el periodo 2010-2016,  registrando el mayor número de casos, el año 2012, con 1.720 atenciones.  "/>
    <s v="Gráfico de Evolución"/>
    <s v="Región del Biobío,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8"/>
    <x v="8"/>
    <s v="#1774B9"/>
  </r>
  <r>
    <s v="1103"/>
    <n v="990"/>
    <s v="Agencia Información"/>
    <s v="Mujeres"/>
    <n v="9"/>
    <x v="58"/>
    <x v="2"/>
    <x v="1"/>
    <x v="9"/>
    <x v="1"/>
    <x v="70"/>
    <s v="Periodo 2010-2016"/>
    <s v="Número de atenciones médicas"/>
    <s v="Departamento de Estadísticas e Información de la Salud (DEIS) - Ministerio de Salud"/>
    <s v="Atenciones Médicas por Violencia de Género en la Región de La Araucanía, Periodo 2010-2016"/>
    <s v="Las Atenciones en Salud por Violencia de Género se califican de acuerdo al concepto bajo el cual fue ingresada la urgencia. En la región de La Araucanía, el concepto &quot;Otra Violencia&quot; fue el más común durante el periodo 2010-2016, seguido por &quot;Violencia Intrafamiliar&quot; para el año 2016."/>
    <s v="Gráfico de Evolución"/>
    <s v="Región de La Araucaní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9"/>
    <x v="9"/>
    <s v="#1774B9"/>
  </r>
  <r>
    <s v="1104"/>
    <n v="990"/>
    <s v="Agencia Información"/>
    <s v="Mujeres"/>
    <n v="10"/>
    <x v="58"/>
    <x v="2"/>
    <x v="1"/>
    <x v="10"/>
    <x v="1"/>
    <x v="70"/>
    <s v="Periodo 2010-2016"/>
    <s v="Número de atenciones médicas"/>
    <s v="Departamento de Estadísticas e Información de la Salud (DEIS) - Ministerio de Salud"/>
    <s v="Atenciones Médicas por Violencia de Género en la Región de Los Lagos, Periodo 2010-2016"/>
    <s v="Las Atenciones en Salud por Violencia de Género se califican de acuerdo al concepto bajo el cual fue ingresada la urgencia. En la región de Los Lagos, el concepto &quot;Otra Violencia&quot; fue el más común durante el periodo 2010-2016,  registrando el mayor número de casos, el año 2016, con 4.366 atenciones. "/>
    <s v="Gráfico de Evolución"/>
    <s v="Región de Los Lago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0"/>
    <x v="10"/>
    <s v="#1774B9"/>
  </r>
  <r>
    <s v="1105"/>
    <n v="990"/>
    <s v="Agencia Información"/>
    <s v="Mujeres"/>
    <n v="11"/>
    <x v="58"/>
    <x v="2"/>
    <x v="1"/>
    <x v="11"/>
    <x v="1"/>
    <x v="70"/>
    <s v="Periodo 2010-2016"/>
    <s v="Número de atenciones médicas"/>
    <s v="Departamento de Estadísticas e Información de la Salud (DEIS) - Ministerio de Salud"/>
    <s v="Atenciones Médicas por Violencia de Género en la Región de Aysén, Periodo 2010-2016"/>
    <s v="Las Atenciones en Salud por Violencia de Género se califican de acuerdo al concepto bajo el cual fue ingresada la urgencia. En la región de Aysén, el concepto &quot;Otra Violencia&quot; fue el más común durante el periodo 2010-2016,  registrando el mayor número de casos, el año 2011, con 52 atenciones.  "/>
    <s v="Gráfico de Evolución"/>
    <s v="Región de Aysén,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1"/>
    <x v="11"/>
    <s v="#1774B9"/>
  </r>
  <r>
    <s v="1106"/>
    <n v="990"/>
    <s v="Agencia Información"/>
    <s v="Mujeres"/>
    <n v="12"/>
    <x v="58"/>
    <x v="2"/>
    <x v="1"/>
    <x v="12"/>
    <x v="1"/>
    <x v="70"/>
    <s v="Periodo 2010-2016"/>
    <s v="Número de atenciones médicas"/>
    <s v="Departamento de Estadísticas e Información de la Salud (DEIS) - Ministerio de Salud"/>
    <s v="Atenciones Médicas por Violencia de Género en la Región de Magallanes, Periodo 2010-2016"/>
    <s v="Las Atenciones en Salud por Violencia de Género se califican de acuerdo al concepto bajo el cual fue ingresada la urgencia. En la región de Magallanes, el concepto &quot;Otra Violencia&quot; fue el más común durante el periodo 2010-2016, seguido por &quot;Violencia Intrafamiliar&quot; para el año 2016."/>
    <s v="Gráfico de Evolución"/>
    <s v="Región de Magallane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2"/>
    <x v="12"/>
    <s v="#1774B9"/>
  </r>
  <r>
    <s v="1107"/>
    <n v="990"/>
    <s v="Agencia Información"/>
    <s v="Mujeres"/>
    <n v="13"/>
    <x v="58"/>
    <x v="2"/>
    <x v="1"/>
    <x v="13"/>
    <x v="1"/>
    <x v="70"/>
    <s v="Periodo 2010-2016"/>
    <s v="Número de atenciones médicas"/>
    <s v="Departamento de Estadísticas e Información de la Salud (DEIS) - Ministerio de Salud"/>
    <s v="Atenciones Médicas por Violencia de Género en la Región Metropolitana, Periodo 2010-2016"/>
    <s v="Las Atenciones en Salud por Violencia de Género se califican de acuerdo al concepto bajo el cual fue ingresada la urgencia. En la región Metropolitana, el concepto &quot;Otra Violencia&quot; fue el más común durante el periodo 2010-2016, seguido por &quot;Violencia Intrafamiliar&quot; para el año 2016."/>
    <s v="Gráfico de Evolución"/>
    <s v="Región Metropolitan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3"/>
    <x v="13"/>
    <s v="#1774B9"/>
  </r>
  <r>
    <s v="1108"/>
    <n v="990"/>
    <s v="Agencia Información"/>
    <s v="Mujeres"/>
    <n v="14"/>
    <x v="58"/>
    <x v="2"/>
    <x v="1"/>
    <x v="14"/>
    <x v="1"/>
    <x v="70"/>
    <s v="Periodo 2010-2016"/>
    <s v="Número de atenciones médicas"/>
    <s v="Departamento de Estadísticas e Información de la Salud (DEIS) - Ministerio de Salud"/>
    <s v="Atenciones Médicas por Violencia de Género en la Región de Los Ríos, Periodo 2010-2016"/>
    <s v="Las Atenciones en Salud por Violencia de Género se califican de acuerdo al concepto bajo el cual fue ingresada la urgencia. En la región De Los Ríos, el concepto &quot;Otra Violencia&quot; fue el más común durante el periodo 2010-2016, seguido por &quot;Violencia Intrafamiliar&quot; en el año 2016."/>
    <s v="Gráfico de Evolución"/>
    <s v="Región de Los Ríos,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4"/>
    <x v="14"/>
    <s v="#1774B9"/>
  </r>
  <r>
    <s v="1109"/>
    <n v="990"/>
    <s v="Agencia Información"/>
    <s v="Mujeres"/>
    <n v="15"/>
    <x v="58"/>
    <x v="2"/>
    <x v="1"/>
    <x v="15"/>
    <x v="1"/>
    <x v="70"/>
    <s v="Periodo 2010-2016"/>
    <s v="Número de atenciones médicas"/>
    <s v="Departamento de Estadísticas e Información de la Salud (DEIS) - Ministerio de Salud"/>
    <s v="Atenciones Médicas por Violencia de Género en la Región de Arica y Parinacota, Periodo 2010-2016"/>
    <s v="En la región de Arica y Parinacota, en el año 2016, las categorías con mayor atenciones en Salud por Violencia de Género son: las categorías &quot;Otra violencia&quot;  y &quot;Violencia Intrafamiliar&quot;."/>
    <s v="Gráfico de Evolución"/>
    <s v="Región de Arica y Parinacota,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5"/>
    <x v="15"/>
    <s v="#1774B9"/>
  </r>
  <r>
    <s v="1110"/>
    <n v="990"/>
    <s v="Agencia Información"/>
    <s v="Mujeres"/>
    <n v="16"/>
    <x v="58"/>
    <x v="2"/>
    <x v="1"/>
    <x v="16"/>
    <x v="1"/>
    <x v="70"/>
    <s v="Periodo 2010-2016"/>
    <s v="Número de atenciones médicas"/>
    <s v="Departamento de Estadísticas e Información de la Salud (DEIS) - Ministerio de Salud"/>
    <s v="Atenciones Médicas por Violencia de Género en la Región de Ñuble, Periodo 2010-2016"/>
    <s v="En la región de Ñuble, en el año 2016, las categorías con mayor atenciones en Salud por Violencia de Género son: &quot;Otra violencia&quot;  y &quot;Violencia Intrafamiliar&quot;."/>
    <s v="Gráfico de Evolución"/>
    <s v="Región de Ñuble,regional,atenciones,médicas,salud,violencia,género,concepto,urgencia,abuso,sexual,violación,anticonceptivo,anticoncepción,estupro,física,intrafamiliar,emergencia,Agencia Información,Mujeres,Atenciones de Salud Violencia de Género,Violencia Contra la Mujer"/>
    <s v="https://analytics.zoho.com/open-view/2395394000008516001?ZOHO_CRITERIA=%2227.10%22.%22Id_Regi%C3%B3n%22%20%3D%2016"/>
    <x v="16"/>
    <s v="#1774B9"/>
  </r>
  <r>
    <s v="1111"/>
    <n v="990"/>
    <s v="Agencia Información"/>
    <s v="Salud"/>
    <n v="0"/>
    <x v="57"/>
    <x v="25"/>
    <x v="0"/>
    <x v="0"/>
    <x v="0"/>
    <x v="68"/>
    <s v="Año 2021"/>
    <s v="Número de Establecimientos"/>
    <s v="Departamento de Estadísticas e Información de la Salud (DEIS) - Ministerio de Salud"/>
    <s v="Cantidad de Establecimientos de la Salud por Tipo y Categoría en Chile, Año 2021"/>
    <s v="Las Postas son los establecimientos de la salud que más prevalecen en Chile, alcanzando un total de 1.128. Le siguen los CESFAM con un total de 863 establecimientos. Entre los establecimientos privados, la mayoría corresponden a Laboratorios Clínicos o Dentales y Clínicas."/>
    <s v="Gráfico"/>
    <s v="Chile,nacional,región,establecimientos,tipo,privados,públicos,hospitales,clínicas,cesfam,sapu,postas,laboratorios,dentales,clínicos,alta,baja,media,complejidad,diálisis,vacunatorios,consultorio,Agencia Información,Salud,Establecimientos de Salud,Establecimientos de Salud"/>
    <s v="https://analytics.zoho.com/open-view/2395394000008214286"/>
    <x v="0"/>
    <s v="#1774B9"/>
  </r>
  <r>
    <s v="1112"/>
    <n v="990"/>
    <s v="Agencia Información"/>
    <s v="Salud"/>
    <n v="1"/>
    <x v="57"/>
    <x v="25"/>
    <x v="1"/>
    <x v="1"/>
    <x v="1"/>
    <x v="68"/>
    <s v="Año 2021"/>
    <s v="Número de Establecimientos"/>
    <s v="Departamento de Estadísticas e Información de la Salud (DEIS) - Ministerio de Salud"/>
    <s v="Cantidad de Establecimientos de la Salud por Tipo y Categoría en la Región de Tarapacá, Año 2021"/>
    <s v="La región de Tarapacá cuenta con 15 Postas y 15 CESFAM, entre los establecimientos públicos. En establecimientos privados, la mayoria corresponde a Laboratorio Clínicos o Dentales, con 13 establecimientos."/>
    <s v="Gráfico"/>
    <s v="Región de Tarapacá,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
    <x v="1"/>
    <s v="#1774B9"/>
  </r>
  <r>
    <s v="1113"/>
    <n v="990"/>
    <s v="Agencia Información"/>
    <s v="Salud"/>
    <n v="2"/>
    <x v="57"/>
    <x v="25"/>
    <x v="1"/>
    <x v="2"/>
    <x v="1"/>
    <x v="68"/>
    <s v="Año 2021"/>
    <s v="Número de Establecimientos"/>
    <s v="Departamento de Estadísticas e Información de la Salud (DEIS) - Ministerio de Salud"/>
    <s v="Cantidad de Establecimientos de la Salud por Tipo y Categoría en la Región de Antofagasta, Año 2021"/>
    <s v="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
    <s v="Gráfico"/>
    <s v="Región de Antofagast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2"/>
    <x v="2"/>
    <s v="#1774B9"/>
  </r>
  <r>
    <s v="1114"/>
    <n v="990"/>
    <s v="Agencia Información"/>
    <s v="Salud"/>
    <n v="3"/>
    <x v="57"/>
    <x v="25"/>
    <x v="1"/>
    <x v="3"/>
    <x v="1"/>
    <x v="68"/>
    <s v="Año 2021"/>
    <s v="Número de Establecimientos"/>
    <s v="Departamento de Estadísticas e Información de la Salud (DEIS) - Ministerio de Salud"/>
    <s v="Cantidad de Establecimientos de la Salud por Tipo y Categoría en la Región de Atacama, Año 2021"/>
    <s v="La región de Atacama cuenta con 20 CESFAM entre los establecimientos públicos. En establecimientos privados, la mayoría corresponde a Laboratorios Clínicos o Dentales, con 12 establecimientos."/>
    <s v="Gráfico"/>
    <s v="Región de Atacam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3"/>
    <x v="3"/>
    <s v="#1774B9"/>
  </r>
  <r>
    <s v="1115"/>
    <n v="990"/>
    <s v="Agencia Información"/>
    <s v="Salud"/>
    <n v="4"/>
    <x v="57"/>
    <x v="25"/>
    <x v="1"/>
    <x v="4"/>
    <x v="1"/>
    <x v="68"/>
    <s v="Año 2021"/>
    <s v="Número de Establecimientos"/>
    <s v="Departamento de Estadísticas e Información de la Salud (DEIS) - Ministerio de Salud"/>
    <s v="Cantidad de Establecimientos de la Salud por Tipo y Categoría en la Región de Coquimbo, Año 2021"/>
    <s v="La región de Coquimbo cuenta con 96 Postas y 41 CESFAM, entre los establecimientos públicos. En establecimientos privados, la mayoria corresponde a Laboratorio Clínicos o Dentales, con 23 establecimientos."/>
    <s v="Gráfico"/>
    <s v="Región de Coquimbo,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4"/>
    <x v="4"/>
    <s v="#1774B9"/>
  </r>
  <r>
    <s v="1116"/>
    <n v="990"/>
    <s v="Agencia Información"/>
    <s v="Salud"/>
    <n v="5"/>
    <x v="57"/>
    <x v="25"/>
    <x v="1"/>
    <x v="5"/>
    <x v="1"/>
    <x v="68"/>
    <s v="Año 2021"/>
    <s v="Número de Establecimientos"/>
    <s v="Departamento de Estadísticas e Información de la Salud (DEIS) - Ministerio de Salud"/>
    <s v="Cantidad de Establecimientos de la Salud por Tipo y Categoría en la Región de Valparaíso, Año 2021"/>
    <s v="La región de Valparaíso cuenta con 100 CESFAM entre los establecimientos públicos. En establecimientos privados, la mayoria corresponde a Laboratorio Clínicos o Dentales, con 31 establecimientos."/>
    <s v="Gráfico"/>
    <s v="Región de Valparaíso,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5"/>
    <x v="5"/>
    <s v="#1774B9"/>
  </r>
  <r>
    <s v="1117"/>
    <n v="990"/>
    <s v="Agencia Información"/>
    <s v="Salud"/>
    <n v="6"/>
    <x v="57"/>
    <x v="25"/>
    <x v="1"/>
    <x v="6"/>
    <x v="1"/>
    <x v="68"/>
    <s v="Año 2021"/>
    <s v="Número de Establecimientos"/>
    <s v="Departamento de Estadísticas e Información de la Salud (DEIS) - Ministerio de Salud"/>
    <s v="Cantidad de Establecimientos de la Salud por Tipo y Categoría en la Región de O'Higgins, Año 2021"/>
    <s v="La región de O'Higgins cuenta con 79 Postas y 45 CESFAM, entre los establecimientos públicos. En establecimientos privados, la mayoria corresponde a Laboratorio Clínicos o Dentales, con 23 establecimientos."/>
    <s v="Gráfico"/>
    <s v="Región de O'Higgin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6"/>
    <x v="6"/>
    <s v="#1774B9"/>
  </r>
  <r>
    <s v="1118"/>
    <n v="990"/>
    <s v="Agencia Información"/>
    <s v="Salud"/>
    <n v="7"/>
    <x v="57"/>
    <x v="25"/>
    <x v="1"/>
    <x v="7"/>
    <x v="1"/>
    <x v="68"/>
    <s v="Año 2021"/>
    <s v="Número de Establecimientos"/>
    <s v="Departamento de Estadísticas e Información de la Salud (DEIS) - Ministerio de Salud"/>
    <s v="Cantidad de Establecimientos de la Salud por Tipo y Categoría en la Región de Maule, Año 2021"/>
    <s v="La región de Maule cuenta con 162 Postas entre los establecimientos públicos. En establecimientos privados, la mayoria corresponde a Laboratorio Clínicos o Dentales, con 31 establecimientos."/>
    <s v="Gráfico"/>
    <s v="Región de Maule,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7"/>
    <x v="7"/>
    <s v="#1774B9"/>
  </r>
  <r>
    <s v="1119"/>
    <n v="990"/>
    <s v="Agencia Información"/>
    <s v="Salud"/>
    <n v="8"/>
    <x v="57"/>
    <x v="25"/>
    <x v="1"/>
    <x v="8"/>
    <x v="1"/>
    <x v="68"/>
    <s v="Año 2021"/>
    <s v="Número de Establecimientos"/>
    <s v="Departamento de Estadísticas e Información de la Salud (DEIS) - Ministerio de Salud"/>
    <s v="Cantidad de Establecimientos de la Salud por Tipo y Categoría en la Región del Biobío, Año 2021"/>
    <s v="La región de Maule cuenta con 162 Postas y 98 CESFAM, entre los establecimientos públicos. En establecimientos privados, la mayoria corresponde a Laboratorio Clínicos o Dentales, con 30 establecimientos."/>
    <s v="Gráfico"/>
    <s v="Región del Biobío,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8"/>
    <x v="8"/>
    <s v="#1774B9"/>
  </r>
  <r>
    <s v="1120"/>
    <n v="990"/>
    <s v="Agencia Información"/>
    <s v="Salud"/>
    <n v="9"/>
    <x v="57"/>
    <x v="25"/>
    <x v="1"/>
    <x v="9"/>
    <x v="1"/>
    <x v="68"/>
    <s v="Año 2021"/>
    <s v="Número de Establecimientos"/>
    <s v="Departamento de Estadísticas e Información de la Salud (DEIS) - Ministerio de Salud"/>
    <s v="Cantidad de Establecimientos de la Salud por Tipo y Categoría en la Región de La Araucanía, Año 2021"/>
    <s v="La región de La Araucanía cuenta con 188 Postas entre los establecimientos públicos. En establecimientos privados, la mayoria corresponde a Laboratorio Clínicos o Dentales, con 21 establecimientos."/>
    <s v="Gráfico"/>
    <s v="Región de La Araucaní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9"/>
    <x v="9"/>
    <s v="#1774B9"/>
  </r>
  <r>
    <s v="1121"/>
    <n v="990"/>
    <s v="Agencia Información"/>
    <s v="Salud"/>
    <n v="10"/>
    <x v="57"/>
    <x v="25"/>
    <x v="1"/>
    <x v="10"/>
    <x v="1"/>
    <x v="68"/>
    <s v="Año 2021"/>
    <s v="Número de Establecimientos"/>
    <s v="Departamento de Estadísticas e Información de la Salud (DEIS) - Ministerio de Salud"/>
    <s v="Cantidad de Establecimientos de la Salud por Tipo y Categoría en la Región de Los Lagos, Año 2021"/>
    <s v="La región de Los Lagos cuenta con 187 Postas y 66 CESFAM, entre los establecimientos públicos. En establecimientos privados, la mayoria corresponde a Laboratorio Clínicos o Dentales, con 26 establecimientos."/>
    <s v="Gráfico"/>
    <s v="Región de Los Lago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0"/>
    <x v="10"/>
    <s v="#1774B9"/>
  </r>
  <r>
    <s v="1122"/>
    <n v="990"/>
    <s v="Agencia Información"/>
    <s v="Salud"/>
    <n v="11"/>
    <x v="57"/>
    <x v="25"/>
    <x v="1"/>
    <x v="11"/>
    <x v="1"/>
    <x v="68"/>
    <s v="Año 2021"/>
    <s v="Número de Establecimientos"/>
    <s v="Departamento de Estadísticas e Información de la Salud (DEIS) - Ministerio de Salud"/>
    <s v="Cantidad de Establecimientos de la Salud por Tipo y Categoría en la Región de Aysén, Año 2021"/>
    <s v="La región de Aysén cuenta con 28 Postas y 5 CESFAM, entre los establecimientos públicos. En establecimientos privados, la mayoria corresponde a Laboratorio Clínicos o Dentales, con 2 establecimientos."/>
    <s v="Gráfico"/>
    <s v="Región de Aysén,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1"/>
    <x v="11"/>
    <s v="#1774B9"/>
  </r>
  <r>
    <s v="1123"/>
    <n v="990"/>
    <s v="Agencia Información"/>
    <s v="Salud"/>
    <n v="12"/>
    <x v="57"/>
    <x v="25"/>
    <x v="1"/>
    <x v="12"/>
    <x v="1"/>
    <x v="68"/>
    <s v="Año 2021"/>
    <s v="Número de Establecimientos"/>
    <s v="Departamento de Estadísticas e Información de la Salud (DEIS) - Ministerio de Salud"/>
    <s v="Cantidad de Establecimientos de la Salud por Tipo y Categoría en la Región de Magallanes, Año 2021"/>
    <s v="La región de Magallanes cuenta con 8 Postas y 9 CESFAM, entre los establecimientos públicos. En establecimientos privados, la mayoria corresponde a Laboratorio Clínicos o Dentales, con 6 establecimientos."/>
    <s v="Gráfico"/>
    <s v="Región de Magallane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2"/>
    <x v="12"/>
    <s v="#1774B9"/>
  </r>
  <r>
    <s v="1124"/>
    <n v="990"/>
    <s v="Agencia Información"/>
    <s v="Salud"/>
    <n v="13"/>
    <x v="57"/>
    <x v="25"/>
    <x v="1"/>
    <x v="13"/>
    <x v="1"/>
    <x v="68"/>
    <s v="Año 2021"/>
    <s v="Número de Establecimientos"/>
    <s v="Departamento de Estadísticas e Información de la Salud (DEIS) - Ministerio de Salud"/>
    <s v="Cantidad de Establecimientos de la Salud por Tipo y Categoría en la Región Metropolitana, Año 2021"/>
    <s v="La región Metropolitana cuenta con 578 establecimientos de salud, los cuales en su mayoría son públicos. De estos, 236 corresponden a CESFAM y 94 a SAPU. De los establecimientos privados existentes, 82 se encuentran dentro de la categoría de Clínicas."/>
    <s v="Gráfico"/>
    <s v="Región Metropolitan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3"/>
    <x v="13"/>
    <s v="#1774B9"/>
  </r>
  <r>
    <s v="1125"/>
    <n v="990"/>
    <s v="Agencia Información"/>
    <s v="Salud"/>
    <n v="14"/>
    <x v="57"/>
    <x v="25"/>
    <x v="1"/>
    <x v="14"/>
    <x v="1"/>
    <x v="68"/>
    <s v="Año 2021"/>
    <s v="Número de Establecimientos"/>
    <s v="Departamento de Estadísticas e Información de la Salud (DEIS) - Ministerio de Salud"/>
    <s v="Cantidad de Establecimientos de la Salud por Tipo y Categoría en la Región de Los Ríos, Año 2021"/>
    <s v="La región de Los Ríos cuenta con 58 Postas y 34 CESFAM, entre los establecimientos públicos. En establecimientos privados, la mayoria corresponde a Laboratorio Clínicos o Dentales, con 15 establecimientos."/>
    <s v="Gráfico"/>
    <s v="Región de Los Ríos,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4"/>
    <x v="14"/>
    <s v="#1774B9"/>
  </r>
  <r>
    <s v="1126"/>
    <n v="990"/>
    <s v="Agencia Información"/>
    <s v="Salud"/>
    <n v="15"/>
    <x v="57"/>
    <x v="25"/>
    <x v="1"/>
    <x v="15"/>
    <x v="1"/>
    <x v="68"/>
    <s v="Año 2021"/>
    <s v="Número de Establecimientos"/>
    <s v="Departamento de Estadísticas e Información de la Salud (DEIS) - Ministerio de Salud"/>
    <s v="Cantidad de Establecimientos de la Salud por Tipo y Categoría en la Región de Arica y Parinacota, Año 2021"/>
    <s v="La región de Los Ríos cuenta con 7 Postas y 9 CESFAM, entre los establecimientos públicos. En establecimientos privados, la mayoria corresponde a Laboratorio Clínicos o Dentales, con 7 establecimientos."/>
    <s v="Gráfico"/>
    <s v="Región de Arica y Parinacota,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5"/>
    <x v="15"/>
    <s v="#1774B9"/>
  </r>
  <r>
    <s v="1127"/>
    <n v="990"/>
    <s v="Agencia Información"/>
    <s v="Salud"/>
    <n v="16"/>
    <x v="57"/>
    <x v="25"/>
    <x v="1"/>
    <x v="16"/>
    <x v="1"/>
    <x v="68"/>
    <s v="Año 2021"/>
    <s v="Número de Establecimientos"/>
    <s v="Departamento de Estadísticas e Información de la Salud (DEIS) - Ministerio de Salud"/>
    <s v="Cantidad de Establecimientos de la Salud por Tipo y Categoría en la Región de Ñuble, Año 2021"/>
    <s v="Al observar los establecimientos públicos de la región de Ñuble, la mayoría corresponde a Postas y CESFAM, con 54 y 37 establecimientos respectivamente. En la categoría de establecimientos privados, la mayoría son Laboratorios Clínicos o Dentales, con 10 establecimientos."/>
    <s v="Gráfico"/>
    <s v="Región de Ñuble,regional,establecimientos,tipo,privados,públicos,hospitales,clínicas,cesfam,sapu,postas,laboratorios,dentales,clínicos,alta,baja,media,complejidad,diálisis,vacunatorios,consultorio,Agencia Información,Salud,Establecimientos de Salud,Establecimientos de Salud"/>
    <s v="https://analytics.zoho.com/open-view/2395394000008516645?ZOHO_CRITERIA=%222.1%22.%22C%C3%B3digo%20Regi%C3%B3n%22%20%3D%2016"/>
    <x v="16"/>
    <s v="#1774B9"/>
  </r>
  <r>
    <s v="1128"/>
    <n v="990"/>
    <s v="Agencia Información"/>
    <s v="Transporte y tránsito"/>
    <n v="0"/>
    <x v="59"/>
    <x v="19"/>
    <x v="0"/>
    <x v="0"/>
    <x v="0"/>
    <x v="71"/>
    <s v="Periodo 2011-2017"/>
    <s v="Número de Licencias de Conducir"/>
    <s v="Instituto Nacional de Estadísticas (INE)"/>
    <s v="Cantidad de licencias de conducir del tipo profesional según clase en Chile, Periodo 2011-2017"/>
    <s v="En Chile, durante el período 2011-2017, el tipo de licencia de conducir otorgada en mayor cantidad es la profesional clase A2 para &quot;taxis, ambulancias o vehículos motorizados de transporte público y privado de personas con capacidad de 10 a 17 pasajeros, sin contar al conductor&quot;, siendo su peak el año 2011 con 168.401 licencias."/>
    <s v="Gráfico de Evolución"/>
    <s v="Chile,nacional,región,licencias,conducir,tipo,profesional,profesionales,clase,a1,a2,a3,a4,a5,Agencia Información,Transporte y Tránsito,Licencias de Conducir Profesionales,Tránsito"/>
    <s v="https://analytics.zoho.com/open-view/2395394000008278466"/>
    <x v="0"/>
    <s v="#1774B9"/>
  </r>
  <r>
    <s v="1129"/>
    <n v="990"/>
    <s v="Agencia Información"/>
    <s v="Transporte y tránsito"/>
    <n v="1"/>
    <x v="59"/>
    <x v="19"/>
    <x v="1"/>
    <x v="1"/>
    <x v="1"/>
    <x v="71"/>
    <s v="Periodo 2011-2017"/>
    <s v="Número de Licencias de Conducir"/>
    <s v="Instituto Nacional de Estadísticas (INE)"/>
    <s v="Cantidad de licencias de conducir del tipo profesional según clase en la Región de Tarapacá, Periodo 2011-2017"/>
    <s v="En la región de Tarapacá, durante el período 2011-2017, las licencias de conducir profesionales clase A2 fueron las otorgadas en mayor cantidad. El máximo anual ocurrió el año 2014, con la entrega de 5.337 licencias."/>
    <s v="Gráfico de Evolución"/>
    <s v="Región de Tarapacá,regional,licencias,conducir,tipo,profesional,profesionales,clase,a1,a2,a3,a4,a5,Agencia Información,Transporte y Tránsito,Licencias de Conducir Profesionales,Tránsito"/>
    <s v="https://analytics.zoho.com/open-view/2395394000008413090?ZOHO_CRITERIA=%228.3%20Licencias_conducir%22.%22Codreg%22%3D1"/>
    <x v="1"/>
    <s v="#1774B9"/>
  </r>
  <r>
    <s v="1130"/>
    <n v="990"/>
    <s v="Agencia Información"/>
    <s v="Transporte y tránsito"/>
    <n v="2"/>
    <x v="59"/>
    <x v="19"/>
    <x v="1"/>
    <x v="2"/>
    <x v="1"/>
    <x v="71"/>
    <s v="Periodo 2011-2017"/>
    <s v="Número de Licencias de Conducir"/>
    <s v="Instituto Nacional de Estadísticas (INE)"/>
    <s v="Cantidad de licencias de conducir del tipo profesional según clase en la Región de Antofagasta, Periodo 2011-2017"/>
    <s v="En la región de Antofagasta, durante el período 2011-2017, las licencias de conducir profesionales clase A2 fueron las otorgadas en mayor cantidad. El máximo anual ocurrió el año 2011, con la entrega de 9.280 licencias de conducir."/>
    <s v="Gráfico de Evolución"/>
    <s v="Región de Antofagasta,regional,licencias,conducir,tipo,profesional,profesionales,clase,a1,a2,a3,a4,a5,Agencia Información,Transporte y Tránsito,Licencias de Conducir Profesionales,Tránsito"/>
    <s v="https://analytics.zoho.com/open-view/2395394000008413090?ZOHO_CRITERIA=%228.3%20Licencias_conducir%22.%22Codreg%22%3D2"/>
    <x v="2"/>
    <s v="#1774B9"/>
  </r>
  <r>
    <s v="1131"/>
    <n v="990"/>
    <s v="Agencia Información"/>
    <s v="Transporte y tránsito"/>
    <n v="3"/>
    <x v="59"/>
    <x v="19"/>
    <x v="1"/>
    <x v="3"/>
    <x v="1"/>
    <x v="71"/>
    <s v="Periodo 2011-2017"/>
    <s v="Número de Licencias de Conducir"/>
    <s v="Instituto Nacional de Estadísticas (INE)"/>
    <s v="Cantidad de licencias de conducir del tipo profesional según clase en la Región de Atacama, Periodo 2011-2017"/>
    <s v="En la región de Atacama, durante el período 2011-2017, las licencias de conducir profesionales clase A2 fueron las otorgadas en mayor cantidad. El máximo anual ocurrió el año 2011, con la entrega de 6.510 licencias."/>
    <s v="Gráfico de Evolución"/>
    <s v="Región de Atacama,regional,licencias,conducir,tipo,profesional,profesionales,clase,a1,a2,a3,a4,a5,Agencia Información,Transporte y Tránsito,Licencias de Conducir Profesionales,Tránsito"/>
    <s v="https://analytics.zoho.com/open-view/2395394000008413090?ZOHO_CRITERIA=%228.3%20Licencias_conducir%22.%22Codreg%22%3D3"/>
    <x v="3"/>
    <s v="#1774B9"/>
  </r>
  <r>
    <s v="1132"/>
    <n v="990"/>
    <s v="Agencia Información"/>
    <s v="Transporte y tránsito"/>
    <n v="4"/>
    <x v="59"/>
    <x v="19"/>
    <x v="1"/>
    <x v="4"/>
    <x v="1"/>
    <x v="71"/>
    <s v="Periodo 2011-2017"/>
    <s v="Número de Licencias de Conducir"/>
    <s v="Instituto Nacional de Estadísticas (INE)"/>
    <s v="Cantidad de licencias de conducir del tipo profesional según clase en la Región de Coquimbo, Periodo 2011-2017"/>
    <s v="En la región de Coquimbo, durante el período 2011-2017,  las licencias de conducir profesionales clase A2 fueron las otorgadas en mayor cantidad. El máximo anual ocurrió el año 2011, con la entrega de 9.949 licencias."/>
    <s v="Gráfico de Evolución"/>
    <s v="Región de Coquimbo,regional,licencias,conducir,tipo,profesional,profesionales,clase,a1,a2,a3,a4,a5,Agencia Información,Transporte y Tránsito,Licencias de Conducir Profesionales,Tránsito"/>
    <s v="https://analytics.zoho.com/open-view/2395394000008413090?ZOHO_CRITERIA=%228.3%20Licencias_conducir%22.%22Codreg%22%3D4"/>
    <x v="4"/>
    <s v="#1774B9"/>
  </r>
  <r>
    <s v="1133"/>
    <n v="990"/>
    <s v="Agencia Información"/>
    <s v="Transporte y tránsito"/>
    <n v="5"/>
    <x v="59"/>
    <x v="19"/>
    <x v="1"/>
    <x v="5"/>
    <x v="1"/>
    <x v="71"/>
    <s v="Periodo 2011-2017"/>
    <s v="Número de Licencias de Conducir"/>
    <s v="Instituto Nacional de Estadísticas (INE)"/>
    <s v="Cantidad de licencias de conducir del tipo profesional según clase en la Región de Valparaíso, Periodo 2011-2017"/>
    <s v="En la región de Valparaíso, durante el período 2011-2017,  las licencias de conducir profesionales clase A2 fueron las otorgadas en mayor cantidad. El máximo anual ocurrió el año 2011, con la entrega de 17.472 licencias."/>
    <s v="Gráfico de Evolución"/>
    <s v="Región de Valparaíso,regional,licencias,conducir,tipo,profesional,profesionales,clase,a1,a2,a3,a4,a5,Agencia Información,Transporte y Tránsito,Licencias de Conducir Profesionales,Tránsito"/>
    <s v="https://analytics.zoho.com/open-view/2395394000008413090?ZOHO_CRITERIA=%228.3%20Licencias_conducir%22.%22Codreg%22%3D5"/>
    <x v="5"/>
    <s v="#1774B9"/>
  </r>
  <r>
    <s v="1134"/>
    <n v="990"/>
    <s v="Agencia Información"/>
    <s v="Transporte y tránsito"/>
    <n v="6"/>
    <x v="59"/>
    <x v="19"/>
    <x v="1"/>
    <x v="6"/>
    <x v="1"/>
    <x v="71"/>
    <s v="Periodo 2011-2017"/>
    <s v="Número de Licencias de Conducir"/>
    <s v="Instituto Nacional de Estadísticas (INE)"/>
    <s v="Cantidad de licencias de conducir del tipo profesional según clase en la Región de O'Higgins, Periodo 2011-2017"/>
    <s v="En la región de O'Higgins, durante el período 2011-2017,  las licencias de conducir profesionales clase A2 fueron las otorgadas en mayor cantidad. El máximo anual ocurrió el año 2011, con la entrega de 12.289 licencias."/>
    <s v="Gráfico de Evolución"/>
    <s v="Región de O'Higgins,regional,licencias,conducir,tipo,profesional,profesionales,clase,a1,a2,a3,a4,a5,Agencia Información,Transporte y Tránsito,Licencias de Conducir Profesionales,Tránsito"/>
    <s v="https://analytics.zoho.com/open-view/2395394000008413090?ZOHO_CRITERIA=%228.3%20Licencias_conducir%22.%22Codreg%22%3D6"/>
    <x v="6"/>
    <s v="#1774B9"/>
  </r>
  <r>
    <s v="1135"/>
    <n v="990"/>
    <s v="Agencia Información"/>
    <s v="Transporte y tránsito"/>
    <n v="7"/>
    <x v="59"/>
    <x v="19"/>
    <x v="1"/>
    <x v="7"/>
    <x v="1"/>
    <x v="71"/>
    <s v="Periodo 2011-2017"/>
    <s v="Número de Licencias de Conducir"/>
    <s v="Instituto Nacional de Estadísticas (INE)"/>
    <s v="Cantidad de licencias de conducir del tipo profesional según clase en la Región de Maule, Periodo 2011-2017"/>
    <s v="En la región de Maule, durante el período 2011-2017,  las licencias de conducir profesionales clase A2 fueron las otorgadas en mayor cantidad. El máximo anual ocurrió el año 2011, con la entrega de 11.196 licencias."/>
    <s v="Gráfico de Evolución"/>
    <s v="Región de Maule,regional,licencias,conducir,tipo,profesional,profesionales,clase,a1,a2,a3,a4,a5,Agencia Información,Transporte y Tránsito,Licencias de Conducir Profesionales,Tránsito"/>
    <s v="https://analytics.zoho.com/open-view/2395394000008413090?ZOHO_CRITERIA=%228.3%20Licencias_conducir%22.%22Codreg%22%3D7"/>
    <x v="7"/>
    <s v="#1774B9"/>
  </r>
  <r>
    <s v="1136"/>
    <n v="990"/>
    <s v="Agencia Información"/>
    <s v="Transporte y tránsito"/>
    <n v="8"/>
    <x v="59"/>
    <x v="19"/>
    <x v="1"/>
    <x v="8"/>
    <x v="1"/>
    <x v="71"/>
    <s v="Periodo 2011-2017"/>
    <s v="Número de Licencias de Conducir"/>
    <s v="Instituto Nacional de Estadísticas (INE)"/>
    <s v="Cantidad de licencias de conducir del tipo profesional según clase en la Región del Biobío, Periodo 2011-2017"/>
    <s v="En la región del Biobío, durante el período 2011-2017,  las licencias de conducir profesionales clase A2 fueron las otorgadas en mayor cantidad. El máximo anual ocurrió el año 2014, con la entrega de 15.890 licencias."/>
    <s v="Gráfico de Evolución"/>
    <s v="Región del Biobío,regional,licencias,conducir,tipo,profesional,profesionales,clase,a1,a2,a3,a4,a5,Agencia Información,Transporte y Tránsito,Licencias de Conducir Profesionales,Tránsito"/>
    <s v="https://analytics.zoho.com/open-view/2395394000008413090?ZOHO_CRITERIA=%228.3%20Licencias_conducir%22.%22Codreg%22%3D8"/>
    <x v="8"/>
    <s v="#1774B9"/>
  </r>
  <r>
    <s v="1137"/>
    <n v="990"/>
    <s v="Agencia Información"/>
    <s v="Transporte y tránsito"/>
    <n v="9"/>
    <x v="59"/>
    <x v="19"/>
    <x v="1"/>
    <x v="9"/>
    <x v="1"/>
    <x v="71"/>
    <s v="Periodo 2011-2017"/>
    <s v="Número de Licencias de Conducir"/>
    <s v="Instituto Nacional de Estadísticas (INE)"/>
    <s v="Cantidad de licencias de conducir del tipo profesional según clase en la Región de La Araucanía, Periodo 2011-2017"/>
    <s v="En la región de La Araucanía, durante el período 2011-2017,  las licencias de conducir profesionales clase A2 fueron las otorgadas en mayor cantidad. El máximo anual ocurrió el año 2015, con la entrega de 9.535 licencias."/>
    <s v="Gráfico de Evolución"/>
    <s v="Región de La Araucanía,regional,licencias,conducir,tipo,profesional,profesionales,clase,a1,a2,a3,a4,a5,Agencia Información,Transporte y Tránsito,Licencias de Conducir Profesionales,Tránsito"/>
    <s v="https://analytics.zoho.com/open-view/2395394000008413090?ZOHO_CRITERIA=%228.3%20Licencias_conducir%22.%22Codreg%22%3D9"/>
    <x v="9"/>
    <s v="#1774B9"/>
  </r>
  <r>
    <s v="1138"/>
    <n v="990"/>
    <s v="Agencia Información"/>
    <s v="Transporte y tránsito"/>
    <n v="10"/>
    <x v="59"/>
    <x v="19"/>
    <x v="1"/>
    <x v="10"/>
    <x v="1"/>
    <x v="71"/>
    <s v="Periodo 2011-2017"/>
    <s v="Número de Licencias de Conducir"/>
    <s v="Instituto Nacional de Estadísticas (INE)"/>
    <s v="Cantidad de licencias de conducir del tipo profesional según clase en la Región de Los Lagos, Periodo 2011-2017"/>
    <s v="En la región de Los Lagos, durante el período 2011-2017,  las licencias de conducir profesionales clase A2 fueron las otorgadas en mayor cantidad. El máximo anual ocurrió el año 2011, con la entrega de 9.231 licencias."/>
    <s v="Gráfico de Evolución"/>
    <s v="Región de Los Lagos,regional,licencias,conducir,tipo,profesional,profesionales,clase,a1,a2,a3,a4,a5,Agencia Información,Transporte y Tránsito,Licencias de Conducir Profesionales,Tránsito"/>
    <s v="https://analytics.zoho.com/open-view/2395394000008413090?ZOHO_CRITERIA=%228.3%20Licencias_conducir%22.%22Codreg%22%3D10"/>
    <x v="10"/>
    <s v="#1774B9"/>
  </r>
  <r>
    <s v="1139"/>
    <n v="990"/>
    <s v="Agencia Información"/>
    <s v="Transporte y tránsito"/>
    <n v="11"/>
    <x v="59"/>
    <x v="19"/>
    <x v="1"/>
    <x v="11"/>
    <x v="1"/>
    <x v="71"/>
    <s v="Periodo 2011-2017"/>
    <s v="Número de Licencias de Conducir"/>
    <s v="Instituto Nacional de Estadísticas (INE)"/>
    <s v="Cantidad de licencias de conducir del tipo profesional según clase en la Región de Aysén, Periodo 2011-2017"/>
    <s v="En la región de Aysén, durante el período 2011-2017,  las licencias de conducir profesionales clase A2 fueron las otorgadas en mayor cantidad. El máximo anual ocurrió el año 2014, con la entrega de 1.500 licencias."/>
    <s v="Gráfico de Evolución"/>
    <s v="Región de Aysén,regional,licencias,conducir,tipo,profesional,profesionales,clase,a1,a2,a3,a4,a5,Agencia Información,Transporte y Tránsito,Licencias de Conducir Profesionales,Tránsito"/>
    <s v="https://analytics.zoho.com/open-view/2395394000008413090?ZOHO_CRITERIA=%228.3%20Licencias_conducir%22.%22Codreg%22%3D11"/>
    <x v="11"/>
    <s v="#1774B9"/>
  </r>
  <r>
    <s v="1140"/>
    <n v="990"/>
    <s v="Agencia Información"/>
    <s v="Transporte y tránsito"/>
    <n v="12"/>
    <x v="59"/>
    <x v="19"/>
    <x v="1"/>
    <x v="12"/>
    <x v="1"/>
    <x v="71"/>
    <s v="Periodo 2011-2017"/>
    <s v="Número de Licencias de Conducir"/>
    <s v="Instituto Nacional de Estadísticas (INE)"/>
    <s v="Cantidad de licencias de conducir del tipo profesional según clase en la Región de Magallanes, Periodo 2011-2017"/>
    <s v="En la región de Magallanes, durante el período 2011-2017,  las licencias de conducir profesionales clase A2 fueron las otorgadas en mayor cantidad. El máximo anual ocurrió el año 2011, con la entrega de 2.986 licencias."/>
    <s v="Gráfico de Evolución"/>
    <s v="Región de Magallanes,regional,licencias,conducir,tipo,profesional,profesionales,clase,a1,a2,a3,a4,a5,Agencia Información,Transporte y Tránsito,Licencias de Conducir Profesionales,Tránsito"/>
    <s v="https://analytics.zoho.com/open-view/2395394000008413090?ZOHO_CRITERIA=%228.3%20Licencias_conducir%22.%22Codreg%22%3D12"/>
    <x v="12"/>
    <s v="#1774B9"/>
  </r>
  <r>
    <s v="1141"/>
    <n v="990"/>
    <s v="Agencia Información"/>
    <s v="Transporte y tránsito"/>
    <n v="13"/>
    <x v="59"/>
    <x v="19"/>
    <x v="1"/>
    <x v="13"/>
    <x v="1"/>
    <x v="71"/>
    <s v="Periodo 2011-2017"/>
    <s v="Número de Licencias de Conducir"/>
    <s v="Instituto Nacional de Estadísticas (INE)"/>
    <s v="Cantidad de licencias de conducir del tipo profesional según clase en la Región Metropolitana, Periodo 2011-2017"/>
    <s v="En la región Metropolitana, durante el período 2011-2017,  las licencias de conducir profesionales clase A2 fueron las otorgadas en mayor cantidad. El máximo anual ocurrió el año 2011, con la entrega de 45.732 licencias."/>
    <s v="Gráfico de Evolución"/>
    <s v="Región Metropolitana,regional,licencias,conducir,tipo,profesional,profesionales,clase,a1,a2,a3,a4,a5,Agencia Información,Transporte y Tránsito,Licencias de Conducir Profesionales,Tránsito"/>
    <s v="https://analytics.zoho.com/open-view/2395394000008413090?ZOHO_CRITERIA=%228.3%20Licencias_conducir%22.%22Codreg%22%3D13"/>
    <x v="13"/>
    <s v="#1774B9"/>
  </r>
  <r>
    <s v="1142"/>
    <n v="990"/>
    <s v="Agencia Información"/>
    <s v="Transporte y tránsito"/>
    <n v="14"/>
    <x v="59"/>
    <x v="19"/>
    <x v="1"/>
    <x v="14"/>
    <x v="1"/>
    <x v="71"/>
    <s v="Periodo 2011-2017"/>
    <s v="Número de Licencias de Conducir"/>
    <s v="Instituto Nacional de Estadísticas (INE)"/>
    <s v="Cantidad de licencias de conducir del tipo profesional según clase en la Región de Los Ríos, Periodo 2011-2017"/>
    <s v="En la región de Los Ríos, durante el período 2011-2017,  las licencias de conducir profesionales clase A2 fueron las otorgadas en mayor cantidad. El máximo anual ocurrió el año 2011, con la entrega de 4.345 licencias."/>
    <s v="Gráfico de Evolución"/>
    <s v="Región de Los Ríos,regional,licencias,conducir,tipo,profesional,profesionales,clase,a1,a2,a3,a4,a5,Agencia Información,Transporte y Tránsito,Licencias de Conducir Profesionales,Tránsito"/>
    <s v="https://analytics.zoho.com/open-view/2395394000008413090?ZOHO_CRITERIA=%228.3%20Licencias_conducir%22.%22Codreg%22%3D14"/>
    <x v="14"/>
    <s v="#1774B9"/>
  </r>
  <r>
    <s v="1143"/>
    <n v="990"/>
    <s v="Agencia Información"/>
    <s v="Transporte y tránsito"/>
    <n v="15"/>
    <x v="59"/>
    <x v="19"/>
    <x v="1"/>
    <x v="15"/>
    <x v="1"/>
    <x v="71"/>
    <s v="Periodo 2011-2017"/>
    <s v="Número de Licencias de Conducir"/>
    <s v="Instituto Nacional de Estadísticas (INE)"/>
    <s v="Cantidad de licencias de conducir del tipo profesional según clase en la Región de Arica y Parinacota, Periodo 2011-2017"/>
    <s v="En la región de Arica y Parinacota, durante el período 2011-2017,  las licencias de conducir profesionales clase A2 fueron las otorgadas en mayor cantidad. El máximo anual ocurrió el año 2011, con la entrega de 3.732 licencias."/>
    <s v="Gráfico de Evolución"/>
    <s v="Región de Arica y Parinacota,regional,licencias,conducir,tipo,profesional,profesionales,clase,a1,a2,a3,a4,a5,Agencia Información,Transporte y Tránsito,Licencias de Conducir Profesionales,Tránsito"/>
    <s v="https://analytics.zoho.com/open-view/2395394000008413090?ZOHO_CRITERIA=%228.3%20Licencias_conducir%22.%22Codreg%22%3D15"/>
    <x v="15"/>
    <s v="#1774B9"/>
  </r>
  <r>
    <s v="1144"/>
    <n v="990"/>
    <s v="Agencia Información"/>
    <s v="Transporte y tránsito"/>
    <n v="16"/>
    <x v="59"/>
    <x v="19"/>
    <x v="1"/>
    <x v="16"/>
    <x v="1"/>
    <x v="71"/>
    <s v="Periodo 2011-2017"/>
    <s v="Número de Licencias de Conducir"/>
    <s v="Instituto Nacional de Estadísticas (INE)"/>
    <s v="Cantidad de licencias de conducir del tipo profesional según clase en la Región de Ñuble, Periodo 2011-2017"/>
    <s v="En la región de Ñuble, durante el período 2011-2017,  las licencias de conducir profesionales clase A2 fueron las otorgadas en mayor cantidad. El máximo anual ocurrió el año 2011, con la entrega de 6.222 licencias."/>
    <s v="Gráfico de Evolución"/>
    <s v="Región de Ñuble,regional,licencias,conducir,tipo,profesional,profesionales,clase,a1,a2,a3,a4,a5,Agencia Información,Transporte y Tránsito,Licencias de Conducir Profesionales,Tránsito"/>
    <s v="https://analytics.zoho.com/open-view/2395394000008413090?ZOHO_CRITERIA=%228.3%20Licencias_conducir%22.%22Codreg%22%3D16"/>
    <x v="16"/>
    <s v="#1774B9"/>
  </r>
  <r>
    <s v="1145"/>
    <n v="990"/>
    <s v="Agencia Información"/>
    <s v="Transporte y tránsito"/>
    <n v="0"/>
    <x v="30"/>
    <x v="19"/>
    <x v="0"/>
    <x v="0"/>
    <x v="0"/>
    <x v="72"/>
    <s v="Periodo 2008-2019"/>
    <s v="Número de permisos de circulación"/>
    <s v="Instituto Nacional de Estadísticas (INE)"/>
    <s v="Cantidad de permisos de circulación según tipo de transporte en Chile, Periodo 2008-2019"/>
    <s v="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
    <s v="Gráfico de Evolución"/>
    <s v="Chile,nacional,región,permiso,circulación,evolución,tipo,transporte,colectivo,particular,carga,Agencia Información,Transporte y Tránsito,Permisos de circulación,Tránsito"/>
    <s v="https://analytics.zoho.com/open-view/2395394000008277077"/>
    <x v="0"/>
    <s v="#1774B9"/>
  </r>
  <r>
    <s v="1146"/>
    <n v="990"/>
    <s v="Agencia Información"/>
    <s v="Transporte y tránsito"/>
    <n v="1"/>
    <x v="30"/>
    <x v="19"/>
    <x v="1"/>
    <x v="1"/>
    <x v="1"/>
    <x v="72"/>
    <s v="Periodo 2008-2019"/>
    <s v="Número de permisos de circulación"/>
    <s v="Instituto Nacional de Estadísticas (INE)"/>
    <s v="Cantidad de permisos de circulación según tipo de transporte en la Región de Tarapacá, Periodo 2008-2019"/>
    <s v="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
    <s v="Gráfico de Evolución"/>
    <s v="Región de Tarapacá,regional,permiso,circulación,evolución,tipo,transporte,colectivo,particular,carga,Agencia Información,Transporte y Tránsito,Permisos de circulación,Tránsito"/>
    <s v="https://analytics.zoho.com/open-view/2395394000008413133?ZOHO_CRITERIA=%228.1%20Permiso_circulaci%C3%B3n%22.%22Codreg%22%3D1"/>
    <x v="1"/>
    <s v="#1774B9"/>
  </r>
  <r>
    <s v="1147"/>
    <n v="990"/>
    <s v="Agencia Información"/>
    <s v="Transporte y tránsito"/>
    <n v="2"/>
    <x v="30"/>
    <x v="19"/>
    <x v="1"/>
    <x v="2"/>
    <x v="1"/>
    <x v="72"/>
    <s v="Periodo 2008-2019"/>
    <s v="Número de permisos de circulación"/>
    <s v="Instituto Nacional de Estadísticas (INE)"/>
    <s v="Cantidad de permisos de circulación según tipo de transporte en la Región de Antofagasta, Periodo 2008-2019"/>
    <s v="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
    <s v="Gráfico de Evolución"/>
    <s v="Región de Antofagasta,regional,permiso,circulación,evolución,tipo,transporte,colectivo,particular,carga,Agencia Información,Transporte y Tránsito,Permisos de circulación,Tránsito"/>
    <s v="https://analytics.zoho.com/open-view/2395394000008413133?ZOHO_CRITERIA=%228.1%20Permiso_circulaci%C3%B3n%22.%22Codreg%22%3D2"/>
    <x v="2"/>
    <s v="#1774B9"/>
  </r>
  <r>
    <s v="1148"/>
    <n v="990"/>
    <s v="Agencia Información"/>
    <s v="Transporte y tránsito"/>
    <n v="3"/>
    <x v="30"/>
    <x v="19"/>
    <x v="1"/>
    <x v="3"/>
    <x v="1"/>
    <x v="72"/>
    <s v="Periodo 2008-2019"/>
    <s v="Número de permisos de circulación"/>
    <s v="Instituto Nacional de Estadísticas (INE)"/>
    <s v="Cantidad de permisos de circulación según tipo de transporte en la Región de Atacama, Periodo 2008-2019"/>
    <s v="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
    <s v="Gráfico de Evolución"/>
    <s v="Región de Atacama,regional,permiso,circulación,evolución,tipo,transporte,colectivo,particular,carga,Agencia Información,Transporte y Tránsito,Permisos de circulación,Tránsito"/>
    <s v="https://analytics.zoho.com/open-view/2395394000008413133?ZOHO_CRITERIA=%228.1%20Permiso_circulaci%C3%B3n%22.%22Codreg%22%3D3"/>
    <x v="3"/>
    <s v="#1774B9"/>
  </r>
  <r>
    <s v="1149"/>
    <n v="990"/>
    <s v="Agencia Información"/>
    <s v="Transporte y tránsito"/>
    <n v="4"/>
    <x v="30"/>
    <x v="19"/>
    <x v="1"/>
    <x v="4"/>
    <x v="1"/>
    <x v="72"/>
    <s v="Periodo 2008-2019"/>
    <s v="Número de permisos de circulación"/>
    <s v="Instituto Nacional de Estadísticas (INE)"/>
    <s v="Cantidad de permisos de circulación según tipo de transporte en la Región de Coquimbo, Periodo 2008-2019"/>
    <s v="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
    <s v="Gráfico de Evolución"/>
    <s v="Región de Coquimbo,regional,permiso,circulación,evolución,tipo,transporte,colectivo,particular,carga,Agencia Información,Transporte y Tránsito,Permisos de circulación,Tránsito"/>
    <s v="https://analytics.zoho.com/open-view/2395394000008413133?ZOHO_CRITERIA=%228.1%20Permiso_circulaci%C3%B3n%22.%22Codreg%22%3D4"/>
    <x v="4"/>
    <s v="#1774B9"/>
  </r>
  <r>
    <s v="1150"/>
    <n v="990"/>
    <s v="Agencia Información"/>
    <s v="Transporte y tránsito"/>
    <n v="5"/>
    <x v="30"/>
    <x v="19"/>
    <x v="1"/>
    <x v="5"/>
    <x v="1"/>
    <x v="72"/>
    <s v="Periodo 2008-2019"/>
    <s v="Número de permisos de circulación"/>
    <s v="Instituto Nacional de Estadísticas (INE)"/>
    <s v="Cantidad de permisos de circulación según tipo de transporte en la Región de Valparaíso, Periodo 2008-2019"/>
    <s v="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
    <s v="Gráfico de Evolución"/>
    <s v="Región de Valparaíso,regional,permiso,circulación,evolución,tipo,transporte,colectivo,particular,carga,Agencia Información,Transporte y Tránsito,Permisos de circulación,Tránsito"/>
    <s v="https://analytics.zoho.com/open-view/2395394000008413133?ZOHO_CRITERIA=%228.1%20Permiso_circulaci%C3%B3n%22.%22Codreg%22%3D5"/>
    <x v="5"/>
    <s v="#1774B9"/>
  </r>
  <r>
    <s v="1151"/>
    <n v="990"/>
    <s v="Agencia Información"/>
    <s v="Transporte y tránsito"/>
    <n v="6"/>
    <x v="30"/>
    <x v="19"/>
    <x v="1"/>
    <x v="6"/>
    <x v="1"/>
    <x v="72"/>
    <s v="Periodo 2008-2019"/>
    <s v="Número de permisos de circulación"/>
    <s v="Instituto Nacional de Estadísticas (INE)"/>
    <s v="Cantidad de permisos de circulación según tipo de transporte en la Región de O'Higgins, Periodo 2008-2019"/>
    <s v="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
    <s v="Gráfico de Evolución"/>
    <s v="Región de O'Higgins,regional,permiso,circulación,evolución,tipo,transporte,colectivo,particular,carga,Agencia Información,Transporte y Tránsito,Permisos de circulación,Tránsito"/>
    <s v="https://analytics.zoho.com/open-view/2395394000008413133?ZOHO_CRITERIA=%228.1%20Permiso_circulaci%C3%B3n%22.%22Codreg%22%3D6"/>
    <x v="6"/>
    <s v="#1774B9"/>
  </r>
  <r>
    <s v="1152"/>
    <n v="990"/>
    <s v="Agencia Información"/>
    <s v="Transporte y tránsito"/>
    <n v="7"/>
    <x v="30"/>
    <x v="19"/>
    <x v="1"/>
    <x v="7"/>
    <x v="1"/>
    <x v="72"/>
    <s v="Periodo 2008-2019"/>
    <s v="Número de permisos de circulación"/>
    <s v="Instituto Nacional de Estadísticas (INE)"/>
    <s v="Cantidad de permisos de circulación según tipo de transporte en la Región de Maule, Periodo 2008-2019"/>
    <s v="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
    <s v="Gráfico de Evolución"/>
    <s v="Región de Maule,regional,permiso,circulación,evolución,tipo,transporte,colectivo,particular,carga,Agencia Información,Transporte y Tránsito,Permisos de circulación,Tránsito"/>
    <s v="https://analytics.zoho.com/open-view/2395394000008413133?ZOHO_CRITERIA=%228.1%20Permiso_circulaci%C3%B3n%22.%22Codreg%22%3D7"/>
    <x v="7"/>
    <s v="#1774B9"/>
  </r>
  <r>
    <s v="1153"/>
    <n v="990"/>
    <s v="Agencia Información"/>
    <s v="Transporte y tránsito"/>
    <n v="8"/>
    <x v="30"/>
    <x v="19"/>
    <x v="1"/>
    <x v="8"/>
    <x v="1"/>
    <x v="72"/>
    <s v="Periodo 2008-2019"/>
    <s v="Número de permisos de circulación"/>
    <s v="Instituto Nacional de Estadísticas (INE)"/>
    <s v="Cantidad de permisos de circulación según tipo de transporte en la Región del Biobío, Periodo 2008-2019"/>
    <s v="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
    <s v="Gráfico de Evolución"/>
    <s v="Región del Biobío,regional,permiso,circulación,evolución,tipo,transporte,colectivo,particular,carga,Agencia Información,Transporte y Tránsito,Permisos de circulación,Tránsito"/>
    <s v="https://analytics.zoho.com/open-view/2395394000008413133?ZOHO_CRITERIA=%228.1%20Permiso_circulaci%C3%B3n%22.%22Codreg%22%3D8"/>
    <x v="8"/>
    <s v="#1774B9"/>
  </r>
  <r>
    <s v="1154"/>
    <n v="990"/>
    <s v="Agencia Información"/>
    <s v="Transporte y tránsito"/>
    <n v="9"/>
    <x v="30"/>
    <x v="19"/>
    <x v="1"/>
    <x v="9"/>
    <x v="1"/>
    <x v="72"/>
    <s v="Periodo 2008-2019"/>
    <s v="Número de permisos de circulación"/>
    <s v="Instituto Nacional de Estadísticas (INE)"/>
    <s v="Cantidad de permisos de circulación según tipo de transporte en la Región de La Araucanía, Periodo 2008-2019"/>
    <s v="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
    <s v="Gráfico de Evolución"/>
    <s v="Región de La Araucanía,regional,permiso,circulación,evolución,tipo,transporte,colectivo,particular,carga,Agencia Información,Transporte y Tránsito,Permisos de circulación,Tránsito"/>
    <s v="https://analytics.zoho.com/open-view/2395394000008413133?ZOHO_CRITERIA=%228.1%20Permiso_circulaci%C3%B3n%22.%22Codreg%22%3D9"/>
    <x v="9"/>
    <s v="#1774B9"/>
  </r>
  <r>
    <s v="1155"/>
    <n v="990"/>
    <s v="Agencia Información"/>
    <s v="Transporte y tránsito"/>
    <n v="10"/>
    <x v="30"/>
    <x v="19"/>
    <x v="1"/>
    <x v="10"/>
    <x v="1"/>
    <x v="72"/>
    <s v="Periodo 2008-2019"/>
    <s v="Número de permisos de circulación"/>
    <s v="Instituto Nacional de Estadísticas (INE)"/>
    <s v="Cantidad de permisos de circulación según tipo de transporte en la Región de Los Lagos, Periodo 2008-2019"/>
    <s v="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
    <s v="Gráfico de Evolución"/>
    <s v="Región de Los Lagos,regional,permiso,circulación,evolución,tipo,transporte,colectivo,particular,carga,Agencia Información,Transporte y Tránsito,Permisos de circulación,Tránsito"/>
    <s v="https://analytics.zoho.com/open-view/2395394000008413133?ZOHO_CRITERIA=%228.1%20Permiso_circulaci%C3%B3n%22.%22Codreg%22%3D10"/>
    <x v="10"/>
    <s v="#1774B9"/>
  </r>
  <r>
    <s v="1156"/>
    <n v="990"/>
    <s v="Agencia Información"/>
    <s v="Transporte y tránsito"/>
    <n v="11"/>
    <x v="30"/>
    <x v="19"/>
    <x v="1"/>
    <x v="11"/>
    <x v="1"/>
    <x v="72"/>
    <s v="Periodo 2008-2019"/>
    <s v="Número de permisos de circulación"/>
    <s v="Instituto Nacional de Estadísticas (INE)"/>
    <s v="Cantidad de permisos de circulación según tipo de transporte en la Región de Aysén, Periodo 2008-2019"/>
    <s v="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
    <s v="Gráfico de Evolución"/>
    <s v="Región de Aysén,regional,permiso,circulación,evolución,tipo,transporte,colectivo,particular,carga,Agencia Información,Transporte y Tránsito,Permisos de circulación,Tránsito"/>
    <s v="https://analytics.zoho.com/open-view/2395394000008413133?ZOHO_CRITERIA=%228.1%20Permiso_circulaci%C3%B3n%22.%22Codreg%22%3D11"/>
    <x v="11"/>
    <s v="#1774B9"/>
  </r>
  <r>
    <s v="1157"/>
    <n v="990"/>
    <s v="Agencia Información"/>
    <s v="Transporte y tránsito"/>
    <n v="12"/>
    <x v="30"/>
    <x v="19"/>
    <x v="1"/>
    <x v="12"/>
    <x v="1"/>
    <x v="72"/>
    <s v="Periodo 2008-2019"/>
    <s v="Número de permisos de circulación"/>
    <s v="Instituto Nacional de Estadísticas (INE)"/>
    <s v="Cantidad de permisos de circulación según tipo de transporte en la Región de Magallanes, Periodo 2008-2019"/>
    <s v="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
    <s v="Gráfico de Evolución"/>
    <s v="Región de Magallanes,regional,permiso,circulación,evolución,tipo,transporte,colectivo,particular,carga,Agencia Información,Transporte y Tránsito,Permisos de circulación,Tránsito"/>
    <s v="https://analytics.zoho.com/open-view/2395394000008413133?ZOHO_CRITERIA=%228.1%20Permiso_circulaci%C3%B3n%22.%22Codreg%22%3D12"/>
    <x v="12"/>
    <s v="#1774B9"/>
  </r>
  <r>
    <s v="1158"/>
    <n v="990"/>
    <s v="Agencia Información"/>
    <s v="Transporte y tránsito"/>
    <n v="13"/>
    <x v="30"/>
    <x v="19"/>
    <x v="1"/>
    <x v="13"/>
    <x v="1"/>
    <x v="72"/>
    <s v="Periodo 2008-2019"/>
    <s v="Número de permisos de circulación"/>
    <s v="Instituto Nacional de Estadísticas (INE)"/>
    <s v="Cantidad de permisos de circulación según tipo de transporte en la Región Metropolitana, Periodo 2008-2019"/>
    <s v="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
    <s v="Gráfico de Evolución"/>
    <s v="Región Metropolitana,regional,permiso,circulación,evolución,tipo,transporte,colectivo,particular,carga,Agencia Información,Transporte y Tránsito,Permisos de circulación,Tránsito"/>
    <s v="https://analytics.zoho.com/open-view/2395394000008413133?ZOHO_CRITERIA=%228.1%20Permiso_circulaci%C3%B3n%22.%22Codreg%22%3D13"/>
    <x v="13"/>
    <s v="#1774B9"/>
  </r>
  <r>
    <s v="1159"/>
    <n v="990"/>
    <s v="Agencia Información"/>
    <s v="Transporte y tránsito"/>
    <n v="14"/>
    <x v="30"/>
    <x v="19"/>
    <x v="1"/>
    <x v="14"/>
    <x v="1"/>
    <x v="72"/>
    <s v="Periodo 2008-2019"/>
    <s v="Número de permisos de circulación"/>
    <s v="Instituto Nacional de Estadísticas (INE)"/>
    <s v="Cantidad de permisos de circulación según tipo de transporte en la Región de Los Ríos, Periodo 2008-2019"/>
    <s v="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
    <s v="Gráfico de Evolución"/>
    <s v="Región de Los Ríos,regional,permiso,circulación,evolución,tipo,transporte,colectivo,particular,carga,Agencia Información,Transporte y Tránsito,Permisos de circulación,Tránsito"/>
    <s v="https://analytics.zoho.com/open-view/2395394000008413133?ZOHO_CRITERIA=%228.1%20Permiso_circulaci%C3%B3n%22.%22Codreg%22%3D14"/>
    <x v="14"/>
    <s v="#1774B9"/>
  </r>
  <r>
    <s v="1160"/>
    <n v="990"/>
    <s v="Agencia Información"/>
    <s v="Transporte y tránsito"/>
    <n v="15"/>
    <x v="30"/>
    <x v="19"/>
    <x v="1"/>
    <x v="15"/>
    <x v="1"/>
    <x v="72"/>
    <s v="Periodo 2008-2019"/>
    <s v="Número de permisos de circulación"/>
    <s v="Instituto Nacional de Estadísticas (INE)"/>
    <s v="Cantidad de permisos de circulación según tipo de transporte en la Región de Arica y Parinacota, Periodo 2008-2019"/>
    <s v="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
    <s v="Gráfico de Evolución"/>
    <s v="Región de Arica y Parinacota,regional,permiso,circulación,evolución,tipo,transporte,colectivo,particular,carga,Agencia Información,Transporte y Tránsito,Permisos de circulación,Tránsito"/>
    <s v="https://analytics.zoho.com/open-view/2395394000008413133?ZOHO_CRITERIA=%228.1%20Permiso_circulaci%C3%B3n%22.%22Codreg%22%3D15"/>
    <x v="15"/>
    <s v="#1774B9"/>
  </r>
  <r>
    <s v="1161"/>
    <n v="990"/>
    <s v="Agencia Información"/>
    <s v="Transporte y tránsito"/>
    <n v="16"/>
    <x v="30"/>
    <x v="19"/>
    <x v="1"/>
    <x v="16"/>
    <x v="1"/>
    <x v="72"/>
    <s v="Periodo 2008-2019"/>
    <s v="Número de permisos de circulación"/>
    <s v="Instituto Nacional de Estadísticas (INE)"/>
    <s v="Cantidad de permisos de circulación según tipo de transporte en la Región de Ñuble, Periodo 2008-2019"/>
    <s v="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
    <s v="Gráfico de Evolución"/>
    <s v="Región de Ñuble,regional,permiso,circulación,evolución,tipo,transporte,colectivo,particular,carga,Agencia Información,Transporte y Tránsito,Permisos de circulación,Tránsito"/>
    <s v="https://analytics.zoho.com/open-view/2395394000008413133?ZOHO_CRITERIA=%228.1%20Permiso_circulaci%C3%B3n%22.%22Codreg%22%3D16"/>
    <x v="16"/>
    <s v="#1774B9"/>
  </r>
  <r>
    <s v="1162"/>
    <n v="990"/>
    <s v="Agencia Información"/>
    <s v="Transporte y tránsito"/>
    <n v="0"/>
    <x v="60"/>
    <x v="19"/>
    <x v="0"/>
    <x v="0"/>
    <x v="13"/>
    <x v="73"/>
    <s v="Periodo 2011-2017"/>
    <s v="Número de Licencias de Conducir"/>
    <s v="Instituto Nacional de Estadísticas (INE)"/>
    <s v="Cantidad de licencias de conducir del tipo no profesional por Comuna en Chile, Periodo 2011-2017"/>
    <s v="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
    <s v="Mapa de calor"/>
    <s v="Chile,nacional,región,comuna,licencia,conducir,no profesional,Agencia Información,Transporte y Tránsito,Licencias de Conducir,Tránsito"/>
    <s v="https://analytics.zoho.com/open-view/2395394000008277863"/>
    <x v="17"/>
    <s v="#1774B9"/>
  </r>
  <r>
    <s v="1163"/>
    <n v="990"/>
    <s v="Agencia Información"/>
    <s v="Transporte y tránsito"/>
    <n v="1"/>
    <x v="60"/>
    <x v="19"/>
    <x v="1"/>
    <x v="1"/>
    <x v="0"/>
    <x v="73"/>
    <s v="Periodo 2011-2017"/>
    <s v="Número de Licencias de Conducir"/>
    <s v="Instituto Nacional de Estadísticas (INE)"/>
    <s v="Cantidad de licencias de conducir del tipo no profesional por Comuna en la Región de Tarapacá, Periodo 2011-2017"/>
    <s v="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
    <s v="Mapa de calor"/>
    <s v="Región de Tarapacá,regional,comuna,licencia,conducir,noprofesional,Agencia Información,Transporte y Tránsito,Licencias de Conducir,Tránsito"/>
    <s v="https://analytics.zoho.com/open-view/2395394000008475578?ZOHO_CRITERIA=%228.3%20Licencias_conducir%22.%22Codreg%22%3D1"/>
    <x v="18"/>
    <s v="#1774B9"/>
  </r>
  <r>
    <s v="1164"/>
    <n v="990"/>
    <s v="Agencia Información"/>
    <s v="Transporte y tránsito"/>
    <n v="2"/>
    <x v="60"/>
    <x v="19"/>
    <x v="1"/>
    <x v="2"/>
    <x v="0"/>
    <x v="73"/>
    <s v="Periodo 2011-2017"/>
    <s v="Número de Licencias de Conducir"/>
    <s v="Instituto Nacional de Estadísticas (INE)"/>
    <s v="Cantidad de licencias de conducir del tipo no profesional por Comuna en la Región de Antofagasta, Periodo 2011-2017"/>
    <s v="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
    <s v="Mapa de calor"/>
    <s v="Región de Antofagasta,regional,comuna,licencia,conducir,noprofesional,Agencia Información,Transporte y Tránsito,Licencias de Conducir,Tránsito"/>
    <s v="https://analytics.zoho.com/open-view/2395394000008475578?ZOHO_CRITERIA=%228.3%20Licencias_conducir%22.%22Codreg%22%3D2"/>
    <x v="19"/>
    <s v="#1774B9"/>
  </r>
  <r>
    <s v="1165"/>
    <n v="990"/>
    <s v="Agencia Información"/>
    <s v="Transporte y tránsito"/>
    <n v="3"/>
    <x v="60"/>
    <x v="19"/>
    <x v="1"/>
    <x v="3"/>
    <x v="0"/>
    <x v="73"/>
    <s v="Periodo 2011-2017"/>
    <s v="Número de Licencias de Conducir"/>
    <s v="Instituto Nacional de Estadísticas (INE)"/>
    <s v="Cantidad de licencias de conducir del tipo no profesional por Comuna en la Región de Atacama, Periodo 2011-2017"/>
    <s v="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
    <s v="Mapa de calor"/>
    <s v="Región de Atacama,regional,comuna,licencia,conducir,noprofesional,Agencia Información,Transporte y Tránsito,Licencias de Conducir,Tránsito"/>
    <s v="https://analytics.zoho.com/open-view/2395394000008475578?ZOHO_CRITERIA=%228.3%20Licencias_conducir%22.%22Codreg%22%3D3"/>
    <x v="20"/>
    <s v="#1774B9"/>
  </r>
  <r>
    <s v="1166"/>
    <n v="990"/>
    <s v="Agencia Información"/>
    <s v="Transporte y tránsito"/>
    <n v="4"/>
    <x v="60"/>
    <x v="19"/>
    <x v="1"/>
    <x v="4"/>
    <x v="0"/>
    <x v="73"/>
    <s v="Periodo 2011-2017"/>
    <s v="Número de Licencias de Conducir"/>
    <s v="Instituto Nacional de Estadísticas (INE)"/>
    <s v="Cantidad de licencias de conducir del tipo no profesional por Comuna en la Región de Coquimbo, Periodo 2011-2017"/>
    <s v="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
    <s v="Mapa de calor"/>
    <s v="Región de Coquimbo,regional,comuna,licencia,conducir,noprofesional,Agencia Información,Transporte y Tránsito,Licencias de Conducir,Tránsito"/>
    <s v="https://analytics.zoho.com/open-view/2395394000008475578?ZOHO_CRITERIA=%228.3%20Licencias_conducir%22.%22Codreg%22%3D4"/>
    <x v="21"/>
    <s v="#1774B9"/>
  </r>
  <r>
    <s v="1167"/>
    <n v="990"/>
    <s v="Agencia Información"/>
    <s v="Transporte y tránsito"/>
    <n v="5"/>
    <x v="60"/>
    <x v="19"/>
    <x v="1"/>
    <x v="5"/>
    <x v="0"/>
    <x v="73"/>
    <s v="Periodo 2011-2017"/>
    <s v="Número de Licencias de Conducir"/>
    <s v="Instituto Nacional de Estadísticas (INE)"/>
    <s v="Cantidad de licencias de conducir del tipo no profesional por Comuna en la Región de Valparaíso, Periodo 2011-2017"/>
    <s v="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
    <s v="Mapa de calor"/>
    <s v="Región de Valparaíso,regional,comuna,licencia,conducir,noprofesional,Agencia Información,Transporte y Tránsito,Licencias de Conducir,Tránsito"/>
    <s v="https://analytics.zoho.com/open-view/2395394000008475578?ZOHO_CRITERIA=%228.3%20Licencias_conducir%22.%22Codreg%22%3D5"/>
    <x v="22"/>
    <s v="#1774B9"/>
  </r>
  <r>
    <s v="1168"/>
    <n v="990"/>
    <s v="Agencia Información"/>
    <s v="Transporte y tránsito"/>
    <n v="6"/>
    <x v="60"/>
    <x v="19"/>
    <x v="1"/>
    <x v="6"/>
    <x v="0"/>
    <x v="73"/>
    <s v="Periodo 2011-2017"/>
    <s v="Número de Licencias de Conducir"/>
    <s v="Instituto Nacional de Estadísticas (INE)"/>
    <s v="Cantidad de licencias de conducir del tipo no profesional por Comuna en la Región de O'Higgins, Periodo 2011-2017"/>
    <s v="La cantidad de licencias de conducir del tipo no profesional en la región de O'Higgins, fue mayor en la comuna de Rancagua, el año 2012, con 12.733 licencias. Por otro lado, la menor cantidad de licencias otorgadas se observa el año 2013, en la comuna de Peumo, con 582 licencias."/>
    <s v="Mapa de calor"/>
    <s v="Región de O'Higgins,regional,comuna,licencia,conducir,noprofesional,Agencia Información,Transporte y Tránsito,Licencias de Conducir,Tránsito"/>
    <s v="https://analytics.zoho.com/open-view/2395394000008475578?ZOHO_CRITERIA=%228.3%20Licencias_conducir%22.%22Codreg%22%3D6"/>
    <x v="23"/>
    <s v="#1774B9"/>
  </r>
  <r>
    <s v="1169"/>
    <n v="990"/>
    <s v="Agencia Información"/>
    <s v="Transporte y tránsito"/>
    <n v="7"/>
    <x v="60"/>
    <x v="19"/>
    <x v="1"/>
    <x v="7"/>
    <x v="0"/>
    <x v="73"/>
    <s v="Periodo 2011-2017"/>
    <s v="Número de Licencias de Conducir"/>
    <s v="Instituto Nacional de Estadísticas (INE)"/>
    <s v="Cantidad de licencias de conducir del tipo no profesional por Comuna en la Región de Maule, Periodo 2011-2017"/>
    <s v="La cantidad de licencias de conducir del tipo no profesional en la región de Maule, fue mayor en la comuna de Talca, el año 2017, con 11.402 licencias. Por otro lado, la menor cantidad de licencias otorgadas se observa el año 2016, en la comuna de Retiro, con 140 licencias."/>
    <s v="Mapa de calor"/>
    <s v="Región de Maule,regional,comuna,licencia,conducir,noprofesional,Agencia Información,Transporte y Tránsito,Licencias de Conducir,Tránsito"/>
    <s v="https://analytics.zoho.com/open-view/2395394000008475578?ZOHO_CRITERIA=%228.3%20Licencias_conducir%22.%22Codreg%22%3D7"/>
    <x v="24"/>
    <s v="#1774B9"/>
  </r>
  <r>
    <s v="1170"/>
    <n v="990"/>
    <s v="Agencia Información"/>
    <s v="Transporte y tránsito"/>
    <n v="8"/>
    <x v="60"/>
    <x v="19"/>
    <x v="1"/>
    <x v="8"/>
    <x v="0"/>
    <x v="73"/>
    <s v="Periodo 2011-2017"/>
    <s v="Número de Licencias de Conducir"/>
    <s v="Instituto Nacional de Estadísticas (INE)"/>
    <s v="Cantidad de licencias de conducir del tipo no profesional por Comuna en la Región del Biobío, Periodo 2011-2017"/>
    <s v="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
    <s v="Mapa de calor"/>
    <s v="Región del Biobío,regional,comuna,licencia,conducir,noprofesional,Agencia Información,Transporte y Tránsito,Licencias de Conducir,Tránsito"/>
    <s v="https://analytics.zoho.com/open-view/2395394000008475578?ZOHO_CRITERIA=%228.3%20Licencias_conducir%22.%22Codreg%22%3D8"/>
    <x v="25"/>
    <s v="#1774B9"/>
  </r>
  <r>
    <s v="1171"/>
    <n v="990"/>
    <s v="Agencia Información"/>
    <s v="Transporte y tránsito"/>
    <n v="9"/>
    <x v="60"/>
    <x v="19"/>
    <x v="1"/>
    <x v="9"/>
    <x v="0"/>
    <x v="73"/>
    <s v="Periodo 2011-2017"/>
    <s v="Número de Licencias de Conducir"/>
    <s v="Instituto Nacional de Estadísticas (INE)"/>
    <s v="Cantidad de licencias de conducir del tipo no profesional por Comuna en la Región de La Araucanía, Periodo 2011-2017"/>
    <s v="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
    <s v="Mapa de calor"/>
    <s v="Región de La Araucanía,regional,comuna,licencia,conducir,noprofesional,Agencia Información,Transporte y Tránsito,Licencias de Conducir,Tránsito"/>
    <s v="https://analytics.zoho.com/open-view/2395394000008475578?ZOHO_CRITERIA=%228.3%20Licencias_conducir%22.%22Codreg%22%3D9"/>
    <x v="26"/>
    <s v="#1774B9"/>
  </r>
  <r>
    <s v="1172"/>
    <n v="990"/>
    <s v="Agencia Información"/>
    <s v="Transporte y tránsito"/>
    <n v="10"/>
    <x v="60"/>
    <x v="19"/>
    <x v="1"/>
    <x v="10"/>
    <x v="0"/>
    <x v="73"/>
    <s v="Periodo 2011-2017"/>
    <s v="Número de Licencias de Conducir"/>
    <s v="Instituto Nacional de Estadísticas (INE)"/>
    <s v="Cantidad de licencias de conducir del tipo no profesional por Comuna en la Región de Los Lagos, Periodo 2011-2017"/>
    <s v="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
    <s v="Mapa de calor"/>
    <s v="Región de Los Lagos,regional,comuna,licencia,conducir,noprofesional,Agencia Información,Transporte y Tránsito,Licencias de Conducir,Tránsito"/>
    <s v="https://analytics.zoho.com/open-view/2395394000008475578?ZOHO_CRITERIA=%228.3%20Licencias_conducir%22.%22Codreg%22%3D10"/>
    <x v="27"/>
    <s v="#1774B9"/>
  </r>
  <r>
    <s v="1173"/>
    <n v="990"/>
    <s v="Agencia Información"/>
    <s v="Transporte y tránsito"/>
    <n v="11"/>
    <x v="60"/>
    <x v="19"/>
    <x v="1"/>
    <x v="11"/>
    <x v="0"/>
    <x v="73"/>
    <s v="Periodo 2011-2017"/>
    <s v="Número de Licencias de Conducir"/>
    <s v="Instituto Nacional de Estadísticas (INE)"/>
    <s v="Cantidad de licencias de conducir del tipo no profesional por Comuna en la Región de Aysén, Periodo 2011-2017"/>
    <s v="La cantidad de licencias de conducir del tipo no profesional en la región de Aysén, fue mayor en la comuna de Coihaique, el año 2014, con 5.042 licencias. Por otro lado, la menor cantidad de licencias otorgadas se observa el año 2013, en la comuna de Cochrane, con 152 licencias."/>
    <s v="Mapa de calor"/>
    <s v="Región de Aysén,regional,comuna,licencia,conducir,noprofesional,Agencia Información,Transporte y Tránsito,Licencias de Conducir,Tránsito"/>
    <s v="https://analytics.zoho.com/open-view/2395394000008475578?ZOHO_CRITERIA=%228.3%20Licencias_conducir%22.%22Codreg%22%3D11"/>
    <x v="33"/>
    <s v="#1774B9"/>
  </r>
  <r>
    <s v="1174"/>
    <n v="990"/>
    <s v="Agencia Información"/>
    <s v="Transporte y tránsito"/>
    <n v="12"/>
    <x v="60"/>
    <x v="19"/>
    <x v="1"/>
    <x v="12"/>
    <x v="0"/>
    <x v="73"/>
    <s v="Periodo 2011-2017"/>
    <s v="Número de Licencias de Conducir"/>
    <s v="Instituto Nacional de Estadísticas (INE)"/>
    <s v="Cantidad de licencias de conducir del tipo no profesional por Comuna en la Región de Magallanes, Periodo 2011-2017"/>
    <s v="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
    <s v="Mapa de calor"/>
    <s v="Región de Magallanes,regional,comuna,licencia,conducir,noprofesional,Agencia Información,Transporte y Tránsito,Licencias de Conducir,Tránsito"/>
    <s v="https://analytics.zoho.com/open-view/2395394000008475578?ZOHO_CRITERIA=%228.3%20Licencias_conducir%22.%22Codreg%22%3D12"/>
    <x v="28"/>
    <s v="#1774B9"/>
  </r>
  <r>
    <s v="1175"/>
    <n v="990"/>
    <s v="Agencia Información"/>
    <s v="Transporte y tránsito"/>
    <n v="13"/>
    <x v="60"/>
    <x v="19"/>
    <x v="1"/>
    <x v="13"/>
    <x v="0"/>
    <x v="73"/>
    <s v="Periodo 2011-2017"/>
    <s v="Número de Licencias de Conducir"/>
    <s v="Instituto Nacional de Estadísticas (INE)"/>
    <s v="Cantidad de licencias de conducir del tipo no profesional por Comuna en la Región Metropolitana, Periodo 2011-2017"/>
    <s v="La cantidad de licencias de conducir del tipo no profesional en la región Metropolitana, fue mayor en la comuna de Las Condes, el año 2013, con 33.415 licencias. Por otro lado, la menor cantidad de licencias otorgadas se observa el mismo año, en la comuna de Colina, con 604 licencias."/>
    <s v="Mapa de calor"/>
    <s v="Región Metropolitana,regional,comuna,licencia,conducir,noprofesional,Agencia Información,Transporte y Tránsito,Licencias de Conducir,Tránsito"/>
    <s v="https://analytics.zoho.com/open-view/2395394000008475578?ZOHO_CRITERIA=%228.3%20Licencias_conducir%22.%22Codreg%22%3D13"/>
    <x v="29"/>
    <s v="#1774B9"/>
  </r>
  <r>
    <s v="1176"/>
    <n v="990"/>
    <s v="Agencia Información"/>
    <s v="Transporte y tránsito"/>
    <n v="14"/>
    <x v="60"/>
    <x v="19"/>
    <x v="1"/>
    <x v="14"/>
    <x v="0"/>
    <x v="73"/>
    <s v="Periodo 2011-2017"/>
    <s v="Número de Licencias de Conducir"/>
    <s v="Instituto Nacional de Estadísticas (INE)"/>
    <s v="Cantidad de licencias de conducir del tipo no profesional por Comuna en la Región de Los Ríos, Periodo 2011-2017"/>
    <s v="La cantidad de licencias de conducir del tipo no profesional en la región de Los Ríos, fue mayor en la comuna de Valdivia, el año 2017, con 9.038 licencias. Por otro lado, la menor cantidad de licencias otorgadas se observa el año 2017, en la comuna de Paillaco, con 742 licencias."/>
    <s v="Mapa de calor"/>
    <s v="Región de Los Ríos,regional,comuna,licencia,conducir,noprofesional,Agencia Información,Transporte y Tránsito,Licencias de Conducir,Tránsito"/>
    <s v="https://analytics.zoho.com/open-view/2395394000008475578?ZOHO_CRITERIA=%228.3%20Licencias_conducir%22.%22Codreg%22%3D14"/>
    <x v="30"/>
    <s v="#1774B9"/>
  </r>
  <r>
    <s v="1177"/>
    <n v="990"/>
    <s v="Agencia Información"/>
    <s v="Transporte y tránsito"/>
    <n v="15"/>
    <x v="60"/>
    <x v="19"/>
    <x v="1"/>
    <x v="15"/>
    <x v="0"/>
    <x v="73"/>
    <s v="Periodo 2011-2017"/>
    <s v="Número de Licencias de Conducir"/>
    <s v="Instituto Nacional de Estadísticas (INE)"/>
    <s v="Cantidad de licencias de conducir del tipo no profesional por Comuna en la Región de Arica y Parinacota, Periodo 2011-2017"/>
    <s v="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
    <s v="Mapa de calor"/>
    <s v="Región de Arica y Parinacota,regional,comuna,licencia,conducir,noprofesional,Agencia Información,Transporte y Tránsito,Licencias de Conducir,Tránsito"/>
    <s v="https://analytics.zoho.com/open-view/2395394000008475578?ZOHO_CRITERIA=%228.3%20Licencias_conducir%22.%22Codreg%22%3D15"/>
    <x v="31"/>
    <s v="#1774B9"/>
  </r>
  <r>
    <s v="1178"/>
    <n v="990"/>
    <s v="Agencia Información"/>
    <s v="Transporte y tránsito"/>
    <n v="16"/>
    <x v="60"/>
    <x v="19"/>
    <x v="1"/>
    <x v="16"/>
    <x v="0"/>
    <x v="73"/>
    <s v="Periodo 2011-2017"/>
    <s v="Número de Licencias de Conducir"/>
    <s v="Instituto Nacional de Estadísticas (INE)"/>
    <s v="Cantidad de licencias de conducir del tipo no profesional por Comuna en la Región de Ñuble, Periodo 2011-2017"/>
    <s v="La cantidad de licencias de conducir del tipo no profesional en la región de Ñuble, fue mayor en la comuna de Chillán, el año 2011, con 14.264 licencias. Por otro lado, la menor cantidad de licencias otorgadas se observa el año 2017, en la comuna de Traguaco, con 103 licencias."/>
    <s v="Mapa de calor"/>
    <s v="Región de Ñuble,regional,comuna,licencia,conducir,noprofesional,Agencia Información,Transporte y Tránsito,Licencias de Conducir,Tránsito"/>
    <s v="https://analytics.zoho.com/open-view/2395394000008475578?ZOHO_CRITERIA=%228.3%20Licencias_conducir%22.%22Codreg%22%3D16"/>
    <x v="32"/>
    <s v="#1774B9"/>
  </r>
  <r>
    <s v="1179"/>
    <n v="990"/>
    <s v="Agencia Información"/>
    <s v="Transporte y tránsito"/>
    <n v="0"/>
    <x v="30"/>
    <x v="19"/>
    <x v="0"/>
    <x v="0"/>
    <x v="13"/>
    <x v="74"/>
    <s v="Periodo 2008-2019"/>
    <s v="Número de permisos de circulación"/>
    <s v="Instituto Nacional de Estadísticas (INE)"/>
    <s v="Cantidad de permisos de circulación de transportes colectivos por Comuna en Chile, Periodo 2008-2019"/>
    <s v="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
    <s v="Mapa de calor"/>
    <s v="Chile,nacional,región,comuna,permiso,circulación,tipo,transporte,colectivo,Agencia Información,Transporte y Tránsito,Permisos de circulación,Tránsito"/>
    <s v="https://analytics.zoho.com/open-view/2395394000008255577"/>
    <x v="17"/>
    <s v="#1774B9"/>
  </r>
  <r>
    <s v="1180"/>
    <n v="990"/>
    <s v="Agencia Información"/>
    <s v="Transporte y tránsito"/>
    <n v="1"/>
    <x v="30"/>
    <x v="19"/>
    <x v="1"/>
    <x v="1"/>
    <x v="14"/>
    <x v="74"/>
    <s v="Periodo 2008-2019"/>
    <s v="Número de permisos de circulación"/>
    <s v="Instituto Nacional de Estadísticas (INE)"/>
    <s v="Cantidad de permisos de circulación de transportes colectivos por Comuna en la Región de Tarapacá, Periodo 2008-2019"/>
    <s v="Los permisos de circulación de transportes colectivos en la región de Tarapacá fueron mayores en Iquique, el año 2014, con 4.077 permisos. Le sigue Alto Hospicio, el año 2019, con 2.010 permisos de circulación otorgados a transporte colectivo."/>
    <s v="Mapa de calor"/>
    <s v="Región de Tarapacá,regional,comuna,permiso,circulación,tipo,transporte,colectivo,Agencia Información,Transporte y Tránsito,Permisos de circulación,Tránsito"/>
    <s v="https://analytics.zoho.com/open-view/2395394000008475310?ZOHO_CRITERIA=%228.1%20Permiso_circulaci%C3%B3n%22.%22Codreg%22%3D1"/>
    <x v="18"/>
    <s v="#1774B9"/>
  </r>
  <r>
    <s v="1181"/>
    <n v="990"/>
    <s v="Agencia Información"/>
    <s v="Transporte y tránsito"/>
    <n v="2"/>
    <x v="30"/>
    <x v="19"/>
    <x v="1"/>
    <x v="2"/>
    <x v="14"/>
    <x v="74"/>
    <s v="Periodo 2008-2019"/>
    <s v="Número de permisos de circulación"/>
    <s v="Instituto Nacional de Estadísticas (INE)"/>
    <s v="Cantidad de permisos de circulación de transportes colectivos por Comuna en la Región de Antofagasta, Periodo 2008-2019"/>
    <s v="Los permisos de circulación de transportes colectivos en la región de Antofagasta fueron mayores en Antofagasta, el año 2015, con 5.168 permisos. Le sigue Calama, el año 2019, con 3.926 permisos de circulación otorgados a transporte colectivo."/>
    <s v="Mapa de calor"/>
    <s v="Región de Antofagasta,regional,comuna,permiso,circulación,tipo,transporte,colectivo,Agencia Información,Transporte y Tránsito,Permisos de circulación,Tránsito"/>
    <s v="https://analytics.zoho.com/open-view/2395394000008475310?ZOHO_CRITERIA=%228.1%20Permiso_circulaci%C3%B3n%22.%22Codreg%22%3D2"/>
    <x v="19"/>
    <s v="#1774B9"/>
  </r>
  <r>
    <s v="1182"/>
    <n v="990"/>
    <s v="Agencia Información"/>
    <s v="Transporte y tránsito"/>
    <n v="3"/>
    <x v="30"/>
    <x v="19"/>
    <x v="1"/>
    <x v="3"/>
    <x v="14"/>
    <x v="74"/>
    <s v="Periodo 2008-2019"/>
    <s v="Número de permisos de circulación"/>
    <s v="Instituto Nacional de Estadísticas (INE)"/>
    <s v="Cantidad de permisos de circulación de transportes colectivos por Comuna en la Región de Atacama, Periodo 2008-2019"/>
    <s v="Los permisos de circulación de transportes colectivos en la región de Atacama fueron mayores en Copiapó, el año 2018, con 2.713 permisos. Le sigue Chañaral, ese mismo año, con 1.078 permisos de circulación otorgados a transporte colectivo."/>
    <s v="Mapa de calor"/>
    <s v="Región de Atacama,regional,comuna,permiso,circulación,tipo,transporte,colectivo,Agencia Información,Transporte y Tránsito,Permisos de circulación,Tránsito"/>
    <s v="https://analytics.zoho.com/open-view/2395394000008475310?ZOHO_CRITERIA=%228.1%20Permiso_circulaci%C3%B3n%22.%22Codreg%22%3D3"/>
    <x v="20"/>
    <s v="#1774B9"/>
  </r>
  <r>
    <s v="1183"/>
    <n v="990"/>
    <s v="Agencia Información"/>
    <s v="Transporte y tránsito"/>
    <n v="4"/>
    <x v="30"/>
    <x v="19"/>
    <x v="1"/>
    <x v="4"/>
    <x v="14"/>
    <x v="74"/>
    <s v="Periodo 2008-2019"/>
    <s v="Número de permisos de circulación"/>
    <s v="Instituto Nacional de Estadísticas (INE)"/>
    <s v="Cantidad de permisos de circulación de transportes colectivos por Comuna en la Región de Coquimbo, Periodo 2008-2019"/>
    <s v="Los permisos de circulación de transportes colectivos en la región de Coquimbo fueron mayores en La Serena, el año 2019, con 3.310 permisos. Le sigue Coquimbo, ese mismo año, con 2.474 permisos de circulación otorgados a transporte colectivo."/>
    <s v="Mapa de calor"/>
    <s v="Región de Coquimbo,regional,comuna,permiso,circulación,tipo,transporte,colectivo,Agencia Información,Transporte y Tránsito,Permisos de circulación,Tránsito"/>
    <s v="https://analytics.zoho.com/open-view/2395394000008475310?ZOHO_CRITERIA=%228.1%20Permiso_circulaci%C3%B3n%22.%22Codreg%22%3D4"/>
    <x v="21"/>
    <s v="#1774B9"/>
  </r>
  <r>
    <s v="1184"/>
    <n v="990"/>
    <s v="Agencia Información"/>
    <s v="Transporte y tránsito"/>
    <n v="5"/>
    <x v="30"/>
    <x v="19"/>
    <x v="1"/>
    <x v="5"/>
    <x v="14"/>
    <x v="74"/>
    <s v="Periodo 2008-2019"/>
    <s v="Número de permisos de circulación"/>
    <s v="Instituto Nacional de Estadísticas (INE)"/>
    <s v="Cantidad de permisos de circulación de transportes colectivos por Comuna en la Región de Valparaíso, Periodo 2008-2019"/>
    <s v="Los permisos de circulación de transportes colectivos en la región de Valparaíso fueron mayores en Valparaíso, el año 2018, con 3.903 permisos. Le sigue Viña de Mar, el año 2013, con 3.175 permisos de circulación otorgados a transporte colectivo."/>
    <s v="Mapa de calor"/>
    <s v="Región de Valparaíso,regional,comuna,permiso,circulación,tipo,transporte,colectivo,Agencia Información,Transporte y Tránsito,Permisos de circulación,Tránsito"/>
    <s v="https://analytics.zoho.com/open-view/2395394000008475310?ZOHO_CRITERIA=%228.1%20Permiso_circulaci%C3%B3n%22.%22Codreg%22%3D5"/>
    <x v="22"/>
    <s v="#1774B9"/>
  </r>
  <r>
    <s v="1185"/>
    <n v="990"/>
    <s v="Agencia Información"/>
    <s v="Transporte y tránsito"/>
    <n v="6"/>
    <x v="30"/>
    <x v="19"/>
    <x v="1"/>
    <x v="6"/>
    <x v="14"/>
    <x v="74"/>
    <s v="Periodo 2008-2019"/>
    <s v="Número de permisos de circulación"/>
    <s v="Instituto Nacional de Estadísticas (INE)"/>
    <s v="Cantidad de permisos de circulación de transportes colectivos por Comuna en la Región de O'Higgins, Periodo 2008-2019"/>
    <s v="Los permisos de circulación de transportes colectivos en la región de O'Higgins fueron mayores en Rancagua, el año 2017, con 3.830 permisos. Le sigue Codegua, el año 2018, con 1.756 permisos de circulación otorgados a transporte colectivo."/>
    <s v="Mapa de calor"/>
    <s v="Región de O'Higgins,regional,comuna,permiso,circulación,tipo,transporte,colectivo,Agencia Información,Transporte y Tránsito,Permisos de circulación,Tránsito"/>
    <s v="https://analytics.zoho.com/open-view/2395394000008475310?ZOHO_CRITERIA=%228.1%20Permiso_circulaci%C3%B3n%22.%22Codreg%22%3D6"/>
    <x v="23"/>
    <s v="#1774B9"/>
  </r>
  <r>
    <s v="1186"/>
    <n v="990"/>
    <s v="Agencia Información"/>
    <s v="Transporte y tránsito"/>
    <n v="7"/>
    <x v="30"/>
    <x v="19"/>
    <x v="1"/>
    <x v="7"/>
    <x v="14"/>
    <x v="74"/>
    <s v="Periodo 2008-2019"/>
    <s v="Número de permisos de circulación"/>
    <s v="Instituto Nacional de Estadísticas (INE)"/>
    <s v="Cantidad de permisos de circulación de transportes colectivos por Comuna en la Región de Maule, Periodo 2008-2019"/>
    <s v="Los permisos de circulación de transportes colectivos en la región de Maule fueron mayores en Talca, el año 2018, con 2.386 permisos. Le sigue Curicó, el año 2019, con 1.739 permisos de circulación otorgados a transporte colectivo."/>
    <s v="Mapa de calor"/>
    <s v="Región de Maule,regional,comuna,permiso,circulación,tipo,transporte,colectivo,Agencia Información,Transporte y Tránsito,Permisos de circulación,Tránsito"/>
    <s v="https://analytics.zoho.com/open-view/2395394000008475310?ZOHO_CRITERIA=%228.1%20Permiso_circulaci%C3%B3n%22.%22Codreg%22%3D7"/>
    <x v="24"/>
    <s v="#1774B9"/>
  </r>
  <r>
    <s v="1187"/>
    <n v="990"/>
    <s v="Agencia Información"/>
    <s v="Transporte y tránsito"/>
    <n v="8"/>
    <x v="30"/>
    <x v="19"/>
    <x v="1"/>
    <x v="8"/>
    <x v="14"/>
    <x v="74"/>
    <s v="Periodo 2008-2019"/>
    <s v="Número de permisos de circulación"/>
    <s v="Instituto Nacional de Estadísticas (INE)"/>
    <s v="Cantidad de permisos de circulación de transportes colectivos por Comuna en la Región del Biobío, Periodo 2008-2019"/>
    <s v="Los permisos de circulación de transportes colectivos en la región del Biobío fueron mayores en Hualpén, el año 2019, con 2.906 permisos. Le sigue Los Ángeles, ese mismo año, con 2.254 permisos de circulación otorgados a transporte colectivo."/>
    <s v="Mapa de calor"/>
    <s v="Región del Biobío,regional,comuna,permiso,circulación,tipo,transporte,colectivo,Agencia Información,Transporte y Tránsito,Permisos de circulación,Tránsito"/>
    <s v="https://analytics.zoho.com/open-view/2395394000008475310?ZOHO_CRITERIA=%228.1%20Permiso_circulaci%C3%B3n%22.%22Codreg%22%3D8"/>
    <x v="25"/>
    <s v="#1774B9"/>
  </r>
  <r>
    <s v="1188"/>
    <n v="990"/>
    <s v="Agencia Información"/>
    <s v="Transporte y tránsito"/>
    <n v="9"/>
    <x v="30"/>
    <x v="19"/>
    <x v="1"/>
    <x v="9"/>
    <x v="14"/>
    <x v="74"/>
    <s v="Periodo 2008-2019"/>
    <s v="Número de permisos de circulación"/>
    <s v="Instituto Nacional de Estadísticas (INE)"/>
    <s v="Cantidad de permisos de circulación de transportes colectivos por Comuna en la Región de La Araucanía, Periodo 2008-2019"/>
    <s v="Los permisos de circulación de transportes colectivos en la región de Araucanía fueron mayores en Temuco, el año 2010, con 2.770 permisos. Le sigue Padre Las Casas, el año 2018, con 1.137 permisos de circulación otorgados a transporte colectivo."/>
    <s v="Mapa de calor"/>
    <s v="Región de La Araucanía,regional,comuna,permiso,circulación,tipo,transporte,colectivo,Agencia Información,Transporte y Tránsito,Permisos de circulación,Tránsito"/>
    <s v="https://analytics.zoho.com/open-view/2395394000008475310?ZOHO_CRITERIA=%228.1%20Permiso_circulaci%C3%B3n%22.%22Codreg%22%3D9"/>
    <x v="26"/>
    <s v="#1774B9"/>
  </r>
  <r>
    <s v="1189"/>
    <n v="990"/>
    <s v="Agencia Información"/>
    <s v="Transporte y tránsito"/>
    <n v="10"/>
    <x v="30"/>
    <x v="19"/>
    <x v="1"/>
    <x v="10"/>
    <x v="14"/>
    <x v="74"/>
    <s v="Periodo 2008-2019"/>
    <s v="Número de permisos de circulación"/>
    <s v="Instituto Nacional de Estadísticas (INE)"/>
    <s v="Cantidad de permisos de circulación de transportes colectivos por Comuna en la Región de Los Lagos, Periodo 2008-2019"/>
    <s v="Los permisos de circulación de transportes colectivos en la región de Los Lagos fueron mayores en Puerto Montt, el año 2019, con 4.174 permisos. Le sigue Osorno, el año 2012, con 1.845 permisos de circulación otorgados a transporte colectivo."/>
    <s v="Mapa de calor"/>
    <s v="Región de Los Lagos,regional,comuna,permiso,circulación,tipo,transporte,colectivo,Agencia Información,Transporte y Tránsito,Permisos de circulación,Tránsito"/>
    <s v="https://analytics.zoho.com/open-view/2395394000008475310?ZOHO_CRITERIA=%228.1%20Permiso_circulaci%C3%B3n%22.%22Codreg%22%3D10"/>
    <x v="27"/>
    <s v="#1774B9"/>
  </r>
  <r>
    <s v="1190"/>
    <n v="990"/>
    <s v="Agencia Información"/>
    <s v="Transporte y tránsito"/>
    <n v="11"/>
    <x v="30"/>
    <x v="19"/>
    <x v="1"/>
    <x v="11"/>
    <x v="14"/>
    <x v="74"/>
    <s v="Periodo 2008-2019"/>
    <s v="Número de permisos de circulación"/>
    <s v="Instituto Nacional de Estadísticas (INE)"/>
    <s v="Cantidad de permisos de circulación de transportes colectivos por Comuna en la Región de Aysén, Periodo 2008-2019"/>
    <s v="Los permisos de circulación de transportes colectivos en la región de Aysén fueron mayores en Coihaique, ese mismo año, con 1.028 permisos. Le sigue Aisén, el año 2019, con 491 permisos de circulación otorgados a transporte colectivo."/>
    <s v="Mapa de calor"/>
    <s v="Región de Aysén,regional,comuna,permiso,circulación,tipo,transporte,colectivo,Agencia Información,Transporte y Tránsito,Permisos de circulación,Tránsito"/>
    <s v="https://analytics.zoho.com/open-view/2395394000008475310?ZOHO_CRITERIA=%228.1%20Permiso_circulaci%C3%B3n%22.%22Codreg%22%3D11"/>
    <x v="33"/>
    <s v="#1774B9"/>
  </r>
  <r>
    <s v="1191"/>
    <n v="990"/>
    <s v="Agencia Información"/>
    <s v="Transporte y tránsito"/>
    <n v="12"/>
    <x v="30"/>
    <x v="19"/>
    <x v="1"/>
    <x v="12"/>
    <x v="14"/>
    <x v="74"/>
    <s v="Periodo 2008-2019"/>
    <s v="Número de permisos de circulación"/>
    <s v="Instituto Nacional de Estadísticas (INE)"/>
    <s v="Cantidad de permisos de circulación de transportes colectivos por Comuna en la Región de Magallanes, Periodo 2008-2019"/>
    <s v="Los permisos de circulación de transportes colectivos en la región de Magallanes fueron mayores en Punta Arenas, el año 2019, con 2.941 permisos. Le sigue Natales, ese mismo año, con 741 permisos de circulación otorgados a transporte colectivo."/>
    <s v="Mapa de calor"/>
    <s v="Región de Magallanes,regional,comuna,permiso,circulación,tipo,transporte,colectivo,Agencia Información,Transporte y Tránsito,Permisos de circulación,Tránsito"/>
    <s v="https://analytics.zoho.com/open-view/2395394000008475310?ZOHO_CRITERIA=%228.1%20Permiso_circulaci%C3%B3n%22.%22Codreg%22%3D12"/>
    <x v="28"/>
    <s v="#1774B9"/>
  </r>
  <r>
    <s v="1192"/>
    <n v="990"/>
    <s v="Agencia Información"/>
    <s v="Transporte y tránsito"/>
    <n v="13"/>
    <x v="30"/>
    <x v="19"/>
    <x v="1"/>
    <x v="13"/>
    <x v="14"/>
    <x v="74"/>
    <s v="Periodo 2008-2019"/>
    <s v="Número de permisos de circulación"/>
    <s v="Instituto Nacional de Estadísticas (INE)"/>
    <s v="Cantidad de permisos de circulación de transportes colectivos por Comuna en la Región Metropolitana, Periodo 2008-2019"/>
    <s v="Los permisos de circulación de transportes colectivos en la región Metropolitana fueron mayores en Estación Central, el año 2015, con 5.090 permisos. Le sigue Puente Alto, el año 2019, con 5.049 permisos de circulación otorgados a transporte colectivo."/>
    <s v="Mapa de calor"/>
    <s v="Región Metropolitana,regional,comuna,permiso,circulación,tipo,transporte,colectivo,Agencia Información,Transporte y Tránsito,Permisos de circulación,Tránsito"/>
    <s v="https://analytics.zoho.com/open-view/2395394000008475310?ZOHO_CRITERIA=%228.1%20Permiso_circulaci%C3%B3n%22.%22Codreg%22%3D13"/>
    <x v="29"/>
    <s v="#1774B9"/>
  </r>
  <r>
    <s v="1193"/>
    <n v="990"/>
    <s v="Agencia Información"/>
    <s v="Transporte y tránsito"/>
    <n v="14"/>
    <x v="30"/>
    <x v="19"/>
    <x v="1"/>
    <x v="14"/>
    <x v="14"/>
    <x v="74"/>
    <s v="Periodo 2008-2019"/>
    <s v="Número de permisos de circulación"/>
    <s v="Instituto Nacional de Estadísticas (INE)"/>
    <s v="Cantidad de permisos de circulación de transportes colectivos por Comuna en la Región de Los Ríos, Periodo 2008-2019"/>
    <s v="Los permisos de circulación de transportes colectivos en la región de Los Ríos fueron mayores en Valdivia, el año 2019, con 2.224 permisos. Le sigue La Unión, ese mismo año, con 546 permisos de circulación otorgados a transporte colectivo."/>
    <s v="Mapa de calor"/>
    <s v="Región de Los Ríos,regional,comuna,permiso,circulación,tipo,transporte,colectivo,Agencia Información,Transporte y Tránsito,Permisos de circulación,Tránsito"/>
    <s v="https://analytics.zoho.com/open-view/2395394000008475310?ZOHO_CRITERIA=%228.1%20Permiso_circulaci%C3%B3n%22.%22Codreg%22%3D14"/>
    <x v="30"/>
    <s v="#1774B9"/>
  </r>
  <r>
    <s v="1194"/>
    <n v="990"/>
    <s v="Agencia Información"/>
    <s v="Transporte y tránsito"/>
    <n v="15"/>
    <x v="30"/>
    <x v="19"/>
    <x v="1"/>
    <x v="15"/>
    <x v="14"/>
    <x v="74"/>
    <s v="Periodo 2008-2019"/>
    <s v="Número de permisos de circulación"/>
    <s v="Instituto Nacional de Estadísticas (INE)"/>
    <s v="Cantidad de permisos de circulación de transportes colectivos por Comuna en la Región de Arica y Parinacota, Periodo 2008-2019"/>
    <s v="Los permisos de circulación de transportes colectivos en la región de Arica y Parinacota fueron mayores en Arica, el año 2019, con 4.418 permisos. Le sigue Putre, el año 2017, con 85 permisos de circulación otorgados a transporte colectivo."/>
    <s v="Mapa de calor"/>
    <s v="Región de Arica y Parinacota,regional,comuna,permiso,circulación,tipo,transporte,colectivo,Agencia Información,Transporte y Tránsito,Permisos de circulación,Tránsito"/>
    <s v="https://analytics.zoho.com/open-view/2395394000008475310?ZOHO_CRITERIA=%228.1%20Permiso_circulaci%C3%B3n%22.%22Codreg%22%3D15"/>
    <x v="31"/>
    <s v="#1774B9"/>
  </r>
  <r>
    <s v="1195"/>
    <n v="990"/>
    <s v="Agencia Información"/>
    <s v="Transporte y tránsito"/>
    <n v="16"/>
    <x v="30"/>
    <x v="19"/>
    <x v="1"/>
    <x v="16"/>
    <x v="14"/>
    <x v="74"/>
    <s v="Periodo 2008-2019"/>
    <s v="Número de permisos de circulación"/>
    <s v="Instituto Nacional de Estadísticas (INE)"/>
    <s v="Cantidad de permisos de circulación de transportes colectivos por Comuna en la Región de Ñuble, Periodo 2008-2019"/>
    <s v="Los permisos de circulación de transportes colectivos en la región de Ñuble fueron mayores en Chillán, el año 2019, con 1.513 permisos. Le sigue Chillán Viejo, el año 2013, con 1.260 permisos de circulación otorgados a transporte colectivo."/>
    <s v="Mapa de calor"/>
    <s v="Región de Ñuble,regional,comuna,permiso,circulación,tipo,transporte,colectivo,Agencia Información,Transporte y Tránsito,Permisos de circulación,Tránsito"/>
    <s v="https://analytics.zoho.com/open-view/2395394000008475310?ZOHO_CRITERIA=%228.1%20Permiso_circulaci%C3%B3n%22.%22Codreg%22%3D16"/>
    <x v="32"/>
    <s v="#1774B9"/>
  </r>
  <r>
    <s v="1196"/>
    <n v="990"/>
    <s v="Agencia Información"/>
    <s v="Transporte y tránsito"/>
    <n v="0"/>
    <x v="60"/>
    <x v="19"/>
    <x v="0"/>
    <x v="0"/>
    <x v="2"/>
    <x v="75"/>
    <s v="Periodo 2011-2017"/>
    <s v="Número de Licencias de Conducir"/>
    <s v="Instituto Nacional de Estadísticas (INE)"/>
    <s v="Cantidad de licencias de conducir por clase y Comuna en Chile, Periodo 2011-2017"/>
    <s v="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
    <s v="Gráfico de Evolución"/>
    <s v="Chile,nacional,región,comuna,licencia,de conducir,clase,evolución,profesional,no profesional,especial,A1,A2,A3,A4,A5,B,C,D,E,F,Agencia Información,Transporte y Tránsito,Licencias de Conducir,Tránsito"/>
    <s v="https://analytics.zoho.com/open-view/2395394000008475464"/>
    <x v="17"/>
    <s v="#1774B9"/>
  </r>
  <r>
    <s v="1197"/>
    <n v="990"/>
    <s v="Agencia Información"/>
    <s v="Transporte y tránsito"/>
    <n v="1"/>
    <x v="60"/>
    <x v="19"/>
    <x v="1"/>
    <x v="1"/>
    <x v="0"/>
    <x v="75"/>
    <s v="Periodo 2011-2017"/>
    <s v="Número de Licencias de Conducir"/>
    <s v="Instituto Nacional de Estadísticas (INE)"/>
    <s v="Cantidad de licencias de conducir por clase y Comuna en la Región de Tarapacá, Periodo 2011-2017"/>
    <s v="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
    <s v="Gráfico de Evolución"/>
    <s v="Región de Tarapacá,regional,comuna,licencia,de conducir,clase,evolución,profesional,no profesional,especial,A1,A2,A3,A4,A5,B,C,D,E,F,Agencia Información,Transporte y Tránsito,Licencias de Conducir,Tránsito"/>
    <s v="https://analytics.zoho.com/open-view/2395394000008413167?ZOHO_CRITERIA=%228.3%20Licencias_conducir%22.%22Codreg%22%3D1"/>
    <x v="18"/>
    <s v="#1774B9"/>
  </r>
  <r>
    <s v="1198"/>
    <n v="990"/>
    <s v="Agencia Información"/>
    <s v="Transporte y tránsito"/>
    <n v="2"/>
    <x v="60"/>
    <x v="19"/>
    <x v="1"/>
    <x v="2"/>
    <x v="0"/>
    <x v="75"/>
    <s v="Periodo 2011-2017"/>
    <s v="Número de Licencias de Conducir"/>
    <s v="Instituto Nacional de Estadísticas (INE)"/>
    <s v="Cantidad de licencias de conducir por clase y Comuna en la Región de Antofagasta, Periodo 2011-2017"/>
    <s v="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
    <s v="Gráfico de Evolución"/>
    <s v="Región de Antofagasta,regional,comuna,licencia,de conducir,clase,evolución,profesional,no profesional,especial,A1,A2,A3,A4,A5,B,C,D,E,F,Agencia Información,Transporte y Tránsito,Licencias de Conducir,Tránsito"/>
    <s v="https://analytics.zoho.com/open-view/2395394000008413167?ZOHO_CRITERIA=%228.3%20Licencias_conducir%22.%22Codreg%22%3D2"/>
    <x v="19"/>
    <s v="#1774B9"/>
  </r>
  <r>
    <s v="1199"/>
    <n v="990"/>
    <s v="Agencia Información"/>
    <s v="Transporte y tránsito"/>
    <n v="3"/>
    <x v="60"/>
    <x v="19"/>
    <x v="1"/>
    <x v="3"/>
    <x v="0"/>
    <x v="75"/>
    <s v="Periodo 2011-2017"/>
    <s v="Número de Licencias de Conducir"/>
    <s v="Instituto Nacional de Estadísticas (INE)"/>
    <s v="Cantidad de licencias de conducir por clase y Comuna en la Región de Atacama, Periodo 2011-2017"/>
    <s v="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
    <s v="Gráfico de Evolución"/>
    <s v="Región de Atacama,regional,comuna,licencia,de conducir,clase,evolución,profesional,no profesional,especial,A1,A2,A3,A4,A5,B,C,D,E,F,Agencia Información,Transporte y Tránsito,Licencias de Conducir,Tránsito"/>
    <s v="https://analytics.zoho.com/open-view/2395394000008413167?ZOHO_CRITERIA=%228.3%20Licencias_conducir%22.%22Codreg%22%3D3"/>
    <x v="20"/>
    <s v="#1774B9"/>
  </r>
  <r>
    <s v="1200"/>
    <n v="990"/>
    <s v="Agencia Información"/>
    <s v="Transporte y tránsito"/>
    <n v="4"/>
    <x v="60"/>
    <x v="19"/>
    <x v="1"/>
    <x v="4"/>
    <x v="0"/>
    <x v="75"/>
    <s v="Periodo 2011-2017"/>
    <s v="Número de Licencias de Conducir"/>
    <s v="Instituto Nacional de Estadísticas (INE)"/>
    <s v="Cantidad de licencias de conducir por clase y Comuna en la Región de Coquimbo, Periodo 2011-2017"/>
    <s v="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
    <s v="Gráfico de Evolución"/>
    <s v="Región de Coquimbo,regional,comuna,licencia,de conducir,clase,evolución,profesional,no profesional,especial,A1,A2,A3,A4,A5,B,C,D,E,F,Agencia Información,Transporte y Tránsito,Licencias de Conducir,Tránsito"/>
    <s v="https://analytics.zoho.com/open-view/2395394000008413167?ZOHO_CRITERIA=%228.3%20Licencias_conducir%22.%22Codreg%22%3D4"/>
    <x v="21"/>
    <s v="#1774B9"/>
  </r>
  <r>
    <s v="1201"/>
    <n v="990"/>
    <s v="Agencia Información"/>
    <s v="Transporte y tránsito"/>
    <n v="5"/>
    <x v="60"/>
    <x v="19"/>
    <x v="1"/>
    <x v="5"/>
    <x v="0"/>
    <x v="75"/>
    <s v="Periodo 2011-2017"/>
    <s v="Número de Licencias de Conducir"/>
    <s v="Instituto Nacional de Estadísticas (INE)"/>
    <s v="Cantidad de licencias de conducir por clase y Comuna en la Región de Valparaíso, Periodo 2011-2017"/>
    <s v="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
    <s v="Gráfico de Evolución"/>
    <s v="Región de Valparaíso,regional,comuna,licencia,de conducir,clase,evolución,profesional,no profesional,especial,A1,A2,A3,A4,A5,B,C,D,E,F,Agencia Información,Transporte y Tránsito,Licencias de Conducir,Tránsito"/>
    <s v="https://analytics.zoho.com/open-view/2395394000008413167?ZOHO_CRITERIA=%228.3%20Licencias_conducir%22.%22Codreg%22%3D5"/>
    <x v="22"/>
    <s v="#1774B9"/>
  </r>
  <r>
    <s v="1202"/>
    <n v="990"/>
    <s v="Agencia Información"/>
    <s v="Transporte y tránsito"/>
    <n v="6"/>
    <x v="60"/>
    <x v="19"/>
    <x v="1"/>
    <x v="6"/>
    <x v="0"/>
    <x v="75"/>
    <s v="Periodo 2011-2017"/>
    <s v="Número de Licencias de Conducir"/>
    <s v="Instituto Nacional de Estadísticas (INE)"/>
    <s v="Cantidad de licencias de conducir por clase y Comuna en la Región de O'Higgins, Periodo 2011-2017"/>
    <s v="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
    <s v="Gráfico de Evolución"/>
    <s v="Región de O'Higgins,regional,comuna,licencia,de conducir,clase,evolución,profesional,no profesional,especial,A1,A2,A3,A4,A5,B,C,D,E,F,Agencia Información,Transporte y Tránsito,Licencias de Conducir,Tránsito"/>
    <s v="https://analytics.zoho.com/open-view/2395394000008413167?ZOHO_CRITERIA=%228.3%20Licencias_conducir%22.%22Codreg%22%3D6"/>
    <x v="23"/>
    <s v="#1774B9"/>
  </r>
  <r>
    <s v="1203"/>
    <n v="990"/>
    <s v="Agencia Información"/>
    <s v="Transporte y tránsito"/>
    <n v="7"/>
    <x v="60"/>
    <x v="19"/>
    <x v="1"/>
    <x v="7"/>
    <x v="0"/>
    <x v="75"/>
    <s v="Periodo 2011-2017"/>
    <s v="Número de Licencias de Conducir"/>
    <s v="Instituto Nacional de Estadísticas (INE)"/>
    <s v="Cantidad de licencias de conducir por clase y Comuna en la Región de Maule, Periodo 2011-2017"/>
    <s v="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
    <s v="Gráfico de Evolución"/>
    <s v="Región de Maule,regional,comuna,licencia,de conducir,clase,evolución,profesional,no profesional,especial,A1,A2,A3,A4,A5,B,C,D,E,F,Agencia Información,Transporte y Tránsito,Licencias de Conducir,Tránsito"/>
    <s v="https://analytics.zoho.com/open-view/2395394000008413167?ZOHO_CRITERIA=%228.3%20Licencias_conducir%22.%22Codreg%22%3D7"/>
    <x v="24"/>
    <s v="#1774B9"/>
  </r>
  <r>
    <s v="1204"/>
    <n v="990"/>
    <s v="Agencia Información"/>
    <s v="Transporte y tránsito"/>
    <n v="8"/>
    <x v="60"/>
    <x v="19"/>
    <x v="1"/>
    <x v="8"/>
    <x v="0"/>
    <x v="75"/>
    <s v="Periodo 2011-2017"/>
    <s v="Número de Licencias de Conducir"/>
    <s v="Instituto Nacional de Estadísticas (INE)"/>
    <s v="Cantidad de licencias de conducir por clase y Comuna en la Región del Biobío, Periodo 2011-2017"/>
    <s v="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
    <s v="Gráfico de Evolución"/>
    <s v="Región del Biobío,regional,comuna,licencia,de conducir,clase,evolución,profesional,no profesional,especial,A1,A2,A3,A4,A5,B,C,D,E,F,Agencia Información,Transporte y Tránsito,Licencias de Conducir,Tránsito"/>
    <s v="https://analytics.zoho.com/open-view/2395394000008413167?ZOHO_CRITERIA=%228.3%20Licencias_conducir%22.%22Codreg%22%3D8"/>
    <x v="25"/>
    <s v="#1774B9"/>
  </r>
  <r>
    <s v="1205"/>
    <n v="990"/>
    <s v="Agencia Información"/>
    <s v="Transporte y tránsito"/>
    <n v="9"/>
    <x v="60"/>
    <x v="19"/>
    <x v="1"/>
    <x v="9"/>
    <x v="0"/>
    <x v="75"/>
    <s v="Periodo 2011-2017"/>
    <s v="Número de Licencias de Conducir"/>
    <s v="Instituto Nacional de Estadísticas (INE)"/>
    <s v="Cantidad de licencias de conducir por clase y Comuna en la Región de La Araucanía, Periodo 2011-2017"/>
    <s v="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
    <s v="Gráfico de Evolución"/>
    <s v="Región de La Araucanía,regional,comuna,licencia,de conducir,clase,evolución,profesional,no profesional,especial,A1,A2,A3,A4,A5,B,C,D,E,F,Agencia Información,Transporte y Tránsito,Licencias de Conducir,Tránsito"/>
    <s v="https://analytics.zoho.com/open-view/2395394000008413167?ZOHO_CRITERIA=%228.3%20Licencias_conducir%22.%22Codreg%22%3D9"/>
    <x v="26"/>
    <s v="#1774B9"/>
  </r>
  <r>
    <s v="1206"/>
    <n v="990"/>
    <s v="Agencia Información"/>
    <s v="Transporte y tránsito"/>
    <n v="10"/>
    <x v="60"/>
    <x v="19"/>
    <x v="1"/>
    <x v="10"/>
    <x v="0"/>
    <x v="75"/>
    <s v="Periodo 2011-2017"/>
    <s v="Número de Licencias de Conducir"/>
    <s v="Instituto Nacional de Estadísticas (INE)"/>
    <s v="Cantidad de licencias de conducir por clase y Comuna en la Región de Los Lagos, Periodo 2011-2017"/>
    <s v="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
    <s v="Gráfico de Evolución"/>
    <s v="Región de Los Lagos,regional,comuna,licencia,de conducir,clase,evolución,profesional,no profesional,especial,A1,A2,A3,A4,A5,B,C,D,E,F,Agencia Información,Transporte y Tránsito,Licencias de Conducir,Tránsito"/>
    <s v="https://analytics.zoho.com/open-view/2395394000008413167?ZOHO_CRITERIA=%228.3%20Licencias_conducir%22.%22Codreg%22%3D10"/>
    <x v="27"/>
    <s v="#1774B9"/>
  </r>
  <r>
    <s v="1207"/>
    <n v="990"/>
    <s v="Agencia Información"/>
    <s v="Transporte y tránsito"/>
    <n v="11"/>
    <x v="60"/>
    <x v="19"/>
    <x v="1"/>
    <x v="11"/>
    <x v="0"/>
    <x v="75"/>
    <s v="Periodo 2011-2017"/>
    <s v="Número de Licencias de Conducir"/>
    <s v="Instituto Nacional de Estadísticas (INE)"/>
    <s v="Cantidad de licencias de conducir por clase y Comuna en la Región de Aysén, Periodo 2011-2017"/>
    <s v="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
    <s v="Gráfico de Evolución"/>
    <s v="Región de Aysén,regional,comuna,licencia,de conducir,clase,evolución,profesional,no profesional,especial,A1,A2,A3,A4,A5,B,C,D,E,F,Agencia Información,Transporte y Tránsito,Licencias de Conducir,Tránsito"/>
    <s v="https://analytics.zoho.com/open-view/2395394000008413167?ZOHO_CRITERIA=%228.3%20Licencias_conducir%22.%22Codreg%22%3D11"/>
    <x v="33"/>
    <s v="#1774B9"/>
  </r>
  <r>
    <s v="1208"/>
    <n v="990"/>
    <s v="Agencia Información"/>
    <s v="Transporte y tránsito"/>
    <n v="12"/>
    <x v="60"/>
    <x v="19"/>
    <x v="1"/>
    <x v="12"/>
    <x v="0"/>
    <x v="75"/>
    <s v="Periodo 2011-2017"/>
    <s v="Número de Licencias de Conducir"/>
    <s v="Instituto Nacional de Estadísticas (INE)"/>
    <s v="Cantidad de licencias de conducir por clase y Comuna en la Región de Magallanes, Periodo 2011-2017"/>
    <s v="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
    <s v="Gráfico de Evolución"/>
    <s v="Región de Magallanes,regional,comuna,licencia,de conducir,clase,evolución,profesional,no profesional,especial,A1,A2,A3,A4,A5,B,C,D,E,F,Agencia Información,Transporte y Tránsito,Licencias de Conducir,Tránsito"/>
    <s v="https://analytics.zoho.com/open-view/2395394000008413167?ZOHO_CRITERIA=%228.3%20Licencias_conducir%22.%22Codreg%22%3D12"/>
    <x v="28"/>
    <s v="#1774B9"/>
  </r>
  <r>
    <s v="1209"/>
    <n v="990"/>
    <s v="Agencia Información"/>
    <s v="Transporte y tránsito"/>
    <n v="13"/>
    <x v="60"/>
    <x v="19"/>
    <x v="1"/>
    <x v="13"/>
    <x v="0"/>
    <x v="75"/>
    <s v="Periodo 2011-2017"/>
    <s v="Número de Licencias de Conducir"/>
    <s v="Instituto Nacional de Estadísticas (INE)"/>
    <s v="Cantidad de licencias de conducir por clase y Comuna en la Región Metropolitana, Periodo 2011-2017"/>
    <s v="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
    <s v="Gráfico de Evolución"/>
    <s v="Región Metropolitana,regional,comuna,licencia,de conducir,clase,evolución,profesional,no profesional,especial,A1,A2,A3,A4,A5,B,C,D,E,F,Agencia Información,Transporte y Tránsito,Licencias de Conducir,Tránsito"/>
    <s v="https://analytics.zoho.com/open-view/2395394000008413167?ZOHO_CRITERIA=%228.3%20Licencias_conducir%22.%22Codreg%22%3D13"/>
    <x v="29"/>
    <s v="#1774B9"/>
  </r>
  <r>
    <s v="1210"/>
    <n v="990"/>
    <s v="Agencia Información"/>
    <s v="Transporte y tránsito"/>
    <n v="14"/>
    <x v="60"/>
    <x v="19"/>
    <x v="1"/>
    <x v="14"/>
    <x v="0"/>
    <x v="75"/>
    <s v="Periodo 2011-2017"/>
    <s v="Número de Licencias de Conducir"/>
    <s v="Instituto Nacional de Estadísticas (INE)"/>
    <s v="Cantidad de licencias de conducir por clase y Comuna en la Región de Los Ríos, Periodo 2011-2017"/>
    <s v="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
    <s v="Gráfico de Evolución"/>
    <s v="Región de Los Ríos,regional,comuna,licencia,de conducir,clase,evolución,profesional,no profesional,especial,A1,A2,A3,A4,A5,B,C,D,E,F,Agencia Información,Transporte y Tránsito,Licencias de Conducir,Tránsito"/>
    <s v="https://analytics.zoho.com/open-view/2395394000008413167?ZOHO_CRITERIA=%228.3%20Licencias_conducir%22.%22Codreg%22%3D14"/>
    <x v="30"/>
    <s v="#1774B9"/>
  </r>
  <r>
    <s v="1211"/>
    <n v="990"/>
    <s v="Agencia Información"/>
    <s v="Transporte y tránsito"/>
    <n v="15"/>
    <x v="60"/>
    <x v="19"/>
    <x v="1"/>
    <x v="15"/>
    <x v="0"/>
    <x v="75"/>
    <s v="Periodo 2011-2017"/>
    <s v="Número de Licencias de Conducir"/>
    <s v="Instituto Nacional de Estadísticas (INE)"/>
    <s v="Cantidad de licencias de conducir por clase y Comuna en la Región de Arica y Parinacota, Periodo 2011-2017"/>
    <s v="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
    <s v="Gráfico de Evolución"/>
    <s v="Región de Arica y Parinacota,regional,comuna,licencia,de conducir,clase,evolución,profesional,no profesional,especial,A1,A2,A3,A4,A5,B,C,D,E,F,Agencia Información,Transporte y Tránsito,Licencias de Conducir,Tránsito"/>
    <s v="https://analytics.zoho.com/open-view/2395394000008413167?ZOHO_CRITERIA=%228.3%20Licencias_conducir%22.%22Codreg%22%3D15"/>
    <x v="31"/>
    <s v="#1774B9"/>
  </r>
  <r>
    <s v="1212"/>
    <n v="990"/>
    <s v="Agencia Información"/>
    <s v="Transporte y tránsito"/>
    <n v="16"/>
    <x v="60"/>
    <x v="19"/>
    <x v="1"/>
    <x v="16"/>
    <x v="0"/>
    <x v="75"/>
    <s v="Periodo 2011-2017"/>
    <s v="Número de Licencias de Conducir"/>
    <s v="Instituto Nacional de Estadísticas (INE)"/>
    <s v="Cantidad de licencias de conducir por clase y Comuna en la Región de Ñuble, Periodo 2011-2017"/>
    <s v="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
    <s v="Gráfico de Evolución"/>
    <s v="Región de Ñuble,regional,comuna,licencia,de conducir,clase,evolución,profesional,no profesional,especial,A1,A2,A3,A4,A5,B,C,D,E,F,Agencia Información,Transporte y Tránsito,Licencias de Conducir,Tránsito"/>
    <s v="https://analytics.zoho.com/open-view/2395394000008413167?ZOHO_CRITERIA=%228.3%20Licencias_conducir%22.%22Codreg%22%3D16"/>
    <x v="32"/>
    <s v="#1774B9"/>
  </r>
  <r>
    <s v="1213"/>
    <n v="990"/>
    <s v="Agencia Información"/>
    <s v="Energía"/>
    <n v="0"/>
    <x v="22"/>
    <x v="13"/>
    <x v="0"/>
    <x v="0"/>
    <x v="1"/>
    <x v="28"/>
    <s v="Año 2021"/>
    <s v="MW"/>
    <s v="Comisión Nacional de Energía (CNE)"/>
    <s v="Capacidad Instalada (MW) de Centrales Eléctricas por Tipo de Energía y Región en Chile, para el Año 2021"/>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nacional,región,capacidad,instalada,potencia,neta,MW,ernc,tipo,gas,natural,solar,geotérmica,mini,hidráulica,pasada,petróleo,diesel,biogas,Agencia Información,Energía,Capacidad Instalada ,Energía"/>
    <s v="https://analytics.zoho.com/open-view/2395394000008257880"/>
    <x v="0"/>
    <s v="#1774B9"/>
  </r>
  <r>
    <s v="1214"/>
    <n v="990"/>
    <s v="Agencia Información"/>
    <s v="Energía"/>
    <n v="1"/>
    <x v="22"/>
    <x v="13"/>
    <x v="1"/>
    <x v="1"/>
    <x v="1"/>
    <x v="28"/>
    <s v="Año 2021"/>
    <s v="MW"/>
    <s v="Comisión Nacional de Energía (CNE)"/>
    <s v="Capacidad Instalada (MW) de Centrales Eléctricas por Tipo de Energía en la Región de Tarapacá, para el Año 2021"/>
    <s v="La Región de Tarapacá, en el año 2021, cuenta con centrales eléctricas con 4 tipos de energía: solar, fuel oil nº6, petróleo diesel y minihidráulica de pasada. Las centrales solares poseen la mayor capacidad instalada con 263 MW."/>
    <s v="Gráfico"/>
    <s v="Región de Tarapacá,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
    <x v="1"/>
    <s v="#1774B9"/>
  </r>
  <r>
    <s v="1215"/>
    <n v="990"/>
    <s v="Agencia Información"/>
    <s v="Energía"/>
    <n v="2"/>
    <x v="22"/>
    <x v="13"/>
    <x v="1"/>
    <x v="2"/>
    <x v="1"/>
    <x v="28"/>
    <s v="Año 2021"/>
    <s v="MW"/>
    <s v="Comisión Nacional de Energía (CNE)"/>
    <s v="Capacidad Instalada (MW) de Centrales Eléctricas por Tipo de Energía en la Región de Antofagasta, para el Año 2021"/>
    <s v="La Región de Antofagasta, en el año 2021, cuenta con centrales eléctricas con 8 tipos de energía: carbón, gas natural, solar, petróleo diesel, eólica, hidráulica de pasada, geotérmica y de cogeneración. Las centrales a carbón poseen la mayor capacidad instalada con 2.303 MW."/>
    <s v="Gráfico"/>
    <s v="Región de Antofagast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2"/>
    <x v="2"/>
    <s v="#1774B9"/>
  </r>
  <r>
    <s v="1216"/>
    <n v="990"/>
    <s v="Agencia Información"/>
    <s v="Energía"/>
    <n v="3"/>
    <x v="22"/>
    <x v="13"/>
    <x v="1"/>
    <x v="3"/>
    <x v="1"/>
    <x v="28"/>
    <s v="Año 2021"/>
    <s v="MW"/>
    <s v="Comisión Nacional de Energía (CNE)"/>
    <s v="Capacidad Instalada (MW) de Centrales Eléctricas por Tipo de Energía en la Región de Atacama, para el Año 2021"/>
    <s v="La Región de Atacama, en el año 2021, cuenta con centrales eléctricas con 5 tipos de energía: solar, eólica, carbón-petcoke, petróleo diesel y minihidráulica de pasada. Las centrales solares poseen la mayor capacidad instalada con 951 MW."/>
    <s v="Gráfico"/>
    <s v="Región de Atacam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3"/>
    <x v="3"/>
    <s v="#1774B9"/>
  </r>
  <r>
    <s v="1217"/>
    <n v="990"/>
    <s v="Agencia Información"/>
    <s v="Energía"/>
    <n v="4"/>
    <x v="22"/>
    <x v="13"/>
    <x v="1"/>
    <x v="4"/>
    <x v="1"/>
    <x v="28"/>
    <s v="Año 2021"/>
    <s v="MW"/>
    <s v="Comisión Nacional de Energía (CNE)"/>
    <s v="Capacidad Instalada (MW) de Centrales Eléctricas por Tipo de Energía en la Región de Coquimbo, para el Año 2021"/>
    <s v="La Región de Coquimbo, en el año 2021, cuenta con centrales eléctricas con 4 tipos de energía: eólica, petróleo diesel, solar y minihidráulica de pasada. Las centrales eólicas poseen la mayor capacidad instalada con 689 MW."/>
    <s v="Gráfico"/>
    <s v="Región de Coquimbo,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4"/>
    <x v="4"/>
    <s v="#1774B9"/>
  </r>
  <r>
    <s v="1218"/>
    <n v="990"/>
    <s v="Agencia Información"/>
    <s v="Energía"/>
    <n v="5"/>
    <x v="22"/>
    <x v="13"/>
    <x v="1"/>
    <x v="5"/>
    <x v="1"/>
    <x v="28"/>
    <s v="Año 2021"/>
    <s v="MW"/>
    <s v="Comisión Nacional de Energía (CNE)"/>
    <s v="Capacidad Instalada (MW) de Centrales Eléctricas por Tipo de Energía en la Región de Valparaíso, para el Año 2021"/>
    <s v="La Región de Valparaíso, en el año 2021, cuenta con centrales eléctricas con 7 tipos de energía: gas natural, carbón, petróleo diesel, hidráulica de pasada, solar, biogas y minihidráulica de pasada. Las centrales a gas natural poseen la mayor capacidad instalada con 1.528 MW."/>
    <s v="Gráfico"/>
    <s v="Región de Valparaíso,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5"/>
    <x v="5"/>
    <s v="#1774B9"/>
  </r>
  <r>
    <s v="1219"/>
    <n v="990"/>
    <s v="Agencia Información"/>
    <s v="Energía"/>
    <n v="6"/>
    <x v="22"/>
    <x v="13"/>
    <x v="1"/>
    <x v="6"/>
    <x v="1"/>
    <x v="28"/>
    <s v="Año 2021"/>
    <s v="MW"/>
    <s v="Comisión Nacional de Energía (CNE)"/>
    <s v="Capacidad Instalada (MW) de Centrales Eléctricas por Tipo de Energía en la Región de O'Higgins, para el Año 2021"/>
    <s v="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
    <s v="Gráfico"/>
    <s v="Región de O'Higgin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6"/>
    <x v="6"/>
    <s v="#1774B9"/>
  </r>
  <r>
    <s v="1220"/>
    <n v="990"/>
    <s v="Agencia Información"/>
    <s v="Energía"/>
    <n v="7"/>
    <x v="22"/>
    <x v="13"/>
    <x v="1"/>
    <x v="7"/>
    <x v="1"/>
    <x v="28"/>
    <s v="Año 2021"/>
    <s v="MW"/>
    <s v="Comisión Nacional de Energía (CNE)"/>
    <s v="Capacidad Instalada (MW) de Centrales Eléctricas por Tipo de Energía en la Región de Maule, para el Año 2021"/>
    <s v="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
    <s v="Gráfico"/>
    <s v="Región de Maule,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7"/>
    <x v="7"/>
    <s v="#1774B9"/>
  </r>
  <r>
    <s v="1221"/>
    <n v="990"/>
    <s v="Agencia Información"/>
    <s v="Energía"/>
    <n v="8"/>
    <x v="22"/>
    <x v="13"/>
    <x v="1"/>
    <x v="8"/>
    <x v="1"/>
    <x v="28"/>
    <s v="Año 2021"/>
    <s v="MW"/>
    <s v="Comisión Nacional de Energía (CNE)"/>
    <s v="Capacidad Instalada (MW) de Centrales Eléctricas por Tipo de Energía en la Región del Biobío, para el Año 2021"/>
    <s v="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
    <s v="Gráfico"/>
    <s v="Región del Biobío,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8"/>
    <x v="8"/>
    <s v="#1774B9"/>
  </r>
  <r>
    <s v="1222"/>
    <n v="990"/>
    <s v="Agencia Información"/>
    <s v="Energía"/>
    <n v="9"/>
    <x v="22"/>
    <x v="13"/>
    <x v="1"/>
    <x v="9"/>
    <x v="1"/>
    <x v="28"/>
    <s v="Año 2021"/>
    <s v="MW"/>
    <s v="Comisión Nacional de Energía (CNE)"/>
    <s v="Capacidad Instalada (MW) de Centrales Eléctricas por Tipo de Energía en la Región de La Araucanía, para el Año 2021"/>
    <s v="La Región de Araucanía, en el año 2021, cuenta con centrales eléctricas con 4 tipos de energía: eólica, minihidráulica de pasada, biomasa y petróleo diesel. Las centrales eólicas poseen la mayor capacidad instalada con 381 MW."/>
    <s v="Gráfico"/>
    <s v="Región de La Araucaní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9"/>
    <x v="9"/>
    <s v="#1774B9"/>
  </r>
  <r>
    <s v="1223"/>
    <n v="990"/>
    <s v="Agencia Información"/>
    <s v="Energía"/>
    <n v="10"/>
    <x v="22"/>
    <x v="13"/>
    <x v="1"/>
    <x v="10"/>
    <x v="1"/>
    <x v="28"/>
    <s v="Año 2021"/>
    <s v="MW"/>
    <s v="Comisión Nacional de Energía (CNE)"/>
    <s v="Capacidad Instalada (MW) de Centrales Eléctricas por Tipo de Energía en la Región de Los Lagos, para el Año 2021"/>
    <s v="La Región de Los Lagos, en el año 2021, cuenta con centrales eléctricas con 5 tipos de energía: eólica, petróleo diesel, hidráulica de embalse, minihidráulica de pasada e hidráulica de pasada. Las centrales eólicas poseen la mayor capacidad instalada con 228 MW."/>
    <s v="Gráfico"/>
    <s v="Región de Los Lago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0"/>
    <x v="10"/>
    <s v="#1774B9"/>
  </r>
  <r>
    <s v="1224"/>
    <n v="990"/>
    <s v="Agencia Información"/>
    <s v="Energía"/>
    <n v="11"/>
    <x v="22"/>
    <x v="13"/>
    <x v="1"/>
    <x v="11"/>
    <x v="1"/>
    <x v="28"/>
    <s v="Año 2021"/>
    <s v="MW"/>
    <s v="Comisión Nacional de Energía (CNE)"/>
    <s v="Capacidad Instalada (MW) de Centrales Eléctricas por Tipo de Energía en la Región de Aysén, para el Año 2021"/>
    <s v="La Región de Aysén, en el año 2021, cuenta con centrales eléctricas con 3 tipos de energía: petróleo diesel, hidráulica de pasada y eólica. Las centrales a petróleo diesel poseen la mayor capacidad instalada con 34 MW."/>
    <s v="Gráfico"/>
    <s v="Región de Aysén,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1"/>
    <x v="11"/>
    <s v="#1774B9"/>
  </r>
  <r>
    <s v="1225"/>
    <n v="990"/>
    <s v="Agencia Información"/>
    <s v="Energía"/>
    <n v="12"/>
    <x v="22"/>
    <x v="13"/>
    <x v="1"/>
    <x v="12"/>
    <x v="1"/>
    <x v="28"/>
    <s v="Año 2021"/>
    <s v="MW"/>
    <s v="Comisión Nacional de Energía (CNE)"/>
    <s v="Capacidad Instalada (MW) de Centrales Eléctricas por Tipo de Energía en la Región de Magallanes, para el Año 2021"/>
    <s v="La Región de Magallanes, en el año 2021, cuenta con centrales eléctricas con 3 tipos de energía: gas natural, petróleo diesel y eólica. Las centrales a gas natural poseen la mayor capacidad instalada con 89 MW."/>
    <s v="Gráfico"/>
    <s v="Región de Magallane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2"/>
    <x v="12"/>
    <s v="#1774B9"/>
  </r>
  <r>
    <s v="1226"/>
    <n v="990"/>
    <s v="Agencia Información"/>
    <s v="Energía"/>
    <n v="13"/>
    <x v="22"/>
    <x v="13"/>
    <x v="1"/>
    <x v="13"/>
    <x v="1"/>
    <x v="28"/>
    <s v="Año 2021"/>
    <s v="MW"/>
    <s v="Comisión Nacional de Energía (CNE)"/>
    <s v="Capacidad Instalada (MW) de Centrales Eléctricas por Tipo de Energía en la Región Metropolitana, para el Año 2021"/>
    <s v="La Región Metropolitana, en el año 2021, cuenta con centrales eléctricas con 6 tipos de energía: gas natural, solar, hidráulica de pasada, petróleo diesel, minihidráulica de pasada y biogas. Las centrales a gas natural poseen la mayor capacidad instalada con 426 MW."/>
    <s v="Gráfico"/>
    <s v="Región Metropolitan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3"/>
    <x v="13"/>
    <s v="#1774B9"/>
  </r>
  <r>
    <s v="1227"/>
    <n v="990"/>
    <s v="Agencia Información"/>
    <s v="Energía"/>
    <n v="14"/>
    <x v="22"/>
    <x v="13"/>
    <x v="1"/>
    <x v="14"/>
    <x v="1"/>
    <x v="28"/>
    <s v="Año 2021"/>
    <s v="MW"/>
    <s v="Comisión Nacional de Energía (CNE)"/>
    <s v="Capacidad Instalada (MW) de Centrales Eléctricas por Tipo de Energía en la Región de Los Ríos, para el Año 2021"/>
    <s v="La Región de Los Ríos, en el año 2021, cuenta con centrales eléctricas con 4 tipos de energía: petróleo diesel, hidráulica de pasada, minihidráulica de pasada y biomasa-petróleo N°6. Las centrales a petróleo diesel poseen la mayor capacidad instalada con 127 MW."/>
    <s v="Gráfico"/>
    <s v="Región de Los Ríos,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4"/>
    <x v="14"/>
    <s v="#1774B9"/>
  </r>
  <r>
    <s v="1228"/>
    <n v="990"/>
    <s v="Agencia Información"/>
    <s v="Energía"/>
    <n v="15"/>
    <x v="22"/>
    <x v="13"/>
    <x v="1"/>
    <x v="15"/>
    <x v="1"/>
    <x v="28"/>
    <s v="Año 2021"/>
    <s v="MW"/>
    <s v="Comisión Nacional de Energía (CNE)"/>
    <s v="Capacidad Instalada (MW) de Centrales Eléctricas por Tipo de Energía en la Región de Arica y Parinacota, para el Año 2021"/>
    <s v="La Región de Arica y Parinacota, en el año 2021, cuenta con centrales eléctricas con 4 tipos de energía: petróleo diesel, hidráulica de pasada, solar y minihidráulica de pasada. Las centrales a petróleo diesel poseen la mayor capacidad instalada con 13 MW."/>
    <s v="Gráfico"/>
    <s v="Región de Arica y Parinacota,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5"/>
    <x v="15"/>
    <s v="#1774B9"/>
  </r>
  <r>
    <s v="1229"/>
    <n v="990"/>
    <s v="Agencia Información"/>
    <s v="Energía"/>
    <n v="16"/>
    <x v="22"/>
    <x v="13"/>
    <x v="1"/>
    <x v="16"/>
    <x v="1"/>
    <x v="28"/>
    <s v="Año 2021"/>
    <s v="MW"/>
    <s v="Comisión Nacional de Energía (CNE)"/>
    <s v="Capacidad Instalada (MW) de Centrales Eléctricas por Tipo de Energía en la Región de Ñuble, para el Año 2021"/>
    <s v="La Región de Ñuble, en el año 2021, cuenta con centrales eléctricas con 5 tipos de energía: biomasa, solar, minihidráulica de pasada, petróleo diesel y biomasa-petróleo N°6. Las centrales a biomasa poseen la mayor capacidad instalada con 57 MW."/>
    <s v="Gráfico"/>
    <s v="Región de Ñuble,regional,capacidad,instalada,potencia,neta,MW,ernc,tipo,gas,natural,solar,geotérmica,mini,hidráulica,pasada,petróleo,diesel,biogas,Agencia Información,Energía,Capacidad Instalada ,Energía"/>
    <s v="https://analytics.zoho.com/open-view/2395394000008478582?ZOHO_CRITERIA=%2216%20Energ%C3%ADas%20Renovables%20y%20No%20Renovables%22.%22Cod_Regi%C3%B3n%22%20%3D%2016"/>
    <x v="16"/>
    <s v="#1774B9"/>
  </r>
  <r>
    <s v="1230"/>
    <n v="990"/>
    <s v="Agencia Información"/>
    <s v="Energía"/>
    <n v="0"/>
    <x v="61"/>
    <x v="13"/>
    <x v="0"/>
    <x v="0"/>
    <x v="1"/>
    <x v="76"/>
    <s v="Año 2021"/>
    <s v="MW"/>
    <s v="Comisión Nacional de Energía (CNE)"/>
    <s v="Top 10 de Propietarios de Centrales Eléctricas con Mayor Capacidad Instalada (MW) en Chile, para el Año 2021"/>
    <s v="En Chile, para el año 2021, ENEL GENERACIÓN CHILE es la empresa que tiene la mayor capacidad instalada de centrales eléctricas, con 5.176 (MW). Le siguen COLBÚN y ENGIE, con 3.092 y 1.606 (MW), respectivamente."/>
    <s v="Ranking"/>
    <s v="Chile,nacional,centrales,capacidad,instalada,dueños,propietarios,mayor,Agencia Información,Energía,Propietarios de Centrales,Energía"/>
    <s v="https://analytics.zoho.com/open-view/2395394000008280544"/>
    <x v="34"/>
    <s v="#1774B9"/>
  </r>
  <r>
    <s v="1231"/>
    <n v="990"/>
    <s v="Agencia Información"/>
    <s v="Energía"/>
    <n v="0"/>
    <x v="62"/>
    <x v="13"/>
    <x v="0"/>
    <x v="0"/>
    <x v="1"/>
    <x v="77"/>
    <s v="Año 2021"/>
    <s v="Número de Centrales"/>
    <s v="Comisión Nacional de Energía (CNE)"/>
    <s v="Cantidad de Centrales Eléctricas de Energía Renovable y No Renovable por Región en el año 2021"/>
    <s v="A nivel nacional, la región Metropolitana tiene mayor cantidad de centrales eléctricas de energía renovable, alcanzando 73. Por otro lado, la región de Los Lagos es la que cuenta con más centrales eléctricas de energía no renovable, con 43."/>
    <s v="Gráfico"/>
    <s v="Chile,nacional,región,centrales,renovable,no renovable,comparación,Agencia Información,Energía,Cantidad de Centrales,Energía"/>
    <s v="https://analytics.zoho.com/open-view/2395394000008280397"/>
    <x v="34"/>
    <s v="#1774B9"/>
  </r>
  <r>
    <s v="1232"/>
    <n v="990"/>
    <s v="Agencia Información"/>
    <s v="Energía"/>
    <n v="0"/>
    <x v="63"/>
    <x v="13"/>
    <x v="0"/>
    <x v="0"/>
    <x v="2"/>
    <x v="77"/>
    <s v="Año 2021"/>
    <s v="Número de Centrales"/>
    <s v="Comisión Nacional de Energía (CNE)"/>
    <s v="Cantidad de Centrales Eléctricas de Energía Renovable No Convencional por Comuna en Chile, para el Año 2021"/>
    <s v="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
    <s v="Mapa de calor"/>
    <s v="Chile,nacional,región,comuna,centrales,eléctrica,renovable,no renovable,convencional,ERNC,Agencia Información,Energía,Centrales ERNC,Energía"/>
    <s v="https://analytics.zoho.com/open-view/2395394000008478954"/>
    <x v="17"/>
    <s v="#1774B9"/>
  </r>
  <r>
    <s v="1233"/>
    <n v="990"/>
    <s v="Agencia Información"/>
    <s v="Energía"/>
    <n v="1"/>
    <x v="63"/>
    <x v="13"/>
    <x v="1"/>
    <x v="1"/>
    <x v="3"/>
    <x v="77"/>
    <s v="Año 2021"/>
    <s v="Número de Centrales"/>
    <s v="Comisión Nacional de Energía (CNE)"/>
    <s v="Cantidad de Centrales Eléctricas de Energía Renovable No Convencional por Comuna en la Región de Tarapacá, para el Año 2021"/>
    <s v="La comuna de Pozo Almonte en la Región de Tarapacá, para el año 2021, es la que posee mayor cantidad de centrales de Energía Renovable No Convencional (8), lo que representa el 72,7% de estas centrales para la región."/>
    <s v="Mapa de calor"/>
    <s v="Región de Tarapacá,regional,comuna,centrales,eléctrica,renovable,no renovable,convencional,ERNC,Agencia Información,Energía,Centrales ERNC,Energía"/>
    <s v="https://analytics.zoho.com/open-view/2395394000008492075?ZOHO_CRITERIA=%2216%20Energ%C3%ADas%20Renovables%20y%20No%20Renovables%22.%22Cod_Regi%C3%B3n%22%20%3D%201"/>
    <x v="18"/>
    <s v="#1774B9"/>
  </r>
  <r>
    <s v="1234"/>
    <n v="990"/>
    <s v="Agencia Información"/>
    <s v="Energía"/>
    <n v="2"/>
    <x v="63"/>
    <x v="13"/>
    <x v="1"/>
    <x v="2"/>
    <x v="3"/>
    <x v="77"/>
    <s v="Año 2021"/>
    <s v="Número de Centrales"/>
    <s v="Comisión Nacional de Energía (CNE)"/>
    <s v="Cantidad de Centrales Eléctricas de Energía Renovable No Convencional por Comuna en la Región de Antofagasta, para el Año 2021"/>
    <s v="La comuna de Calama en la Región de Antofagasta, para el año 2021, es la que posee mayor cantidad de centrales de Energía Renovable No Convencional (8), lo que representa el 36,4% de estas centrales para la región."/>
    <s v="Mapa de calor"/>
    <s v="Región de Antofagasta,regional,comuna,centrales,eléctrica,renovable,no renovable,convencional,ERNC,Agencia Información,Energía,Centrales ERNC,Energía"/>
    <s v="https://analytics.zoho.com/open-view/2395394000008492075?ZOHO_CRITERIA=%2216%20Energ%C3%ADas%20Renovables%20y%20No%20Renovables%22.%22Cod_Regi%C3%B3n%22%20%3D%202"/>
    <x v="19"/>
    <s v="#1774B9"/>
  </r>
  <r>
    <s v="1235"/>
    <n v="990"/>
    <s v="Agencia Información"/>
    <s v="Energía"/>
    <n v="3"/>
    <x v="63"/>
    <x v="13"/>
    <x v="1"/>
    <x v="3"/>
    <x v="3"/>
    <x v="77"/>
    <s v="Año 2021"/>
    <s v="Número de Centrales"/>
    <s v="Comisión Nacional de Energía (CNE)"/>
    <s v="Cantidad de Centrales Eléctricas de Energía Renovable No Convencional por Comuna en la Región de Atacama, para el Año 2021"/>
    <s v="La comuna de Copiapó en la Región de Atacama, para el año 2021, es la que posee mayor cantidad de centrales de Energía Renovable No Convencional (8), lo que representa el 27,6% de estas centrales para la región."/>
    <s v="Mapa de calor"/>
    <s v="Región de Atacama,regional,comuna,centrales,eléctrica,renovable,no renovable,convencional,ERNC,Agencia Información,Energía,Centrales ERNC,Energía"/>
    <s v="https://analytics.zoho.com/open-view/2395394000008492075?ZOHO_CRITERIA=%2216%20Energ%C3%ADas%20Renovables%20y%20No%20Renovables%22.%22Cod_Regi%C3%B3n%22%20%3D%203"/>
    <x v="20"/>
    <s v="#1774B9"/>
  </r>
  <r>
    <s v="1236"/>
    <n v="990"/>
    <s v="Agencia Información"/>
    <s v="Energía"/>
    <n v="4"/>
    <x v="63"/>
    <x v="13"/>
    <x v="1"/>
    <x v="4"/>
    <x v="3"/>
    <x v="77"/>
    <s v="Año 2021"/>
    <s v="Número de Centrales"/>
    <s v="Comisión Nacional de Energía (CNE)"/>
    <s v="Cantidad de Centrales Eléctricas de Energía Renovable No Convencional por Comuna en la Región de Coquimbo, para el Año 2021"/>
    <s v="La comuna de Ovalle en la Región de Coquimbo, para el año 2021, es la que posee mayor cantidad de centrales de Energía Renovable No Convencional (16), lo que representa el 34,8% de estas centrales para la región."/>
    <s v="Mapa de calor"/>
    <s v="Región de Coquimbo,regional,comuna,centrales,eléctrica,renovable,no renovable,convencional,ERNC,Agencia Información,Energía,Centrales ERNC,Energía"/>
    <s v="https://analytics.zoho.com/open-view/2395394000008492075?ZOHO_CRITERIA=%2216%20Energ%C3%ADas%20Renovables%20y%20No%20Renovables%22.%22Cod_Regi%C3%B3n%22%20%3D%204"/>
    <x v="21"/>
    <s v="#1774B9"/>
  </r>
  <r>
    <s v="1237"/>
    <n v="990"/>
    <s v="Agencia Información"/>
    <s v="Energía"/>
    <n v="5"/>
    <x v="63"/>
    <x v="13"/>
    <x v="1"/>
    <x v="5"/>
    <x v="3"/>
    <x v="77"/>
    <s v="Año 2021"/>
    <s v="Número de Centrales"/>
    <s v="Comisión Nacional de Energía (CNE)"/>
    <s v="Cantidad de Centrales Eléctricas de Energía Renovable No Convencional por Comuna en la Región de Valparaíso, para el Año 2021"/>
    <s v="La comuna de La Ligua en la Región de Valparaíso, para el año 2021, es la que posee mayor cantidad de centrales de Energía Renovable No Convencional (6), lo que representa el 13,0% de estas centrales para la región."/>
    <s v="Mapa de calor"/>
    <s v="Región de Valparaíso,regional,comuna,centrales,eléctrica,renovable,no renovable,convencional,ERNC,Agencia Información,Energía,Centrales ERNC,Energía"/>
    <s v="https://analytics.zoho.com/open-view/2395394000008492075?ZOHO_CRITERIA=%2216%20Energ%C3%ADas%20Renovables%20y%20No%20Renovables%22.%22Cod_Regi%C3%B3n%22%20%3D%205"/>
    <x v="22"/>
    <s v="#1774B9"/>
  </r>
  <r>
    <s v="1238"/>
    <n v="990"/>
    <s v="Agencia Información"/>
    <s v="Energía"/>
    <n v="6"/>
    <x v="63"/>
    <x v="13"/>
    <x v="1"/>
    <x v="6"/>
    <x v="3"/>
    <x v="77"/>
    <s v="Año 2021"/>
    <s v="Número de Centrales"/>
    <s v="Comisión Nacional de Energía (CNE)"/>
    <s v="Cantidad de Centrales Eléctricas de Energía Renovable No Convencional por Comuna en la Región de O'Higgins, para el Año 2021"/>
    <s v="Las comunas de Mostazal y Chimbarongo en la Región de O'Higgins, para el año 2021, son las que poseen mayor cantidad de centrales de Energía Renovable No Convencional (6 cada una), lo que representa el 10,9% de estas centrales para la región (21,8% sumando ambas comunas)."/>
    <s v="Mapa de calor"/>
    <s v="Región de O'Higgins,regional,comuna,centrales,eléctrica,renovable,no renovable,convencional,ERNC,Agencia Información,Energía,Centrales ERNC,Energía"/>
    <s v="https://analytics.zoho.com/open-view/2395394000008492075?ZOHO_CRITERIA=%2216%20Energ%C3%ADas%20Renovables%20y%20No%20Renovables%22.%22Cod_Regi%C3%B3n%22%20%3D%206"/>
    <x v="23"/>
    <s v="#1774B9"/>
  </r>
  <r>
    <s v="1239"/>
    <n v="990"/>
    <s v="Agencia Información"/>
    <s v="Energía"/>
    <n v="7"/>
    <x v="63"/>
    <x v="13"/>
    <x v="1"/>
    <x v="7"/>
    <x v="3"/>
    <x v="77"/>
    <s v="Año 2021"/>
    <s v="Número de Centrales"/>
    <s v="Comisión Nacional de Energía (CNE)"/>
    <s v="Cantidad de Centrales Eléctricas de Energía Renovable No Convencional por Comuna en la Región de Maule, para el Año 2021"/>
    <s v="La comuna de San Clemente en la Región de Maule, para el año 2021, es la que posee mayor cantidad de centrales de Energía Renovable No Convencional (7), lo que representa el 14,9% de estas centrales para la región."/>
    <s v="Mapa de calor"/>
    <s v="Región de Maule,regional,comuna,centrales,eléctrica,renovable,no renovable,convencional,ERNC,Agencia Información,Energía,Centrales ERNC,Energía"/>
    <s v="https://analytics.zoho.com/open-view/2395394000008492075?ZOHO_CRITERIA=%2216%20Energ%C3%ADas%20Renovables%20y%20No%20Renovables%22.%22Cod_Regi%C3%B3n%22%20%3D%207"/>
    <x v="24"/>
    <s v="#1774B9"/>
  </r>
  <r>
    <s v="1240"/>
    <n v="990"/>
    <s v="Agencia Información"/>
    <s v="Energía"/>
    <n v="8"/>
    <x v="63"/>
    <x v="13"/>
    <x v="1"/>
    <x v="8"/>
    <x v="3"/>
    <x v="77"/>
    <s v="Año 2021"/>
    <s v="Número de Centrales"/>
    <s v="Comisión Nacional de Energía (CNE)"/>
    <s v="Cantidad de Centrales Eléctricas de Energía Renovable No Convencional por Comuna en la Región del Biobío, para el Año 2021"/>
    <s v="La comuna de Mulchén en la Región del Biobío, para el año 2021, es la que posee mayor cantidad de centrales de Energía Renovable No Convencional (11), lo que representa el 25,0% de estas centrales para la región."/>
    <s v="Mapa de calor"/>
    <s v="Región del Biobío,regional,comuna,centrales,eléctrica,renovable,no renovable,convencional,ERNC,Agencia Información,Energía,Centrales ERNC,Energía"/>
    <s v="https://analytics.zoho.com/open-view/2395394000008492075?ZOHO_CRITERIA=%2216%20Energ%C3%ADas%20Renovables%20y%20No%20Renovables%22.%22Cod_Regi%C3%B3n%22%20%3D%208"/>
    <x v="25"/>
    <s v="#1774B9"/>
  </r>
  <r>
    <s v="1241"/>
    <n v="990"/>
    <s v="Agencia Información"/>
    <s v="Energía"/>
    <n v="9"/>
    <x v="63"/>
    <x v="13"/>
    <x v="1"/>
    <x v="9"/>
    <x v="3"/>
    <x v="77"/>
    <s v="Año 2021"/>
    <s v="Número de Centrales"/>
    <s v="Comisión Nacional de Energía (CNE)"/>
    <s v="Cantidad de Centrales Eléctricas de Energía Renovable No Convencional por Comuna en la Región de La Araucanía, para el Año 2021"/>
    <s v="La comuna de Melipeuco en la Región de Araucanía, para el año 2021, es la que posee mayor cantidad de centrales de Energía Renovable No Convencional (5), lo que representa el 23,8% de estas centrales para la región."/>
    <s v="Mapa de calor"/>
    <s v="Región de La Araucanía,regional,comuna,centrales,eléctrica,renovable,no renovable,convencional,ERNC,Agencia Información,Energía,Centrales ERNC,Energía"/>
    <s v="https://analytics.zoho.com/open-view/2395394000008492075?ZOHO_CRITERIA=%2216%20Energ%C3%ADas%20Renovables%20y%20No%20Renovables%22.%22Cod_Regi%C3%B3n%22%20%3D%209"/>
    <x v="26"/>
    <s v="#1774B9"/>
  </r>
  <r>
    <s v="1242"/>
    <n v="990"/>
    <s v="Agencia Información"/>
    <s v="Energía"/>
    <n v="10"/>
    <x v="63"/>
    <x v="13"/>
    <x v="1"/>
    <x v="10"/>
    <x v="3"/>
    <x v="77"/>
    <s v="Año 2021"/>
    <s v="Número de Centrales"/>
    <s v="Comisión Nacional de Energía (CNE)"/>
    <s v="Cantidad de Centrales Eléctricas de Energía Renovable No Convencional por Comuna en la Región de Los Lagos, para el Año 2021"/>
    <s v="La comuna de Puyehue en la Región de Los Lagos, para el año 2021, es la que posee mayor cantidad de centrales de Energía Renovable No Convencional (6), lo que representa el 24,0% de estas centrales para la región."/>
    <s v="Mapa de calor"/>
    <s v="Región de Los Lagos,regional,comuna,centrales,eléctrica,renovable,no renovable,convencional,ERNC,Agencia Información,Energía,Centrales ERNC,Energía"/>
    <s v="https://analytics.zoho.com/open-view/2395394000008492075?ZOHO_CRITERIA=%2216%20Energ%C3%ADas%20Renovables%20y%20No%20Renovables%22.%22Cod_Regi%C3%B3n%22%20%3D%2010"/>
    <x v="27"/>
    <s v="#1774B9"/>
  </r>
  <r>
    <s v="1243"/>
    <n v="990"/>
    <s v="Agencia Información"/>
    <s v="Energía"/>
    <n v="11"/>
    <x v="63"/>
    <x v="13"/>
    <x v="1"/>
    <x v="11"/>
    <x v="3"/>
    <x v="77"/>
    <s v="Año 2021"/>
    <s v="Número de Centrales"/>
    <s v="Comisión Nacional de Energía (CNE)"/>
    <s v="Cantidad de Centrales Eléctricas de Energía Renovable No Convencional por Comuna en la Región de Aysén, para el Año 2021"/>
    <s v="La comuna de Coihaique en la Región de Aysén, para el año 2021, es la que posee mayor cantidad de centrales de Energía Renovable No Convencional (7), lo que representa el 58,3% de estas centrales para la región."/>
    <s v="Mapa de calor"/>
    <s v="Región de Aysén,regional,comuna,centrales,eléctrica,renovable,no renovable,convencional,ERNC,Agencia Información,Energía,Centrales ERNC,Energía"/>
    <s v="https://analytics.zoho.com/open-view/2395394000008492075?ZOHO_CRITERIA=%2216%20Energ%C3%ADas%20Renovables%20y%20No%20Renovables%22.%22Cod_Regi%C3%B3n%22%20%3D%2011"/>
    <x v="33"/>
    <s v="#1774B9"/>
  </r>
  <r>
    <s v="1244"/>
    <n v="990"/>
    <s v="Agencia Información"/>
    <s v="Energía"/>
    <n v="12"/>
    <x v="63"/>
    <x v="13"/>
    <x v="1"/>
    <x v="12"/>
    <x v="3"/>
    <x v="77"/>
    <s v="Año 2021"/>
    <s v="Número de Centrales"/>
    <s v="Comisión Nacional de Energía (CNE)"/>
    <s v="Cantidad de Centrales Eléctricas de Energía Renovable No Convencional por Comuna en la Región de Magallanes, para el Año 2021"/>
    <s v="La comuna de Punta Arenas en la Región de Magallanes, para el año 2021, es la única que posee centrales de Energía Renovable No Convencional (3), lo que representa el 100% de estas centrales para la región."/>
    <s v="Mapa de calor"/>
    <s v="Región de Magallanes,regional,comuna,centrales,eléctrica,renovable,no renovable,convencional,ERNC,Agencia Información,Energía,Centrales ERNC,Energía"/>
    <s v="https://analytics.zoho.com/open-view/2395394000008492075?ZOHO_CRITERIA=%2216%20Energ%C3%ADas%20Renovables%20y%20No%20Renovables%22.%22Cod_Regi%C3%B3n%22%20%3D%2012"/>
    <x v="28"/>
    <s v="#1774B9"/>
  </r>
  <r>
    <s v="1245"/>
    <n v="990"/>
    <s v="Agencia Información"/>
    <s v="Energía"/>
    <n v="13"/>
    <x v="63"/>
    <x v="13"/>
    <x v="1"/>
    <x v="13"/>
    <x v="3"/>
    <x v="77"/>
    <s v="Año 2021"/>
    <s v="Número de Centrales"/>
    <s v="Comisión Nacional de Energía (CNE)"/>
    <s v="Cantidad de Centrales Eléctricas de Energía Renovable No Convencional por Comuna en la Región Metropolitana, para el Año 2021"/>
    <s v="La comuna de San Pedro en la Región Metropolitana, para el año 2021, es la que posee mayor cantidad de centrales de Energía Renovable No Convencional (11), lo que representa el 16,2% de estas centrales para la región."/>
    <s v="Mapa de calor"/>
    <s v="Región Metropolitana,regional,comuna,centrales,eléctrica,renovable,no renovable,convencional,ERNC,Agencia Información,Energía,Centrales ERNC,Energía"/>
    <s v="https://analytics.zoho.com/open-view/2395394000008492075?ZOHO_CRITERIA=%2216%20Energ%C3%ADas%20Renovables%20y%20No%20Renovables%22.%22Cod_Regi%C3%B3n%22%20%3D%2013"/>
    <x v="29"/>
    <s v="#1774B9"/>
  </r>
  <r>
    <s v="1246"/>
    <n v="990"/>
    <s v="Agencia Información"/>
    <s v="Energía"/>
    <n v="14"/>
    <x v="63"/>
    <x v="13"/>
    <x v="1"/>
    <x v="14"/>
    <x v="3"/>
    <x v="77"/>
    <s v="Año 2021"/>
    <s v="Número de Centrales"/>
    <s v="Comisión Nacional de Energía (CNE)"/>
    <s v="Cantidad de Centrales Eléctricas de Energía Renovable No Convencional por Comuna en la Región de Los Ríos, para el Año 2021"/>
    <s v="La comuna de Río Bueno en la Región de Los Ríos, para el año 2021, es la que posee mayor cantidad de centrales de Energía Renovable No Convencional (10), lo que representa el 47,6% de estas centrales para la región."/>
    <s v="Mapa de calor"/>
    <s v="Región de Los Ríos,regional,comuna,centrales,eléctrica,renovable,no renovable,convencional,ERNC,Agencia Información,Energía,Centrales ERNC,Energía"/>
    <s v="https://analytics.zoho.com/open-view/2395394000008492075?ZOHO_CRITERIA=%2216%20Energ%C3%ADas%20Renovables%20y%20No%20Renovables%22.%22Cod_Regi%C3%B3n%22%20%3D%2014"/>
    <x v="30"/>
    <s v="#1774B9"/>
  </r>
  <r>
    <s v="1247"/>
    <n v="990"/>
    <s v="Agencia Información"/>
    <s v="Energía"/>
    <n v="15"/>
    <x v="63"/>
    <x v="13"/>
    <x v="1"/>
    <x v="15"/>
    <x v="3"/>
    <x v="77"/>
    <s v="Año 2021"/>
    <s v="Número de Centrales"/>
    <s v="Comisión Nacional de Energía (CNE)"/>
    <s v="Cantidad de Centrales Eléctricas de Energía Renovable No Convencional por Comuna en la Región de Arica y Parinacota, para el Año 2021"/>
    <s v="La comuna de Putre en la Región de Arica y Parinacota, para el año 2021, es la que posee mayor cantidad de centrales de Energía Renovable No Convencional (2), lo que representa el 50,0% de estas centrales para la región."/>
    <s v="Mapa de calor"/>
    <s v="Región de Arica y Parinacota,regional,comuna,centrales,eléctrica,renovable,no renovable,convencional,ERNC,Agencia Información,Energía,Centrales ERNC,Energía"/>
    <s v="https://analytics.zoho.com/open-view/2395394000008492075?ZOHO_CRITERIA=%2216%20Energ%C3%ADas%20Renovables%20y%20No%20Renovables%22.%22Cod_Regi%C3%B3n%22%20%3D%2015"/>
    <x v="31"/>
    <s v="#1774B9"/>
  </r>
  <r>
    <s v="1248"/>
    <n v="990"/>
    <s v="Agencia Información"/>
    <s v="Energía"/>
    <n v="16"/>
    <x v="63"/>
    <x v="13"/>
    <x v="1"/>
    <x v="16"/>
    <x v="3"/>
    <x v="77"/>
    <s v="Año 2021"/>
    <s v="Número de Centrales"/>
    <s v="Comisión Nacional de Energía (CNE)"/>
    <s v="Cantidad de Centrales Eléctricas de Energía Renovable No Convencional por Comuna en la Región de Ñuble, para el Año 2021"/>
    <s v="La comuna de Bulnes en la Región de Ñuble, para el año 2021, es la que posee mayor cantidad de centrales de Energía Renovable No Convencional (3), lo que representa el 17,6% de estas centrales para la región."/>
    <s v="Mapa de calor"/>
    <s v="Región de Ñuble,regional,comuna,centrales,eléctrica,renovable,no renovable,convencional,ERNC,Agencia Información,Energía,Centrales ERNC,Energía"/>
    <s v="https://analytics.zoho.com/open-view/2395394000008492075?ZOHO_CRITERIA=%2216%20Energ%C3%ADas%20Renovables%20y%20No%20Renovables%22.%22Cod_Regi%C3%B3n%22%20%3D%2016"/>
    <x v="32"/>
    <s v="#1774B9"/>
  </r>
  <r>
    <s v="1249"/>
    <n v="990"/>
    <s v="Agencia Información"/>
    <s v="Energía"/>
    <n v="0"/>
    <x v="22"/>
    <x v="13"/>
    <x v="0"/>
    <x v="0"/>
    <x v="1"/>
    <x v="28"/>
    <s v="Año 2021"/>
    <s v="MW"/>
    <s v="Comisión Nacional de Energía (CNE)"/>
    <s v="Capacidad Instalada (MW) de Centrales Eléctricas por Región en Chile, Año 2021"/>
    <s v="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nacional,región,capacidad,instalada,MW,centrales,eléctricas,generación,proporción,Agencia Información,Energía,Capacidad Instalada ,Energía"/>
    <s v="https://analytics.zoho.com/open-view/2395394000008280219"/>
    <x v="34"/>
    <s v="#1774B9"/>
  </r>
  <r>
    <s v="1250"/>
    <n v="990"/>
    <s v="Agencia Información"/>
    <s v="Salud"/>
    <n v="0"/>
    <x v="64"/>
    <x v="25"/>
    <x v="0"/>
    <x v="0"/>
    <x v="1"/>
    <x v="78"/>
    <s v="Año 2021"/>
    <s v="Número de Farmacias"/>
    <s v="Ministerio de Salud"/>
    <s v="Top 10 Comunas con la mayor cantidad de farmacias en Chile, Año 2021"/>
    <s v="Las 10 comunas que cuentan con la mayor cantidad de farmacias se encuentran en las regiones dd Biobío, Maule, Metropolitana y Valparaíso. La gran maytyoría se concentra en la Región Metropolitana, específicamente en la comuna de Santiago."/>
    <s v="Ranking"/>
    <s v="Chile,nacional,región,establecimientos,farmacias,número,cantidad,ranking,top 10,Agencia Información,Salud,Farmacias,Establecimientos de Salud"/>
    <s v="https://analytics.zoho.com/open-view/2395394000008421316"/>
    <x v="34"/>
    <s v="#1774B9"/>
  </r>
  <r>
    <s v="1251"/>
    <n v="990"/>
    <s v="Agencia Información"/>
    <s v="Salud"/>
    <n v="0"/>
    <x v="64"/>
    <x v="25"/>
    <x v="0"/>
    <x v="0"/>
    <x v="0"/>
    <x v="78"/>
    <s v="Año 2021"/>
    <s v="Número de Farmacias"/>
    <s v="Ministerio de Salud"/>
    <s v="Cantidad de Farmacias por Región en Chile, Año 2021"/>
    <s v="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
    <s v="Mapa de calor"/>
    <s v="Chile,nacional,región,establecimientos,salud,farmacias,número,cantidad,Agencia Información,Salud,Farmacias,Establecimientos de Salud"/>
    <s v="https://analytics.zoho.com/open-view/2395394000008421106"/>
    <x v="34"/>
    <s v="#1774B9"/>
  </r>
  <r>
    <s v="1252"/>
    <n v="990"/>
    <s v="Agencia Información"/>
    <s v="Salud"/>
    <n v="0"/>
    <x v="64"/>
    <x v="25"/>
    <x v="0"/>
    <x v="0"/>
    <x v="2"/>
    <x v="79"/>
    <s v="Año 2021"/>
    <s v="Número de Farmacias"/>
    <s v="Ministerio de Salud"/>
    <s v="Cantidad de Farmacias de Turno por Comuna en Chile, Año 2021"/>
    <s v="Las farmacias de turno son aquellas que atienden en horario nocturno por orden del SEREMI. En el mapa se observa aquellas comunas que registran farmacias de turno a la fecha, con el detalle de nombre y ubicación."/>
    <s v="Mapa de calor"/>
    <s v="Chile,nacional,región,comuna,establecimientos,farmacias,turno,urgencias,Agencia Información,Salud,Farmacias,Establecimientos de Salud"/>
    <s v="https://analytics.zoho.com/open-view/2395394000008421956 "/>
    <x v="17"/>
    <s v="#1774B9"/>
  </r>
  <r>
    <s v="1253"/>
    <n v="990"/>
    <s v="Agencia Información"/>
    <s v="Salud"/>
    <n v="1"/>
    <x v="64"/>
    <x v="25"/>
    <x v="1"/>
    <x v="1"/>
    <x v="0"/>
    <x v="79"/>
    <s v="Año 2021"/>
    <s v="Número de Farmacias"/>
    <s v="Ministerio de Salud"/>
    <s v="Cantidad de Farmacias de Turno por Comuna en la Región de Tarapacá, Año 2021"/>
    <s v="Las farmacias de turno son aquellas que atienden en horario nocturno por orden del SEREMI. En el mapa se observa aquellas comunas que registran farmacias de turno a la fecha, con el detalle de nombre y ubicación."/>
    <s v="Mapa de calor"/>
    <s v="Región de Tarapacá,regional,comuna,establecimientos,farmacias,turno,urgencias,Agencia Información,Salud,Farmacias,Establecimientos de Salud"/>
    <s v="https://analytics.zoho.com/open-view/2395394000008516725?ZOHO_CRITERIA=%22Localiza%20CL%22.%22Codreg%22%20%3D%201"/>
    <x v="18"/>
    <s v="#1774B9"/>
  </r>
  <r>
    <s v="1254"/>
    <n v="990"/>
    <s v="Agencia Información"/>
    <s v="Salud"/>
    <n v="2"/>
    <x v="64"/>
    <x v="25"/>
    <x v="1"/>
    <x v="2"/>
    <x v="0"/>
    <x v="79"/>
    <s v="Año 2021"/>
    <s v="Número de Farmacias"/>
    <s v="Ministerio de Salud"/>
    <s v="Cantidad de Farmacias de Turno por Comuna en la Región de Antofagasta, Año 2021"/>
    <s v="Las farmacias de turno son aquellas que atienden en horario nocturno por orden del SEREMI. En el mapa se observa aquellas comunas que registran farmacias de turno a la fecha, con el detalle de nombre y ubicación."/>
    <s v="Mapa de calor"/>
    <s v="Región de Antofagasta,regional,comuna,establecimientos,farmacias,turno,urgencias,Agencia Información,Salud,Farmacias,Establecimientos de Salud"/>
    <s v="https://analytics.zoho.com/open-view/2395394000008516725?ZOHO_CRITERIA=%22Localiza%20CL%22.%22Codreg%22%20%3D%202"/>
    <x v="19"/>
    <s v="#1774B9"/>
  </r>
  <r>
    <s v="1255"/>
    <n v="990"/>
    <s v="Agencia Información"/>
    <s v="Salud"/>
    <n v="3"/>
    <x v="64"/>
    <x v="25"/>
    <x v="1"/>
    <x v="3"/>
    <x v="0"/>
    <x v="79"/>
    <s v="Año 2021"/>
    <s v="Número de Farmacias"/>
    <s v="Ministerio de Salud"/>
    <s v="Cantidad de Farmacias de Turno por Comuna en la Región de Atacama, Año 2021"/>
    <s v="Las farmacias de turno son aquellas que atienden en horario nocturno por orden del SEREMI. En el mapa se observa aquellas comunas que registran farmacias de turno a la fecha, con el detalle de nombre y ubicación."/>
    <s v="Mapa de calor"/>
    <s v="Región de Atacama,regional,comuna,establecimientos,farmacias,turno,urgencias,Agencia Información,Salud,Farmacias,Establecimientos de Salud"/>
    <s v="https://analytics.zoho.com/open-view/2395394000008516725?ZOHO_CRITERIA=%22Localiza%20CL%22.%22Codreg%22%20%3D%203"/>
    <x v="20"/>
    <s v="#1774B9"/>
  </r>
  <r>
    <s v="1256"/>
    <n v="990"/>
    <s v="Agencia Información"/>
    <s v="Salud"/>
    <n v="4"/>
    <x v="64"/>
    <x v="25"/>
    <x v="1"/>
    <x v="4"/>
    <x v="0"/>
    <x v="79"/>
    <s v="Año 2021"/>
    <s v="Número de Farmacias"/>
    <s v="Ministerio de Salud"/>
    <s v="Cantidad de Farmacias de Turno por Comuna en la Región de Coquimbo, Año 2021"/>
    <s v="Las farmacias de turno son aquellas que atienden en horario nocturno por orden del SEREMI. En el mapa se observa aquellas comunas que registran farmacias de turno a la fecha, con el detalle de nombre y ubicación."/>
    <s v="Mapa de calor"/>
    <s v="Región de Coquimbo,regional,comuna,establecimientos,farmacias,turno,urgencias,Agencia Información,Salud,Farmacias,Establecimientos de Salud"/>
    <s v="https://analytics.zoho.com/open-view/2395394000008516725?ZOHO_CRITERIA=%22Localiza%20CL%22.%22Codreg%22%20%3D%204"/>
    <x v="21"/>
    <s v="#1774B9"/>
  </r>
  <r>
    <s v="1257"/>
    <n v="990"/>
    <s v="Agencia Información"/>
    <s v="Salud"/>
    <n v="5"/>
    <x v="64"/>
    <x v="25"/>
    <x v="1"/>
    <x v="5"/>
    <x v="0"/>
    <x v="79"/>
    <s v="Año 2021"/>
    <s v="Número de Farmacias"/>
    <s v="Ministerio de Salud"/>
    <s v="Cantidad de Farmacias de Turno por Comuna en la Región de Valparaíso, Año 2021"/>
    <s v="Las farmacias de turno son aquellas que atienden en horario nocturno por orden del SEREMI. En el mapa se observa aquellas comunas que registran farmacias de turno a la fecha, con el detalle de nombre y ubicación."/>
    <s v="Mapa de calor"/>
    <s v="Región de Valparaíso,regional,comuna,establecimientos,farmacias,turno,urgencias,Agencia Información,Salud,Farmacias,Establecimientos de Salud"/>
    <s v="https://analytics.zoho.com/open-view/2395394000008516725?ZOHO_CRITERIA=%22Localiza%20CL%22.%22Codreg%22%20%3D%205"/>
    <x v="22"/>
    <s v="#1774B9"/>
  </r>
  <r>
    <s v="1258"/>
    <n v="990"/>
    <s v="Agencia Información"/>
    <s v="Salud"/>
    <n v="6"/>
    <x v="64"/>
    <x v="25"/>
    <x v="1"/>
    <x v="6"/>
    <x v="0"/>
    <x v="79"/>
    <s v="Año 2021"/>
    <s v="Número de Farmacias"/>
    <s v="Ministerio de Salud"/>
    <s v="Cantidad de Farmacias de Turno por Comuna en la Región de O'Higgins, Año 2021"/>
    <s v="Las farmacias de turno son aquellas que atienden en horario nocturno por orden del SEREMI. En el mapa se observa aquellas comunas que registran farmacias de turno a la fecha, con el detalle de nombre y ubicación."/>
    <s v="Mapa de calor"/>
    <s v="Región de O'Higgins,regional,comuna,establecimientos,farmacias,turno,urgencias,Agencia Información,Salud,Farmacias,Establecimientos de Salud"/>
    <s v="https://analytics.zoho.com/open-view/2395394000008516725?ZOHO_CRITERIA=%22Localiza%20CL%22.%22Codreg%22%20%3D%206"/>
    <x v="23"/>
    <s v="#1774B9"/>
  </r>
  <r>
    <s v="1259"/>
    <n v="990"/>
    <s v="Agencia Información"/>
    <s v="Salud"/>
    <n v="7"/>
    <x v="64"/>
    <x v="25"/>
    <x v="1"/>
    <x v="7"/>
    <x v="0"/>
    <x v="79"/>
    <s v="Año 2021"/>
    <s v="Número de Farmacias"/>
    <s v="Ministerio de Salud"/>
    <s v="Cantidad de Farmacias de Turno por Comuna en la Región de Maule, Año 2021"/>
    <s v="Las farmacias de turno son aquellas que atienden en horario nocturno por orden del SEREMI. En el mapa se observa aquellas comunas que registran farmacias de turno a la fecha, con el detalle de nombre y ubicación."/>
    <s v="Mapa de calor"/>
    <s v="Región de Maule,regional,comuna,establecimientos,farmacias,turno,urgencias,Agencia Información,Salud,Farmacias,Establecimientos de Salud"/>
    <s v="https://analytics.zoho.com/open-view/2395394000008516725?ZOHO_CRITERIA=%22Localiza%20CL%22.%22Codreg%22%20%3D%207"/>
    <x v="24"/>
    <s v="#1774B9"/>
  </r>
  <r>
    <s v="1260"/>
    <n v="990"/>
    <s v="Agencia Información"/>
    <s v="Salud"/>
    <n v="8"/>
    <x v="64"/>
    <x v="25"/>
    <x v="1"/>
    <x v="8"/>
    <x v="0"/>
    <x v="79"/>
    <s v="Año 2021"/>
    <s v="Número de Farmacias"/>
    <s v="Ministerio de Salud"/>
    <s v="Cantidad de Farmacias de Turno por Comuna en la Región del Biobío, Año 2021"/>
    <s v="Las farmacias de turno son aquellas que atienden en horario nocturno por orden del SEREMI. En el mapa se observa aquellas comunas que registran farmacias de turno a la fecha, con el detalle de nombre y ubicación."/>
    <s v="Mapa de calor"/>
    <s v="Región del Biobío,regional,comuna,establecimientos,farmacias,turno,urgencias,Agencia Información,Salud,Farmacias,Establecimientos de Salud"/>
    <s v="https://analytics.zoho.com/open-view/2395394000008516725?ZOHO_CRITERIA=%22Localiza%20CL%22.%22Codreg%22%20%3D%208"/>
    <x v="25"/>
    <s v="#1774B9"/>
  </r>
  <r>
    <s v="1261"/>
    <n v="990"/>
    <s v="Agencia Información"/>
    <s v="Salud"/>
    <n v="9"/>
    <x v="64"/>
    <x v="25"/>
    <x v="1"/>
    <x v="9"/>
    <x v="0"/>
    <x v="79"/>
    <s v="Año 2021"/>
    <s v="Número de Farmacias"/>
    <s v="Ministerio de Salud"/>
    <s v="Cantidad de Farmacias de Turno por Comuna en la Región de La Araucanía, Año 2021"/>
    <s v="Las farmacias de turno son aquellas que atienden en horario nocturno por orden del SEREMI. En el mapa se observa aquellas comunas que registran farmacias de turno a la fecha, con el detalle de nombre y ubicación."/>
    <s v="Mapa de calor"/>
    <s v="Región de La Araucanía,regional,comuna,establecimientos,farmacias,turno,urgencias,Agencia Información,Salud,Farmacias,Establecimientos de Salud"/>
    <s v="https://analytics.zoho.com/open-view/2395394000008516725?ZOHO_CRITERIA=%22Localiza%20CL%22.%22Codreg%22%20%3D%209"/>
    <x v="26"/>
    <s v="#1774B9"/>
  </r>
  <r>
    <s v="1262"/>
    <n v="990"/>
    <s v="Agencia Información"/>
    <s v="Salud"/>
    <n v="10"/>
    <x v="64"/>
    <x v="25"/>
    <x v="1"/>
    <x v="10"/>
    <x v="0"/>
    <x v="79"/>
    <s v="Año 2021"/>
    <s v="Número de Farmacias"/>
    <s v="Ministerio de Salud"/>
    <s v="Cantidad de Farmacias de Turno por Comuna en la Región de Los Lagos, Año 2021"/>
    <s v="Las farmacias de turno son aquellas que atienden en horario nocturno por orden del SEREMI. En el mapa se observa aquellas comunas que registran farmacias de turno a la fecha, con el detalle de nombre y ubicación."/>
    <s v="Mapa de calor"/>
    <s v="Región de Los Lagos,regional,comuna,establecimientos,farmacias,turno,urgencias,Agencia Información,Salud,Farmacias,Establecimientos de Salud"/>
    <s v="https://analytics.zoho.com/open-view/2395394000008516725?ZOHO_CRITERIA=%22Localiza%20CL%22.%22Codreg%22%20%3D%2010"/>
    <x v="27"/>
    <s v="#1774B9"/>
  </r>
  <r>
    <s v="1263"/>
    <n v="990"/>
    <s v="Agencia Información"/>
    <s v="Salud"/>
    <n v="11"/>
    <x v="64"/>
    <x v="25"/>
    <x v="1"/>
    <x v="11"/>
    <x v="0"/>
    <x v="79"/>
    <s v="Año 2021"/>
    <s v="Número de Farmacias"/>
    <s v="Ministerio de Salud"/>
    <s v="Cantidad de Farmacias de Turno por Comuna en la Región de Aysén, Año 2021"/>
    <s v="Las farmacias de turno son aquellas que atienden en horario nocturno por orden del SEREMI. En el mapa se observa aquellas comunas que registran farmacias de turno a la fecha, con el detalle de nombre y ubicación."/>
    <s v="Mapa de calor"/>
    <s v="Región de Aysén,regional,comuna,establecimientos,farmacias,turno,urgencias,Agencia Información,Salud,Farmacias,Establecimientos de Salud"/>
    <s v="https://analytics.zoho.com/open-view/2395394000008516725?ZOHO_CRITERIA=%22Localiza%20CL%22.%22Codreg%22%20%3D%2011"/>
    <x v="33"/>
    <s v="#1774B9"/>
  </r>
  <r>
    <s v="1264"/>
    <n v="990"/>
    <s v="Agencia Información"/>
    <s v="Salud"/>
    <n v="12"/>
    <x v="64"/>
    <x v="25"/>
    <x v="1"/>
    <x v="12"/>
    <x v="0"/>
    <x v="79"/>
    <s v="Año 2021"/>
    <s v="Número de Farmacias"/>
    <s v="Ministerio de Salud"/>
    <s v="Cantidad de Farmacias de Turno por Comuna en la Región de Magallanes, Año 2021"/>
    <s v="Las farmacias de turno son aquellas que atienden en horario nocturno por orden del SEREMI. En el mapa se observa aquellas comunas que registran farmacias de turno a la fecha, con el detalle de nombre y ubicación."/>
    <s v="Mapa de calor"/>
    <s v="Región de Magallanes,regional,comuna,establecimientos,farmacias,turno,urgencias,Agencia Información,Salud,Farmacias,Establecimientos de Salud"/>
    <s v="https://analytics.zoho.com/open-view/2395394000008516725?ZOHO_CRITERIA=%22Localiza%20CL%22.%22Codreg%22%20%3D%2012"/>
    <x v="28"/>
    <s v="#1774B9"/>
  </r>
  <r>
    <s v="1265"/>
    <n v="990"/>
    <s v="Agencia Información"/>
    <s v="Salud"/>
    <n v="13"/>
    <x v="64"/>
    <x v="25"/>
    <x v="1"/>
    <x v="13"/>
    <x v="0"/>
    <x v="79"/>
    <s v="Año 2021"/>
    <s v="Número de Farmacias"/>
    <s v="Ministerio de Salud"/>
    <s v="Cantidad de Farmacias de Turno por Comuna en la Región Metropolitana, Año 2021"/>
    <s v="Las farmacias de turno son aquellas que atienden en horario nocturno por orden del SEREMI. En el mapa se observa aquellas comunas que registran farmacias de turno a la fecha, con el detalle de nombre y ubicación."/>
    <s v="Mapa de calor"/>
    <s v="Región Metropolitana,regional,comuna,establecimientos,farmacias,turno,urgencias,Agencia Información,Salud,Farmacias,Establecimientos de Salud"/>
    <s v="https://analytics.zoho.com/open-view/2395394000008516725?ZOHO_CRITERIA=%22Localiza%20CL%22.%22Codreg%22%20%3D%2013"/>
    <x v="29"/>
    <s v="#1774B9"/>
  </r>
  <r>
    <s v="1266"/>
    <n v="990"/>
    <s v="Agencia Información"/>
    <s v="Salud"/>
    <n v="14"/>
    <x v="64"/>
    <x v="25"/>
    <x v="1"/>
    <x v="14"/>
    <x v="0"/>
    <x v="79"/>
    <s v="Año 2021"/>
    <s v="Número de Farmacias"/>
    <s v="Ministerio de Salud"/>
    <s v="Cantidad de Farmacias de Turno por Comuna en la Región de Los Ríos, Año 2021"/>
    <s v="Las farmacias de turno son aquellas que atienden en horario nocturno por orden del SEREMI. En el mapa se observa aquellas comunas que registran farmacias de turno a la fecha, con el detalle de nombre y ubicación."/>
    <s v="Mapa de calor"/>
    <s v="Región de Los Ríos,regional,comuna,establecimientos,farmacias,turno,urgencias,Agencia Información,Salud,Farmacias,Establecimientos de Salud"/>
    <s v="https://analytics.zoho.com/open-view/2395394000008516725?ZOHO_CRITERIA=%22Localiza%20CL%22.%22Codreg%22%20%3D%2014"/>
    <x v="30"/>
    <s v="#1774B9"/>
  </r>
  <r>
    <s v="1267"/>
    <n v="990"/>
    <s v="Agencia Información"/>
    <s v="Salud"/>
    <n v="16"/>
    <x v="64"/>
    <x v="25"/>
    <x v="1"/>
    <x v="16"/>
    <x v="0"/>
    <x v="79"/>
    <s v="Año 2021"/>
    <s v="Número de Farmacias"/>
    <s v="Ministerio de Salud"/>
    <s v="Cantidad de Farmacias de Turno por Comuna en la Región de Ñuble, Año 2021"/>
    <s v="Las farmacias de turno son aquellas que atienden en horario nocturno por orden del SEREMI. En el mapa se observa aquellas comunas que registran farmacias de turno a la fecha, con el detalle de nombre y ubicación."/>
    <s v="Mapa de calor"/>
    <s v="Región de Ñuble,regional,comuna,establecimientos,farmacias,turno,urgencias,Agencia Información,Salud,Farmacias,Establecimientos de Salud"/>
    <s v="https://analytics.zoho.com/open-view/2395394000008516725?ZOHO_CRITERIA=%22Localiza%20CL%22.%22Codreg%22%20%3D%2016"/>
    <x v="32"/>
    <s v="#1774B9"/>
  </r>
  <r>
    <s v="1268"/>
    <n v="990"/>
    <s v="Agencia Información"/>
    <s v="Salud"/>
    <n v="0"/>
    <x v="64"/>
    <x v="25"/>
    <x v="0"/>
    <x v="0"/>
    <x v="0"/>
    <x v="79"/>
    <s v="Año 2021"/>
    <s v="Número de Farmacias"/>
    <s v="Ministerio de Salud"/>
    <s v="Cantidad de Farmacias de Turno por Región en Chile, Año 2021"/>
    <s v="La cantidad de farmacias de turno por región varía de acuerdo a la cantidad de comunas que la conforman. A nivel nacional las regiones con mayor cantidad de farmacias de turno se concentran en la zona central."/>
    <s v="Mapa de calor"/>
    <s v="Chilenacional,región,establecimientos,farmacias,turno,urgencias,Agencia Información,Salud,Farmacias,Establecimientos de Salud"/>
    <s v="https://analytics.zoho.com/open-view/2395394000008421914"/>
    <x v="34"/>
    <s v="#1774B9"/>
  </r>
  <r>
    <s v="1269"/>
    <n v="990"/>
    <s v="Agencia Información"/>
    <s v="Economía"/>
    <n v="0"/>
    <x v="7"/>
    <x v="26"/>
    <x v="0"/>
    <x v="0"/>
    <x v="15"/>
    <x v="80"/>
    <s v="Periodo 2018-2021"/>
    <s v="USD"/>
    <s v="Servicio Nacional de Aduanas"/>
    <s v="Evolución Trimestral de Exportaciones (USD) de Productos del Mar desde Chile, Periodo 2018-2021"/>
    <s v="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
    <s v="Gráfico de Evolución"/>
    <s v="Chile,nacional,comercio,exterior,exportación,USD,valor,dólar,dólares,productos del mar,productos marinos,mariscos,salmón,truchas,Agencia Información,Economía,Exportaciones,Comercio Exterior"/>
    <s v="https://analytics.zoho.com/open-view/2395394000008410521?ZOHO_CRITERIA=%22Pa%C3%ADs_Todo%22.%22id_TipoProducto%22%3D7"/>
    <x v="34"/>
    <s v="#1774B9"/>
  </r>
  <r>
    <s v="1270"/>
    <n v="990"/>
    <s v="Agencia Información"/>
    <s v="Economía"/>
    <n v="0"/>
    <x v="7"/>
    <x v="26"/>
    <x v="0"/>
    <x v="0"/>
    <x v="16"/>
    <x v="81"/>
    <s v="Periodo 2015-2021"/>
    <s v="USD"/>
    <s v="Servicio Nacional de Aduanas"/>
    <s v="Evolución Trimestral de Exportaciones (USD) por Tipo de Producto desde Chile, Periodo 2015-2021"/>
    <s v="En el período comprendido desde el primer semestre del año 2015 hasta el segundo semestre del año 2021, se puede apreciar que la acumulación en exportaciones de productos de minería es más de 238 miles de millones de dólares."/>
    <s v="Gráfico de Evolución"/>
    <s v="Chile,nacional,comercio,exterior,exportación,USD,valor,dólar,dólares,productos,tipo,minería,mar,salmón,cobre,fruta,Agencia Información,Economía,Exportaciones,Comercio Exterior"/>
    <s v="https://analytics.zoho.com/open-view/2395394000008172059"/>
    <x v="34"/>
    <s v="#1774B9"/>
  </r>
  <r>
    <s v="1271"/>
    <n v="990"/>
    <s v="Agencia Información"/>
    <s v="Economía"/>
    <n v="0"/>
    <x v="23"/>
    <x v="26"/>
    <x v="0"/>
    <x v="0"/>
    <x v="1"/>
    <x v="82"/>
    <s v="Año 2021"/>
    <s v="USD"/>
    <s v="Servicio Nacional de Aduanas"/>
    <s v="Mapa de calor que muestra el valor de las Importaciones en USD por Región  en Chile, Año 2021"/>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nacional,región,importación,valor,dólar,USDdólares,comercio,exterior,Agencia Información,Economía,Importaciones,Comercio Exterior"/>
    <s v="https://analytics.zoho.com/open-view/2395394000008189310"/>
    <x v="34"/>
    <s v="#1774B9"/>
  </r>
  <r>
    <s v="1272"/>
    <n v="990"/>
    <s v="Agencia Información"/>
    <s v="Economía"/>
    <n v="0"/>
    <x v="23"/>
    <x v="26"/>
    <x v="0"/>
    <x v="0"/>
    <x v="0"/>
    <x v="83"/>
    <s v="Periodo 2015-2021"/>
    <s v="Kilogramo"/>
    <s v="Servicio Nacional de Aduanas"/>
    <s v="Volumen de las importaciones en kilogramo según tipo de terminal de entrada en Chile, Periodo 2015-202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nacional,región,comercio,exterior,importación,volúmen,kilogramo,entrada,terminal,ingreso,transporte,marítimo,aéreo,terrestre,Agencia Información,Economía,Importaciones,Comercio Exterior"/>
    <s v="https://analytics.zoho.com/open-view/2395394000008189214"/>
    <x v="0"/>
    <s v="#1774B9"/>
  </r>
  <r>
    <s v="1273"/>
    <n v="990"/>
    <s v="Agencia Información"/>
    <s v="Economía"/>
    <n v="1"/>
    <x v="23"/>
    <x v="26"/>
    <x v="1"/>
    <x v="1"/>
    <x v="1"/>
    <x v="83"/>
    <s v="Periodo 2015-2021"/>
    <s v="Kilogramo"/>
    <s v="Servicio Nacional de Aduanas"/>
    <s v="Volumen de las importaciones en kilogramo según tipo de terminal de entrada en la Región de Tarapacá, Periodo 2015-2021"/>
    <s v="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
    <s v="Gráfico de Evolución"/>
    <s v="Región de Tarapacá,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
    <x v="1"/>
    <s v="#1774B9"/>
  </r>
  <r>
    <s v="1274"/>
    <n v="990"/>
    <s v="Agencia Información"/>
    <s v="Economía"/>
    <n v="2"/>
    <x v="23"/>
    <x v="26"/>
    <x v="1"/>
    <x v="2"/>
    <x v="1"/>
    <x v="83"/>
    <s v="Periodo 2015-2021"/>
    <s v="Kilogramo"/>
    <s v="Servicio Nacional de Aduanas"/>
    <s v="Volumen de las importaciones en kilogramo según tipo de terminal de entrada en la Región de Antofagasta, Periodo 2015-2021"/>
    <s v="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
    <s v="Gráfico de Evolución"/>
    <s v="Región de Antofagast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2"/>
    <x v="2"/>
    <s v="#1774B9"/>
  </r>
  <r>
    <s v="1275"/>
    <n v="990"/>
    <s v="Agencia Información"/>
    <s v="Economía"/>
    <n v="3"/>
    <x v="23"/>
    <x v="26"/>
    <x v="1"/>
    <x v="3"/>
    <x v="1"/>
    <x v="83"/>
    <s v="Periodo 2015-2021"/>
    <s v="Kilogramo"/>
    <s v="Servicio Nacional de Aduanas"/>
    <s v="Volumen de las importaciones en kilogramo según tipo de terminal de entrada en la Región de Atacama, Periodo 2015-2021"/>
    <s v="Las importaciones desde la Región de Atacama, durante el periodo 2015-2021, ingresaron principalmente por vía marítima y terrestre. El mayor volumen de importaciones se produjo el 4to trimestre de 2019, cuando ingresaron 1.540.654.751 Kg mediante transporte terrestre. "/>
    <s v="Gráfico de Evolución"/>
    <s v="Región de Atacam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3"/>
    <x v="3"/>
    <s v="#1774B9"/>
  </r>
  <r>
    <s v="1276"/>
    <n v="990"/>
    <s v="Agencia Información"/>
    <s v="Economía"/>
    <n v="4"/>
    <x v="23"/>
    <x v="26"/>
    <x v="1"/>
    <x v="4"/>
    <x v="1"/>
    <x v="83"/>
    <s v="Periodo 2015-2021"/>
    <s v="Kilogramo"/>
    <s v="Servicio Nacional de Aduanas"/>
    <s v="Volumen de las importaciones en kilogramo según tipo de terminal de entrada en la Región de Coquimbo, Periodo 2015-2021"/>
    <s v="Las importaciones desde la Región de Coquimbo, durante el periodo 2015-2021, ingresaron únicamente por vía marítima. El mayor volumen de importaciones se produjo el 2do trimestre 2019, cuando ingresaron 86.226.058 Kg. "/>
    <s v="Gráfico de Evolución"/>
    <s v="Región de Coquimbo,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4"/>
    <x v="4"/>
    <s v="#1774B9"/>
  </r>
  <r>
    <s v="1277"/>
    <n v="990"/>
    <s v="Agencia Información"/>
    <s v="Economía"/>
    <n v="5"/>
    <x v="23"/>
    <x v="26"/>
    <x v="1"/>
    <x v="5"/>
    <x v="1"/>
    <x v="83"/>
    <s v="Periodo 2015-2021"/>
    <s v="Kilogramo"/>
    <s v="Servicio Nacional de Aduanas"/>
    <s v="Volumen de las importaciones en kilogramo según tipo de terminal de entrada en la Región de Valparaíso, Periodo 2015-2021"/>
    <s v="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
    <s v="Gráfico de Evolución"/>
    <s v="Región de Valparaíso,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5"/>
    <x v="5"/>
    <s v="#1774B9"/>
  </r>
  <r>
    <s v="1278"/>
    <n v="990"/>
    <s v="Agencia Información"/>
    <s v="Economía"/>
    <n v="6"/>
    <x v="23"/>
    <x v="26"/>
    <x v="1"/>
    <x v="6"/>
    <x v="1"/>
    <x v="83"/>
    <s v="Periodo 2015-2021"/>
    <s v="Kilogramo"/>
    <s v="Servicio Nacional de Aduanas"/>
    <s v="Volumen de las importaciones en kilogramo según tipo de terminal de entrada en la Región de O'Higgins, Periodo 2015-2021"/>
    <s v="Las importaciones desde la Región de O'Higgins, durante el periodo 2015-2021, ingresaron únicamente por vía marítima. El mayor volumen de importaciones se produjo el 1er trimestre 2017, cuando ingresaron 2.209.483.994 Kg."/>
    <s v="Gráfico de Evolución"/>
    <s v="Región de O'Higgin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6"/>
    <x v="6"/>
    <s v="#1774B9"/>
  </r>
  <r>
    <s v="1279"/>
    <n v="990"/>
    <s v="Agencia Información"/>
    <s v="Economía"/>
    <n v="7"/>
    <x v="23"/>
    <x v="26"/>
    <x v="1"/>
    <x v="7"/>
    <x v="1"/>
    <x v="83"/>
    <s v="Periodo 2015-2021"/>
    <s v="Kilogramo"/>
    <s v="Servicio Nacional de Aduanas"/>
    <s v="Volumen de las importaciones en kilogramo según tipo de terminal de entrada en la Región de Maule, Periodo 2015-2021"/>
    <s v="Las importaciones desde la Región de Maule, durante el periodo 2015-2021, ingresaron únicamente por vía terrestre. El mayor volumen de importaciones se produjo el 4to trimestre de 2019, cuando ingresaron 1.893.934 Kg."/>
    <s v="Gráfico de Evolución"/>
    <s v="Región de Maule,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7"/>
    <x v="7"/>
    <s v="#1774B9"/>
  </r>
  <r>
    <s v="1280"/>
    <n v="990"/>
    <s v="Agencia Información"/>
    <s v="Economía"/>
    <n v="8"/>
    <x v="23"/>
    <x v="26"/>
    <x v="1"/>
    <x v="8"/>
    <x v="1"/>
    <x v="83"/>
    <s v="Periodo 2015-2021"/>
    <s v="Kilogramo"/>
    <s v="Servicio Nacional de Aduanas"/>
    <s v="Volumen de las importaciones en kilogramo según tipo de terminal de entrada en la Región del Biobío, Periodo 2015-2021"/>
    <s v="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
    <s v="Gráfico de Evolución"/>
    <s v="Región del Biobío,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8"/>
    <x v="8"/>
    <s v="#1774B9"/>
  </r>
  <r>
    <s v="1281"/>
    <n v="990"/>
    <s v="Agencia Información"/>
    <s v="Economía"/>
    <n v="9"/>
    <x v="23"/>
    <x v="26"/>
    <x v="1"/>
    <x v="9"/>
    <x v="1"/>
    <x v="83"/>
    <s v="Periodo 2015-2021"/>
    <s v="Kilogramo"/>
    <s v="Servicio Nacional de Aduanas"/>
    <s v="Volumen de las importaciones en kilogramo según tipo de terminal de entrada en la Región de La Araucanía, Periodo 2015-2021"/>
    <s v="Las importaciones desde la Región de Araucanía, durante el periodo 2015-2021, ingresaron únicamente por vía terrestre. El mayor volumen de importaciones se produjo el 4to trimestre de 2018, cuando ingresaron 171.205.327 Kg. "/>
    <s v="Gráfico de Evolución"/>
    <s v="Región de La Araucaní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9"/>
    <x v="9"/>
    <s v="#1774B9"/>
  </r>
  <r>
    <s v="1282"/>
    <n v="990"/>
    <s v="Agencia Información"/>
    <s v="Economía"/>
    <n v="10"/>
    <x v="23"/>
    <x v="26"/>
    <x v="1"/>
    <x v="10"/>
    <x v="1"/>
    <x v="83"/>
    <s v="Periodo 2015-2021"/>
    <s v="Kilogramo"/>
    <s v="Servicio Nacional de Aduanas"/>
    <s v="Volumen de las importaciones en kilogramo según tipo de terminal de entrada en la Región de Los Lagos, Periodo 2015-2021"/>
    <s v="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
    <s v="Gráfico de Evolución"/>
    <s v="Región de Los Lago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0"/>
    <x v="10"/>
    <s v="#1774B9"/>
  </r>
  <r>
    <s v="1283"/>
    <n v="990"/>
    <s v="Agencia Información"/>
    <s v="Economía"/>
    <n v="11"/>
    <x v="23"/>
    <x v="26"/>
    <x v="1"/>
    <x v="11"/>
    <x v="1"/>
    <x v="83"/>
    <s v="Periodo 2015-2021"/>
    <s v="Kilogramo"/>
    <s v="Servicio Nacional de Aduanas"/>
    <s v="Volumen de las importaciones en kilogramo según tipo de terminal de entrada en la Región de Aysén, Periodo 2015-2021"/>
    <s v="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
    <s v="Gráfico de Evolución"/>
    <s v="Región de Aysén,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1"/>
    <x v="11"/>
    <s v="#1774B9"/>
  </r>
  <r>
    <s v="1284"/>
    <n v="990"/>
    <s v="Agencia Información"/>
    <s v="Economía"/>
    <n v="12"/>
    <x v="23"/>
    <x v="26"/>
    <x v="1"/>
    <x v="12"/>
    <x v="1"/>
    <x v="83"/>
    <s v="Periodo 2015-2021"/>
    <s v="Kilogramo"/>
    <s v="Servicio Nacional de Aduanas"/>
    <s v="Volumen de las importaciones en kilogramo según tipo de terminal de entrada en la Región de Magallanes, Periodo 2015-2021"/>
    <s v="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
    <s v="Gráfico de Evolución"/>
    <s v="Región de Magallane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2"/>
    <x v="12"/>
    <s v="#1774B9"/>
  </r>
  <r>
    <s v="1285"/>
    <n v="990"/>
    <s v="Agencia Información"/>
    <s v="Economía"/>
    <n v="13"/>
    <x v="23"/>
    <x v="26"/>
    <x v="1"/>
    <x v="13"/>
    <x v="1"/>
    <x v="83"/>
    <s v="Periodo 2015-2021"/>
    <s v="Kilogramo"/>
    <s v="Servicio Nacional de Aduanas"/>
    <s v="Volumen de las importaciones en kilogramo según tipo de terminal de entrada en la Región Metropolitana, Periodo 2015-2021"/>
    <s v="Las importaciones desde la Región de Metropolitana, durante el periodo 2015-2021, ingresaron únicamente por vía aérea. El mayor volumen de importaciones se produjo el 4to trimestre de 2017, cuando ingresaron 348.131.004 Kg. "/>
    <s v="Gráfico de Evolución"/>
    <s v="Región Metropolitan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3"/>
    <x v="13"/>
    <s v="#1774B9"/>
  </r>
  <r>
    <s v="1286"/>
    <n v="990"/>
    <s v="Agencia Información"/>
    <s v="Economía"/>
    <n v="14"/>
    <x v="23"/>
    <x v="26"/>
    <x v="1"/>
    <x v="14"/>
    <x v="1"/>
    <x v="83"/>
    <s v="Periodo 2015-2021"/>
    <s v="Kilogramo"/>
    <s v="Servicio Nacional de Aduanas"/>
    <s v="Volumen de las importaciones en kilogramo según tipo de terminal de entrada en la Región de Los Ríos, Periodo 2015-2021"/>
    <s v="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
    <s v="Gráfico de Evolución"/>
    <s v="Región de Los Ríos,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4"/>
    <x v="14"/>
    <s v="#1774B9"/>
  </r>
  <r>
    <s v="1287"/>
    <n v="990"/>
    <s v="Agencia Información"/>
    <s v="Economía"/>
    <n v="15"/>
    <x v="23"/>
    <x v="26"/>
    <x v="1"/>
    <x v="15"/>
    <x v="1"/>
    <x v="83"/>
    <s v="Periodo 2015-2021"/>
    <s v="Kilogramo"/>
    <s v="Servicio Nacional de Aduanas"/>
    <s v="Volumen de las importaciones en kilogramo según tipo de terminal de entrada en la Región de Arica y Parinacota, Periodo 2015-2021"/>
    <s v="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
    <s v="Gráfico de Evolución"/>
    <s v="Región de Arica y Parinacota,regional,comercio,exterior,importación,volúmen,kilogramo,entrada,terminal,ingreso,transporte,marítimo,aéreo,terrestre,Agencia Información,Economía,Importaciones,Comercio Exterior"/>
    <s v="https://analytics.zoho.com/open-view/2395394000008461682?ZOHO_CRITERIA=%221.1%20Lugar_Salida_Entrada%22.%22C%C3%B3digo%20Regi%C3%B3n%22%3D15"/>
    <x v="15"/>
    <s v="#1774B9"/>
  </r>
  <r>
    <s v="1288"/>
    <n v="990"/>
    <s v="Agencia Información"/>
    <s v="Economía"/>
    <n v="0"/>
    <x v="7"/>
    <x v="26"/>
    <x v="0"/>
    <x v="0"/>
    <x v="0"/>
    <x v="80"/>
    <s v="Periodo 2015-2021"/>
    <s v="USD"/>
    <s v="Servicio Nacional de Aduanas"/>
    <s v="Valor de las exportaciones en USD según terminal de salida para Chile, Periodo 2015-2021"/>
    <s v="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
    <s v="Gráfico de Evolución"/>
    <s v="Chile,nacional,región,comercio,exterior,exportación,valor,dólar,dólares,USD,salida,lugar,terminal,puerto,paso,aeropuerto,Agencia Información,Economía,Exportaciones,Comercio Exterior"/>
    <s v="https://analytics.zoho.com/open-view/2395394000008461828"/>
    <x v="0"/>
    <s v="#1774B9"/>
  </r>
  <r>
    <s v="1289"/>
    <n v="990"/>
    <s v="Agencia Información"/>
    <s v="Economía"/>
    <n v="1"/>
    <x v="7"/>
    <x v="26"/>
    <x v="1"/>
    <x v="1"/>
    <x v="1"/>
    <x v="80"/>
    <s v="Periodo 2015-2021"/>
    <s v="USD"/>
    <s v="Servicio Nacional de Aduanas"/>
    <s v="Valor de las exportaciones en USD según terminal de salida para la Región de Tarapacá, Periodo 2015-2021"/>
    <s v="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
    <s v="Gráfico de Evolución"/>
    <s v="Región de Tarapacá,regional,comercio,exterior,exportación,valor,dólar,dólares,USD,salida,lugar,terminal,puerto,paso,aeropuerto,Agencia Información,Economía,Exportaciones,Comercio Exterior"/>
    <s v="https://analytics.zoho.com/open-view/2395394000008189059?ZOHO_CRITERIA=%221.1%20Lugar_Salida_Entrada%22.%22C%C3%B3digo%20Regi%C3%B3n%22%3D1"/>
    <x v="1"/>
    <s v="#1774B9"/>
  </r>
  <r>
    <s v="1290"/>
    <n v="990"/>
    <s v="Agencia Información"/>
    <s v="Economía"/>
    <n v="2"/>
    <x v="7"/>
    <x v="26"/>
    <x v="1"/>
    <x v="2"/>
    <x v="1"/>
    <x v="80"/>
    <s v="Periodo 2015-2021"/>
    <s v="USD"/>
    <s v="Servicio Nacional de Aduanas"/>
    <s v="Valor de las exportaciones en USD según terminal de salida para la Región de Antofagasta, Periodo 2015-2021"/>
    <s v="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
    <s v="Gráfico de Evolución"/>
    <s v="Región de Antofagasta,regional,comercio,exterior,exportación,valor,dólar,dólares,USD,salida,lugar,terminal,puerto,paso,aeropuerto,Agencia Información,Economía,Exportaciones,Comercio Exterior"/>
    <s v="https://analytics.zoho.com/open-view/2395394000008189059?ZOHO_CRITERIA=%221.1%20Lugar_Salida_Entrada%22.%22C%C3%B3digo%20Regi%C3%B3n%22%3D2"/>
    <x v="2"/>
    <s v="#1774B9"/>
  </r>
  <r>
    <s v="1291"/>
    <n v="990"/>
    <s v="Agencia Información"/>
    <s v="Economía"/>
    <n v="3"/>
    <x v="7"/>
    <x v="26"/>
    <x v="1"/>
    <x v="3"/>
    <x v="1"/>
    <x v="80"/>
    <s v="Periodo 2015-2021"/>
    <s v="USD"/>
    <s v="Servicio Nacional de Aduanas"/>
    <s v="Valor de las exportaciones en USD según terminal de salida para la Región de Atacama, Periodo 2015-2021"/>
    <s v="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
    <s v="Gráfico de Evolución"/>
    <s v="Región de Atacama,regional,comercio,exterior,exportación,valor,dólar,dólares,USD,salida,lugar,terminal,puerto,paso,aeropuerto,Agencia Información,Economía,Exportaciones,Comercio Exterior"/>
    <s v="https://analytics.zoho.com/open-view/2395394000008189059?ZOHO_CRITERIA=%221.1%20Lugar_Salida_Entrada%22.%22C%C3%B3digo%20Regi%C3%B3n%22%3D3"/>
    <x v="3"/>
    <s v="#1774B9"/>
  </r>
  <r>
    <s v="1292"/>
    <n v="990"/>
    <s v="Agencia Información"/>
    <s v="Economía"/>
    <n v="4"/>
    <x v="7"/>
    <x v="26"/>
    <x v="1"/>
    <x v="4"/>
    <x v="1"/>
    <x v="80"/>
    <s v="Periodo 2015-2021"/>
    <s v="USD"/>
    <s v="Servicio Nacional de Aduanas"/>
    <s v="Valor de las exportaciones en USD según terminal de salida para la Región de Coquimbo, Periodo 2015-2021"/>
    <s v="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
    <s v="Gráfico de Evolución"/>
    <s v="Región de Coquimbo,regional,comercio,exterior,exportación,valor,dólar,dólares,USD,salida,lugar,terminal,puerto,paso,aeropuerto,Agencia Información,Economía,Exportaciones,Comercio Exterior"/>
    <s v="https://analytics.zoho.com/open-view/2395394000008189059?ZOHO_CRITERIA=%221.1%20Lugar_Salida_Entrada%22.%22C%C3%B3digo%20Regi%C3%B3n%22%3D4"/>
    <x v="4"/>
    <s v="#1774B9"/>
  </r>
  <r>
    <s v="1293"/>
    <n v="990"/>
    <s v="Agencia Información"/>
    <s v="Economía"/>
    <n v="5"/>
    <x v="7"/>
    <x v="26"/>
    <x v="1"/>
    <x v="5"/>
    <x v="1"/>
    <x v="80"/>
    <s v="Periodo 2015-2021"/>
    <s v="USD"/>
    <s v="Servicio Nacional de Aduanas"/>
    <s v="Valor de las exportaciones en USD según terminal de salida para la Región de Valparaíso, Periodo 2015-2021"/>
    <s v="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
    <s v="Gráfico de Evolución"/>
    <s v="Región de Valparaíso,regional,comercio,exterior,exportación,valor,dólar,dólares,USD,salida,lugar,terminal,puerto,paso,aeropuerto,Agencia Información,Economía,Exportaciones,Comercio Exterior"/>
    <s v="https://analytics.zoho.com/open-view/2395394000008189059?ZOHO_CRITERIA=%221.1%20Lugar_Salida_Entrada%22.%22C%C3%B3digo%20Regi%C3%B3n%22%3D5"/>
    <x v="5"/>
    <s v="#1774B9"/>
  </r>
  <r>
    <s v="1294"/>
    <n v="990"/>
    <s v="Agencia Información"/>
    <s v="Economía"/>
    <n v="6"/>
    <x v="7"/>
    <x v="26"/>
    <x v="1"/>
    <x v="6"/>
    <x v="1"/>
    <x v="80"/>
    <s v="Periodo 2015-2021"/>
    <s v="USD"/>
    <s v="Servicio Nacional de Aduanas"/>
    <s v="Valor de las exportaciones en USD según terminal de salida para la Región de O'Higgins, Periodo 2015-2021"/>
    <s v="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
    <s v="Gráfico de Evolución"/>
    <s v="Región de O'Higgins,regional,comercio,exterior,exportación,valor,dólar,dólares,USD,salida,lugar,terminal,puerto,paso,aeropuerto,Agencia Información,Economía,Exportaciones,Comercio Exterior"/>
    <s v="https://analytics.zoho.com/open-view/2395394000008189059?ZOHO_CRITERIA=%221.1%20Lugar_Salida_Entrada%22.%22C%C3%B3digo%20Regi%C3%B3n%22%3D6"/>
    <x v="6"/>
    <s v="#1774B9"/>
  </r>
  <r>
    <s v="1295"/>
    <n v="990"/>
    <s v="Agencia Información"/>
    <s v="Economía"/>
    <n v="7"/>
    <x v="7"/>
    <x v="26"/>
    <x v="1"/>
    <x v="7"/>
    <x v="1"/>
    <x v="80"/>
    <s v="Periodo 2015-2021"/>
    <s v="USD"/>
    <s v="Servicio Nacional de Aduanas"/>
    <s v="Valor de las exportaciones en USD según terminal de salida para la Región de Maule, Periodo 2015-2021"/>
    <s v="Las exportaciones desde la Región de Maule, durante el periodo 2015-2021, presenta un único valor el 4to trimestre de 2020, ascendiendo a 44.177 USD, los cuales fueron exportados por el puerto de Constitución."/>
    <s v="Gráfico de Evolución"/>
    <s v="Región de Maule,regional,comercio,exterior,exportación,valor,dólar,dólares,USD,salida,lugar,terminal,puerto,paso,aeropuerto,Agencia Información,Economía,Exportaciones,Comercio Exterior"/>
    <s v="https://analytics.zoho.com/open-view/2395394000008189059?ZOHO_CRITERIA=%221.1%20Lugar_Salida_Entrada%22.%22C%C3%B3digo%20Regi%C3%B3n%22%3D7"/>
    <x v="7"/>
    <s v="#1774B9"/>
  </r>
  <r>
    <s v="1296"/>
    <n v="990"/>
    <s v="Agencia Información"/>
    <s v="Economía"/>
    <n v="8"/>
    <x v="7"/>
    <x v="26"/>
    <x v="1"/>
    <x v="8"/>
    <x v="1"/>
    <x v="80"/>
    <s v="Periodo 2015-2021"/>
    <s v="USD"/>
    <s v="Servicio Nacional de Aduanas"/>
    <s v="Valor de las exportaciones en USD según terminal de salida para la Región del Biobío, Periodo 2015-2021"/>
    <s v="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
    <s v="Gráfico de Evolución"/>
    <s v="Región del Biobío,regional,comercio,exterior,exportación,valor,dólar,dólares,USD,salida,lugar,terminal,puerto,paso,aeropuerto,Agencia Información,Economía,Exportaciones,Comercio Exterior"/>
    <s v="https://analytics.zoho.com/open-view/2395394000008189059?ZOHO_CRITERIA=%221.1%20Lugar_Salida_Entrada%22.%22C%C3%B3digo%20Regi%C3%B3n%22%3D8"/>
    <x v="8"/>
    <s v="#1774B9"/>
  </r>
  <r>
    <s v="1297"/>
    <n v="990"/>
    <s v="Agencia Información"/>
    <s v="Economía"/>
    <n v="9"/>
    <x v="7"/>
    <x v="26"/>
    <x v="1"/>
    <x v="9"/>
    <x v="1"/>
    <x v="80"/>
    <s v="Periodo 2015-2021"/>
    <s v="USD"/>
    <s v="Servicio Nacional de Aduanas"/>
    <s v="Valor de las exportaciones en USD según terminal de salida para la Región de La Araucanía, Periodo 2015-2021"/>
    <s v="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
    <s v="Gráfico de Evolución"/>
    <s v="Región de La Araucanía,regional,comercio,exterior,exportación,valor,dólar,dólares,USD,salida,lugar,terminal,puerto,paso,aeropuerto,Agencia Información,Economía,Exportaciones,Comercio Exterior"/>
    <s v="https://analytics.zoho.com/open-view/2395394000008189059?ZOHO_CRITERIA=%221.1%20Lugar_Salida_Entrada%22.%22C%C3%B3digo%20Regi%C3%B3n%22%3D9"/>
    <x v="9"/>
    <s v="#1774B9"/>
  </r>
  <r>
    <s v="1298"/>
    <n v="990"/>
    <s v="Agencia Información"/>
    <s v="Economía"/>
    <n v="10"/>
    <x v="7"/>
    <x v="26"/>
    <x v="1"/>
    <x v="10"/>
    <x v="1"/>
    <x v="80"/>
    <s v="Periodo 2015-2021"/>
    <s v="USD"/>
    <s v="Servicio Nacional de Aduanas"/>
    <s v="Valor de las exportaciones en USD según terminal de salida para la Región de Los Lagos, Periodo 2015-2021"/>
    <s v="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
    <s v="Gráfico de Evolución"/>
    <s v="Región de Los Lagos,regional,comercio,exterior,exportación,valor,dólar,dólares,USD,salida,lugar,terminal,puerto,paso,aeropuerto,Agencia Información,Economía,Exportaciones,Comercio Exterior"/>
    <s v="https://analytics.zoho.com/open-view/2395394000008189059?ZOHO_CRITERIA=%221.1%20Lugar_Salida_Entrada%22.%22C%C3%B3digo%20Regi%C3%B3n%22%3D10"/>
    <x v="10"/>
    <s v="#1774B9"/>
  </r>
  <r>
    <s v="1299"/>
    <n v="990"/>
    <s v="Agencia Información"/>
    <s v="Economía"/>
    <n v="11"/>
    <x v="7"/>
    <x v="26"/>
    <x v="1"/>
    <x v="11"/>
    <x v="1"/>
    <x v="80"/>
    <s v="Periodo 2015-2021"/>
    <s v="USD"/>
    <s v="Servicio Nacional de Aduanas"/>
    <s v="Valor de las exportaciones en USD según terminal de salida para la Región de Aysén, Periodo 2015-2021"/>
    <s v="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
    <s v="Gráfico de Evolución"/>
    <s v="Región de Aysén,regional,comercio,exterior,exportación,valor,dólar,dólares,USD,salida,lugar,terminal,puerto,paso,aeropuerto,Agencia Información,Economía,Exportaciones,Comercio Exterior"/>
    <s v="https://analytics.zoho.com/open-view/2395394000008189059?ZOHO_CRITERIA=%221.1%20Lugar_Salida_Entrada%22.%22C%C3%B3digo%20Regi%C3%B3n%22%3D11"/>
    <x v="11"/>
    <s v="#1774B9"/>
  </r>
  <r>
    <s v="1300"/>
    <n v="990"/>
    <s v="Agencia Información"/>
    <s v="Economía"/>
    <n v="12"/>
    <x v="7"/>
    <x v="26"/>
    <x v="1"/>
    <x v="12"/>
    <x v="1"/>
    <x v="80"/>
    <s v="Periodo 2015-2021"/>
    <s v="USD"/>
    <s v="Servicio Nacional de Aduanas"/>
    <s v="Valor de las exportaciones en USD según terminal de salida para la Región de Magallanes, Periodo 2015-2021"/>
    <s v="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
    <s v="Gráfico de Evolución"/>
    <s v="Región de Magallanes,regional,comercio,exterior,exportación,valor,dólar,dólares,USD,salida,lugar,terminal,puerto,paso,aeropuerto,Agencia Información,Economía,Exportaciones,Comercio Exterior"/>
    <s v="https://analytics.zoho.com/open-view/2395394000008189059?ZOHO_CRITERIA=%221.1%20Lugar_Salida_Entrada%22.%22C%C3%B3digo%20Regi%C3%B3n%22%3D12"/>
    <x v="12"/>
    <s v="#1774B9"/>
  </r>
  <r>
    <s v="1301"/>
    <n v="990"/>
    <s v="Agencia Información"/>
    <s v="Economía"/>
    <n v="13"/>
    <x v="7"/>
    <x v="26"/>
    <x v="1"/>
    <x v="13"/>
    <x v="1"/>
    <x v="80"/>
    <s v="Periodo 2015-2021"/>
    <s v="USD"/>
    <s v="Servicio Nacional de Aduanas"/>
    <s v="Valor de las exportaciones en USD según terminal de salida para la Región Metropolitana, Periodo 2015-2021"/>
    <s v="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
    <s v="Gráfico de Evolución"/>
    <s v="Región Metropolitana,regional,comercio,exterior,exportación,valor,dólar,dólares,USD,salida,lugar,terminal,puerto,paso,aeropuerto,Agencia Información,Economía,Exportaciones,Comercio Exterior"/>
    <s v="https://analytics.zoho.com/open-view/2395394000008189059?ZOHO_CRITERIA=%221.1%20Lugar_Salida_Entrada%22.%22C%C3%B3digo%20Regi%C3%B3n%22%3D13"/>
    <x v="13"/>
    <s v="#1774B9"/>
  </r>
  <r>
    <s v="1302"/>
    <n v="990"/>
    <s v="Agencia Información"/>
    <s v="Economía"/>
    <n v="14"/>
    <x v="7"/>
    <x v="26"/>
    <x v="1"/>
    <x v="14"/>
    <x v="1"/>
    <x v="80"/>
    <s v="Periodo 2015-2021"/>
    <s v="USD"/>
    <s v="Servicio Nacional de Aduanas"/>
    <s v="Valor de las exportaciones en USD según terminal de salida para la Región de Los Ríos, Periodo 2015-2021"/>
    <s v="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
    <s v="Gráfico de Evolución"/>
    <s v="Región de Los Ríos,regional,comercio,exterior,exportación,valor,dólar,dólares,USD,salida,lugar,terminal,puerto,paso,aeropuerto,Agencia Información,Economía,Exportaciones,Comercio Exterior"/>
    <s v="https://analytics.zoho.com/open-view/2395394000008189059?ZOHO_CRITERIA=%221.1%20Lugar_Salida_Entrada%22.%22C%C3%B3digo%20Regi%C3%B3n%22%3D14"/>
    <x v="14"/>
    <s v="#1774B9"/>
  </r>
  <r>
    <s v="1303"/>
    <n v="990"/>
    <s v="Agencia Información"/>
    <s v="Economía"/>
    <n v="15"/>
    <x v="7"/>
    <x v="26"/>
    <x v="1"/>
    <x v="15"/>
    <x v="1"/>
    <x v="80"/>
    <s v="Periodo 2015-2021"/>
    <s v="USD"/>
    <s v="Servicio Nacional de Aduanas"/>
    <s v="Valor de las exportaciones en USD según terminal de salida para la Región de Arica y Parinacota, Periodo 2015-2021"/>
    <s v="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
    <s v="Gráfico de Evolución"/>
    <s v="Región de Arica y Parinacota,regional,comercio,exterior,exportación,valor,dólar,dólares,USD,salida,lugar,terminal,puerto,paso,aeropuerto,Agencia Información,Economía,Exportaciones,Comercio Exterior"/>
    <s v="https://analytics.zoho.com/open-view/2395394000008189059?ZOHO_CRITERIA=%221.1%20Lugar_Salida_Entrada%22.%22C%C3%B3digo%20Regi%C3%B3n%22%3D15"/>
    <x v="15"/>
    <s v="#1774B9"/>
  </r>
  <r>
    <s v="1304"/>
    <n v="990"/>
    <s v="Agencia Información"/>
    <s v="Economía"/>
    <n v="0"/>
    <x v="7"/>
    <x v="26"/>
    <x v="0"/>
    <x v="0"/>
    <x v="0"/>
    <x v="84"/>
    <s v="Periodo 2015-2021"/>
    <s v="Kilogramo"/>
    <s v="Servicio Nacional de Aduanas"/>
    <s v="Volumen de las exportaciones en kilogramo en Chile, Periodo 2015-2021"/>
    <s v="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
    <s v="Gráfico de Evolución"/>
    <s v="Chile,nacional,región,comercio,exterior,exportación,peso,volumen,kilogramo,kg,evolución,Agencia Información,Economía,Exportaciones,Comercio Exterior"/>
    <s v="https://analytics.zoho.com/open-view/2395394000008554040"/>
    <x v="0"/>
    <s v="#1774B9"/>
  </r>
  <r>
    <s v="1305"/>
    <n v="990"/>
    <s v="Agencia Información"/>
    <s v="Economía"/>
    <n v="0"/>
    <x v="65"/>
    <x v="26"/>
    <x v="0"/>
    <x v="0"/>
    <x v="0"/>
    <x v="85"/>
    <s v="Periodo 2015-2021"/>
    <s v="Kilogramo"/>
    <s v="Servicio Nacional de Aduanas"/>
    <s v="Evolución por trimestre de Importaciones y exportaciones según el volumen (kg) en Chile, Periodo 2015-2021"/>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nacional,región,comercio,exterior,exportaciones,importaciones,peso,volumen,kilogramos,kg,evolución,diferencia,exportación,importación,Agencia Información,Economía,Balanza,Comercio Exterior"/>
    <s v="https://analytics.zoho.com/open-view/2395394000008189846"/>
    <x v="0"/>
    <s v="#1774B9"/>
  </r>
  <r>
    <s v="1306"/>
    <n v="990"/>
    <s v="Agencia Información"/>
    <s v="Economía"/>
    <n v="1"/>
    <x v="65"/>
    <x v="26"/>
    <x v="1"/>
    <x v="1"/>
    <x v="1"/>
    <x v="85"/>
    <s v="Periodo 2015-2021"/>
    <s v="Kilogramo"/>
    <s v="Servicio Nacional de Aduanas"/>
    <s v="Evolución por trimestre de Importaciones y exportaciones según el volumen (kg) en la Región de Tarapacá, Periodo 2015-2021"/>
    <s v="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
    <s v="Gráfico de Evolución"/>
    <s v="Región de Tarapacá,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
    <x v="1"/>
    <s v="#1774B9"/>
  </r>
  <r>
    <s v="1307"/>
    <n v="990"/>
    <s v="Agencia Información"/>
    <s v="Economía"/>
    <n v="2"/>
    <x v="65"/>
    <x v="26"/>
    <x v="1"/>
    <x v="2"/>
    <x v="1"/>
    <x v="85"/>
    <s v="Periodo 2015-2021"/>
    <s v="Kilogramo"/>
    <s v="Servicio Nacional de Aduanas"/>
    <s v="Evolución por trimestre de Importaciones y exportaciones según el volumen (kg) en la Región de Antofagasta, Periodo 2015-2021"/>
    <s v="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
    <s v="Gráfico de Evolución"/>
    <s v="Región de Antofagast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2"/>
    <x v="2"/>
    <s v="#1774B9"/>
  </r>
  <r>
    <s v="1308"/>
    <n v="990"/>
    <s v="Agencia Información"/>
    <s v="Economía"/>
    <n v="3"/>
    <x v="65"/>
    <x v="26"/>
    <x v="1"/>
    <x v="3"/>
    <x v="1"/>
    <x v="85"/>
    <s v="Periodo 2015-2021"/>
    <s v="Kilogramo"/>
    <s v="Servicio Nacional de Aduanas"/>
    <s v="Evolución por trimestre de Importaciones y exportaciones según el volumen (kg) en la Región de Atacama, Periodo 2015-2021"/>
    <s v="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
    <s v="Gráfico de Evolución"/>
    <s v="Región de Atacam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3"/>
    <x v="3"/>
    <s v="#1774B9"/>
  </r>
  <r>
    <s v="1309"/>
    <n v="990"/>
    <s v="Agencia Información"/>
    <s v="Economía"/>
    <n v="4"/>
    <x v="65"/>
    <x v="26"/>
    <x v="1"/>
    <x v="4"/>
    <x v="1"/>
    <x v="85"/>
    <s v="Periodo 2015-2021"/>
    <s v="Kilogramo"/>
    <s v="Servicio Nacional de Aduanas"/>
    <s v="Evolución por trimestre de Importaciones y exportaciones según el volumen (kg) en la Región de Coquimbo, Periodo 2015-2021"/>
    <s v="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
    <s v="Gráfico de Evolución"/>
    <s v="Región de Coquimbo,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4"/>
    <x v="4"/>
    <s v="#1774B9"/>
  </r>
  <r>
    <s v="1310"/>
    <n v="990"/>
    <s v="Agencia Información"/>
    <s v="Economía"/>
    <n v="5"/>
    <x v="65"/>
    <x v="26"/>
    <x v="1"/>
    <x v="5"/>
    <x v="1"/>
    <x v="85"/>
    <s v="Periodo 2015-2021"/>
    <s v="Kilogramo"/>
    <s v="Servicio Nacional de Aduanas"/>
    <s v="Evolución por trimestre de Importaciones y exportaciones según el volumen (kg) en la Región de Valparaíso, Periodo 2015-2021"/>
    <s v="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
    <s v="Gráfico de Evolución"/>
    <s v="Región de Valparaíso,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5"/>
    <x v="5"/>
    <s v="#1774B9"/>
  </r>
  <r>
    <s v="1311"/>
    <n v="990"/>
    <s v="Agencia Información"/>
    <s v="Economía"/>
    <n v="6"/>
    <x v="65"/>
    <x v="26"/>
    <x v="1"/>
    <x v="6"/>
    <x v="1"/>
    <x v="85"/>
    <s v="Periodo 2015-2021"/>
    <s v="Kilogramo"/>
    <s v="Servicio Nacional de Aduanas"/>
    <s v="Evolución por trimestre de Importaciones y exportaciones según el volumen (kg) en la Región de O'Higgins, Periodo 2015-2021"/>
    <s v="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
    <s v="Gráfico de Evolución"/>
    <s v="Región de O'Higgin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6"/>
    <x v="6"/>
    <s v="#1774B9"/>
  </r>
  <r>
    <s v="1312"/>
    <n v="990"/>
    <s v="Agencia Información"/>
    <s v="Economía"/>
    <n v="7"/>
    <x v="65"/>
    <x v="26"/>
    <x v="1"/>
    <x v="7"/>
    <x v="1"/>
    <x v="85"/>
    <s v="Periodo 2015-2021"/>
    <s v="Kilogramo"/>
    <s v="Servicio Nacional de Aduanas"/>
    <s v="Evolución por trimestre de Importaciones y exportaciones según el volumen (kg) en la Región de Maule, Periodo 2015-2021"/>
    <s v="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
    <s v="Gráfico de Evolución"/>
    <s v="Región de Maule,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7"/>
    <x v="7"/>
    <s v="#1774B9"/>
  </r>
  <r>
    <s v="1313"/>
    <n v="990"/>
    <s v="Agencia Información"/>
    <s v="Economía"/>
    <n v="8"/>
    <x v="65"/>
    <x v="26"/>
    <x v="1"/>
    <x v="8"/>
    <x v="1"/>
    <x v="85"/>
    <s v="Periodo 2015-2021"/>
    <s v="Kilogramo"/>
    <s v="Servicio Nacional de Aduanas"/>
    <s v="Evolución por trimestre de Importaciones y exportaciones según el volumen (kg) en la Región del Biobío, Periodo 2015-2021"/>
    <s v="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
    <s v="Gráfico de Evolución"/>
    <s v="Región del Biobío,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8"/>
    <x v="8"/>
    <s v="#1774B9"/>
  </r>
  <r>
    <s v="1314"/>
    <n v="990"/>
    <s v="Agencia Información"/>
    <s v="Economía"/>
    <n v="9"/>
    <x v="65"/>
    <x v="26"/>
    <x v="1"/>
    <x v="9"/>
    <x v="1"/>
    <x v="85"/>
    <s v="Periodo 2015-2021"/>
    <s v="Kilogramo"/>
    <s v="Servicio Nacional de Aduanas"/>
    <s v="Evolución por trimestre de Importaciones y exportaciones según el volumen (kg) en la Región de La Araucanía, Periodo 2015-2021"/>
    <s v="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
    <s v="Gráfico de Evolución"/>
    <s v="Región de La Araucaní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9"/>
    <x v="9"/>
    <s v="#1774B9"/>
  </r>
  <r>
    <s v="1315"/>
    <n v="990"/>
    <s v="Agencia Información"/>
    <s v="Economía"/>
    <n v="10"/>
    <x v="65"/>
    <x v="26"/>
    <x v="1"/>
    <x v="10"/>
    <x v="1"/>
    <x v="85"/>
    <s v="Periodo 2015-2021"/>
    <s v="Kilogramo"/>
    <s v="Servicio Nacional de Aduanas"/>
    <s v="Evolución por trimestre de Importaciones y exportaciones según el volumen (kg) en la Región de Los Lagos, Periodo 2015-2021"/>
    <s v="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
    <s v="Gráfico de Evolución"/>
    <s v="Región de Los Lago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0"/>
    <x v="10"/>
    <s v="#1774B9"/>
  </r>
  <r>
    <s v="1316"/>
    <n v="990"/>
    <s v="Agencia Información"/>
    <s v="Economía"/>
    <n v="11"/>
    <x v="65"/>
    <x v="26"/>
    <x v="1"/>
    <x v="11"/>
    <x v="1"/>
    <x v="85"/>
    <s v="Periodo 2015-2021"/>
    <s v="Kilogramo"/>
    <s v="Servicio Nacional de Aduanas"/>
    <s v="Evolución por trimestre de Importaciones y exportaciones según el volumen (kg) en la Región de Aysén, Periodo 2015-2021"/>
    <s v="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
    <s v="Gráfico de Evolución"/>
    <s v="Región de Aysén,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1"/>
    <x v="11"/>
    <s v="#1774B9"/>
  </r>
  <r>
    <s v="1317"/>
    <n v="990"/>
    <s v="Agencia Información"/>
    <s v="Economía"/>
    <n v="12"/>
    <x v="65"/>
    <x v="26"/>
    <x v="1"/>
    <x v="12"/>
    <x v="1"/>
    <x v="85"/>
    <s v="Periodo 2015-2021"/>
    <s v="Kilogramo"/>
    <s v="Servicio Nacional de Aduanas"/>
    <s v="Evolución por trimestre de Importaciones y exportaciones según el volumen (kg) en la Región de Magallanes, Periodo 2015-2021"/>
    <s v="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
    <s v="Gráfico de Evolución"/>
    <s v="Región de Magallane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2"/>
    <x v="12"/>
    <s v="#1774B9"/>
  </r>
  <r>
    <s v="1318"/>
    <n v="990"/>
    <s v="Agencia Información"/>
    <s v="Economía"/>
    <n v="13"/>
    <x v="65"/>
    <x v="26"/>
    <x v="1"/>
    <x v="13"/>
    <x v="1"/>
    <x v="85"/>
    <s v="Periodo 2015-2021"/>
    <s v="Kilogramo"/>
    <s v="Servicio Nacional de Aduanas"/>
    <s v="Evolución por trimestre de Importaciones y exportaciones según el volumen (kg) en la Región Metropolitana, Periodo 2015-2021"/>
    <s v="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
    <s v="Gráfico de Evolución"/>
    <s v="Región Metropolitan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3"/>
    <x v="13"/>
    <s v="#1774B9"/>
  </r>
  <r>
    <s v="1319"/>
    <n v="990"/>
    <s v="Agencia Información"/>
    <s v="Economía"/>
    <n v="14"/>
    <x v="65"/>
    <x v="26"/>
    <x v="1"/>
    <x v="14"/>
    <x v="1"/>
    <x v="85"/>
    <s v="Periodo 2015-2021"/>
    <s v="Kilogramo"/>
    <s v="Servicio Nacional de Aduanas"/>
    <s v="Evolución por trimestre de Importaciones y exportaciones según el volumen (kg) en la Región de Los Ríos, Periodo 2015-2021"/>
    <s v="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
    <s v="Gráfico de Evolución"/>
    <s v="Región de Los Ríos,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4"/>
    <x v="14"/>
    <s v="#1774B9"/>
  </r>
  <r>
    <s v="1320"/>
    <n v="990"/>
    <s v="Agencia Información"/>
    <s v="Economía"/>
    <n v="15"/>
    <x v="65"/>
    <x v="26"/>
    <x v="1"/>
    <x v="15"/>
    <x v="1"/>
    <x v="85"/>
    <s v="Periodo 2015-2021"/>
    <s v="Kilogramo"/>
    <s v="Servicio Nacional de Aduanas"/>
    <s v="Evolución por trimestre de Importaciones y exportaciones según el volumen (kg) en la Región de Arica y Parinacota, Periodo 2015-2021"/>
    <s v="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
    <s v="Gráfico de Evolución"/>
    <s v="Región de Arica y Parinacota,regional,comercio,exterior,exportaciones,importaciones,peso,volumen,kilogramos,kg,evolución,diferencia,exportación,importación,Agencia Información,Economía,Balanza,Comercio Exterior"/>
    <s v="https://analytics.zoho.com/open-view/2395394000008532260?ZOHO_CRITERIA=%221.1%20Lugar_Salida_Entrada%22.%22C%C3%B3digo%20Regi%C3%B3n%22%3D15"/>
    <x v="15"/>
    <s v="#1774B9"/>
  </r>
  <r>
    <s v="1321"/>
    <n v="990"/>
    <s v="Agencia Información"/>
    <s v="Gobiernos locales"/>
    <n v="0"/>
    <x v="66"/>
    <x v="24"/>
    <x v="0"/>
    <x v="0"/>
    <x v="2"/>
    <x v="86"/>
    <s v="Año 2020"/>
    <s v="Número de Parques Urbanos"/>
    <s v="Sistema Nacional de Información Municipal"/>
    <s v="Cantidad de Parques Urbanos por Comuna en Chile, Año 2020"/>
    <s v="Los parques urbanos en Chile, el año 2020, se encuentran principalmente en las comunas de Antofagasta y Aisén, con 40 y 25 parques, respectivamente."/>
    <s v="Mapa de calor"/>
    <s v="Chile,nacional,región,comuna,parques,urbanos,gestión,municipal,territorial,gobierno,regional,municipal,municipalidad,Agencia Información,Gobiernos Locales,Parques Urbanos,Gestión Municipal Territorial"/>
    <s v="https://analytics.zoho.com/open-view/2395394000008083407"/>
    <x v="17"/>
    <s v="#1774B9"/>
  </r>
  <r>
    <s v="1322"/>
    <n v="990"/>
    <s v="Agencia Información"/>
    <s v="Gobiernos locales"/>
    <n v="1"/>
    <x v="66"/>
    <x v="24"/>
    <x v="1"/>
    <x v="1"/>
    <x v="3"/>
    <x v="86"/>
    <s v="Año 2020"/>
    <s v="Número de Parques Urbanos"/>
    <s v="Sistema Nacional de Información Municipal"/>
    <s v="Cantidad de Parques Urbanos por Comuna en la Región de Tarapacá, Año 2020"/>
    <s v="Los parques urbanos en la región de Tarapacá, el año 2020, se encuentran principalmente en las comunas de Iquique y Alto Hospicio, con 6 y 6 parques, respectivamente. En el otro extremo se encuentran Colchane, Camiña, Huara y Pozo Almonte (0 parques cada una)."/>
    <s v="Mapa de calor"/>
    <s v="Región de Tarapacá,regional,comuna,parques,urbanos,gestión,municipal,territorial,gobierno,regional,municipal,municipalidad,Agencia Información,Gobiernos Locales,Parques Urbanos,Gestión Municipal Territorial"/>
    <s v="https://analytics.zoho.com/open-view/2395394000008464607?ZOHO_CRITERIA=%22Localiza%20CL%22.%22Codreg%22%20%3D%201"/>
    <x v="18"/>
    <s v="#1774B9"/>
  </r>
  <r>
    <s v="1323"/>
    <n v="990"/>
    <s v="Agencia Información"/>
    <s v="Gobiernos locales"/>
    <n v="2"/>
    <x v="66"/>
    <x v="24"/>
    <x v="1"/>
    <x v="2"/>
    <x v="3"/>
    <x v="86"/>
    <s v="Año 2020"/>
    <s v="Número de Parques Urbanos"/>
    <s v="Sistema Nacional de Información Municipal"/>
    <s v="Cantidad de Parques Urbanos por Comuna en la Región de Antofagasta, Año 2020"/>
    <s v="Los parques urbanos en la región de Antofagasta, el año 2020, se encuentran principalmente en las comunas de Antofasta y Calama, con 40 y 17 parques, respectivamente. En el otro extremo se encuentran Ollagüe y Mejillones (0 parques cada una)."/>
    <s v="Mapa de calor"/>
    <s v="Región de Antofagasta,regional,comuna,parques,urbanos,gestión,municipal,territorial,gobierno,regional,municipal,municipalidad,Agencia Información,Gobiernos Locales,Parques Urbanos,Gestión Municipal Territorial"/>
    <s v="https://analytics.zoho.com/open-view/2395394000008464607?ZOHO_CRITERIA=%22Localiza%20CL%22.%22Codreg%22%20%3D%202"/>
    <x v="19"/>
    <s v="#1774B9"/>
  </r>
  <r>
    <s v="1324"/>
    <n v="990"/>
    <s v="Agencia Información"/>
    <s v="Gobiernos locales"/>
    <n v="3"/>
    <x v="66"/>
    <x v="24"/>
    <x v="1"/>
    <x v="3"/>
    <x v="3"/>
    <x v="86"/>
    <s v="Año 2020"/>
    <s v="Número de Parques Urbanos"/>
    <s v="Sistema Nacional de Información Municipal"/>
    <s v="Cantidad de Parques Urbanos por Comuna en la Región de Atacama, Año 2020"/>
    <s v="Los parques urbanos en la región de Atacama, el año 2020, se encuentran principalmente en las comunas de Diego de Alamagro y Copiapó, con 2 y 2 parques, respectivamente. En el otro extremo se encuentran Chañaral, Alto del Carmen y Freirina (0 parques cada una)."/>
    <s v="Mapa de calor"/>
    <s v="Región de Atacama,regional,comuna,parques,urbanos,gestión,municipal,territorial,gobierno,regional,municipal,municipalidad,Agencia Información,Gobiernos Locales,Parques Urbanos,Gestión Municipal Territorial"/>
    <s v="https://analytics.zoho.com/open-view/2395394000008464607?ZOHO_CRITERIA=%22Localiza%20CL%22.%22Codreg%22%20%3D%203"/>
    <x v="20"/>
    <s v="#1774B9"/>
  </r>
  <r>
    <s v="1325"/>
    <n v="990"/>
    <s v="Agencia Información"/>
    <s v="Gobiernos locales"/>
    <n v="4"/>
    <x v="66"/>
    <x v="24"/>
    <x v="1"/>
    <x v="4"/>
    <x v="3"/>
    <x v="86"/>
    <s v="Año 2020"/>
    <s v="Número de Parques Urbanos"/>
    <s v="Sistema Nacional de Información Municipal"/>
    <s v="Cantidad de Parques Urbanos por Comuna en la Región de Coquimbo, Año 2020"/>
    <s v="Los parques urbanos en la región de Coquimbo, el año 2020, se encuentran principalmente en la comuna de La Serena, con 8 parques. En el otro extremo se encuentran Paiguano, Río Hurtado, Combarbalá, Punitaqui y Canela (0 parques cada una)."/>
    <s v="Mapa de calor"/>
    <s v="Región de Coquimbo,regional,comuna,parques,urbanos,gestión,municipal,territorial,gobierno,regional,municipal,municipalidad,Agencia Información,Gobiernos Locales,Parques Urbanos,Gestión Municipal Territorial"/>
    <s v="https://analytics.zoho.com/open-view/2395394000008464607?ZOHO_CRITERIA=%22Localiza%20CL%22.%22Codreg%22%20%3D%204"/>
    <x v="21"/>
    <s v="#1774B9"/>
  </r>
  <r>
    <s v="1326"/>
    <n v="990"/>
    <s v="Agencia Información"/>
    <s v="Gobiernos locales"/>
    <n v="5"/>
    <x v="66"/>
    <x v="24"/>
    <x v="1"/>
    <x v="5"/>
    <x v="3"/>
    <x v="86"/>
    <s v="Año 2020"/>
    <s v="Número de Parques Urbanos"/>
    <s v="Sistema Nacional de Información Municipal"/>
    <s v="Cantidad de Parques Urbanos por Comuna en la Región de Valparaíso, Año 2020"/>
    <s v="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
    <s v="Mapa de calor"/>
    <s v="Región de Valparaíso,regional,comuna,parques,urbanos,gestión,municipal,territorial,gobierno,regional,municipal,municipalidad,Agencia Información,Gobiernos Locales,Parques Urbanos,Gestión Municipal Territorial"/>
    <s v="https://analytics.zoho.com/open-view/2395394000008464607?ZOHO_CRITERIA=%22Localiza%20CL%22.%22Codreg%22%20%3D%205"/>
    <x v="22"/>
    <s v="#1774B9"/>
  </r>
  <r>
    <s v="1327"/>
    <n v="990"/>
    <s v="Agencia Información"/>
    <s v="Gobiernos locales"/>
    <n v="6"/>
    <x v="66"/>
    <x v="24"/>
    <x v="1"/>
    <x v="6"/>
    <x v="3"/>
    <x v="86"/>
    <s v="Año 2020"/>
    <s v="Número de Parques Urbanos"/>
    <s v="Sistema Nacional de Información Municipal"/>
    <s v="Cantidad de Parques Urbanos por Comuna en la Región de O'Higgins, Año 2020"/>
    <s v="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
    <s v="Mapa de calor"/>
    <s v="Región de O'Higgins,regional,comuna,parques,urbanos,gestión,municipal,territorial,gobierno,regional,municipal,municipalidad,Agencia Información,Gobiernos Locales,Parques Urbanos,Gestión Municipal Territorial"/>
    <s v="https://analytics.zoho.com/open-view/2395394000008464607?ZOHO_CRITERIA=%22Localiza%20CL%22.%22Codreg%22%20%3D%206"/>
    <x v="23"/>
    <s v="#1774B9"/>
  </r>
  <r>
    <s v="1328"/>
    <n v="990"/>
    <s v="Agencia Información"/>
    <s v="Gobiernos locales"/>
    <n v="7"/>
    <x v="66"/>
    <x v="24"/>
    <x v="1"/>
    <x v="7"/>
    <x v="3"/>
    <x v="86"/>
    <s v="Año 2020"/>
    <s v="Número de Parques Urbanos"/>
    <s v="Sistema Nacional de Información Municipal"/>
    <s v="Cantidad de Parques Urbanos por Comuna en la Región de Maule, Año 2020"/>
    <s v="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
    <s v="Mapa de calor"/>
    <s v="Región de Maule,regional,comuna,parques,urbanos,gestión,municipal,territorial,gobierno,regional,municipal,municipalidad,Agencia Información,Gobiernos Locales,Parques Urbanos,Gestión Municipal Territorial"/>
    <s v="https://analytics.zoho.com/open-view/2395394000008464607?ZOHO_CRITERIA=%22Localiza%20CL%22.%22Codreg%22%20%3D%207"/>
    <x v="24"/>
    <s v="#1774B9"/>
  </r>
  <r>
    <s v="1329"/>
    <n v="990"/>
    <s v="Agencia Información"/>
    <s v="Gobiernos locales"/>
    <n v="8"/>
    <x v="66"/>
    <x v="24"/>
    <x v="1"/>
    <x v="8"/>
    <x v="3"/>
    <x v="86"/>
    <s v="Año 2020"/>
    <s v="Número de Parques Urbanos"/>
    <s v="Sistema Nacional de Información Municipal"/>
    <s v="Cantidad de Parques Urbanos por Comuna en la Región del Biobío, Año 2020"/>
    <s v="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
    <s v="Mapa de calor"/>
    <s v="Región del Biobío,regional,comuna,parques,urbanos,gestión,municipal,territorial,gobierno,regional,municipal,municipalidad,Agencia Información,Gobiernos Locales,Parques Urbanos,Gestión Municipal Territorial"/>
    <s v="https://analytics.zoho.com/open-view/2395394000008464607?ZOHO_CRITERIA=%22Localiza%20CL%22.%22Codreg%22%20%3D%208"/>
    <x v="25"/>
    <s v="#1774B9"/>
  </r>
  <r>
    <s v="1330"/>
    <n v="990"/>
    <s v="Agencia Información"/>
    <s v="Gobiernos locales"/>
    <n v="9"/>
    <x v="66"/>
    <x v="24"/>
    <x v="1"/>
    <x v="9"/>
    <x v="3"/>
    <x v="86"/>
    <s v="Año 2020"/>
    <s v="Número de Parques Urbanos"/>
    <s v="Sistema Nacional de Información Municipal"/>
    <s v="Cantidad de Parques Urbanos por Comuna en la Región de La Araucanía, Año 2020"/>
    <s v="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
    <s v="Mapa de calor"/>
    <s v="Región de La Araucanía,regional,comuna,parques,urbanos,gestión,municipal,territorial,gobierno,regional,municipal,municipalidad,Agencia Información,Gobiernos Locales,Parques Urbanos,Gestión Municipal Territorial"/>
    <s v="https://analytics.zoho.com/open-view/2395394000008464607?ZOHO_CRITERIA=%22Localiza%20CL%22.%22Codreg%22%20%3D%209"/>
    <x v="26"/>
    <s v="#1774B9"/>
  </r>
  <r>
    <s v="1331"/>
    <n v="990"/>
    <s v="Agencia Información"/>
    <s v="Gobiernos locales"/>
    <n v="10"/>
    <x v="66"/>
    <x v="24"/>
    <x v="1"/>
    <x v="10"/>
    <x v="3"/>
    <x v="86"/>
    <s v="Año 2020"/>
    <s v="Número de Parques Urbanos"/>
    <s v="Sistema Nacional de Información Municipal"/>
    <s v="Cantidad de Parques Urbanos por Comuna en la Región de Los Lagos, Año 2020"/>
    <s v="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
    <s v="Mapa de calor"/>
    <s v="Región de Los Lagos,regional,comuna,parques,urbanos,gestión,municipal,territorial,gobierno,regional,municipal,municipalidad,Agencia Información,Gobiernos Locales,Parques Urbanos,Gestión Municipal Territorial"/>
    <s v="https://analytics.zoho.com/open-view/2395394000008464607?ZOHO_CRITERIA=%22Localiza%20CL%22.%22Codreg%22%20%3D%2010"/>
    <x v="27"/>
    <s v="#1774B9"/>
  </r>
  <r>
    <s v="1332"/>
    <n v="990"/>
    <s v="Agencia Información"/>
    <s v="Gobiernos locales"/>
    <n v="11"/>
    <x v="66"/>
    <x v="24"/>
    <x v="1"/>
    <x v="11"/>
    <x v="3"/>
    <x v="86"/>
    <s v="Año 2020"/>
    <s v="Número de Parques Urbanos"/>
    <s v="Sistema Nacional de Información Municipal"/>
    <s v="Cantidad de Parques Urbanos por Comuna en la Región de Aysén, Año 2020"/>
    <s v="Los parques urbanos en la región de Aysén, el año 2020, se encuentran principalmente en las comunas de Aisén y Lago Verde, con 25 y 4 parques, respectivamente. En el otro extremo se encuentran Cisnes, Coihaique, Río Ibáñez y Tortel (0 parques cada una)."/>
    <s v="Mapa de calor"/>
    <s v="Región de Aysén,regional,comuna,parques,urbanos,gestión,municipal,territorial,gobierno,regional,municipal,municipalidad,Agencia Información,Gobiernos Locales,Parques Urbanos,Gestión Municipal Territorial"/>
    <s v="https://analytics.zoho.com/open-view/2395394000008464607?ZOHO_CRITERIA=%22Localiza%20CL%22.%22Codreg%22%20%3D%2011"/>
    <x v="33"/>
    <s v="#1774B9"/>
  </r>
  <r>
    <s v="1333"/>
    <n v="990"/>
    <s v="Agencia Información"/>
    <s v="Gobiernos locales"/>
    <n v="12"/>
    <x v="66"/>
    <x v="24"/>
    <x v="1"/>
    <x v="12"/>
    <x v="3"/>
    <x v="86"/>
    <s v="Año 2020"/>
    <s v="Número de Parques Urbanos"/>
    <s v="Sistema Nacional de Información Municipal"/>
    <s v="Cantidad de Parques Urbanos por Comuna en la Región de Magallanes, Año 2020"/>
    <s v="Los parques urbanos en la región de Magallanes, el año 2020, se encuentran principalmente en las comunas de Punta Arenas, con 5 y  parques, respectivamente. En el otro extremo se encuentran Torres del Paine, Río Verde, San Gregorio, Porvenir y Timaukel (0 parques cada una)."/>
    <s v="Mapa de calor"/>
    <s v="Región de Magallanes,regional,comuna,parques,urbanos,gestión,municipal,territorial,gobierno,regional,municipal,municipalidad,Agencia Información,Gobiernos Locales,Parques Urbanos,Gestión Municipal Territorial"/>
    <s v="https://analytics.zoho.com/open-view/2395394000008464607?ZOHO_CRITERIA=%22Localiza%20CL%22.%22Codreg%22%20%3D%2012"/>
    <x v="28"/>
    <s v="#1774B9"/>
  </r>
  <r>
    <s v="1334"/>
    <n v="990"/>
    <s v="Agencia Información"/>
    <s v="Gobiernos locales"/>
    <n v="13"/>
    <x v="66"/>
    <x v="24"/>
    <x v="1"/>
    <x v="13"/>
    <x v="3"/>
    <x v="86"/>
    <s v="Año 2020"/>
    <s v="Número de Parques Urbanos"/>
    <s v="Sistema Nacional de Información Municipal"/>
    <s v="Cantidad de Parques Urbanos por Comuna en la Región Metropolitana, Año 2020"/>
    <s v="Los parques urbanos en la región Metropolitana, el año 2020, se encuentran principalmente en las comunas de Ñuñoa y Colina, con 20 y 14 parques, respectivamente. En el otro extremo se encuentran San José de Maipo, Pirque, Calera de Tango, Isla Maipo y El Monte (0 parques cada una)."/>
    <s v="Mapa de calor"/>
    <s v="Región Metropolitana,regional,comuna,parques,urbanos,gestión,municipal,territorial,gobierno,regional,municipal,municipalidad,Agencia Información,Gobiernos Locales,Parques Urbanos,Gestión Municipal Territorial"/>
    <s v="https://analytics.zoho.com/open-view/2395394000008464607?ZOHO_CRITERIA=%22Localiza%20CL%22.%22Codreg%22%20%3D%2013"/>
    <x v="29"/>
    <s v="#1774B9"/>
  </r>
  <r>
    <s v="1335"/>
    <n v="990"/>
    <s v="Agencia Información"/>
    <s v="Gobiernos locales"/>
    <n v="14"/>
    <x v="66"/>
    <x v="24"/>
    <x v="1"/>
    <x v="14"/>
    <x v="3"/>
    <x v="86"/>
    <s v="Año 2020"/>
    <s v="Número de Parques Urbanos"/>
    <s v="Sistema Nacional de Información Municipal"/>
    <s v="Cantidad de Parques Urbanos por Comuna en la Región de Los Ríos, Año 2020"/>
    <s v="Los parques urbanos en la región de Los Ríos, el año 2020, se encuentran principalmente en la comuna de Valdivia, con 5 parques. En el otro extremo se encuentran Futrono, Paillaco y Río Bueno (0 parques cada una)."/>
    <s v="Mapa de calor"/>
    <s v="Región de Los Ríos,regional,comuna,parques,urbanos,gestión,municipal,territorial,gobierno,regional,municipal,municipalidad,Agencia Información,Gobiernos Locales,Parques Urbanos,Gestión Municipal Territorial"/>
    <s v="https://analytics.zoho.com/open-view/2395394000008464607?ZOHO_CRITERIA=%22Localiza%20CL%22.%22Codreg%22%20%3D%2014"/>
    <x v="30"/>
    <s v="#1774B9"/>
  </r>
  <r>
    <s v="1336"/>
    <n v="990"/>
    <s v="Agencia Información"/>
    <s v="Gobiernos locales"/>
    <n v="15"/>
    <x v="66"/>
    <x v="24"/>
    <x v="1"/>
    <x v="15"/>
    <x v="3"/>
    <x v="86"/>
    <s v="Año 2020"/>
    <s v="Número de Parques Urbanos"/>
    <s v="Sistema Nacional de Información Municipal"/>
    <s v="Cantidad de Parques Urbanos por Comuna en la Región de Arica y Parinacota, Año 2020"/>
    <s v="Los parques urbanos en la región de Arica y Parinacota, el año 2020, se encuentran principalmente en la comuna de Arica, con 19 parques. En el otro extremo se encuentran General Lagos, Putre y Camarones (0 parques cada una)."/>
    <s v="Mapa de calor"/>
    <s v="Región de Arica y Parinacota,regional,comuna,parques,urbanos,gestión,municipal,territorial,gobierno,regional,municipal,municipalidad,Agencia Información,Gobiernos Locales,Parques Urbanos,Gestión Municipal Territorial"/>
    <s v="https://analytics.zoho.com/open-view/2395394000008464607?ZOHO_CRITERIA=%22Localiza%20CL%22.%22Codreg%22%20%3D%2015"/>
    <x v="31"/>
    <s v="#1774B9"/>
  </r>
  <r>
    <s v="1337"/>
    <n v="990"/>
    <s v="Agencia Información"/>
    <s v="Gobiernos locales"/>
    <n v="16"/>
    <x v="66"/>
    <x v="24"/>
    <x v="1"/>
    <x v="16"/>
    <x v="3"/>
    <x v="86"/>
    <s v="Año 2020"/>
    <s v="Número de Parques Urbanos"/>
    <s v="Sistema Nacional de Información Municipal"/>
    <s v="Cantidad de Parques Urbanos por Comuna en la Región de Ñuble, Año 2020"/>
    <s v="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
    <s v="Mapa de calor"/>
    <s v="Región de Ñuble,regional,comuna,parques,urbanos,gestión,municipal,territorial,gobierno,regional,municipal,municipalidad,Agencia Información,Gobiernos Locales,Parques Urbanos,Gestión Municipal Territorial"/>
    <s v="https://analytics.zoho.com/open-view/2395394000008464607?ZOHO_CRITERIA=%22Localiza%20CL%22.%22Codreg%22%20%3D%2016"/>
    <x v="32"/>
    <s v="#1774B9"/>
  </r>
  <r>
    <s v="1338"/>
    <n v="990"/>
    <s v="Agencia Información"/>
    <s v="Gobiernos locales"/>
    <n v="0"/>
    <x v="67"/>
    <x v="24"/>
    <x v="0"/>
    <x v="0"/>
    <x v="2"/>
    <x v="87"/>
    <s v="Año 2020"/>
    <s v="Número de Plazas Públicas"/>
    <s v="Sistema Nacional de Información Municipal"/>
    <s v="Cantidad de Plazas Públicas por Comuna en Chile, Año 2020"/>
    <s v="Las plazas públicas en Chile, el año 2020, se encuentran principalmente en las comunas de de Puente Alto y Maipú, con 1.714 y 1.652 plazas, respectivamente. En el otro extremo se encuentran Río Verde, Porvenir y Camarones (0 plazas)."/>
    <s v="Mapa de calor"/>
    <s v="Chile,nacional,región,comuna,plazas,públicas,gestión,municipal,territorial,gobierno,regional,municipal,municipalidad,Agencia Información,Gobiernos Locales,Plazas Públicas,Gestión Municipal Territorial"/>
    <s v="https://analytics.zoho.com/open-view/2395394000008183410"/>
    <x v="17"/>
    <s v="#1774B9"/>
  </r>
  <r>
    <s v="1339"/>
    <n v="990"/>
    <s v="Agencia Información"/>
    <s v="Gobiernos locales"/>
    <n v="1"/>
    <x v="67"/>
    <x v="24"/>
    <x v="1"/>
    <x v="1"/>
    <x v="3"/>
    <x v="87"/>
    <s v="Año 2020"/>
    <s v="Número de Plazas Públicas"/>
    <s v="Sistema Nacional de Información Municipal"/>
    <s v="Cantidad de Plazas Públicas por Comuna en la Región de Tarapacá, Año 2020"/>
    <s v="Las plazas públicas en la región de Tarapacá, el año 2020, se encuentran principalmente en las comunas de Iquique y Alto Hospicio, con 133 y 67 plazas, respectivamente. En el otro extremo se encuentran Pica (9 plazas) y Huara (1 plaza)."/>
    <s v="Mapa de calor"/>
    <s v="Región de Tarapacá,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
    <x v="18"/>
    <s v="#1774B9"/>
  </r>
  <r>
    <s v="1340"/>
    <n v="990"/>
    <s v="Agencia Información"/>
    <s v="Gobiernos locales"/>
    <n v="2"/>
    <x v="67"/>
    <x v="24"/>
    <x v="1"/>
    <x v="2"/>
    <x v="3"/>
    <x v="87"/>
    <s v="Año 2020"/>
    <s v="Número de Plazas Públicas"/>
    <s v="Sistema Nacional de Información Municipal"/>
    <s v="Cantidad de Plazas Públicas por Comuna en la Región de Antofagasta, Año 2020"/>
    <s v="Las plazas públicas en la región de Antofagasta, el año 2020, se encuentran principalmente en las comunas de Antofagasta y Calama, con 151 y 98 plazas, respectivamente. En el otro extremo se encuentran Taltal (8 plazas) y Ollagüe (2 plazas)."/>
    <s v="Mapa de calor"/>
    <s v="Región de Antofagast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2"/>
    <x v="19"/>
    <s v="#1774B9"/>
  </r>
  <r>
    <s v="1341"/>
    <n v="990"/>
    <s v="Agencia Información"/>
    <s v="Gobiernos locales"/>
    <n v="3"/>
    <x v="67"/>
    <x v="24"/>
    <x v="1"/>
    <x v="3"/>
    <x v="3"/>
    <x v="87"/>
    <s v="Año 2020"/>
    <s v="Número de Plazas Públicas"/>
    <s v="Sistema Nacional de Información Municipal"/>
    <s v="Cantidad de Plazas Públicas por Comuna en la Región de Atacama, Año 2020"/>
    <s v="Las plazas públicas en la región de Atacama, el año 2020, se encuentran principalmente en las comunas de Copiapó y Vallenar, con 152 y 127 plazas, respectivamente. En el otro extremo se encuentran Diego de Almagro (5 plazas) y Tierra Amarilla (2 plazas)."/>
    <s v="Mapa de calor"/>
    <s v="Región de Atacam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3"/>
    <x v="20"/>
    <s v="#1774B9"/>
  </r>
  <r>
    <s v="1342"/>
    <n v="990"/>
    <s v="Agencia Información"/>
    <s v="Gobiernos locales"/>
    <n v="4"/>
    <x v="67"/>
    <x v="24"/>
    <x v="1"/>
    <x v="4"/>
    <x v="3"/>
    <x v="87"/>
    <s v="Año 2020"/>
    <s v="Número de Plazas Públicas"/>
    <s v="Sistema Nacional de Información Municipal"/>
    <s v="Cantidad de Plazas Públicas por Comuna en la Región de Coquimbo, Año 2020"/>
    <s v="Las plazas públicas en la región de Coquimbo, el año 2020, se encuentran principalmente en las comunas de Coquimbo y La Serena, con 945 y 917 plazas, respectivamente. En el otro extremo se encuentran Salamanca, La Higuera, Río Hurtado  (12 plazas) e Illapel (7 plazas)."/>
    <s v="Mapa de calor"/>
    <s v="Región de Coquimbo,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4"/>
    <x v="21"/>
    <s v="#1774B9"/>
  </r>
  <r>
    <s v="1343"/>
    <n v="990"/>
    <s v="Agencia Información"/>
    <s v="Gobiernos locales"/>
    <n v="5"/>
    <x v="67"/>
    <x v="24"/>
    <x v="1"/>
    <x v="5"/>
    <x v="3"/>
    <x v="87"/>
    <s v="Año 2020"/>
    <s v="Número de Plazas Públicas"/>
    <s v="Sistema Nacional de Información Municipal"/>
    <s v="Cantidad de Plazas Públicas por Comuna en la Región de Valparaíso, Año 2020"/>
    <s v="Las plazas públicas en la región de Valparaíso, el año 2020, se encuentran principalmente en las comunas de Quilpué y Limache, con 351 y 311 plazas, respectivamente. En el otro extremo se encuentran Putaendo (2 plazas) y Santa María (1 plaza)."/>
    <s v="Mapa de calor"/>
    <s v="Región de Valparaíso,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5"/>
    <x v="22"/>
    <s v="#1774B9"/>
  </r>
  <r>
    <s v="1344"/>
    <n v="990"/>
    <s v="Agencia Información"/>
    <s v="Gobiernos locales"/>
    <n v="6"/>
    <x v="67"/>
    <x v="24"/>
    <x v="1"/>
    <x v="6"/>
    <x v="3"/>
    <x v="87"/>
    <s v="Año 2020"/>
    <s v="Número de Plazas Públicas"/>
    <s v="Sistema Nacional de Información Municipal"/>
    <s v="Cantidad de Plazas Públicas por Comuna en la Región de O'Higgins, Año 2020"/>
    <s v="Las plazas públicas en la región de O'Higgins, el año 2020, se encuentran principalmente en las comunas de Rancagua y Machalí, con 1.023 y 376 plazas, respectivamente. En el otro extremo se encuentran Pumanque (7 plazas) y Litueche (4 plazas)."/>
    <s v="Mapa de calor"/>
    <s v="Región de O'Higgin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6"/>
    <x v="23"/>
    <s v="#1774B9"/>
  </r>
  <r>
    <s v="1345"/>
    <n v="990"/>
    <s v="Agencia Información"/>
    <s v="Gobiernos locales"/>
    <n v="7"/>
    <x v="67"/>
    <x v="24"/>
    <x v="1"/>
    <x v="7"/>
    <x v="3"/>
    <x v="87"/>
    <s v="Año 2020"/>
    <s v="Número de Plazas Públicas"/>
    <s v="Sistema Nacional de Información Municipal"/>
    <s v="Cantidad de Plazas Públicas por Comuna en la Región de Maule, Año 2020"/>
    <s v="Las plazas públicas en la región de Maule, el año 2020, se encuentran principalmente en las comunas de Talca y Curicó, con 998 y 685 plazas, respectivamente. En el otro extremo se encuentran Villa Alegre, San Rafael (1 plazas) y Colbún (2 plazas)."/>
    <s v="Mapa de calor"/>
    <s v="Región de Maule,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7"/>
    <x v="24"/>
    <s v="#1774B9"/>
  </r>
  <r>
    <s v="1346"/>
    <n v="990"/>
    <s v="Agencia Información"/>
    <s v="Gobiernos locales"/>
    <n v="8"/>
    <x v="67"/>
    <x v="24"/>
    <x v="1"/>
    <x v="8"/>
    <x v="3"/>
    <x v="87"/>
    <s v="Año 2020"/>
    <s v="Número de Plazas Públicas"/>
    <s v="Sistema Nacional de Información Municipal"/>
    <s v="Cantidad de Plazas Públicas por Comuna en la Región del Biobío, Año 2020"/>
    <s v="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
    <s v="Mapa de calor"/>
    <s v="Región del Biobío,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8"/>
    <x v="25"/>
    <s v="#1774B9"/>
  </r>
  <r>
    <s v="1347"/>
    <n v="990"/>
    <s v="Agencia Información"/>
    <s v="Gobiernos locales"/>
    <n v="9"/>
    <x v="67"/>
    <x v="24"/>
    <x v="1"/>
    <x v="9"/>
    <x v="3"/>
    <x v="87"/>
    <s v="Año 2020"/>
    <s v="Número de Plazas Públicas"/>
    <s v="Sistema Nacional de Información Municipal"/>
    <s v="Cantidad de Plazas Públicas por Comuna en la Región de La Araucanía, Año 2020"/>
    <s v="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
    <s v="Mapa de calor"/>
    <s v="Región de La Araucaní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9"/>
    <x v="26"/>
    <s v="#1774B9"/>
  </r>
  <r>
    <s v="1348"/>
    <n v="990"/>
    <s v="Agencia Información"/>
    <s v="Gobiernos locales"/>
    <n v="10"/>
    <x v="67"/>
    <x v="24"/>
    <x v="1"/>
    <x v="10"/>
    <x v="3"/>
    <x v="87"/>
    <s v="Año 2020"/>
    <s v="Número de Plazas Públicas"/>
    <s v="Sistema Nacional de Información Municipal"/>
    <s v="Cantidad de Plazas Públicas por Comuna en la Región de Los Lagos, Año 2020"/>
    <s v="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
    <s v="Mapa de calor"/>
    <s v="Región de Los Lago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0"/>
    <x v="27"/>
    <s v="#1774B9"/>
  </r>
  <r>
    <s v="1349"/>
    <n v="990"/>
    <s v="Agencia Información"/>
    <s v="Gobiernos locales"/>
    <n v="11"/>
    <x v="67"/>
    <x v="24"/>
    <x v="1"/>
    <x v="11"/>
    <x v="3"/>
    <x v="87"/>
    <s v="Año 2020"/>
    <s v="Número de Plazas Públicas"/>
    <s v="Sistema Nacional de Información Municipal"/>
    <s v="Cantidad de Plazas Públicas por Comuna en la Región de Aysén, Año 2020"/>
    <s v="Las plazas públicas en la región de Aysén, el año 2020, se encuentran principalmente en las comunas de Coihaique y Chile Chico, con 335 y 27 plazas, respectivamente. En el otro extremo se encuentran Aisén (5 plazas) y Lago Verde (3 plazas)."/>
    <s v="Mapa de calor"/>
    <s v="Región de Aysén,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1"/>
    <x v="33"/>
    <s v="#1774B9"/>
  </r>
  <r>
    <s v="1350"/>
    <n v="990"/>
    <s v="Agencia Información"/>
    <s v="Gobiernos locales"/>
    <n v="12"/>
    <x v="67"/>
    <x v="24"/>
    <x v="1"/>
    <x v="12"/>
    <x v="3"/>
    <x v="87"/>
    <s v="Año 2020"/>
    <s v="Número de Plazas Públicas"/>
    <s v="Sistema Nacional de Información Municipal"/>
    <s v="Cantidad de Plazas Públicas por Comuna en la Región de Magallanes, Año 2020"/>
    <s v="Las plazas públicas en la región de Magallanes, el año 2020, se encuentran principalmente en las comunas de Punta Arenas y Natales, con 61 y 52 plazas, respectivamente. En el otro extremo se encuentran Timaukel (1 plaza) y Río Verde, Porvenir (0 plazas)."/>
    <s v="Mapa de calor"/>
    <s v="Región de Magallane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2"/>
    <x v="28"/>
    <s v="#1774B9"/>
  </r>
  <r>
    <s v="1351"/>
    <n v="990"/>
    <s v="Agencia Información"/>
    <s v="Gobiernos locales"/>
    <n v="13"/>
    <x v="67"/>
    <x v="24"/>
    <x v="1"/>
    <x v="13"/>
    <x v="3"/>
    <x v="87"/>
    <s v="Año 2020"/>
    <s v="Número de Plazas Públicas"/>
    <s v="Sistema Nacional de Información Municipal"/>
    <s v="Cantidad de Plazas Públicas por Comuna en la Región Metropolitana, Año 2020"/>
    <s v="Las plazas públicas en la región Metropolitana, el año 2020, se encuentran principalmente en las comunas de Puente Alto y Maipú, con 1.714 y 1.652 plazas, respectivamente. En el otro extremo se encuentran Calera de Tango, Pirque (4 plazas) y El Monte (2 plazas)."/>
    <s v="Mapa de calor"/>
    <s v="Región Metropolitan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3"/>
    <x v="29"/>
    <s v="#1774B9"/>
  </r>
  <r>
    <s v="1352"/>
    <n v="990"/>
    <s v="Agencia Información"/>
    <s v="Gobiernos locales"/>
    <n v="14"/>
    <x v="67"/>
    <x v="24"/>
    <x v="1"/>
    <x v="14"/>
    <x v="3"/>
    <x v="87"/>
    <s v="Año 2020"/>
    <s v="Número de Plazas Públicas"/>
    <s v="Sistema Nacional de Información Municipal"/>
    <s v="Cantidad de Plazas Públicas por Comuna en la Región de Los Ríos, Año 2020"/>
    <s v="Las plazas públicas en la región de Los Ríos, el año 2020, se encuentran principalmente en las comunas de La Unión y Panguipulli, con 137 y 47 plazas, respectivamente. En el otro extremo se encuentran Máfil, Los Lagos, Corral y Río Bueno (2 plazas)."/>
    <s v="Mapa de calor"/>
    <s v="Región de Los Ríos,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4"/>
    <x v="30"/>
    <s v="#1774B9"/>
  </r>
  <r>
    <s v="1353"/>
    <n v="990"/>
    <s v="Agencia Información"/>
    <s v="Gobiernos locales"/>
    <n v="15"/>
    <x v="67"/>
    <x v="24"/>
    <x v="1"/>
    <x v="15"/>
    <x v="3"/>
    <x v="87"/>
    <s v="Año 2020"/>
    <s v="Número de Plazas Públicas"/>
    <s v="Sistema Nacional de Información Municipal"/>
    <s v="Cantidad de Plazas Públicas por Comuna en la Región de Arica y Parinacota, Año 2020"/>
    <s v="Las plazas públicas en la región de Arica y Parinacota, el año 2020, se encuentran principalmente en las comunas de Arica, con 177 plazas. En el otro extremo se encuentran Putre (1 plaza) y Camarones (0 plazas)."/>
    <s v="Mapa de calor"/>
    <s v="Región de Arica y Parinacota,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5"/>
    <x v="31"/>
    <s v="#1774B9"/>
  </r>
  <r>
    <s v="1354"/>
    <n v="990"/>
    <s v="Agencia Información"/>
    <s v="Gobiernos locales"/>
    <n v="16"/>
    <x v="67"/>
    <x v="24"/>
    <x v="1"/>
    <x v="16"/>
    <x v="3"/>
    <x v="87"/>
    <s v="Año 2020"/>
    <s v="Número de Plazas Públicas"/>
    <s v="Sistema Nacional de Información Municipal"/>
    <s v="Cantidad de Plazas Públicas por Comuna en la Región de Ñuble, Año 2020"/>
    <s v="Las plazas públicas en la región de Ñuble, el año 2020, se encuentran principalmente en las comunas de Chillán y San Carlos, con 492 y 56 plazas, respectivamente. En el otro extremo se encuentran Yungay (2 plazas) y Quirihue, San Nicolás, Portezuelo, Treguaco y Peumo (1 plaza)."/>
    <s v="Mapa de calor"/>
    <s v="Región de Ñuble,nacional,región,comuna,plazas,públicas,gestión,municipal,territorial,gobierno,regional,municipal,municipalidad,Agencia Información,Gobiernos Locales,Plazas Públicas,Gestión Municipal Territorial"/>
    <s v="https://analytics.zoho.com/open-view/2395394000008464727?ZOHO_CRITERIA=%22Localiza%20CL%22.%22Codreg%22%20%3D%2016"/>
    <x v="32"/>
    <s v="#1774B9"/>
  </r>
  <r>
    <s v="1355"/>
    <n v="990"/>
    <s v="Agencia Información"/>
    <s v="Gobiernos locales"/>
    <n v="0"/>
    <x v="68"/>
    <x v="24"/>
    <x v="0"/>
    <x v="0"/>
    <x v="0"/>
    <x v="88"/>
    <s v="Periodo 2001-2020"/>
    <s v="m2"/>
    <s v="Sistema Nacional de Información Municipal"/>
    <s v="Áreas Verdes Mantenidas (m2) por Habitante y Comuna en Chile, Periodo 2001-2020"/>
    <s v="En Chile, durante el periodo 2001-2020, las comunas de Illapel y Lago Verde destacan por tener mayor superficie de áreas verdes mantenidas por habitante. El máximo lo alcanzó Illapel el año 2010 con 210,72 m2/hab, seguido de Lago Verde el año 2015 con 180,72 m2/hab."/>
    <s v="Gráfico de Evolución"/>
    <s v="Chile,regional,comuna,áreas,verdes,mantenidas,superficie,m2,habitante,gestión,municipal,territorial,gobierno,regional,municipal,municipalidad,Agencia Información,Gobiernos Locales,Áreas Verdes  ,Gestión Municipal Territorial"/>
    <s v="https://analytics.zoho.com/open-view/2395394000008069731"/>
    <x v="17"/>
    <s v="#1774B9"/>
  </r>
  <r>
    <s v="1356"/>
    <n v="990"/>
    <s v="Agencia Información"/>
    <s v="Gobiernos locales"/>
    <n v="1"/>
    <x v="68"/>
    <x v="24"/>
    <x v="1"/>
    <x v="1"/>
    <x v="1"/>
    <x v="88"/>
    <s v="Periodo 2001-2020"/>
    <s v="m2"/>
    <s v="Sistema Nacional de Información Municipal"/>
    <s v="Áreas Verdes Mantenidas (m2) por Habitante y Comuna en la Región de Tarapacá, Periodo 2001-2020"/>
    <s v="En la región de Tarapacá, durante el periodo 2001-2020, las comunas de Huara y Pica destacan por tener mayor superficie de áreas verdes mantenidas por habitante. El máximo lo alcanzó Huara el año 2003 con 14,98 m2/hab, seguido de Pica el año 2020 con 12,77 m2/hab."/>
    <s v="Gráfico de Evolución"/>
    <s v="Región de Tarapacá,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
    <x v="18"/>
    <s v="#1774B9"/>
  </r>
  <r>
    <s v="1357"/>
    <n v="990"/>
    <s v="Agencia Información"/>
    <s v="Gobiernos locales"/>
    <n v="2"/>
    <x v="68"/>
    <x v="24"/>
    <x v="1"/>
    <x v="2"/>
    <x v="1"/>
    <x v="88"/>
    <s v="Periodo 2001-2020"/>
    <s v="m2"/>
    <s v="Sistema Nacional de Información Municipal"/>
    <s v="Áreas Verdes Mantenidas (m2) por Habitante y Comuna en la Región de Antofagasta, Periodo 2001-2020"/>
    <s v="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
    <s v="Gráfico de Evolución"/>
    <s v="Región de Antofagast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2"/>
    <x v="19"/>
    <s v="#1774B9"/>
  </r>
  <r>
    <s v="1358"/>
    <n v="990"/>
    <s v="Agencia Información"/>
    <s v="Gobiernos locales"/>
    <n v="3"/>
    <x v="68"/>
    <x v="24"/>
    <x v="1"/>
    <x v="3"/>
    <x v="1"/>
    <x v="88"/>
    <s v="Periodo 2001-2020"/>
    <s v="m2"/>
    <s v="Sistema Nacional de Información Municipal"/>
    <s v="Áreas Verdes Mantenidas (m2) por Habitante y Comuna en la Región de Atacama, Periodo 2001-2020"/>
    <s v="En la región de Atacama, durante el periodo 2001-2020, las comunas de Chañaral y Caldera destacan por tener mayor superficie de áreas verdes mantenidas por habitante. El máximo lo alcanzó Chañaral el año 2019 con 30,65 m2/hab, seguido de Caldera el año 2017 con 10,66 m2/hab."/>
    <s v="Gráfico de Evolución"/>
    <s v="Región de Atacam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3"/>
    <x v="20"/>
    <s v="#1774B9"/>
  </r>
  <r>
    <s v="1359"/>
    <n v="990"/>
    <s v="Agencia Información"/>
    <s v="Gobiernos locales"/>
    <n v="4"/>
    <x v="68"/>
    <x v="24"/>
    <x v="1"/>
    <x v="4"/>
    <x v="1"/>
    <x v="88"/>
    <s v="Periodo 2001-2020"/>
    <s v="m2"/>
    <s v="Sistema Nacional de Información Municipal"/>
    <s v="Áreas Verdes Mantenidas (m2) por Habitante y Comuna en la Región de Coquimbo, Periodo 2001-2020"/>
    <s v="En la región de Coquimbo, durante el periodo 2001-2020, las comunas de Illapel y Paiguano destacan por tener mayor superficie de áreas verdes mantenidas por habitante. El máximo lo alcanzó Illapel el año 2010 con 210,72 m2/hab, seguido de Paiguano el año 2008 con 17,57 m2/hab."/>
    <s v="Gráfico de Evolución"/>
    <s v="Región de Coquimbo,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4"/>
    <x v="21"/>
    <s v="#1774B9"/>
  </r>
  <r>
    <s v="1360"/>
    <n v="990"/>
    <s v="Agencia Información"/>
    <s v="Gobiernos locales"/>
    <n v="5"/>
    <x v="68"/>
    <x v="24"/>
    <x v="1"/>
    <x v="5"/>
    <x v="1"/>
    <x v="88"/>
    <s v="Periodo 2001-2020"/>
    <s v="m2"/>
    <s v="Sistema Nacional de Información Municipal"/>
    <s v="Áreas Verdes Mantenidas (m2) por Habitante y Comuna en la Región de Valparaíso, Periodo 2001-2020"/>
    <s v="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
    <s v="Gráfico de Evolución"/>
    <s v="Región de Valparaíso,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5"/>
    <x v="22"/>
    <s v="#1774B9"/>
  </r>
  <r>
    <s v="1361"/>
    <n v="990"/>
    <s v="Agencia Información"/>
    <s v="Gobiernos locales"/>
    <n v="6"/>
    <x v="68"/>
    <x v="24"/>
    <x v="1"/>
    <x v="6"/>
    <x v="1"/>
    <x v="88"/>
    <s v="Periodo 2001-2020"/>
    <s v="m2"/>
    <s v="Sistema Nacional de Información Municipal"/>
    <s v="Áreas Verdes Mantenidas (m2) por Habitante y Comuna en la Región de O'Higgins, Periodo 2001-2020"/>
    <s v="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
    <s v="Gráfico de Evolución"/>
    <s v="Región de O'Higgin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6"/>
    <x v="23"/>
    <s v="#1774B9"/>
  </r>
  <r>
    <s v="1362"/>
    <n v="990"/>
    <s v="Agencia Información"/>
    <s v="Gobiernos locales"/>
    <n v="7"/>
    <x v="68"/>
    <x v="24"/>
    <x v="1"/>
    <x v="7"/>
    <x v="1"/>
    <x v="88"/>
    <s v="Periodo 2001-2020"/>
    <s v="m2"/>
    <s v="Sistema Nacional de Información Municipal"/>
    <s v="Áreas Verdes Mantenidas (m2) por Habitante y Comuna en la Región de Maule, Periodo 2001-2020"/>
    <s v="En la región de Maule, durante el periodo 2001-2020, las comunas de Parral y Pelluhue destacan por tener mayor superficie de áreas verdes mantenidas por habitante. El máximo lo alcanzó Parral el año 2010 con 87,83 m2/hab, seguido de Pelluhue el año 2019 con 44,90 m2/hab."/>
    <s v="Gráfico de Evolución"/>
    <s v="Región de Maule,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7"/>
    <x v="24"/>
    <s v="#1774B9"/>
  </r>
  <r>
    <s v="1363"/>
    <n v="990"/>
    <s v="Agencia Información"/>
    <s v="Gobiernos locales"/>
    <n v="8"/>
    <x v="68"/>
    <x v="24"/>
    <x v="1"/>
    <x v="8"/>
    <x v="1"/>
    <x v="88"/>
    <s v="Periodo 2001-2020"/>
    <s v="m2"/>
    <s v="Sistema Nacional de Información Municipal"/>
    <s v="Áreas Verdes Mantenidas (m2) por Habitante y Comuna en la Región del Biobío, Periodo 2001-2020"/>
    <s v="En la región del Biobío, durante el periodo 2001-2020, las comunas de Negrete y Lota destacan por tener mayor superficie de áreas verdes mantenidas por habitante. El máximo lo alcanzó Negrete el año 2020 con 23,97 m2/hab, seguido de Lota el año 2007 con 18,61 m2/hab."/>
    <s v="Gráfico de Evolución"/>
    <s v="Región del Biobío,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8"/>
    <x v="25"/>
    <s v="#1774B9"/>
  </r>
  <r>
    <s v="1364"/>
    <n v="990"/>
    <s v="Agencia Información"/>
    <s v="Gobiernos locales"/>
    <n v="9"/>
    <x v="68"/>
    <x v="24"/>
    <x v="1"/>
    <x v="9"/>
    <x v="1"/>
    <x v="88"/>
    <s v="Periodo 2001-2020"/>
    <s v="m2"/>
    <s v="Sistema Nacional de Información Municipal"/>
    <s v="Áreas Verdes Mantenidas (m2) por Habitante y Comuna en la Región de La Araucanía, Periodo 2001-2020"/>
    <s v="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
    <s v="Gráfico de Evolución"/>
    <s v="Región de La Araucaní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9"/>
    <x v="26"/>
    <s v="#1774B9"/>
  </r>
  <r>
    <s v="1365"/>
    <n v="990"/>
    <s v="Agencia Información"/>
    <s v="Gobiernos locales"/>
    <n v="10"/>
    <x v="68"/>
    <x v="24"/>
    <x v="1"/>
    <x v="10"/>
    <x v="1"/>
    <x v="88"/>
    <s v="Periodo 2001-2020"/>
    <s v="m2"/>
    <s v="Sistema Nacional de Información Municipal"/>
    <s v="Áreas Verdes Mantenidas (m2) por Habitante y Comuna en la Región de Los Lagos, Periodo 2001-2020"/>
    <s v="En la región de Los Lagos, durante el periodo 2001-2020, las comunas de Futaleufú y Palena destacan por tener mayor superficie de áreas verdes mantenidas por habitante. El máximo lo alcanzó Futaleufú el año 2020 con 85,00 m2/hab, seguido de Palena el año 2010 con 29,06 m2/hab."/>
    <s v="Gráfico de Evolución"/>
    <s v="Región de Los Lago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0"/>
    <x v="27"/>
    <s v="#1774B9"/>
  </r>
  <r>
    <s v="1366"/>
    <n v="990"/>
    <s v="Agencia Información"/>
    <s v="Gobiernos locales"/>
    <n v="11"/>
    <x v="68"/>
    <x v="24"/>
    <x v="1"/>
    <x v="11"/>
    <x v="1"/>
    <x v="88"/>
    <s v="Periodo 2001-2020"/>
    <s v="m2"/>
    <s v="Sistema Nacional de Información Municipal"/>
    <s v="Áreas Verdes Mantenidas (m2) por Habitante y Comuna en la Región de Aysén, Periodo 2001-2020"/>
    <s v="En la región de Aysén, durante el periodo 2001-2020, las comunas de Lago Verde y O'Higgins destacan por tener mayor superficie de áreas verdes mantenidas por habitante. El máximo lo alcanzó Lago Verde el año 2015 con 180,72 m2/hab, seguido de O'Higgins el año 2014 con 148,38 m2/hab."/>
    <s v="Gráfico de Evolución"/>
    <s v="Región de Aysén,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1"/>
    <x v="33"/>
    <s v="#1774B9"/>
  </r>
  <r>
    <s v="1367"/>
    <n v="990"/>
    <s v="Agencia Información"/>
    <s v="Gobiernos locales"/>
    <n v="12"/>
    <x v="68"/>
    <x v="24"/>
    <x v="1"/>
    <x v="12"/>
    <x v="1"/>
    <x v="88"/>
    <s v="Periodo 2001-2020"/>
    <s v="m2"/>
    <s v="Sistema Nacional de Información Municipal"/>
    <s v="Áreas Verdes Mantenidas (m2) por Habitante y Comuna en la Región de Magallanes, Periodo 2001-2020"/>
    <s v="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
    <s v="Gráfico de Evolución"/>
    <s v="Región de Magallane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2"/>
    <x v="28"/>
    <s v="#1774B9"/>
  </r>
  <r>
    <s v="1368"/>
    <n v="990"/>
    <s v="Agencia Información"/>
    <s v="Gobiernos locales"/>
    <n v="13"/>
    <x v="68"/>
    <x v="24"/>
    <x v="1"/>
    <x v="13"/>
    <x v="1"/>
    <x v="88"/>
    <s v="Periodo 2001-2020"/>
    <s v="m2"/>
    <s v="Sistema Nacional de Información Municipal"/>
    <s v="Áreas Verdes Mantenidas (m2) por Habitante y Comuna en la Región Metropolitana, Periodo 2001-2020"/>
    <s v="En la región Metropolitana, durante el periodo 2001-2020, las comunas de Tiltil y Pirque destacan por tener mayor superficie de áreas verdes mantenidas por habitante. El máximo lo alcanzó Tiltil el año 2010 con 118,96 m2/hab, seguido de Pirque el año 2001 con 20,69 m2/hab."/>
    <s v="Gráfico de Evolución"/>
    <s v="Región Metropolitan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3"/>
    <x v="29"/>
    <s v="#1774B9"/>
  </r>
  <r>
    <s v="1369"/>
    <n v="990"/>
    <s v="Agencia Información"/>
    <s v="Gobiernos locales"/>
    <n v="14"/>
    <x v="68"/>
    <x v="24"/>
    <x v="1"/>
    <x v="14"/>
    <x v="1"/>
    <x v="88"/>
    <s v="Periodo 2001-2020"/>
    <s v="m2"/>
    <s v="Sistema Nacional de Información Municipal"/>
    <s v="Áreas Verdes Mantenidas (m2) por Habitante y Comuna en la Región de Los Ríos, Periodo 2001-2020"/>
    <s v="En la región de Los Ríos, durante el periodo 2001-2020, las comunas de Lago Ranco y Futrono destacan por tener mayor superficie de áreas verdes mantenidas por habitante. El máximo lo alcanzó Lago Ranco el año 2008 con 32,97 m2/hab, seguido de Futrono el año 2013 con 31,61 m2/hab."/>
    <s v="Gráfico de Evolución"/>
    <s v="Región de Los Ríos,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4"/>
    <x v="30"/>
    <s v="#1774B9"/>
  </r>
  <r>
    <s v="1370"/>
    <n v="990"/>
    <s v="Agencia Información"/>
    <s v="Gobiernos locales"/>
    <n v="15"/>
    <x v="68"/>
    <x v="24"/>
    <x v="1"/>
    <x v="15"/>
    <x v="1"/>
    <x v="88"/>
    <s v="Periodo 2001-2020"/>
    <s v="m2"/>
    <s v="Sistema Nacional de Información Municipal"/>
    <s v="Áreas Verdes Mantenidas (m2) por Habitante y Comuna en la Región de Arica y Parinacota, Periodo 2001-2020"/>
    <s v="En la región de Arica y Parinacota, durante el periodo 2001-2020, las comunas de Putre y Arica destacan por tener mayor superficie de áreas verdes mantenidas por habitante. El máximo lo alcanzó Putre el año 2013 con 34,56 m2/hab, seguido de Arica el año 2001 con 4,06 m2/hab."/>
    <s v="Gráfico de Evolución"/>
    <s v="Región de Arica y Parinacota,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5"/>
    <x v="31"/>
    <s v="#1774B9"/>
  </r>
  <r>
    <s v="1371"/>
    <n v="990"/>
    <s v="Agencia Información"/>
    <s v="Gobiernos locales"/>
    <n v="16"/>
    <x v="68"/>
    <x v="24"/>
    <x v="1"/>
    <x v="16"/>
    <x v="1"/>
    <x v="88"/>
    <s v="Periodo 2001-2020"/>
    <s v="m2"/>
    <s v="Sistema Nacional de Información Municipal"/>
    <s v="Áreas Verdes Mantenidas (m2) por Habitante y Comuna en la Región de Ñuble, Periodo 2001-2020"/>
    <s v="En la región de Ñuble, durante el periodo 2001-2020, las comunas de Coelemu y San Nicolás destacan por tener mayor superficie de áreas verdes mantenidas por habitante. El máximo lo alcanzó Coelemu el año 2009 con 78,45 m2/hab, seguido de San Nicolás el año 2007 con 29,93 m2/hab."/>
    <s v="Gráfico de Evolución"/>
    <s v="Región de Ñuble,regional,comuna,áreas,verdes,mantenidas,superficie,m2,habitante,gestión,municipal,territorial,gobierno,regional,municipal,municipalidad,Agencia Información,Gobiernos Locales,Áreas Verdes  ,Gestión Municipal Territorial"/>
    <s v="https://analytics.zoho.com/open-view/2395394000008478003?ZOHO_CRITERIA=%22Localiza%20CL%22.%22Codreg%22%20%3D%2016"/>
    <x v="32"/>
    <s v="#1774B9"/>
  </r>
  <r>
    <s v="1372"/>
    <n v="990"/>
    <s v="Agencia Información"/>
    <s v="Salud"/>
    <n v="0"/>
    <x v="69"/>
    <x v="27"/>
    <x v="0"/>
    <x v="0"/>
    <x v="1"/>
    <x v="89"/>
    <s v="Periodo 2009-2017"/>
    <s v="N° de casos"/>
    <s v="Encuestas CASEN"/>
    <s v="Población que tuvo al menos una Consulta Mental en Chile, a Escala Nacional, Periodo 2009-2017"/>
    <s v="El promedio anual de la población que tuvo al menos una consulta mental es de 345.298 personas. Los años 2011, 2015 y 2017 superan esta cifra en más de 10.000 consultas, según los resultados de las encuestas CASEN."/>
    <s v="Gráfico de Evolución"/>
    <s v="Chile,nacional,mental,consultas,porcentaje,proporción,población,evolución,Agencia Información,Salud,Salud Mental,Estado de la Salud"/>
    <s v="https://analytics.zoho.com/open-view/2395394000007274123"/>
    <x v="34"/>
    <s v="#1774B9"/>
  </r>
  <r>
    <s v="1373"/>
    <n v="990"/>
    <s v="Agencia Información"/>
    <s v="Salud"/>
    <n v="0"/>
    <x v="69"/>
    <x v="27"/>
    <x v="0"/>
    <x v="0"/>
    <x v="1"/>
    <x v="90"/>
    <s v="Periodo 2009-2017"/>
    <s v="Tasa"/>
    <s v="Encuestas CASEN"/>
    <s v="Evolución de la Tasa de Consultas Mentales a Escala Regional (Consultas cada 100 mil habitantes) en Chile, Periodo 2009-2017"/>
    <s v="La Región Metropolitana presentó la tasa más alta de consultas mentales el año 2015 y 2017, alcanzando las 3.384 y 2.907 consultas (cada 100 mil habitantes) respectivamente. La Región de Ñuble presentó la tasa mas alta el año 2013 y la región de Valparaíso el año 2011."/>
    <s v="Gráfico de Evolución"/>
    <s v="Chile,nacional,región,mental,consultas,tasa,100 mil,cien mil,habitantes,evolución,Agencia Información,Salud,Salud Mental,Estado de la Salud"/>
    <s v="https://analytics.zoho.com/open-view/2395394000007277131"/>
    <x v="0"/>
    <s v="#1774B9"/>
  </r>
  <r>
    <s v="1374"/>
    <n v="990"/>
    <s v="Agencia Información"/>
    <s v="Salud"/>
    <n v="0"/>
    <x v="69"/>
    <x v="27"/>
    <x v="0"/>
    <x v="0"/>
    <x v="0"/>
    <x v="90"/>
    <s v="Periodo 2009-2017"/>
    <s v="Tasa"/>
    <s v="Encuestas CASEN"/>
    <s v="Evolución de la Tasa de Consultas Mentales a Escala Comunal (Consultas cada 100 mil habitantes) en  Chile, Periodo 2009-2017"/>
    <s v="A nivel nacional, la comuna de Vitacura de la Región Metropolitana presentó la mayor tasa de consultas mentales, con 9.196 atenciones cada 100 mil habitantes, el año 2013. Para el mismo año y región, la menor tasa la presentó la comuna de Independencia, con 83 consultas."/>
    <s v="Gráfico de Evolución"/>
    <s v="Chile,nacional,región,comuna,mental,consultas,tasa,100 mil,cien mil,habitantes,evolución,Agencia Información,Salud,Salud Mental,Estado de la Salud"/>
    <s v="https://analytics.zoho.com/open-view/2395394000008496666"/>
    <x v="17"/>
    <s v="#1774B9"/>
  </r>
  <r>
    <s v="1375"/>
    <n v="990"/>
    <s v="Agencia Información"/>
    <s v="Salud"/>
    <n v="1"/>
    <x v="69"/>
    <x v="27"/>
    <x v="1"/>
    <x v="1"/>
    <x v="1"/>
    <x v="90"/>
    <s v="Periodo 2009-2017"/>
    <s v="Tasa"/>
    <s v="Encuestas CASEN"/>
    <s v="Evolución de la Tasa de Consultas Mentales a Escala Comunal (Consultas cada 100 mil habitantes) en la  Región de Tarapacá, Periodo 2009-2017"/>
    <s v="En la región de Tarapacá, la comuna de Pozo Almonte presentó la mayor tasa de consultas mentales, con 2952 atenciones cada 100 mil habitantes, el año 2015. La menor tasa la presentó la comuna de Camiña con 265 atenciones, el año 2011."/>
    <s v="Gráfico de Evolución"/>
    <s v="Región de Tarapacá,regional,comuna,mental,consultas,tasa,100 mil,cien mil,habitantes,evolución,Agencia Información,Salud,Salud Mental,Estado de la Salud"/>
    <s v="https://analytics.zoho.com/open-view/2395394000008502284?ZOHO_CRITERIA=%22Localiza%20Chile%22.%22Codreg%22%3D1"/>
    <x v="18"/>
    <s v="#1774B9"/>
  </r>
  <r>
    <s v="1376"/>
    <n v="990"/>
    <s v="Agencia Información"/>
    <s v="Salud"/>
    <n v="2"/>
    <x v="69"/>
    <x v="27"/>
    <x v="1"/>
    <x v="2"/>
    <x v="1"/>
    <x v="90"/>
    <s v="Periodo 2009-2017"/>
    <s v="Tasa"/>
    <s v="Encuestas CASEN"/>
    <s v="Evolución de la Tasa de Consultas Mentales a Escala Comunal (Consultas cada 100 mil habitantes) en la  Región de Antofagasta, Periodo 2009-2017"/>
    <s v="En la región de Antofagasta, la comuna de Mejillones presentó la mayor tasa de consultas mentales, con 2698 atenciones cada 100 mil habitantes, el año 2017. La menor tasa la presentó la comuna de María Elena con 189 atenciones, el año 2011."/>
    <s v="Gráfico de Evolución"/>
    <s v="Región de Antofagasta,regional,comuna,mental,consultas,tasa,100 mil,cien mil,habitantes,evolución,Agencia Información,Salud,Salud Mental,Estado de la Salud"/>
    <s v="https://analytics.zoho.com/open-view/2395394000008502284?ZOHO_CRITERIA=%22Localiza%20Chile%22.%22Codreg%22%3D2"/>
    <x v="19"/>
    <s v="#1774B9"/>
  </r>
  <r>
    <s v="1377"/>
    <n v="990"/>
    <s v="Agencia Información"/>
    <s v="Salud"/>
    <n v="3"/>
    <x v="69"/>
    <x v="27"/>
    <x v="1"/>
    <x v="3"/>
    <x v="1"/>
    <x v="90"/>
    <s v="Periodo 2009-2017"/>
    <s v="Tasa"/>
    <s v="Encuestas CASEN"/>
    <s v="Evolución de la Tasa de Consultas Mentales a Escala Comunal (Consultas cada 100 mil habitantes) en la  Región de Atacama, Periodo 2009-2017"/>
    <s v="En la región de Atacama, la comuna de Caldera presentó la mayor tasa de consultas mentales, con 3.573 atenciones cada 100 mil habitantes, el año 2009. La menor tasa la presentó la comuna de Chañaral con 384 atenciones, el año 2009."/>
    <s v="Gráfico de Evolución"/>
    <s v="Región de Atacama,regional,comuna,mental,consultas,tasa,100 mil,cien mil,habitantes,evolución,Agencia Información,Salud,Salud Mental,Estado de la Salud"/>
    <s v="https://analytics.zoho.com/open-view/2395394000008502284?ZOHO_CRITERIA=%22Localiza%20Chile%22.%22Codreg%22%3D3"/>
    <x v="20"/>
    <s v="#1774B9"/>
  </r>
  <r>
    <s v="1378"/>
    <n v="990"/>
    <s v="Agencia Información"/>
    <s v="Salud"/>
    <n v="4"/>
    <x v="69"/>
    <x v="27"/>
    <x v="1"/>
    <x v="4"/>
    <x v="1"/>
    <x v="90"/>
    <s v="Periodo 2009-2017"/>
    <s v="Tasa"/>
    <s v="Encuestas CASEN"/>
    <s v="Evolución de la Tasa de Consultas Mentales a Escala Comunal (Consultas cada 100 mil habitantes) en la  Región de Coquimbo, Periodo 2009-2017"/>
    <s v="En la región de Coquimbo, la comuna de La Higuera presentó la mayor tasa de consultas mentales, con 5.118 atenciones cada 100 mil habitantes, el año 2015. La menor tasa la presentó la comuna de Canela con 290 atenciones, el año 2015."/>
    <s v="Gráfico de Evolución"/>
    <s v="Región de Coquimbo,regional,comuna,mental,consultas,tasa,100 mil,cien mil,habitantes,evolución,Agencia Información,Salud,Salud Mental,Estado de la Salud"/>
    <s v="https://analytics.zoho.com/open-view/2395394000008502284?ZOHO_CRITERIA=%22Localiza%20Chile%22.%22Codreg%22%3D4"/>
    <x v="21"/>
    <s v="#1774B9"/>
  </r>
  <r>
    <s v="1379"/>
    <n v="990"/>
    <s v="Agencia Información"/>
    <s v="Salud"/>
    <n v="5"/>
    <x v="69"/>
    <x v="27"/>
    <x v="1"/>
    <x v="5"/>
    <x v="1"/>
    <x v="90"/>
    <s v="Periodo 2009-2017"/>
    <s v="Tasa"/>
    <s v="Encuestas CASEN"/>
    <s v="Evolución de la Tasa de Consultas Mentales a Escala Comunal (Consultas cada 100 mil habitantes) en la  Región de Valparaíso, Periodo 2009-2017"/>
    <s v="En la región de Valparaíso, la comuna de Casablanca presentó la mayor tasa de consultas mentales, con 8.157 atenciones cada 100 mil habitantes, el año 2011. La menor tasa la presentó la comuna de La Ligua con 168 atenciones, el año 2017."/>
    <s v="Gráfico de Evolución"/>
    <s v="Región de Valparaíso,regional,comuna,mental,consultas,tasa,100 mil,cien mil,habitantes,evolución,Agencia Información,Salud,Salud Mental,Estado de la Salud"/>
    <s v="https://analytics.zoho.com/open-view/2395394000008502284?ZOHO_CRITERIA=%22Localiza%20Chile%22.%22Codreg%22%3D5"/>
    <x v="22"/>
    <s v="#1774B9"/>
  </r>
  <r>
    <s v="1380"/>
    <n v="990"/>
    <s v="Agencia Información"/>
    <s v="Salud"/>
    <n v="6"/>
    <x v="69"/>
    <x v="27"/>
    <x v="1"/>
    <x v="6"/>
    <x v="1"/>
    <x v="90"/>
    <s v="Periodo 2009-2017"/>
    <s v="Tasa"/>
    <s v="Encuestas CASEN"/>
    <s v="Evolución de la Tasa de Consultas Mentales a Escala Comunal (Consultas cada 100 mil habitantes) en la  Región de O'Higgins, Periodo 2009-2017"/>
    <s v="En la región de O´Higgins, la comuna de Navidad presentó la mayor tasa de consultas mentales, con 7.478 atenciones cada 100 mil habitantes, el año 2015. La menor tasa la presentó la comuna de Marchihue con 139 atenciones, el año 2015."/>
    <s v="Gráfico de Evolución"/>
    <s v="Región de O'Higgins,regional,comuna,mental,consultas,tasa,100 mil,cien mil,habitantes,evolución,Agencia Información,Salud,Salud Mental,Estado de la Salud"/>
    <s v="https://analytics.zoho.com/open-view/2395394000008502284?ZOHO_CRITERIA=%22Localiza%20Chile%22.%22Codreg%22%3D6"/>
    <x v="23"/>
    <s v="#1774B9"/>
  </r>
  <r>
    <s v="1381"/>
    <n v="990"/>
    <s v="Agencia Información"/>
    <s v="Salud"/>
    <n v="7"/>
    <x v="69"/>
    <x v="27"/>
    <x v="1"/>
    <x v="7"/>
    <x v="1"/>
    <x v="90"/>
    <s v="Periodo 2009-2017"/>
    <s v="Tasa"/>
    <s v="Encuestas CASEN"/>
    <s v="Evolución de la Tasa de Consultas Mentales a Escala Comunal (Consultas cada 100 mil habitantes) en la  Región de Maule, Periodo 2009-2017"/>
    <s v="En la región de Maule, la comuna de Maule presentó la mayor tasa de consultas mentales, con 7.314 atenciones cada 100 mil habitantes, el año 2017. La menor tasa la presentó la comuna de Yerbas Buenas con 99 atenciones, el año 2013."/>
    <s v="Gráfico de Evolución"/>
    <s v="Región de Maule,regional,comuna,mental,consultas,tasa,100 mil,cien mil,habitantes,evolución,Agencia Información,Salud,Salud Mental,Estado de la Salud"/>
    <s v="https://analytics.zoho.com/open-view/2395394000008502284?ZOHO_CRITERIA=%22Localiza%20Chile%22.%22Codreg%22%3D7"/>
    <x v="24"/>
    <s v="#1774B9"/>
  </r>
  <r>
    <s v="1382"/>
    <n v="990"/>
    <s v="Agencia Información"/>
    <s v="Salud"/>
    <n v="8"/>
    <x v="69"/>
    <x v="27"/>
    <x v="1"/>
    <x v="8"/>
    <x v="1"/>
    <x v="90"/>
    <s v="Periodo 2009-2017"/>
    <s v="Tasa"/>
    <s v="Encuestas CASEN"/>
    <s v="Evolución de la Tasa de Consultas Mentales a Escala Comunal (Consultas cada 100 mil habitantes) en la  Región del Biobío, Periodo 2009-2017"/>
    <s v="En la región de Biobío, la comuna de Chiguayante presentó la mayor tasa de consultas mentales, con 5.151 atenciones cada 100 mil habitantes, el año 2017. La menor tasa la presentó la comuna de Los Álamos con 110 atenciones, el año 2013."/>
    <s v="Gráfico de Evolución"/>
    <s v="Región del Biobío,regional,comuna,mental,consultas,tasa,100 mil,cien mil,habitantes,evolución,Agencia Información,Salud,Salud Mental,Estado de la Salud"/>
    <s v="https://analytics.zoho.com/open-view/2395394000008502284?ZOHO_CRITERIA=%22Localiza%20Chile%22.%22Codreg%22%3D8"/>
    <x v="25"/>
    <s v="#1774B9"/>
  </r>
  <r>
    <s v="1383"/>
    <n v="990"/>
    <s v="Agencia Información"/>
    <s v="Salud"/>
    <n v="9"/>
    <x v="69"/>
    <x v="27"/>
    <x v="1"/>
    <x v="9"/>
    <x v="1"/>
    <x v="90"/>
    <s v="Periodo 2009-2017"/>
    <s v="Tasa"/>
    <s v="Encuestas CASEN"/>
    <s v="Evolución de la Tasa de Consultas Mentales a Escala Comunal (Consultas cada 100 mil habitantes) en la  Región de La Araucanía, Periodo 2009-2017"/>
    <s v="En la región de La Araucanía, la comuna de Gorbea presentó la mayor tasa de consultas mentales con 7.604 atenciones cada 100 mil habitantes, el año 2013. La menor tasa la presentó la comuna de Galvarino con 164 atenciones, el año 2009."/>
    <s v="Gráfico de Evolución"/>
    <s v="Región de La Araucanía,regional,comuna,mental,consultas,tasa,100 mil,cien mil,habitantes,evolución,Agencia Información,Salud,Salud Mental,Estado de la Salud"/>
    <s v="https://analytics.zoho.com/open-view/2395394000008502284?ZOHO_CRITERIA=%22Localiza%20Chile%22.%22Codreg%22%3D9"/>
    <x v="26"/>
    <s v="#1774B9"/>
  </r>
  <r>
    <s v="1384"/>
    <n v="990"/>
    <s v="Agencia Información"/>
    <s v="Salud"/>
    <n v="10"/>
    <x v="69"/>
    <x v="27"/>
    <x v="1"/>
    <x v="10"/>
    <x v="1"/>
    <x v="90"/>
    <s v="Periodo 2009-2017"/>
    <s v="Tasa"/>
    <s v="Encuestas CASEN"/>
    <s v="Evolución de la Tasa de Consultas Mentales a Escala Comunal (Consultas cada 100 mil habitantes) en la  Región de Los Lagos, Periodo 2009-2017"/>
    <s v="En la región de Los Lagos, la comuna de Curaco de Veléz presentó la mayor tasa de consultas mentales con 5.850 atenciones cada 100 mil habitantes, el año 2013. La menor tasa la presentó la comuna de Quinchao con 268 atenciones, el año 2017."/>
    <s v="Gráfico de Evolución"/>
    <s v="Región de Los Lagos,regional,comuna,mental,consultas,tasa,100 mil,cien mil,habitantes,evolución,Agencia Información,Salud,Salud Mental,Estado de la Salud"/>
    <s v="https://analytics.zoho.com/open-view/2395394000008502284?ZOHO_CRITERIA=%22Localiza%20Chile%22.%22Codreg%22%3D10"/>
    <x v="27"/>
    <s v="#1774B9"/>
  </r>
  <r>
    <s v="1385"/>
    <n v="990"/>
    <s v="Agencia Información"/>
    <s v="Salud"/>
    <n v="11"/>
    <x v="69"/>
    <x v="27"/>
    <x v="1"/>
    <x v="11"/>
    <x v="1"/>
    <x v="90"/>
    <s v="Periodo 2009-2017"/>
    <s v="Tasa"/>
    <s v="Encuestas CASEN"/>
    <s v="Evolución de la Tasa de Consultas Mentales a Escala Comunal (Consultas cada 100 mil habitantes) en la  Región de Aysén, Periodo 2009-2017"/>
    <s v="En la región de Aysén, la comuna de Río Ibáñez presentó la mayor tasa de consultas mentales, con 3.745 atenciones cada 100 mil habitantes, el año 2013. La menor tasa la presentó la comuna de Chile Chico con 449 atenciones, el año 2009."/>
    <s v="Gráfico de Evolución"/>
    <s v="Región de Aysén,regional,comuna,mental,consultas,tasa,100 mil,cien mil,habitantes,evolución,Agencia Información,Salud,Salud Mental,Estado de la Salud"/>
    <s v="https://analytics.zoho.com/open-view/2395394000008502284?ZOHO_CRITERIA=%22Localiza%20Chile%22.%22Codreg%22%3D11"/>
    <x v="33"/>
    <s v="#1774B9"/>
  </r>
  <r>
    <s v="1386"/>
    <n v="990"/>
    <s v="Agencia Información"/>
    <s v="Salud"/>
    <n v="12"/>
    <x v="69"/>
    <x v="27"/>
    <x v="1"/>
    <x v="12"/>
    <x v="1"/>
    <x v="90"/>
    <s v="Periodo 2009-2017"/>
    <s v="Tasa"/>
    <s v="Encuestas CASEN"/>
    <s v="Evolución de la Tasa de Consultas Mentales a Escala Comunal (Consultas cada 100 mil habitantes) en la  Región de Magallanes, Periodo 2009-2017"/>
    <s v="En la región de Magallanes, la comuna de Punta Arenas presentó la mayor tasa de consultas mentales, con 3.703 atenciones cada 100 mil habitantes, el año 2009. La menor tasa la presentó la comuna de Porvenir con 280 atenciones, el año 2011."/>
    <s v="Gráfico de Evolución"/>
    <s v="Región de Magallanes,regional,comuna,mental,consultas,tasa,100 mil,cien mil,habitantes,evolución,Agencia Información,Salud,Salud Mental,Estado de la Salud"/>
    <s v="https://analytics.zoho.com/open-view/2395394000008502284?ZOHO_CRITERIA=%22Localiza%20Chile%22.%22Codreg%22%3D12"/>
    <x v="28"/>
    <s v="#1774B9"/>
  </r>
  <r>
    <s v="1387"/>
    <n v="990"/>
    <s v="Agencia Información"/>
    <s v="Salud"/>
    <n v="13"/>
    <x v="69"/>
    <x v="27"/>
    <x v="1"/>
    <x v="13"/>
    <x v="1"/>
    <x v="90"/>
    <s v="Periodo 2009-2017"/>
    <s v="Tasa"/>
    <s v="Encuestas CASEN"/>
    <s v="Evolución de la Tasa de Consultas Mentales a Escala Comunal (Consultas cada 100 mil habitantes) en la  Región Metropolitana, Periodo 2009-2017"/>
    <s v="En la región Metropolitana, la comuna de Vitacura presentó la mayor tasa de consultas mentales, con 9.196 atenciones cada 100 mil habitantes, el año 2013. La menor tasa la presentó la comuna de Independencia con 83 atenciones, el año 2013."/>
    <s v="Gráfico de Evolución"/>
    <s v="Región Metropolitana,regional,comuna,mental,consultas,tasa,100 mil,cien mil,habitantes,evolución,Agencia Información,Salud,Salud Mental,Estado de la Salud"/>
    <s v="https://analytics.zoho.com/open-view/2395394000008502284?ZOHO_CRITERIA=%22Localiza%20Chile%22.%22Codreg%22%3D13"/>
    <x v="29"/>
    <s v="#1774B9"/>
  </r>
  <r>
    <s v="1388"/>
    <n v="990"/>
    <s v="Agencia Información"/>
    <s v="Salud"/>
    <n v="14"/>
    <x v="69"/>
    <x v="27"/>
    <x v="1"/>
    <x v="14"/>
    <x v="1"/>
    <x v="90"/>
    <s v="Periodo 2009-2017"/>
    <s v="Tasa"/>
    <s v="Encuestas CASEN"/>
    <s v="Evolución de la Tasa de Consultas Mentales a Escala Comunal (Consultas cada 100 mil habitantes) en la  Región de Los Ríos, Periodo 2009-2017"/>
    <s v="En la región de Los Ríos, la comuna de Paillaco presentó la mayor tasa de consultas mentales, con 4.026 atenciones cada 100 mil habitantes, el año 2017. La menor tasa la presentó la comuna de Mariquina con 115 atenciones, el año 2009."/>
    <s v="Gráfico de Evolución"/>
    <s v="Región de Los Ríos,regional,comuna,mental,consultas,tasa,100 mil,cien mil,habitantes,evolución,Agencia Información,Salud,Salud Mental,Estado de la Salud"/>
    <s v="https://analytics.zoho.com/open-view/2395394000008502284?ZOHO_CRITERIA=%22Localiza%20Chile%22.%22Codreg%22%3D14"/>
    <x v="30"/>
    <s v="#1774B9"/>
  </r>
  <r>
    <s v="1389"/>
    <n v="990"/>
    <s v="Agencia Información"/>
    <s v="Salud"/>
    <n v="15"/>
    <x v="69"/>
    <x v="27"/>
    <x v="1"/>
    <x v="15"/>
    <x v="1"/>
    <x v="90"/>
    <s v="Periodo 2009-2017"/>
    <s v="Tasa"/>
    <s v="Encuestas CASEN"/>
    <s v="Evolución de la Tasa de Consultas Mentales a Escala Comunal (Consultas cada 100 mil habitantes) en la  Región de Arica y Parinacota, Periodo 2009-2017"/>
    <s v="En la región de Arica y Parinacota, la comuna de Camarones presentó la mayor tasa de consultas mentales, con 6.816 atenciones cada 100 mil habitantes, el año 2013. La menor tasa la presentó la comuna de Putre con 304 atenciones, el año 2013."/>
    <s v="Gráfico de Evolución"/>
    <s v="Región de Arica y Parinacota,regional,comuna,mental,consultas,tasa,100 mil,cien mil,habitantes,evolución,Agencia Información,Salud,Salud Mental,Estado de la Salud"/>
    <s v="https://analytics.zoho.com/open-view/2395394000008502284?ZOHO_CRITERIA=%22Localiza%20Chile%22.%22Codreg%22%3D15"/>
    <x v="31"/>
    <s v="#1774B10"/>
  </r>
  <r>
    <s v="1390"/>
    <n v="990"/>
    <s v="Agencia Información"/>
    <s v="Salud"/>
    <n v="16"/>
    <x v="69"/>
    <x v="27"/>
    <x v="1"/>
    <x v="16"/>
    <x v="1"/>
    <x v="90"/>
    <s v="Periodo 2009-2017"/>
    <s v="Tasa"/>
    <s v="Encuestas CASEN"/>
    <s v="Evolución de la Tasa de Consultas Mentales a Escala Comunal (Consultas cada 100 mil habitantes) en la  Región de Ñuble, Periodo 2009-2017"/>
    <s v="En la región de Ñuble, la comuna de Ñiquén presentó la mayor tasa de consultas mentales, con 5.830 atenciones cada 100 mil habitantes, el año 2009. La menor tasa la presentó la comuna de Ninhue con 294 atenciones, el año 2011."/>
    <s v="Gráfico de Evolución"/>
    <s v="Región de Ñuble,regional,comuna,mental,consultas,tasa,100 mil,cien mil,habitantes,evolución,Agencia Información,Salud,Salud Mental,Estado de la Salud"/>
    <s v="https://analytics.zoho.com/open-view/2395394000008502284?ZOHO_CRITERIA=%22Localiza%20Chile%22.%22Codreg%22%3D16"/>
    <x v="32"/>
    <s v="#1774B11"/>
  </r>
  <r>
    <s v="1391"/>
    <n v="990"/>
    <s v="Agencia Información"/>
    <s v="Tecnología, Internet y Telecomunicaciones"/>
    <n v="0"/>
    <x v="70"/>
    <x v="28"/>
    <x v="0"/>
    <x v="0"/>
    <x v="14"/>
    <x v="91"/>
    <s v="Periodo 2007-2019"/>
    <s v="Número de suscripciones"/>
    <s v="Biblioteca del Congreso Nacional"/>
    <s v="Top 10 de comunas en Chile con mayor cantidad de suscripciones a internet fija, Periodo 2007-2019"/>
    <s v="El top 10 de comunas con mayor cantidad de conexiones a internet fijo tanto para el año 2018 como para el 2019, es Santiago, Maipú, Puente Alto, La Florida, Viña del Mar, Antofagasta, Providencia, Ñuñoa y Temuco. "/>
    <s v="Ranking"/>
    <s v="Chile,ranking,conexiones,internet fija,país,suscripciones,comunas,cantidad,Agencia Información,Tecnología, Internet y Telecomunicaciones,Conexiones de internet fija,Internet"/>
    <s v="https://analytics.zoho.com/open-view/2395394000008435350"/>
    <x v="34"/>
    <s v="#1774B12"/>
  </r>
  <r>
    <s v="1392"/>
    <n v="990"/>
    <s v="Agencia Información"/>
    <s v="Tecnología, Internet y Telecomunicaciones"/>
    <n v="0"/>
    <x v="70"/>
    <x v="28"/>
    <x v="0"/>
    <x v="0"/>
    <x v="0"/>
    <x v="91"/>
    <s v="Año 2019"/>
    <s v="Número de suscripciones"/>
    <s v="Biblioteca del Congreso Nacional"/>
    <s v="Mapa de cantidad de conexiones a internet fija en Chile, Año 2019"/>
    <s v="En el año 2019, a nivel nacional, la comuna que presentó mayor cantidad de conexiones a Internet fija fue la comuna de Santiago con 173.222 conexiones, en segundo lugar Maipú con 133.689 conexiones, ambas comunas pertenecientes a la región Metropolitana. "/>
    <s v="Mapa de calor"/>
    <s v="Chile,conexión,internet fija,comuna,región,conexiones,suscripciones,país,Agencia Información,Tecnología, Internet y Telecomunicaciones,Conexiones de internet fija,Internet"/>
    <s v="https://analytics.zoho.com/open-view/2395394000008438417"/>
    <x v="17"/>
    <s v="#1774B13"/>
  </r>
  <r>
    <s v="1393"/>
    <n v="990"/>
    <s v="Agencia Información"/>
    <s v="Tecnología, Internet y Telecomunicaciones"/>
    <n v="1"/>
    <x v="70"/>
    <x v="28"/>
    <x v="1"/>
    <x v="1"/>
    <x v="1"/>
    <x v="91"/>
    <s v="Año 2019"/>
    <s v="Número de suscripciones"/>
    <s v="Biblioteca del Congreso Nacional"/>
    <s v="Mapa de cantidad de conexiones a internet fija en la Región de Tarapacá, Año 2019"/>
    <s v="En la región de Tarapacá, la comuna de Iquique, registraba la mayor cantidad de conexiones de internet fija, con 50.579 conexiones, en el año 2019.  En el mismo año, la comuna de Camiña registraba sólo 1 conexión."/>
    <s v="Mapa de calor"/>
    <s v="Región de Tarapacá,conexión,internet fija,comuna,región,conexiones,suscripciones,Agencia Información,Tecnología, Internet y Telecomunicaciones,Conexiones de internet fija,Internet"/>
    <s v="https://analytics.zoho.com/open-view/2395394000008435500?ZOHO_CRITERIA=%22Conexi%C3%B3n_Internet_fija%22.%22Codreg%22%3D1"/>
    <x v="18"/>
    <s v="#1774B14"/>
  </r>
  <r>
    <s v="1394"/>
    <n v="990"/>
    <s v="Agencia Información"/>
    <s v="Tecnología, Internet y Telecomunicaciones"/>
    <n v="2"/>
    <x v="70"/>
    <x v="28"/>
    <x v="1"/>
    <x v="2"/>
    <x v="1"/>
    <x v="91"/>
    <s v="Año 2019"/>
    <s v="Número de suscripciones"/>
    <s v="Biblioteca del Congreso Nacional"/>
    <s v="Mapa de cantidad de conexiones a internet fija en la Región de Antofagasta, Año 2019"/>
    <s v="En la región de Antofagasta, la comuna de Iquique, registraba la mayor cantidad de conexiones de internet fija, con 94.039 conexiones, en el año 2019.  En el mismo año, la comuna de Ollagüe no registraba conexiones."/>
    <s v="Mapa de calor"/>
    <s v="Región de Antofagasta,conexión,internet fija,comuna,región,conexiones,suscripciones,Agencia Información,Tecnología, Internet y Telecomunicaciones,Conexiones de internet fija,Internet"/>
    <s v="https://analytics.zoho.com/open-view/2395394000008435500?ZOHO_CRITERIA=%22Conexi%C3%B3n_Internet_fija%22.%22Codreg%22%3D2"/>
    <x v="19"/>
    <s v="#1774B15"/>
  </r>
  <r>
    <s v="1395"/>
    <n v="990"/>
    <s v="Agencia Información"/>
    <s v="Tecnología, Internet y Telecomunicaciones"/>
    <n v="3"/>
    <x v="70"/>
    <x v="28"/>
    <x v="1"/>
    <x v="3"/>
    <x v="1"/>
    <x v="91"/>
    <s v="Año 2019"/>
    <s v="Número de suscripciones"/>
    <s v="Biblioteca del Congreso Nacional"/>
    <s v="Mapa de cantidad de conexiones a internet fija en la Región de Atacama, Año 2019"/>
    <s v="En la región de Atacama, la comuna de Copiapó, registraba la mayor cantidad de conexiones de internet fija, con 45.612 conexiones, en el año 2019.  En el mismo año, la comuna de Alto del Carmen registraba sólo 2 conexiones."/>
    <s v="Mapa de calor"/>
    <s v="Región de Atacama,conexión,internet fija,comuna,región,conexiones,suscripciones,Agencia Información,Tecnología, Internet y Telecomunicaciones,Conexiones de internet fija,Internet"/>
    <s v="https://analytics.zoho.com/open-view/2395394000008435500?ZOHO_CRITERIA=%22Conexi%C3%B3n_Internet_fija%22.%22Codreg%22%3D3"/>
    <x v="20"/>
    <s v="#1774B16"/>
  </r>
  <r>
    <s v="1396"/>
    <n v="990"/>
    <s v="Agencia Información"/>
    <s v="Tecnología, Internet y Telecomunicaciones"/>
    <n v="4"/>
    <x v="70"/>
    <x v="28"/>
    <x v="1"/>
    <x v="4"/>
    <x v="1"/>
    <x v="91"/>
    <s v="Año 2019"/>
    <s v="Número de suscripciones"/>
    <s v="Biblioteca del Congreso Nacional"/>
    <s v="Mapa de cantidad de conexiones a internet fija en la Región de Coquimbo, Año 2019"/>
    <s v="En la región de Coquimbo, la comuna de Combarbalá, registraba la mayor cantidad de conexiones de internet fija, con 70.319 conexiones, en el año 2019.  En el mismo año, la comuna de Río Hurtado registraba sólo 4 conexiones."/>
    <s v="Mapa de calor"/>
    <s v="Región de Coquimbo,conexión,internet fija,comuna,región,conexiones,suscripciones,Agencia Información,Tecnología, Internet y Telecomunicaciones,Conexiones de internet fija,Internet"/>
    <s v="https://analytics.zoho.com/open-view/2395394000008435500?ZOHO_CRITERIA=%22Conexi%C3%B3n_Internet_fija%22.%22Codreg%22%3D4"/>
    <x v="21"/>
    <s v="#1774B17"/>
  </r>
  <r>
    <s v="1397"/>
    <n v="990"/>
    <s v="Agencia Información"/>
    <s v="Tecnología, Internet y Telecomunicaciones"/>
    <n v="5"/>
    <x v="70"/>
    <x v="28"/>
    <x v="1"/>
    <x v="5"/>
    <x v="1"/>
    <x v="91"/>
    <s v="Año 2019"/>
    <s v="Número de suscripciones"/>
    <s v="Biblioteca del Congreso Nacional"/>
    <s v="Mapa de cantidad de conexiones a internet fija en la Región de Valparaíso, Año 2019"/>
    <s v="En la región de Valparaíso, la comuna de Viña del Mar, registraba la mayor cantidad de conexiones de internet fija, con 98.146 conexiones, en el año 2019.  En el mismo año, la comuna de Juan Fernández registraba sólo 2 conexiones."/>
    <s v="Mapa de calor"/>
    <s v="Región de Valparaíso,conexión,internet fija,comuna,región,conexiones,suscripciones,Agencia Información,Tecnología, Internet y Telecomunicaciones,Conexiones de internet fija,Internet"/>
    <s v="https://analytics.zoho.com/open-view/2395394000008435500?ZOHO_CRITERIA=%22Conexi%C3%B3n_Internet_fija%22.%22Codreg%22%3D5"/>
    <x v="22"/>
    <s v="#1774B18"/>
  </r>
  <r>
    <s v="1398"/>
    <n v="990"/>
    <s v="Agencia Información"/>
    <s v="Tecnología, Internet y Telecomunicaciones"/>
    <n v="6"/>
    <x v="70"/>
    <x v="28"/>
    <x v="1"/>
    <x v="6"/>
    <x v="1"/>
    <x v="91"/>
    <s v="Año 2019"/>
    <s v="Número de suscripciones"/>
    <s v="Biblioteca del Congreso Nacional"/>
    <s v="Mapa de cantidad de conexiones a internet fija en la Región de O'Higgins, Año 2019"/>
    <s v="En la región de O'Higgins, la comuna de Rancagua, registraba la mayor cantidad de conexiones de internet fija, con 62.159 conexiones, en el año 2019.  En el mismo año, la comuna de Paredones  no registraba conexiones."/>
    <s v="Mapa de calor"/>
    <s v="Región de O'Higgins,conexión,internet fija,comuna,región,conexiones,suscripciones,Agencia Información,Tecnología, Internet y Telecomunicaciones,Conexiones de internet fija,Internet"/>
    <s v="https://analytics.zoho.com/open-view/2395394000008435500?ZOHO_CRITERIA=%22Conexi%C3%B3n_Internet_fija%22.%22Codreg%22%3D6"/>
    <x v="23"/>
    <s v="#1774B19"/>
  </r>
  <r>
    <s v="1399"/>
    <n v="990"/>
    <s v="Agencia Información"/>
    <s v="Tecnología, Internet y Telecomunicaciones"/>
    <n v="7"/>
    <x v="70"/>
    <x v="28"/>
    <x v="1"/>
    <x v="7"/>
    <x v="1"/>
    <x v="91"/>
    <s v="Año 2019"/>
    <s v="Número de suscripciones"/>
    <s v="Biblioteca del Congreso Nacional"/>
    <s v="Mapa de cantidad de conexiones a internet fija en la Región de Maule, Año 2019"/>
    <s v="En la región del Maule, la comuna de Talca, registraba la mayor cantidad de conexiones de internet fija, con 59.263 conexiones, el año 2019.  En el mismo año, la comuna de Vichuquén registraba sólo 2 conexiones."/>
    <s v="Mapa de calor"/>
    <s v="Región de Maule,conexión,internet fija,comuna,región,conexiones,suscripciones,Agencia Información,Tecnología, Internet y Telecomunicaciones,Conexiones de internet fija,Internet"/>
    <s v="https://analytics.zoho.com/open-view/2395394000008435500?ZOHO_CRITERIA=%22Conexi%C3%B3n_Internet_fija%22.%22Codreg%22%3D7"/>
    <x v="24"/>
    <s v="#1774B20"/>
  </r>
  <r>
    <s v="1400"/>
    <n v="990"/>
    <s v="Agencia Información"/>
    <s v="Tecnología, Internet y Telecomunicaciones"/>
    <n v="8"/>
    <x v="70"/>
    <x v="28"/>
    <x v="1"/>
    <x v="8"/>
    <x v="1"/>
    <x v="91"/>
    <s v="Año 2019"/>
    <s v="Número de suscripciones"/>
    <s v="Biblioteca del Congreso Nacional"/>
    <s v="Mapa de cantidad de conexiones a internet fija en la Región del Biobío, Año 2019"/>
    <s v="En la región del Biobío, la comuna de Talcahuano, registraba la mayor cantidad de conexiones de internet fija, con 44.242 conexiones, el año 2019.  En el mismo año, la comuna de Tirúa registraba sólo 2 conexiones."/>
    <s v="Mapa de calor"/>
    <s v="Región del Biobío,conexión,internet fija,comuna,región,conexiones,suscripciones,Agencia Información,Tecnología, Internet y Telecomunicaciones,Conexiones de internet fija,Internet"/>
    <s v="https://analytics.zoho.com/open-view/2395394000008435500?ZOHO_CRITERIA=%22Conexi%C3%B3n_Internet_fija%22.%22Codreg%22%3D8"/>
    <x v="25"/>
    <s v="#1774B21"/>
  </r>
  <r>
    <s v="1401"/>
    <n v="990"/>
    <s v="Agencia Información"/>
    <s v="Tecnología, Internet y Telecomunicaciones"/>
    <n v="9"/>
    <x v="70"/>
    <x v="28"/>
    <x v="1"/>
    <x v="9"/>
    <x v="1"/>
    <x v="91"/>
    <s v="Año 2019"/>
    <s v="Número de suscripciones"/>
    <s v="Biblioteca del Congreso Nacional"/>
    <s v="Mapa de cantidad de conexiones a internet fija en la Región de La Araucanía, Año 2019"/>
    <s v="En la región de La Araucanía, la comuna de Temuco, registraba la mayor cantidad de conexiones de internet fija, con 74.877 conexiones, el año 2019.  En el mismo año, la comuna de Los Sauces registraba sólo 4 conexiones."/>
    <s v="Mapa de calor"/>
    <s v="Región de La Araucanía,conexión,internet fija,comuna,región,conexiones,suscripciones,Agencia Información,Tecnología, Internet y Telecomunicaciones,Conexiones de internet fija,Internet"/>
    <s v="https://analytics.zoho.com/open-view/2395394000008435500?ZOHO_CRITERIA=%22Conexi%C3%B3n_Internet_fija%22.%22Codreg%22%3D9"/>
    <x v="26"/>
    <s v="#1774B22"/>
  </r>
  <r>
    <s v="1402"/>
    <n v="990"/>
    <s v="Agencia Información"/>
    <s v="Tecnología, Internet y Telecomunicaciones"/>
    <n v="10"/>
    <x v="70"/>
    <x v="28"/>
    <x v="1"/>
    <x v="10"/>
    <x v="1"/>
    <x v="91"/>
    <s v="Año 2019"/>
    <s v="Número de suscripciones"/>
    <s v="Biblioteca del Congreso Nacional"/>
    <s v="Mapa de cantidad de conexiones a internet fija en la Región de Los Lagos, Año 2019"/>
    <s v="En la región de Los Lagos , la comuna de Puerto Montt, registraba la mayor cantidad de conexiones de internet fija, con 45.760 conexiones, el año 2019.  En el mismo año, la comuna de San Juan de la Costa registraba sólo 2 conexiones."/>
    <s v="Mapa de calor"/>
    <s v="Región de Los Lagos,conexión,internet fija,comuna,región,conexiones,suscripciones,Agencia Información,Tecnología, Internet y Telecomunicaciones,Conexiones de internet fija,Internet"/>
    <s v="https://analytics.zoho.com/open-view/2395394000008435500?ZOHO_CRITERIA=%22Conexi%C3%B3n_Internet_fija%22.%22Codreg%22%3D10"/>
    <x v="27"/>
    <s v="#1774B23"/>
  </r>
  <r>
    <s v="1403"/>
    <n v="990"/>
    <s v="Agencia Información"/>
    <s v="Tecnología, Internet y Telecomunicaciones"/>
    <n v="11"/>
    <x v="70"/>
    <x v="28"/>
    <x v="1"/>
    <x v="11"/>
    <x v="1"/>
    <x v="91"/>
    <s v="Año 2019"/>
    <s v="Número de suscripciones"/>
    <s v="Biblioteca del Congreso Nacional"/>
    <s v="Mapa de cantidad de conexiones a internet fija en la Región de Aysén, Año 2019"/>
    <s v="En la región de Aysén, la comuna de Aisén, registraba la mayor cantidad de conexiones de internet fija, con 4.886 conexiones, el año 2019.  En el mismo año, la comuna de O'Higgins no registraba conexiones."/>
    <s v="Mapa de calor"/>
    <s v="Región de Aysén,conexión,internet fija,comuna,región,conexiones,suscripciones,Agencia Información,Tecnología, Internet y Telecomunicaciones,Conexiones de internet fija,Internet"/>
    <s v="https://analytics.zoho.com/open-view/2395394000008435500?ZOHO_CRITERIA=%22Conexi%C3%B3n_Internet_fija%22.%22Codreg%22%3D11"/>
    <x v="33"/>
    <s v="#1774B24"/>
  </r>
  <r>
    <s v="1404"/>
    <n v="990"/>
    <s v="Agencia Información"/>
    <s v="Tecnología, Internet y Telecomunicaciones"/>
    <n v="12"/>
    <x v="70"/>
    <x v="28"/>
    <x v="1"/>
    <x v="12"/>
    <x v="1"/>
    <x v="91"/>
    <s v="Año 2019"/>
    <s v="Número de suscripciones"/>
    <s v="Biblioteca del Congreso Nacional"/>
    <s v="Mapa de cantidad de conexiones a internet fija en la Región de Magallanes, Año 2019"/>
    <s v="En la región de Magallanes, la comuna de Punta Arenas, registraba la mayor cantidad de conexiones de internet fija, con 35.376 conexiones, el año 2019.  En el mismo año, las comunas de Cabo de Hornos y Río Verde no registraban conexiones."/>
    <s v="Mapa de calor"/>
    <s v="Región de Magallanes,conexión,internet fija,comuna,región,conexiones,suscripciones,Agencia Información,Tecnología, Internet y Telecomunicaciones,Conexiones de internet fija,Internet"/>
    <s v="https://analytics.zoho.com/open-view/2395394000008435500?ZOHO_CRITERIA=%22Conexi%C3%B3n_Internet_fija%22.%22Codreg%22%3D12"/>
    <x v="28"/>
    <s v="#1774B25"/>
  </r>
  <r>
    <s v="1405"/>
    <n v="990"/>
    <s v="Agencia Información"/>
    <s v="Tecnología, Internet y Telecomunicaciones"/>
    <n v="13"/>
    <x v="70"/>
    <x v="28"/>
    <x v="1"/>
    <x v="13"/>
    <x v="1"/>
    <x v="91"/>
    <s v="Año 2019"/>
    <s v="Número de suscripciones"/>
    <s v="Biblioteca del Congreso Nacional"/>
    <s v="Mapa de cantidad de conexiones a internet fija en la Región Metropolitana, Año 2019"/>
    <s v="En la región Metropolitana, la comuna de Santiago, registraba la mayor cantidad de conexiones de internet fija, con 173.222 conexiones, el año 2019.  En el mismo año, las comunas de Alhué y San José registraban sólo 6 conexiones cada una."/>
    <s v="Mapa de calor"/>
    <s v="Región Metropolitana,conexión,internet fija,comuna,región,conexiones,suscripciones,Agencia Información,Tecnología, Internet y Telecomunicaciones,Conexiones de internet fija,Internet"/>
    <s v="https://analytics.zoho.com/open-view/2395394000008435500?ZOHO_CRITERIA=%22Conexi%C3%B3n_Internet_fija%22.%22Codreg%22%3D13"/>
    <x v="29"/>
    <s v="#1774B26"/>
  </r>
  <r>
    <s v="1406"/>
    <n v="990"/>
    <s v="Agencia Información"/>
    <s v="Tecnología, Internet y Telecomunicaciones"/>
    <n v="14"/>
    <x v="70"/>
    <x v="28"/>
    <x v="1"/>
    <x v="14"/>
    <x v="1"/>
    <x v="91"/>
    <s v="Año 2019"/>
    <s v="Número de suscripciones"/>
    <s v="Biblioteca del Congreso Nacional"/>
    <s v="Mapa de cantidad de conexiones a internet fija en la Región de Los Ríos, Año 2019"/>
    <s v="En la región de Los Ríos, la comuna de Valdivia, registraba la mayor cantidad de conexiones de internet fija, con 40.030 conexiones, el año 2019.  En el mismo año, la comuna de Lago Ranco registraba 138 conexiones."/>
    <s v="Mapa de calor"/>
    <s v="Región de Los Ríos,conexión,internet fija,comuna,región,conexiones,suscripciones,Agencia Información,Tecnología, Internet y Telecomunicaciones,Conexiones de internet fija,Internet"/>
    <s v="https://analytics.zoho.com/open-view/2395394000008435500?ZOHO_CRITERIA=%22Conexi%C3%B3n_Internet_fija%22.%22Codreg%22%3D14"/>
    <x v="30"/>
    <s v="#1774B27"/>
  </r>
  <r>
    <s v="1407"/>
    <n v="990"/>
    <s v="Agencia Información"/>
    <s v="Tecnología, Internet y Telecomunicaciones"/>
    <n v="15"/>
    <x v="70"/>
    <x v="28"/>
    <x v="1"/>
    <x v="15"/>
    <x v="1"/>
    <x v="91"/>
    <s v="Año 2019"/>
    <s v="Número de suscripciones"/>
    <s v="Biblioteca del Congreso Nacional"/>
    <s v="Mapa de cantidad de conexiones a internet fija en la Región de Arica y Parinacota, Año 2019"/>
    <s v="En la región de Arica y Parinacota , la comuna de Arica, registraba la mayor cantidad de conexiones de internet fija, con 4.268 conexiones, el año 2019.  En el mismo año, la comuna de General Lagos no registraba conexiones."/>
    <s v="Mapa de calor"/>
    <s v="Región de Arica y Parinacota,conexión,internet fija,comuna,región,conexiones,suscripciones,Agencia Información,Tecnología, Internet y Telecomunicaciones,Conexiones de internet fija,Internet"/>
    <s v="https://analytics.zoho.com/open-view/2395394000008435500?ZOHO_CRITERIA=%22Conexi%C3%B3n_Internet_fija%22.%22Codreg%22%3D15"/>
    <x v="31"/>
    <s v="#1774B28"/>
  </r>
  <r>
    <s v="1408"/>
    <n v="990"/>
    <s v="Agencia Información"/>
    <s v="Tecnología, Internet y Telecomunicaciones"/>
    <n v="16"/>
    <x v="70"/>
    <x v="28"/>
    <x v="1"/>
    <x v="16"/>
    <x v="1"/>
    <x v="91"/>
    <s v="Año 2019"/>
    <s v="Número de suscripciones"/>
    <s v="Biblioteca del Congreso Nacional"/>
    <s v="Mapa de cantidad de conexiones a internet fija en la Región de Ñuble, Año 2019"/>
    <s v="En la región del Ñuble, la comuna de Chillán, registraba la mayor cantidad de conexiones de internet fija, con 42.293 conexiones, el año 2019.  En el mismo año, la comuna de Treguaco registraba sólo 4 conexiones."/>
    <s v="Mapa de calor"/>
    <s v="Región de Ñuble,conexión,internet fija,comuna,región,conexiones,suscripciones,Agencia Información,Tecnología, Internet y Telecomunicaciones,Conexiones de internet fija,Internet"/>
    <s v="https://analytics.zoho.com/open-view/2395394000008435500?ZOHO_CRITERIA=%22Conexi%C3%B3n_Internet_fija%22.%22Codreg%22%3D16"/>
    <x v="32"/>
    <s v="#1774B29"/>
  </r>
  <r>
    <s v="1409"/>
    <n v="990"/>
    <s v="Agencia Información"/>
    <s v="Tecnología, Internet y Telecomunicaciones"/>
    <n v="0"/>
    <x v="71"/>
    <x v="29"/>
    <x v="0"/>
    <x v="0"/>
    <x v="2"/>
    <x v="92"/>
    <s v="Periodo 2007-2019"/>
    <s v="Número de suscripciones"/>
    <s v="Biblioteca del Congreso Nacional"/>
    <s v="Evolución de los suscriptores de televisión de pago en Chile, Periodo 2007-2019"/>
    <s v="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
    <s v="Gráfico de Evolución"/>
    <s v="Chile,cantidad,número,suscripciones,televisión,pago,regional,región,comuna,evolución,Agencia Información,Tecnología, Internet y Telecomunicaciones,Televisión de pago,Telecomunicaciones"/>
    <s v="https://analytics.zoho.com/open-view/2395394000008461424"/>
    <x v="17"/>
    <s v="#1774B30"/>
  </r>
  <r>
    <s v="1410"/>
    <n v="990"/>
    <s v="Agencia Información"/>
    <s v="Tecnología, Internet y Telecomunicaciones"/>
    <n v="1"/>
    <x v="71"/>
    <x v="29"/>
    <x v="1"/>
    <x v="1"/>
    <x v="3"/>
    <x v="92"/>
    <s v="Periodo 2007-2019"/>
    <s v="Número de suscripciones"/>
    <s v="Biblioteca del Congreso Nacional"/>
    <s v="Evolución de los suscriptores de televisión de pago en la Región de Tarapacá, Periodo 2007-2019"/>
    <s v="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
    <s v="Gráfico de Evolución"/>
    <s v="Región de Tarapacá,cantidad,número,suscripciones,televisión,pago,regional,región,comuna,evolución,Agencia Información,Tecnología, Internet y Telecomunicaciones,Televisión de pago,Telecomunicaciones"/>
    <s v="https://analytics.zoho.com/open-view/2395394000008434853?ZOHO_CRITERIA=%22Televisi%C3%B3n_Pago%22.%22CodRegi%C3%B3n%22%3D1"/>
    <x v="18"/>
    <s v="#1774B31"/>
  </r>
  <r>
    <s v="1411"/>
    <n v="990"/>
    <s v="Agencia Información"/>
    <s v="Tecnología, Internet y Telecomunicaciones"/>
    <n v="2"/>
    <x v="71"/>
    <x v="29"/>
    <x v="1"/>
    <x v="2"/>
    <x v="3"/>
    <x v="92"/>
    <s v="Periodo 2007-2019"/>
    <s v="Número de suscripciones"/>
    <s v="Biblioteca del Congreso Nacional"/>
    <s v="Evolución de los suscriptores de televisión de pago en la Región de Antofagasta, Periodo 2007-2019"/>
    <s v="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
    <s v="Gráfico de Evolución"/>
    <s v="Región de Antofagasta,cantidad,número,suscripciones,televisión,pago,regional,región,comuna,evolución,Agencia Información,Tecnología, Internet y Telecomunicaciones,Televisión de pago,Telecomunicaciones"/>
    <s v="https://analytics.zoho.com/open-view/2395394000008434853?ZOHO_CRITERIA=%22Televisi%C3%B3n_Pago%22.%22CodRegi%C3%B3n%22%3D2"/>
    <x v="19"/>
    <s v="#1774B32"/>
  </r>
  <r>
    <s v="1412"/>
    <n v="990"/>
    <s v="Agencia Información"/>
    <s v="Tecnología, Internet y Telecomunicaciones"/>
    <n v="3"/>
    <x v="71"/>
    <x v="29"/>
    <x v="1"/>
    <x v="3"/>
    <x v="3"/>
    <x v="92"/>
    <s v="Periodo 2007-2019"/>
    <s v="Número de suscripciones"/>
    <s v="Biblioteca del Congreso Nacional"/>
    <s v="Evolución de los suscriptores de televisión de pago en la Región de Atacama, Periodo 2007-2019"/>
    <s v="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
    <s v="Gráfico de Evolución"/>
    <s v="Región de Atacama,cantidad,número,suscripciones,televisión,pago,regional,región,comuna,evolución,Agencia Información,Tecnología, Internet y Telecomunicaciones,Televisión de pago,Telecomunicaciones"/>
    <s v="https://analytics.zoho.com/open-view/2395394000008434853?ZOHO_CRITERIA=%22Televisi%C3%B3n_Pago%22.%22CodRegi%C3%B3n%22%3D3"/>
    <x v="20"/>
    <s v="#1774B33"/>
  </r>
  <r>
    <s v="1413"/>
    <n v="990"/>
    <s v="Agencia Información"/>
    <s v="Tecnología, Internet y Telecomunicaciones"/>
    <n v="4"/>
    <x v="71"/>
    <x v="29"/>
    <x v="1"/>
    <x v="4"/>
    <x v="3"/>
    <x v="92"/>
    <s v="Periodo 2007-2019"/>
    <s v="Número de suscripciones"/>
    <s v="Biblioteca del Congreso Nacional"/>
    <s v="Evolución de los suscriptores de televisión de pago en la Región de Coquimbo, Periodo 2007-2019"/>
    <s v="En la región de Coquimbo, el año 2008, se registró la mayor diferencia en la cantidad de suscriptores a televisión de pago con respecto al año anterior, con una variación porcentual de 36,6%, reflejando un aumento de 12.972 suscriptores. "/>
    <s v="Gráfico de Evolución"/>
    <s v="Región de Coquimbo,cantidad,número,suscripciones,televisión,pago,regional,región,comuna,evolución,Agencia Información,Tecnología, Internet y Telecomunicaciones,Televisión de pago,Telecomunicaciones"/>
    <s v="https://analytics.zoho.com/open-view/2395394000008434853?ZOHO_CRITERIA=%22Televisi%C3%B3n_Pago%22.%22CodRegi%C3%B3n%22%3D4"/>
    <x v="21"/>
    <s v="#1774B34"/>
  </r>
  <r>
    <s v="1414"/>
    <n v="990"/>
    <s v="Agencia Información"/>
    <s v="Tecnología, Internet y Telecomunicaciones"/>
    <n v="5"/>
    <x v="71"/>
    <x v="29"/>
    <x v="1"/>
    <x v="5"/>
    <x v="3"/>
    <x v="92"/>
    <s v="Periodo 2007-2019"/>
    <s v="Número de suscripciones"/>
    <s v="Biblioteca del Congreso Nacional"/>
    <s v="Evolución de los suscriptores de televisión de pago en la Región de Valparaíso, Periodo 2007-2019"/>
    <s v="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
    <s v="Gráfico de Evolución"/>
    <s v="Región de Valparaíso,cantidad,número,suscripciones,televisión,pago,regional,región,comuna,evolución,Agencia Información,Tecnología, Internet y Telecomunicaciones,Televisión de pago,Telecomunicaciones"/>
    <s v="https://analytics.zoho.com/open-view/2395394000008434853?ZOHO_CRITERIA=%22Televisi%C3%B3n_Pago%22.%22CodRegi%C3%B3n%22%3D5"/>
    <x v="22"/>
    <s v="#1774B35"/>
  </r>
  <r>
    <s v="1415"/>
    <n v="990"/>
    <s v="Agencia Información"/>
    <s v="Tecnología, Internet y Telecomunicaciones"/>
    <n v="6"/>
    <x v="71"/>
    <x v="29"/>
    <x v="1"/>
    <x v="6"/>
    <x v="3"/>
    <x v="92"/>
    <s v="Periodo 2007-2019"/>
    <s v="Número de suscripciones"/>
    <s v="Biblioteca del Congreso Nacional"/>
    <s v="Evolución de los suscriptores de televisión de pago en la Región de O'Higgins, Periodo 2007-2019"/>
    <s v="En la región de O'Higgins, el año 2008, se registró la mayor diferencia en la cantidad de suscriptores a televisión de pago con respecto al año anterior, con una variación porcentual de 32,9%, reflejando un aumento de 17.237 suscriptores. "/>
    <s v="Gráfico de Evolución"/>
    <s v="Región de O'Higgins,cantidad,número,suscripciones,televisión,pago,regional,región,comuna,evolución,Agencia Información,Tecnología, Internet y Telecomunicaciones,Televisión de pago,Telecomunicaciones"/>
    <s v="https://analytics.zoho.com/open-view/2395394000008434853?ZOHO_CRITERIA=%22Televisi%C3%B3n_Pago%22.%22CodRegi%C3%B3n%22%3D6"/>
    <x v="23"/>
    <s v="#1774B36"/>
  </r>
  <r>
    <s v="1416"/>
    <n v="990"/>
    <s v="Agencia Información"/>
    <s v="Tecnología, Internet y Telecomunicaciones"/>
    <n v="7"/>
    <x v="71"/>
    <x v="29"/>
    <x v="1"/>
    <x v="7"/>
    <x v="3"/>
    <x v="92"/>
    <s v="Periodo 2007-2019"/>
    <s v="Número de suscripciones"/>
    <s v="Biblioteca del Congreso Nacional"/>
    <s v="Evolución de los suscriptores de televisión de pago en la Región de Maule, Periodo 2007-2019"/>
    <s v="En la región de Maule, el año 2013, se registró la mayor diferencia en la cantidad de suscriptores a televisión de pago con respecto al año anterior, con una variación de 36.219 suscriptores. "/>
    <s v="Gráfico de Evolución"/>
    <s v="Región de Maule,cantidad,número,suscripciones,televisión,pago,regional,región,comuna,evolución,Agencia Información,Tecnología, Internet y Telecomunicaciones,Televisión de pago,Telecomunicaciones"/>
    <s v="https://analytics.zoho.com/open-view/2395394000008434853?ZOHO_CRITERIA=%22Televisi%C3%B3n_Pago%22.%22CodRegi%C3%B3n%22%3D7"/>
    <x v="24"/>
    <s v="#1774B37"/>
  </r>
  <r>
    <s v="1417"/>
    <n v="990"/>
    <s v="Agencia Información"/>
    <s v="Tecnología, Internet y Telecomunicaciones"/>
    <n v="8"/>
    <x v="71"/>
    <x v="29"/>
    <x v="1"/>
    <x v="8"/>
    <x v="3"/>
    <x v="92"/>
    <s v="Periodo 2007-2019"/>
    <s v="Número de suscripciones"/>
    <s v="Biblioteca del Congreso Nacional"/>
    <s v="Evolución de los suscriptores de televisión de pago en la Región del Biobío, Periodo 2007-2019"/>
    <s v="En la región de Biobío, el año 2010, se registró la mayor diferencia en la cantidad de suscriptores a televisión de pago con respecto al año anterior, con una variación de 55.145 suscriptores. "/>
    <s v="Gráfico de Evolución"/>
    <s v="Región del Biobío,cantidad,número,suscripciones,televisión,pago,regional,región,comuna,evolución,Agencia Información,Tecnología, Internet y Telecomunicaciones,Televisión de pago,Telecomunicaciones"/>
    <s v="https://analytics.zoho.com/open-view/2395394000008434853?ZOHO_CRITERIA=%22Televisi%C3%B3n_Pago%22.%22CodRegi%C3%B3n%22%3D8"/>
    <x v="25"/>
    <s v="#1774B38"/>
  </r>
  <r>
    <s v="1418"/>
    <n v="990"/>
    <s v="Agencia Información"/>
    <s v="Tecnología, Internet y Telecomunicaciones"/>
    <n v="9"/>
    <x v="71"/>
    <x v="29"/>
    <x v="1"/>
    <x v="9"/>
    <x v="3"/>
    <x v="92"/>
    <s v="Periodo 2007-2019"/>
    <s v="Número de suscripciones"/>
    <s v="Biblioteca del Congreso Nacional"/>
    <s v="Evolución de los suscriptores de televisión de pago en la Región de La Araucanía, Periodo 2007-2019"/>
    <s v="En la región de La Araucanía, el año 2013, se registró la mayor diferencia en la cantidad de suscriptores a televisión de pago con respecto al año anterior, con una variación de 28.687 suscriptores. "/>
    <s v="Gráfico de Evolución"/>
    <s v="Región de La Araucanía,cantidad,número,suscripciones,televisión,pago,regional,región,comuna,evolución,Agencia Información,Tecnología, Internet y Telecomunicaciones,Televisión de pago,Telecomunicaciones"/>
    <s v="https://analytics.zoho.com/open-view/2395394000008434853?ZOHO_CRITERIA=%22Televisi%C3%B3n_Pago%22.%22CodRegi%C3%B3n%22%3D9"/>
    <x v="26"/>
    <s v="#1774B39"/>
  </r>
  <r>
    <s v="1419"/>
    <n v="990"/>
    <s v="Agencia Información"/>
    <s v="Tecnología, Internet y Telecomunicaciones"/>
    <n v="10"/>
    <x v="71"/>
    <x v="29"/>
    <x v="1"/>
    <x v="10"/>
    <x v="3"/>
    <x v="92"/>
    <s v="Periodo 2007-2019"/>
    <s v="Número de suscripciones"/>
    <s v="Biblioteca del Congreso Nacional"/>
    <s v="Evolución de los suscriptores de televisión de pago en la Región de Los Lagos, Periodo 2007-2019"/>
    <s v="La cantidad de suscriptores a televisión de pago en la región de Los Lagos aumentó constantemente entre los años 2008 y 2018, pasando de 54.299 a 162.444 suscriptores. "/>
    <s v="Gráfico de Evolución"/>
    <s v="Región de Los Lagos,cantidad,número,suscripciones,televisión,pago,regional,región,comuna,evolución,Agencia Información,Tecnología, Internet y Telecomunicaciones,Televisión de pago,Telecomunicaciones"/>
    <s v="https://analytics.zoho.com/open-view/2395394000008434853?ZOHO_CRITERIA=%22Televisi%C3%B3n_Pago%22.%22CodRegi%C3%B3n%22%3D10"/>
    <x v="27"/>
    <s v="#1774B40"/>
  </r>
  <r>
    <s v="1420"/>
    <n v="990"/>
    <s v="Agencia Información"/>
    <s v="Tecnología, Internet y Telecomunicaciones"/>
    <n v="11"/>
    <x v="71"/>
    <x v="29"/>
    <x v="1"/>
    <x v="11"/>
    <x v="3"/>
    <x v="92"/>
    <s v="Periodo 2007-2019"/>
    <s v="Número de suscripciones"/>
    <s v="Biblioteca del Congreso Nacional"/>
    <s v="Evolución de los suscriptores de televisión de pago en la Región de Aysén, Periodo 2007-2019"/>
    <s v="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
    <s v="Gráfico de Evolución"/>
    <s v="Región de Aysén,cantidad,número,suscripciones,televisión,pago,regional,región,comuna,evolución,Agencia Información,Tecnología, Internet y Telecomunicaciones,Televisión de pago,Telecomunicaciones"/>
    <s v="https://analytics.zoho.com/open-view/2395394000008434853?ZOHO_CRITERIA=%22Televisi%C3%B3n_Pago%22.%22CodRegi%C3%B3n%22%3D11"/>
    <x v="33"/>
    <s v="#1774B41"/>
  </r>
  <r>
    <s v="1421"/>
    <n v="990"/>
    <s v="Agencia Información"/>
    <s v="Tecnología, Internet y Telecomunicaciones"/>
    <n v="12"/>
    <x v="71"/>
    <x v="29"/>
    <x v="1"/>
    <x v="12"/>
    <x v="3"/>
    <x v="92"/>
    <s v="Periodo 2007-2019"/>
    <s v="Número de suscripciones"/>
    <s v="Biblioteca del Congreso Nacional"/>
    <s v="Evolución de los suscriptores de televisión de pago en la Región de Magallanes, Periodo 2007-2019"/>
    <s v="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
    <s v="Gráfico de Evolución"/>
    <s v="Región de Magallanes,cantidad,número,suscripciones,televisión,pago,regional,región,comuna,evolución,Agencia Información,Tecnología, Internet y Telecomunicaciones,Televisión de pago,Telecomunicaciones"/>
    <s v="https://analytics.zoho.com/open-view/2395394000008434853?ZOHO_CRITERIA=%22Televisi%C3%B3n_Pago%22.%22CodRegi%C3%B3n%22%3D12"/>
    <x v="28"/>
    <s v="#1774B42"/>
  </r>
  <r>
    <s v="1422"/>
    <n v="990"/>
    <s v="Agencia Información"/>
    <s v="Tecnología, Internet y Telecomunicaciones"/>
    <n v="13"/>
    <x v="71"/>
    <x v="29"/>
    <x v="1"/>
    <x v="13"/>
    <x v="3"/>
    <x v="92"/>
    <s v="Periodo 2007-2019"/>
    <s v="Número de suscripciones"/>
    <s v="Biblioteca del Congreso Nacional"/>
    <s v="Evolución de los suscriptores de televisión de pago en la Región Metropolitana, Periodo 2007-2019"/>
    <s v="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
    <s v="Gráfico de Evolución"/>
    <s v="Región Metropolitana,cantidad,número,suscripciones,televisión,pago,regional,región,comuna,evolución,Agencia Información,Tecnología, Internet y Telecomunicaciones,Televisión de pago,Telecomunicaciones"/>
    <s v="https://analytics.zoho.com/open-view/2395394000008434853?ZOHO_CRITERIA=%22Televisi%C3%B3n_Pago%22.%22CodRegi%C3%B3n%22%3D13"/>
    <x v="29"/>
    <s v="#1774B43"/>
  </r>
  <r>
    <s v="1423"/>
    <n v="990"/>
    <s v="Agencia Información"/>
    <s v="Tecnología, Internet y Telecomunicaciones"/>
    <n v="14"/>
    <x v="71"/>
    <x v="29"/>
    <x v="1"/>
    <x v="14"/>
    <x v="3"/>
    <x v="92"/>
    <s v="Periodo 2007-2019"/>
    <s v="Número de suscripciones"/>
    <s v="Biblioteca del Congreso Nacional"/>
    <s v="Evolución de los suscriptores de televisión de pago en la Región de Los Ríos, Periodo 2007-2019"/>
    <s v="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
    <s v="Gráfico de Evolución"/>
    <s v="Región de Los Ríos,cantidad,número,suscripciones,televisión,pago,regional,región,comuna,evolución,Agencia Información,Tecnología, Internet y Telecomunicaciones,Televisión de pago,Telecomunicaciones"/>
    <s v="https://analytics.zoho.com/open-view/2395394000008434853?ZOHO_CRITERIA=%22Televisi%C3%B3n_Pago%22.%22CodRegi%C3%B3n%22%3D14"/>
    <x v="30"/>
    <s v="#1774B44"/>
  </r>
  <r>
    <s v="1424"/>
    <n v="990"/>
    <s v="Agencia Información"/>
    <s v="Tecnología, Internet y Telecomunicaciones"/>
    <n v="15"/>
    <x v="71"/>
    <x v="29"/>
    <x v="1"/>
    <x v="15"/>
    <x v="3"/>
    <x v="92"/>
    <s v="Periodo 2007-2019"/>
    <s v="Número de suscripciones"/>
    <s v="Biblioteca del Congreso Nacional"/>
    <s v="Evolución de los suscriptores de televisión de pago en la Región de Arica y Parinacota, Periodo 2007-2019"/>
    <s v="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
    <s v="Gráfico de Evolución"/>
    <s v="Región de Arica y Parinacota,cantidad,número,suscripciones,televisión,pago,regional,región,comuna,evolución,Agencia Información,Tecnología, Internet y Telecomunicaciones,Televisión de pago,Telecomunicaciones"/>
    <s v="https://analytics.zoho.com/open-view/2395394000008434853?ZOHO_CRITERIA=%22Televisi%C3%B3n_Pago%22.%22CodRegi%C3%B3n%22%3D15"/>
    <x v="31"/>
    <s v="#1774B45"/>
  </r>
  <r>
    <s v="1425"/>
    <n v="990"/>
    <s v="Agencia Información"/>
    <s v="Tecnología, Internet y Telecomunicaciones"/>
    <n v="16"/>
    <x v="71"/>
    <x v="29"/>
    <x v="1"/>
    <x v="16"/>
    <x v="3"/>
    <x v="92"/>
    <s v="Periodo 2007-2019"/>
    <s v="Número de suscripciones"/>
    <s v="Biblioteca del Congreso Nacional"/>
    <s v="Evolución de los suscriptores de televisión de pago en la Región de Ñuble, Periodo 2007-2019"/>
    <s v="La cantidad de suscriptores a televisión de pago en la región de Ñuble aumentó constantemente entre los años 2008 y 2018, pasando de 21.562 suscriptores a 72.846. En el año 2019, sin embargo, ocurrió una baja de 314 suscripciones."/>
    <s v="Gráfico de Evolución"/>
    <s v="Región de Ñuble,cantidad,número,suscripciones,televisión,pago,regional,región,comuna,evolución,Agencia Información,Tecnología, Internet y Telecomunicaciones,Televisión de pago,Telecomunicaciones"/>
    <s v="https://analytics.zoho.com/open-view/2395394000008434853?ZOHO_CRITERIA=%22Televisi%C3%B3n_Pago%22.%22CodRegi%C3%B3n%22%3D16"/>
    <x v="32"/>
    <s v="#1774B46"/>
  </r>
  <r>
    <s v="1426"/>
    <n v="990"/>
    <s v="Agencia Información"/>
    <s v="Tecnología, Internet y Telecomunicaciones"/>
    <n v="0"/>
    <x v="71"/>
    <x v="29"/>
    <x v="0"/>
    <x v="0"/>
    <x v="0"/>
    <x v="92"/>
    <s v="Año 2019"/>
    <s v="Número de suscripciones"/>
    <s v="Biblioteca del Congreso Nacional"/>
    <s v="Comunas por región con la mayor cantidad de suscripciones de televisión de pago, Año 2019"/>
    <s v="A nivel nacional, la comuna que tuvo la mayor cantidad de suscripciones de televisión de pago en el año 2019 fue Puente Alto, con 108.225. Le siguieron Las Condes, con 99.920, Santiago, con 92.963 y Maipú, con 92.186 suscriptores."/>
    <s v="Nube de palabras"/>
    <s v="Chile,ranking,cantidad,número,suscripciones,televisión,pago,comuna,Agencia Información,Tecnología, Internet y Telecomunicaciones,Televisión de pago,Telecomunicaciones"/>
    <s v="https://analytics.zoho.com/open-view/2395394000008435117"/>
    <x v="17"/>
    <s v="#1774B47"/>
  </r>
  <r>
    <s v="1427"/>
    <n v="990"/>
    <s v="Agencia Información"/>
    <s v="Tecnología, Internet y Telecomunicaciones"/>
    <n v="1"/>
    <x v="71"/>
    <x v="29"/>
    <x v="1"/>
    <x v="1"/>
    <x v="1"/>
    <x v="92"/>
    <s v="Año 2019"/>
    <s v="Número de suscripciones"/>
    <s v="Biblioteca del Congreso Nacional"/>
    <s v="Comunas de la región de Tarapacá con la mayor cantidad de suscripciones de televisión de pago, Año 2019"/>
    <s v="En el año 2019, la comuna con más suscripciones a televisión de pago en la región de Tarapacá fue Iquique, con 35.732. Al contrario, la que tuvo menos suscritos fue Colchane, con 22."/>
    <s v="Nube de palabras"/>
    <s v="Región de Tarapacá,ranking,cantidad,número,suscripciones,televisión,pago,comuna,Agencia Información,Tecnología, Internet y Telecomunicaciones,Televisión de pago,Telecomunicaciones"/>
    <s v="https://analytics.zoho.com/open-view/2395394000008511008?ZOHO_CRITERIA=%22Televisi%C3%B3n_Pago%22.%22CodRegi%C3%B3n%22%3D1"/>
    <x v="18"/>
    <s v="#1774B48"/>
  </r>
  <r>
    <s v="1428"/>
    <n v="990"/>
    <s v="Agencia Información"/>
    <s v="Tecnología, Internet y Telecomunicaciones"/>
    <n v="2"/>
    <x v="71"/>
    <x v="29"/>
    <x v="1"/>
    <x v="2"/>
    <x v="1"/>
    <x v="92"/>
    <s v="Año 2019"/>
    <s v="Número de suscripciones"/>
    <s v="Biblioteca del Congreso Nacional"/>
    <s v="Comunas de la región de Antofagasta con la mayor cantidad de suscripciones de televisión de pago, Año 2019"/>
    <s v="En el año 2019, la comuna con más suscripciones a televisión de pago en la región de Antofagasta fue Antofagasta, con 83.566. Al contrario, la que tuvo menos suscritos fue Ollagüe, con 58."/>
    <s v="Nube de palabras"/>
    <s v="Región de Antofagasta,ranking,cantidad,número,suscripciones,televisión,pago,comuna,Agencia Información,Tecnología, Internet y Telecomunicaciones,Televisión de pago,Telecomunicaciones"/>
    <s v="https://analytics.zoho.com/open-view/2395394000008511008?ZOHO_CRITERIA=%22Televisi%C3%B3n_Pago%22.%22CodRegi%C3%B3n%22%3D2"/>
    <x v="19"/>
    <s v="#1774B49"/>
  </r>
  <r>
    <s v="1429"/>
    <n v="990"/>
    <s v="Agencia Información"/>
    <s v="Tecnología, Internet y Telecomunicaciones"/>
    <n v="3"/>
    <x v="71"/>
    <x v="29"/>
    <x v="1"/>
    <x v="3"/>
    <x v="1"/>
    <x v="92"/>
    <s v="Año 2019"/>
    <s v="Número de suscripciones"/>
    <s v="Biblioteca del Congreso Nacional"/>
    <s v="Comunas de la región de Atacama con la mayor cantidad de suscripciones de televisión de pago, Año 2019"/>
    <s v="En el año 2019, la comuna con más suscripciones a televisión de pago en la región de Atacama fue Copiapó, con 28.336. Al contrario, la que tuvo menos suscritos fue Alto del Carmen, con 959."/>
    <s v="Nube de palabras"/>
    <s v="Región de Atacama,ranking,cantidad,número,suscripciones,televisión,pago,comuna,Agencia Información,Tecnología, Internet y Telecomunicaciones,Televisión de pago,Telecomunicaciones"/>
    <s v="https://analytics.zoho.com/open-view/2395394000008511008?ZOHO_CRITERIA=%22Televisi%C3%B3n_Pago%22.%22CodRegi%C3%B3n%22%3D3"/>
    <x v="20"/>
    <s v="#1774B50"/>
  </r>
  <r>
    <s v="1430"/>
    <n v="990"/>
    <s v="Agencia Información"/>
    <s v="Tecnología, Internet y Telecomunicaciones"/>
    <n v="4"/>
    <x v="71"/>
    <x v="29"/>
    <x v="1"/>
    <x v="4"/>
    <x v="1"/>
    <x v="92"/>
    <s v="Año 2019"/>
    <s v="Número de suscripciones"/>
    <s v="Biblioteca del Congreso Nacional"/>
    <s v="Comunas de la región de Coquimbo con la mayor cantidad de suscripciones de televisión de pago, Año 2019"/>
    <s v="En el año 2019, la comuna con más suscripciones a televisión de pago en la región de Coquimbo fue Coquimbo, con 45.052. Al contrario, la que tuvo menos suscritos fue Río Hurtado, con 682."/>
    <s v="Nube de palabras"/>
    <s v="Región de Coquimbo,ranking,cantidad,número,suscripciones,televisión,pago,comuna,Agencia Información,Tecnología, Internet y Telecomunicaciones,Televisión de pago,Telecomunicaciones"/>
    <s v="https://analytics.zoho.com/open-view/2395394000008511008?ZOHO_CRITERIA=%22Televisi%C3%B3n_Pago%22.%22CodRegi%C3%B3n%22%3D4"/>
    <x v="21"/>
    <s v="#1774B51"/>
  </r>
  <r>
    <s v="1431"/>
    <n v="990"/>
    <s v="Agencia Información"/>
    <s v="Tecnología, Internet y Telecomunicaciones"/>
    <n v="5"/>
    <x v="71"/>
    <x v="29"/>
    <x v="1"/>
    <x v="5"/>
    <x v="1"/>
    <x v="92"/>
    <s v="Año 2019"/>
    <s v="Número de suscripciones"/>
    <s v="Biblioteca del Congreso Nacional"/>
    <s v="Comunas de la región de Valparaíso con la mayor cantidad de suscripciones de televisión de pago, Año 2019"/>
    <s v="En el año 2019, la comuna con más suscripciones a televisión de pago en la región de Valparaíso fue Viña del Mar, con 87.417. Al contrario, la que tuvo menos suscritos fue Isla de Pascua, con 8."/>
    <s v="Nube de palabras"/>
    <s v="Región de Valparaíso,ranking,cantidad,número,suscripciones,televisión,pago,comuna,Agencia Información,Tecnología, Internet y Telecomunicaciones,Televisión de pago,Telecomunicaciones"/>
    <s v="https://analytics.zoho.com/open-view/2395394000008511008?ZOHO_CRITERIA=%22Televisi%C3%B3n_Pago%22.%22CodRegi%C3%B3n%22%3D5"/>
    <x v="22"/>
    <s v="#1774B52"/>
  </r>
  <r>
    <s v="1432"/>
    <n v="990"/>
    <s v="Agencia Información"/>
    <s v="Tecnología, Internet y Telecomunicaciones"/>
    <n v="6"/>
    <x v="71"/>
    <x v="29"/>
    <x v="1"/>
    <x v="6"/>
    <x v="1"/>
    <x v="92"/>
    <s v="Año 2019"/>
    <s v="Número de suscripciones"/>
    <s v="Biblioteca del Congreso Nacional"/>
    <s v="Comunas de la región de O'Higgins con la mayor cantidad de suscripciones de televisión de pago, Año 2019"/>
    <s v="En el año 2019, la comuna con más suscripciones a televisión de pago en la región de O'Higgins fue Rancagua, con 52.102. Al contrario, la que tuvo menos suscritos fue La Estrella, con 566."/>
    <s v="Nube de palabras"/>
    <s v="Región de O'Higgins,ranking,cantidad,número,suscripciones,televisión,pago,comuna,Agencia Información,Tecnología, Internet y Telecomunicaciones,Televisión de pago,Telecomunicaciones"/>
    <s v="https://analytics.zoho.com/open-view/2395394000008511008?ZOHO_CRITERIA=%22Televisi%C3%B3n_Pago%22.%22CodRegi%C3%B3n%22%3D6"/>
    <x v="23"/>
    <s v="#1774B53"/>
  </r>
  <r>
    <s v="1433"/>
    <n v="990"/>
    <s v="Agencia Información"/>
    <s v="Tecnología, Internet y Telecomunicaciones"/>
    <n v="7"/>
    <x v="71"/>
    <x v="29"/>
    <x v="1"/>
    <x v="7"/>
    <x v="1"/>
    <x v="92"/>
    <s v="Año 2019"/>
    <s v="Número de suscripciones"/>
    <s v="Biblioteca del Congreso Nacional"/>
    <s v="Comunas de la región de Maule con la mayor cantidad de suscripciones de televisión de pago, Año 2019"/>
    <s v="En el año 2019, la comuna con más suscripciones a televisión de pago en la región de Maule fue Curicó, con 33.660. Al contrario, la que tuvo menos suscritos fue Empedrado, con 373."/>
    <s v="Nube de palabras"/>
    <s v="Región de Maule,ranking,cantidad,número,suscripciones,televisión,pago,comuna,Agencia Información,Tecnología, Internet y Telecomunicaciones,Televisión de pago,Telecomunicaciones"/>
    <s v="https://analytics.zoho.com/open-view/2395394000008511008?ZOHO_CRITERIA=%22Televisi%C3%B3n_Pago%22.%22CodRegi%C3%B3n%22%3D7"/>
    <x v="24"/>
    <s v="#1774B54"/>
  </r>
  <r>
    <s v="1434"/>
    <n v="990"/>
    <s v="Agencia Información"/>
    <s v="Tecnología, Internet y Telecomunicaciones"/>
    <n v="8"/>
    <x v="71"/>
    <x v="29"/>
    <x v="1"/>
    <x v="8"/>
    <x v="1"/>
    <x v="92"/>
    <s v="Año 2019"/>
    <s v="Número de suscripciones"/>
    <s v="Biblioteca del Congreso Nacional"/>
    <s v="Comunas de la región del Biobío con la mayor cantidad de suscripciones de televisión de pago, Año 2019"/>
    <s v="En el año 2019, la comuna con más suscripciones a televisión de pago en la región de Biobío fue Concepción, con 49.930. Al contrario, la que tuvo menos suscritos fue San Rosendo, con 301."/>
    <s v="Nube de palabras"/>
    <s v="Región del Biobío,ranking,cantidad,número,suscripciones,televisión,pago,comuna,Agencia Información,Tecnología, Internet y Telecomunicaciones,Televisión de pago,Telecomunicaciones"/>
    <s v="https://analytics.zoho.com/open-view/2395394000008511008?ZOHO_CRITERIA=%22Televisi%C3%B3n_Pago%22.%22CodRegi%C3%B3n%22%3D8"/>
    <x v="25"/>
    <s v="#1774B55"/>
  </r>
  <r>
    <s v="1435"/>
    <n v="990"/>
    <s v="Agencia Información"/>
    <s v="Tecnología, Internet y Telecomunicaciones"/>
    <n v="9"/>
    <x v="71"/>
    <x v="29"/>
    <x v="1"/>
    <x v="9"/>
    <x v="1"/>
    <x v="92"/>
    <s v="Año 2019"/>
    <s v="Número de suscripciones"/>
    <s v="Biblioteca del Congreso Nacional"/>
    <s v="Comunas de la región de La Araucanía con la mayor cantidad de suscripciones de televisión de pago, Año 2019"/>
    <s v="En el año 2019, la comuna con más suscripciones a televisión de pago en la región de La Araucanía fue Temuco, con 48.555. Al contrario, la que tuvo menos suscritos fue Los Sauces, con 715."/>
    <s v="Nube de palabras"/>
    <s v="Región de La Araucanía,ranking,cantidad,número,suscripciones,televisión,pago,comuna,Agencia Información,Tecnología, Internet y Telecomunicaciones,Televisión de pago,Telecomunicaciones"/>
    <s v="https://analytics.zoho.com/open-view/2395394000008511008?ZOHO_CRITERIA=%22Televisi%C3%B3n_Pago%22.%22CodRegi%C3%B3n%22%3D9"/>
    <x v="26"/>
    <s v="#1774B56"/>
  </r>
  <r>
    <s v="1436"/>
    <n v="990"/>
    <s v="Agencia Información"/>
    <s v="Tecnología, Internet y Telecomunicaciones"/>
    <n v="10"/>
    <x v="71"/>
    <x v="29"/>
    <x v="1"/>
    <x v="10"/>
    <x v="1"/>
    <x v="92"/>
    <s v="Año 2019"/>
    <s v="Número de suscripciones"/>
    <s v="Biblioteca del Congreso Nacional"/>
    <s v="Comunas de la región de Los Lagos con la mayor cantidad de suscripciones de televisión de pago, Año 2019"/>
    <s v="En el año 2019, la comuna con más suscripciones a televisión de pago en la región de Los Lagos fue Puerto Montt, con 51.755. Al contrario, la que tuvo menos suscritos fue Palena, con 333."/>
    <s v="Nube de palabras"/>
    <s v="Región de Los Lagos,ranking,cantidad,número,suscripciones,televisión,pago,comuna,Agencia Información,Tecnología, Internet y Telecomunicaciones,Televisión de pago,Telecomunicaciones"/>
    <s v="https://analytics.zoho.com/open-view/2395394000008511008?ZOHO_CRITERIA=%22Televisi%C3%B3n_Pago%22.%22CodRegi%C3%B3n%22%3D10"/>
    <x v="27"/>
    <s v="#1774B57"/>
  </r>
  <r>
    <s v="1437"/>
    <n v="990"/>
    <s v="Agencia Información"/>
    <s v="Tecnología, Internet y Telecomunicaciones"/>
    <n v="11"/>
    <x v="71"/>
    <x v="29"/>
    <x v="1"/>
    <x v="11"/>
    <x v="1"/>
    <x v="92"/>
    <s v="Año 2019"/>
    <s v="Número de suscripciones"/>
    <s v="Biblioteca del Congreso Nacional"/>
    <s v="Comunas de la región de Aysén con la mayor cantidad de suscripciones de televisión de pago, Año 2019"/>
    <s v="En el año 2019, la comuna con más suscripciones a televisión de pago en la región de Aysén fue Guaitecas, con 13.894. Al contrario, la que tuvo menos suscritos fue Tortel, con 140."/>
    <s v="Nube de palabras"/>
    <s v="Región de Aysén,ranking,cantidad,número,suscripciones,televisión,pago,comuna,Agencia Información,Tecnología, Internet y Telecomunicaciones,Televisión de pago,Telecomunicaciones"/>
    <s v="https://analytics.zoho.com/open-view/2395394000008511008?ZOHO_CRITERIA=%22Televisi%C3%B3n_Pago%22.%22CodRegi%C3%B3n%22%3D11"/>
    <x v="33"/>
    <s v="#1774B58"/>
  </r>
  <r>
    <s v="1438"/>
    <n v="990"/>
    <s v="Agencia Información"/>
    <s v="Tecnología, Internet y Telecomunicaciones"/>
    <n v="12"/>
    <x v="71"/>
    <x v="29"/>
    <x v="1"/>
    <x v="12"/>
    <x v="1"/>
    <x v="92"/>
    <s v="Año 2019"/>
    <s v="Número de suscripciones"/>
    <s v="Biblioteca del Congreso Nacional"/>
    <s v="Comunas de la región de Magallanes con la mayor cantidad de suscripciones de televisión de pago, Año 2019"/>
    <s v="En el año 2019, la comuna con más suscripciones a televisión de pago en la región de Magallanes fue Punta Arenas, con 26.196. Al contrario, la que tuvo menos suscritos fue Río Verde, con 19."/>
    <s v="Nube de palabras"/>
    <s v="Región de Magallanes,ranking,cantidad,número,suscripciones,televisión,pago,comuna,Agencia Información,Tecnología, Internet y Telecomunicaciones,Televisión de pago,Telecomunicaciones"/>
    <s v="https://analytics.zoho.com/open-view/2395394000008511008?ZOHO_CRITERIA=%22Televisi%C3%B3n_Pago%22.%22CodRegi%C3%B3n%22%3D12"/>
    <x v="28"/>
    <s v="#1774B59"/>
  </r>
  <r>
    <s v="1439"/>
    <n v="990"/>
    <s v="Agencia Información"/>
    <s v="Tecnología, Internet y Telecomunicaciones"/>
    <n v="13"/>
    <x v="71"/>
    <x v="29"/>
    <x v="1"/>
    <x v="13"/>
    <x v="1"/>
    <x v="92"/>
    <s v="Año 2019"/>
    <s v="Número de suscripciones"/>
    <s v="Biblioteca del Congreso Nacional"/>
    <s v="Comunas de la región Metropolitana con la mayor cantidad de suscripciones de televisión de pago, Año 2019"/>
    <s v="En el año 2019, la comuna con más suscripciones a televisión de pago en la región Metropolitana fue Puente Alto, con 108.225. Al contrario, la que tuvo menos suscritos fue Alhué, con 1.026."/>
    <s v="Nube de palabras"/>
    <s v="Región Metropolitana,ranking,cantidad,número,suscripciones,televisión,pago,comuna,Agencia Información,Tecnología, Internet y Telecomunicaciones,Televisión de pago,Telecomunicaciones"/>
    <s v="https://analytics.zoho.com/open-view/2395394000008511008?ZOHO_CRITERIA=%22Televisi%C3%B3n_Pago%22.%22CodRegi%C3%B3n%22%3D13"/>
    <x v="29"/>
    <s v="#1774B60"/>
  </r>
  <r>
    <s v="1440"/>
    <n v="990"/>
    <s v="Agencia Información"/>
    <s v="Tecnología, Internet y Telecomunicaciones"/>
    <n v="14"/>
    <x v="71"/>
    <x v="29"/>
    <x v="1"/>
    <x v="14"/>
    <x v="1"/>
    <x v="92"/>
    <s v="Año 2019"/>
    <s v="Número de suscripciones"/>
    <s v="Biblioteca del Congreso Nacional"/>
    <s v="Comunas de la región de Los Ríos con la mayor cantidad de suscripciones de televisión de pago, Año 2019"/>
    <s v="En el año 2019, la comuna con más suscripciones a televisión de pago en la región de Los Ríos fue Valdivia, con 35.044. Al contrario, la que tuvo menos suscritos fue Corral, con 1.045."/>
    <s v="Nube de palabras"/>
    <s v="Región de Los Ríos,ranking,cantidad,número,suscripciones,televisión,pago,comuna,Agencia Información,Tecnología, Internet y Telecomunicaciones,Televisión de pago,Telecomunicaciones"/>
    <s v="https://analytics.zoho.com/open-view/2395394000008511008?ZOHO_CRITERIA=%22Televisi%C3%B3n_Pago%22.%22CodRegi%C3%B3n%22%3D14"/>
    <x v="30"/>
    <s v="#1774B61"/>
  </r>
  <r>
    <s v="1441"/>
    <n v="990"/>
    <s v="Agencia Información"/>
    <s v="Tecnología, Internet y Telecomunicaciones"/>
    <n v="15"/>
    <x v="71"/>
    <x v="29"/>
    <x v="1"/>
    <x v="15"/>
    <x v="1"/>
    <x v="92"/>
    <s v="Año 2019"/>
    <s v="Número de suscripciones"/>
    <s v="Biblioteca del Congreso Nacional"/>
    <s v="Comunas de la región de Arica y Parinacota con la mayor cantidad de suscripciones de televisión de pago, Año 2019"/>
    <s v="En el año 2019, la comuna con más suscripciones a televisión de pago en la región de Arica y Parinacota fue Arica, con 4.352. Al contrario, la que tuvo menos suscritos fue General Lagos, con 10."/>
    <s v="Nube de palabras"/>
    <s v="Región de Arica y Parinacota,ranking,cantidad,número,suscripciones,televisión,pago,comuna,Agencia Información,Tecnología, Internet y Telecomunicaciones,Televisión de pago,Telecomunicaciones"/>
    <s v="https://analytics.zoho.com/open-view/2395394000008511008?ZOHO_CRITERIA=%22Televisi%C3%B3n_Pago%22.%22CodRegi%C3%B3n%22%3D15"/>
    <x v="31"/>
    <s v="#1774B62"/>
  </r>
  <r>
    <s v="1442"/>
    <n v="990"/>
    <s v="Agencia Información"/>
    <s v="Tecnología, Internet y Telecomunicaciones"/>
    <n v="16"/>
    <x v="71"/>
    <x v="29"/>
    <x v="1"/>
    <x v="16"/>
    <x v="1"/>
    <x v="92"/>
    <s v="Año 2019"/>
    <s v="Número de suscripciones"/>
    <s v="Biblioteca del Congreso Nacional"/>
    <s v="Comunas de la región de Ñuble con la mayor cantidad de suscripciones de televisión de pago, Año 2019"/>
    <s v="En el año 2019, la comuna con más suscripciones a televisión de pago en la región de Ñuble fue Chillán, con 35.767. Al contrario, la que tuvo menos suscritos fue Treguaco, con 478."/>
    <s v="Nube de palabras"/>
    <s v="Región de Ñuble,ranking,cantidad,número,suscripciones,televisión,pago,comuna,Agencia Información,Tecnología, Internet y Telecomunicaciones,Televisión de pago,Telecomunicaciones"/>
    <s v="https://analytics.zoho.com/open-view/2395394000008511008?ZOHO_CRITERIA=%22Televisi%C3%B3n_Pago%22.%22CodRegi%C3%B3n%22%3D16"/>
    <x v="32"/>
    <s v="#1774B63"/>
  </r>
  <r>
    <s v="1443"/>
    <n v="990"/>
    <s v="Agencia Información"/>
    <s v="Social"/>
    <n v="0"/>
    <x v="72"/>
    <x v="17"/>
    <x v="0"/>
    <x v="0"/>
    <x v="2"/>
    <x v="37"/>
    <s v="Año 2017"/>
    <s v="Personas"/>
    <s v="Instituto Nacional de Estadísticas (INE)"/>
    <s v="Cantidad de Personas que se Identifican con un Pueblo Indígena por Comuna en Chile, Año 2017"/>
    <s v="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
    <s v="Mapa de calor"/>
    <s v="Chile,población,pueblos,originarios,indígenas,etnia,comunal,Agencia Información,Social,Población de pueblos indígenas,Pueblos indígenas"/>
    <s v="https://analytics.zoho.com/open-view/2395394000008436309"/>
    <x v="17"/>
    <s v="#1774B64"/>
  </r>
  <r>
    <s v="1444"/>
    <n v="990"/>
    <s v="Agencia Información"/>
    <s v="Social"/>
    <n v="1"/>
    <x v="72"/>
    <x v="17"/>
    <x v="1"/>
    <x v="1"/>
    <x v="3"/>
    <x v="37"/>
    <s v="Año 2017"/>
    <s v="Personas"/>
    <s v="Instituto Nacional de Estadísticas (INE)"/>
    <s v="Cantidad de Personas que se Identifican con un Pueblo Indígena en la región de Tarapacá, Año 2017"/>
    <s v=" En la región de Tarapacá, la comuna con  mayor cantidad de personas que se autoidentifican como indígena es Iquique con 33.021 personas, le sigue Alto Hospicio con 32.079 personas.   "/>
    <s v="Mapa de calor"/>
    <s v="Región de Tarapacá,población,pueblos,originarios,indígenas,etnia,comunal,Agencia Información,Social,Población de pueblos indígenas,Pueblos indígenas"/>
    <s v="https://analytics.zoho.com/open-view/2395394000008503085?ZOHO_CRITERIA=%22Pueblos%20Ind%C3%ADgenas%20Edad%22.%22id_Region%22%20%3D%201"/>
    <x v="18"/>
    <s v="#1774B65"/>
  </r>
  <r>
    <s v="1445"/>
    <n v="990"/>
    <s v="Agencia Información"/>
    <s v="Social"/>
    <n v="2"/>
    <x v="72"/>
    <x v="17"/>
    <x v="1"/>
    <x v="2"/>
    <x v="3"/>
    <x v="37"/>
    <s v="Año 2017"/>
    <s v="Personas"/>
    <s v="Instituto Nacional de Estadísticas (INE)"/>
    <s v="Cantidad de Personas que se Identifican con un Pueblo Indígena en la región de Antofagasta, Año 2017"/>
    <s v="Las comunas con más de 25.000 personas que se autoidentifican como indígenas en la Región de Antofagas son Antofagasta y Calama. En tanto María Elena y Ollahue son las que tienen menor cantidad."/>
    <s v="Mapa de calor"/>
    <s v="Región de Antofagasta,población,pueblos,originarios,indígenas,etnia,comunal,Agencia Información,Social,Población de pueblos indígenas,Pueblos indígenas"/>
    <s v="https://analytics.zoho.com/open-view/2395394000008503085?ZOHO_CRITERIA=%22Pueblos%20Ind%C3%ADgenas%20Edad%22.%22id_Region%22%20%3D%202"/>
    <x v="19"/>
    <s v="#1774B66"/>
  </r>
  <r>
    <s v="1446"/>
    <n v="990"/>
    <s v="Agencia Información"/>
    <s v="Social"/>
    <n v="3"/>
    <x v="72"/>
    <x v="17"/>
    <x v="1"/>
    <x v="3"/>
    <x v="3"/>
    <x v="37"/>
    <s v="Año 2017"/>
    <s v="Personas"/>
    <s v="Instituto Nacional de Estadísticas (INE)"/>
    <s v="Cantidad de Personas que se Identifican con un Pueblo Indígena en la región de Atacama, Año 2017"/>
    <s v="En la región de Atacama, la comuna con  mayor cantidad de personas que se autoidentifican como indígena es Copiapó con 27.078 personas, le sigue Vallenar con 12.369 personas."/>
    <s v="Mapa de calor"/>
    <s v="Región de Atacama,población,pueblos,originarios,indígenas,etnia,comunal,Agencia Información,Social,Población de pueblos indígenas,Pueblos indígenas"/>
    <s v="https://analytics.zoho.com/open-view/2395394000008503085?ZOHO_CRITERIA=%22Pueblos%20Ind%C3%ADgenas%20Edad%22.%22id_Region%22%20%3D%203"/>
    <x v="20"/>
    <s v="#1774B67"/>
  </r>
  <r>
    <s v="1447"/>
    <n v="990"/>
    <s v="Agencia Información"/>
    <s v="Social"/>
    <n v="4"/>
    <x v="72"/>
    <x v="17"/>
    <x v="1"/>
    <x v="4"/>
    <x v="3"/>
    <x v="37"/>
    <s v="Año 2017"/>
    <s v="Personas"/>
    <s v="Instituto Nacional de Estadísticas (INE)"/>
    <s v="Cantidad de Personas que se Identifican con un Pueblo Indígena en la región de Coquimbo, Año 2017"/>
    <s v="Mapa de cantidad de personas que se autoidentifican como Indígena a escala comunal de la región de Coquimbo para el año 2017 según el INE."/>
    <s v="Mapa de calor"/>
    <s v="Región de Coquimbo,población,pueblos,originarios,indígenas,etnia,comunal,Agencia Información,Social,Población de pueblos indígenas,Pueblos indígenas"/>
    <s v="https://analytics.zoho.com/open-view/2395394000008503085?ZOHO_CRITERIA=%22Pueblos%20Ind%C3%ADgenas%20Edad%22.%22id_Region%22%20%3D%204"/>
    <x v="21"/>
    <s v="#1774B68"/>
  </r>
  <r>
    <s v="1448"/>
    <n v="990"/>
    <s v="Agencia Información"/>
    <s v="Social"/>
    <n v="5"/>
    <x v="72"/>
    <x v="17"/>
    <x v="1"/>
    <x v="5"/>
    <x v="3"/>
    <x v="37"/>
    <s v="Año 2017"/>
    <s v="Personas"/>
    <s v="Instituto Nacional de Estadísticas (INE)"/>
    <s v="Cantidad de Personas que se Identifican con un Pueblo Indígena en la región de Valparaíso, Año 2017"/>
    <s v=" En la región de Valparaíso, la comuna con  mayor cantidad de personas que se autoidentifican como indígena es Viña del Mar con 20.573 personas, le sigue Valparaíso con 20.153 personas. "/>
    <s v="Mapa de calor"/>
    <s v="Región de Valparaíso,población,pueblos,originarios,indígenas,etnia,comunal,Agencia Información,Social,Población de pueblos indígenas,Pueblos indígenas"/>
    <s v="https://analytics.zoho.com/open-view/2395394000008503085?ZOHO_CRITERIA=%22Pueblos%20Ind%C3%ADgenas%20Edad%22.%22id_Region%22%20%3D%205"/>
    <x v="22"/>
    <s v="#1774B69"/>
  </r>
  <r>
    <s v="1449"/>
    <n v="990"/>
    <s v="Agencia Información"/>
    <s v="Social"/>
    <n v="6"/>
    <x v="72"/>
    <x v="17"/>
    <x v="1"/>
    <x v="6"/>
    <x v="3"/>
    <x v="37"/>
    <s v="Año 2017"/>
    <s v="Personas"/>
    <s v="Instituto Nacional de Estadísticas (INE)"/>
    <s v="Cantidad de Personas que se Identifican con un Pueblo Indígena en la región de O'Higgins, Año 2017"/>
    <s v="En la región de O'Higgins, la comuna con  mayor cantidad de personas que se autoidentifican como indígena es Rancagua con 18.461 personas, le sigue San Fernando con 4.281 personas. "/>
    <s v="Mapa de calor"/>
    <s v="Región de O'Higgins,población,pueblos,originarios,indígenas,etnia,comunal,Agencia Información,Social,Población de pueblos indígenas,Pueblos indígenas"/>
    <s v="https://analytics.zoho.com/open-view/2395394000008503085?ZOHO_CRITERIA=%22Pueblos%20Ind%C3%ADgenas%20Edad%22.%22id_Region%22%20%3D%206"/>
    <x v="23"/>
    <s v="#1774B70"/>
  </r>
  <r>
    <s v="1450"/>
    <n v="990"/>
    <s v="Agencia Información"/>
    <s v="Social"/>
    <n v="7"/>
    <x v="72"/>
    <x v="17"/>
    <x v="1"/>
    <x v="7"/>
    <x v="3"/>
    <x v="37"/>
    <s v="Año 2017"/>
    <s v="Personas"/>
    <s v="Instituto Nacional de Estadísticas (INE)"/>
    <s v="Cantidad de Personas que se Identifican con un Pueblo Indígena en la región de Maule, Año 2017"/>
    <s v=" En la región de  Maule, la comuna con  mayor cantidad de personas que se autoidentifican como indígena es Curicó con 9.298 personas, le sigue Talca con 9.280 personas. "/>
    <s v="Mapa de calor"/>
    <s v="Región de Maule,población,pueblos,originarios,indígenas,etnia,comunal,Agencia Información,Social,Población de pueblos indígenas,Pueblos indígenas"/>
    <s v="https://analytics.zoho.com/open-view/2395394000008503085?ZOHO_CRITERIA=%22Pueblos%20Ind%C3%ADgenas%20Edad%22.%22id_Region%22%20%3D%207"/>
    <x v="24"/>
    <s v="#1774B71"/>
  </r>
  <r>
    <s v="1451"/>
    <n v="990"/>
    <s v="Agencia Información"/>
    <s v="Social"/>
    <n v="8"/>
    <x v="72"/>
    <x v="17"/>
    <x v="1"/>
    <x v="8"/>
    <x v="3"/>
    <x v="37"/>
    <s v="Año 2017"/>
    <s v="Personas"/>
    <s v="Instituto Nacional de Estadísticas (INE)"/>
    <s v="Cantidad de Personas que se Identifican con un Pueblo Indígena en la región del Biobío, Año 2017"/>
    <s v="Mapa de cantidad de personas que se autoidentifican como Indígena a escala comunal de la región de Biobío para el año 2017 según el INE"/>
    <s v="Mapa de calor"/>
    <s v="Región del Biobío,población,pueblos,originarios,indígenas,etnia,comunal,Agencia Información,Social,Población de pueblos indígenas,Pueblos indígenas"/>
    <s v="https://analytics.zoho.com/open-view/2395394000008503085?ZOHO_CRITERIA=%22Pueblos%20Ind%C3%ADgenas%20Edad%22.%22id_Region%22%20%3D%208"/>
    <x v="25"/>
    <s v="#1774B72"/>
  </r>
  <r>
    <s v="1452"/>
    <n v="990"/>
    <s v="Agencia Información"/>
    <s v="Social"/>
    <n v="9"/>
    <x v="72"/>
    <x v="17"/>
    <x v="1"/>
    <x v="9"/>
    <x v="3"/>
    <x v="37"/>
    <s v="Año 2017"/>
    <s v="Personas"/>
    <s v="Instituto Nacional de Estadísticas (INE)"/>
    <s v="Cantidad de Personas que se Identifican con un Pueblo Indígena en la región de La Araucanía, Año 2017"/>
    <s v=" Las comunas con más de 25.000 personas que se autoidentifican como indígenas en la Región de Araucanía son Temuco con 68.369 y Padre Las Casas con 37.197. En tanto Renaico es la que tiene menor cantidad."/>
    <s v="Mapa de calor"/>
    <s v="Región de La Araucanía,población,pueblos,originarios,indígenas,etnia,comunal,Agencia Información,Social,Población de pueblos indígenas,Pueblos indígenas"/>
    <s v="https://analytics.zoho.com/open-view/2395394000008503085?ZOHO_CRITERIA=%22Pueblos%20Ind%C3%ADgenas%20Edad%22.%22id_Region%22%20%3D%209"/>
    <x v="26"/>
    <s v="#1774B73"/>
  </r>
  <r>
    <s v="1453"/>
    <n v="990"/>
    <s v="Agencia Información"/>
    <s v="Social"/>
    <n v="10"/>
    <x v="72"/>
    <x v="17"/>
    <x v="1"/>
    <x v="10"/>
    <x v="3"/>
    <x v="37"/>
    <s v="Año 2017"/>
    <s v="Personas"/>
    <s v="Instituto Nacional de Estadísticas (INE)"/>
    <s v="Cantidad de Personas que se Identifican con un Pueblo Indígena en la región de Los Lagos, Año 2017"/>
    <s v=" Las comunas con más de 25.000 personas que se autoidentifican como indígenas en la Región de Los Lagos son Puerto Montt con 52.483 y Osorno con 47.257. En tanto Cochamó, Futaleufú y Palena son las que tienen menor cantidad. "/>
    <s v="Mapa de calor"/>
    <s v="Región de Los Lagos,población,pueblos,originarios,indígenas,etnia,comunal,Agencia Información,Social,Población de pueblos indígenas,Pueblos indígenas"/>
    <s v="https://analytics.zoho.com/open-view/2395394000008503085?ZOHO_CRITERIA=%22Pueblos%20Ind%C3%ADgenas%20Edad%22.%22id_Region%22%20%3D%2010"/>
    <x v="27"/>
    <s v="#1774B74"/>
  </r>
  <r>
    <s v="1454"/>
    <n v="990"/>
    <s v="Agencia Información"/>
    <s v="Social"/>
    <n v="11"/>
    <x v="72"/>
    <x v="17"/>
    <x v="1"/>
    <x v="11"/>
    <x v="3"/>
    <x v="37"/>
    <s v="Año 2017"/>
    <s v="Personas"/>
    <s v="Instituto Nacional de Estadísticas (INE)"/>
    <s v="Cantidad de Personas que se Identifican con un Pueblo Indígena en la región de Aysén, Año 2017"/>
    <s v="Mapa de cantidad de personas que se autoidentifican como Indígena a escala comunal de la región de Aysén para el año 2017 según el INE."/>
    <s v="Mapa de calor"/>
    <s v="Región de Aysén,población,pueblos,originarios,indígenas,etnia,comunal,Agencia Información,Social,Población de pueblos indígenas,Pueblos indígenas"/>
    <s v="https://analytics.zoho.com/open-view/2395394000008503085?ZOHO_CRITERIA=%22Pueblos%20Ind%C3%ADgenas%20Edad%22.%22id_Region%22%20%3D%2011"/>
    <x v="33"/>
    <s v="#1774B75"/>
  </r>
  <r>
    <s v="1455"/>
    <n v="990"/>
    <s v="Agencia Información"/>
    <s v="Social"/>
    <n v="12"/>
    <x v="72"/>
    <x v="17"/>
    <x v="1"/>
    <x v="12"/>
    <x v="3"/>
    <x v="37"/>
    <s v="Año 2017"/>
    <s v="Personas"/>
    <s v="Instituto Nacional de Estadísticas (INE)"/>
    <s v="Cantidad de Personas que se Identifican con un Pueblo Indígena en la región de Magallanes, Año 2017"/>
    <s v="La comuna con más de 25.000 personas que se autoidentifican como indígenas en la Región de Magallanes es Punta Arenas con 28.334 personas. "/>
    <s v="Mapa de calor"/>
    <s v="Región de Magallanes,población,pueblos,originarios,indígenas,etnia,comunal,Agencia Información,Social,Población de pueblos indígenas,Pueblos indígenas"/>
    <s v="https://analytics.zoho.com/open-view/2395394000008503085?ZOHO_CRITERIA=%22Pueblos%20Ind%C3%ADgenas%20Edad%22.%22id_Region%22%20%3D%2012"/>
    <x v="28"/>
    <s v="#1774B76"/>
  </r>
  <r>
    <s v="1456"/>
    <n v="990"/>
    <s v="Agencia Información"/>
    <s v="Social"/>
    <n v="13"/>
    <x v="72"/>
    <x v="17"/>
    <x v="1"/>
    <x v="13"/>
    <x v="3"/>
    <x v="37"/>
    <s v="Año 2017"/>
    <s v="Personas"/>
    <s v="Instituto Nacional de Estadísticas (INE)"/>
    <s v="Cantidad de Personas que se Identifican con un Pueblo Indígena en la región Metropolitana, Año 2017"/>
    <s v="En la región de  Metropolitana, la comuna con  mayor cantidad de personas que se autoidentifican como indígena es Puente Alto con 62.337, le sigue Maipú con 51.728 personas. "/>
    <s v="Mapa de calor"/>
    <s v="Región Metropolitana,población,pueblos,originarios,indígenas,etnia,comunal,Agencia Información,Social,Población de pueblos indígenas,Pueblos indígenas"/>
    <s v="https://analytics.zoho.com/open-view/2395394000008503085?ZOHO_CRITERIA=%22Pueblos%20Ind%C3%ADgenas%20Edad%22.%22id_Region%22%20%3D%2013"/>
    <x v="29"/>
    <s v="#1774B77"/>
  </r>
  <r>
    <s v="1457"/>
    <n v="990"/>
    <s v="Agencia Información"/>
    <s v="Social"/>
    <n v="14"/>
    <x v="72"/>
    <x v="17"/>
    <x v="1"/>
    <x v="14"/>
    <x v="3"/>
    <x v="37"/>
    <s v="Año 2017"/>
    <s v="Personas"/>
    <s v="Instituto Nacional de Estadísticas (INE)"/>
    <s v="Cantidad de Personas que se Identifican con un Pueblo Indígena en la región de Los Ríos, Año 2017"/>
    <s v="Las comunas con más de 25.000 personas que se autoidentifican como indígenas en la Región de Los Ríos es Valdivia con 28.868. En tanto Máfil y Corral son la que tienen menor cantidad de personas."/>
    <s v="Mapa de calor"/>
    <s v="Región de Los Ríos,población,pueblos,originarios,indígenas,etnia,comunal,Agencia Información,Social,Población de pueblos indígenas,Pueblos indígenas"/>
    <s v="https://analytics.zoho.com/open-view/2395394000008503085?ZOHO_CRITERIA=%22Pueblos%20Ind%C3%ADgenas%20Edad%22.%22id_Region%22%20%3D%2014"/>
    <x v="30"/>
    <s v="#1774B78"/>
  </r>
  <r>
    <s v="1458"/>
    <n v="990"/>
    <s v="Agencia Información"/>
    <s v="Social"/>
    <n v="15"/>
    <x v="72"/>
    <x v="17"/>
    <x v="1"/>
    <x v="15"/>
    <x v="3"/>
    <x v="37"/>
    <s v="Año 2017"/>
    <s v="Personas"/>
    <s v="Instituto Nacional de Estadísticas (INE)"/>
    <s v="Cantidad de Personas que se Identifican con un Pueblo Indígena en la región de Arica y Parinacota, Año 2017"/>
    <s v="Mapa de cantidad de personas que se autoidentifican como Indígena a escala comunal de la región de Arica y Parinacota para el año 2017 según el INE."/>
    <s v="Mapa de calor"/>
    <s v="Región de Arica y Parinacota,población,pueblos,originarios,indígenas,etnia,comunal,Agencia Información,Social,Población de pueblos indígenas,Pueblos indígenas"/>
    <s v="https://analytics.zoho.com/open-view/2395394000008503085?ZOHO_CRITERIA=%22Pueblos%20Ind%C3%ADgenas%20Edad%22.%22id_Region%22%20%3D%2015"/>
    <x v="31"/>
    <s v="#1774B79"/>
  </r>
  <r>
    <s v="1459"/>
    <n v="990"/>
    <s v="Agencia Información"/>
    <s v="Social"/>
    <n v="16"/>
    <x v="72"/>
    <x v="17"/>
    <x v="1"/>
    <x v="16"/>
    <x v="3"/>
    <x v="37"/>
    <s v="Año 2017"/>
    <s v="Personas"/>
    <s v="Instituto Nacional de Estadísticas (INE)"/>
    <s v="Cantidad de Personas que se Identifican con un Pueblo Indígena en la región de Ñuble, Año 2017"/>
    <s v="Mapa de cantidad de personas que se autoidentifican como Indígena a escala comunal de la región de Ñuble para el año 2017 según el INE."/>
    <s v="Mapa de calor"/>
    <s v="Región de Ñuble,población,pueblos,originarios,indígenas,etnia,comunal,Agencia Información,Social,Población de pueblos indígenas,Pueblos indígenas"/>
    <s v="https://analytics.zoho.com/open-view/2395394000008503085?ZOHO_CRITERIA=%22Pueblos%20Ind%C3%ADgenas%20Edad%22.%22id_Region%22%20%3D%2016"/>
    <x v="32"/>
    <s v="#1774B80"/>
  </r>
  <r>
    <s v="1460"/>
    <n v="990"/>
    <s v="Agencia Información"/>
    <s v="Social"/>
    <n v="0"/>
    <x v="73"/>
    <x v="17"/>
    <x v="0"/>
    <x v="0"/>
    <x v="2"/>
    <x v="37"/>
    <s v="Año 2017"/>
    <s v="Personas"/>
    <s v="Instituto Nacional de Estadísticas (INE)"/>
    <s v="Cantidad de Personas que se Identifican con un Pueblo Indígena por Grupo de Edad en Chile, Año 2017"/>
    <s v="La región con mayor cantidad de personas autoidentificadas como indígenas, que superan los 100 años de edad, es la región Metropolinada con 141 personas, seguidas de La Araucanía y los Lagos con 85 y 38 personas respectivamente."/>
    <s v="Gráfico"/>
    <s v="Chile,población,pueblos,originarios,indígenas,etnia,comunal,Agencia Información,Social,Población por rango etario,Pueblos indígenas"/>
    <s v="https://analytics.zoho.com/open-view/2395394000008436580"/>
    <x v="17"/>
    <s v="#1774B81"/>
  </r>
  <r>
    <s v="1461"/>
    <n v="990"/>
    <s v="Agencia Información"/>
    <s v="Social"/>
    <n v="1"/>
    <x v="73"/>
    <x v="17"/>
    <x v="1"/>
    <x v="1"/>
    <x v="1"/>
    <x v="37"/>
    <s v="Año 2017"/>
    <s v="Personas"/>
    <s v="Instituto Nacional de Estadísticas (INE)"/>
    <s v="Cantidad de Personas que se Identifican con un Pueblo Indígena por Grupo de Edad en la región de Tarapacá, Año 2017"/>
    <s v="En la región de Tarapacá, el mayor grupo etario de personas autoidentificadas como indígena, para el año 2017, fue de &quot;5 a 9&quot; con 7.788 personas, seguido por el rango de &quot;25 a 29&quot; con 7.372 personas."/>
    <s v="Gráfico"/>
    <s v="Región de Tarapacá,población,pueblos,originarios,indígenas,etnia,comunal,Agencia Información,Social,Población por rango etario,Pueblos indígenas"/>
    <s v="https://analytics.zoho.com/open-view/2395394000008503207?ZOHO_CRITERIA=%22Pueblos%20Ind%C3%ADgenas%20Edad%22.%22id_Region%22%20%3D%201"/>
    <x v="18"/>
    <s v="#1774B82"/>
  </r>
  <r>
    <s v="1462"/>
    <n v="990"/>
    <s v="Agencia Información"/>
    <s v="Social"/>
    <n v="2"/>
    <x v="73"/>
    <x v="17"/>
    <x v="1"/>
    <x v="2"/>
    <x v="1"/>
    <x v="37"/>
    <s v="Año 2017"/>
    <s v="Personas"/>
    <s v="Instituto Nacional de Estadísticas (INE)"/>
    <s v="Cantidad de Personas que se Identifican con un Pueblo Indígena por Grupo de Edad en la región de Tarapacá, Año 2017"/>
    <s v="En la región de Antofagasta, el mayor grupo etario de personas autoidentificadas como indígena para el año 2017  fue de &quot;25 a 29&quot; con 7.698 personas, seguido por el rango de &quot;20 a 24&quot;con 7.188 indígenas."/>
    <s v="Gráfico"/>
    <s v="Región de Antofagasta,población,pueblos,originarios,indígenas,etnia,comunal,Agencia Información,Social,Población por rango etario,Pueblos indígenas"/>
    <s v="https://analytics.zoho.com/open-view/2395394000008503207?ZOHO_CRITERIA=%22Pueblos%20Ind%C3%ADgenas%20Edad%22.%22id_Region%22%20%3D%202"/>
    <x v="19"/>
    <s v="#1774B83"/>
  </r>
  <r>
    <s v="1463"/>
    <n v="990"/>
    <s v="Agencia Información"/>
    <s v="Social"/>
    <n v="3"/>
    <x v="73"/>
    <x v="17"/>
    <x v="1"/>
    <x v="3"/>
    <x v="1"/>
    <x v="37"/>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Atacama para el año 2017, según el INE._x000a_"/>
    <s v="Gráfico"/>
    <s v="Región de Atacama,población,pueblos,originarios,indígenas,etnia,comunal,Agencia Información,Social,Población por rango etario,Pueblos indígenas"/>
    <s v="https://analytics.zoho.com/open-view/2395394000008503207?ZOHO_CRITERIA=%22Pueblos%20Ind%C3%ADgenas%20Edad%22.%22id_Region%22%20%3D%203"/>
    <x v="20"/>
    <s v="#1774B84"/>
  </r>
  <r>
    <s v="1464"/>
    <n v="990"/>
    <s v="Agencia Información"/>
    <s v="Social"/>
    <n v="4"/>
    <x v="73"/>
    <x v="17"/>
    <x v="1"/>
    <x v="4"/>
    <x v="1"/>
    <x v="37"/>
    <s v="Año 2017"/>
    <s v="Personas"/>
    <s v="Instituto Nacional de Estadísticas (INE)"/>
    <s v="Cantidad de Personas que se Identifican con un Pueblo Indígena por Grupo de Edad en la región de Tarapacá, Año 2017"/>
    <s v="En la región de Coquimbo, el mayor grupo etario de personas autoidentificadas como indígena para el año 2017  fue de &quot;5 a 9&quot; con 5.570 personas, seguido por el rango de &quot;15 a 19&quot; con 5.310 indígenas."/>
    <s v="Gráfico"/>
    <s v="Región de Coquimbo,población,pueblos,originarios,indígenas,etnia,comunal,Agencia Información,Social,Población por rango etario,Pueblos indígenas"/>
    <s v="https://analytics.zoho.com/open-view/2395394000008503207?ZOHO_CRITERIA=%22Pueblos%20Ind%C3%ADgenas%20Edad%22.%22id_Region%22%20%3D%204"/>
    <x v="21"/>
    <s v="#1774B85"/>
  </r>
  <r>
    <s v="1465"/>
    <n v="990"/>
    <s v="Agencia Información"/>
    <s v="Social"/>
    <n v="5"/>
    <x v="73"/>
    <x v="17"/>
    <x v="1"/>
    <x v="5"/>
    <x v="1"/>
    <x v="37"/>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Valparaíso para el año 2017, según el INE."/>
    <s v="Gráfico"/>
    <s v="Región de Valparaíso,población,pueblos,originarios,indígenas,etnia,comunal,Agencia Información,Social,Población por rango etario,Pueblos indígenas"/>
    <s v="https://analytics.zoho.com/open-view/2395394000008503207?ZOHO_CRITERIA=%22Pueblos%20Ind%C3%ADgenas%20Edad%22.%22id_Region%22%20%3D%205"/>
    <x v="22"/>
    <s v="#1774B86"/>
  </r>
  <r>
    <s v="1466"/>
    <n v="990"/>
    <s v="Agencia Información"/>
    <s v="Social"/>
    <n v="6"/>
    <x v="73"/>
    <x v="17"/>
    <x v="1"/>
    <x v="6"/>
    <x v="1"/>
    <x v="37"/>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O'Higgins para el año 2017, según el INE."/>
    <s v="Gráfico"/>
    <s v="Región de O'Higgins,población,pueblos,originarios,indígenas,etnia,comunal,Agencia Información,Social,Población por rango etario,Pueblos indígenas"/>
    <s v="https://analytics.zoho.com/open-view/2395394000008503207?ZOHO_CRITERIA=%22Pueblos%20Ind%C3%ADgenas%20Edad%22.%22id_Region%22%20%3D%206"/>
    <x v="23"/>
    <s v="#1774B87"/>
  </r>
  <r>
    <s v="1467"/>
    <n v="990"/>
    <s v="Agencia Información"/>
    <s v="Social"/>
    <n v="7"/>
    <x v="73"/>
    <x v="17"/>
    <x v="1"/>
    <x v="7"/>
    <x v="1"/>
    <x v="37"/>
    <s v="Año 2017"/>
    <s v="Personas"/>
    <s v="Instituto Nacional de Estadísticas (INE)"/>
    <s v="Cantidad de Personas que se Identifican con un Pueblo Indígena por Grupo de Edad en la región de Tarapacá, Año 2017"/>
    <s v="En la región del Maule, el mayor grupo etario de personas autoidentificadas como indígena para el año 2017  fue de &quot;5 a 9&quot; con 3.793 personas, seguido por el rango de &quot;25 a 29&quot; con 3.728 indígenas."/>
    <s v="Gráfico"/>
    <s v="Región de Maule,población,pueblos,originarios,indígenas,etnia,comunal,Agencia Información,Social,Población por rango etario,Pueblos indígenas"/>
    <s v="https://analytics.zoho.com/open-view/2395394000008503207?ZOHO_CRITERIA=%22Pueblos%20Ind%C3%ADgenas%20Edad%22.%22id_Region%22%20%3D%207"/>
    <x v="24"/>
    <s v="#1774B88"/>
  </r>
  <r>
    <s v="1468"/>
    <n v="990"/>
    <s v="Agencia Información"/>
    <s v="Social"/>
    <n v="8"/>
    <x v="73"/>
    <x v="17"/>
    <x v="1"/>
    <x v="8"/>
    <x v="1"/>
    <x v="37"/>
    <s v="Año 2017"/>
    <s v="Personas"/>
    <s v="Instituto Nacional de Estadísticas (INE)"/>
    <s v="Cantidad de Personas que se Identifican con un Pueblo Indígena por Grupo de Edad en la región de Tarapacá, Año 2017"/>
    <s v="En la región del Biobío, el mayor grupo etario de personas autoidentificadas como indígena para el año 2017  fue de &quot;5 a 9&quot; con 13.753 personas, seguido por el rango de &quot;20 a 24&quot; con 13.652 indígenas."/>
    <s v="Gráfico"/>
    <s v="Región del Biobío,población,pueblos,originarios,indígenas,etnia,comunal,Agencia Información,Social,Población por rango etario,Pueblos indígenas"/>
    <s v="https://analytics.zoho.com/open-view/2395394000008503207?ZOHO_CRITERIA=%22Pueblos%20Ind%C3%ADgenas%20Edad%22.%22id_Region%22%20%3D%208"/>
    <x v="25"/>
    <s v="#1774B89"/>
  </r>
  <r>
    <s v="1469"/>
    <n v="990"/>
    <s v="Agencia Información"/>
    <s v="Social"/>
    <n v="9"/>
    <x v="73"/>
    <x v="17"/>
    <x v="1"/>
    <x v="9"/>
    <x v="1"/>
    <x v="37"/>
    <s v="Año 2017"/>
    <s v="Personas"/>
    <s v="Instituto Nacional de Estadísticas (INE)"/>
    <s v="Cantidad de Personas que se Identifican con un Pueblo Indígena por Grupo de Edad en la región de Tarapacá, Año 2017"/>
    <s v=" Gráfico por grupo etario  de cantidad de personas que se autoidentifican como indígena en la región de la Araucanía para el año 2017, según el INE."/>
    <s v="Gráfico"/>
    <s v="Región de La Araucanía,población,pueblos,originarios,indígenas,etnia,comunal,Agencia Información,Social,Población por rango etario,Pueblos indígenas"/>
    <s v="https://analytics.zoho.com/open-view/2395394000008503207?ZOHO_CRITERIA=%22Pueblos%20Ind%C3%ADgenas%20Edad%22.%22id_Region%22%20%3D%209"/>
    <x v="26"/>
    <s v="#1774B90"/>
  </r>
  <r>
    <s v="1470"/>
    <n v="990"/>
    <s v="Agencia Información"/>
    <s v="Social"/>
    <n v="10"/>
    <x v="73"/>
    <x v="17"/>
    <x v="1"/>
    <x v="10"/>
    <x v="1"/>
    <x v="37"/>
    <s v="Año 2017"/>
    <s v="Personas"/>
    <s v="Instituto Nacional de Estadísticas (INE)"/>
    <s v="Cantidad de Personas que se Identifican con un Pueblo Indígena por Grupo de Edad en la región de Tarapacá, Año 2017"/>
    <s v="En la región de Los Lagos el grupo etario de &quot;40 a 44&quot; años, corresponde al 7,1% del total de las personas que se autoidentifican como  indígena en la región al año 2017."/>
    <s v="Gráfico"/>
    <s v="Región de Los Lagos,población,pueblos,originarios,indígenas,etnia,comunal,Agencia Información,Social,Población por rango etario,Pueblos indígenas"/>
    <s v="https://analytics.zoho.com/open-view/2395394000008503207?ZOHO_CRITERIA=%22Pueblos%20Ind%C3%ADgenas%20Edad%22.%22id_Region%22%20%3D%2010"/>
    <x v="27"/>
    <s v="#1774B91"/>
  </r>
  <r>
    <s v="1471"/>
    <n v="990"/>
    <s v="Agencia Información"/>
    <s v="Social"/>
    <n v="11"/>
    <x v="73"/>
    <x v="17"/>
    <x v="1"/>
    <x v="11"/>
    <x v="1"/>
    <x v="37"/>
    <s v="Año 2017"/>
    <s v="Personas"/>
    <s v="Instituto Nacional de Estadísticas (INE)"/>
    <s v="Cantidad de Personas que se Identifican con un Pueblo Indígena por Grupo de Edad en la región de Tarapacá, Año 2017"/>
    <s v="En la región de Aysén el grupo etario de &quot;40 a 44&quot; años, corresponde al 6,9% del total de las personas que se autoidentifican como indígena en la región al año 2017."/>
    <s v="Gráfico"/>
    <s v="Región de Aysén,población,pueblos,originarios,indígenas,etnia,comunal,Agencia Información,Social,Población por rango etario,Pueblos indígenas"/>
    <s v="https://analytics.zoho.com/open-view/2395394000008503207?ZOHO_CRITERIA=%22Pueblos%20Ind%C3%ADgenas%20Edad%22.%22id_Region%22%20%3D%2011"/>
    <x v="33"/>
    <s v="#1774B92"/>
  </r>
  <r>
    <s v="1472"/>
    <n v="990"/>
    <s v="Agencia Información"/>
    <s v="Social"/>
    <n v="12"/>
    <x v="73"/>
    <x v="17"/>
    <x v="1"/>
    <x v="12"/>
    <x v="1"/>
    <x v="37"/>
    <s v="Año 2017"/>
    <s v="Personas"/>
    <s v="Instituto Nacional de Estadísticas (INE)"/>
    <s v="Cantidad de Personas que se Identifican con un Pueblo Indígena por Grupo de Edad en la región de Tarapacá, Año 2017"/>
    <s v="En la región de Magallanes, el mayor grupo etario de personas autoidentificadas como indígena para el año 2017  fue de &quot;25 a 29&quot; con 3.607 personas, seguido por el rango de &quot;15 a 19&quot; con 3.353 indígenas."/>
    <s v="Gráfico"/>
    <s v="Región de Magallanes,población,pueblos,originarios,indígenas,etnia,comunal,Agencia Información,Social,Población por rango etario,Pueblos indígenas"/>
    <s v="https://analytics.zoho.com/open-view/2395394000008503207?ZOHO_CRITERIA=%22Pueblos%20Ind%C3%ADgenas%20Edad%22.%22id_Region%22%20%3D%2012"/>
    <x v="28"/>
    <s v="#1774B93"/>
  </r>
  <r>
    <s v="1473"/>
    <n v="990"/>
    <s v="Agencia Información"/>
    <s v="Social"/>
    <n v="13"/>
    <x v="73"/>
    <x v="17"/>
    <x v="1"/>
    <x v="13"/>
    <x v="1"/>
    <x v="37"/>
    <s v="Año 2017"/>
    <s v="Personas"/>
    <s v="Instituto Nacional de Estadísticas (INE)"/>
    <s v="Cantidad de Personas que se Identifican con un Pueblo Indígena por Grupo de Edad en la región de Tarapacá, Año 2017"/>
    <s v="En la región de Metropolitana, el mayor grupo etario de personas autoidentificadas como indígena para el año 2017  fue de &quot;25 a 29&quot; con 62.378 personas, seguido por el rango de &quot;15 a 19&quot; con 60.139 indígenas."/>
    <s v="Gráfico"/>
    <s v="Región Metropolitana,población,pueblos,originarios,indígenas,etnia,comunal,Agencia Información,Social,Población por rango etario,Pueblos indígenas"/>
    <s v="https://analytics.zoho.com/open-view/2395394000008503207?ZOHO_CRITERIA=%22Pueblos%20Ind%C3%ADgenas%20Edad%22.%22id_Region%22%20%3D%2013"/>
    <x v="29"/>
    <s v="#1774B94"/>
  </r>
  <r>
    <s v="1474"/>
    <n v="990"/>
    <s v="Agencia Información"/>
    <s v="Social"/>
    <n v="14"/>
    <x v="73"/>
    <x v="17"/>
    <x v="1"/>
    <x v="14"/>
    <x v="1"/>
    <x v="37"/>
    <s v="Año 2017"/>
    <s v="Personas"/>
    <s v="Instituto Nacional de Estadísticas (INE)"/>
    <s v="Cantidad de Personas que se Identifican con un Pueblo Indígena por Grupo de Edad en la región de Tarapacá, Año 2017"/>
    <s v="En la región de Los Ríos el grupo etario de &quot;40 a 44&quot; años, corresponde al 6,6% del total de las personas que se autoidentifican como indígena en la región al año 2017."/>
    <s v="Gráfico"/>
    <s v="Región de Los Ríos,población,pueblos,originarios,indígenas,etnia,comunal,Agencia Información,Social,Población por rango etario,Pueblos indígenas"/>
    <s v="https://analytics.zoho.com/open-view/2395394000008503207?ZOHO_CRITERIA=%22Pueblos%20Ind%C3%ADgenas%20Edad%22.%22id_Region%22%20%3D%2014"/>
    <x v="30"/>
    <s v="#1774B95"/>
  </r>
  <r>
    <s v="1475"/>
    <n v="990"/>
    <s v="Agencia Información"/>
    <s v="Social"/>
    <n v="15"/>
    <x v="73"/>
    <x v="17"/>
    <x v="1"/>
    <x v="15"/>
    <x v="1"/>
    <x v="37"/>
    <s v="Año 2017"/>
    <s v="Personas"/>
    <s v="Instituto Nacional de Estadísticas (INE)"/>
    <s v="Cantidad de Personas que se Identifican con un Pueblo Indígena por Grupo de Edad en la región de Tarapacá, Año 2017"/>
    <s v="En la región de Arica y Parinacota, el mayor grupo etario de personas autoidentificadas como indígena para el año 2017  fue de &quot;5 a 9&quot; con 7.050 personas, seguido por el rango de &quot;20 a 24&quot; con 6.929 indígenas."/>
    <s v="Gráfico"/>
    <s v="Región de Arica y Parinacota,población,pueblos,originarios,indígenas,etnia,comunal,Agencia Información,Social,Población por rango etario,Pueblos indígenas"/>
    <s v="https://analytics.zoho.com/open-view/2395394000008503207?ZOHO_CRITERIA=%22Pueblos%20Ind%C3%ADgenas%20Edad%22.%22id_Region%22%20%3D%2015"/>
    <x v="31"/>
    <s v="#1774B96"/>
  </r>
  <r>
    <s v="1476"/>
    <n v="990"/>
    <s v="Agencia Información"/>
    <s v="Social"/>
    <n v="16"/>
    <x v="73"/>
    <x v="17"/>
    <x v="1"/>
    <x v="16"/>
    <x v="1"/>
    <x v="37"/>
    <s v="Año 2017"/>
    <s v="Personas"/>
    <s v="Instituto Nacional de Estadísticas (INE)"/>
    <s v="Cantidad de Personas que se Identifican con un Pueblo Indígena por Grupo de Edad en la región de Tarapacá, Año 2017"/>
    <s v="En la región de Ñuble el grupo etario de &quot;40 a 44&quot; años, corresponde al 6,5% del total de las personas que se autoidentifican como indígena en la región al año 2017."/>
    <s v="Gráfico"/>
    <s v="Región de Ñuble,población,pueblos,originarios,indígenas,etnia,comunal,Agencia Información,Social,Población por rango etario,Pueblos indígenas"/>
    <s v="https://analytics.zoho.com/open-view/2395394000008503207?ZOHO_CRITERIA=%22Pueblos%20Ind%C3%ADgenas%20Edad%22.%22id_Region%22%20%3D%2016"/>
    <x v="32"/>
    <s v="#1774B97"/>
  </r>
  <r>
    <s v="1477"/>
    <n v="990"/>
    <s v="Agencia Información"/>
    <s v="Social"/>
    <n v="0"/>
    <x v="72"/>
    <x v="17"/>
    <x v="0"/>
    <x v="0"/>
    <x v="1"/>
    <x v="37"/>
    <s v="Año 2017"/>
    <s v="Personas"/>
    <s v="Instituto Nacional de Estadísticas (INE)"/>
    <s v="Cantidad de Personas que se Identifican con un Pueblo Indígena por Pueblo en Chile, Año 2017"/>
    <s v="En Chile, para el año 2017, el pueblo indígena con mayor cantidad de personas autoidentificadas como indígena, fue el Pueblo Mapuche con 1.745.147 personas, mientras el pueblo Yagán o Yámana  fue el pueblo con menor cantidad, con 1.600 personas. "/>
    <s v="Nube de palabras"/>
    <s v="Chile,personas,población,pueblos,originarios,indígenas,etnia,Agencia Información,Social,Población de pueblos indígenas,Pueblos indígenas"/>
    <s v="https://analytics.zoho.com/open-view/2395394000008436794"/>
    <x v="34"/>
    <s v="#1774B98"/>
  </r>
  <r>
    <s v="1478"/>
    <n v="990"/>
    <s v="Agencia Información"/>
    <s v="Social"/>
    <n v="0"/>
    <x v="72"/>
    <x v="17"/>
    <x v="0"/>
    <x v="0"/>
    <x v="1"/>
    <x v="37"/>
    <s v="Año 2017"/>
    <s v="Personas"/>
    <s v="Instituto Nacional de Estadísticas (INE)"/>
    <s v="Cantidad de Personas que se Identifican con un Pueblo Indígena por Pueblo y región en Chile, Año 2017"/>
    <s v="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quot;Otro&quot;, referido a otros pueblos indígenas, originarios, tribales u otras etnias declaradas por la población censada, y “Pueblo Ignorado&quot; referido a la población que se declaró perteneciente a un pueblo indígena u originario pero cuyo pueblo específico no fue declarado o posible de clasificar."/>
    <s v="Gráfico"/>
    <s v="Chile,población,pueblos,originarios,indígenas,etnia,regional,yagán,yámana,rapa nui,quechua,mapuche,lican antai,kawésqar,diaguita,colla,aymara,Agencia Información,Social,Población de pueblos indígenas,Pueblos indígenas"/>
    <s v="https://analytics.zoho.com/open-view/2395394000008436989"/>
    <x v="0"/>
    <s v="#1774B99"/>
  </r>
  <r>
    <s v="1479"/>
    <n v="990"/>
    <s v="Agencia Información"/>
    <s v="Social"/>
    <n v="1"/>
    <x v="72"/>
    <x v="17"/>
    <x v="1"/>
    <x v="1"/>
    <x v="1"/>
    <x v="37"/>
    <s v="Año 2017"/>
    <s v="Personas"/>
    <s v="Instituto Nacional de Estadísticas (INE)"/>
    <s v="Cantidad de Personas que se Identifican con un Pueblo Indígena por Pueblo en la región de Tarapacá, Año 2017"/>
    <s v="En la región de Tarapacá, el pueblo Aymara presenta  mayor porcentaje de personas autoidentificada como indígena para el año 2017  con un 61,2 %, mientras que el pueblo indíegna con menor porcentaje es el Colla con un 1% ."/>
    <s v="Gráfico"/>
    <s v="Región de Tarapacá,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
    <x v="1"/>
    <s v="#1774B100"/>
  </r>
  <r>
    <s v="1480"/>
    <n v="990"/>
    <s v="Agencia Información"/>
    <s v="Social"/>
    <n v="2"/>
    <x v="72"/>
    <x v="17"/>
    <x v="1"/>
    <x v="2"/>
    <x v="1"/>
    <x v="37"/>
    <s v="Año 2017"/>
    <s v="Personas"/>
    <s v="Instituto Nacional de Estadísticas (INE)"/>
    <s v="Cantidad de Personas que se Identifican con un Pueblo Indígena por Pueblo en la región de Antofagasta, Año 2017"/>
    <s v="En la región de Antofagasta, el pueblo Likan Antai presenta  mayor porcentaje de personas autoidentificada como indígena para el año 2017  con un 30,7 %, mientras que el pueblo indíegna con menor porcentaje es el Colla con un 1,2% ._x000a_"/>
    <s v="Gráfico"/>
    <s v="Región de Antofagast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2"/>
    <x v="2"/>
    <s v="#1774B101"/>
  </r>
  <r>
    <s v="1481"/>
    <n v="990"/>
    <s v="Agencia Información"/>
    <s v="Social"/>
    <n v="3"/>
    <x v="72"/>
    <x v="17"/>
    <x v="1"/>
    <x v="3"/>
    <x v="1"/>
    <x v="37"/>
    <s v="Año 2017"/>
    <s v="Personas"/>
    <s v="Instituto Nacional de Estadísticas (INE)"/>
    <s v="Cantidad de Personas que se Identifican con un Pueblo Indígena por Pueblo en la región de Atacama, Año 2017"/>
    <s v="En la región de Atacama, el pueblo Diaguita presenta  mayor porcentaje de personas autoidentificada como indígena para el año 2017 con un 47,6 %, mientras que el pueblo indígena con menor porcentaje es el Likan Antai con un 0,7% ."/>
    <s v="Gráfico"/>
    <s v="Región de Atacam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3"/>
    <x v="3"/>
    <s v="#1774B102"/>
  </r>
  <r>
    <s v="1482"/>
    <n v="990"/>
    <s v="Agencia Información"/>
    <s v="Social"/>
    <n v="4"/>
    <x v="72"/>
    <x v="17"/>
    <x v="1"/>
    <x v="4"/>
    <x v="1"/>
    <x v="37"/>
    <s v="Año 2017"/>
    <s v="Personas"/>
    <s v="Instituto Nacional de Estadísticas (INE)"/>
    <s v="Cantidad de Personas que se Identifican con un Pueblo Indígena por Pueblo en la región de Coquimbo, Año 2017"/>
    <s v="En la región de Coquimbo, el pueblo Diaguita presenta  mayor porcentaje de personas autoidentificada como indígena para el año 2017 con un 40,8 %, mientras que el pueblo indígena con menor porcentaje es el Yagán o Yámana con un 0,1% ."/>
    <s v="Gráfico"/>
    <s v="Región de Coquimbo,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4"/>
    <x v="4"/>
    <s v="#1774B103"/>
  </r>
  <r>
    <s v="1483"/>
    <n v="990"/>
    <s v="Agencia Información"/>
    <s v="Social"/>
    <n v="5"/>
    <x v="72"/>
    <x v="17"/>
    <x v="1"/>
    <x v="5"/>
    <x v="1"/>
    <x v="37"/>
    <s v="Año 2017"/>
    <s v="Personas"/>
    <s v="Instituto Nacional de Estadísticas (INE)"/>
    <s v="Cantidad de Personas que se Identifican con un Pueblo Indígena por Pueblo en la región de Valparaíso, Año 2017"/>
    <s v="En la región de Valparaíso, el pueblo Mapuche presenta  mayor porcentaje de personas autoidentificada como indígena para el año 2017 con un 77,3 %, mientras que el pueblo indígena con menor porcentaje es el Yagán o Yámana con un 0,1% ."/>
    <s v="Gráfico"/>
    <s v="Región de Valparaíso,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5"/>
    <x v="5"/>
    <s v="#1774B104"/>
  </r>
  <r>
    <s v="1484"/>
    <n v="990"/>
    <s v="Agencia Información"/>
    <s v="Social"/>
    <n v="6"/>
    <x v="72"/>
    <x v="17"/>
    <x v="1"/>
    <x v="6"/>
    <x v="1"/>
    <x v="37"/>
    <s v="Año 2017"/>
    <s v="Personas"/>
    <s v="Instituto Nacional de Estadísticas (INE)"/>
    <s v="Cantidad de Personas que se Identifican con un Pueblo Indígena por Pueblo en la región de O'Higgins, Año 2017"/>
    <s v="En la región de  O'Higgins, el pueblo Mapuche presenta  mayor porcentaje de personas autoidentificada como indígena para el año 2017 con un 90 %, mientras que el pueblo indígena con menor porcentaje es el Yagán o Yámana con un 0,1% ."/>
    <s v="Gráfico"/>
    <s v="Región de O'Higgin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6"/>
    <x v="6"/>
    <s v="#1774B105"/>
  </r>
  <r>
    <s v="1485"/>
    <n v="990"/>
    <s v="Agencia Información"/>
    <s v="Social"/>
    <n v="7"/>
    <x v="72"/>
    <x v="17"/>
    <x v="1"/>
    <x v="7"/>
    <x v="1"/>
    <x v="37"/>
    <s v="Año 2017"/>
    <s v="Personas"/>
    <s v="Instituto Nacional de Estadísticas (INE)"/>
    <s v="Cantidad de Personas que se Identifican con un Pueblo Indígena por Pueblo en la región de Maule, Año 2017"/>
    <s v="En la región del Maule, el pueblo Mapuche presenta  mayor porcentaje de personas autoidentificada como indígena para el año 2017 con un 90 %, mientras que el pueblo indígena con menor porcentaje es el Yagán o Yámana con un 0,1% ."/>
    <s v="Gráfico"/>
    <s v="Región de Maule,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7"/>
    <x v="7"/>
    <s v="#1774B106"/>
  </r>
  <r>
    <s v="1486"/>
    <n v="990"/>
    <s v="Agencia Información"/>
    <s v="Social"/>
    <n v="8"/>
    <x v="72"/>
    <x v="17"/>
    <x v="1"/>
    <x v="8"/>
    <x v="1"/>
    <x v="37"/>
    <s v="Año 2017"/>
    <s v="Personas"/>
    <s v="Instituto Nacional de Estadísticas (INE)"/>
    <s v="Cantidad de Personas que se Identifican con un Pueblo Indígena por Pueblo en la región de Biobío, Año 2017"/>
    <s v="En la región del Biobío, el pueblo Mapuche presenta  mayor porcentaje de personas autoidentificada como indígena para el año 2017 con un 94,9 %, mientras que el pueblo indígena con menor porcentaje es el Yagán o Yámana con un 0,1% ."/>
    <s v="Gráfico"/>
    <s v="Región del Biobío,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8"/>
    <x v="8"/>
    <s v="#1774B107"/>
  </r>
  <r>
    <s v="1487"/>
    <n v="990"/>
    <s v="Agencia Información"/>
    <s v="Social"/>
    <n v="9"/>
    <x v="72"/>
    <x v="17"/>
    <x v="1"/>
    <x v="9"/>
    <x v="1"/>
    <x v="37"/>
    <s v="Año 2017"/>
    <s v="Personas"/>
    <s v="Instituto Nacional de Estadísticas (INE)"/>
    <s v="Cantidad de Personas que se Identifican con un Pueblo Indígena por Pueblo en la región de La Araucanía, Año 2017"/>
    <s v="En la región de La Araucanía, el pueblo Mapuche presenta  mayor porcentaje de personas autoidentificada como indígena para el año 2017 con un 97,8 %, mientras que el pueblo indígena con menor porcentaje es el Yagán o Yámana con un 0% ."/>
    <s v="Gráfico"/>
    <s v="Región de La Araucaní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9"/>
    <x v="9"/>
    <s v="#1774B108"/>
  </r>
  <r>
    <s v="1488"/>
    <n v="990"/>
    <s v="Agencia Información"/>
    <s v="Social"/>
    <n v="10"/>
    <x v="72"/>
    <x v="17"/>
    <x v="1"/>
    <x v="10"/>
    <x v="1"/>
    <x v="37"/>
    <s v="Año 2017"/>
    <s v="Personas"/>
    <s v="Instituto Nacional de Estadísticas (INE)"/>
    <s v="Cantidad de Personas que se Identifican con un Pueblo Indígena por Pueblo en la región de Los Lagos, Año 2017"/>
    <s v="En la región de Los Lagos, el pueblo Mapuche presenta  mayor porcentaje de personas autoidentificada como indígena para el año 2017 con un 96,5 %, mientras que el pueblo indígena con menor porcentaje es el Colla con 0% ."/>
    <s v="Gráfico"/>
    <s v="Región de Los Lago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0"/>
    <x v="10"/>
    <s v="#1774B109"/>
  </r>
  <r>
    <s v="1489"/>
    <n v="990"/>
    <s v="Agencia Información"/>
    <s v="Social"/>
    <n v="11"/>
    <x v="72"/>
    <x v="17"/>
    <x v="1"/>
    <x v="11"/>
    <x v="1"/>
    <x v="37"/>
    <s v="Año 2017"/>
    <s v="Personas"/>
    <s v="Instituto Nacional de Estadísticas (INE)"/>
    <s v="Cantidad de Personas que se Identifican con un Pueblo Indígena por Pueblo en la región de Aysén, Año 2017"/>
    <s v="En la región de Aysén, el pueblo Mapuche presenta  mayor porcentaje de personas autoidentificada como indígena para el año 2017 con un 95,2 %, mientras que el pueblo indígena con menor porcentaje es el Colla con 0% ."/>
    <s v="Gráfico"/>
    <s v="Región de Aysén,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1"/>
    <x v="11"/>
    <s v="#1774B110"/>
  </r>
  <r>
    <s v="1490"/>
    <n v="990"/>
    <s v="Agencia Información"/>
    <s v="Social"/>
    <n v="12"/>
    <x v="72"/>
    <x v="17"/>
    <x v="1"/>
    <x v="12"/>
    <x v="1"/>
    <x v="37"/>
    <s v="Año 2017"/>
    <s v="Personas"/>
    <s v="Instituto Nacional de Estadísticas (INE)"/>
    <s v="Cantidad de Personas que se Identifican con un Pueblo Indígena por Pueblo en la región de Magallanes, Año 2017"/>
    <s v="En la región de Magallanes, el pueblo Mapuche presenta  mayor porcentaje de personas autoidentificada como indígena para el año 2017 con un 93,1 %, seguido por el pueblo Kawésqar con un 2,5%  mientras que el pueblo indígena con menor porcentaje es el Colla con 0% ."/>
    <s v="Gráfico"/>
    <s v="Región de Magallane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2"/>
    <x v="12"/>
    <s v="#1774B111"/>
  </r>
  <r>
    <s v="1491"/>
    <n v="990"/>
    <s v="Agencia Información"/>
    <s v="Social"/>
    <n v="13"/>
    <x v="72"/>
    <x v="17"/>
    <x v="1"/>
    <x v="13"/>
    <x v="1"/>
    <x v="37"/>
    <s v="Año 2017"/>
    <s v="Personas"/>
    <s v="Instituto Nacional de Estadísticas (INE)"/>
    <s v="Cantidad de Personas que se Identifican con un Pueblo Indígena por Pueblo en la región Metropolitana, Año 2017"/>
    <s v="En la región de Metropolitana, el pueblo Mapuche presenta  mayor porcentaje de personas autoidentificada como indígena para el año 2017 con un 88,5 %,  mientras que el pueblo indígena con menor porcentaje es el Yagán o Yámana con 0,1% ."/>
    <s v="Gráfico"/>
    <s v="Región Metropolitan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3"/>
    <x v="13"/>
    <s v="#1774B112"/>
  </r>
  <r>
    <s v="1492"/>
    <n v="990"/>
    <s v="Agencia Información"/>
    <s v="Social"/>
    <n v="14"/>
    <x v="72"/>
    <x v="17"/>
    <x v="1"/>
    <x v="14"/>
    <x v="1"/>
    <x v="37"/>
    <s v="Año 2017"/>
    <s v="Personas"/>
    <s v="Instituto Nacional de Estadísticas (INE)"/>
    <s v="Cantidad de Personas que se Identifican con un Pueblo Indígena por Pueblo en la región de Los Ríos, Año 2017"/>
    <s v="En la región de Metropolitana, el pueblo Mapuche presenta  mayor porcentaje de personas autoidentificada como indígena para el año 2017 con un 96,8%,  mientras que el pueblo indígena con menor porcentaje es el Likan Antai con 0% ."/>
    <s v="Gráfico"/>
    <s v="Región de Los Ríos,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4"/>
    <x v="14"/>
    <s v="#1774B113"/>
  </r>
  <r>
    <s v="1493"/>
    <n v="990"/>
    <s v="Agencia Información"/>
    <s v="Social"/>
    <n v="15"/>
    <x v="72"/>
    <x v="17"/>
    <x v="1"/>
    <x v="15"/>
    <x v="1"/>
    <x v="37"/>
    <s v="Año 2017"/>
    <s v="Personas"/>
    <s v="Instituto Nacional de Estadísticas (INE)"/>
    <s v="Cantidad de Personas que se Identifican con un Pueblo Indígena por Pueblo en la región de Arica y Parinacota, Año 2017"/>
    <s v="En la región de Arica y Parinacota, el pueblo Aymara presenta  mayor porcentaje de personas autoidentificada como indígena para el año 2017 con un 75,3%, seguido por el pueblo Mapuche con un 10%,  mientras que el pueblo indígena con menor porcentaje es el Yagán o Yámana% ."/>
    <s v="Gráfico"/>
    <s v="Región de Arica y Parinacota,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5"/>
    <x v="15"/>
    <s v="#1774B114"/>
  </r>
  <r>
    <s v="1494"/>
    <n v="990"/>
    <s v="Agencia Información"/>
    <s v="Social"/>
    <n v="16"/>
    <x v="72"/>
    <x v="17"/>
    <x v="1"/>
    <x v="16"/>
    <x v="1"/>
    <x v="37"/>
    <s v="Año 2017"/>
    <s v="Personas"/>
    <s v="Instituto Nacional de Estadísticas (INE)"/>
    <s v="Cantidad de Personas que se Identifican con un Pueblo Indígena por Pueblo en la región de Ñuble, Año 2017"/>
    <s v="En la región de Ñuble, el pueblo Mapuche presenta  mayor porcentaje de personas autoidentificada como indígena para el año 2017 con un 89,5%,   mientras que el pueblo indígena con menor porcentaje es el Yagán o Yámana con un 0,1% ."/>
    <s v="Gráfico"/>
    <s v="Región de Ñuble,población,pueblos,originarios,indígenas,etnia,regional,yagán,yámana,rapa nui,quechua,mapuche,lican antai,kawésqar,diaguita,colla,aymara,Agencia Información,Social,Población de pueblos indígenas,Pueblos indígenas"/>
    <s v="https://analytics.zoho.com/open-view/2395394000008503341?ZOHO_CRITERIA=%22Pueblos%20Ind%C3%ADgenas%20Edad%22.%22id_Region%22%20%3D%2016"/>
    <x v="16"/>
    <s v="#1774B115"/>
  </r>
  <r>
    <s v="1495"/>
    <n v="990"/>
    <s v="Agencia Información"/>
    <s v="Social"/>
    <n v="0"/>
    <x v="27"/>
    <x v="17"/>
    <x v="0"/>
    <x v="0"/>
    <x v="1"/>
    <x v="37"/>
    <s v="Año 2017"/>
    <s v="Personas"/>
    <s v="Instituto Nacional de Estadísticas (INE)"/>
    <s v="Cantidad de Personas que se Identifican con un Pueblo Indígena por Sexo y Región en Chile, Año 2017"/>
    <s v="Sólo en las regiones de Ñuble, O´Higgins, Maule, Aysén y Antofagasta, se observa una mayor presencia de hombres pertenecientes a pueblos indígenas. En las regiones restantes la presencia de mujeres pertenecientes a pueblos indígenas es mayor que la de hombres."/>
    <s v="Gráfico"/>
    <s v="Chile,población,pueblos,originarios,indígenas,etnia,sexo,hombre,mujer,Agencia Información,Social,Población por sexo,Pueblos indígenas"/>
    <s v="https://analytics.zoho.com/open-view/2395394000008439092"/>
    <x v="0"/>
    <s v="#1774B116"/>
  </r>
  <r>
    <s v="1496"/>
    <n v="990"/>
    <s v="Agencia Información"/>
    <s v="Social"/>
    <n v="1"/>
    <x v="27"/>
    <x v="17"/>
    <x v="1"/>
    <x v="1"/>
    <x v="1"/>
    <x v="37"/>
    <s v="Año 2017"/>
    <s v="Personas"/>
    <s v="Instituto Nacional de Estadísticas (INE)"/>
    <s v="Cantidad de Personas que se Identifican con un Pueblo Indígena por Sexo en la Región de Tarapacá, Año 2017"/>
    <s v="En la región de Tarapacá, el mayor porcentaje de personas que se autoidentifican con un pueblo indígenas es de género femenino alcanzando el 50,2% del total."/>
    <s v="Gráfico"/>
    <s v="Región de Tarapacá,población,pueblos,originarios,indígenas,etnia,sexo,hombre,mujer,Agencia Información,Social,Población por sexo,Pueblos indígenas"/>
    <s v="https://analytics.zoho.com/open-view/2395394000008503554?ZOHO_CRITERIA=%22Pueblos%20Ind%C3%ADgenas%20Sexo%22.%22id_Region%22%20%3D%201"/>
    <x v="1"/>
    <s v="#1774B117"/>
  </r>
  <r>
    <s v="1497"/>
    <n v="990"/>
    <s v="Agencia Información"/>
    <s v="Social"/>
    <n v="2"/>
    <x v="27"/>
    <x v="17"/>
    <x v="1"/>
    <x v="2"/>
    <x v="1"/>
    <x v="37"/>
    <s v="Año 2017"/>
    <s v="Personas"/>
    <s v="Instituto Nacional de Estadísticas (INE)"/>
    <s v="Cantidad de Personas que se Identifican con un Pueblo Indígena por Sexo en la Región de Antofagasta, Año 2017"/>
    <s v="En la región de Antofagasta, el mayor porcentaje de personas que se autoidentifican con un pueblo indígenas es de género Masculino alcanzando el 51,3% del total."/>
    <s v="Gráfico"/>
    <s v="Región de Antofagasta,población,pueblos,originarios,indígenas,etnia,sexo,hombre,mujer,Agencia Información,Social,Población por sexo,Pueblos indígenas"/>
    <s v="https://analytics.zoho.com/open-view/2395394000008503554?ZOHO_CRITERIA=%22Pueblos%20Ind%C3%ADgenas%20Sexo%22.%22id_Region%22%20%3D%202"/>
    <x v="2"/>
    <s v="#1774B118"/>
  </r>
  <r>
    <s v="1498"/>
    <n v="990"/>
    <s v="Agencia Información"/>
    <s v="Social"/>
    <n v="3"/>
    <x v="27"/>
    <x v="17"/>
    <x v="1"/>
    <x v="3"/>
    <x v="1"/>
    <x v="37"/>
    <s v="Año 2017"/>
    <s v="Personas"/>
    <s v="Instituto Nacional de Estadísticas (INE)"/>
    <s v="Cantidad de Personas que se Identifican con un Pueblo Indígena por Sexo en la Región de Atacama, Año 2017"/>
    <s v="Del total de personas que se autoidentifican como indígena en la región de Atacama, el 49,9% son hombres y el 50,1% son mujeres."/>
    <s v="Gráfico"/>
    <s v="Región de Atacama,población,pueblos,originarios,indígenas,etnia,sexo,hombre,mujer,Agencia Información,Social,Población por sexo,Pueblos indígenas"/>
    <s v="https://analytics.zoho.com/open-view/2395394000008503554?ZOHO_CRITERIA=%22Pueblos%20Ind%C3%ADgenas%20Sexo%22.%22id_Region%22%20%3D%203"/>
    <x v="3"/>
    <s v="#1774B119"/>
  </r>
  <r>
    <s v="1499"/>
    <n v="990"/>
    <s v="Agencia Información"/>
    <s v="Social"/>
    <n v="4"/>
    <x v="27"/>
    <x v="17"/>
    <x v="1"/>
    <x v="4"/>
    <x v="1"/>
    <x v="37"/>
    <s v="Año 2017"/>
    <s v="Personas"/>
    <s v="Instituto Nacional de Estadísticas (INE)"/>
    <s v="Cantidad de Personas que se Identifican con un Pueblo Indígena por Sexo en la Región de Coquimbo, Año 2017"/>
    <s v="En la región de Coquimbo, el mayor porcentaje de personas que se autoidentifican con un pueblo indígenas es de género femenino alcanzando el 50,1% del total."/>
    <s v="Gráfico"/>
    <s v="Región de Coquimbo,población,pueblos,originarios,indígenas,etnia,sexo,hombre,mujer,Agencia Información,Social,Población por sexo,Pueblos indígenas"/>
    <s v="https://analytics.zoho.com/open-view/2395394000008503554?ZOHO_CRITERIA=%22Pueblos%20Ind%C3%ADgenas%20Sexo%22.%22id_Region%22%20%3D%204"/>
    <x v="4"/>
    <s v="#1774B120"/>
  </r>
  <r>
    <s v="1500"/>
    <n v="990"/>
    <s v="Agencia Información"/>
    <s v="Social"/>
    <n v="5"/>
    <x v="27"/>
    <x v="17"/>
    <x v="1"/>
    <x v="5"/>
    <x v="1"/>
    <x v="37"/>
    <s v="Año 2017"/>
    <s v="Personas"/>
    <s v="Instituto Nacional de Estadísticas (INE)"/>
    <s v="Cantidad de Personas que se Identifican con un Pueblo Indígena por Sexo en la Región de Valparaíso, Año 2017"/>
    <s v="Del total de personas que se autoidentifican como indígena en la región de Valparaíso, el 49,4% son hombres y el 50,6% son mujeres."/>
    <s v="Gráfico"/>
    <s v="Región de Valparaíso,población,pueblos,originarios,indígenas,etnia,sexo,hombre,mujer,Agencia Información,Social,Población por sexo,Pueblos indígenas"/>
    <s v="https://analytics.zoho.com/open-view/2395394000008503554?ZOHO_CRITERIA=%22Pueblos%20Ind%C3%ADgenas%20Sexo%22.%22id_Region%22%20%3D%205"/>
    <x v="5"/>
    <s v="#1774B121"/>
  </r>
  <r>
    <s v="1501"/>
    <n v="990"/>
    <s v="Agencia Información"/>
    <s v="Social"/>
    <n v="6"/>
    <x v="27"/>
    <x v="17"/>
    <x v="1"/>
    <x v="6"/>
    <x v="1"/>
    <x v="37"/>
    <s v="Año 2017"/>
    <s v="Personas"/>
    <s v="Instituto Nacional de Estadísticas (INE)"/>
    <s v="Cantidad de Personas que se Identifican con un Pueblo Indígena por Sexo en la Región de O'Higgins, Año 2017"/>
    <s v=" Del total de personas que se autoidentifican como indígena en la región de O'Higgins, el 51,7% son hombres y el 48,3% son mujeres"/>
    <s v="Gráfico"/>
    <s v="Región de O'Higgins,población,pueblos,originarios,indígenas,etnia,sexo,hombre,mujer,Agencia Información,Social,Población por sexo,Pueblos indígenas"/>
    <s v="https://analytics.zoho.com/open-view/2395394000008503554?ZOHO_CRITERIA=%22Pueblos%20Ind%C3%ADgenas%20Sexo%22.%22id_Region%22%20%3D%206"/>
    <x v="6"/>
    <s v="#1774B122"/>
  </r>
  <r>
    <s v="1502"/>
    <n v="990"/>
    <s v="Agencia Información"/>
    <s v="Social"/>
    <n v="7"/>
    <x v="27"/>
    <x v="17"/>
    <x v="1"/>
    <x v="7"/>
    <x v="1"/>
    <x v="37"/>
    <s v="Año 2017"/>
    <s v="Personas"/>
    <s v="Instituto Nacional de Estadísticas (INE)"/>
    <s v="Cantidad de Personas que se Identifican con un Pueblo Indígena por Sexo en la Región de Maule, Año 2017"/>
    <s v="En la región de Maule, el mayor porcentaje de personas que se autoidentifican con un pueblo indígenas es de género masculino alcanzando el 50,9% del total."/>
    <s v="Gráfico"/>
    <s v="Región de Maule,población,pueblos,originarios,indígenas,etnia,sexo,hombre,mujer,Agencia Información,Social,Población por sexo,Pueblos indígenas"/>
    <s v="https://analytics.zoho.com/open-view/2395394000008503554?ZOHO_CRITERIA=%22Pueblos%20Ind%C3%ADgenas%20Sexo%22.%22id_Region%22%20%3D%207"/>
    <x v="7"/>
    <s v="#1774B123"/>
  </r>
  <r>
    <s v="1503"/>
    <n v="990"/>
    <s v="Agencia Información"/>
    <s v="Social"/>
    <n v="8"/>
    <x v="27"/>
    <x v="17"/>
    <x v="1"/>
    <x v="8"/>
    <x v="1"/>
    <x v="37"/>
    <s v="Año 2017"/>
    <s v="Personas"/>
    <s v="Instituto Nacional de Estadísticas (INE)"/>
    <s v="Cantidad de Personas que se Identifican con un Pueblo Indígena por Sexo en la Región del Biobío, Año 2017"/>
    <s v="Del total de personas que se autoidentifican como indígena en la región del Biobío, el 49% son hombres y el 51% son mujeres."/>
    <s v="Gráfico"/>
    <s v="Región del Biobío,población,pueblos,originarios,indígenas,etnia,sexo,hombre,mujer,Agencia Información,Social,Población por sexo,Pueblos indígenas"/>
    <s v="https://analytics.zoho.com/open-view/2395394000008503554?ZOHO_CRITERIA=%22Pueblos%20Ind%C3%ADgenas%20Sexo%22.%22id_Region%22%20%3D%208"/>
    <x v="8"/>
    <s v="#1774B124"/>
  </r>
  <r>
    <s v="1504"/>
    <n v="990"/>
    <s v="Agencia Información"/>
    <s v="Social"/>
    <n v="9"/>
    <x v="27"/>
    <x v="17"/>
    <x v="1"/>
    <x v="9"/>
    <x v="1"/>
    <x v="37"/>
    <s v="Año 2017"/>
    <s v="Personas"/>
    <s v="Instituto Nacional de Estadísticas (INE)"/>
    <s v="Cantidad de Personas que se Identifican con un Pueblo Indígena por Sexo en la Región de La Araucanía, Año 2017"/>
    <s v="En la región de La Araucanía, el mayor porcentaje de personas que se autoidentifican con un pueblo indígenas es de género femenino alcanzando el 51% del total."/>
    <s v="Gráfico"/>
    <s v="Región de La Araucanía,población,pueblos,originarios,indígenas,etnia,sexo,hombre,mujer,Agencia Información,Social,Población por sexo,Pueblos indígenas"/>
    <s v="https://analytics.zoho.com/open-view/2395394000008503554?ZOHO_CRITERIA=%22Pueblos%20Ind%C3%ADgenas%20Sexo%22.%22id_Region%22%20%3D%209"/>
    <x v="9"/>
    <s v="#1774B125"/>
  </r>
  <r>
    <s v="1505"/>
    <n v="990"/>
    <s v="Agencia Información"/>
    <s v="Social"/>
    <n v="10"/>
    <x v="27"/>
    <x v="17"/>
    <x v="1"/>
    <x v="10"/>
    <x v="1"/>
    <x v="37"/>
    <s v="Año 2017"/>
    <s v="Personas"/>
    <s v="Instituto Nacional de Estadísticas (INE)"/>
    <s v="Cantidad de Personas que se Identifican con un Pueblo Indígena por Sexo en la Región de Los Lagos, Año 2017"/>
    <s v="En la región de Los Lagos, el mayor porcentaje de personas que se autoidentifican con un pueblo indígenas es de género femenino alcanzando el 51,8% del total."/>
    <s v="Gráfico"/>
    <s v="Región de Los Lagos,población,pueblos,originarios,indígenas,etnia,sexo,hombre,mujer,Agencia Información,Social,Población por sexo,Pueblos indígenas"/>
    <s v="https://analytics.zoho.com/open-view/2395394000008503554?ZOHO_CRITERIA=%22Pueblos%20Ind%C3%ADgenas%20Sexo%22.%22id_Region%22%20%3D%2010"/>
    <x v="10"/>
    <s v="#1774B126"/>
  </r>
  <r>
    <s v="1506"/>
    <n v="990"/>
    <s v="Agencia Información"/>
    <s v="Social"/>
    <n v="11"/>
    <x v="27"/>
    <x v="17"/>
    <x v="1"/>
    <x v="11"/>
    <x v="1"/>
    <x v="37"/>
    <s v="Año 2017"/>
    <s v="Personas"/>
    <s v="Instituto Nacional de Estadísticas (INE)"/>
    <s v="Cantidad de Personas que se Identifican con un Pueblo Indígena por Sexo en la Región de Aysén, Año 2017"/>
    <s v="Del total de personas que se autoidentifican como indígena en la región de Aysén, el 50,6% son hombres y el 49,4% son mujeres."/>
    <s v="Gráfico"/>
    <s v="Región de Aysén,población,pueblos,originarios,indígenas,etnia,sexo,hombre,mujer,Agencia Información,Social,Población por sexo,Pueblos indígenas"/>
    <s v="https://analytics.zoho.com/open-view/2395394000008503554?ZOHO_CRITERIA=%22Pueblos%20Ind%C3%ADgenas%20Sexo%22.%22id_Region%22%20%3D%2011"/>
    <x v="11"/>
    <s v="#1774B127"/>
  </r>
  <r>
    <s v="1507"/>
    <n v="990"/>
    <s v="Agencia Información"/>
    <s v="Social"/>
    <n v="12"/>
    <x v="27"/>
    <x v="17"/>
    <x v="1"/>
    <x v="12"/>
    <x v="1"/>
    <x v="37"/>
    <s v="Año 2017"/>
    <s v="Personas"/>
    <s v="Instituto Nacional de Estadísticas (INE)"/>
    <s v="Cantidad de Personas que se Identifican con un Pueblo Indígena por Sexo en la Región de Magallanes, Año 2017"/>
    <s v="Del total de personas que se autoidentifican como indígena en la región de Magallanes, el 49,7% son hombres y el 50,3% son mujeres."/>
    <s v="Gráfico"/>
    <s v="Región de Magallanes,población,pueblos,originarios,indígenas,etnia,sexo,hombre,mujer,Agencia Información,Social,Población por sexo,Pueblos indígenas"/>
    <s v="https://analytics.zoho.com/open-view/2395394000008503554?ZOHO_CRITERIA=%22Pueblos%20Ind%C3%ADgenas%20Sexo%22.%22id_Region%22%20%3D%2012"/>
    <x v="12"/>
    <s v="#1774B128"/>
  </r>
  <r>
    <s v="1508"/>
    <n v="990"/>
    <s v="Agencia Información"/>
    <s v="Social"/>
    <n v="13"/>
    <x v="27"/>
    <x v="17"/>
    <x v="1"/>
    <x v="13"/>
    <x v="1"/>
    <x v="37"/>
    <s v="Año 2017"/>
    <s v="Personas"/>
    <s v="Instituto Nacional de Estadísticas (INE)"/>
    <s v="Cantidad de Personas que se Identifican con un Pueblo Indígena por Sexo en la Región Metropolitana, Año 2017"/>
    <s v="En la región Metropolitana, el mayor porcentaje de personas que se autoidentifican con un pueblo indígenas es de género femenino alcanzando el 50,7% del total."/>
    <s v="Gráfico"/>
    <s v="Región Metropolitana,población,pueblos,originarios,indígenas,etnia,sexo,hombre,mujer,Agencia Información,Social,Población por sexo,Pueblos indígenas"/>
    <s v="https://analytics.zoho.com/open-view/2395394000008503554?ZOHO_CRITERIA=%22Pueblos%20Ind%C3%ADgenas%20Sexo%22.%22id_Region%22%20%3D%2013"/>
    <x v="13"/>
    <s v="#1774B129"/>
  </r>
  <r>
    <s v="1509"/>
    <n v="990"/>
    <s v="Agencia Información"/>
    <s v="Social"/>
    <n v="14"/>
    <x v="27"/>
    <x v="17"/>
    <x v="1"/>
    <x v="14"/>
    <x v="1"/>
    <x v="37"/>
    <s v="Año 2017"/>
    <s v="Personas"/>
    <s v="Instituto Nacional de Estadísticas (INE)"/>
    <s v="Cantidad de Personas que se Identifican con un Pueblo Indígena por Sexo en la Región de Los Ríos, Año 2017"/>
    <s v="En la región de Los Ríos, el mayor porcentaje de personas que se autoidentifican con un pueblo indígenas es de género femenino alcanzando el 51,2% del total."/>
    <s v="Gráfico"/>
    <s v="Región de Los Ríos,población,pueblos,originarios,indígenas,etnia,sexo,hombre,mujer,Agencia Información,Social,Población por sexo,Pueblos indígenas"/>
    <s v="https://analytics.zoho.com/open-view/2395394000008503554?ZOHO_CRITERIA=%22Pueblos%20Ind%C3%ADgenas%20Sexo%22.%22id_Region%22%20%3D%2014"/>
    <x v="14"/>
    <s v="#1774B130"/>
  </r>
  <r>
    <s v="1510"/>
    <n v="990"/>
    <s v="Agencia Información"/>
    <s v="Social"/>
    <n v="15"/>
    <x v="27"/>
    <x v="17"/>
    <x v="1"/>
    <x v="15"/>
    <x v="1"/>
    <x v="37"/>
    <s v="Año 2017"/>
    <s v="Personas"/>
    <s v="Instituto Nacional de Estadísticas (INE)"/>
    <s v="Cantidad de Personas que se Identifican con un Pueblo Indígena por Sexo en la Región de Arica y Parinacota, Año 2017"/>
    <s v=" Del total de personas que se autoidentifican como indígena en la región de Arica y Parinacota, el 48,5% son hombres y el 51,5% son mujeres."/>
    <s v="Gráfico"/>
    <s v="Región de Arica y Parinacota,población,pueblos,originarios,indígenas,etnia,sexo,hombre,mujer,Agencia Información,Social,Población por sexo,Pueblos indígenas"/>
    <s v="https://analytics.zoho.com/open-view/2395394000008503554?ZOHO_CRITERIA=%22Pueblos%20Ind%C3%ADgenas%20Sexo%22.%22id_Region%22%20%3D%2015"/>
    <x v="15"/>
    <s v="#1774B131"/>
  </r>
  <r>
    <s v="1511"/>
    <n v="990"/>
    <s v="Agencia Información"/>
    <s v="Social"/>
    <n v="16"/>
    <x v="27"/>
    <x v="17"/>
    <x v="1"/>
    <x v="16"/>
    <x v="1"/>
    <x v="37"/>
    <s v="Año 2017"/>
    <s v="Personas"/>
    <s v="Instituto Nacional de Estadísticas (INE)"/>
    <s v="Cantidad de Personas que se Identifican con un Pueblo Indígena por Sexo en la Región de Ñuble, Año 2017"/>
    <s v=" Del total de personas que se autoidentifican como indígena en la región de Ñuble, el 50,2% son hombres y el 49,8% son mujeres."/>
    <s v="Gráfico"/>
    <s v="Región de Ñuble,población,pueblos,originarios,indígenas,etnia,sexo,hombre,mujer,Agencia Información,Social,Población por sexo,Pueblos indígenas"/>
    <s v="https://analytics.zoho.com/open-view/2395394000008503554?ZOHO_CRITERIA=%22Pueblos%20Ind%C3%ADgenas%20Sexo%22.%22id_Region%22%20%3D%2016"/>
    <x v="16"/>
    <s v="#1774B132"/>
  </r>
  <r>
    <s v="1512"/>
    <n v="990"/>
    <s v="Agencia Información"/>
    <s v="Socioeconómico"/>
    <n v="0"/>
    <x v="74"/>
    <x v="30"/>
    <x v="0"/>
    <x v="0"/>
    <x v="8"/>
    <x v="93"/>
    <s v="Periodo 1986-2021"/>
    <s v="Tasa "/>
    <s v="Banco Central"/>
    <s v="Tasa de Desocupación en Chile en el Periodo 1986-2021"/>
    <s v="En Chile, la tasa de desocupación alcanzó su máximo en febrero de 1986 con un valor de 13,5. Luego, comienza a disminuir gradualmente hasta febrero de 1998, alcanzando su valor más bajo en todo el periodo observado con 5,1. En mayo de 2021, esta cifra llega a un valor de 10,3."/>
    <s v="Gráfico de Evolución"/>
    <s v="evolución,tasa,desocupación,nacional,mensual,Chile,trabajo,evolución,Agencia Información,Socioeconómico,Tasa de desocupación,Trabajo"/>
    <s v="https://analytics.zoho.com/open-view/2395394000008196724"/>
    <x v="34"/>
    <s v="#1774B133"/>
  </r>
  <r>
    <s v="1513"/>
    <n v="990"/>
    <s v="Agencia Información"/>
    <s v="Socioeconómico"/>
    <n v="0"/>
    <x v="75"/>
    <x v="30"/>
    <x v="0"/>
    <x v="0"/>
    <x v="8"/>
    <x v="94"/>
    <s v="Periodo 1986-2021"/>
    <s v="Porcentaje (%)"/>
    <s v="Banco Central"/>
    <s v="Variación de la Fuerza de Trabajo en Chile con el Año Anterior en el Periodo 1986-2021"/>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
    <s v="Gráfico de Evolución"/>
    <s v="evolución,variación,porcentaje,fuerza,trabajo,Chile,mensual,año,anterior,Agencia Información,Socioeconómico,Fuerza de trabajo,Trabajo"/>
    <s v="https://analytics.zoho.com/open-view/2395394000008199603"/>
    <x v="34"/>
    <s v="#1774B134"/>
  </r>
  <r>
    <s v="1514"/>
    <n v="990"/>
    <s v="Agencia Información"/>
    <s v="Socioeconómico"/>
    <n v="0"/>
    <x v="76"/>
    <x v="30"/>
    <x v="0"/>
    <x v="0"/>
    <x v="8"/>
    <x v="93"/>
    <s v="Periodo 1986-2021"/>
    <s v="Porcentaje (%)"/>
    <s v="Banco Central"/>
    <s v="Variación de desocupados en Chile con el Año Anterior en el Periodo 1986-2021"/>
    <s v="La variación en la cantidad de desocupados a nivel nacional encontró su máximo en junio de 1999, con un valor de 85,8%. En noviembre de 2010 se observó el valor mínimo de esta variación con -29,5%. A mayo de 2021, se alcanzó una variación de -4,6%."/>
    <s v="Gráfico de Evolución"/>
    <s v="evolución,variación,porcentaje,desocupados,Chile,mensual,año,anterior,Agencia Información,Socioeconómico,Desocupados,Trabajo"/>
    <s v="https://analytics.zoho.com/open-view/2395394000008199783"/>
    <x v="34"/>
    <s v="#1774B135"/>
  </r>
  <r>
    <s v="1515"/>
    <n v="990"/>
    <s v="Agencia Información"/>
    <s v="Economía"/>
    <n v="0"/>
    <x v="77"/>
    <x v="31"/>
    <x v="0"/>
    <x v="0"/>
    <x v="17"/>
    <x v="95"/>
    <s v="Periodo 2014-2021"/>
    <s v="Índice de producción minera"/>
    <s v="Instituto Nacional de Estadísticas (INE)"/>
    <s v="Índice de Producción Minera en Chile en el Periodo 2014-2021"/>
    <s v="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
    <s v="Gráfico de Evolución"/>
    <s v="Chile,evolución,nacional,índice de producción minera,índice,producción,minera,IPMin,Agencia Información,Economía,Producción minera,Minería"/>
    <s v="https://analytics.zoho.com/open-view/2395394000008086091"/>
    <x v="0"/>
    <s v="#1774B136"/>
  </r>
  <r>
    <s v="1516"/>
    <n v="990"/>
    <s v="Agencia Información"/>
    <s v="Economía"/>
    <n v="1"/>
    <x v="77"/>
    <x v="31"/>
    <x v="1"/>
    <x v="1"/>
    <x v="8"/>
    <x v="95"/>
    <s v="Periodo 2014-2021"/>
    <s v="Índice de producción minera"/>
    <s v="Instituto Nacional de Estadísticas (INE)"/>
    <s v="Índice de Producción Minera en la Región de Tarapacá en el Periodo 2014-2021"/>
    <s v="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
    <s v="Gráfico de Evolución"/>
    <s v="Región de Tarapacá,evolución,índice de producción minera,índice,producción,minera,IPMin,Agencia Información,Economía,Producción minera,Minería"/>
    <s v="https://analytics.zoho.com/open-view/2395394000009355612?ZOHO_CRITERIA=%22Consolidado_Estadisticas_Regionales_New%22.%22C%C3%B3digo%20regi%C3%B3n%22%20%3D%201"/>
    <x v="1"/>
    <s v="#1774B137"/>
  </r>
  <r>
    <s v="1517"/>
    <n v="990"/>
    <s v="Agencia Información"/>
    <s v="Economía"/>
    <n v="2"/>
    <x v="77"/>
    <x v="31"/>
    <x v="1"/>
    <x v="2"/>
    <x v="8"/>
    <x v="95"/>
    <s v="Periodo 2014-2021"/>
    <s v="Índice de producción minera"/>
    <s v="Instituto Nacional de Estadísticas (INE)"/>
    <s v="Índice de Producción Minera en la Región de Antofagasta en el Periodo 2014-2021"/>
    <s v="En la Región de Antofagasta, en los últimos 3 años, el  Índice de Producción Minera (IPMin) alcanzó su valor máximo con 116,7 puntos en diciembre del año 2019. Sin embargo, en febrero del año 2021, el índice presentó un descenso marcando 84,6 puntos."/>
    <s v="Gráfico de Evolución"/>
    <s v="Región de Antofagasta,evolución,índice de producción minera,índice,producción,minera,IPMin,Agencia Información,Economía,Producción minera,Minería"/>
    <s v="https://analytics.zoho.com/open-view/2395394000009355612?ZOHO_CRITERIA=%22Consolidado_Estadisticas_Regionales_New%22.%22C%C3%B3digo%20regi%C3%B3n%22%20%3D%202"/>
    <x v="2"/>
    <s v="#1774B138"/>
  </r>
  <r>
    <s v="1518"/>
    <n v="990"/>
    <s v="Agencia Información"/>
    <s v="Economía"/>
    <n v="3"/>
    <x v="77"/>
    <x v="31"/>
    <x v="1"/>
    <x v="3"/>
    <x v="8"/>
    <x v="95"/>
    <s v="Periodo 2014-2021"/>
    <s v="Índice de producción minera"/>
    <s v="Instituto Nacional de Estadísticas (INE)"/>
    <s v="Índice de Producción Minera en la Región de Atacama en el Periodo 2014-2021"/>
    <s v="En la Región de Atacama, en los últimos 3 años, el  Índice de Producción Minera (IPMin), alcanzó su valor máximo en diciembre del año 2019, con 110,5 puntos. Sin embargo, en noviembre del año 2020, el índice presentó un descenso marcando 78,4  puntos. "/>
    <s v="Gráfico de Evolución"/>
    <s v="Región de Atacama,evolución,índice de producción minera,índice,producción,minera,IPMin,Agencia Información,Economía,Producción minera,Minería"/>
    <s v="https://analytics.zoho.com/open-view/2395394000009355612?ZOHO_CRITERIA=%22Consolidado_Estadisticas_Regionales_New%22.%22C%C3%B3digo%20regi%C3%B3n%22%20%3D%203"/>
    <x v="3"/>
    <s v="#1774B139"/>
  </r>
  <r>
    <s v="1519"/>
    <n v="990"/>
    <s v="Agencia Información"/>
    <s v="Economía"/>
    <n v="4"/>
    <x v="77"/>
    <x v="31"/>
    <x v="1"/>
    <x v="4"/>
    <x v="8"/>
    <x v="95"/>
    <s v="Periodo 2014-2021"/>
    <s v="Índice de producción minera"/>
    <s v="Instituto Nacional de Estadísticas (INE)"/>
    <s v="Índice de Producción Minera en la Región de Coquimbo en el Periodo 2014-2021"/>
    <s v="En la Región de Coquimbo, los últimos 3 años, el  Índice de Producción Minera (IPMin) alcanzó su valor máximo con 94,6 puntos en marzo del año 2020. Sin embargo, en marzo del año 2021 el índice presentó un descenso marcando 83,9 puntos."/>
    <s v="Gráfico de Evolución"/>
    <s v="Región de Coquimbo,evolución,índice de producción minera,índice,producción,minera,IPMin,Agencia Información,Economía,Producción minera,Minería"/>
    <s v="https://analytics.zoho.com/open-view/2395394000009355612?ZOHO_CRITERIA=%22Consolidado_Estadisticas_Regionales_New%22.%22C%C3%B3digo%20regi%C3%B3n%22%20%3D%204"/>
    <x v="4"/>
    <s v="#1774B140"/>
  </r>
  <r>
    <s v="1520"/>
    <n v="990"/>
    <s v="Agencia Información"/>
    <s v="Economía"/>
    <n v="0"/>
    <x v="77"/>
    <x v="31"/>
    <x v="0"/>
    <x v="0"/>
    <x v="17"/>
    <x v="96"/>
    <s v="Periodo 2014-2021"/>
    <s v="Toneladas métricas de contenido fino (tmf)"/>
    <s v="Instituto Nacional de Estadísticas (INE)"/>
    <s v="Producción de cobre a nivel nacional en el periodo 2014-2021"/>
    <s v="La producción de cobre en toneladas métricas de contenido fino (tmf) alcanzó el máximo, con una producción de 568.394 toneladas métricas, en diciembre del año 2018. La producción más baja, con 277.690 tmf, se registró en febrero del año 2017."/>
    <s v="Gráfico de Evolución"/>
    <s v="Chile,evolución,toneladas métricas,contenido,fino,producción,cobre,minera,tmf,Agencia Información,Economía,Producción minera,Minería"/>
    <s v="https://analytics.zoho.com/open-view/2395394000008086867"/>
    <x v="0"/>
    <s v="#1774B141"/>
  </r>
  <r>
    <s v="1521"/>
    <n v="990"/>
    <s v="Agencia Información"/>
    <s v="Economía"/>
    <n v="1"/>
    <x v="77"/>
    <x v="31"/>
    <x v="1"/>
    <x v="1"/>
    <x v="17"/>
    <x v="96"/>
    <s v="Periodo 2014-2021"/>
    <s v="Toneladas métricas de contenido fino (tmf)"/>
    <s v="Instituto Nacional de Estadísticas (INE)"/>
    <s v="Producción de cobre en la región de Tarapacá en el periodo 2014-2021"/>
    <s v="En la Región de Tarapacá, en los últimos 3 años, la producción de cobre en toneladas métricas de contenido fino (tmf) alcanzó el máximo, con una producción de 66.900 tmf, en mayo del año 2020. La producción más baja, con 46.516 tmf, se registró en febrero del año 2019. "/>
    <s v="Gráfico de Evolución"/>
    <s v="Región de Tarapacá,evolución,toneladas métricas,contenido,fino,producción,cobre,minera,tmf,Agencia Información,Economía,Producción minera,Minería"/>
    <s v="https://analytics.zoho.com/open-view/2395394000009355686?ZOHO_CRITERIA=%22Consolidado_Estadisticas_Regionales_New%22.%22C%C3%B3digo%20regi%C3%B3n%22%20%3D%201"/>
    <x v="1"/>
    <s v="#1774B142"/>
  </r>
  <r>
    <s v="1522"/>
    <n v="990"/>
    <s v="Agencia Información"/>
    <s v="Economía"/>
    <n v="2"/>
    <x v="77"/>
    <x v="31"/>
    <x v="1"/>
    <x v="2"/>
    <x v="17"/>
    <x v="96"/>
    <s v="Periodo 2014-2021"/>
    <s v="Toneladas métricas de contenido fino (tmf)"/>
    <s v="Instituto Nacional de Estadísticas (INE)"/>
    <s v="Producción de cobre en la región de Antofagasta en el periodo 2014-2021"/>
    <s v="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
    <s v="Gráfico de Evolución"/>
    <s v="Región de Antofagasta,evolución,toneladas métricas,contenido,fino,producción,cobre,minera,tmf,Agencia Información,Economía,Producción minera,Minería"/>
    <s v="https://analytics.zoho.com/open-view/2395394000009355686?ZOHO_CRITERIA=%22Consolidado_Estadisticas_Regionales_New%22.%22C%C3%B3digo%20regi%C3%B3n%22%20%3D%202"/>
    <x v="2"/>
    <s v="#1774B143"/>
  </r>
  <r>
    <s v="1523"/>
    <n v="990"/>
    <s v="Agencia Información"/>
    <s v="Economía"/>
    <n v="3"/>
    <x v="77"/>
    <x v="31"/>
    <x v="1"/>
    <x v="3"/>
    <x v="17"/>
    <x v="96"/>
    <s v="Periodo 2014-2021"/>
    <s v="Toneladas métricas de contenido fino (tmf)"/>
    <s v="Instituto Nacional de Estadísticas (INE)"/>
    <s v="Producción de cobre en la región de Atacama en el periodo 2014-2021"/>
    <s v="En la Región de Atacama, en los últimos 3 años, la producción de cobre en toneladas métricas de contenido fino (tmf) alcanzó el máximo, con una producción de 48.548 tmf, en diciembre del año 2019. La producción más baja, con 28.625 tmf, se registró en noviembre del año 2020. "/>
    <s v="Gráfico de Evolución"/>
    <s v="Región de Atacama,evolución,toneladas métricas,contenido,fino,producción,cobre,minera,tmf,Agencia Información,Economía,Producción minera,Minería"/>
    <s v="https://analytics.zoho.com/open-view/2395394000009355686?ZOHO_CRITERIA=%22Consolidado_Estadisticas_Regionales_New%22.%22C%C3%B3digo%20regi%C3%B3n%22%20%3D%203"/>
    <x v="3"/>
    <s v="#1774B144"/>
  </r>
  <r>
    <s v="1524"/>
    <n v="990"/>
    <s v="Agencia Información"/>
    <s v="Economía"/>
    <n v="4"/>
    <x v="77"/>
    <x v="31"/>
    <x v="1"/>
    <x v="4"/>
    <x v="17"/>
    <x v="96"/>
    <s v="Periodo 2014-2021"/>
    <s v="Toneladas métricas de contenido fino (tmf)"/>
    <s v="Instituto Nacional de Estadísticas (INE)"/>
    <s v="Producción de cobre en la región de Coquimbo en el periodo 2014-2021"/>
    <s v="En la Región de Coquimbo, en los últimos 3 años, la producción de cobre en toneladas métricas de contenido fino (tmf) alcanzó el máximo, con una producción de 121.215 tmf, en marzo del año 2020. La producción más baja, con 105.432 tmf, se registró en marzo del año 2021. "/>
    <s v="Gráfico de Evolución"/>
    <s v="Región de Coquimbo,evolución,toneladas métricas,contenido,fino,producción,cobre,minera,tmf,Agencia Información,Economía,Producción minera,Minería"/>
    <s v="https://analytics.zoho.com/open-view/2395394000009355686?ZOHO_CRITERIA=%22Consolidado_Estadisticas_Regionales_New%22.%22C%C3%B3digo%20regi%C3%B3n%22%20%3D%204"/>
    <x v="4"/>
    <s v="#1774B145"/>
  </r>
  <r>
    <s v="1525"/>
    <n v="990"/>
    <s v="Agencia Información"/>
    <s v="Economía"/>
    <n v="5"/>
    <x v="77"/>
    <x v="31"/>
    <x v="1"/>
    <x v="5"/>
    <x v="17"/>
    <x v="96"/>
    <s v="Periodo 2014-2021"/>
    <s v="Toneladas métricas de contenido fino (tmf)"/>
    <s v="Instituto Nacional de Estadísticas (INE)"/>
    <s v="Producción de cobre en la región de Valparaíso en el periodo 2014-2021"/>
    <s v="En la Región de Valparaíso, en los últimos 3 años, la producción de cobre en toneladas métricas de contenido fino (tmf) alcanzó el máximo, con una producción de 26.087 tmf, en agosto del año 2020. La producción más baja, con 19.080 tmf, se registró en abril del año 2021. "/>
    <s v="Gráfico de Evolución"/>
    <s v="Región de Valparaíso,evolución,toneladas métricas,contenido,fino,producción,cobre,minera,tmf,Agencia Información,Economía,Producción minera,Minería"/>
    <s v="https://analytics.zoho.com/open-view/2395394000009355686?ZOHO_CRITERIA=%22Consolidado_Estadisticas_Regionales_New%22.%22C%C3%B3digo%20regi%C3%B3n%22%20%3D%205"/>
    <x v="5"/>
    <s v="#1774B146"/>
  </r>
  <r>
    <s v="1526"/>
    <n v="990"/>
    <s v="Agencia Información"/>
    <s v="Economía"/>
    <n v="0"/>
    <x v="77"/>
    <x v="31"/>
    <x v="0"/>
    <x v="0"/>
    <x v="17"/>
    <x v="97"/>
    <s v="Periodo 2014-2021"/>
    <s v="Toneladas"/>
    <s v="Instituto Nacional de Estadísticas (INE)"/>
    <s v="Producción de cloruro de sodio en Chile en el periodo 2014-2021"/>
    <s v="La producción cloruro de sodio en toneladas (t) alcanzó su máximo en julio de 2015, con una producción de 1.153.490 t. La producción más baja, con 431.393 t, se registró en enero del año 2014."/>
    <s v="Gráfico de Evolución"/>
    <s v="Chile,evolución,producción,cloruro de sodio,minera,toneladas,mensual,Agencia Información,Economía,Producción minera,Minería"/>
    <s v="https://analytics.zoho.com/open-view/2395394000008087059"/>
    <x v="34"/>
    <s v="#1774B147"/>
  </r>
  <r>
    <s v="1527"/>
    <n v="990"/>
    <s v="Agencia Información"/>
    <s v="Economía"/>
    <n v="0"/>
    <x v="77"/>
    <x v="31"/>
    <x v="0"/>
    <x v="0"/>
    <x v="17"/>
    <x v="98"/>
    <s v="Periodo 2014-2021"/>
    <s v="Toneladas métricas (tm) "/>
    <s v="Instituto Nacional de Estadísticas (INE)"/>
    <s v="Producción de hierro en Chile en el periodo 2014-2021"/>
    <s v="La producción de hierro en toneladas métricas (tm) alcanzó su máximo, con una producción de 890.000 tm, en septiembre del año 2020. La producción más baja, con 120.172 tm se registró en marzo del año 2016."/>
    <s v="Gráfico de Evolución "/>
    <s v="Chile,evolución,producción,hierro,toneladas métricas,tm,minera,mensual,Agencia Información,Economía,Producción minera,Minería"/>
    <s v="https://analytics.zoho.com/open-view/2395394000008087414"/>
    <x v="34"/>
    <s v="#1774B148"/>
  </r>
  <r>
    <s v="1528"/>
    <n v="990"/>
    <s v="Agencia Información"/>
    <s v="Turismo"/>
    <n v="0"/>
    <x v="78"/>
    <x v="32"/>
    <x v="0"/>
    <x v="0"/>
    <x v="17"/>
    <x v="99"/>
    <s v="Periodo 2016-2021"/>
    <s v="Número de pernoctaciones"/>
    <s v="Instituto Nacional de Estadísticas (INE)"/>
    <s v="Número de pernoctaciones en Chile en el periodo 2016-2021"/>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Chile,evolucion,chile,número,pernoctaciones,mensual,región,Agencia Información,Turismo,Pernoctaciones,Turismo"/>
    <s v="https://analytics.zoho.com/open-view/2395394000009355773"/>
    <x v="0"/>
    <s v="#1774B149"/>
  </r>
  <r>
    <s v="1529"/>
    <n v="990"/>
    <s v="Agencia Información"/>
    <s v="Turismo"/>
    <n v="1"/>
    <x v="78"/>
    <x v="32"/>
    <x v="1"/>
    <x v="1"/>
    <x v="8"/>
    <x v="99"/>
    <s v="Periodo 2016-2021"/>
    <s v="Número de pernoctaciones"/>
    <s v="Instituto Nacional de Estadísticas (INE)"/>
    <s v="Número de Pernoctaciones en la Región de Tarapacá en el periodo 2016-2021"/>
    <s v="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
    <s v="Gráfico de Evolución"/>
    <s v="Región de Tarapacá,evolucion,chile,número,pernoctaciones,mensual,Agencia Información,Turismo,Pernoctaciones,Turismo"/>
    <s v="https://analytics.zoho.com/open-view/2395394000009355924?ZOHO_CRITERIA=%22Consolidado_Estadisticas_Regionales_New%22.%22C%C3%B3digo%20regi%C3%B3n%22%3D1"/>
    <x v="1"/>
    <s v="#1774B150"/>
  </r>
  <r>
    <s v="1530"/>
    <n v="990"/>
    <s v="Agencia Información"/>
    <s v="Turismo"/>
    <n v="2"/>
    <x v="78"/>
    <x v="32"/>
    <x v="1"/>
    <x v="2"/>
    <x v="8"/>
    <x v="99"/>
    <s v="Periodo 2016-2021"/>
    <s v="Número de pernoctaciones"/>
    <s v="Instituto Nacional de Estadísticas (INE)"/>
    <s v="Número de Pernoctaciones en la Región de Antofagasta en el periodo 2016-2021"/>
    <s v="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
    <s v="Gráfico de Evolución"/>
    <s v="Región de Antofagasta,evolucion,chile,número,pernoctaciones,mensual,Agencia Información,Turismo,Pernoctaciones,Turismo"/>
    <s v="https://analytics.zoho.com/open-view/2395394000009355924?ZOHO_CRITERIA=%22Consolidado_Estadisticas_Regionales_New%22.%22C%C3%B3digo%20regi%C3%B3n%22%3D2"/>
    <x v="2"/>
    <s v="#1774B151"/>
  </r>
  <r>
    <s v="1531"/>
    <n v="990"/>
    <s v="Agencia Información"/>
    <s v="Turismo"/>
    <n v="3"/>
    <x v="78"/>
    <x v="32"/>
    <x v="1"/>
    <x v="3"/>
    <x v="8"/>
    <x v="99"/>
    <s v="Periodo 2016-2021"/>
    <s v="Número de pernoctaciones"/>
    <s v="Instituto Nacional de Estadísticas (INE)"/>
    <s v="Número de Pernoctaciones en la Región de Atacama en el periodo 2016-2021"/>
    <s v="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
    <s v="Gráfico de Evolución"/>
    <s v="Región de Atacama,evolucion,chile,número,pernoctaciones,mensual,Agencia Información,Turismo,Pernoctaciones,Turismo"/>
    <s v="https://analytics.zoho.com/open-view/2395394000009355924?ZOHO_CRITERIA=%22Consolidado_Estadisticas_Regionales_New%22.%22C%C3%B3digo%20regi%C3%B3n%22%3D3"/>
    <x v="3"/>
    <s v="#1774B152"/>
  </r>
  <r>
    <s v="1532"/>
    <n v="990"/>
    <s v="Agencia Información"/>
    <s v="Turismo"/>
    <n v="4"/>
    <x v="78"/>
    <x v="32"/>
    <x v="1"/>
    <x v="4"/>
    <x v="8"/>
    <x v="99"/>
    <s v="Periodo 2016-2021"/>
    <s v="Número de pernoctaciones"/>
    <s v="Instituto Nacional de Estadísticas (INE)"/>
    <s v="Número de Pernoctaciones en la Región de Coquimbo en el periodo 2016-2021"/>
    <s v="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
    <s v="Gráfico de Evolución"/>
    <s v="Región de Coquimbo,evolucion,chile,número,pernoctaciones,mensual,Agencia Información,Turismo,Pernoctaciones,Turismo"/>
    <s v="https://analytics.zoho.com/open-view/2395394000009355924?ZOHO_CRITERIA=%22Consolidado_Estadisticas_Regionales_New%22.%22C%C3%B3digo%20regi%C3%B3n%22%3D4"/>
    <x v="4"/>
    <s v="#1774B153"/>
  </r>
  <r>
    <s v="1533"/>
    <n v="990"/>
    <s v="Agencia Información"/>
    <s v="Turismo"/>
    <n v="5"/>
    <x v="78"/>
    <x v="32"/>
    <x v="1"/>
    <x v="5"/>
    <x v="8"/>
    <x v="99"/>
    <s v="Periodo 2016-2021"/>
    <s v="Número de pernoctaciones"/>
    <s v="Instituto Nacional de Estadísticas (INE)"/>
    <s v="Número de Pernoctaciones en la Región de Valparaíso en el periodo 2016-2021"/>
    <s v="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
    <s v="Gráfico de Evolución"/>
    <s v="Región de Valparaíso,evolucion,chile,número,pernoctaciones,mensual,Agencia Información,Turismo,Pernoctaciones,Turismo"/>
    <s v="https://analytics.zoho.com/open-view/2395394000009355924?ZOHO_CRITERIA=%22Consolidado_Estadisticas_Regionales_New%22.%22C%C3%B3digo%20regi%C3%B3n%22%3D5"/>
    <x v="5"/>
    <s v="#1774B154"/>
  </r>
  <r>
    <s v="1534"/>
    <n v="990"/>
    <s v="Agencia Información"/>
    <s v="Turismo"/>
    <n v="6"/>
    <x v="78"/>
    <x v="32"/>
    <x v="1"/>
    <x v="6"/>
    <x v="8"/>
    <x v="99"/>
    <s v="Periodo 2016-2021"/>
    <s v="Número de pernoctaciones"/>
    <s v="Instituto Nacional de Estadísticas (INE)"/>
    <s v="Número de Pernoctaciones en la Región de O'Higgins en el periodo 2016-2021"/>
    <s v="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
    <s v="Gráfico de Evolución"/>
    <s v="Región de O'Higgins,evolucion,chile,número,pernoctaciones,mensual,Agencia Información,Turismo,Pernoctaciones,Turismo"/>
    <s v="https://analytics.zoho.com/open-view/2395394000009355924?ZOHO_CRITERIA=%22Consolidado_Estadisticas_Regionales_New%22.%22C%C3%B3digo%20regi%C3%B3n%22%3D6"/>
    <x v="6"/>
    <s v="#1774B155"/>
  </r>
  <r>
    <s v="1535"/>
    <n v="990"/>
    <s v="Agencia Información"/>
    <s v="Turismo"/>
    <n v="7"/>
    <x v="78"/>
    <x v="32"/>
    <x v="1"/>
    <x v="7"/>
    <x v="8"/>
    <x v="99"/>
    <s v="Periodo 2016-2021"/>
    <s v="Número de pernoctaciones"/>
    <s v="Instituto Nacional de Estadísticas (INE)"/>
    <s v="Número de Pernoctaciones en la Región de Maule en el periodo 2016-2021"/>
    <s v="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
    <s v="Gráfico de Evolución"/>
    <s v="Región de Maule,evolucion,chile,número,pernoctaciones,mensual,Agencia Información,Turismo,Pernoctaciones,Turismo"/>
    <s v="https://analytics.zoho.com/open-view/2395394000009355924?ZOHO_CRITERIA=%22Consolidado_Estadisticas_Regionales_New%22.%22C%C3%B3digo%20regi%C3%B3n%22%3D7"/>
    <x v="7"/>
    <s v="#1774B156"/>
  </r>
  <r>
    <s v="1536"/>
    <n v="990"/>
    <s v="Agencia Información"/>
    <s v="Turismo"/>
    <n v="8"/>
    <x v="78"/>
    <x v="32"/>
    <x v="1"/>
    <x v="8"/>
    <x v="8"/>
    <x v="99"/>
    <s v="Periodo 2016-2021"/>
    <s v="Número de pernoctaciones"/>
    <s v="Instituto Nacional de Estadísticas (INE)"/>
    <s v="Número de Pernoctaciones en la Región del Biobío en el periodo 2016-2021"/>
    <s v="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
    <s v="Gráfico de Evolución"/>
    <s v="Región del Biobío,evolucion,chile,número,pernoctaciones,mensual,Agencia Información,Turismo,Pernoctaciones,Turismo"/>
    <s v="https://analytics.zoho.com/open-view/2395394000009355924?ZOHO_CRITERIA=%22Consolidado_Estadisticas_Regionales_New%22.%22C%C3%B3digo%20regi%C3%B3n%22%3D8"/>
    <x v="8"/>
    <s v="#1774B157"/>
  </r>
  <r>
    <s v="1537"/>
    <n v="990"/>
    <s v="Agencia Información"/>
    <s v="Turismo"/>
    <n v="9"/>
    <x v="78"/>
    <x v="32"/>
    <x v="1"/>
    <x v="9"/>
    <x v="8"/>
    <x v="99"/>
    <s v="Periodo 2016-2021"/>
    <s v="Número de pernoctaciones"/>
    <s v="Instituto Nacional de Estadísticas (INE)"/>
    <s v="Número de Pernoctaciones en la Región de La Araucanía en el periodo 2016-2021"/>
    <s v="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
    <s v="Gráfico de Evolución"/>
    <s v="Región de La Araucanía,evolucion,chile,número,pernoctaciones,mensual,Agencia Información,Turismo,Pernoctaciones,Turismo"/>
    <s v="https://analytics.zoho.com/open-view/2395394000009355924?ZOHO_CRITERIA=%22Consolidado_Estadisticas_Regionales_New%22.%22C%C3%B3digo%20regi%C3%B3n%22%3D9"/>
    <x v="9"/>
    <s v="#1774B158"/>
  </r>
  <r>
    <s v="1538"/>
    <n v="990"/>
    <s v="Agencia Información"/>
    <s v="Turismo"/>
    <n v="10"/>
    <x v="78"/>
    <x v="32"/>
    <x v="1"/>
    <x v="10"/>
    <x v="8"/>
    <x v="99"/>
    <s v="Periodo 2016-2021"/>
    <s v="Número de pernoctaciones"/>
    <s v="Instituto Nacional de Estadísticas (INE)"/>
    <s v="Número de Pernoctaciones en la Región de Los Lagos en el periodo 2016-2021"/>
    <s v="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
    <s v="Gráfico de Evolución"/>
    <s v="Región de Los Lagos,evolucion,chile,número,pernoctaciones,mensual,Agencia Información,Turismo,Pernoctaciones,Turismo"/>
    <s v="https://analytics.zoho.com/open-view/2395394000009355924?ZOHO_CRITERIA=%22Consolidado_Estadisticas_Regionales_New%22.%22C%C3%B3digo%20regi%C3%B3n%22%3D10"/>
    <x v="10"/>
    <s v="#1774B159"/>
  </r>
  <r>
    <s v="1539"/>
    <n v="990"/>
    <s v="Agencia Información"/>
    <s v="Turismo"/>
    <n v="11"/>
    <x v="78"/>
    <x v="32"/>
    <x v="1"/>
    <x v="11"/>
    <x v="8"/>
    <x v="99"/>
    <s v="Periodo 2016-2021"/>
    <s v="Número de pernoctaciones"/>
    <s v="Instituto Nacional de Estadísticas (INE)"/>
    <s v="Número de Pernoctaciones en la Región de Aysén en el periodo 2016-2021"/>
    <s v="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
    <s v="Gráfico de Evolución"/>
    <s v="Región de Aysén,evolucion,chile,número,pernoctaciones,mensual,Agencia Información,Turismo,Pernoctaciones,Turismo"/>
    <s v="https://analytics.zoho.com/open-view/2395394000009355924?ZOHO_CRITERIA=%22Consolidado_Estadisticas_Regionales_New%22.%22C%C3%B3digo%20regi%C3%B3n%22%3D11"/>
    <x v="11"/>
    <s v="#1774B160"/>
  </r>
  <r>
    <s v="1540"/>
    <n v="990"/>
    <s v="Agencia Información"/>
    <s v="Turismo"/>
    <n v="12"/>
    <x v="78"/>
    <x v="32"/>
    <x v="1"/>
    <x v="12"/>
    <x v="8"/>
    <x v="99"/>
    <s v="Periodo 2016-2021"/>
    <s v="Número de pernoctaciones"/>
    <s v="Instituto Nacional de Estadísticas (INE)"/>
    <s v="Número de Pernoctaciones en la Región de Magallanes en el periodo 2016-2021"/>
    <s v="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
    <s v="Gráfico de Evolución"/>
    <s v="Región de Magallanes,evolucion,chile,número,pernoctaciones,mensual,Agencia Información,Turismo,Pernoctaciones,Turismo"/>
    <s v="https://analytics.zoho.com/open-view/2395394000009355924?ZOHO_CRITERIA=%22Consolidado_Estadisticas_Regionales_New%22.%22C%C3%B3digo%20regi%C3%B3n%22%3D12"/>
    <x v="12"/>
    <s v="#1774B161"/>
  </r>
  <r>
    <s v="1541"/>
    <n v="990"/>
    <s v="Agencia Información"/>
    <s v="Turismo"/>
    <n v="13"/>
    <x v="78"/>
    <x v="32"/>
    <x v="1"/>
    <x v="13"/>
    <x v="8"/>
    <x v="99"/>
    <s v="Periodo 2016-2021"/>
    <s v="Número de pernoctaciones"/>
    <s v="Instituto Nacional de Estadísticas (INE)"/>
    <s v="Número de Pernoctaciones en la Región Metropolitana en el periodo 2016-2021"/>
    <s v="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
    <s v="Gráfico de Evolución"/>
    <s v="Región Metropolitana,evolucion,chile,número,pernoctaciones,mensual,Agencia Información,Turismo,Pernoctaciones,Turismo"/>
    <s v="https://analytics.zoho.com/open-view/2395394000009355924?ZOHO_CRITERIA=%22Consolidado_Estadisticas_Regionales_New%22.%22C%C3%B3digo%20regi%C3%B3n%22%3D13"/>
    <x v="13"/>
    <s v="#1774B162"/>
  </r>
  <r>
    <s v="1542"/>
    <n v="990"/>
    <s v="Agencia Información"/>
    <s v="Turismo"/>
    <n v="14"/>
    <x v="78"/>
    <x v="32"/>
    <x v="1"/>
    <x v="14"/>
    <x v="8"/>
    <x v="99"/>
    <s v="Periodo 2016-2021"/>
    <s v="Número de pernoctaciones"/>
    <s v="Instituto Nacional de Estadísticas (INE)"/>
    <s v="Número de Pernoctaciones en la Región de Los Ríos en el periodo 2016-2021"/>
    <s v="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
    <s v="Gráfico de Evolución"/>
    <s v="Región de Los Ríos,evolucion,chile,número,pernoctaciones,mensual,Agencia Información,Turismo,Pernoctaciones,Turismo"/>
    <s v="https://analytics.zoho.com/open-view/2395394000009355924?ZOHO_CRITERIA=%22Consolidado_Estadisticas_Regionales_New%22.%22C%C3%B3digo%20regi%C3%B3n%22%3D14"/>
    <x v="14"/>
    <s v="#1774B163"/>
  </r>
  <r>
    <s v="1543"/>
    <n v="990"/>
    <s v="Agencia Información"/>
    <s v="Turismo"/>
    <n v="15"/>
    <x v="78"/>
    <x v="32"/>
    <x v="1"/>
    <x v="15"/>
    <x v="8"/>
    <x v="99"/>
    <s v="Periodo 2016-2021"/>
    <s v="Número de pernoctaciones"/>
    <s v="Instituto Nacional de Estadísticas (INE)"/>
    <s v="Número de Pernoctaciones en la Región de Arica y Parinacota en el periodo 2016-2021"/>
    <s v="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
    <s v="Gráfico de Evolución"/>
    <s v="Región de Arica y Parinacota,evolucion,chile,número,pernoctaciones,mensual,Agencia Información,Turismo,Pernoctaciones,Turismo"/>
    <s v="https://analytics.zoho.com/open-view/2395394000009355924?ZOHO_CRITERIA=%22Consolidado_Estadisticas_Regionales_New%22.%22C%C3%B3digo%20regi%C3%B3n%22%3D15"/>
    <x v="15"/>
    <s v="#1774B164"/>
  </r>
  <r>
    <s v="1544"/>
    <n v="990"/>
    <s v="Agencia Información"/>
    <s v="Turismo"/>
    <n v="16"/>
    <x v="78"/>
    <x v="32"/>
    <x v="1"/>
    <x v="16"/>
    <x v="8"/>
    <x v="99"/>
    <s v="Periodo 2016-2021"/>
    <s v="Número de pernoctaciones"/>
    <s v="Instituto Nacional de Estadísticas (INE)"/>
    <s v="Número de Pernoctaciones en la Región de Ñuble en el periodo 2016-2021"/>
    <s v="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
    <s v="Gráfico de Evolución"/>
    <s v="Región de Ñuble,evolucion,chile,número,pernoctaciones,mensual,Agencia Información,Turismo,Pernoctaciones,Turismo"/>
    <s v="https://analytics.zoho.com/open-view/2395394000009355924?ZOHO_CRITERIA=%22Consolidado_Estadisticas_Regionales_New%22.%22C%C3%B3digo%20regi%C3%B3n%22%3D16"/>
    <x v="16"/>
    <s v="#1774B165"/>
  </r>
  <r>
    <s v="1545"/>
    <n v="990"/>
    <s v="Agencia Información"/>
    <s v="Turismo"/>
    <n v="0"/>
    <x v="79"/>
    <x v="32"/>
    <x v="0"/>
    <x v="0"/>
    <x v="17"/>
    <x v="100"/>
    <s v="Periodo 2016-2021"/>
    <s v="CLP"/>
    <s v="Instituto Nacional de Estadísticas (INE)"/>
    <s v="Precio Promedio de Habitación Ocupada en Chile en el periodo 2016-2021"/>
    <s v="Entre julio de 2016 y febrero de 2020, el precio promedio por habitación ocupada fluctuó entre los 45.054 y los 56.719 pesos chilenos. En mayo de 2020, se registra el precio promedio mínimo de 36.138 pesos chilenos."/>
    <s v="Gráfico de Evolución"/>
    <s v="Chile,nacional,evolución,precio,promedio,clp,habitación,ocupada,mensual,Agencia Información,Turismo,Habitaciones ocupadas,Turismo"/>
    <s v="https://analytics.zoho.com/open-view/2395394000009369072"/>
    <x v="0"/>
    <s v="#1774B166"/>
  </r>
  <r>
    <s v="1546"/>
    <n v="990"/>
    <s v="Agencia Información"/>
    <s v="Turismo"/>
    <n v="1"/>
    <x v="79"/>
    <x v="32"/>
    <x v="1"/>
    <x v="1"/>
    <x v="8"/>
    <x v="100"/>
    <s v="Periodo 2016-2021"/>
    <s v="CLP"/>
    <s v="Instituto Nacional de Estadísticas (INE)"/>
    <s v="Precio Promedio de Habitación Ocupada en la Región de Tarapacá en el periodo 2016-2021"/>
    <s v="En la región de Tarapacá, el precio promedio por habitación ocupada entre julio de 2016 y mayo de 2021 fluctuó entre los 33.309 y los 52.395,7 pesos chilenos. "/>
    <s v="Gráfico de Evolución"/>
    <s v="Región de Tarapacá,evolución,precio,promedio,clp,habitación,ocupada,mensual,Agencia Información,Turismo,Habitaciones ocupadas,Turismo"/>
    <s v="https://analytics.zoho.com/open-view/2395394000009369252?ZOHO_CRITERIA=%22Consolidado_Estadisticas_Regionales_New%22.%22C%C3%B3digo%20regi%C3%B3n%22%3D1"/>
    <x v="1"/>
    <s v="#1774B167"/>
  </r>
  <r>
    <s v="1547"/>
    <n v="990"/>
    <s v="Agencia Información"/>
    <s v="Turismo"/>
    <n v="2"/>
    <x v="79"/>
    <x v="32"/>
    <x v="1"/>
    <x v="2"/>
    <x v="8"/>
    <x v="100"/>
    <s v="Periodo 2016-2021"/>
    <s v="CLP"/>
    <s v="Instituto Nacional de Estadísticas (INE)"/>
    <s v="Precio Promedio de Habitación Ocupada en la Región de Antofagasta en el periodo 2016-2021"/>
    <s v="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
    <s v="Gráfico de Evolución"/>
    <s v="Región de Antofagasta,evolución,precio,promedio,clp,habitación,ocupada,mensual,Agencia Información,Turismo,Habitaciones ocupadas,Turismo"/>
    <s v="https://analytics.zoho.com/open-view/2395394000009369252?ZOHO_CRITERIA=%22Consolidado_Estadisticas_Regionales_New%22.%22C%C3%B3digo%20regi%C3%B3n%22%3D2"/>
    <x v="2"/>
    <s v="#1774B168"/>
  </r>
  <r>
    <s v="1548"/>
    <n v="990"/>
    <s v="Agencia Información"/>
    <s v="Turismo"/>
    <n v="3"/>
    <x v="79"/>
    <x v="32"/>
    <x v="1"/>
    <x v="3"/>
    <x v="8"/>
    <x v="100"/>
    <s v="Periodo 2016-2021"/>
    <s v="CLP"/>
    <s v="Instituto Nacional de Estadísticas (INE)"/>
    <s v="Precio Promedio de Habitación Ocupada en la Región de Atacama en el periodo 2016-2021"/>
    <s v="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
    <s v="Gráfico de Evolución"/>
    <s v="Región de Atacama,evolución,precio,promedio,clp,habitación,ocupada,mensual,Agencia Información,Turismo,Habitaciones ocupadas,Turismo"/>
    <s v="https://analytics.zoho.com/open-view/2395394000009369252?ZOHO_CRITERIA=%22Consolidado_Estadisticas_Regionales_New%22.%22C%C3%B3digo%20regi%C3%B3n%22%3D3"/>
    <x v="3"/>
    <s v="#1774B169"/>
  </r>
  <r>
    <s v="1549"/>
    <n v="990"/>
    <s v="Agencia Información"/>
    <s v="Turismo"/>
    <n v="4"/>
    <x v="79"/>
    <x v="32"/>
    <x v="1"/>
    <x v="4"/>
    <x v="8"/>
    <x v="100"/>
    <s v="Periodo 2016-2021"/>
    <s v="CLP"/>
    <s v="Instituto Nacional de Estadísticas (INE)"/>
    <s v="Precio Promedio de Habitación Ocupada en la Región de Coquimbo en el periodo 2016-2021"/>
    <s v="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
    <s v="Gráfico de Evolución"/>
    <s v="Región de Coquimbo,evolución,precio,promedio,clp,habitación,ocupada,mensual,Agencia Información,Turismo,Habitaciones ocupadas,Turismo"/>
    <s v="https://analytics.zoho.com/open-view/2395394000009369252?ZOHO_CRITERIA=%22Consolidado_Estadisticas_Regionales_New%22.%22C%C3%B3digo%20regi%C3%B3n%22%3D4"/>
    <x v="4"/>
    <s v="#1774B170"/>
  </r>
  <r>
    <s v="1550"/>
    <n v="990"/>
    <s v="Agencia Información"/>
    <s v="Turismo"/>
    <n v="5"/>
    <x v="79"/>
    <x v="32"/>
    <x v="1"/>
    <x v="5"/>
    <x v="8"/>
    <x v="100"/>
    <s v="Periodo 2016-2021"/>
    <s v="CLP"/>
    <s v="Instituto Nacional de Estadísticas (INE)"/>
    <s v="Precio Promedio de Habitación Ocupada en la Región de Valparaíso en el periodo 2016-2021"/>
    <s v="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
    <s v="Gráfico de Evolución"/>
    <s v="Región de Valparaíso,evolución,precio,promedio,clp,habitación,ocupada,mensual,Agencia Información,Turismo,Habitaciones ocupadas,Turismo"/>
    <s v="https://analytics.zoho.com/open-view/2395394000009369252?ZOHO_CRITERIA=%22Consolidado_Estadisticas_Regionales_New%22.%22C%C3%B3digo%20regi%C3%B3n%22%3D5"/>
    <x v="5"/>
    <s v="#1774B171"/>
  </r>
  <r>
    <s v="1551"/>
    <n v="990"/>
    <s v="Agencia Información"/>
    <s v="Turismo"/>
    <n v="6"/>
    <x v="79"/>
    <x v="32"/>
    <x v="1"/>
    <x v="6"/>
    <x v="8"/>
    <x v="100"/>
    <s v="Periodo 2016-2021"/>
    <s v="CLP"/>
    <s v="Instituto Nacional de Estadísticas (INE)"/>
    <s v="Precio Promedio de Habitación Ocupada en la Región de O'Higgins en el periodo 2016-2021"/>
    <s v="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
    <s v="Gráfico de Evolución"/>
    <s v="Región de O'Higgins,evolución,precio,promedio,clp,habitación,ocupada,mensual,Agencia Información,Turismo,Habitaciones ocupadas,Turismo"/>
    <s v="https://analytics.zoho.com/open-view/2395394000009369252?ZOHO_CRITERIA=%22Consolidado_Estadisticas_Regionales_New%22.%22C%C3%B3digo%20regi%C3%B3n%22%3D6"/>
    <x v="6"/>
    <s v="#1774B172"/>
  </r>
  <r>
    <s v="1552"/>
    <n v="990"/>
    <s v="Agencia Información"/>
    <s v="Turismo"/>
    <n v="7"/>
    <x v="79"/>
    <x v="32"/>
    <x v="1"/>
    <x v="7"/>
    <x v="8"/>
    <x v="100"/>
    <s v="Periodo 2016-2021"/>
    <s v="CLP"/>
    <s v="Instituto Nacional de Estadísticas (INE)"/>
    <s v="Precio Promedio de Habitación Ocupada en la Región de Maule en el periodo 2016-2021"/>
    <s v="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
    <s v="Gráfico de Evolución"/>
    <s v="Región de Maule,evolución,precio,promedio,clp,habitación,ocupada,mensual,Agencia Información,Turismo,Habitaciones ocupadas,Turismo"/>
    <s v="https://analytics.zoho.com/open-view/2395394000009369252?ZOHO_CRITERIA=%22Consolidado_Estadisticas_Regionales_New%22.%22C%C3%B3digo%20regi%C3%B3n%22%3D7"/>
    <x v="7"/>
    <s v="#1774B173"/>
  </r>
  <r>
    <s v="1553"/>
    <n v="990"/>
    <s v="Agencia Información"/>
    <s v="Turismo"/>
    <n v="8"/>
    <x v="79"/>
    <x v="32"/>
    <x v="1"/>
    <x v="8"/>
    <x v="8"/>
    <x v="100"/>
    <s v="Periodo 2016-2021"/>
    <s v="CLP"/>
    <s v="Instituto Nacional de Estadísticas (INE)"/>
    <s v="Precio Promedio de Habitación Ocupada en la Región del Biobío en el periodo 2016-2021"/>
    <s v="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
    <s v="Gráfico de Evolución"/>
    <s v="Región del Biobío,evolución,precio,promedio,clp,habitación,ocupada,mensual,Agencia Información,Turismo,Habitaciones ocupadas,Turismo"/>
    <s v="https://analytics.zoho.com/open-view/2395394000009369252?ZOHO_CRITERIA=%22Consolidado_Estadisticas_Regionales_New%22.%22C%C3%B3digo%20regi%C3%B3n%22%3D8"/>
    <x v="8"/>
    <s v="#1774B174"/>
  </r>
  <r>
    <s v="1554"/>
    <n v="990"/>
    <s v="Agencia Información"/>
    <s v="Turismo"/>
    <n v="9"/>
    <x v="79"/>
    <x v="32"/>
    <x v="1"/>
    <x v="9"/>
    <x v="8"/>
    <x v="100"/>
    <s v="Periodo 2016-2021"/>
    <s v="CLP"/>
    <s v="Instituto Nacional de Estadísticas (INE)"/>
    <s v="Precio Promedio de Habitación Ocupada en la Región de La Araucanía en el periodo 2016-2021"/>
    <s v="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
    <s v="Gráfico de Evolución"/>
    <s v="Región de La Araucanía,evolución,precio,promedio,clp,habitación,ocupada,mensual,Agencia Información,Turismo,Habitaciones ocupadas,Turismo"/>
    <s v="https://analytics.zoho.com/open-view/2395394000009369252?ZOHO_CRITERIA=%22Consolidado_Estadisticas_Regionales_New%22.%22C%C3%B3digo%20regi%C3%B3n%22%3D9"/>
    <x v="9"/>
    <s v="#1774B175"/>
  </r>
  <r>
    <s v="1555"/>
    <n v="990"/>
    <s v="Agencia Información"/>
    <s v="Turismo"/>
    <n v="10"/>
    <x v="79"/>
    <x v="32"/>
    <x v="1"/>
    <x v="10"/>
    <x v="8"/>
    <x v="100"/>
    <s v="Periodo 2016-2021"/>
    <s v="CLP"/>
    <s v="Instituto Nacional de Estadísticas (INE)"/>
    <s v="Precio Promedio de Habitación Ocupada en la Región de Los Lagos en el periodo 2016-2021"/>
    <s v="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
    <s v="Gráfico de Evolución"/>
    <s v="Región de Los Lagos,evolución,precio,promedio,clp,habitación,ocupada,mensual,Agencia Información,Turismo,Habitaciones ocupadas,Turismo"/>
    <s v="https://analytics.zoho.com/open-view/2395394000009369252?ZOHO_CRITERIA=%22Consolidado_Estadisticas_Regionales_New%22.%22C%C3%B3digo%20regi%C3%B3n%22%3D10"/>
    <x v="10"/>
    <s v="#1774B176"/>
  </r>
  <r>
    <s v="1556"/>
    <n v="990"/>
    <s v="Agencia Información"/>
    <s v="Turismo"/>
    <n v="11"/>
    <x v="79"/>
    <x v="32"/>
    <x v="1"/>
    <x v="11"/>
    <x v="8"/>
    <x v="100"/>
    <s v="Periodo 2016-2021"/>
    <s v="CLP"/>
    <s v="Instituto Nacional de Estadísticas (INE)"/>
    <s v="Precio Promedio de Habitación Ocupada en la Región de Aysén en el periodo 2016-2021"/>
    <s v="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
    <s v="Gráfico de Evolución"/>
    <s v="Región de Aysén,evolución,precio,promedio,clp,habitación,ocupada,mensual,Agencia Información,Turismo,Habitaciones ocupadas,Turismo"/>
    <s v="https://analytics.zoho.com/open-view/2395394000009369252?ZOHO_CRITERIA=%22Consolidado_Estadisticas_Regionales_New%22.%22C%C3%B3digo%20regi%C3%B3n%22%3D11"/>
    <x v="11"/>
    <s v="#1774B177"/>
  </r>
  <r>
    <s v="1557"/>
    <n v="990"/>
    <s v="Agencia Información"/>
    <s v="Turismo"/>
    <n v="12"/>
    <x v="79"/>
    <x v="32"/>
    <x v="1"/>
    <x v="12"/>
    <x v="8"/>
    <x v="100"/>
    <s v="Periodo 2016-2021"/>
    <s v="CLP"/>
    <s v="Instituto Nacional de Estadísticas (INE)"/>
    <s v="Precio Promedio de Habitación Ocupada en la Región de Magallanes en el periodo 2016-2021"/>
    <s v="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
    <s v="Gráfico de Evolución"/>
    <s v="Región de Magallanes,evolución,precio,promedio,clp,habitación,ocupada,mensual,Agencia Información,Turismo,Habitaciones ocupadas,Turismo"/>
    <s v="https://analytics.zoho.com/open-view/2395394000009369252?ZOHO_CRITERIA=%22Consolidado_Estadisticas_Regionales_New%22.%22C%C3%B3digo%20regi%C3%B3n%22%3D12"/>
    <x v="12"/>
    <s v="#1774B178"/>
  </r>
  <r>
    <s v="1558"/>
    <n v="990"/>
    <s v="Agencia Información"/>
    <s v="Turismo"/>
    <n v="13"/>
    <x v="79"/>
    <x v="32"/>
    <x v="1"/>
    <x v="13"/>
    <x v="8"/>
    <x v="100"/>
    <s v="Periodo 2016-2021"/>
    <s v="CLP"/>
    <s v="Instituto Nacional de Estadísticas (INE)"/>
    <s v="Precio Promedio de Habitación Ocupada en la Región Metropolitana en el periodo 2016-2021"/>
    <s v="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
    <s v="Gráfico de Evolución"/>
    <s v="Región Metropolitana,evolución,precio,promedio,clp,habitación,ocupada,mensual,Agencia Información,Turismo,Habitaciones ocupadas,Turismo"/>
    <s v="https://analytics.zoho.com/open-view/2395394000009369252?ZOHO_CRITERIA=%22Consolidado_Estadisticas_Regionales_New%22.%22C%C3%B3digo%20regi%C3%B3n%22%3D13"/>
    <x v="13"/>
    <s v="#1774B179"/>
  </r>
  <r>
    <s v="1559"/>
    <n v="990"/>
    <s v="Agencia Información"/>
    <s v="Turismo"/>
    <n v="14"/>
    <x v="79"/>
    <x v="32"/>
    <x v="1"/>
    <x v="14"/>
    <x v="8"/>
    <x v="100"/>
    <s v="Periodo 2016-2021"/>
    <s v="CLP"/>
    <s v="Instituto Nacional de Estadísticas (INE)"/>
    <s v="Precio Promedio de Habitación Ocupada en la Región de Los Ríos en el periodo 2016-2021"/>
    <s v="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
    <s v="Gráfico de Evolución"/>
    <s v="Región de Los Ríos,evolución,precio,promedio,clp,habitación,ocupada,mensual,Agencia Información,Turismo,Habitaciones ocupadas,Turismo"/>
    <s v="https://analytics.zoho.com/open-view/2395394000009369252?ZOHO_CRITERIA=%22Consolidado_Estadisticas_Regionales_New%22.%22C%C3%B3digo%20regi%C3%B3n%22%3D14"/>
    <x v="14"/>
    <s v="#1774B180"/>
  </r>
  <r>
    <s v="1560"/>
    <n v="990"/>
    <s v="Agencia Información"/>
    <s v="Turismo"/>
    <n v="15"/>
    <x v="79"/>
    <x v="32"/>
    <x v="1"/>
    <x v="15"/>
    <x v="8"/>
    <x v="100"/>
    <s v="Periodo 2016-2021"/>
    <s v="CLP"/>
    <s v="Instituto Nacional de Estadísticas (INE)"/>
    <s v="Precio Promedio de Habitación Ocupada en la Región de Arica y Parinacota en el periodo 2016-2021"/>
    <s v="En la región de Arica y Parinacota, el precio promedio por habitación ocupada entre julio de 2016 y junio de 2020 fluctuó entre los 30.962,1 y los 40.467,2 pesos chilenos. A partir de julio, el precio promedio aumentó considerablemente, alcanzando un máximo de 50.037,8 pesos chilenos."/>
    <s v="Gráfico de Evolución"/>
    <s v="Región de Arica y Parinacota,evolución,precio,promedio,clp,habitación,ocupada,mensual,Agencia Información,Turismo,Habitaciones ocupadas,Turismo"/>
    <s v="https://analytics.zoho.com/open-view/2395394000009369252?ZOHO_CRITERIA=%22Consolidado_Estadisticas_Regionales_New%22.%22C%C3%B3digo%20regi%C3%B3n%22%3D15"/>
    <x v="15"/>
    <s v="#1774B181"/>
  </r>
  <r>
    <s v="1561"/>
    <n v="990"/>
    <s v="Agencia Información"/>
    <s v="Turismo"/>
    <n v="16"/>
    <x v="79"/>
    <x v="32"/>
    <x v="1"/>
    <x v="16"/>
    <x v="8"/>
    <x v="100"/>
    <s v="Periodo 2016-2021"/>
    <s v="CLP"/>
    <s v="Instituto Nacional de Estadísticas (INE)"/>
    <s v="Precio Promedio de Habitación Ocupada en la Región de Ñuble en el periodo 2016-2021"/>
    <s v="En la región de Ñuble, el precio promedio por habitación ocupada entre septiembre de 2018 y junio de 2021 fluctuó entre los 34.483,7 pesos chilenos, observados en el mes de mayo de 2021, y los 84.018,5 pesos chilenos, observados en julio de 2019."/>
    <s v="Gráfico de Evolución"/>
    <s v="Región de Ñuble,evolución,precio,promedio,clp,habitación,ocupada,mensual,Agencia Información,Turismo,Habitaciones ocupadas,Turismo"/>
    <s v="https://analytics.zoho.com/open-view/2395394000009369252?ZOHO_CRITERIA=%22Consolidado_Estadisticas_Regionales_New%22.%22C%C3%B3digo%20regi%C3%B3n%22%3D16"/>
    <x v="16"/>
    <s v="#1774B182"/>
  </r>
  <r>
    <s v="1562"/>
    <n v="990"/>
    <s v="Agencia Información"/>
    <s v="Agropecuario y Forestal"/>
    <n v="0"/>
    <x v="80"/>
    <x v="33"/>
    <x v="0"/>
    <x v="0"/>
    <x v="17"/>
    <x v="101"/>
    <s v="Periodo 2014-2021"/>
    <s v="Toneladas"/>
    <s v="Servicio Nacional de Pesca y Acuicultura (SERNAPESCA)"/>
    <s v="Desembarque de pesca industrial en Chile en el periodo 2014-2021"/>
    <s v="Durante el mes de febrero del año 2020, el desembarque pesquero industrial registró su máximo valor, con 104.563 toneladas. Sin embargo, se produce una disminución significativa en septiembre del mismo año, en el que se registró 2.514 toneladas."/>
    <s v="Gráfico de Evolución"/>
    <s v="Chile,pesca,industrial,evolución,mensual,pesquero,desembarco,toneladas,región,regional,Agencia Información,Agropecuario y Forestal,Pesca industrial,Pesca y Acuicultura"/>
    <s v="https://analytics.zoho.com/open-view/2395394000009355045"/>
    <x v="34"/>
    <s v="#1774B183"/>
  </r>
  <r>
    <s v="1563"/>
    <n v="990"/>
    <s v="Agencia Información"/>
    <s v="Agropecuario y Forestal"/>
    <n v="0"/>
    <x v="81"/>
    <x v="33"/>
    <x v="0"/>
    <x v="0"/>
    <x v="8"/>
    <x v="102"/>
    <s v="Periodo 2014-2021"/>
    <s v="Toneladas"/>
    <s v="Servicio Nacional de Pesca y Acuicultura (SERNAPESCA)"/>
    <s v="Desembarque artesanal de Algas en Chile en el periodo 2014-2021"/>
    <s v="En el mes de febrero del año 2019, se registra un máximo de toneladas de desembarque artesanal de algas, con 19.841 toneladas. Las especies desembarcadas, en orden decreciente de toneladas son:  Pelillo, Luga Negra, Luga Roja, Huiro y Cochayuyo.  "/>
    <s v="Gráfico de Evolución"/>
    <s v="Chile,pesca,artesanal,evolución,mensual,pesquero,desembarco,toneladas,región,regional,Agencia Información,Agropecuario y Forestal,Pesca artesanal,Pesca y Acuicultura"/>
    <s v="https://analytics.zoho.com/open-view/2395394000009355244"/>
    <x v="34"/>
    <s v="#1774B184"/>
  </r>
  <r>
    <s v="1564"/>
    <n v="990"/>
    <s v="Agencia Información"/>
    <s v="Agropecuario y Forestal"/>
    <n v="0"/>
    <x v="82"/>
    <x v="33"/>
    <x v="0"/>
    <x v="0"/>
    <x v="8"/>
    <x v="103"/>
    <s v="Periodo 2014-2021"/>
    <s v="Toneladas"/>
    <s v="Servicio Nacional de Pesca y Acuicultura (SERNAPESCA)"/>
    <s v="Cosecha acuícola en Chile en el periodo 2014-2021"/>
    <s v="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
    <s v="Gráfico de Evolución"/>
    <s v="Chile,evolución,salmón,atlántico,plateado,coho,trucha,arcoiris,cosecha,toneladas,mensual,Agencia Información,Agropecuario y Forestal,Acuicultura,Pesca y Acuicultura"/>
    <s v="https://analytics.zoho.com/open-view/2395394000009355434"/>
    <x v="34"/>
    <s v="#1774B185"/>
  </r>
  <r>
    <s v="1565"/>
    <n v="990"/>
    <s v="Agencia Información"/>
    <s v="Gobiernos locales"/>
    <n v="0"/>
    <x v="66"/>
    <x v="24"/>
    <x v="0"/>
    <x v="0"/>
    <x v="2"/>
    <x v="86"/>
    <s v="Año 2019"/>
    <s v="Hectáreas"/>
    <s v="Sistema Nacional de Información Municipal"/>
    <s v="Superficie de Parques Urbanos en Chile en el año 201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nacional,comunas,comunal,parques,urbanos,municipal,municipio,superficie,hectáreas,Agencia Información,Gobiernos locales,Parques Urbanos,Gestión Municipal Territorial"/>
    <s v="https://analytics.zoho.com/open-view/2395394000008183442"/>
    <x v="17"/>
    <s v="#1774B186"/>
  </r>
  <r>
    <s v="1566"/>
    <n v="990"/>
    <s v="Agencia Información"/>
    <s v="Gobiernos locales"/>
    <n v="1"/>
    <x v="66"/>
    <x v="24"/>
    <x v="1"/>
    <x v="1"/>
    <x v="3"/>
    <x v="86"/>
    <s v="Año 2019"/>
    <s v="Hectáreas"/>
    <s v="Sistema Nacional de Información Municipal"/>
    <s v="Superficie de Parques Urbanos en la Región de Tarapacá en el año 2019"/>
    <s v="En la región de Tarapacá, el año 2019, las comunas de Iquique y Pica destacan por tener mayor superficie de parques urbanos. El máximo se observa en Iquique con 9.48 ha, seguido de Pica con 2.07 ha."/>
    <s v="Mapa de calor"/>
    <s v="Región de Tarapacá,comunas,comunal,parques,urbanos,municipal,municipio,superficie,hectáreas,Agencia Información,Gobiernos locales,Parques Urbanos,Gestión Municipal Territorial"/>
    <s v="https://analytics.zoho.com/open-view/2395394000008478071?ZOHO_CRITERIA=%22Localiza%20CL%22.%22Codreg%22%20%3D%201"/>
    <x v="18"/>
    <s v="#1774B187"/>
  </r>
  <r>
    <s v="1567"/>
    <n v="990"/>
    <s v="Agencia Información"/>
    <s v="Gobiernos locales"/>
    <n v="2"/>
    <x v="66"/>
    <x v="24"/>
    <x v="1"/>
    <x v="2"/>
    <x v="3"/>
    <x v="86"/>
    <s v="Año 2019"/>
    <s v="Hectáreas"/>
    <s v="Sistema Nacional de Información Municipal"/>
    <s v="Superficie de Parques Urbanos en la Región de Antofagasta en el año 2019"/>
    <s v="En la región de Antofagasta, el año 2019, las comunas de Antofagasta y Calama destacan por tener mayor superficie de parques urbanos. El máximo se observa en Antofagasta con 26,95 ha, seguido de Calama con 18,09 ha."/>
    <s v="Mapa de calor"/>
    <s v="Región de Antofagasta,comunas,comunal,parques,urbanos,municipal,municipio,superficie,hectáreas,Agencia Información,Gobiernos locales,Parques Urbanos,Gestión Municipal Territorial"/>
    <s v="https://analytics.zoho.com/open-view/2395394000008478071?ZOHO_CRITERIA=%22Localiza%20CL%22.%22Codreg%22%20%3D%202"/>
    <x v="19"/>
    <s v="#1774B188"/>
  </r>
  <r>
    <s v="1568"/>
    <n v="990"/>
    <s v="Agencia Información"/>
    <s v="Gobiernos locales"/>
    <n v="3"/>
    <x v="66"/>
    <x v="24"/>
    <x v="1"/>
    <x v="3"/>
    <x v="3"/>
    <x v="86"/>
    <s v="Año 2019"/>
    <s v="Hectáreas"/>
    <s v="Sistema Nacional de Información Municipal"/>
    <s v="Superficie de Parques Urbanos en la Región de Atacama en el año 2019"/>
    <s v="En la región de Atacama, el año 2019, las comunas de Huasco y Vallenar destacan por tener mayor superficie de parques urbanos. El máximo se observa en Huasco con 5,86 ha, seguido de Vallenar con 5,80 ha."/>
    <s v="Mapa de calor"/>
    <s v="Región de Atacama,comunas,comunal,parques,urbanos,municipal,municipio,superficie,hectáreas,Agencia Información,Gobiernos locales,Parques Urbanos,Gestión Municipal Territorial"/>
    <s v="https://analytics.zoho.com/open-view/2395394000008478071?ZOHO_CRITERIA=%22Localiza%20CL%22.%22Codreg%22%20%3D%203"/>
    <x v="20"/>
    <s v="#1774B189"/>
  </r>
  <r>
    <s v="1569"/>
    <n v="990"/>
    <s v="Agencia Información"/>
    <s v="Gobiernos locales"/>
    <n v="4"/>
    <x v="66"/>
    <x v="24"/>
    <x v="1"/>
    <x v="4"/>
    <x v="3"/>
    <x v="86"/>
    <s v="Año 2019"/>
    <s v="Hectáreas"/>
    <s v="Sistema Nacional de Información Municipal"/>
    <s v="Superficie de Parques Urbanos en la Región de Coquimbo en el año 2019"/>
    <s v="En la región de Coquimbo, el año 2019, las comunas de La Serena y Vicuña destacan por tener mayor superficie de parques urbanos. El máximo se observa en La Serena con 119,66 ha, seguido de Vicuña con 19,00 ha."/>
    <s v="Mapa de calor"/>
    <s v="Región de Coquimbo,comunas,comunal,parques,urbanos,municipal,municipio,superficie,hectáreas,Agencia Información,Gobiernos locales,Parques Urbanos,Gestión Municipal Territorial"/>
    <s v="https://analytics.zoho.com/open-view/2395394000008478071?ZOHO_CRITERIA=%22Localiza%20CL%22.%22Codreg%22%20%3D%204"/>
    <x v="21"/>
    <s v="#1774B190"/>
  </r>
  <r>
    <s v="1570"/>
    <n v="990"/>
    <s v="Agencia Información"/>
    <s v="Gobiernos locales"/>
    <n v="5"/>
    <x v="66"/>
    <x v="24"/>
    <x v="1"/>
    <x v="5"/>
    <x v="3"/>
    <x v="86"/>
    <s v="Año 2019"/>
    <s v="Hectáreas"/>
    <s v="Sistema Nacional de Información Municipal"/>
    <s v="Superficie de Parques Urbanos en la Región de Valparaíso en el año 2019"/>
    <s v="En la región de Valparaíso, el año 2019, las comunas de Viña del Mar y Quillota destacan por tener mayor superficie de parques urbanos. El máximo se observa en Viña del Mar con 56,70 ha, seguido de Quillota con 19,77 ha."/>
    <s v="Mapa de calor"/>
    <s v="Región de Valparaíso,comunas,comunal,parques,urbanos,municipal,municipio,superficie,hectáreas,Agencia Información,Gobiernos locales,Parques Urbanos,Gestión Municipal Territorial"/>
    <s v="https://analytics.zoho.com/open-view/2395394000008478071?ZOHO_CRITERIA=%22Localiza%20CL%22.%22Codreg%22%20%3D%205"/>
    <x v="22"/>
    <s v="#1774B191"/>
  </r>
  <r>
    <s v="1571"/>
    <n v="990"/>
    <s v="Agencia Información"/>
    <s v="Gobiernos locales"/>
    <n v="6"/>
    <x v="66"/>
    <x v="24"/>
    <x v="1"/>
    <x v="6"/>
    <x v="3"/>
    <x v="86"/>
    <s v="Año 2019"/>
    <s v="Hectáreas"/>
    <s v="Sistema Nacional de Información Municipal"/>
    <s v="Superficie de Parques Urbanos en la Región de O'Higgins en el año 2019"/>
    <s v="En la región de O'Higgins, el año 2019, las comunas de Rancagua y Santa Cruz destacan por tener mayor superficie de parques urbanos. El máximo se observa en Rancagua con 29,89 ha, seguido de Santa Cruz con 24,00 ha."/>
    <s v="Mapa de calor"/>
    <s v="Región de O'Higgins,comunas,comunal,parques,urbanos,municipal,municipio,superficie,hectáreas,Agencia Información,Gobiernos locales,Parques Urbanos,Gestión Municipal Territorial"/>
    <s v="https://analytics.zoho.com/open-view/2395394000008478071?ZOHO_CRITERIA=%22Localiza%20CL%22.%22Codreg%22%20%3D%206"/>
    <x v="23"/>
    <s v="#1774B192"/>
  </r>
  <r>
    <s v="1572"/>
    <n v="990"/>
    <s v="Agencia Información"/>
    <s v="Gobiernos locales"/>
    <n v="7"/>
    <x v="66"/>
    <x v="24"/>
    <x v="1"/>
    <x v="7"/>
    <x v="3"/>
    <x v="86"/>
    <s v="Año 2019"/>
    <s v="Hectáreas"/>
    <s v="Sistema Nacional de Información Municipal"/>
    <s v="Superficie de Parques Urbanos en la Región de Maule en el año 2019"/>
    <s v="En la región de Maule, el año 2019, las comunas de Chanco y Talca destacan por tener mayor superficie de parques urbanos. El máximo se observa en Chanco con 190,00 ha, seguido de Talca con 46,27 ha."/>
    <s v="Mapa de calor"/>
    <s v="Región de Maule,comunas,comunal,parques,urbanos,municipal,municipio,superficie,hectáreas,Agencia Información,Gobiernos locales,Parques Urbanos,Gestión Municipal Territorial"/>
    <s v="https://analytics.zoho.com/open-view/2395394000008478071?ZOHO_CRITERIA=%22Localiza%20CL%22.%22Codreg%22%20%3D%207"/>
    <x v="24"/>
    <s v="#1774B193"/>
  </r>
  <r>
    <s v="1573"/>
    <n v="990"/>
    <s v="Agencia Información"/>
    <s v="Gobiernos locales"/>
    <n v="8"/>
    <x v="66"/>
    <x v="24"/>
    <x v="1"/>
    <x v="8"/>
    <x v="3"/>
    <x v="86"/>
    <s v="Año 2019"/>
    <s v="Hectáreas"/>
    <s v="Sistema Nacional de Información Municipal"/>
    <s v="Superficie de Parques Urbanos en la Región del Biobío en el año 2019"/>
    <s v="En la región del Biobío, el año 2019, las comunas de Talcahuano y Los Ángeles destacan por tener mayor superficie de parques urbanos. El máximo se observa en Talcahuano con 38,07 ha, seguido de Los Ángeles con 32,78 ha."/>
    <s v="Mapa de calor"/>
    <s v="Región del Biobío,comunas,comunal,parques,urbanos,municipal,municipio,superficie,hectáreas,Agencia Información,Gobiernos locales,Parques Urbanos,Gestión Municipal Territorial"/>
    <s v="https://analytics.zoho.com/open-view/2395394000008478071?ZOHO_CRITERIA=%22Localiza%20CL%22.%22Codreg%22%20%3D%208"/>
    <x v="25"/>
    <s v="#1774B194"/>
  </r>
  <r>
    <s v="1574"/>
    <n v="990"/>
    <s v="Agencia Información"/>
    <s v="Gobiernos locales"/>
    <n v="9"/>
    <x v="66"/>
    <x v="24"/>
    <x v="1"/>
    <x v="9"/>
    <x v="3"/>
    <x v="86"/>
    <s v="Año 2019"/>
    <s v="Hectáreas"/>
    <s v="Sistema Nacional de Información Municipal"/>
    <s v="Superficie de Parques Urbanos en la Región de La Araucanía en el año 2019"/>
    <s v="En la región de La Araucanía, el año 2019, las comunas de Lautaro y Temuco destacan por tener mayor superficie de parques urbanos. El máximo se observa en Lautaro con 38,00 ha, seguido de Temuco con 27,63 ha."/>
    <s v="Mapa de calor"/>
    <s v="Región de La Araucanía,comunas,comunal,parques,urbanos,municipal,municipio,superficie,hectáreas,Agencia Información,Gobiernos locales,Parques Urbanos,Gestión Municipal Territorial"/>
    <s v="https://analytics.zoho.com/open-view/2395394000008478071?ZOHO_CRITERIA=%22Localiza%20CL%22.%22Codreg%22%20%3D%209"/>
    <x v="26"/>
    <s v="#1774B195"/>
  </r>
  <r>
    <s v="1575"/>
    <n v="990"/>
    <s v="Agencia Información"/>
    <s v="Gobiernos locales"/>
    <n v="10"/>
    <x v="66"/>
    <x v="24"/>
    <x v="1"/>
    <x v="10"/>
    <x v="3"/>
    <x v="86"/>
    <s v="Año 2019"/>
    <s v="Hectáreas"/>
    <s v="Sistema Nacional de Información Municipal"/>
    <s v="Superficie de Parques Urbanos en la Región de Los Lagos en el año 2019"/>
    <s v="En la región de Los Lagos, el año 2019, las comunas de Osorno y Maullín destacan por tener mayor superficie de parques urbanos. El máximo se observa en Osorno con 55,98 ha, seguido de Maullín con 18,52 ha."/>
    <s v="Mapa de calor"/>
    <s v="Región de Los Lagos,comunas,comunal,parques,urbanos,municipal,municipio,superficie,hectáreas,Agencia Información,Gobiernos locales,Parques Urbanos,Gestión Municipal Territorial"/>
    <s v="https://analytics.zoho.com/open-view/2395394000008478071?ZOHO_CRITERIA=%22Localiza%20CL%22.%22Codreg%22%20%3D%2010"/>
    <x v="27"/>
    <s v="#1774B196"/>
  </r>
  <r>
    <s v="1576"/>
    <n v="990"/>
    <s v="Agencia Información"/>
    <s v="Gobiernos locales"/>
    <n v="11"/>
    <x v="66"/>
    <x v="24"/>
    <x v="1"/>
    <x v="11"/>
    <x v="3"/>
    <x v="86"/>
    <s v="Año 2019"/>
    <s v="Hectáreas"/>
    <s v="Sistema Nacional de Información Municipal"/>
    <s v="Superficie de Parques Urbanos en la Región de Aysén en el año 2019"/>
    <s v="En la región de Aysén, el año 2019, las comunas de Cochrane y Lago Verde destacan por tener mayor superficie de parques urbanos. El máximo se observa en Cochrane con 4,57 ha, seguido de Lago Verde con 2,14 ha."/>
    <s v="Mapa de calor"/>
    <s v="Región de Aysén,comunas,comunal,parques,urbanos,municipal,municipio,superficie,hectáreas,Agencia Información,Gobiernos locales,Parques Urbanos,Gestión Municipal Territorial"/>
    <s v="https://analytics.zoho.com/open-view/2395394000008478071?ZOHO_CRITERIA=%22Localiza%20CL%22.%22Codreg%22%20%3D%2011"/>
    <x v="33"/>
    <s v="#1774B197"/>
  </r>
  <r>
    <s v="1577"/>
    <n v="990"/>
    <s v="Agencia Información"/>
    <s v="Gobiernos locales"/>
    <n v="12"/>
    <x v="66"/>
    <x v="24"/>
    <x v="1"/>
    <x v="12"/>
    <x v="3"/>
    <x v="86"/>
    <s v="Año 2019"/>
    <s v="Hectáreas"/>
    <s v="Sistema Nacional de Información Municipal"/>
    <s v="Superficie de Parques Urbanos en la Región de Magallanes en el año 2019"/>
    <s v="En la región de Magallanes, el año 2019, las comunas de Cabo de Hornos y Punta Arenas destacan por tener mayor superficie de parques urbanos. El máximo se observa en Cabo de Hornos con 1.687,91 ha, seguido de Punta Arenas con 29,03 ha."/>
    <s v="Mapa de calor"/>
    <s v="Región de Magallanes,comunas,comunal,parques,urbanos,municipal,municipio,superficie,hectáreas,Agencia Información,Gobiernos locales,Parques Urbanos,Gestión Municipal Territorial"/>
    <s v="https://analytics.zoho.com/open-view/2395394000008478071?ZOHO_CRITERIA=%22Localiza%20CL%22.%22Codreg%22%20%3D%2012"/>
    <x v="28"/>
    <s v="#1774B198"/>
  </r>
  <r>
    <s v="1578"/>
    <n v="990"/>
    <s v="Agencia Información"/>
    <s v="Gobiernos locales"/>
    <n v="13"/>
    <x v="66"/>
    <x v="24"/>
    <x v="1"/>
    <x v="13"/>
    <x v="3"/>
    <x v="86"/>
    <s v="Año 2019"/>
    <s v="Hectáreas"/>
    <s v="Sistema Nacional de Información Municipal"/>
    <s v="Superficie de Parques Urbanos en la Región Metropolitana en el año 2019"/>
    <s v="En la región Metropolitana, el año 2019, las comunas de Huechuraba y Santiago destacan por tener mayor superficie de parques urbanos. El máximo se observa en Huechuraba con 188,14 ha, seguido de Santiago con 157,80 ha."/>
    <s v="Mapa de calor"/>
    <s v="Región Metropolitana,comunas,comunal,parques,urbanos,municipal,municipio,superficie,hectáreas,Agencia Información,Gobiernos locales,Parques Urbanos,Gestión Municipal Territorial"/>
    <s v="https://analytics.zoho.com/open-view/2395394000008478071?ZOHO_CRITERIA=%22Localiza%20CL%22.%22Codreg%22%20%3D%2013"/>
    <x v="29"/>
    <s v="#1774B199"/>
  </r>
  <r>
    <s v="1579"/>
    <n v="990"/>
    <s v="Agencia Información"/>
    <s v="Gobiernos locales"/>
    <n v="14"/>
    <x v="66"/>
    <x v="24"/>
    <x v="1"/>
    <x v="14"/>
    <x v="3"/>
    <x v="86"/>
    <s v="Año 2019"/>
    <s v="Hectáreas"/>
    <s v="Sistema Nacional de Información Municipal"/>
    <s v="Superficie de Parques Urbanos en la Región de Los Ríos en el año 2019"/>
    <s v="En la región de Los Ríos, el año 2019, las comunas de Valdivia y Máfil destacan por tener mayor superficie de parques urbanos. El máximo se observa en Valdivia con 32,24 ha, seguido de Máfil con 10,00 ha."/>
    <s v="Mapa de calor"/>
    <s v="Región de Los Ríos,comunas,comunal,parques,urbanos,municipal,municipio,superficie,hectáreas,Agencia Información,Gobiernos locales,Parques Urbanos,Gestión Municipal Territorial"/>
    <s v="https://analytics.zoho.com/open-view/2395394000008478071?ZOHO_CRITERIA=%22Localiza%20CL%22.%22Codreg%22%20%3D%2014"/>
    <x v="30"/>
    <s v="#1774B200"/>
  </r>
  <r>
    <s v="1580"/>
    <n v="990"/>
    <s v="Agencia Información"/>
    <s v="Gobiernos locales"/>
    <n v="15"/>
    <x v="66"/>
    <x v="24"/>
    <x v="1"/>
    <x v="15"/>
    <x v="3"/>
    <x v="86"/>
    <s v="Año 2019"/>
    <s v="Hectáreas"/>
    <s v="Sistema Nacional de Información Municipal"/>
    <s v="Superficie de Parques Urbanos en la Región de Arica y Parinacota en el año 2019"/>
    <s v="En la región de Arica y Parinacota, el año 2019, la comuna de Arica destaca por tener mayor superficie de parques urbanos. El máximo se observa en esta comuna con 15,32 ha."/>
    <s v="Mapa de calor"/>
    <s v="Región de Arica y Parinacota,comunas,comunal,parques,urbanos,municipal,municipio,superficie,hectáreas,Agencia Información,Gobiernos locales,Parques Urbanos,Gestión Municipal Territorial"/>
    <s v="https://analytics.zoho.com/open-view/2395394000008478071?ZOHO_CRITERIA=%22Localiza%20CL%22.%22Codreg%22%20%3D%2015"/>
    <x v="31"/>
    <s v="#1774B201"/>
  </r>
  <r>
    <s v="1581"/>
    <n v="990"/>
    <s v="Agencia Información"/>
    <s v="Gobiernos locales"/>
    <n v="16"/>
    <x v="66"/>
    <x v="24"/>
    <x v="1"/>
    <x v="16"/>
    <x v="3"/>
    <x v="86"/>
    <s v="Año 2019"/>
    <s v="Hectáreas"/>
    <s v="Sistema Nacional de Información Municipal"/>
    <s v="Superficie de Parques Urbanos en la Región de Ñuble en el año 2019"/>
    <s v="En la región de Ñuble, el año 2019, las comunas de San Carlos y Chillán destacan por tener mayor superficie de parques urbanos. El máximo se observa en San Carlos con 8,22 ha, seguido de Chillán con 7,10 ha."/>
    <s v="Mapa de calor"/>
    <s v="Región de Ñuble,comunas,comunal,parques,urbanos,municipal,municipio,superficie,hectáreas,Agencia Información,Gobiernos locales,Parques Urbanos,Gestión Municipal Territorial"/>
    <s v="https://analytics.zoho.com/open-view/2395394000008478071?ZOHO_CRITERIA=%22Localiza%20CL%22.%22Codreg%22%20%3D%2016"/>
    <x v="32"/>
    <s v="#1774B202"/>
  </r>
  <r>
    <s v="1582"/>
    <n v="990"/>
    <s v="Agencia Información"/>
    <s v="Gobiernos locales"/>
    <n v="0"/>
    <x v="67"/>
    <x v="24"/>
    <x v="0"/>
    <x v="0"/>
    <x v="2"/>
    <x v="87"/>
    <s v="Año 2019"/>
    <s v="Hectáreas"/>
    <s v="Sistema Nacional de Información Municipal"/>
    <s v="Superficie de Plazas Públicas en Chile en el año 2019"/>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nacional,comunas,comunal,plazas,públicas,municipal,municipio,superficie,hectáreas,Agencia Información,Gobiernos locales,Plazas Públicas,Gestión Municipal Territorial"/>
    <s v="https://analytics.zoho.com/open-view/2395394000008183474"/>
    <x v="17"/>
    <s v="#1774B203"/>
  </r>
  <r>
    <s v="1583"/>
    <n v="990"/>
    <s v="Agencia Información"/>
    <s v="Gobiernos locales"/>
    <n v="1"/>
    <x v="67"/>
    <x v="24"/>
    <x v="1"/>
    <x v="1"/>
    <x v="3"/>
    <x v="87"/>
    <s v="Año 2019"/>
    <s v="Hectáreas"/>
    <s v="Sistema Nacional de Información Municipal"/>
    <s v="Superficie de Plazas Públicas en la Región de Tarapacá en el año 2019"/>
    <s v="En la región de Tarapacá, el año 2019, las comunas de Alto Hospicio e Iquique destacan por tener mayor superficie de plazas públicas. El máximo se observa en Alto Hospicio con 13,03 ha, seguido de Iquique con 5,85 ha."/>
    <s v="Mapa de calor"/>
    <s v="Región de Tarapacá,comunas,comunal,plazas,públicas,municipal,municipio,superficie,hectáreas,Agencia Información,Gobiernos locales,Plazas Públicas,Gestión Municipal Territorial"/>
    <s v="https://analytics.zoho.com/open-view/2395394000008478183?ZOHO_CRITERIA=%22Localiza%20CL%22.%22Codreg%22%20%3D%201"/>
    <x v="18"/>
    <s v="#1774B204"/>
  </r>
  <r>
    <s v="1584"/>
    <n v="990"/>
    <s v="Agencia Información"/>
    <s v="Gobiernos locales"/>
    <n v="2"/>
    <x v="67"/>
    <x v="24"/>
    <x v="1"/>
    <x v="2"/>
    <x v="3"/>
    <x v="87"/>
    <s v="Año 2019"/>
    <s v="Hectáreas"/>
    <s v="Sistema Nacional de Información Municipal"/>
    <s v="Superficie de Plazas Públicas en la Región de Antofagasta en el año 2019"/>
    <s v="En la región de Antofagasta, el año 2019, las comunas de Antofagasta y Calama destacan por tener mayor superficie de plazas públicas. El máximo se observa en Antofagasta con 40,98 ha, seguido de Calama con 28,32 ha."/>
    <s v="Mapa de calor"/>
    <s v="Región de Antofagasta,comunas,comunal,plazas,públicas,municipal,municipio,superficie,hectáreas,Agencia Información,Gobiernos locales,Plazas Públicas,Gestión Municipal Territorial"/>
    <s v="https://analytics.zoho.com/open-view/2395394000008478183?ZOHO_CRITERIA=%22Localiza%20CL%22.%22Codreg%22%20%3D%202"/>
    <x v="19"/>
    <s v="#1774B205"/>
  </r>
  <r>
    <s v="1585"/>
    <n v="990"/>
    <s v="Agencia Información"/>
    <s v="Gobiernos locales"/>
    <n v="3"/>
    <x v="67"/>
    <x v="24"/>
    <x v="1"/>
    <x v="3"/>
    <x v="3"/>
    <x v="87"/>
    <s v="Año 2019"/>
    <s v="Hectáreas"/>
    <s v="Sistema Nacional de Información Municipal"/>
    <s v="Superficie de Plazas Públicas en la Región de Atacama en el año 2019"/>
    <s v="En la región de Atacama, el año 2019, las comunas de Caldera y Vallenar destacan por tener mayor superficie de plazas públicas. El máximo se observa en Caldera con 17,04 ha, seguido de Vallenar con 10,22 ha."/>
    <s v="Mapa de calor"/>
    <s v="Región de Atacama,comunas,comunal,plazas,públicas,municipal,municipio,superficie,hectáreas,Agencia Información,Gobiernos locales,Plazas Públicas,Gestión Municipal Territorial"/>
    <s v="https://analytics.zoho.com/open-view/2395394000008478183?ZOHO_CRITERIA=%22Localiza%20CL%22.%22Codreg%22%20%3D%203"/>
    <x v="20"/>
    <s v="#1774B206"/>
  </r>
  <r>
    <s v="1586"/>
    <n v="990"/>
    <s v="Agencia Información"/>
    <s v="Gobiernos locales"/>
    <n v="4"/>
    <x v="67"/>
    <x v="24"/>
    <x v="1"/>
    <x v="4"/>
    <x v="3"/>
    <x v="87"/>
    <s v="Año 2019"/>
    <s v="Hectáreas"/>
    <s v="Sistema Nacional de Información Municipal"/>
    <s v="Superficie de Plazas Públicas en la Región de Coquimbo en el año 2019"/>
    <s v="En la región de Coquimbo, el año 2019, las comunas de Coquimbo y La Serena destacan por tener mayor superficie de plazas públicas. El máximo se observa en Coquimbo con 149,92 ha, seguido de La Serena con 94,15 ha."/>
    <s v="Mapa de calor"/>
    <s v="Región de Coquimbo,comunas,comunal,plazas,públicas,municipal,municipio,superficie,hectáreas,Agencia Información,Gobiernos locales,Plazas Públicas,Gestión Municipal Territorial"/>
    <s v="https://analytics.zoho.com/open-view/2395394000008478183?ZOHO_CRITERIA=%22Localiza%20CL%22.%22Codreg%22%20%3D%204"/>
    <x v="21"/>
    <s v="#1774B207"/>
  </r>
  <r>
    <s v="1587"/>
    <n v="990"/>
    <s v="Agencia Información"/>
    <s v="Gobiernos locales"/>
    <n v="5"/>
    <x v="67"/>
    <x v="24"/>
    <x v="1"/>
    <x v="5"/>
    <x v="3"/>
    <x v="87"/>
    <s v="Año 2019"/>
    <s v="Hectáreas"/>
    <s v="Sistema Nacional de Información Municipal"/>
    <s v="Superficie de Plazas Públicas en la Región de Valparaíso en el año 2019"/>
    <s v="En la región de Valparaíso, el año 2019, las comunas de Viña del Mar y Valparaíso destacan por tener mayor superficie de plazas públicas. El máximo se observa en Viña del Mar con 80,99 ha, seguido de Valparaíso con 46,45 ha."/>
    <s v="Mapa de calor"/>
    <s v="Región de Valparaíso,comunas,comunal,plazas,públicas,municipal,municipio,superficie,hectáreas,Agencia Información,Gobiernos locales,Plazas Públicas,Gestión Municipal Territorial"/>
    <s v="https://analytics.zoho.com/open-view/2395394000008478183?ZOHO_CRITERIA=%22Localiza%20CL%22.%22Codreg%22%20%3D%205"/>
    <x v="22"/>
    <s v="#1774B208"/>
  </r>
  <r>
    <s v="1588"/>
    <n v="990"/>
    <s v="Agencia Información"/>
    <s v="Gobiernos locales"/>
    <n v="6"/>
    <x v="67"/>
    <x v="24"/>
    <x v="1"/>
    <x v="6"/>
    <x v="3"/>
    <x v="87"/>
    <s v="Año 2019"/>
    <s v="Hectáreas"/>
    <s v="Sistema Nacional de Información Municipal"/>
    <s v="Superficie de Plazas Públicas en la Región de O'Higgins en el año 2019"/>
    <s v="En la región de Ohiggins, el año 2019, las comunas de Rancagua y Machalí destacan por tener mayor superficie de plazas públicas. El máximo se observa en Rancagua con 162,89 ha, seguido de Machalí con 38,60 ha."/>
    <s v="Mapa de calor"/>
    <s v="Región de O'Higgins,comunas,comunal,plazas,públicas,municipal,municipio,superficie,hectáreas,Agencia Información,Gobiernos locales,Plazas Públicas,Gestión Municipal Territorial"/>
    <s v="https://analytics.zoho.com/open-view/2395394000008478183?ZOHO_CRITERIA=%22Localiza%20CL%22.%22Codreg%22%20%3D%206"/>
    <x v="23"/>
    <s v="#1774B209"/>
  </r>
  <r>
    <s v="1589"/>
    <n v="990"/>
    <s v="Agencia Información"/>
    <s v="Gobiernos locales"/>
    <n v="7"/>
    <x v="67"/>
    <x v="24"/>
    <x v="1"/>
    <x v="7"/>
    <x v="3"/>
    <x v="87"/>
    <s v="Año 2019"/>
    <s v="Hectáreas"/>
    <s v="Sistema Nacional de Información Municipal"/>
    <s v="Superficie de Plazas Públicas en la Región de Maule en el año 2019"/>
    <s v="En la región de Maule, el año 2019, las comunas de Talca y Curicó destacan por tener mayor superficie de plazas públicas. El máximo se observa en Talca con 132,96 ha, seguido de Curicó con 71,18 ha."/>
    <s v="Mapa de calor"/>
    <s v="Región de Maule,comunas,comunal,plazas,públicas,municipal,municipio,superficie,hectáreas,Agencia Información,Gobiernos locales,Plazas Públicas,Gestión Municipal Territorial"/>
    <s v="https://analytics.zoho.com/open-view/2395394000008478183?ZOHO_CRITERIA=%22Localiza%20CL%22.%22Codreg%22%20%3D%207"/>
    <x v="24"/>
    <s v="#1774B210"/>
  </r>
  <r>
    <s v="1590"/>
    <n v="990"/>
    <s v="Agencia Información"/>
    <s v="Gobiernos locales"/>
    <n v="8"/>
    <x v="67"/>
    <x v="24"/>
    <x v="1"/>
    <x v="8"/>
    <x v="3"/>
    <x v="87"/>
    <s v="Año 2019"/>
    <s v="Hectáreas"/>
    <s v="Sistema Nacional de Información Municipal"/>
    <s v="Superficie de Plazas Públicas en la Región del Biobío en el año 2019"/>
    <s v="En la región de Biobío, el año 2019, las comunas de San Pedro de la Paz y Los Ángeles destacan por tener mayor superficie de plazas públicas. El máximo se observa en San Pedro de la Paz con 126,54 ha, seguido de Los Ángeles con 97,76 ha."/>
    <s v="Mapa de calor"/>
    <s v="Región del Biobío,comunas,comunal,plazas,públicas,municipal,municipio,superficie,hectáreas,Agencia Información,Gobiernos locales,Plazas Públicas,Gestión Municipal Territorial"/>
    <s v="https://analytics.zoho.com/open-view/2395394000008478183?ZOHO_CRITERIA=%22Localiza%20CL%22.%22Codreg%22%20%3D%208"/>
    <x v="25"/>
    <s v="#1774B211"/>
  </r>
  <r>
    <s v="1591"/>
    <n v="990"/>
    <s v="Agencia Información"/>
    <s v="Gobiernos locales"/>
    <n v="9"/>
    <x v="67"/>
    <x v="24"/>
    <x v="1"/>
    <x v="9"/>
    <x v="3"/>
    <x v="87"/>
    <s v="Año 2019"/>
    <s v="Hectáreas"/>
    <s v="Sistema Nacional de Información Municipal"/>
    <s v="Superficie de Plazas Públicas en la Región de La Araucanía en el año 2019"/>
    <s v="En la región de Araucanía, el año 2019, las comunas de Villarrica y Angol destacan por tener mayor superficie de plazas públicas. El máximo se observa en Villarrica con 22,39 ha, seguido de Angol con 20,90 ha."/>
    <s v="Mapa de calor"/>
    <s v="Región de La Araucanía,comunas,comunal,plazas,públicas,municipal,municipio,superficie,hectáreas,Agencia Información,Gobiernos locales,Plazas Públicas,Gestión Municipal Territorial"/>
    <s v="https://analytics.zoho.com/open-view/2395394000008478183?ZOHO_CRITERIA=%22Localiza%20CL%22.%22Codreg%22%20%3D%209"/>
    <x v="26"/>
    <s v="#1774B212"/>
  </r>
  <r>
    <s v="1592"/>
    <n v="990"/>
    <s v="Agencia Información"/>
    <s v="Gobiernos locales"/>
    <n v="10"/>
    <x v="67"/>
    <x v="24"/>
    <x v="1"/>
    <x v="10"/>
    <x v="3"/>
    <x v="87"/>
    <s v="Año 2019"/>
    <s v="Hectáreas"/>
    <s v="Sistema Nacional de Información Municipal"/>
    <s v="Superficie de Plazas Públicas en la Región de Los Lagos en el año 2019"/>
    <s v="En la región de Los Lagos, el año 2019, las comunas de Puerto Montt y Osorno destacan por tener mayor superficie de plazas públicas. El máximo se observa en Puerto Montt con 88,24 ha, seguido de Osorno con 63,33 ha."/>
    <s v="Mapa de calor"/>
    <s v="Región de Los Lagos,comunas,comunal,plazas,públicas,municipal,municipio,superficie,hectáreas,Agencia Información,Gobiernos locales,Plazas Públicas,Gestión Municipal Territorial"/>
    <s v="https://analytics.zoho.com/open-view/2395394000008478183?ZOHO_CRITERIA=%22Localiza%20CL%22.%22Codreg%22%20%3D%2010"/>
    <x v="27"/>
    <s v="#1774B213"/>
  </r>
  <r>
    <s v="1593"/>
    <n v="990"/>
    <s v="Agencia Información"/>
    <s v="Gobiernos locales"/>
    <n v="11"/>
    <x v="67"/>
    <x v="24"/>
    <x v="1"/>
    <x v="11"/>
    <x v="3"/>
    <x v="87"/>
    <s v="Año 2019"/>
    <s v="Hectáreas"/>
    <s v="Sistema Nacional de Información Municipal"/>
    <s v="Superficie de Plazas Públicas en la Región de Aysén en el año 2019"/>
    <s v="En la región de Aysén, el año 2019, las comunas de Coihaique y Chile Chico destacan por tener mayor superficie de plazas públicas. El máximo se observa en Coihaique con 41,87 ha, seguido de Chile Chico con 4,91 ha."/>
    <s v="Mapa de calor"/>
    <s v="Región de Aysén,comunas,comunal,plazas,públicas,municipal,municipio,superficie,hectáreas,Agencia Información,Gobiernos locales,Plazas Públicas,Gestión Municipal Territorial"/>
    <s v="https://analytics.zoho.com/open-view/2395394000008478183?ZOHO_CRITERIA=%22Localiza%20CL%22.%22Codreg%22%20%3D%2011"/>
    <x v="33"/>
    <s v="#1774B214"/>
  </r>
  <r>
    <s v="1594"/>
    <n v="990"/>
    <s v="Agencia Información"/>
    <s v="Gobiernos locales"/>
    <n v="12"/>
    <x v="67"/>
    <x v="24"/>
    <x v="1"/>
    <x v="12"/>
    <x v="3"/>
    <x v="87"/>
    <s v="Año 2019"/>
    <s v="Hectáreas"/>
    <s v="Sistema Nacional de Información Municipal"/>
    <s v="Superficie de Plazas Públicas en la Región de Magallanes en el año 2019"/>
    <s v="En la región de Magallanes, el año 2019, las comunas de Natales y Punta Arenas destacan por tener mayor superficie de plazas públicas. El máximo se observa en Natales con 9,45 ha, seguido de Punta Arenas con 2,80 ha."/>
    <s v="Mapa de calor"/>
    <s v="Región de Magallanes,comunas,comunal,plazas,públicas,municipal,municipio,superficie,hectáreas,Agencia Información,Gobiernos locales,Plazas Públicas,Gestión Municipal Territorial"/>
    <s v="https://analytics.zoho.com/open-view/2395394000008478183?ZOHO_CRITERIA=%22Localiza%20CL%22.%22Codreg%22%20%3D%2012"/>
    <x v="28"/>
    <s v="#1774B215"/>
  </r>
  <r>
    <s v="1595"/>
    <n v="990"/>
    <s v="Agencia Información"/>
    <s v="Gobiernos locales"/>
    <n v="13"/>
    <x v="67"/>
    <x v="24"/>
    <x v="1"/>
    <x v="13"/>
    <x v="3"/>
    <x v="87"/>
    <s v="Año 2019"/>
    <s v="Hectáreas"/>
    <s v="Sistema Nacional de Información Municipal"/>
    <s v="Superficie de Plazas Públicas en la Región Metropolitana en el año 2019"/>
    <s v="En la región Metropolitana, el año 2019, las comunas de Maipú y Puente Alto destacan por tener mayor superficie de plazas públicas. El máximo se observa en Maipú con 266,11 ha, seguido de Puente Alto con 257,67 ha."/>
    <s v="Mapa de calor"/>
    <s v="Región Metropolitana,comunas,comunal,plazas,públicas,municipal,municipio,superficie,hectáreas,Agencia Información,Gobiernos locales,Plazas Públicas,Gestión Municipal Territorial"/>
    <s v="https://analytics.zoho.com/open-view/2395394000008478183?ZOHO_CRITERIA=%22Localiza%20CL%22.%22Codreg%22%20%3D%2013"/>
    <x v="29"/>
    <s v="#1774B216"/>
  </r>
  <r>
    <s v="1596"/>
    <n v="990"/>
    <s v="Agencia Información"/>
    <s v="Gobiernos locales"/>
    <n v="14"/>
    <x v="67"/>
    <x v="24"/>
    <x v="1"/>
    <x v="14"/>
    <x v="3"/>
    <x v="87"/>
    <s v="Año 2019"/>
    <s v="Hectáreas"/>
    <s v="Sistema Nacional de Información Municipal"/>
    <s v="Superficie de Plazas Públicas en la Región de Los Ríos en el año 2019"/>
    <s v="En la región de Los Ríos, el año 2019, las comunas de La Unión y Valdivia destacan por tener mayor superficie de plazas públicas. El máximo se observa en La Unión con 22,57 ha, seguido de Valdivia con 11,21 ha."/>
    <s v="Mapa de calor"/>
    <s v="Región de Los Ríos,comunas,comunal,plazas,públicas,municipal,municipio,superficie,hectáreas,Agencia Información,Gobiernos locales,Plazas Públicas,Gestión Municipal Territorial"/>
    <s v="https://analytics.zoho.com/open-view/2395394000008478183?ZOHO_CRITERIA=%22Localiza%20CL%22.%22Codreg%22%20%3D%2014"/>
    <x v="30"/>
    <s v="#1774B217"/>
  </r>
  <r>
    <s v="1597"/>
    <n v="990"/>
    <s v="Agencia Información"/>
    <s v="Gobiernos locales"/>
    <n v="15"/>
    <x v="67"/>
    <x v="24"/>
    <x v="1"/>
    <x v="15"/>
    <x v="3"/>
    <x v="87"/>
    <s v="Año 2019"/>
    <s v="Hectáreas"/>
    <s v="Sistema Nacional de Información Municipal"/>
    <s v="Superficie de Plazas Públicas en la Región de Arica y Parinacota en el año 2019"/>
    <s v="En la región de Arica y Parinacota, el año 2019, las comunas de Arica y Putre destacan por tener mayor superficie de plazas públicas. El máximo se observa en Arica con 35,83 ha, seguido de Putre con 1,24 ha."/>
    <s v="Mapa de calor"/>
    <s v="Región de Arica y Parinacota,comunas,comunal,plazas,públicas,municipal,municipio,superficie,hectáreas,Agencia Información,Gobiernos locales,Plazas Públicas,Gestión Municipal Territorial"/>
    <s v="https://analytics.zoho.com/open-view/2395394000008478183?ZOHO_CRITERIA=%22Localiza%20CL%22.%22Codreg%22%20%3D%2015}"/>
    <x v="31"/>
    <s v="#1774B218"/>
  </r>
  <r>
    <s v="1598"/>
    <n v="990"/>
    <s v="Agencia Información"/>
    <s v="Gobiernos locales"/>
    <n v="16"/>
    <x v="67"/>
    <x v="24"/>
    <x v="1"/>
    <x v="16"/>
    <x v="3"/>
    <x v="87"/>
    <s v="Año 2019"/>
    <s v="Hectáreas"/>
    <s v="Sistema Nacional de Información Municipal"/>
    <s v="Superficie de Plazas Públicas en la Región de Ñuble en el año 2019"/>
    <s v="En la región de Ñuble, el año 2019, las comunas de Chillán y San Carlos destacan por tener mayor superficie de plazas públicas. El máximo se observa en Chillán con 64,50 ha, seguido de San Carlos con 16,88 ha."/>
    <s v="Mapa de calor"/>
    <s v="Región de Ñuble,comunas,comunal,plazas,públicas,municipal,municipio,superficie,hectáreas,Agencia Información,Gobiernos locales,Plazas Públicas,Gestión Municipal Territorial"/>
    <s v="https://analytics.zoho.com/open-view/2395394000008478183?ZOHO_CRITERIA=%22Localiza%20CL%22.%22Codreg%22%20%3D%2016"/>
    <x v="32"/>
    <s v="#1774B219"/>
  </r>
  <r>
    <s v="1599"/>
    <n v="990"/>
    <s v="Agencia Información"/>
    <s v="Economía"/>
    <n v="0"/>
    <x v="23"/>
    <x v="26"/>
    <x v="0"/>
    <x v="0"/>
    <x v="8"/>
    <x v="82"/>
    <s v="Periodo 2015-2021"/>
    <s v="USD"/>
    <s v="Aduana de Chile"/>
    <s v="Evolución Mensual de Importaciones en Chile en el periodo 2015-2021"/>
    <s v="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
    <s v="Gráfico de Evolución"/>
    <s v="Chile,evolución,nacional,producto,importado,importación,comercio,exterior,internacional,valor,USD,dólar, dólares,mundial,minería,alimentos,fruta,Agencia Información,Economía,Importaciones,Comercio exterior"/>
    <s v="https://analytics.zoho.com/open-view/2395394000008193854"/>
    <x v="34"/>
    <s v="#1774B220"/>
  </r>
  <r>
    <s v="1600"/>
    <n v="990"/>
    <s v="Agencia Información"/>
    <s v="Economía"/>
    <n v="0"/>
    <x v="83"/>
    <x v="26"/>
    <x v="0"/>
    <x v="0"/>
    <x v="8"/>
    <x v="104"/>
    <s v="Periodo 2015-2021"/>
    <s v="USD"/>
    <s v="Aduana de Chile"/>
    <s v="Evolución Trimestral de Importaciones y Exportaciones en Chile en el periodo 2015-2021"/>
    <s v="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
    <s v="Gráfico de Evolución"/>
    <s v="Chile,evolución,nacional,trimestre,exportación,importación,comparación,comercio,exterior,internacional,valor,USD,dólar,dólares,Agencia Información,Economía,Importaciones y exportaciones,Comercio exterior"/>
    <s v="https://analytics.zoho.com/open-view/2395394000008205248"/>
    <x v="34"/>
    <s v="#1774B221"/>
  </r>
  <r>
    <s v="1601"/>
    <n v="990"/>
    <s v="Agencia Información"/>
    <s v="Economía"/>
    <n v="0"/>
    <x v="7"/>
    <x v="26"/>
    <x v="0"/>
    <x v="0"/>
    <x v="18"/>
    <x v="80"/>
    <s v="Periodo 2015-2021"/>
    <s v="USD"/>
    <s v="Servicio Nacional de Aduanas"/>
    <s v="Valor de exportaciones acumuladas por país de destino en el periodo 2015-2021 "/>
    <s v="Las exportaciones a China han significado una ganacia para Chile que supera los 141.000 millones de dólares, durante el periodo 2015 - 2021. En segundo lugar se encuentra Estados Unidos, superando 65.000 millones de USD. "/>
    <s v="Mapa de calor"/>
    <s v="Chile,nacional,exportación,comercio,exterior,internacional,valor,USD,dólar,dólares,mundial,China,Canadá,USA,Agencia Información,Economía,Exportaciones,Comercio exterior"/>
    <s v="https://analytics.zoho.com/open-view/2395394000008193221"/>
    <x v="34"/>
    <s v="#1774B222"/>
  </r>
  <r>
    <s v="1602"/>
    <n v="990"/>
    <s v="Agencia Información"/>
    <s v="Economía"/>
    <n v="0"/>
    <x v="23"/>
    <x v="26"/>
    <x v="0"/>
    <x v="0"/>
    <x v="1"/>
    <x v="82"/>
    <s v="Año 2021"/>
    <s v="USD"/>
    <s v="Aduana de Chile"/>
    <s v="Valor de importaciones de alimentos por país de origen en el año 2021"/>
    <s v="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
    <s v="Mapa de calor"/>
    <s v="Chile,nacional,importación,comercio,exterior,internacional,valor,USD,dólar,dólares,mundial,Argentina,Brasil,USA,alimentos,país,origen,Agencia Información,Economía,Importaciones,Comercio exterior"/>
    <s v="https://analytics.zoho.com/open-view/2395394000008193416"/>
    <x v="34"/>
    <s v="#1774B223"/>
  </r>
  <r>
    <s v="1603"/>
    <n v="990"/>
    <s v="Agencia Información"/>
    <s v="Economía"/>
    <n v="0"/>
    <x v="7"/>
    <x v="26"/>
    <x v="0"/>
    <x v="0"/>
    <x v="15"/>
    <x v="80"/>
    <s v="Periodo 2015-2021"/>
    <s v="USD"/>
    <s v="Servicio Nacional de Aduanas"/>
    <s v="Evolución Trimestral de Exportaciones por Producto Minero en el Periodo 2015-2021 "/>
    <s v="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
    <s v="Gráfico de Evolución"/>
    <s v="Chileevolución,nacional,exportación,comercio,exterior,internacional,valor,USD,dólar,dólares,mundial,producto,minero,minería,detalle,cobre,Agencia Información,Economía,Exportaciones,Comercio exterior"/>
    <s v="https://analytics.zoho.com/open-view/2395394000008410521?ZOHO_CRITERIA=%22Pa%C3%ADs_Todo%22.%22id_TipoProducto%22%3D4"/>
    <x v="34"/>
    <s v="#1774B224"/>
  </r>
  <r>
    <s v="1604"/>
    <n v="990"/>
    <s v="Agencia Información"/>
    <s v="Economía"/>
    <n v="0"/>
    <x v="84"/>
    <x v="34"/>
    <x v="0"/>
    <x v="0"/>
    <x v="17"/>
    <x v="105"/>
    <s v="Periodo 2014-2021"/>
    <s v="Índice"/>
    <s v="Instituto Nacional de Estadísticas (INE)"/>
    <s v="Evolución del Índice de Producción Manufacturera (IPMan) a Escala Nacional"/>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Chile,índice,producción,manufacturera,manufactura,nacional,industria,evolución,productividad,Agencia Información,Economía,Producción Manufacturera,Economía"/>
    <s v="https://analytics.zoho.com/open-view/2395394000008742241"/>
    <x v="0"/>
    <s v="#1774B225"/>
  </r>
  <r>
    <s v="1605"/>
    <n v="990"/>
    <s v="Agencia Información"/>
    <s v="Economía"/>
    <n v="5"/>
    <x v="84"/>
    <x v="34"/>
    <x v="1"/>
    <x v="5"/>
    <x v="8"/>
    <x v="105"/>
    <s v="Periodo 2014-2021"/>
    <s v="Índice"/>
    <s v="Instituto Nacional de Estadísticas (INE)"/>
    <s v="Evolución del Índice de Producción Manufacturera (IPMan) en la Región de Valparaís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Región de Valparaíso,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5"/>
    <x v="5"/>
    <s v="#1774B226"/>
  </r>
  <r>
    <s v="1606"/>
    <n v="990"/>
    <s v="Agencia Información"/>
    <s v="Economía"/>
    <n v="6"/>
    <x v="84"/>
    <x v="34"/>
    <x v="1"/>
    <x v="6"/>
    <x v="8"/>
    <x v="105"/>
    <s v="Periodo 2014-2021"/>
    <s v="Índice"/>
    <s v="Instituto Nacional de Estadísticas (INE)"/>
    <s v="Evolución del Índice de Producción Manufacturera (IPMan) en la Región de O'Higgin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Región de O'Higgins,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6"/>
    <x v="6"/>
    <s v="#1774B227"/>
  </r>
  <r>
    <s v="1607"/>
    <n v="990"/>
    <s v="Agencia Información"/>
    <s v="Economía"/>
    <n v="8"/>
    <x v="84"/>
    <x v="34"/>
    <x v="1"/>
    <x v="8"/>
    <x v="8"/>
    <x v="105"/>
    <s v="Periodo 2014-2021"/>
    <s v="Índice"/>
    <s v="Instituto Nacional de Estadísticas (INE)"/>
    <s v="Evolución del Índice de Producción Manufacturera (IPMan) en la Región del Biobí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Región del Biobío,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8"/>
    <x v="8"/>
    <s v="#1774B228"/>
  </r>
  <r>
    <s v="1608"/>
    <n v="990"/>
    <s v="Agencia Información"/>
    <s v="Economía"/>
    <n v="9"/>
    <x v="84"/>
    <x v="34"/>
    <x v="1"/>
    <x v="9"/>
    <x v="8"/>
    <x v="105"/>
    <s v="Periodo 2014-2021"/>
    <s v="Índice"/>
    <s v="Instituto Nacional de Estadísticas (INE)"/>
    <s v="Evolución del Índice de Producción Manufacturera (IPMan) en la Región de La Araucanía"/>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Región de La Araucanía,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9"/>
    <x v="9"/>
    <s v="#1774B229"/>
  </r>
  <r>
    <s v="1609"/>
    <n v="990"/>
    <s v="Agencia Información"/>
    <s v="Economía"/>
    <n v="14"/>
    <x v="84"/>
    <x v="34"/>
    <x v="1"/>
    <x v="14"/>
    <x v="8"/>
    <x v="105"/>
    <s v="Periodo 2014-2021"/>
    <s v="Índice"/>
    <s v="Instituto Nacional de Estadísticas (INE)"/>
    <s v="Evolución del Índice de Producción Manufacturera (IPMan) en la Región de Los Río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Región de Los Ríos,índice,producción,manufacturera,manufactura,nacional,industria,evolución,productividad,Agencia Información,Economía,Producción Manufacturera,Economía"/>
    <s v="https://analytics.zoho.com/open-view/2395394000008742319?ZOHO_CRITERIA=%22Consolidado_Estadisticas_Regionales_New%22.%22C%C3%B3digo%20regi%C3%B3n%22%20%3D%2014"/>
    <x v="14"/>
    <s v="#1774B230"/>
  </r>
  <r>
    <s v="1610"/>
    <n v="990"/>
    <s v="Agencia Información"/>
    <s v="Economía"/>
    <n v="0"/>
    <x v="85"/>
    <x v="34"/>
    <x v="0"/>
    <x v="0"/>
    <x v="17"/>
    <x v="106"/>
    <s v="Periodo 2014-2021"/>
    <s v="Número de supermercados"/>
    <s v="Instituto Nacional de Estadísticas (INE)"/>
    <s v="Evolución del Número de establecimientos clasificados como supermercados, que cuentan con tres o más cajas instaladas a Escala Nacional"/>
    <s v="En enero de 2014, la cantidad de supermercados con 3 o más cajas instaladas era de 1.161, mientras que en marzo de 2021, era de 1.176. El mínimo se registró en noviembre de 2019, con 1.100 establecimientos, y el máximo en diciembre de 2015, con 1.229."/>
    <s v="Gráfico de Evolución"/>
    <s v="Chile,cantidad,supermercado,establecimientos,cajas,instaladas,nacional,Agencia Información,Economía,Supermercados,Economía"/>
    <s v="https://analytics.zoho.com/open-view/2395394000008715761"/>
    <x v="0"/>
    <s v="#1774B231"/>
  </r>
  <r>
    <s v="1611"/>
    <n v="990"/>
    <s v="Agencia Información"/>
    <s v="Economía"/>
    <n v="1"/>
    <x v="85"/>
    <x v="34"/>
    <x v="1"/>
    <x v="1"/>
    <x v="8"/>
    <x v="106"/>
    <s v="Periodo 2014-2021"/>
    <s v="Número de supermercados"/>
    <s v="Instituto Nacional de Estadísticas (INE)"/>
    <s v="Evolución del Número de establecimientos clasificados como supermercados, que cuentan con tres o más cajas instaladas en la Región de Tarapacá"/>
    <s v="En la Región de Tarapacá, en enero de 2014, la cantidad de supermercados con 3 o más cajas instaladas era de 13, mientras que en abril de 2021, era de 14. El promedio de supermercados en este período es de 14."/>
    <s v="Gráfico de Evolución"/>
    <s v="Región de Tarapacá,cantidad,supermercado,establecimientos,cajas,instaladas,nacional,Agencia Información,Economía,Supermercados,Economía"/>
    <s v="https://analytics.zoho.com/open-view/2395394000008715905?ZOHO_CRITERIA=%22Consolidado_Estadisticas_Regionales_New%22.%22C%C3%B3digo%20regi%C3%B3n%22%20%3D%201"/>
    <x v="1"/>
    <s v="#1774B232"/>
  </r>
  <r>
    <s v="1612"/>
    <n v="990"/>
    <s v="Agencia Información"/>
    <s v="Economía"/>
    <n v="2"/>
    <x v="85"/>
    <x v="34"/>
    <x v="1"/>
    <x v="2"/>
    <x v="8"/>
    <x v="106"/>
    <s v="Periodo 2014-2021"/>
    <s v="Número de supermercados"/>
    <s v="Instituto Nacional de Estadísticas (INE)"/>
    <s v="Evolución del Número de establecimientos clasificados como supermercados, que cuentan con tres o más cajas instaladas en la Región de Antofagasta"/>
    <s v="En la Región de Antofagasta, en enero de 2014, la cantidad de supermercados con 3 o más cajas instaladas era de 32, y en abril de 2021, era de 34. El promedio de supermercados en este período es de 34."/>
    <s v="Gráfico de Evolución"/>
    <s v="Región de Antofagasta,cantidad,supermercado,establecimientos,cajas,instaladas,nacional,Agencia Información,Economía,Supermercados,Economía"/>
    <s v="https://analytics.zoho.com/open-view/2395394000008715905?ZOHO_CRITERIA=%22Consolidado_Estadisticas_Regionales_New%22.%22C%C3%B3digo%20regi%C3%B3n%22%20%3D%202"/>
    <x v="2"/>
    <s v="#1774B233"/>
  </r>
  <r>
    <s v="1613"/>
    <n v="990"/>
    <s v="Agencia Información"/>
    <s v="Economía"/>
    <n v="3"/>
    <x v="85"/>
    <x v="34"/>
    <x v="1"/>
    <x v="3"/>
    <x v="8"/>
    <x v="106"/>
    <s v="Periodo 2014-2021"/>
    <s v="Número de supermercados"/>
    <s v="Instituto Nacional de Estadísticas (INE)"/>
    <s v="Evolución del Número de establecimientos clasificados como supermercados, que cuentan con tres o más cajas instaladas en la Región de Atacama"/>
    <s v="En la Región de Atacama, en enero de 2014, la cantidad de supermercados con 3 o más cajas instaladas era de 23, mientras que en abril de 2021, era de 26. El promedio de supermercados en este período es de 24."/>
    <s v="Gráfico de Evolución"/>
    <s v="Región de Atacama,cantidad,supermercado,establecimientos,cajas,instaladas,nacional,Agencia Información,Economía,Supermercados,Economía"/>
    <s v="https://analytics.zoho.com/open-view/2395394000008715905?ZOHO_CRITERIA=%22Consolidado_Estadisticas_Regionales_New%22.%22C%C3%B3digo%20regi%C3%B3n%22%20%3D%203"/>
    <x v="3"/>
    <s v="#1774B234"/>
  </r>
  <r>
    <s v="1614"/>
    <n v="990"/>
    <s v="Agencia Información"/>
    <s v="Economía"/>
    <n v="4"/>
    <x v="85"/>
    <x v="34"/>
    <x v="1"/>
    <x v="4"/>
    <x v="8"/>
    <x v="106"/>
    <s v="Periodo 2014-2021"/>
    <s v="Número de supermercados"/>
    <s v="Instituto Nacional de Estadísticas (INE)"/>
    <s v="Evolución del Número de establecimientos clasificados como supermercados, que cuentan con tres o más cajas instaladas en la Región de Coquimbo"/>
    <s v="En la Región de Coquimbo, en enero de 2014, la cantidad de supermercados con 3 o más cajas instaladas era de 53, mientras que en abril de 2021, era de 61. El promedio de supermercados en este período es de 57."/>
    <s v="Gráfico de Evolución"/>
    <s v="Región de Coquimbo,cantidad,supermercado,establecimientos,cajas,instaladas,nacional,Agencia Información,Economía,Supermercados,Economía"/>
    <s v="https://analytics.zoho.com/open-view/2395394000008715905?ZOHO_CRITERIA=%22Consolidado_Estadisticas_Regionales_New%22.%22C%C3%B3digo%20regi%C3%B3n%22%20%3D%204"/>
    <x v="4"/>
    <s v="#1774B235"/>
  </r>
  <r>
    <s v="1615"/>
    <n v="990"/>
    <s v="Agencia Información"/>
    <s v="Economía"/>
    <n v="5"/>
    <x v="85"/>
    <x v="34"/>
    <x v="1"/>
    <x v="5"/>
    <x v="8"/>
    <x v="106"/>
    <s v="Periodo 2014-2021"/>
    <s v="Número de supermercados"/>
    <s v="Instituto Nacional de Estadísticas (INE)"/>
    <s v="Evolución del Número de establecimientos clasificados como supermercados, que cuentan con tres o más cajas instaladas en la Región de Valparaíso"/>
    <s v="En la Región de Valparaíso, en enero de 2014, la cantidad de supermercados con 3 o más cajas instaladas era de 158, mientras que en abril de 2021, era de 167. El promedio de supermercados en este período es de 163."/>
    <s v="Gráfico de Evolución"/>
    <s v="Región de Valparaíso,cantidad,supermercado,establecimientos,cajas,instaladas,nacional,Agencia Información,Economía,Supermercados,Economía"/>
    <s v="https://analytics.zoho.com/open-view/2395394000008715905?ZOHO_CRITERIA=%22Consolidado_Estadisticas_Regionales_New%22.%22C%C3%B3digo%20regi%C3%B3n%22%20%3D%205"/>
    <x v="5"/>
    <s v="#1774B236"/>
  </r>
  <r>
    <s v="1616"/>
    <n v="990"/>
    <s v="Agencia Información"/>
    <s v="Economía"/>
    <n v="6"/>
    <x v="85"/>
    <x v="34"/>
    <x v="1"/>
    <x v="6"/>
    <x v="8"/>
    <x v="106"/>
    <s v="Periodo 2014-2021"/>
    <s v="Número de supermercados"/>
    <s v="Instituto Nacional de Estadísticas (INE)"/>
    <s v="Evolución del Número de establecimientos clasificados como supermercados, que cuentan con tres o más cajas instaladas en la Región de O'Higgins"/>
    <s v="En la Región de O'Higgins, en enero de 2014, la cantidad de supermercados con 3 o más cajas instaladas era de 75, mientras que en abril de 2021, era de 81. El promedio de supermercados en este período es de 78."/>
    <s v="Gráfico de Evolución"/>
    <s v="Región de O'Higgins,cantidad,supermercado,establecimientos,cajas,instaladas,nacional,Agencia Información,Economía,Supermercados,Economía"/>
    <s v="https://analytics.zoho.com/open-view/2395394000008715905?ZOHO_CRITERIA=%22Consolidado_Estadisticas_Regionales_New%22.%22C%C3%B3digo%20regi%C3%B3n%22%20%3D%206"/>
    <x v="6"/>
    <s v="#1774B237"/>
  </r>
  <r>
    <s v="1617"/>
    <n v="990"/>
    <s v="Agencia Información"/>
    <s v="Economía"/>
    <n v="7"/>
    <x v="85"/>
    <x v="34"/>
    <x v="1"/>
    <x v="7"/>
    <x v="8"/>
    <x v="106"/>
    <s v="Periodo 2014-2021"/>
    <s v="Número de supermercados"/>
    <s v="Instituto Nacional de Estadísticas (INE)"/>
    <s v="Evolución del Número de establecimientos clasificados como supermercados, que cuentan con tres o más cajas instaladas en la Región de Maule"/>
    <s v="En la Región de Maule, en enero de 2014, la cantidad de supermercados con 3 o más cajas instaladas era de 67, mientras que en abril de 2021, era de 73. El promedio de supermercados en este período es de 71."/>
    <s v="Gráfico de Evolución"/>
    <s v="Región de Maule,cantidad,supermercado,establecimientos,cajas,instaladas,nacional,Agencia Información,Economía,Supermercados,Economía"/>
    <s v="https://analytics.zoho.com/open-view/2395394000008715905?ZOHO_CRITERIA=%22Consolidado_Estadisticas_Regionales_New%22.%22C%C3%B3digo%20regi%C3%B3n%22%20%3D%207"/>
    <x v="7"/>
    <s v="#1774B238"/>
  </r>
  <r>
    <s v="1618"/>
    <n v="990"/>
    <s v="Agencia Información"/>
    <s v="Economía"/>
    <n v="8"/>
    <x v="85"/>
    <x v="34"/>
    <x v="1"/>
    <x v="8"/>
    <x v="8"/>
    <x v="106"/>
    <s v="Periodo 2014-2021"/>
    <s v="Número de supermercados"/>
    <s v="Instituto Nacional de Estadísticas (INE)"/>
    <s v="Evolución del Número de establecimientos clasificados como supermercados, que cuentan con tres o más cajas instaladas en la Región del Biobío"/>
    <s v="En la Región del Biobío, en enero de 2014, la cantidad de supermercados con 3 o más cajas instaladas era de 129, mientras que en abril de 2021, era de 151. El promedio de supermercados en este período es de 144."/>
    <s v="Gráfico de Evolución"/>
    <s v="Región del Biobío,cantidad,supermercado,establecimientos,cajas,instaladas,nacional,Agencia Información,Economía,Supermercados,Economía"/>
    <s v="https://analytics.zoho.com/open-view/2395394000008715905?ZOHO_CRITERIA=%22Consolidado_Estadisticas_Regionales_New%22.%22C%C3%B3digo%20regi%C3%B3n%22%20%3D%208"/>
    <x v="8"/>
    <s v="#1774B239"/>
  </r>
  <r>
    <s v="1619"/>
    <n v="990"/>
    <s v="Agencia Información"/>
    <s v="Economía"/>
    <n v="9"/>
    <x v="85"/>
    <x v="34"/>
    <x v="1"/>
    <x v="9"/>
    <x v="8"/>
    <x v="106"/>
    <s v="Periodo 2014-2021"/>
    <s v="Número de supermercados"/>
    <s v="Instituto Nacional de Estadísticas (INE)"/>
    <s v="Evolución del Número de establecimientos clasificados como supermercados, que cuentan con tres o más cajas instaladas en la Región de La Araucanía"/>
    <s v="En la Región de La Araucanía, en enero de 2014, la cantidad de supermercados con 3 o más cajas instaladas era de 86, mientras que en abril de 2021, era de 101. El promedio de supermercados en este período es de 94."/>
    <s v="Gráfico de Evolución"/>
    <s v="Región de La Araucanía,cantidad,supermercado,establecimientos,cajas,instaladas,nacional,Agencia Información,Economía,Supermercados,Economía"/>
    <s v="https://analytics.zoho.com/open-view/2395394000008715905?ZOHO_CRITERIA=%22Consolidado_Estadisticas_Regionales_New%22.%22C%C3%B3digo%20regi%C3%B3n%22%20%3D%209"/>
    <x v="9"/>
    <s v="#1774B240"/>
  </r>
  <r>
    <s v="1620"/>
    <n v="990"/>
    <s v="Agencia Información"/>
    <s v="Economía"/>
    <n v="10"/>
    <x v="85"/>
    <x v="34"/>
    <x v="1"/>
    <x v="10"/>
    <x v="8"/>
    <x v="106"/>
    <s v="Periodo 2014-2021"/>
    <s v="Número de supermercados"/>
    <s v="Instituto Nacional de Estadísticas (INE)"/>
    <s v="Evolución del Número de establecimientos clasificados como supermercados, que cuentan con tres o más cajas instaladas en la Región de Los Lagos"/>
    <s v="En la Región de Los Lagos, en enero de 2014, la cantidad de supermercados con 3 o más cajas instaladas era de 66, mientras que en abril de 2021, era de 68. El promedio de supermercados en este período es de 69."/>
    <s v="Gráfico de Evolución"/>
    <s v="Región de Los Lagos,cantidad,supermercado,establecimientos,cajas,instaladas,nacional,Agencia Información,Economía,Supermercados,Economía"/>
    <s v="https://analytics.zoho.com/open-view/2395394000008715905?ZOHO_CRITERIA=%22Consolidado_Estadisticas_Regionales_New%22.%22C%C3%B3digo%20regi%C3%B3n%22%20%3D%2010"/>
    <x v="10"/>
    <s v="#1774B241"/>
  </r>
  <r>
    <s v="1621"/>
    <n v="990"/>
    <s v="Agencia Información"/>
    <s v="Economía"/>
    <n v="11"/>
    <x v="85"/>
    <x v="34"/>
    <x v="1"/>
    <x v="11"/>
    <x v="8"/>
    <x v="106"/>
    <s v="Periodo 2014-2021"/>
    <s v="Número de supermercados"/>
    <s v="Instituto Nacional de Estadísticas (INE)"/>
    <s v="Evolución del Número de establecimientos clasificados como supermercados, que cuentan con tres o más cajas instaladas en la Región de Aysén"/>
    <s v="En la Región de Aysén, en enero de 2014, la cantidad de supermercados con 3 o más cajas instaladas era de 6, mientras que en abril de 2021, era de 9. El promedio de supermercados en este período es de 8."/>
    <s v="Gráfico de Evolución"/>
    <s v="Región de Aysén,cantidad,supermercado,establecimientos,cajas,instaladas,nacional,Agencia Información,Economía,Supermercados,Economía"/>
    <s v="https://analytics.zoho.com/open-view/2395394000008715905?ZOHO_CRITERIA=%22Consolidado_Estadisticas_Regionales_New%22.%22C%C3%B3digo%20regi%C3%B3n%22%20%3D%2011"/>
    <x v="11"/>
    <s v="#1774B242"/>
  </r>
  <r>
    <s v="1622"/>
    <n v="990"/>
    <s v="Agencia Información"/>
    <s v="Economía"/>
    <n v="12"/>
    <x v="85"/>
    <x v="34"/>
    <x v="1"/>
    <x v="12"/>
    <x v="8"/>
    <x v="106"/>
    <s v="Periodo 2014-2021"/>
    <s v="Número de supermercados"/>
    <s v="Instituto Nacional de Estadísticas (INE)"/>
    <s v="Evolución del Número de establecimientos clasificados como supermercados, que cuentan con tres o más cajas instaladas en la Región de Magallanes"/>
    <s v="En la Región de Magallanes, en enero de 2014, la cantidad de supermercados con 3 o más cajas instaladas era de 12, mientras que en abril de 2021, era de 11. El promedio de supermercados en este período es de 11."/>
    <s v="Gráfico de Evolución"/>
    <s v="Región de Magallanes,cantidad,supermercado,establecimientos,cajas,instaladas,nacional,Agencia Información,Economía,Supermercados,Economía"/>
    <s v="https://analytics.zoho.com/open-view/2395394000008715905?ZOHO_CRITERIA=%22Consolidado_Estadisticas_Regionales_New%22.%22C%C3%B3digo%20regi%C3%B3n%22%20%3D%2012"/>
    <x v="12"/>
    <s v="#1774B243"/>
  </r>
  <r>
    <s v="1623"/>
    <n v="990"/>
    <s v="Agencia Información"/>
    <s v="Economía"/>
    <n v="13"/>
    <x v="85"/>
    <x v="34"/>
    <x v="1"/>
    <x v="13"/>
    <x v="8"/>
    <x v="106"/>
    <s v="Periodo 2014-2021"/>
    <s v="Número de supermercados"/>
    <s v="Instituto Nacional de Estadísticas (INE)"/>
    <s v="Evolución del Número de establecimientos clasificados como supermercados, que cuentan con tres o más cajas instaladas en la Región Metropolitana"/>
    <s v="En la Región Metropolitana, en enero de 2014, la cantidad de supermercados con 3 o más cajas instaladas era de 524, mientras que en abril de 2021, era de 464. El promedio de supermercados en este período es de 512."/>
    <s v="Gráfico de Evolución"/>
    <s v="Región Metropolitana,cantidad,supermercado,establecimientos,cajas,instaladas,nacional,Agencia Información,Economía,Supermercados,Economía"/>
    <s v="https://analytics.zoho.com/open-view/2395394000008715905?ZOHO_CRITERIA=%22Consolidado_Estadisticas_Regionales_New%22.%22C%C3%B3digo%20regi%C3%B3n%22%20%3D%2013"/>
    <x v="13"/>
    <s v="#1774B244"/>
  </r>
  <r>
    <s v="1624"/>
    <n v="990"/>
    <s v="Agencia Información"/>
    <s v="Economía"/>
    <n v="14"/>
    <x v="85"/>
    <x v="34"/>
    <x v="1"/>
    <x v="14"/>
    <x v="8"/>
    <x v="106"/>
    <s v="Periodo 2014-2021"/>
    <s v="Número de supermercados"/>
    <s v="Instituto Nacional de Estadísticas (INE)"/>
    <s v="Evolución del Número de establecimientos clasificados como supermercados, que cuentan con tres o más cajas instaladas en la Región de Los Ríos"/>
    <s v="En la Región de Los Ríos, en enero de 2014, la cantidad de supermercados con 3 o más cajas instaladas era de 37, mientras que en abril de 2021, era de 45. El promedio de supermercados en este período es de 42."/>
    <s v="Gráfico de Evolución"/>
    <s v="Región de Los Ríos,cantidad,supermercado,establecimientos,cajas,instaladas,nacional,Agencia Información,Economía,Supermercados,Economía"/>
    <s v="https://analytics.zoho.com/open-view/2395394000008715905?ZOHO_CRITERIA=%22Consolidado_Estadisticas_Regionales_New%22.%22C%C3%B3digo%20regi%C3%B3n%22%20%3D%2014"/>
    <x v="14"/>
    <s v="#1774B245"/>
  </r>
  <r>
    <s v="1625"/>
    <n v="990"/>
    <s v="Agencia Información"/>
    <s v="Economía"/>
    <n v="15"/>
    <x v="85"/>
    <x v="34"/>
    <x v="1"/>
    <x v="15"/>
    <x v="8"/>
    <x v="106"/>
    <s v="Periodo 2014-2021"/>
    <s v="Número de supermercados"/>
    <s v="Instituto Nacional de Estadísticas (INE)"/>
    <s v="Evolución del Número de establecimientos clasificados como supermercados, que cuentan con tres o más cajas instaladas en la Región de Arica y Parinacota"/>
    <s v="En la Región de Arica y Parinacota, en enero de 2014, la cantidad de supermercados con 3 o más cajas instaladas era de 6, mientras que en abril de 2021, era de 7. El promedio de supermercados en este período es de 7."/>
    <s v="Gráfico de Evolución"/>
    <s v="Región de Arica y Parinacota,cantidad,supermercado,establecimientos,cajas,instaladas,nacional,Agencia Información,Economía,Supermercados,Economía"/>
    <s v="https://analytics.zoho.com/open-view/2395394000008715905?ZOHO_CRITERIA=%22Consolidado_Estadisticas_Regionales_New%22.%22C%C3%B3digo%20regi%C3%B3n%22%20%3D%2015"/>
    <x v="15"/>
    <s v="#1774B246"/>
  </r>
  <r>
    <s v="1626"/>
    <n v="990"/>
    <s v="Agencia Información"/>
    <s v="Economía"/>
    <n v="16"/>
    <x v="85"/>
    <x v="34"/>
    <x v="1"/>
    <x v="16"/>
    <x v="8"/>
    <x v="106"/>
    <s v="Periodo 2014-2021"/>
    <s v="Número de supermercados"/>
    <s v="Instituto Nacional de Estadísticas (INE)"/>
    <s v="Evolución del Número de establecimientos clasificados como supermercados, que cuentan con tres o más cajas instaladas en la Región de Ñuble"/>
    <s v="En la Región de Ñuble, en enero de 2014, la cantidad de supermercados con 3 o más cajas instaladas era de 32, mientras que en abril de 2021, era de 31. El promedio de supermercados en este período es de 32."/>
    <s v="Gráfico de Evolución"/>
    <s v="Región de Ñuble,cantidad,supermercado,establecimientos,cajas,instaladas,nacional,Agencia Información,Economía,Supermercados,Economía"/>
    <s v="https://analytics.zoho.com/open-view/2395394000008715905?ZOHO_CRITERIA=%22Consolidado_Estadisticas_Regionales_New%22.%22C%C3%B3digo%20regi%C3%B3n%22%20%3D%2016"/>
    <x v="16"/>
    <s v="#1774B247"/>
  </r>
  <r>
    <s v="1627"/>
    <n v="990"/>
    <s v="Agencia Información"/>
    <s v="Economía"/>
    <n v="0"/>
    <x v="84"/>
    <x v="34"/>
    <x v="0"/>
    <x v="0"/>
    <x v="17"/>
    <x v="107"/>
    <s v="Periodo 2014-2021"/>
    <s v="Índice"/>
    <s v="Instituto Nacional de Estadísticas (INE)"/>
    <s v="Evolución del Índice de Producción de la división Elaboración de productos alimenticios a Escala Nacional"/>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Chile,índice,elaboración,productos,alimenticios,alimentos,producción,nacional,Agencia Información,Economía,Producción Manufacturera,Economía"/>
    <s v="https://analytics.zoho.com/open-view/2395394000008742076"/>
    <x v="0"/>
    <s v="#1774B248"/>
  </r>
  <r>
    <s v="1628"/>
    <n v="990"/>
    <s v="Agencia Información"/>
    <s v="Economía"/>
    <n v="5"/>
    <x v="84"/>
    <x v="34"/>
    <x v="1"/>
    <x v="5"/>
    <x v="8"/>
    <x v="107"/>
    <s v="Periodo 2014-2021"/>
    <s v="Índice"/>
    <s v="Instituto Nacional de Estadísticas (INE)"/>
    <s v="Evolución del Índice de Producción de la división Elaboración de productos alimenticios en la Región de Valparaíso"/>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Región de Valparaíso,índice,elaboración,productos,alimenticios,alimentos,producción,regional,Agencia Información,Economía,Producción Manufacturera,Economía"/>
    <s v="https://analytics.zoho.com/open-view/2395394000008742160?ZOHO_CRITERIA=%22Consolidado_Estadisticas_Regionales_New%22.%22C%C3%B3digo%20regi%C3%B3n%22%20%3D%205"/>
    <x v="5"/>
    <s v="#1774B249"/>
  </r>
  <r>
    <s v="1629"/>
    <n v="990"/>
    <s v="Agencia Información"/>
    <s v="Economía"/>
    <n v="6"/>
    <x v="84"/>
    <x v="34"/>
    <x v="1"/>
    <x v="6"/>
    <x v="8"/>
    <x v="107"/>
    <s v="Periodo 2014-2021"/>
    <s v="Índice"/>
    <s v="Instituto Nacional de Estadísticas (INE)"/>
    <s v="Evolución del Índice de Producción de la división Elaboración de productos alimenticios en la Región de O'Higgins"/>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Región de O'Higgins,índice,elaboración,productos,alimenticios,alimentos,producción,regional,Agencia Información,Economía,Producción Manufacturera,Economía"/>
    <s v="https://analytics.zoho.com/open-view/2395394000008742160?ZOHO_CRITERIA=%22Consolidado_Estadisticas_Regionales_New%22.%22C%C3%B3digo%20regi%C3%B3n%22%20%3D%206"/>
    <x v="6"/>
    <s v="#1774B250"/>
  </r>
  <r>
    <s v="1630"/>
    <n v="990"/>
    <s v="Agencia Información"/>
    <s v="Economía"/>
    <n v="8"/>
    <x v="84"/>
    <x v="34"/>
    <x v="1"/>
    <x v="8"/>
    <x v="8"/>
    <x v="107"/>
    <s v="Periodo 2014-2021"/>
    <s v="Índice"/>
    <s v="Instituto Nacional de Estadísticas (INE)"/>
    <s v="Evolución del Índice de Producción de la división Elaboración de productos alimenticios en la Región del Biobío"/>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Región del Biobío,índice,elaboración,productos,alimenticios,alimentos,producción,regional,Agencia Información,Economía,Producción Manufacturera,Economía"/>
    <s v="https://analytics.zoho.com/open-view/2395394000008742160?ZOHO_CRITERIA=%22Consolidado_Estadisticas_Regionales_New%22.%22C%C3%B3digo%20regi%C3%B3n%22%20%3D%208"/>
    <x v="8"/>
    <s v="#1774B251"/>
  </r>
  <r>
    <s v="1631"/>
    <n v="990"/>
    <s v="Agencia Información"/>
    <s v="Economía"/>
    <n v="14"/>
    <x v="84"/>
    <x v="34"/>
    <x v="1"/>
    <x v="14"/>
    <x v="8"/>
    <x v="107"/>
    <s v="Periodo 2014-2021"/>
    <s v="Índice"/>
    <s v="Instituto Nacional de Estadísticas (INE)"/>
    <s v="Evolución del Índice de Producción de la división Elaboración de productos alimenticios en la Región de Los Ríos"/>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Región de Los Ríos,índice,elaboración,productos,alimenticios,alimentos,producción,regional,Agencia Información,Economía,Producción Manufacturera,Economía"/>
    <s v="https://analytics.zoho.com/open-view/2395394000008742160?ZOHO_CRITERIA=%22Consolidado_Estadisticas_Regionales_New%22.%22C%C3%B3digo%20regi%C3%B3n%22%20%3D%2014"/>
    <x v="14"/>
    <s v="#1774B252"/>
  </r>
  <r>
    <s v="1632"/>
    <n v="990"/>
    <s v="Agencia Información"/>
    <s v="Economía"/>
    <n v="0"/>
    <x v="84"/>
    <x v="34"/>
    <x v="0"/>
    <x v="0"/>
    <x v="8"/>
    <x v="108"/>
    <s v="Periodo 2014-2021"/>
    <s v="Índice"/>
    <s v="Instituto Nacional de Estadísticas (INE)"/>
    <s v="Evolución del Índice de Producción de la división Fabricación de productos farmacéuticos, sustancias químicas medicinales y productos botánicos de uso farmacéutico a Escala Nacional"/>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Chile,índice,fabricación,producción,productos,farmacéuticos,medicinal,botánicos,sustancias,químicas,manufactura,manufacturera,nacional,Agencia Información,Economía,Producción Manufacturera,Economía"/>
    <s v="https://analytics.zoho.com/open-view/2395394000008741947"/>
    <x v="34"/>
    <s v="#1774B253"/>
  </r>
  <r>
    <s v="1633"/>
    <n v="990"/>
    <s v="Agencia Información"/>
    <s v="Economía"/>
    <n v="0"/>
    <x v="84"/>
    <x v="34"/>
    <x v="0"/>
    <x v="0"/>
    <x v="17"/>
    <x v="109"/>
    <s v="Periodo 2014-2021"/>
    <s v="Índice"/>
    <s v="Instituto Nacional de Estadísticas (INE)"/>
    <s v="Evolución del Índice de Producción de la división Fabricación de sustancias y productos químicos a Escala Nacional"/>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Chile,índice,fabricación,producción,sustancias,químicas,productos,nacional,manufactura,manufacturera,Agencia Información,Economía,Producción Manufacturera,Economía"/>
    <s v="https://analytics.zoho.com/open-view/2395394000008741698"/>
    <x v="0"/>
    <s v="#1774B254"/>
  </r>
  <r>
    <s v="1634"/>
    <n v="990"/>
    <s v="Agencia Información"/>
    <s v="Economía"/>
    <n v="5"/>
    <x v="84"/>
    <x v="34"/>
    <x v="1"/>
    <x v="5"/>
    <x v="8"/>
    <x v="109"/>
    <s v="Periodo 2014-2021"/>
    <s v="Índice"/>
    <s v="Instituto Nacional de Estadísticas (INE)"/>
    <s v="Evolución del Índice de Producción de la división Fabricación de sustancias y productos químicos en la Región de Valparaíso"/>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Región de Valparaíso,índice,fabricación,producción,sustancias,químicas,productos,nacional,manufactura,manufacturera,Agencia Información,Economía,Producción Manufacturera,Economía"/>
    <s v="https://analytics.zoho.com/open-view/2395394000008741824?ZOHO_CRITERIA=%22Consolidado_Estadisticas_Regionales_New%22.%22C%C3%B3digo%20regi%C3%B3n%22%20%3D%205"/>
    <x v="5"/>
    <s v="#1774B255"/>
  </r>
  <r>
    <s v="1635"/>
    <n v="990"/>
    <s v="Agencia Información"/>
    <s v="Economía"/>
    <n v="6"/>
    <x v="84"/>
    <x v="34"/>
    <x v="1"/>
    <x v="6"/>
    <x v="8"/>
    <x v="109"/>
    <s v="Periodo 2014-2021"/>
    <s v="Índice"/>
    <s v="Instituto Nacional de Estadísticas (INE)"/>
    <s v="Evolución del Índice de Producción de la división Fabricación de sustancias y productos químicos en la Región de O'Higgins"/>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Región de O'Higgins,índice,fabricación,producción,sustancias,químicas,productos,nacional,manufactura,manufacturera,Agencia Información,Economía,Producción Manufacturera,Economía"/>
    <s v="https://analytics.zoho.com/open-view/2395394000008741824?ZOHO_CRITERIA=%22Consolidado_Estadisticas_Regionales_New%22.%22C%C3%B3digo%20regi%C3%B3n%22%20%3D%206"/>
    <x v="6"/>
    <s v="#1774B256"/>
  </r>
  <r>
    <s v="1636"/>
    <n v="990"/>
    <s v="Agencia Información"/>
    <s v="Economía"/>
    <n v="8"/>
    <x v="84"/>
    <x v="34"/>
    <x v="1"/>
    <x v="8"/>
    <x v="8"/>
    <x v="109"/>
    <s v="Periodo 2014-2021"/>
    <s v="Índice"/>
    <s v="Instituto Nacional de Estadísticas (INE)"/>
    <s v="Evolución del Índice de Producción de la división Fabricación de sustancias y productos químicos en la Región del Biobío"/>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Región del Biobío,índice,fabricación,producción,sustancias,químicas,productos,nacional,manufactura,manufacturera,Agencia Información,Economía,Producción Manufacturera,Economía"/>
    <s v="https://analytics.zoho.com/open-view/2395394000008741824?ZOHO_CRITERIA=%22Consolidado_Estadisticas_Regionales_New%22.%22C%C3%B3digo%20regi%C3%B3n%22%20%3D%208"/>
    <x v="8"/>
    <s v="#1774B257"/>
  </r>
  <r>
    <s v="1637"/>
    <n v="990"/>
    <s v="Agencia Información"/>
    <s v="Transporte y tránsito"/>
    <n v="0"/>
    <x v="86"/>
    <x v="19"/>
    <x v="0"/>
    <x v="0"/>
    <x v="17"/>
    <x v="110"/>
    <s v="Periodo 2014-2021"/>
    <s v="Número de vehículos"/>
    <s v="Ministerio de Transportes y Telecomunicaciones"/>
    <s v="Evolución de la Pasada de vehículos por plazas de peajes y pórticos de autopistas interurbanas a Escala Nacional"/>
    <s v="En el año 2021, desde enero a mayo, han pasado un promedio de 27.643.458 vehículos por plazas de peaje y pórticos de autopistas interurbanas, con un peak de 30.849.162 vehículos en febrero y un mínimo de 21.906.513 vehículos en abril."/>
    <s v="Gráfico de Evolución"/>
    <s v="Chile,vehículos,autos,peaje,pórtico,autopistas,interurbanas,nacional,Agencia Información,Transporte y tránsito,Pórticos y Peajes,Tránsito"/>
    <s v="https://analytics.zoho.com/open-view/2395394000008741354"/>
    <x v="0"/>
    <s v="#1774B258"/>
  </r>
  <r>
    <s v="1638"/>
    <n v="990"/>
    <s v="Agencia Información"/>
    <s v="Transporte y tránsito"/>
    <n v="5"/>
    <x v="86"/>
    <x v="19"/>
    <x v="1"/>
    <x v="5"/>
    <x v="8"/>
    <x v="110"/>
    <s v="Periodo 2014-2021"/>
    <s v="Número de vehículos"/>
    <s v="Ministerio de Transportes y Telecomunicaciones"/>
    <s v="Evolución de la Pasada de vehículos por plazas de peajes y pórticos de autopistas interurbanas en la Región de Valparaíso"/>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Región de Valparaíso,vehículos,autos,peaje,pórtico,autopistas,interurbanas,regional,Agencia Información,Transporte y tránsito,Pórticos y Peajes,Tránsito"/>
    <s v="https://analytics.zoho.com/open-view/2395394000008741527?ZOHO_CRITERIA=%22Consolidado_Estadisticas_Regionales_New%22.%22C%C3%B3digo%20regi%C3%B3n%22%20%3D%205"/>
    <x v="5"/>
    <s v="#1774B259"/>
  </r>
  <r>
    <s v="1639"/>
    <n v="990"/>
    <s v="Agencia Información"/>
    <s v="Transporte y tránsito"/>
    <n v="8"/>
    <x v="86"/>
    <x v="19"/>
    <x v="1"/>
    <x v="8"/>
    <x v="8"/>
    <x v="110"/>
    <s v="Periodo 2014-2021"/>
    <s v="Número de vehículos"/>
    <s v="Ministerio de Transportes y Telecomunicaciones"/>
    <s v="Evolución de la Pasada de vehículos por plazas de peajes y pórticos de autopistas interurbanas en la Región del Biobío"/>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Región del Biobío,vehículos,autos,peaje,pórtico,autopistas,interurbanas,regional,Agencia Información,Transporte y tránsito,Pórticos y Peajes,Tránsito"/>
    <s v="https://analytics.zoho.com/open-view/2395394000008741527?ZOHO_CRITERIA=%22Consolidado_Estadisticas_Regionales_New%22.%22C%C3%B3digo%20regi%C3%B3n%22%20%3D%208"/>
    <x v="8"/>
    <s v="#1774B260"/>
  </r>
  <r>
    <s v="1640"/>
    <n v="990"/>
    <s v="Agencia Información"/>
    <s v="Transporte y tránsito"/>
    <n v="13"/>
    <x v="86"/>
    <x v="19"/>
    <x v="1"/>
    <x v="13"/>
    <x v="8"/>
    <x v="110"/>
    <s v="Periodo 2014-2021"/>
    <s v="Número de vehículos"/>
    <s v="Ministerio de Transportes y Telecomunicaciones"/>
    <s v="Evolución de la Pasada de vehículos por plazas de peajes y pórticos de autopistas interurbanas en la Región Metropolitana"/>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Región Metropolitana,vehículos,autos,peaje,pórtico,autopistas,interurbanas,regional,Agencia Información,Transporte y tránsito,Pórticos y Peajes,Tránsito"/>
    <s v="https://analytics.zoho.com/open-view/2395394000008741527?ZOHO_CRITERIA=%22Consolidado_Estadisticas_Regionales_New%22.%22C%C3%B3digo%20regi%C3%B3n%22%20%3D%2013"/>
    <x v="13"/>
    <s v="#1774B261"/>
  </r>
  <r>
    <s v="1641"/>
    <n v="990"/>
    <s v="Agencia Información"/>
    <s v="Transporte y tránsito"/>
    <n v="16"/>
    <x v="86"/>
    <x v="19"/>
    <x v="1"/>
    <x v="16"/>
    <x v="8"/>
    <x v="110"/>
    <s v="Periodo 2014-2021"/>
    <s v="Número de vehículos"/>
    <s v="Ministerio de Transportes y Telecomunicaciones"/>
    <s v="Evolución de la Pasada de vehículos por plazas de peajes y pórticos de autopistas interurbanas en la Región de Ñuble"/>
    <s v="En la Región de Ñuble, en el año 2021 (enero a mayo), han pasado un promedio de 1.293.243 vehículos por plazas de peaje y pórticos de autopistas interurbanas, con un peak de 1.425.952 vehículos en enero y un mínimo de 1.035.283 vehículos en abril."/>
    <s v="Gráfico de Evolución"/>
    <s v="Región de Ñuble,vehículos,autos,peaje,pórtico,autopistas,interurbanas,regional,Agencia Información,Transporte y tránsito,Pórticos y Peajes,Tránsito"/>
    <s v="https://analytics.zoho.com/open-view/2395394000008741527?ZOHO_CRITERIA=%22Consolidado_Estadisticas_Regionales_New%22.%22C%C3%B3digo%20regi%C3%B3n%22%20%3D%2016"/>
    <x v="16"/>
    <s v="#1774B262"/>
  </r>
  <r>
    <s v="1642"/>
    <n v="990"/>
    <s v="Agencia Información"/>
    <s v="Transporte y tránsito"/>
    <n v="0"/>
    <x v="87"/>
    <x v="21"/>
    <x v="0"/>
    <x v="0"/>
    <x v="17"/>
    <x v="111"/>
    <s v="Periodo 2014-2021"/>
    <s v="Número de vehículos"/>
    <s v="Ministerio de Transportes y Telecomunicaciones"/>
    <s v="Evolución del Parque Vehicular de Taxis a Escala Nacional"/>
    <s v="En el período comprendido entre los años 2014 y 2021, el parque vehicular de taxis a nivel nacional alcanzó su mínimo en marzo de 2014, con 100.611 vehículos. El máximo se registró en junio de 2016, con 103.345 taxis. El promedio nacional es de 102.373 vehículos."/>
    <s v="Gráfico de Evolución"/>
    <s v="Chile,taxis,parque,vehicular,cantidad,vehículos,transporte,nacional,Agencia Información,Transporte y tránsito,Parque Vehicular Taxis,Transporte"/>
    <s v="https://analytics.zoho.com/open-view/2395394000008741045"/>
    <x v="0"/>
    <s v="#1774B263"/>
  </r>
  <r>
    <s v="1643"/>
    <n v="990"/>
    <s v="Agencia Información"/>
    <s v="Transporte y tránsito"/>
    <n v="1"/>
    <x v="87"/>
    <x v="21"/>
    <x v="1"/>
    <x v="1"/>
    <x v="8"/>
    <x v="111"/>
    <s v="Periodo 2014-2021"/>
    <s v="Número de vehículos"/>
    <s v="Ministerio de Transportes y Telecomunicaciones"/>
    <s v="Evolución del Parque Vehicular de Taxis en la Región de Tarapacá"/>
    <s v="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
    <s v="Gráfico de Evolución"/>
    <s v="Región de Tarapacá,taxis,parque,vehicular,cantidad,vehículos,transporte,regional,Agencia Información,Transporte y tránsito,Parque Vehicular Taxis,Transporte"/>
    <s v="https://analytics.zoho.com/open-view/2395394000008741200?ZOHO_CRITERIA=%22Consolidado_Estadisticas_Regionales_New%22.%22C%C3%B3digo%20regi%C3%B3n%22%20%3D%201"/>
    <x v="1"/>
    <s v="#1774B264"/>
  </r>
  <r>
    <s v="1644"/>
    <n v="990"/>
    <s v="Agencia Información"/>
    <s v="Transporte y tránsito"/>
    <n v="2"/>
    <x v="87"/>
    <x v="21"/>
    <x v="1"/>
    <x v="2"/>
    <x v="8"/>
    <x v="111"/>
    <s v="Periodo 2014-2021"/>
    <s v="Número de vehículos"/>
    <s v="Ministerio de Transportes y Telecomunicaciones"/>
    <s v="Evolución del Parque Vehicular de Taxis en la Región de Antofagasta"/>
    <s v="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
    <s v="Gráfico de Evolución"/>
    <s v="Región de Antofagasta,taxis,parque,vehicular,cantidad,vehículos,transporte,regional,Agencia Información,Transporte y tránsito,Parque Vehicular Taxis,Transporte"/>
    <s v="https://analytics.zoho.com/open-view/2395394000008741200?ZOHO_CRITERIA=%22Consolidado_Estadisticas_Regionales_New%22.%22C%C3%B3digo%20regi%C3%B3n%22%20%3D%202"/>
    <x v="2"/>
    <s v="#1774B265"/>
  </r>
  <r>
    <s v="1645"/>
    <n v="990"/>
    <s v="Agencia Información"/>
    <s v="Transporte y tránsito"/>
    <n v="3"/>
    <x v="87"/>
    <x v="21"/>
    <x v="1"/>
    <x v="3"/>
    <x v="8"/>
    <x v="111"/>
    <s v="Periodo 2014-2021"/>
    <s v="Número de vehículos"/>
    <s v="Ministerio de Transportes y Telecomunicaciones"/>
    <s v="Evolución del Parque Vehicular de Taxis en la Región de Atacama"/>
    <s v="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
    <s v="Gráfico de Evolución"/>
    <s v="Región de Atacama,taxis,parque,vehicular,cantidad,vehículos,transporte,regional,Agencia Información,Transporte y tránsito,Parque Vehicular Taxis,Transporte"/>
    <s v="https://analytics.zoho.com/open-view/2395394000008741200?ZOHO_CRITERIA=%22Consolidado_Estadisticas_Regionales_New%22.%22C%C3%B3digo%20regi%C3%B3n%22%20%3D%203"/>
    <x v="3"/>
    <s v="#1774B266"/>
  </r>
  <r>
    <s v="1646"/>
    <n v="990"/>
    <s v="Agencia Información"/>
    <s v="Transporte y tránsito"/>
    <n v="4"/>
    <x v="87"/>
    <x v="21"/>
    <x v="1"/>
    <x v="4"/>
    <x v="8"/>
    <x v="111"/>
    <s v="Periodo 2014-2021"/>
    <s v="Número de vehículos"/>
    <s v="Ministerio de Transportes y Telecomunicaciones"/>
    <s v="Evolución del Parque Vehicular de Taxis en la Región de Coquimbo"/>
    <s v="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
    <s v="Gráfico de Evolución"/>
    <s v="Región de Coquimbo,taxis,parque,vehicular,cantidad,vehículos,transporte,regional,Agencia Información,Transporte y tránsito,Parque Vehicular Taxis,Transporte"/>
    <s v="https://analytics.zoho.com/open-view/2395394000008741200?ZOHO_CRITERIA=%22Consolidado_Estadisticas_Regionales_New%22.%22C%C3%B3digo%20regi%C3%B3n%22%20%3D%204"/>
    <x v="4"/>
    <s v="#1774B267"/>
  </r>
  <r>
    <s v="1647"/>
    <n v="990"/>
    <s v="Agencia Información"/>
    <s v="Transporte y tránsito"/>
    <n v="5"/>
    <x v="87"/>
    <x v="21"/>
    <x v="1"/>
    <x v="5"/>
    <x v="8"/>
    <x v="111"/>
    <s v="Periodo 2014-2021"/>
    <s v="Número de vehículos"/>
    <s v="Ministerio de Transportes y Telecomunicaciones"/>
    <s v="Evolución del Parque Vehicular de Taxis en la Región de Valparaíso"/>
    <s v="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
    <s v="Gráfico de Evolución"/>
    <s v="Región de Valparaíso,taxis,parque,vehicular,cantidad,vehículos,transporte,regional,Agencia Información,Transporte y tránsito,Parque Vehicular Taxis,Transporte"/>
    <s v="https://analytics.zoho.com/open-view/2395394000008741200?ZOHO_CRITERIA=%22Consolidado_Estadisticas_Regionales_New%22.%22C%C3%B3digo%20regi%C3%B3n%22%20%3D%205"/>
    <x v="5"/>
    <s v="#1774B268"/>
  </r>
  <r>
    <s v="1648"/>
    <n v="990"/>
    <s v="Agencia Información"/>
    <s v="Transporte y tránsito"/>
    <n v="6"/>
    <x v="87"/>
    <x v="21"/>
    <x v="1"/>
    <x v="6"/>
    <x v="8"/>
    <x v="111"/>
    <s v="Periodo 2014-2021"/>
    <s v="Número de vehículos"/>
    <s v="Ministerio de Transportes y Telecomunicaciones"/>
    <s v="Evolución del Parque Vehicular de Taxis en la Región de O'Higgins"/>
    <s v="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
    <s v="Gráfico de Evolución"/>
    <s v="Región de O'Higgins,taxis,parque,vehicular,cantidad,vehículos,transporte,regional,Agencia Información,Transporte y tránsito,Parque Vehicular Taxis,Transporte"/>
    <s v="https://analytics.zoho.com/open-view/2395394000008741200?ZOHO_CRITERIA=%22Consolidado_Estadisticas_Regionales_New%22.%22C%C3%B3digo%20regi%C3%B3n%22%20%3D%206"/>
    <x v="6"/>
    <s v="#1774B269"/>
  </r>
  <r>
    <s v="1649"/>
    <n v="990"/>
    <s v="Agencia Información"/>
    <s v="Transporte y tránsito"/>
    <n v="7"/>
    <x v="87"/>
    <x v="21"/>
    <x v="1"/>
    <x v="7"/>
    <x v="8"/>
    <x v="111"/>
    <s v="Periodo 2014-2021"/>
    <s v="Número de vehículos"/>
    <s v="Ministerio de Transportes y Telecomunicaciones"/>
    <s v="Evolución del Parque Vehicular de Taxis en la Región de Maule"/>
    <s v="En el período comprendido entre los años 2014 y 2021, el parque vehicular de taxis en la región del Maule alcanzó su mínimo en septiembre 2018, con 4.323 vehículos. El máximo se registró en marzo 2021, con 4.411 taxis. El promedio regional es de 4.366 vehículos. "/>
    <s v="Gráfico de Evolución"/>
    <s v="Región de Maule,taxis,parque,vehicular,cantidad,vehículos,transporte,regional,Agencia Información,Transporte y tránsito,Parque Vehicular Taxis,Transporte"/>
    <s v="https://analytics.zoho.com/open-view/2395394000008741200?ZOHO_CRITERIA=%22Consolidado_Estadisticas_Regionales_New%22.%22C%C3%B3digo%20regi%C3%B3n%22%20%3D%207"/>
    <x v="7"/>
    <s v="#1774B270"/>
  </r>
  <r>
    <s v="1650"/>
    <n v="990"/>
    <s v="Agencia Información"/>
    <s v="Transporte y tránsito"/>
    <n v="8"/>
    <x v="87"/>
    <x v="21"/>
    <x v="1"/>
    <x v="8"/>
    <x v="8"/>
    <x v="111"/>
    <s v="Periodo 2014-2021"/>
    <s v="Número de vehículos"/>
    <s v="Ministerio de Transportes y Telecomunicaciones"/>
    <s v="Evolución del Parque Vehicular de Taxis en la Región del Biobío"/>
    <s v="En la región del Biobío, el parque vehicular de taxis disminuyó significamente, pasando de 6.974 vehículos en diciembre del 2018 a 4.902 en marzo del 2019, cifra que se ha mantenido relativamente constante hasta la fecha. "/>
    <s v="Gráfico de Evolución"/>
    <s v="Región del Biobío,taxis,parque,vehicular,cantidad,vehículos,transporte,regional,Agencia Información,Transporte y tránsito,Parque Vehicular Taxis,Transporte"/>
    <s v="https://analytics.zoho.com/open-view/2395394000008741200?ZOHO_CRITERIA=%22Consolidado_Estadisticas_Regionales_New%22.%22C%C3%B3digo%20regi%C3%B3n%22%20%3D%208"/>
    <x v="8"/>
    <s v="#1774B271"/>
  </r>
  <r>
    <s v="1651"/>
    <n v="990"/>
    <s v="Agencia Información"/>
    <s v="Transporte y tránsito"/>
    <n v="9"/>
    <x v="87"/>
    <x v="21"/>
    <x v="1"/>
    <x v="9"/>
    <x v="8"/>
    <x v="111"/>
    <s v="Periodo 2014-2021"/>
    <s v="Número de vehículos"/>
    <s v="Ministerio de Transportes y Telecomunicaciones"/>
    <s v="Evolución del Parque Vehicular de Taxis en la Región de La Araucanía"/>
    <s v="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
    <s v="Gráfico de Evolución"/>
    <s v="Región de La Araucanía,taxis,parque,vehicular,cantidad,vehículos,transporte,regional,Agencia Información,Transporte y tránsito,Parque Vehicular Taxis,Transporte"/>
    <s v="https://analytics.zoho.com/open-view/2395394000008741200?ZOHO_CRITERIA=%22Consolidado_Estadisticas_Regionales_New%22.%22C%C3%B3digo%20regi%C3%B3n%22%20%3D%209"/>
    <x v="9"/>
    <s v="#1774B272"/>
  </r>
  <r>
    <s v="1652"/>
    <n v="990"/>
    <s v="Agencia Información"/>
    <s v="Transporte y tránsito"/>
    <n v="10"/>
    <x v="87"/>
    <x v="21"/>
    <x v="1"/>
    <x v="10"/>
    <x v="8"/>
    <x v="111"/>
    <s v="Periodo 2014-2021"/>
    <s v="Número de vehículos"/>
    <s v="Ministerio de Transportes y Telecomunicaciones"/>
    <s v="Evolución del Parque Vehicular de Taxis en la Región de Los Lagos"/>
    <s v="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
    <s v="Gráfico de Evolución"/>
    <s v="Región de Los Lagos,taxis,parque,vehicular,cantidad,vehículos,transporte,regional,Agencia Información,Transporte y tránsito,Parque Vehicular Taxis,Transporte"/>
    <s v="https://analytics.zoho.com/open-view/2395394000008741200?ZOHO_CRITERIA=%22Consolidado_Estadisticas_Regionales_New%22.%22C%C3%B3digo%20regi%C3%B3n%22%20%3D%2010"/>
    <x v="10"/>
    <s v="#1774B273"/>
  </r>
  <r>
    <s v="1653"/>
    <n v="990"/>
    <s v="Agencia Información"/>
    <s v="Transporte y tránsito"/>
    <n v="11"/>
    <x v="87"/>
    <x v="21"/>
    <x v="1"/>
    <x v="11"/>
    <x v="8"/>
    <x v="111"/>
    <s v="Periodo 2014-2021"/>
    <s v="Número de vehículos"/>
    <s v="Ministerio de Transportes y Telecomunicaciones"/>
    <s v="Evolución del Parque Vehicular de Taxis en la Región de Aysén"/>
    <s v="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
    <s v="Gráfico de Evolución"/>
    <s v="Región de Aysén,taxis,parque,vehicular,cantidad,vehículos,transporte,regional,Agencia Información,Transporte y tránsito,Parque Vehicular Taxis,Transporte"/>
    <s v="https://analytics.zoho.com/open-view/2395394000008741200?ZOHO_CRITERIA=%22Consolidado_Estadisticas_Regionales_New%22.%22C%C3%B3digo%20regi%C3%B3n%22%20%3D%2011"/>
    <x v="11"/>
    <s v="#1774B274"/>
  </r>
  <r>
    <s v="1654"/>
    <n v="990"/>
    <s v="Agencia Información"/>
    <s v="Transporte y tránsito"/>
    <n v="12"/>
    <x v="87"/>
    <x v="21"/>
    <x v="1"/>
    <x v="12"/>
    <x v="8"/>
    <x v="111"/>
    <s v="Periodo 2014-2021"/>
    <s v="Número de vehículos"/>
    <s v="Ministerio de Transportes y Telecomunicaciones"/>
    <s v="Evolución del Parque Vehicular de Taxis en la Región de Magallanes"/>
    <s v="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
    <s v="Gráfico de Evolución"/>
    <s v="Región de Magallanes,taxis,parque,vehicular,cantidad,vehículos,transporte,regional,Agencia Información,Transporte y tránsito,Parque Vehicular Taxis,Transporte"/>
    <s v="https://analytics.zoho.com/open-view/2395394000008741200?ZOHO_CRITERIA=%22Consolidado_Estadisticas_Regionales_New%22.%22C%C3%B3digo%20regi%C3%B3n%22%20%3D%2012"/>
    <x v="12"/>
    <s v="#1774B275"/>
  </r>
  <r>
    <s v="1655"/>
    <n v="990"/>
    <s v="Agencia Información"/>
    <s v="Transporte y tránsito"/>
    <n v="13"/>
    <x v="87"/>
    <x v="21"/>
    <x v="1"/>
    <x v="13"/>
    <x v="8"/>
    <x v="111"/>
    <s v="Periodo 2014-2021"/>
    <s v="Número de vehículos"/>
    <s v="Ministerio de Transportes y Telecomunicaciones"/>
    <s v="Evolución del Parque Vehicular de Taxis en la Región Metropolitana"/>
    <s v="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
    <s v="Gráfico de Evolución"/>
    <s v="Región Metropolitana,taxis,parque,vehicular,cantidad,vehículos,transporte,regional,Agencia Información,Transporte y tránsito,Parque Vehicular Taxis,Transporte"/>
    <s v="https://analytics.zoho.com/open-view/2395394000008741200?ZOHO_CRITERIA=%22Consolidado_Estadisticas_Regionales_New%22.%22C%C3%B3digo%20regi%C3%B3n%22%20%3D%2013"/>
    <x v="13"/>
    <s v="#1774B276"/>
  </r>
  <r>
    <s v="1656"/>
    <n v="990"/>
    <s v="Agencia Información"/>
    <s v="Transporte y tránsito"/>
    <n v="14"/>
    <x v="87"/>
    <x v="21"/>
    <x v="1"/>
    <x v="14"/>
    <x v="8"/>
    <x v="111"/>
    <s v="Periodo 2014-2021"/>
    <s v="Número de vehículos"/>
    <s v="Ministerio de Transportes y Telecomunicaciones"/>
    <s v="Evolución del Parque Vehicular de Taxis en la Región de Los Ríos"/>
    <s v="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
    <s v="Gráfico de Evolución"/>
    <s v="Región de Los Ríos,taxis,parque,vehicular,cantidad,vehículos,transporte,regional,Agencia Información,Transporte y tránsito,Parque Vehicular Taxis,Transporte"/>
    <s v="https://analytics.zoho.com/open-view/2395394000008741200?ZOHO_CRITERIA=%22Consolidado_Estadisticas_Regionales_New%22.%22C%C3%B3digo%20regi%C3%B3n%22%20%3D%2014"/>
    <x v="14"/>
    <s v="#1774B277"/>
  </r>
  <r>
    <s v="1657"/>
    <n v="990"/>
    <s v="Agencia Información"/>
    <s v="Transporte y tránsito"/>
    <n v="15"/>
    <x v="87"/>
    <x v="21"/>
    <x v="1"/>
    <x v="15"/>
    <x v="8"/>
    <x v="111"/>
    <s v="Periodo 2014-2021"/>
    <s v="Número de vehículos"/>
    <s v="Ministerio de Transportes y Telecomunicaciones"/>
    <s v="Evolución del Parque Vehicular de Taxis en la Región de Arica y Parinacota"/>
    <s v="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
    <s v="Gráfico de Evolución"/>
    <s v="Región de Arica y Parinacota,taxis,parque,vehicular,cantidad,vehículos,transporte,regional,Agencia Información,Transporte y tránsito,Parque Vehicular Taxis,Transporte"/>
    <s v="https://analytics.zoho.com/open-view/2395394000008741200?ZOHO_CRITERIA=%22Consolidado_Estadisticas_Regionales_New%22.%22C%C3%B3digo%20regi%C3%B3n%22%20%3D%2015"/>
    <x v="15"/>
    <s v="#1774B278"/>
  </r>
  <r>
    <s v="1658"/>
    <n v="990"/>
    <s v="Agencia Información"/>
    <s v="Transporte y tránsito"/>
    <n v="16"/>
    <x v="87"/>
    <x v="21"/>
    <x v="1"/>
    <x v="16"/>
    <x v="8"/>
    <x v="111"/>
    <s v="Periodo 2014-2021"/>
    <s v="Número de vehículos"/>
    <s v="Ministerio de Transportes y Telecomunicaciones"/>
    <s v="Evolución del Parque Vehicular de Taxis en la Región de Ñuble"/>
    <s v="En el período comprendido entre los años 2014 y 2021, el parque vehicular de taxis en la región de Ñuble alcanzó su mínimo en diciembre de 2020, con 2.015 vehículos. El máximo se registró en junio de 2020, con 2.062 taxis. El promedio regional es de 2.049 vehículos."/>
    <s v="Gráfico de Evolución"/>
    <s v="Región de Ñuble,taxis,parque,vehicular,cantidad,vehículos,transporte,regional,Agencia Información,Transporte y tránsito,Parque Vehicular Taxis,Transporte"/>
    <s v="https://analytics.zoho.com/open-view/2395394000008741200?ZOHO_CRITERIA=%22Consolidado_Estadisticas_Regionales_New%22.%22C%C3%B3digo%20regi%C3%B3n%22%20%3D%2016"/>
    <x v="16"/>
    <s v="#1774B279"/>
  </r>
  <r>
    <s v="1659"/>
    <n v="990"/>
    <s v="Agencia Información"/>
    <s v="Economía"/>
    <n v="0"/>
    <x v="88"/>
    <x v="34"/>
    <x v="0"/>
    <x v="0"/>
    <x v="17"/>
    <x v="112"/>
    <s v="Periodo 2014-2021"/>
    <s v="Toneladas"/>
    <s v="Ministerio de Transportes y Telecomunicaciones"/>
    <s v="Evolución del Movimiento de Carga Portuaria Embarcada al Exterior a Escala Nacional"/>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Chile,movimiento,transporte,carga,portuaria,embarque,exterior,nacional,Agencia Información,Economía,Carga Portuaria,Economía"/>
    <s v="https://analytics.zoho.com/open-view/2395394000008744153"/>
    <x v="0"/>
    <s v="#1774B280"/>
  </r>
  <r>
    <s v="1660"/>
    <n v="990"/>
    <s v="Agencia Información"/>
    <s v="Economía"/>
    <n v="1"/>
    <x v="88"/>
    <x v="34"/>
    <x v="1"/>
    <x v="1"/>
    <x v="8"/>
    <x v="112"/>
    <s v="Periodo 2014-2021"/>
    <s v="Toneladas"/>
    <s v="Ministerio de Transportes y Telecomunicaciones"/>
    <s v="Evolución del Movimiento de Carga Portuaria Embarcada al Exterior en la Región de Tarapacá"/>
    <s v="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
    <s v="Gráfico de Evolución"/>
    <s v="Región de Tarapacá,movimiento,transporte,carga,portuaria,embarque,exterior,regional,Agencia Información,Economía,Carga Portuaria,Economía"/>
    <s v="https://analytics.zoho.com/open-view/2395394000008744325?ZOHO_CRITERIA=%22Consolidado_Estadisticas_Regionales_New%22.%22C%C3%B3digo%20regi%C3%B3n%22%20%3D%201"/>
    <x v="1"/>
    <s v="#1774B281"/>
  </r>
  <r>
    <s v="1661"/>
    <n v="990"/>
    <s v="Agencia Información"/>
    <s v="Economía"/>
    <n v="5"/>
    <x v="88"/>
    <x v="34"/>
    <x v="1"/>
    <x v="5"/>
    <x v="8"/>
    <x v="112"/>
    <s v="Periodo 2014-2021"/>
    <s v="Toneladas"/>
    <s v="Ministerio de Transportes y Telecomunicaciones"/>
    <s v="Evolución del Movimiento de Carga Portuaria Embarcada al Exterior en la Región de Valparaíso"/>
    <s v="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
    <s v="Gráfico de Evolución"/>
    <s v="Región de Valparaíso,movimiento,transporte,carga,portuaria,embarque,exterior,regional,Agencia Información,Economía,Carga Portuaria,Economía"/>
    <s v="https://analytics.zoho.com/open-view/2395394000008744325?ZOHO_CRITERIA=%22Consolidado_Estadisticas_Regionales_New%22.%22C%C3%B3digo%20regi%C3%B3n%22%20%3D%205"/>
    <x v="5"/>
    <s v="#1774B282"/>
  </r>
  <r>
    <s v="1662"/>
    <n v="990"/>
    <s v="Agencia Información"/>
    <s v="Economía"/>
    <n v="8"/>
    <x v="88"/>
    <x v="34"/>
    <x v="1"/>
    <x v="8"/>
    <x v="8"/>
    <x v="112"/>
    <s v="Periodo 2014-2021"/>
    <s v="Toneladas"/>
    <s v="Ministerio de Transportes y Telecomunicaciones"/>
    <s v="Evolución del Movimiento de Carga Portuaria Embarcada al Exterior en la Región del Biobío"/>
    <s v="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
    <s v="Gráfico de Evolución"/>
    <s v="Región del Biobío,movimiento,transporte,carga,portuaria,embarque,exterior,regional,Agencia Información,Economía,Carga Portuaria,Economía"/>
    <s v="https://analytics.zoho.com/open-view/2395394000008744325?ZOHO_CRITERIA=%22Consolidado_Estadisticas_Regionales_New%22.%22C%C3%B3digo%20regi%C3%B3n%22%20%3D%208"/>
    <x v="8"/>
    <s v="#1774B283"/>
  </r>
  <r>
    <s v="1663"/>
    <n v="990"/>
    <s v="Agencia Información"/>
    <s v="Vivienda y Construcción"/>
    <n v="0"/>
    <x v="89"/>
    <x v="22"/>
    <x v="0"/>
    <x v="0"/>
    <x v="8"/>
    <x v="113"/>
    <s v="Periodo 2014-2021"/>
    <s v="m2"/>
    <s v="Instituto Nacional de Estadísticas (INE)"/>
    <s v="Evolución de la Superficie de las solicitudes de edificación Habitacional autorizada para construcción de Obras Nuevas a Escala Nacional, Periodo 2014-2021"/>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Chile,evolución,superficie,autorizada,habitacional,obras,nuevas,vivienda,construcción,nacional,Agencia Información,Vivienda y Construcción,Superficie Autorizada Habitacional (Obras Nuevas),Vivienda y Construcción"/>
    <s v="https://analytics.zoho.com/open-view/2395394000008744684"/>
    <x v="0"/>
    <s v="#1774B284"/>
  </r>
  <r>
    <s v="1664"/>
    <n v="990"/>
    <s v="Agencia Información"/>
    <s v="Vivienda y Construcción"/>
    <n v="1"/>
    <x v="89"/>
    <x v="22"/>
    <x v="1"/>
    <x v="1"/>
    <x v="17"/>
    <x v="113"/>
    <s v="Periodo 2014-2021"/>
    <s v="m2"/>
    <s v="Instituto Nacional de Estadísticas (INE)"/>
    <s v="Evolución de la Superficie de las solicitudes de edificación habitacional autorizada para construcción de Obras Nuevas en la Región de Tarapacá, Periodo 2014-2021"/>
    <s v="En la Región de Tarapacá, durante el periodo 2014-2021, el máximo de &quot;Superficie Autorizada Habitacional (Obras Nuevas)&quot; se verifica en julio de 2015 con 110.292 m2. En promedio se autorizan del orden de 18.103 m2 mensualmente en el periodo señalado."/>
    <s v="Gráfico de Evolución"/>
    <s v="Región de Tarapacá,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
    <x v="1"/>
    <s v="#1774B285"/>
  </r>
  <r>
    <s v="1665"/>
    <n v="990"/>
    <s v="Agencia Información"/>
    <s v="Vivienda y Construcción"/>
    <n v="2"/>
    <x v="89"/>
    <x v="22"/>
    <x v="1"/>
    <x v="2"/>
    <x v="8"/>
    <x v="113"/>
    <s v="Periodo 2014-2021"/>
    <s v="m2"/>
    <s v="Instituto Nacional de Estadísticas (INE)"/>
    <s v="Evolución de la Superficie de las solicitudes de edificación habitacional autorizada para construcción de Obras Nuevas en la Región de Antofagasta, Periodo 2014-2021"/>
    <s v="En la Región de Antofagasta, durante el periodo 2014-2021, el máximo de &quot;Superficie Autorizada Habitacional (Obras Nuevas)&quot; se verifica en mayo de 2019 con 296.118 m2. En promedio se autorizan del orden de 27.080 m2 mensualmente en el periodo señalado."/>
    <s v="Gráfico de Evolución"/>
    <s v="Región de Antofagast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2"/>
    <x v="2"/>
    <s v="#1774B286"/>
  </r>
  <r>
    <s v="1666"/>
    <n v="990"/>
    <s v="Agencia Información"/>
    <s v="Vivienda y Construcción"/>
    <n v="3"/>
    <x v="89"/>
    <x v="22"/>
    <x v="1"/>
    <x v="3"/>
    <x v="8"/>
    <x v="113"/>
    <s v="Periodo 2014-2021"/>
    <s v="m2"/>
    <s v="Instituto Nacional de Estadísticas (INE)"/>
    <s v="Evolución de la Superficie de las solicitudes de edificación habitacional autorizada para construcción de Obras Nuevas en la Región de Atacama, Periodo 2014-2021"/>
    <s v="En la Región de Atacama, durante el periodo 2014-2021, el máximo de &quot;Superficie Autorizada Habitacional (Obras Nuevas)&quot; se verifica en noviembre de 2015 con 65.262 m2. En promedio se autorizan del orden de 9.270 m2 mensualmente en el periodo señalado."/>
    <s v="Gráfico de Evolución"/>
    <s v="Región de Atacam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3"/>
    <x v="3"/>
    <s v="#1774B287"/>
  </r>
  <r>
    <s v="1667"/>
    <n v="990"/>
    <s v="Agencia Información"/>
    <s v="Vivienda y Construcción"/>
    <n v="4"/>
    <x v="89"/>
    <x v="22"/>
    <x v="1"/>
    <x v="4"/>
    <x v="8"/>
    <x v="113"/>
    <s v="Periodo 2014-2021"/>
    <s v="m2"/>
    <s v="Instituto Nacional de Estadísticas (INE)"/>
    <s v="Evolución de la Superficie de las solicitudes de edificación habitacional autorizada para construcción de Obras Nuevas en la Región de Coquimbo, Periodo 2014-2021"/>
    <s v="En la Región de Coquimbo, durante el periodo 2014-2021, el máximo de &quot;Superficie Autorizada Habitacional (Obras Nuevas)&quot; se verifica en octubre de 2019 con 155.751 m2. En promedio se autorizan del orden de 42.640 m2 mensualmente en el periodo señalado."/>
    <s v="Gráfico de Evolución"/>
    <s v="Región de Coquimbo,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4"/>
    <x v="4"/>
    <s v="#1774B288"/>
  </r>
  <r>
    <s v="1668"/>
    <n v="990"/>
    <s v="Agencia Información"/>
    <s v="Vivienda y Construcción"/>
    <n v="5"/>
    <x v="89"/>
    <x v="22"/>
    <x v="1"/>
    <x v="5"/>
    <x v="8"/>
    <x v="113"/>
    <s v="Periodo 2014-2021"/>
    <s v="m2"/>
    <s v="Instituto Nacional de Estadísticas (INE)"/>
    <s v="Evolución de la Superficie de las solicitudes de edificación habitacional autorizada para construcción de Obras Nuevas en la Región de Valparaíso, Periodo 2014-2021"/>
    <s v="En la Región de Valparaíso, durante el periodo 2014-2021, el máximo de &quot;Superficie Autorizada Habitacional (Obras Nuevas)&quot; se verifica en diciembre de 2015 con 357.821 m2. En promedio se autorizan del orden de 110.028 m2 mensualmente en el periodo señalado."/>
    <s v="Gráfico de Evolución"/>
    <s v="Región de Valparaíso,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5"/>
    <x v="5"/>
    <s v="#1774B289"/>
  </r>
  <r>
    <s v="1669"/>
    <n v="990"/>
    <s v="Agencia Información"/>
    <s v="Vivienda y Construcción"/>
    <n v="6"/>
    <x v="89"/>
    <x v="22"/>
    <x v="1"/>
    <x v="6"/>
    <x v="8"/>
    <x v="113"/>
    <s v="Periodo 2014-2021"/>
    <s v="m2"/>
    <s v="Instituto Nacional de Estadísticas (INE)"/>
    <s v="Evolución de la Superficie de las solicitudes de edificación habitacional autorizada para construcción de Obras Nuevas en la Región de O'Higgins, Periodo 2014-2021"/>
    <s v="En la Región de O'Higgins, durante el periodo 2014-2021, el máximo de &quot;Superficie Autorizada Habitacional (Obras Nuevas)&quot; se verifica en mayo de 2018 con 140.490 m2. En promedio se autorizan del orden de 42.554 m2 mensualmente en el periodo señalado."/>
    <s v="Gráfico de Evolución"/>
    <s v="Región de O'Higgin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6"/>
    <x v="6"/>
    <s v="#1774B290"/>
  </r>
  <r>
    <s v="1670"/>
    <n v="990"/>
    <s v="Agencia Información"/>
    <s v="Vivienda y Construcción"/>
    <n v="7"/>
    <x v="89"/>
    <x v="22"/>
    <x v="1"/>
    <x v="7"/>
    <x v="8"/>
    <x v="113"/>
    <s v="Periodo 2014-2021"/>
    <s v="m2"/>
    <s v="Instituto Nacional de Estadísticas (INE)"/>
    <s v="Evolución de la Superficie de las solicitudes de edificación habitacional autorizada para construcción de Obras Nuevas en la Región de Maule, Periodo 2014-2021"/>
    <s v="En la Región de Maule, durante el periodo 2014-2021, el máximo de &quot;Superficie Autorizada Habitacional (Obras Nuevas)&quot; se verifica en enero de 2020 con 164.975 m2. En promedio se autorizan del orden de 54.645 m2 mensualmente en el periodo señalado."/>
    <s v="Gráfico de Evolución"/>
    <s v="Región de Maule,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7"/>
    <x v="7"/>
    <s v="#1774B291"/>
  </r>
  <r>
    <s v="1671"/>
    <n v="990"/>
    <s v="Agencia Información"/>
    <s v="Vivienda y Construcción"/>
    <n v="8"/>
    <x v="89"/>
    <x v="22"/>
    <x v="1"/>
    <x v="8"/>
    <x v="8"/>
    <x v="113"/>
    <s v="Periodo 2014-2021"/>
    <s v="m2"/>
    <s v="Instituto Nacional de Estadísticas (INE)"/>
    <s v="Evolución de la Superficie de las solicitudes de edificación habitacional autorizada para construcción de Obras Nuevas en la Región del Biobío, Periodo 2014-2021"/>
    <s v="En la Región del Biobío, durante el periodo 2014-2021, el máximo de &quot;Superficie Autorizada Habitacional (Obras Nuevas)&quot; se verifica en diciembre de 2015 con 250.598 m2. En promedio se autorizan del orden de 101.130 m2 mensualmente en el periodo señalado."/>
    <s v="Gráfico de Evolución"/>
    <s v="Región del Biobío,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8"/>
    <x v="8"/>
    <s v="#1774B292"/>
  </r>
  <r>
    <s v="1672"/>
    <n v="990"/>
    <s v="Agencia Información"/>
    <s v="Vivienda y Construcción"/>
    <n v="9"/>
    <x v="89"/>
    <x v="22"/>
    <x v="1"/>
    <x v="9"/>
    <x v="8"/>
    <x v="113"/>
    <s v="Periodo 2014-2021"/>
    <s v="m2"/>
    <s v="Instituto Nacional de Estadísticas (INE)"/>
    <s v="Evolución de la Superficie de las solicitudes de edificación habitacional autorizada para construcción de Obras Nuevas en la Región de La Araucanía, Periodo 2014-2021"/>
    <s v="En la Región de La Araucanía, durante el periodo 2014-2021, el máximo de &quot;Superficie Autorizada Habitacional (Obras Nuevas)&quot; se verifica en mayo de 2018 con 126.568 m2. En promedio se autorizan del orden de 54.180 m2 mensualmente en el periodo señalado."/>
    <s v="Gráfico de Evolución"/>
    <s v="Región de La Araucaní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9"/>
    <x v="9"/>
    <s v="#1774B293"/>
  </r>
  <r>
    <s v="1673"/>
    <n v="990"/>
    <s v="Agencia Información"/>
    <s v="Vivienda y Construcción"/>
    <n v="10"/>
    <x v="89"/>
    <x v="22"/>
    <x v="1"/>
    <x v="10"/>
    <x v="8"/>
    <x v="113"/>
    <s v="Periodo 2014-2021"/>
    <s v="m2"/>
    <s v="Instituto Nacional de Estadísticas (INE)"/>
    <s v="Evolución de la Superficie de las solicitudes de edificación habitacional autorizada para construcción de Obras Nuevas en la Región de Los Lagos, Periodo 2014-2021"/>
    <s v="En la Región de Los Lagos, durante el periodo 2014-2021, el máximo de &quot;Superficie Autorizada Habitacional (Obras Nuevas)&quot; se verifica en abril de 2014 con 111.084 m2. En promedio se autorizan del orden de 35.003 m2 mensualmente en el periodo señalado."/>
    <s v="Gráfico de Evolución"/>
    <s v="Región de Los Lago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0"/>
    <x v="10"/>
    <s v="#1774B294"/>
  </r>
  <r>
    <s v="1674"/>
    <n v="990"/>
    <s v="Agencia Información"/>
    <s v="Vivienda y Construcción"/>
    <n v="11"/>
    <x v="89"/>
    <x v="22"/>
    <x v="1"/>
    <x v="11"/>
    <x v="8"/>
    <x v="113"/>
    <s v="Periodo 2014-2021"/>
    <s v="m2"/>
    <s v="Instituto Nacional de Estadísticas (INE)"/>
    <s v="Evolución de la Superficie de las solicitudes de edificación habitacional autorizada para construcción de Obras Nuevas en la Región de Aysén, Periodo 2014-2021"/>
    <s v="En la Región de Aysén, durante el periodo 2014-2021, el máximo de &quot;Superficie Autorizada Habitacional (Obras Nuevas)&quot; se verifica en julio de 2020 con 20.037 m2. En promedio se autorizan del orden de 4.534 m2 mensualmente en el periodo señalado."/>
    <s v="Gráfico de Evolución"/>
    <s v="Región de Aysén,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1"/>
    <x v="11"/>
    <s v="#1774B295"/>
  </r>
  <r>
    <s v="1675"/>
    <n v="990"/>
    <s v="Agencia Información"/>
    <s v="Vivienda y Construcción"/>
    <n v="12"/>
    <x v="89"/>
    <x v="22"/>
    <x v="1"/>
    <x v="12"/>
    <x v="8"/>
    <x v="113"/>
    <s v="Periodo 2014-2021"/>
    <s v="m2"/>
    <s v="Instituto Nacional de Estadísticas (INE)"/>
    <s v="Evolución de la Superficie de las solicitudes de edificación habitacional autorizada para construcción de Obras Nuevas en la Región de Magallanes, Periodo 2014-2021"/>
    <s v="En la Región de Magallanes, durante el periodo 2014-2021, el máximo de &quot;Superficie Autorizada Habitacional (Obras Nuevas)&quot; se verifica en agosto de 2018 con 27.477 m2. En promedio se autorizan del orden de 5.875 m2 mensualmente en el periodo señalado."/>
    <s v="Gráfico de Evolución"/>
    <s v="Región de Magallane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2"/>
    <x v="12"/>
    <s v="#1774B296"/>
  </r>
  <r>
    <s v="1676"/>
    <n v="990"/>
    <s v="Agencia Información"/>
    <s v="Vivienda y Construcción"/>
    <n v="13"/>
    <x v="89"/>
    <x v="22"/>
    <x v="1"/>
    <x v="13"/>
    <x v="8"/>
    <x v="113"/>
    <s v="Periodo 2014-2021"/>
    <s v="m2"/>
    <s v="Instituto Nacional de Estadísticas (INE)"/>
    <s v="Evolución de la Superficie de las solicitudes de edificación habitacional autorizada para construcción de Obras Nuevas en la Región Metropolitana, Periodo 2014-2021"/>
    <s v="En la Región Metropolitana, durante el periodo 2014-2021, el máximo de &quot;Superficie Autorizada Habitacional (Obras Nuevas)&quot; se verifica en diciembre de 2015 con 1.490.038 m2. En promedio se autorizan del orden de 437.510 m2 mensualmente en el periodo señalado."/>
    <s v="Gráfico de Evolución"/>
    <s v="Región Metropolitan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3"/>
    <x v="13"/>
    <s v="#1774B297"/>
  </r>
  <r>
    <s v="1677"/>
    <n v="990"/>
    <s v="Agencia Información"/>
    <s v="Vivienda y Construcción"/>
    <n v="14"/>
    <x v="89"/>
    <x v="22"/>
    <x v="1"/>
    <x v="14"/>
    <x v="8"/>
    <x v="113"/>
    <s v="Periodo 2014-2021"/>
    <s v="m2"/>
    <s v="Instituto Nacional de Estadísticas (INE)"/>
    <s v="Evolución de la Superficie de las solicitudes de edificación habitacional autorizada para construcción de Obras Nuevas en la Región de Los Ríos, Periodo 2014-2021"/>
    <s v="En la Región de Los Ríos, durante el periodo 2014-2021, el máximo de &quot;Superficie Autorizada Habitacional (Obras Nuevas)&quot; se verifica en mayo de 2018 con 71.736 m2. En promedio se autorizan del orden de 18.799 m2 mensualmente en el periodo señalado."/>
    <s v="Gráfico de Evolución"/>
    <s v="Región de Los Ríos,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4"/>
    <x v="14"/>
    <s v="#1774B298"/>
  </r>
  <r>
    <s v="1678"/>
    <n v="990"/>
    <s v="Agencia Información"/>
    <s v="Vivienda y Construcción"/>
    <n v="15"/>
    <x v="89"/>
    <x v="22"/>
    <x v="1"/>
    <x v="15"/>
    <x v="8"/>
    <x v="113"/>
    <s v="Periodo 2014-2021"/>
    <s v="m2"/>
    <s v="Instituto Nacional de Estadísticas (INE)"/>
    <s v="Evolución de la Superficie de las solicitudes de edificación habitacional autorizada para construcción de Obras Nuevas en la Región de Arica y Parinacota, Periodo 2014-2021"/>
    <s v="En la Región de Arica y Parinacota, durante el periodo 2014-2021, el máximo de &quot;Superficie Autorizada Habitacional (Obras Nuevas)&quot; se verifica en agosto de 2020 con 105.493 m2. En promedio se autorizan del orden de 10.691 m2 mensualmente en el periodo señalado."/>
    <s v="Gráfico de Evolución"/>
    <s v="Región de Arica y Parinacota,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5"/>
    <x v="15"/>
    <s v="#1774B299"/>
  </r>
  <r>
    <s v="1679"/>
    <n v="990"/>
    <s v="Agencia Información"/>
    <s v="Vivienda y Construcción"/>
    <n v="16"/>
    <x v="89"/>
    <x v="22"/>
    <x v="1"/>
    <x v="16"/>
    <x v="8"/>
    <x v="113"/>
    <s v="Periodo 2014-2021"/>
    <s v="m2"/>
    <s v="Instituto Nacional de Estadísticas (INE)"/>
    <s v="Evolución de la Superficie de las solicitudes de edificación habitacional autorizada para construcción de Obras Nuevas en la Región de Ñuble, Periodo 2014-2021"/>
    <s v="En la Región de Ñuble, durante el periodo 2014-2021, el máximo de &quot;Superficie Autorizada Habitacional (Obras Nuevas)&quot; se verifica en noviembre de 2019 con 72.267 m2. En promedio se autorizan del orden de 23.934 m2 mensualmente en el periodo señalado."/>
    <s v="Gráfico de Evolución"/>
    <s v="Región de Ñuble,evolución,superficie,autorizada,habitacional,obras,nuevas,vivienda,construcción,regional,Agencia Información,Vivienda y Construcción,Superficie Autorizada Habitacional (Obras Nuevas),Vivienda y Construcción"/>
    <s v="https://analytics.zoho.com/open-view/2395394000008744885?ZOHO_CRITERIA=%22Consolidado_Estadisticas_Regionales_New%22.%22C%C3%B3digo%20regi%C3%B3n%22%20%3D%2016"/>
    <x v="16"/>
    <s v="#1774B300"/>
  </r>
  <r>
    <s v="1680"/>
    <n v="990"/>
    <s v="Agencia Información"/>
    <s v="Vivienda y Construcción"/>
    <n v="0"/>
    <x v="90"/>
    <x v="22"/>
    <x v="0"/>
    <x v="0"/>
    <x v="17"/>
    <x v="114"/>
    <s v="Periodo 2014-2021"/>
    <s v="Número de viviendas autorizadas"/>
    <s v="Instituto Nacional de Estadísticas (INE)"/>
    <s v="Evolución Mensual del Número de Viviendas Autorizadas para Construcción a Escala Nacional"/>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Chile,evolución,número,cantidad,viviendas,autorizadas,vivienda,nacional,Agencia Información,Vivienda y Construcción,Viviendas Autorizadas,Vivienda y Construcción"/>
    <s v="https://analytics.zoho.com/open-view/2395394000008745083"/>
    <x v="0"/>
    <s v="#1774B301"/>
  </r>
  <r>
    <s v="1681"/>
    <n v="990"/>
    <s v="Agencia Información"/>
    <s v="Vivienda y Construcción"/>
    <n v="1"/>
    <x v="90"/>
    <x v="22"/>
    <x v="1"/>
    <x v="1"/>
    <x v="8"/>
    <x v="114"/>
    <s v="Periodo 2014-2021"/>
    <s v="Número de viviendas autorizadas"/>
    <s v="Instituto Nacional de Estadísticas (INE)"/>
    <s v="Evolución Mensual del Número de Viviendas Autorizadas para Construcción en la Región de Tarapacá, Periodo 2014-2021"/>
    <s v="En la Región de Tarapacá, durante el periodo 2014-2021, el máximo de &quot;Viviendas Autorizadas&quot; se verifica en Diciembre de 2015 con 1.391 viviendas. En promedio se autorizan 228 viviendas mensualmente en el periodo señalado."/>
    <s v="Gráfico de Evolución"/>
    <s v="Región de Tarapacá,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
    <x v="1"/>
    <s v="#1774B302"/>
  </r>
  <r>
    <s v="1682"/>
    <n v="990"/>
    <s v="Agencia Información"/>
    <s v="Vivienda y Construcción"/>
    <n v="2"/>
    <x v="90"/>
    <x v="22"/>
    <x v="1"/>
    <x v="2"/>
    <x v="8"/>
    <x v="114"/>
    <s v="Periodo 2014-2021"/>
    <s v="Número de viviendas autorizadas"/>
    <s v="Instituto Nacional de Estadísticas (INE)"/>
    <s v="Evolución Mensual del Número de Viviendas Autorizadas para Construcción en la Región de Antofagasta, Periodo 2014-2021"/>
    <s v="En la Región de Antofagasta, durante el periodo 2014-2021, el máximo de &quot;Viviendas Autorizadas&quot; se verifica en mayo de 2019 con 3.199 viviendas. En promedio se autorizan 329 viviendas mensualmente en el periodo señalado."/>
    <s v="Gráfico de Evolución"/>
    <s v="Región de Antofagast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2"/>
    <x v="2"/>
    <s v="#1774B303"/>
  </r>
  <r>
    <s v="1683"/>
    <n v="990"/>
    <s v="Agencia Información"/>
    <s v="Vivienda y Construcción"/>
    <n v="3"/>
    <x v="90"/>
    <x v="22"/>
    <x v="1"/>
    <x v="3"/>
    <x v="8"/>
    <x v="114"/>
    <s v="Periodo 2014-2021"/>
    <s v="Número de viviendas autorizadas"/>
    <s v="Instituto Nacional de Estadísticas (INE)"/>
    <s v="Evolución Mensual del Número de Viviendas Autorizadas para Construcción en la Región de Atacama, Periodo 2014-2021"/>
    <s v="En la Región de Atacama, durante el periodo 2014-2021, el máximo de &quot;Viviendas Autorizadas&quot; se verifica en noviembre de 2015 con 1.091 viviendas. En promedio se autorizan 161 viviendas mensualmente en el periodo señalado."/>
    <s v="Gráfico de Evolución"/>
    <s v="Región de Atacam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3"/>
    <x v="3"/>
    <s v="#1774B304"/>
  </r>
  <r>
    <s v="1684"/>
    <n v="990"/>
    <s v="Agencia Información"/>
    <s v="Vivienda y Construcción"/>
    <n v="4"/>
    <x v="90"/>
    <x v="22"/>
    <x v="1"/>
    <x v="4"/>
    <x v="8"/>
    <x v="114"/>
    <s v="Periodo 2014-2021"/>
    <s v="Número de viviendas autorizadas"/>
    <s v="Instituto Nacional de Estadísticas (INE)"/>
    <s v="Evolución Mensual del Número de Viviendas Autorizadas para Construcción en la Región de Coquimbo, Periodo 2014-2021"/>
    <s v="En la Región de Coquimbo, durante el periodo 2014-2021, el máximo de &quot;Viviendas Autorizadas&quot; se verifica en diciembre de 2015 con 2.463 viviendas. En promedio se autorizan 688 viviendas mensualmente en el periodo señalado."/>
    <s v="Gráfico de Evolución"/>
    <s v="Región de Coquimbo,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4"/>
    <x v="4"/>
    <s v="#1774B305"/>
  </r>
  <r>
    <s v="1685"/>
    <n v="990"/>
    <s v="Agencia Información"/>
    <s v="Vivienda y Construcción"/>
    <n v="6"/>
    <x v="90"/>
    <x v="22"/>
    <x v="1"/>
    <x v="6"/>
    <x v="8"/>
    <x v="114"/>
    <s v="Periodo 2014-2021"/>
    <s v="Número de viviendas autorizadas"/>
    <s v="Instituto Nacional de Estadísticas (INE)"/>
    <s v="Evolución Mensual del Número de Viviendas Autorizadas para Construcción en la Región de O'Higgins, Periodo 2014-2021"/>
    <s v="En la Región de O'Higgins, durante el periodo 2014-2021, el máximo de &quot;Viviendas Autorizadas&quot; se verifica en enero de 2014 con 1.996 viviendas. En promedio se autorizan 662 viviendas mensualmente en el periodo señalado."/>
    <s v="Gráfico de Evolución"/>
    <s v="Región de O'Higgin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6"/>
    <x v="6"/>
    <s v="#1774B307"/>
  </r>
  <r>
    <s v="1686"/>
    <n v="990"/>
    <s v="Agencia Información"/>
    <s v="Vivienda y Construcción"/>
    <n v="7"/>
    <x v="90"/>
    <x v="22"/>
    <x v="1"/>
    <x v="7"/>
    <x v="8"/>
    <x v="114"/>
    <s v="Periodo 2014-2021"/>
    <s v="Número de viviendas autorizadas"/>
    <s v="Instituto Nacional de Estadísticas (INE)"/>
    <s v="Evolución Mensual del Número de Viviendas Autorizadas para Construcción en la Región de Maule, Periodo 2014-2021"/>
    <s v="En la Región de Maule, durante el periodo 2014-2021, el máximo de &quot;Viviendas Autorizadas&quot; se verifica en enero de 2020 con 2.333 viviendas. En promedio se autorizan 1.006 viviendas mensualmente en el periodo señalado."/>
    <s v="Gráfico de Evolución"/>
    <s v="Región de Maule,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7"/>
    <x v="7"/>
    <s v="#1774B308"/>
  </r>
  <r>
    <s v="1687"/>
    <n v="990"/>
    <s v="Agencia Información"/>
    <s v="Vivienda y Construcción"/>
    <n v="8"/>
    <x v="90"/>
    <x v="22"/>
    <x v="1"/>
    <x v="8"/>
    <x v="8"/>
    <x v="114"/>
    <s v="Periodo 2014-2021"/>
    <s v="Número de viviendas autorizadas"/>
    <s v="Instituto Nacional de Estadísticas (INE)"/>
    <s v="Evolución Mensual del Número de Viviendas Autorizadas para Construcción en la Región del Biobío, Periodo 2014-2021"/>
    <s v="En la Región del Biobío, durante el periodo 2014-2021, el máximo de &quot;Viviendas Autorizadas&quot; se verifica en enero de 2018 con 4.251 viviendas. En promedio se autorizan 1.743 viviendas mensualmente en el periodo señalado."/>
    <s v="Gráfico de Evolución"/>
    <s v="Región del Biobío,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8"/>
    <x v="8"/>
    <s v="#1774B309"/>
  </r>
  <r>
    <s v="1688"/>
    <n v="990"/>
    <s v="Agencia Información"/>
    <s v="Vivienda y Construcción"/>
    <n v="9"/>
    <x v="90"/>
    <x v="22"/>
    <x v="1"/>
    <x v="9"/>
    <x v="8"/>
    <x v="114"/>
    <s v="Periodo 2014-2021"/>
    <s v="Número de viviendas autorizadas"/>
    <s v="Instituto Nacional de Estadísticas (INE)"/>
    <s v="Evolución Mensual del Número de Viviendas Autorizadas para Construcción en la Región de La Araucanía, Periodo 2014-2021"/>
    <s v="En la Región de Araucanía, durante el periodo 2014-2021, el máximo de &quot;Viviendas Autorizadas&quot; se verifica en abril de 2019 con 2.128 viviendas. En promedio se autorizan 1.049 viviendas mensualmente en el periodo señalado."/>
    <s v="Gráfico de Evolución"/>
    <s v="Región de La Araucaní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9"/>
    <x v="9"/>
    <s v="#1774B310"/>
  </r>
  <r>
    <s v="1689"/>
    <n v="990"/>
    <s v="Agencia Información"/>
    <s v="Vivienda y Construcción"/>
    <n v="10"/>
    <x v="90"/>
    <x v="22"/>
    <x v="1"/>
    <x v="10"/>
    <x v="8"/>
    <x v="114"/>
    <s v="Periodo 2014-2021"/>
    <s v="Número de viviendas autorizadas"/>
    <s v="Instituto Nacional de Estadísticas (INE)"/>
    <s v="Evolución Mensual del Número de Viviendas Autorizadas para Construcción en la Región de Los Lagos, Periodo 2014-2021"/>
    <s v="En la Región de Los Lagos, durante el periodo 2014-2021, el máximo de &quot;Viviendas Autorizadas&quot; se verifica en abril de 2014 con 1.819 viviendas. En promedio se autorizan 580 viviendas mensualmente en el periodo señalado."/>
    <s v="Gráfico de Evolución"/>
    <s v="Región de Los Lago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0"/>
    <x v="10"/>
    <s v="#1774B311"/>
  </r>
  <r>
    <s v="1690"/>
    <n v="990"/>
    <s v="Agencia Información"/>
    <s v="Vivienda y Construcción"/>
    <n v="11"/>
    <x v="90"/>
    <x v="22"/>
    <x v="1"/>
    <x v="11"/>
    <x v="8"/>
    <x v="114"/>
    <s v="Periodo 2014-2021"/>
    <s v="Número de viviendas autorizadas"/>
    <s v="Instituto Nacional de Estadísticas (INE)"/>
    <s v="Evolución Mensual del Número de Viviendas Autorizadas para Construcción en la Región de Aysén, Periodo 2014-2021"/>
    <s v="En la Región de Aysén, durante el periodo 2014-2021, el máximo de &quot;Viviendas Autorizadas&quot; se verifica en julio de 2020 con 384 viviendas. En promedio se autorizan 70 viviendas mensualmente en el periodo señalado."/>
    <s v="Gráfico de Evolución"/>
    <s v="Región de Aysén,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1"/>
    <x v="11"/>
    <s v="#1774B312"/>
  </r>
  <r>
    <s v="1691"/>
    <n v="990"/>
    <s v="Agencia Información"/>
    <s v="Vivienda y Construcción"/>
    <n v="12"/>
    <x v="90"/>
    <x v="22"/>
    <x v="1"/>
    <x v="12"/>
    <x v="8"/>
    <x v="114"/>
    <s v="Periodo 2014-2021"/>
    <s v="Número de viviendas autorizadas"/>
    <s v="Instituto Nacional de Estadísticas (INE)"/>
    <s v="Evolución Mensual del Número de Viviendas Autorizadas para Construcción en la Región de Magallanes, Periodo 2014-2021"/>
    <s v="En la Región de Magallanes, durante el periodo 2014-2021, el máximo de &quot;Viviendas Autorizadas&quot; se verifica en agosto de 2018 con 448 viviendas. En promedio se autorizan 108 viviendas mensualmente en el periodo señalado."/>
    <s v="Gráfico de Evolución"/>
    <s v="Región de Magallane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2"/>
    <x v="12"/>
    <s v="#1774B313"/>
  </r>
  <r>
    <s v="1692"/>
    <n v="990"/>
    <s v="Agencia Información"/>
    <s v="Vivienda y Construcción"/>
    <n v="13"/>
    <x v="90"/>
    <x v="22"/>
    <x v="1"/>
    <x v="13"/>
    <x v="8"/>
    <x v="114"/>
    <s v="Periodo 2014-2021"/>
    <s v="Número de viviendas autorizadas"/>
    <s v="Instituto Nacional de Estadísticas (INE)"/>
    <s v="Evolución Mensual del Número de Viviendas Autorizadas para Construcción en la Región Metropolitana, Periodo 2014-2021"/>
    <s v="En la Región Metropolitana, durante el periodo 2014-2021, el máximo de &quot;Viviendas Autorizadas&quot; se verifica en diciembre de 2015 con 16.363 viviendas. En promedio se autorizan 5.460 viviendas mensualmente en el periodo señalado."/>
    <s v="Gráfico de Evolución"/>
    <s v="Región Metropolitan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3"/>
    <x v="13"/>
    <s v="#1774B314"/>
  </r>
  <r>
    <s v="1693"/>
    <n v="990"/>
    <s v="Agencia Información"/>
    <s v="Vivienda y Construcción"/>
    <n v="14"/>
    <x v="90"/>
    <x v="22"/>
    <x v="1"/>
    <x v="14"/>
    <x v="8"/>
    <x v="114"/>
    <s v="Periodo 2014-2021"/>
    <s v="Número de viviendas autorizadas"/>
    <s v="Instituto Nacional de Estadísticas (INE)"/>
    <s v="Evolución Mensual del Número de Viviendas Autorizadas para Construcción en la Región de Los Ríos, Periodo 2014-2021"/>
    <s v="En la Región de Los Ríos, durante el periodo 2014-2021, el máximo de &quot;Viviendas Autorizadas&quot; se verifica en mayo de 2018 con 1.044 viviendas. En promedio se autorizan 313 viviendas mensualmente en el periodo señalado."/>
    <s v="Gráfico de Evolución"/>
    <s v="Región de Los Ríos,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4"/>
    <x v="14"/>
    <s v="#1774B315"/>
  </r>
  <r>
    <s v="1694"/>
    <n v="990"/>
    <s v="Agencia Información"/>
    <s v="Vivienda y Construcción"/>
    <n v="15"/>
    <x v="90"/>
    <x v="22"/>
    <x v="1"/>
    <x v="15"/>
    <x v="8"/>
    <x v="114"/>
    <s v="Periodo 2014-2021"/>
    <s v="Número de viviendas autorizadas"/>
    <s v="Instituto Nacional de Estadísticas (INE)"/>
    <s v="Evolución Mensual del Número de Viviendas Autorizadas para Construcción en la Región de Arica y Parinacota, Periodo 2014-2021"/>
    <s v="En la Región de Arica y Parinacota, durante el periodo 2014-2021, el máximo de &quot;Viviendas Autorizadas&quot; se verifica en agosto de 2020 con 1.108 viviendas. En promedio se autorizan 155 viviendas mensualmente en el periodo señalado."/>
    <s v="Gráfico de Evolución"/>
    <s v="Región de Arica y Parinacota,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5"/>
    <x v="15"/>
    <s v="#1774B316"/>
  </r>
  <r>
    <s v="1695"/>
    <n v="990"/>
    <s v="Agencia Información"/>
    <s v="Vivienda y Construcción"/>
    <n v="16"/>
    <x v="90"/>
    <x v="22"/>
    <x v="1"/>
    <x v="16"/>
    <x v="8"/>
    <x v="114"/>
    <s v="Periodo 2014-2021"/>
    <s v="Número de viviendas autorizadas"/>
    <s v="Instituto Nacional de Estadísticas (INE)"/>
    <s v="Evolución Mensual del Número de Viviendas Autorizadas para Construcción en la Región de Ñuble, Periodo 2014-2021"/>
    <s v="En la Región de Ñuble, durante el periodo 2014-2021, el máximo de &quot;Viviendas Autorizadas&quot; se verifica en julio de 2019 con 916 viviendas. En promedio se autorizan 414 viviendas mensualmente en el periodo señalado."/>
    <s v="Gráfico de Evolución"/>
    <s v="Región de Ñuble,evolución,número,cantidad,viviendas,autorizadas,vivienda,regional,Agencia Información,Vivienda y Construcción,Viviendas Autorizadas,Vivienda y Construcción"/>
    <s v="https://analytics.zoho.com/open-view/2395394000008745260?ZOHO_CRITERIA=%22Consolidado_Estadisticas_Regionales_New%22.%22C%C3%B3digo%20regi%C3%B3n%22%20%3D%2016"/>
    <x v="16"/>
    <s v="#1774B317"/>
  </r>
  <r>
    <s v="1696"/>
    <n v="990"/>
    <s v="Agencia Información"/>
    <s v="Vivienda y Construcción"/>
    <n v="0"/>
    <x v="91"/>
    <x v="22"/>
    <x v="0"/>
    <x v="0"/>
    <x v="17"/>
    <x v="115"/>
    <s v="Periodo 2014-2021"/>
    <s v="m2"/>
    <s v="Instituto Nacional de Estadísticas (INE)"/>
    <s v="Evolución de la Superficie de las solicitudes de edificación No Habitacional autorizada para construcción de Ampliaciones de la industria, comercio y establecimientos financieros (ICEF) a Escala Nacional"/>
    <s v="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
    <s v="Gráfico de Evolución"/>
    <s v="Chile,superficie,no-habitacional,autorizada,ampliaciones,icef,industria,comercio,establecimientos,financieros,construcción,nacional,Agencia Información,Vivienda y Construcción,Superficie Autorizada No Habitacional (Ampliaciones ICEF),Vivienda y Construcción"/>
    <s v="https://analytics.zoho.com/open-view/2395394000008745431"/>
    <x v="0"/>
    <s v="#1774B318"/>
  </r>
  <r>
    <s v="1697"/>
    <n v="990"/>
    <s v="Agencia Información"/>
    <s v="Vivienda y Construcción"/>
    <n v="1"/>
    <x v="91"/>
    <x v="22"/>
    <x v="1"/>
    <x v="1"/>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Tarapacá, Periodo 2014-2021"/>
    <s v="En la Región de Tarapacá, durante el periodo 2014-2021, el máximo de &quot;Superficie Autorizada NO Habitacional (Ampliaciones)&quot; se verifica en octubre de 2014 con 25.071 m2, siendo esta superficie en su totalidad para ampliaciones de &quot;ICEF (Industria, Comercio y Establecimiento Financieros)&quot;, mientras que el máximo de autorizaciones para ampliaciones de &quot;Servicios&quot; se produce en mayo de 2016 con 11.755 m2."/>
    <s v="Gráfico de Evolución"/>
    <s v="Región de Tarapacá,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
    <x v="1"/>
    <s v="#1774B319"/>
  </r>
  <r>
    <s v="1698"/>
    <n v="990"/>
    <s v="Agencia Información"/>
    <s v="Vivienda y Construcción"/>
    <n v="2"/>
    <x v="91"/>
    <x v="22"/>
    <x v="1"/>
    <x v="2"/>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ntofagasta, Periodo 2014-2021"/>
    <s v="En la Región de Antofagasta, durante el periodo 2014-2021, el máximo de &quot;Superficie Autorizada NO Habitacional (Ampliaciones)&quot; se verifica en febrero de 2015 con 30.420 m2, fecha en que también se produce el máximo de autorizaciones para ampliaciones de &quot;ICEF (Industria, Comercio y Establecimiento Financieros)&quot; con 29.825 m2. Por su parte, el máximo de autorizaciones para ampliaciones de &quot;Servicios&quot; se produce en octubre de 2014 con 19.705 m2."/>
    <s v="Gráfico de Evolución"/>
    <s v="Región de Antofagast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2"/>
    <x v="2"/>
    <s v="#1774B320"/>
  </r>
  <r>
    <s v="1699"/>
    <n v="990"/>
    <s v="Agencia Información"/>
    <s v="Vivienda y Construcción"/>
    <n v="3"/>
    <x v="91"/>
    <x v="22"/>
    <x v="1"/>
    <x v="3"/>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tacama, Periodo 2014-2021"/>
    <s v="En la Región de Atacama, durante el periodo 2014-2021, el máximo de &quot;Superficie Autorizada NO Habitacional (Ampliaciones)&quot; se verifica en enero de 2017 con 12.820 m2. Por su parte, el máximo de autorizaciones para ampliaciones de &quot;ICEF (Industria, Comercio y Establecimiento Financieros)&quot; se observa en marzo de 2019 con 12.147 m2, mientras que el máximo de autorizaciones para ampliaciones de &quot;Servicios&quot; se produce en abril de 2018 con 3.535 m2."/>
    <s v="Gráfico de Evolución"/>
    <s v="Región de Atacam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3"/>
    <x v="3"/>
    <s v="#1774B321"/>
  </r>
  <r>
    <s v="1700"/>
    <n v="990"/>
    <s v="Agencia Información"/>
    <s v="Vivienda y Construcción"/>
    <n v="4"/>
    <x v="91"/>
    <x v="22"/>
    <x v="1"/>
    <x v="4"/>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Coquimbo, Periodo 2014-2021"/>
    <s v="En la Región de Coquimbo, durante el periodo 2014-2021, el máximo de &quot;Superficie Autorizada NO Habitacional (Ampliaciones)&quot; se verifica en diciembre de 2014 con 39.350 m2. Por su parte, el máximo de autorizaciones para ampliaciones de &quot;ICEF (Industria, Comercio y Establecimiento Financieros)&quot; se observa en enero de 2019 con 16.874 m2, mientras que el máximo de autorizaciones para ampliaciones de &quot;Servicios&quot; se produce en diciembre de 2014 con 37.220 m2."/>
    <s v="Gráfico de Evolución"/>
    <s v="Región de Coquimbo,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4"/>
    <x v="4"/>
    <s v="#1774B322"/>
  </r>
  <r>
    <s v="1701"/>
    <n v="990"/>
    <s v="Agencia Información"/>
    <s v="Vivienda y Construcción"/>
    <n v="5"/>
    <x v="91"/>
    <x v="22"/>
    <x v="1"/>
    <x v="5"/>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Valparaíso, Periodo 2014-2021"/>
    <s v="En la Región de Valparaíso, durante el periodo 2014-2021, el máximo de &quot;Superficie Autorizada NO Habitacional (Ampliaciones)&quot; se verifica en abril de 2021 con 42.862 m2. fecha en que también se produce el máximo de autorizaciones para ampliaciones de &quot;ICEF (Industria, Comercio y Establecimiento Financieros)&quot; con 40.609 m2. Por su parte, el máximo de autorizaciones para ampliaciones de &quot;Servicios&quot; se produce en marzo de 2021 con 22.379 m2."/>
    <s v="Gráfico de Evolución"/>
    <s v="Región de Valparaíso,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5"/>
    <x v="5"/>
    <s v="#1774B323"/>
  </r>
  <r>
    <s v="1702"/>
    <n v="990"/>
    <s v="Agencia Información"/>
    <s v="Vivienda y Construcción"/>
    <n v="6"/>
    <x v="91"/>
    <x v="22"/>
    <x v="1"/>
    <x v="6"/>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O'Higgins, Periodo 2014-2021"/>
    <s v="En la Región de O'Higgins, durante el periodo 2014-2021, el máximo de &quot;Superficie Autorizada NO Habitacional (Ampliaciones)&quot; se verifica en septiembre de 2020 con 74.349 m2. fecha en que también se produce el máximo de autorizaciones para ampliaciones de &quot;ICEF (Industria, Comercio y Establecimiento Financieros)&quot; con 73.313 m2. Por su parte, el máximo de autorizaciones para ampliaciones de &quot;Servicios&quot; se produce en agosto de 2014 con 12.950 m2."/>
    <s v="Gráfico de Evolución"/>
    <s v="Región de O'Higgin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6"/>
    <x v="6"/>
    <s v="#1774B324"/>
  </r>
  <r>
    <s v="1703"/>
    <n v="990"/>
    <s v="Agencia Información"/>
    <s v="Vivienda y Construcción"/>
    <n v="7"/>
    <x v="91"/>
    <x v="22"/>
    <x v="1"/>
    <x v="7"/>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Maule, Periodo 2014-2021"/>
    <s v="En la Región de Maule, durante el periodo 2014-2021, el máximo de &quot;Superficie Autorizada NO Habitacional (Ampliaciones)&quot; se verifica en marzo de 2017 con 83.541 m2. En ese mismo mes, se observan tanto el máximo de autorizaciones para ampliaciones de &quot;ICEF (Industria, Comercio y Establecimiento Financieros)&quot; con 48.897 m2, como el máximo de autorizaciones para ampliaciones de &quot;Servicios&quot; con 34.644 m2."/>
    <s v="Gráfico de Evolución"/>
    <s v="Región de Maule,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7"/>
    <x v="7"/>
    <s v="#1774B325"/>
  </r>
  <r>
    <s v="1704"/>
    <n v="990"/>
    <s v="Agencia Información"/>
    <s v="Vivienda y Construcción"/>
    <n v="8"/>
    <x v="91"/>
    <x v="22"/>
    <x v="1"/>
    <x v="8"/>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l Biobío, Periodo 2014-2021"/>
    <s v="En la Región del Biobío, durante el periodo 2014-2021, el máximo de &quot;Superficie Autorizada NO Habitacional (Ampliaciones)&quot; se verifica en octubre de 2014 con 80.035 m2, fecha en que también se produce el máximo de autorizaciones para ampliaciones de &quot;ICEF (Industria, Comercio y Establecimiento Financieros)&quot; con 74.359 m2. Por su parte, el máximo de autorizaciones para ampliaciones de &quot;Servicios&quot; se produce en octubre de 2016 con 63.153 m2."/>
    <s v="Gráfico de Evolución"/>
    <s v="Región del Biobío,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8"/>
    <x v="8"/>
    <s v="#1774B326"/>
  </r>
  <r>
    <s v="1705"/>
    <n v="990"/>
    <s v="Agencia Información"/>
    <s v="Vivienda y Construcción"/>
    <n v="9"/>
    <x v="91"/>
    <x v="22"/>
    <x v="1"/>
    <x v="9"/>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La Araucanía, Periodo 2014-2021"/>
    <s v="En la Región de La Araucanía, durante el periodo 2014-2021, el máximo de &quot;Superficie Autorizada NO Habitacional (Ampliaciones)&quot; se verifica en marzo de 2019 con 37.784 m2, fecha en que también se produce el máximo de autorizaciones para ampliaciones de &quot;ICEF (Industria, Comercio y Establecimiento Financieros)&quot; con 34.867 m2. Por su parte, el máximo de autorizaciones para ampliaciones de &quot;Servicios&quot; se produce en agosto de 2020 con 9.439 m2."/>
    <s v="Gráfico de Evolución"/>
    <s v="Región de La Araucaní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9"/>
    <x v="9"/>
    <s v="#1774B327"/>
  </r>
  <r>
    <s v="1706"/>
    <n v="990"/>
    <s v="Agencia Información"/>
    <s v="Vivienda y Construcción"/>
    <n v="10"/>
    <x v="91"/>
    <x v="22"/>
    <x v="1"/>
    <x v="10"/>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Lagos, Periodo 2014-2021"/>
    <s v="En la Región de Los Lagos, durante el periodo 2014-2021, el máximo de &quot;Superficie Autorizada NO Habitacional (Ampliaciones)&quot; se verifica en enero de 2019 con 38.171 m2, fecha en que también se produce el máximo de autorizaciones para ampliaciones de &quot;ICEF (Industria, Comercio y Establecimiento Financieros)&quot; con 36.589 m2. Por su parte, el máximo de autorizaciones para ampliaciones de &quot;Servicios&quot; se produce en octubre de 2017 con 14.254 m2."/>
    <s v="Gráfico de Evolución"/>
    <s v="Región de Los Lago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0"/>
    <x v="10"/>
    <s v="#1774B328"/>
  </r>
  <r>
    <s v="1707"/>
    <n v="990"/>
    <s v="Agencia Información"/>
    <s v="Vivienda y Construcción"/>
    <n v="11"/>
    <x v="91"/>
    <x v="22"/>
    <x v="1"/>
    <x v="11"/>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ysén, Periodo 2014-2021"/>
    <s v="En la Región de Aysén, durante el periodo 2014-2021, el máximo de &quot;Superficie Autorizada NO Habitacional (Ampliaciones)&quot; se verifica en febrero de 2015 con 3.374 m2, las cuales corresponden en su totalidad a ampliaciones de &quot;Servicios&quot;. Por su parte, el máximo de autorizaciones para ampliaciones de &quot;ICEF (Industria, Comercio y Establecimiento Financieros)&quot; se observa en diciembre de 2017 m2 con 1.651 m2."/>
    <s v="Gráfico de Evolución"/>
    <s v="Región de Aysén,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1"/>
    <x v="11"/>
    <s v="#1774B329"/>
  </r>
  <r>
    <s v="1708"/>
    <n v="990"/>
    <s v="Agencia Información"/>
    <s v="Vivienda y Construcción"/>
    <n v="12"/>
    <x v="91"/>
    <x v="22"/>
    <x v="1"/>
    <x v="12"/>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Magallanes, Periodo 2014-2021"/>
    <s v="En la Región de Magallanes, durante el periodo 2014-2021, el máximo de &quot;Superficie Autorizada NO Habitacional (Ampliaciones)&quot; se verifica en abril de 2014 con 9.907 m2, fecha en que también se produce el máximo de autorizaciones para ampliaciones de &quot;ICEF (Industria, Comercio y Establecimiento Financieros)&quot; con 9.490 m2. Por su parte, el máximo de autorizaciones para ampliaciones de &quot;Servicios&quot; se produce en febrero de 2019 con 4.436 m2."/>
    <s v="Gráfico de Evolución"/>
    <s v="Región de Magallane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2"/>
    <x v="12"/>
    <s v="#1774B330"/>
  </r>
  <r>
    <s v="1709"/>
    <n v="990"/>
    <s v="Agencia Información"/>
    <s v="Vivienda y Construcción"/>
    <n v="13"/>
    <x v="91"/>
    <x v="22"/>
    <x v="1"/>
    <x v="13"/>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Metropolitana, Periodo 2014-2021"/>
    <s v="En la Región Metropolitana, durante el periodo 2014-2021, el máximo de &quot;Superficie Autorizada NO Habitacional (Ampliaciones)&quot; se verifica en diciembre de 2020 con 195.015 m2, fecha en que también se produce el máximo de autorizaciones para ampliaciones de &quot;ICEF (Industria, Comercio y Establecimiento Financieros)&quot; con 174.811 m2. Por su parte, el máximo de autorizaciones para ampliaciones de &quot;Servicios&quot; se produce en octubre de 2018 con 109.097 m2."/>
    <s v="Gráfico de Evolución"/>
    <s v="Región Metropolitan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3"/>
    <x v="13"/>
    <s v="#1774B331"/>
  </r>
  <r>
    <s v="1710"/>
    <n v="990"/>
    <s v="Agencia Información"/>
    <s v="Vivienda y Construcción"/>
    <n v="14"/>
    <x v="91"/>
    <x v="22"/>
    <x v="1"/>
    <x v="14"/>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Ríos, Periodo 2014-2021"/>
    <s v="En la Región de Los Ríos, durante el periodo 2014-2021, el máximo de &quot;Superficie Autorizada NO Habitacional (Ampliaciones)&quot; se verifica en marzo de 2018 con 15.281 m2, fecha en que también se produce el máximo de autorizaciones para ampliaciones de &quot;ICEF (Industria, Comercio y Establecimiento Financieros)&quot; con 15.106 m2. Por su parte, el máximo de autorizaciones para ampliaciones de &quot;Servicios&quot; se produce en noviembre de 2014 con 4.155 m2."/>
    <s v="Gráfico de Evolución"/>
    <s v="Región de Los Ríos,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4"/>
    <x v="14"/>
    <s v="#1774B332"/>
  </r>
  <r>
    <s v="1711"/>
    <n v="990"/>
    <s v="Agencia Información"/>
    <s v="Vivienda y Construcción"/>
    <n v="15"/>
    <x v="91"/>
    <x v="22"/>
    <x v="1"/>
    <x v="15"/>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Arica y Parinacota, Periodo 2014-2021"/>
    <s v="En la Región de Arica y Parinacota, durante el periodo 2014-2021, el máximo de &quot;Superficie Autorizada NO Habitacional (Ampliaciones)&quot; se verifica en septiembre de 2019 con 8.256 m2, fecha en que también se produce el máximo de autorizaciones para ampliaciones de &quot;ICEF (Industria, Comercio y Establecimiento Financieros)&quot; con 7.135 m2. Por su parte, el máximo de autorizaciones para ampliaciones de &quot;Servicios&quot; se produce en septiembre de 2014 con 6.442 m2."/>
    <s v="Gráfico de Evolución"/>
    <s v="Región de Arica y Parinacota,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5"/>
    <x v="15"/>
    <s v="#1774B333"/>
  </r>
  <r>
    <s v="1712"/>
    <n v="990"/>
    <s v="Agencia Información"/>
    <s v="Vivienda y Construcción"/>
    <n v="16"/>
    <x v="91"/>
    <x v="22"/>
    <x v="1"/>
    <x v="16"/>
    <x v="8"/>
    <x v="115"/>
    <s v="Periodo 2014-2021"/>
    <s v="m2"/>
    <s v="Instituto Nacional de Estadísticas (INE)"/>
    <s v="Evolución de la Superficie de las solicitudes de edificación No Habitacional autorizada para construcción de Ampliaciones de la Industria, Comercio y Establecimientos Financieros (ICEF) en la Región de Ñuble, Periodo 2014-2021"/>
    <s v="En la Región de Ñuble, durante el periodo 2014-2021, el máximo de &quot;Superficie Autorizada NO Habitacional (Ampliaciones)&quot; se verifica en noviembre de 2020 con 5.535 m2, fecha en que también se produce el máximo de autorizaciones para ampliaciones de &quot;ICEF (Industria, Comercio y Establecimiento Financieros)&quot; con 4.918 m2. Por u parte, el máximo de autorizaciones para ampliaciones de &quot;Servicios&quot; se produce en diciembre de 2018 con 3.631 m2."/>
    <s v="Gráfico de Evolución"/>
    <s v="Región de Ñuble,superficie,no-habitacional,autorizada,ampliaciones,servicios,icef,industria,comercio,establecimientos,financieros,construcción,regional,Agencia Información,Vivienda y Construcción,Superficie Autorizada No Habitacional (Ampliaciones ICEF),Vivienda y Construcción"/>
    <s v="https://analytics.zoho.com/open-view/2395394000008745666?ZOHO_CRITERIA=%22Consolidado_Estadisticas_Regionales_New%22.%22C%C3%B3digo%20regi%C3%B3n%22%20%3D%2016"/>
    <x v="16"/>
    <s v="#1774B334"/>
  </r>
  <r>
    <s v="1713"/>
    <n v="990"/>
    <s v="Agencia Información"/>
    <s v="Social"/>
    <n v="0"/>
    <x v="92"/>
    <x v="10"/>
    <x v="0"/>
    <x v="0"/>
    <x v="0"/>
    <x v="116"/>
    <s v="Periodo 2019-2020"/>
    <s v="Porcentaje"/>
    <s v="Centro de Estudios y Análisis del Delito (CEAD) de la Subsecretaría de Prevención del Delito"/>
    <s v="Variación de Frecuencia de Casos Policiales entre 2019 y 2020 de Robo con Violencia o Intimidación"/>
    <s v="Las comunas en las que los casos policiales de robo con violencia o intimidación aumentaron en más de un 100% entre los años 2019 y 2020 fueron 7: Lonquimay (300%), Pelarco (250%), San Rafael (200%), Estrella (150%), Coinco (140%), Longaví (136%) y Ránquil (133%)."/>
    <s v="Gráfico"/>
    <s v="Chile,variación,frecuencia,casos policiales,robo,violencia,intimidación,delitos,nacional,Agencia Información,Social,DMCS - Robo con Violencia o Intimidación,Delincuencia"/>
    <s v="https://analytics.zoho.com/open-view/2395394000008449873"/>
    <x v="17"/>
    <s v="#1774B335"/>
  </r>
  <r>
    <s v="1714"/>
    <n v="990"/>
    <s v="Agencia Información"/>
    <s v="Social"/>
    <n v="1"/>
    <x v="92"/>
    <x v="10"/>
    <x v="1"/>
    <x v="1"/>
    <x v="1"/>
    <x v="116"/>
    <s v="Periodo 2019-2020"/>
    <s v="Porcentaje"/>
    <s v="Centro de Estudios y Análisis del Delito (CEAD) de la Subsecretaría de Prevención del Delito"/>
    <s v="Variación de Frecuencia de Casos Policiales entre 2019 y 2020 de Robo con Violencia o Intimidación en la Región de Tarapacá"/>
    <s v="En la región de Tarapacá, la comuna de Colchane presenta el mayor incremento de casos policiales de robo con violencia o intimidación entre los años 2019 y 2020, aumentando en un 50%. En tanto la comuna de Pica presenta la mayor baja, disminuyendo en un rango del 50% al 74%."/>
    <s v="Gráfico"/>
    <s v="Región de Tarapacá,variación,frecuencia,casos policiales,robo,violencia,intimidación,delitos,regional,Agencia Información,Social,DMCS - Robo con Violencia o Intimidación,Delincuencia"/>
    <s v="https://analytics.zoho.com/open-view/2395394000009232951?ZOHO_CRITERIA=%22Localiza%20Chile%22.%22Codreg%22%3D1"/>
    <x v="18"/>
    <s v="#1774B336"/>
  </r>
  <r>
    <s v="1715"/>
    <n v="990"/>
    <s v="Agencia Información"/>
    <s v="Social"/>
    <n v="2"/>
    <x v="92"/>
    <x v="10"/>
    <x v="1"/>
    <x v="2"/>
    <x v="1"/>
    <x v="116"/>
    <s v="Periodo 2019-2020"/>
    <s v="Porcentaje"/>
    <s v="Centro de Estudios y Análisis del Delito (CEAD) de la Subsecretaría de Prevención del Delito"/>
    <s v="Variación de Frecuencia de Casos Policiales entre 2019 y 2020 de Robo con Violencia o Intimidación en la Región de Antofagasta"/>
    <s v="En la región de Antofagasta, la comuna de María Elena presenta el mayor incremento casos policiales de robo con violencia o intimidación entre los años 2019 y 2020, aumentando en un 17%. En tanto, la comuna de Ollagüe presenta la mayor baja, disminuyendo en un 100%."/>
    <s v="Gráfico"/>
    <s v="Región de Antofagasta,variación,frecuencia,casos policiales,robo,violencia,intimidación,delitos,regional,Agencia Información,Social,DMCS - Robo con Violencia o Intimidación,Delincuencia"/>
    <s v="https://analytics.zoho.com/open-view/2395394000009232951?ZOHO_CRITERIA=%22Localiza%20Chile%22.%22Codreg%22%3D2"/>
    <x v="19"/>
    <s v="#1774B337"/>
  </r>
  <r>
    <s v="1716"/>
    <n v="990"/>
    <s v="Agencia Información"/>
    <s v="Social"/>
    <n v="3"/>
    <x v="92"/>
    <x v="10"/>
    <x v="1"/>
    <x v="3"/>
    <x v="1"/>
    <x v="116"/>
    <s v="Periodo 2019-2020"/>
    <s v="Porcentaje"/>
    <s v="Centro de Estudios y Análisis del Delito (CEAD) de la Subsecretaría de Prevención del Delito"/>
    <s v="Variación de Frecuencia de Casos Policiales entre 2019 y 2020 de Robo con Violencia o Intimidación en la Región de Atacama"/>
    <s v="En la región de Atacama, la comuna de Huasco presenta el mayor incremento de casos policiales de robo con violencia o intimidación entre los años 2019 y 2020, aumentando en un 73%. En tanto, la comuna de Chañaral presenta la mayor baja, disminuyendo en un 41%."/>
    <s v="Gráfico"/>
    <s v="Región de Atacama,variación,frecuencia,casos policiales,robo,violencia,intimidación,delitos,regional,Agencia Información,Social,DMCS - Robo con Violencia o Intimidación,Delincuencia"/>
    <s v="https://analytics.zoho.com/open-view/2395394000009232951?ZOHO_CRITERIA=%22Localiza%20Chile%22.%22Codreg%22%3D3"/>
    <x v="20"/>
    <s v="#1774B338"/>
  </r>
  <r>
    <s v="1717"/>
    <n v="990"/>
    <s v="Agencia Información"/>
    <s v="Social"/>
    <n v="4"/>
    <x v="92"/>
    <x v="10"/>
    <x v="1"/>
    <x v="4"/>
    <x v="1"/>
    <x v="116"/>
    <s v="Periodo 2019-2020"/>
    <s v="Porcentaje"/>
    <s v="Centro de Estudios y Análisis del Delito (CEAD) de la Subsecretaría de Prevención del Delito"/>
    <s v="Variación de Frecuencia de Casos Policiales entre 2019 y 2020 de Robo con Violencia o Intimidación en la Región de Coquimbo"/>
    <s v="En la región de Coquimbo, la comuna de Punitaqui presenta el mayor incremento de casos policiales de robo con violencia o intimidación entre los años 2019 y 2020, aumentando en un 29%. En tanto, la comuna de Canela presenta la mayor baja, disminuyendo en un 80%."/>
    <s v="Gráfico"/>
    <s v="Región de Coquimbo,variación,frecuencia,casos policiales,robo,violencia,intimidación,delitos,regional,Agencia Información,Social,DMCS - Robo con Violencia o Intimidación,Delincuencia"/>
    <s v="https://analytics.zoho.com/open-view/2395394000009232951?ZOHO_CRITERIA=%22Localiza%20Chile%22.%22Codreg%22%3D4"/>
    <x v="21"/>
    <s v="#1774B339"/>
  </r>
  <r>
    <s v="1718"/>
    <n v="990"/>
    <s v="Agencia Información"/>
    <s v="Social"/>
    <n v="5"/>
    <x v="92"/>
    <x v="10"/>
    <x v="1"/>
    <x v="5"/>
    <x v="1"/>
    <x v="116"/>
    <s v="Periodo 2019-2020"/>
    <s v="Porcentaje"/>
    <s v="Centro de Estudios y Análisis del Delito (CEAD) de la Subsecretaría de Prevención del Delito"/>
    <s v="Variación de Frecuencia de Casos Policiales entre 2019 y 2020 de Robo con Violencia o Intimidación en la Región de Valparaíso"/>
    <s v="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
    <s v="Gráfico"/>
    <s v="Región de Valparaíso,variación,frecuencia,casos policiales,robo,violencia,intimidación,delitos,regional,Agencia Información,Social,DMCS - Robo con Violencia o Intimidación,Delincuencia"/>
    <s v="https://analytics.zoho.com/open-view/2395394000009232951?ZOHO_CRITERIA=%22Localiza%20Chile%22.%22Codreg%22%3D5"/>
    <x v="22"/>
    <s v="#1774B340"/>
  </r>
  <r>
    <s v="1719"/>
    <n v="990"/>
    <s v="Agencia Información"/>
    <s v="Social"/>
    <n v="6"/>
    <x v="92"/>
    <x v="10"/>
    <x v="1"/>
    <x v="6"/>
    <x v="1"/>
    <x v="116"/>
    <s v="Periodo 2019-2020"/>
    <s v="Porcentaje"/>
    <s v="Centro de Estudios y Análisis del Delito (CEAD) de la Subsecretaría de Prevención del Delito"/>
    <s v="Variación de Frecuencia de Casos Policiales entre 2019 y 2020 de Robo con Violencia o Intimidación en la Región de O'Higgins"/>
    <s v="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
    <s v="Gráfico"/>
    <s v="Región de O'Higgins,variación,frecuencia,casos policiales,robo,violencia,intimidación,delitos,regional,Agencia Información,Social,DMCS - Robo con Violencia o Intimidación,Delincuencia"/>
    <s v="https://analytics.zoho.com/open-view/2395394000009232951?ZOHO_CRITERIA=%22Localiza%20Chile%22.%22Codreg%22%3D6"/>
    <x v="23"/>
    <s v="#1774B341"/>
  </r>
  <r>
    <s v="1720"/>
    <n v="990"/>
    <s v="Agencia Información"/>
    <s v="Social"/>
    <n v="7"/>
    <x v="92"/>
    <x v="10"/>
    <x v="1"/>
    <x v="7"/>
    <x v="1"/>
    <x v="116"/>
    <s v="Periodo 2019-2020"/>
    <s v="Porcentaje"/>
    <s v="Centro de Estudios y Análisis del Delito (CEAD) de la Subsecretaría de Prevención del Delito"/>
    <s v="Variación de Frecuencia de Casos Policiales entre 2019 y 2020 de Robo con Violencia o Intimidación en la Región de Maule"/>
    <s v="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
    <s v="Gráfico"/>
    <s v="Región de Maule,variación,frecuencia,casos policiales,robo,violencia,intimidación,delitos,regional,Agencia Información,Social,DMCS - Robo con Violencia o Intimidación,Delincuencia"/>
    <s v="https://analytics.zoho.com/open-view/2395394000009232951?ZOHO_CRITERIA=%22Localiza%20Chile%22.%22Codreg%22%3D7"/>
    <x v="24"/>
    <s v="#1774B342"/>
  </r>
  <r>
    <s v="1721"/>
    <n v="990"/>
    <s v="Agencia Información"/>
    <s v="Social"/>
    <n v="8"/>
    <x v="92"/>
    <x v="10"/>
    <x v="1"/>
    <x v="8"/>
    <x v="1"/>
    <x v="116"/>
    <s v="Periodo 2019-2020"/>
    <s v="Porcentaje"/>
    <s v="Centro de Estudios y Análisis del Delito (CEAD) de la Subsecretaría de Prevención del Delito"/>
    <s v="Variación de Frecuencia de Casos Policiales entre 2019 y 2020 de Robo con Violencia o Intimidación en la Región del Biobío"/>
    <s v="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
    <s v="Gráfico"/>
    <s v="Región del Biobío,variación,frecuencia,casos policiales,robo,violencia,intimidación,delitos,regional,Agencia Información,Social,DMCS - Robo con Violencia o Intimidación,Delincuencia"/>
    <s v="https://analytics.zoho.com/open-view/2395394000009232951?ZOHO_CRITERIA=%22Localiza%20Chile%22.%22Codreg%22%3D8"/>
    <x v="25"/>
    <s v="#1774B343"/>
  </r>
  <r>
    <s v="1722"/>
    <n v="990"/>
    <s v="Agencia Información"/>
    <s v="Social"/>
    <n v="9"/>
    <x v="92"/>
    <x v="10"/>
    <x v="1"/>
    <x v="9"/>
    <x v="1"/>
    <x v="116"/>
    <s v="Periodo 2019-2020"/>
    <s v="Porcentaje"/>
    <s v="Centro de Estudios y Análisis del Delito (CEAD) de la Subsecretaría de Prevención del Delito"/>
    <s v="Variación de Frecuencia de Casos Policiales entre 2019 y 2020 de Robo con Violencia o Intimidación en la Región de La Araucanía"/>
    <s v="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
    <s v="Gráfico"/>
    <s v="Región de La Araucanía,variación,frecuencia,casos policiales,robo,violencia,intimidación,delitos,regional,Agencia Información,Social,DMCS - Robo con Violencia o Intimidación,Delincuencia"/>
    <s v="https://analytics.zoho.com/open-view/2395394000009232951?ZOHO_CRITERIA=%22Localiza%20Chile%22.%22Codreg%22%3D9"/>
    <x v="26"/>
    <s v="#1774B344"/>
  </r>
  <r>
    <s v="1723"/>
    <n v="990"/>
    <s v="Agencia Información"/>
    <s v="Social"/>
    <n v="10"/>
    <x v="92"/>
    <x v="10"/>
    <x v="1"/>
    <x v="10"/>
    <x v="1"/>
    <x v="116"/>
    <s v="Periodo 2019-2020"/>
    <s v="Porcentaje"/>
    <s v="Centro de Estudios y Análisis del Delito (CEAD) de la Subsecretaría de Prevención del Delito"/>
    <s v="Variación de Frecuencia de Casos Policiales entre 2019 y 2020 de Robo con Violencia o Intimidación en la Región de Los Lagos"/>
    <s v="En la región de Los Lagos la comuna que presenta un mayor aumento en los casos policiales de robo con violencia o intimidación, entre los años 2019 y 2020, es Quinchao con un 100% de incremento. Por su parte la comuna de Puerto Octay presenta la mayor baja, disminuyendo en un 100%. "/>
    <s v="Gráfico"/>
    <s v="Región de Los Lagos,variación,frecuencia,casos policiales,robo,violencia,intimidación,delitos,regional,Agencia Información,Social,DMCS - Robo con Violencia o Intimidación,Delincuencia"/>
    <s v="https://analytics.zoho.com/open-view/2395394000009232951?ZOHO_CRITERIA=%22Localiza%20Chile%22.%22Codreg%22%3D10"/>
    <x v="27"/>
    <s v="#1774B345"/>
  </r>
  <r>
    <s v="1724"/>
    <n v="990"/>
    <s v="Agencia Información"/>
    <s v="Social"/>
    <n v="11"/>
    <x v="92"/>
    <x v="10"/>
    <x v="1"/>
    <x v="11"/>
    <x v="1"/>
    <x v="116"/>
    <s v="Periodo 2019-2020"/>
    <s v="Porcentaje"/>
    <s v="Centro de Estudios y Análisis del Delito (CEAD) de la Subsecretaría de Prevención del Delito"/>
    <s v="Variación de Frecuencia de Casos Policiales entre 2019 y 2020 de Robo con Violencia o Intimidación en la Región de Aysén"/>
    <s v="En la comuna de Cisne en la región Aysén se observa la mayor baja en los casos policiales de robo con violencia o intimidación, entre los años 2019 y 2020, disminuyendo en un 100%."/>
    <s v="Gráfico"/>
    <s v="Región de Aysén,variación,frecuencia,casos policiales,robo,violencia,intimidación,delitos,regional,Agencia Información,Social,DMCS - Robo con Violencia o Intimidación,Delincuencia"/>
    <s v="https://analytics.zoho.com/open-view/2395394000009232951?ZOHO_CRITERIA=%22Localiza%20Chile%22.%22Codreg%22%3D11"/>
    <x v="33"/>
    <s v="#1774B346"/>
  </r>
  <r>
    <s v="1725"/>
    <n v="990"/>
    <s v="Agencia Información"/>
    <s v="Social"/>
    <n v="12"/>
    <x v="92"/>
    <x v="10"/>
    <x v="1"/>
    <x v="12"/>
    <x v="1"/>
    <x v="116"/>
    <s v="Periodo 2019-2020"/>
    <s v="Porcentaje"/>
    <s v="Centro de Estudios y Análisis del Delito (CEAD) de la Subsecretaría de Prevención del Delito"/>
    <s v="Variación de Frecuencia de Casos Policiales entre 2019 y 2020 de Robo con Violencia o Intimidación en la Región de Magallanes"/>
    <s v="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
    <s v="Gráfico"/>
    <s v="Región de Magallanes,variación,frecuencia,casos policiales,robo,violencia,intimidación,delitos,regional,Agencia Información,Social,DMCS - Robo con Violencia o Intimidación,Delincuencia"/>
    <s v="https://analytics.zoho.com/open-view/2395394000009232951?ZOHO_CRITERIA=%22Localiza%20Chile%22.%22Codreg%22%3D12"/>
    <x v="28"/>
    <s v="#1774B347"/>
  </r>
  <r>
    <s v="1726"/>
    <n v="990"/>
    <s v="Agencia Información"/>
    <s v="Social"/>
    <n v="13"/>
    <x v="92"/>
    <x v="10"/>
    <x v="1"/>
    <x v="13"/>
    <x v="1"/>
    <x v="116"/>
    <s v="Periodo 2019-2020"/>
    <s v="Porcentaje"/>
    <s v="Centro de Estudios y Análisis del Delito (CEAD) de la Subsecretaría de Prevención del Delito"/>
    <s v="Variación de Frecuencia de Casos Policiales entre 2019 y 2020 de Robo con Violencia o Intimidación en la Región Metropolitana"/>
    <s v="Las comunas de la región Metropolitana en las que más aumentaron los casos policiales de robo con violencia o intimidación, entre los años 2019 y 2020 son: María Pinto (45%) y Lo Barnechea (11%). Por su parte, la comuna de Alhué presenta la mayor baja, disminuyendo en un 50%."/>
    <s v="Gráfico"/>
    <s v="Región Metropolitana,variación,frecuencia,casos policiales,robo,violencia,intimidación,delitos,regional,Agencia Información,Social,DMCS - Robo con Violencia o Intimidación,Delincuencia"/>
    <s v="https://analytics.zoho.com/open-view/2395394000009232951?ZOHO_CRITERIA=%22Localiza%20Chile%22.%22Codreg%22%3D13"/>
    <x v="29"/>
    <s v="#1774B348"/>
  </r>
  <r>
    <s v="1727"/>
    <n v="990"/>
    <s v="Agencia Información"/>
    <s v="Social"/>
    <n v="14"/>
    <x v="92"/>
    <x v="10"/>
    <x v="1"/>
    <x v="14"/>
    <x v="1"/>
    <x v="116"/>
    <s v="Periodo 2019-2020"/>
    <s v="Porcentaje"/>
    <s v="Centro de Estudios y Análisis del Delito (CEAD) de la Subsecretaría de Prevención del Delito"/>
    <s v="Variación de Frecuencia de Casos Policiales entre 2019 y 2020 de Robo con Violencia o Intimidación en la Región de Los Ríos"/>
    <s v="Las comunas de la región de Los Ríos en las que más aumentaron los casos policiales de robo con violencia o intimidación, entre los años 2019 y 2020 son: Lago Ranco (100%) y La Unión (47%). Por su parte, la comuna de Panguipulli presenta la mayor baja, disminuyendo en un 52%."/>
    <s v="Gráfico"/>
    <s v="Región de Los Ríos,variación,frecuencia,casos policiales,robo,violencia,intimidación,delitos,regional,Agencia Información,Social,DMCS - Robo con Violencia o Intimidación,Delincuencia"/>
    <s v="https://analytics.zoho.com/open-view/2395394000009232951?ZOHO_CRITERIA=%22Localiza%20Chile%22.%22Codreg%22%3D14"/>
    <x v="30"/>
    <s v="#1774B349"/>
  </r>
  <r>
    <s v="1728"/>
    <n v="990"/>
    <s v="Agencia Información"/>
    <s v="Social"/>
    <n v="15"/>
    <x v="92"/>
    <x v="10"/>
    <x v="1"/>
    <x v="15"/>
    <x v="1"/>
    <x v="116"/>
    <s v="Periodo 2019-2020"/>
    <s v="Porcentaje"/>
    <s v="Centro de Estudios y Análisis del Delito (CEAD) de la Subsecretaría de Prevención del Delito"/>
    <s v="Variación de Frecuencia de Casos Policiales entre 2019 y 2020 de Robo con Violencia o Intimidación en la Región de Arica y Parinacota"/>
    <s v="En la región de Arica y Parinacota, la comuna de Camarones presenta la mayor baja en la frecuencia de los casos policiales de robo con violencia o intimidación entre los años 2019 y 2020, disminuyendo en un 100%. "/>
    <s v="Gráfico"/>
    <s v="Región de Arica y Parinacota,variación,frecuencia,casos policiales,robo,violencia,intimidación,delitos,regional,Agencia Información,Social,DMCS - Robo con Violencia o Intimidación,Delincuencia"/>
    <s v="https://analytics.zoho.com/open-view/2395394000009232951?ZOHO_CRITERIA=%22Localiza%20Chile%22.%22Codreg%22%3D15"/>
    <x v="31"/>
    <s v="#1774B350"/>
  </r>
  <r>
    <s v="1729"/>
    <n v="990"/>
    <s v="Agencia Información"/>
    <s v="Social"/>
    <n v="16"/>
    <x v="92"/>
    <x v="10"/>
    <x v="1"/>
    <x v="16"/>
    <x v="1"/>
    <x v="116"/>
    <s v="Periodo 2019-2020"/>
    <s v="Porcentaje"/>
    <s v="Centro de Estudios y Análisis del Delito (CEAD) de la Subsecretaría de Prevención del Delito"/>
    <s v="Variación de Frecuencia de Casos Policiales entre 2019 y 2020 de Robo con Violencia o Intimidación en la Región de Ñuble"/>
    <s v="Las comunas de la región de Ñuble, en las que más aumentaron los casos policiales de robo con violencia o intimidación, entre los años 2019 y 2020 son: Ránquil (133%), Pemuco (100%) y Quirihue (83%). Por su parte, la comuna de Ninhue presentan la mayor baja, disminuyendo en un 100%."/>
    <s v="Gráfico"/>
    <s v="Región de Ñuble,variación,frecuencia,casos policiales,robo,violencia,intimidación,delitos,regional,Agencia Información,Social,DMCS - Robo con Violencia o Intimidación,Delincuencia"/>
    <s v="https://analytics.zoho.com/open-view/2395394000009232951?ZOHO_CRITERIA=%22Localiza%20Chile%22.%22Codreg%22%3D16"/>
    <x v="32"/>
    <s v="#1774B351"/>
  </r>
  <r>
    <s v="1730"/>
    <n v="990"/>
    <s v="Agencia Información"/>
    <s v="Social"/>
    <n v="0"/>
    <x v="93"/>
    <x v="10"/>
    <x v="0"/>
    <x v="0"/>
    <x v="0"/>
    <x v="116"/>
    <s v="Periodo 2019-2020"/>
    <s v="Porcentaje"/>
    <s v="Centro de Estudios y Análisis del Delito (CEAD) de la Subsecretaría de Prevención del Delito"/>
    <s v="Variación de Frecuencia de Casos Policiales entre 2019 y 2020 de Homicidios"/>
    <s v="Las comunas en las que los casos policiales de homicidio aumentaron en más de un 100% entre los años 2019 y 2020 fueron: Constitución (300%), Macul (300%), Peñaflor (200%), Hualpén (200%), Licantén (200%), Longaví (200%), Valparaíso (200%), La Serena (133%), Los Ángeles (133%) y La Cisterna (133%)."/>
    <s v="Gráfico"/>
    <s v="Chile,social,variación,frecuencia,casos policiales,homicidios,delitos,anual,Agencia Información,Social,DMCS - Homicidio,Delincuencia"/>
    <s v="https://analytics.zoho.com/open-view/2395394000009214303"/>
    <x v="17"/>
    <s v="#1774B352"/>
  </r>
  <r>
    <s v="1731"/>
    <n v="990"/>
    <s v="Agencia Información"/>
    <s v="Social"/>
    <n v="1"/>
    <x v="93"/>
    <x v="10"/>
    <x v="1"/>
    <x v="1"/>
    <x v="1"/>
    <x v="116"/>
    <s v="Periodo 2019-2020"/>
    <s v="Porcentaje"/>
    <s v="Centro de Estudios y Análisis del Delito (CEAD) de la Subsecretaría de Prevención del Delito"/>
    <s v="Variación de Frecuencia de Casos Policiales entre 2019 y 2020 de Homicidios en la Región de Tarapacá"/>
    <s v="La comuna de Pozo Almonte en la región de Tarapacá presenta la mayor baja en los casos policiales de homicidio entre los años 2019 y 2020, disminuyendo en un 100%."/>
    <s v="Gráfico"/>
    <s v="Región de Tarapacá,social,variación,frecuencia,casos policiales,homicidios,delitos,anual,Agencia Información,Social,DMCS - Homicidio,Delincuencia"/>
    <s v="https://analytics.zoho.com/open-view/2395394000009208859?ZOHO_CRITERIA=%22Localiza%20Chile%22.%22Codreg%22%3D1"/>
    <x v="18"/>
    <s v="#1774B353"/>
  </r>
  <r>
    <s v="1732"/>
    <n v="990"/>
    <s v="Agencia Información"/>
    <s v="Social"/>
    <n v="2"/>
    <x v="93"/>
    <x v="10"/>
    <x v="1"/>
    <x v="2"/>
    <x v="1"/>
    <x v="116"/>
    <s v="Periodo 2019-2020"/>
    <s v="Porcentaje"/>
    <s v="Centro de Estudios y Análisis del Delito (CEAD) de la Subsecretaría de Prevención del Delito"/>
    <s v="Variación de Frecuencia de Casos Policiales entre 2019 y 2020 de Homicidios en la Región de Antofagasta"/>
    <s v="En la región de Antofagasta, la comuna de Antofagasta presenta el mayor incremento en los casos policiales de homicidios, entre los años 2019- 2020, aumentando un 60%. "/>
    <s v="Gráfico"/>
    <s v="Región de Antofagasta,social,variación,frecuencia,casos policiales,homicidios,delitos,anual,Agencia Información,Social,DMCS - Homicidio,Delincuencia"/>
    <s v="https://analytics.zoho.com/open-view/2395394000009208859?ZOHO_CRITERIA=%22Localiza%20Chile%22.%22Codreg%22%3D2"/>
    <x v="19"/>
    <s v="#1774B354"/>
  </r>
  <r>
    <s v="1733"/>
    <n v="990"/>
    <s v="Agencia Información"/>
    <s v="Social"/>
    <n v="3"/>
    <x v="93"/>
    <x v="10"/>
    <x v="1"/>
    <x v="3"/>
    <x v="1"/>
    <x v="116"/>
    <s v="Periodo 2019-2020"/>
    <s v="Porcentaje"/>
    <s v="Centro de Estudios y Análisis del Delito (CEAD) de la Subsecretaría de Prevención del Delito"/>
    <s v="Variación de Frecuencia de Casos Policiales entre 2019 y 2020 de Homicidios en la Región de Atacama"/>
    <s v="La comuna de Copiapó en la región de Atacama presenta una baja del rango del 25% en los casos policiales de homicidio entre los años 2019 y 2020. Por su parte Vallenar no presenta variaciones."/>
    <s v="Gráfico"/>
    <s v="Región de Atacama,social,variación,frecuencia,casos policiales,homicidios,delitos,anual,Agencia Información,Social,DMCS - Homicidio,Delincuencia"/>
    <s v="https://analytics.zoho.com/open-view/2395394000009208859?ZOHO_CRITERIA=%22Localiza%20Chile%22.%22Codreg%22%3D3"/>
    <x v="20"/>
    <s v="#1774B355"/>
  </r>
  <r>
    <s v="1734"/>
    <n v="990"/>
    <s v="Agencia Información"/>
    <s v="Social"/>
    <n v="4"/>
    <x v="93"/>
    <x v="10"/>
    <x v="1"/>
    <x v="4"/>
    <x v="1"/>
    <x v="116"/>
    <s v="Periodo 2019-2020"/>
    <s v="Porcentaje"/>
    <s v="Centro de Estudios y Análisis del Delito (CEAD) de la Subsecretaría de Prevención del Delito"/>
    <s v="Variación de Frecuencia de Casos Policiales entre 2019 y 2020 de Homicidios en la Región de Coquimbo"/>
    <s v="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
    <s v="Gráfico"/>
    <s v="Región de Coquimbo,social,variación,frecuencia,casos policiales,homicidios,delitos,anual,Agencia Información,Social,DMCS - Homicidio,Delincuencia"/>
    <s v="https://analytics.zoho.com/open-view/2395394000009208859?ZOHO_CRITERIA=%22Localiza%20Chile%22.%22Codreg%22%3D4"/>
    <x v="21"/>
    <s v="#1774B356"/>
  </r>
  <r>
    <s v="1735"/>
    <n v="990"/>
    <s v="Agencia Información"/>
    <s v="Social"/>
    <n v="5"/>
    <x v="93"/>
    <x v="10"/>
    <x v="1"/>
    <x v="5"/>
    <x v="1"/>
    <x v="116"/>
    <s v="Periodo 2019-2020"/>
    <s v="Porcentaje"/>
    <s v="Centro de Estudios y Análisis del Delito (CEAD) de la Subsecretaría de Prevención del Delito"/>
    <s v="Variación de Frecuencia de Casos Policiales entre 2019 y 2020 de Homicidios en la Región de Valparaíso"/>
    <s v="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
    <s v="Gráfico"/>
    <s v="Región de Valparaíso,social,variación,frecuencia,casos policiales,homicidios,delitos,anual,Agencia Información,Social,DMCS - Homicidio,Delincuencia"/>
    <s v="https://analytics.zoho.com/open-view/2395394000009208859?ZOHO_CRITERIA=%22Localiza%20Chile%22.%22Codreg%22%3D5"/>
    <x v="22"/>
    <s v="#1774B357"/>
  </r>
  <r>
    <s v="1736"/>
    <n v="990"/>
    <s v="Agencia Información"/>
    <s v="Social"/>
    <n v="6"/>
    <x v="93"/>
    <x v="10"/>
    <x v="1"/>
    <x v="6"/>
    <x v="1"/>
    <x v="116"/>
    <s v="Periodo 2019-2020"/>
    <s v="Porcentaje"/>
    <s v="Centro de Estudios y Análisis del Delito (CEAD) de la Subsecretaría de Prevención del Delito"/>
    <s v="Variación de Frecuencia de Casos Policiales entre 2019 y 2020 de Homicidios en la Región de O'Higgins"/>
    <s v="En la región de O'Higgins, las comunas que presentan las mayores bajas son Litueche, Marchihue, Coltauco, Lolol y Chimbarongo, disminuyendo en un 100%. Por su parte Mostazal y San Fernando no presentan variaciones."/>
    <s v="Gráfico"/>
    <s v="Región de O'Higgins,social,variación,frecuencia,casos policiales,homicidios,delitos,anual,Agencia Información,Social,DMCS - Homicidio,Delincuencia"/>
    <s v="https://analytics.zoho.com/open-view/2395394000009208859?ZOHO_CRITERIA=%22Localiza%20Chile%22.%22Codreg%22%3D6"/>
    <x v="23"/>
    <s v="#1774B358"/>
  </r>
  <r>
    <s v="1737"/>
    <n v="990"/>
    <s v="Agencia Información"/>
    <s v="Social"/>
    <n v="7"/>
    <x v="93"/>
    <x v="10"/>
    <x v="1"/>
    <x v="7"/>
    <x v="1"/>
    <x v="116"/>
    <s v="Periodo 2019-2020"/>
    <s v="Porcentaje"/>
    <s v="Centro de Estudios y Análisis del Delito (CEAD) de la Subsecretaría de Prevención del Delito"/>
    <s v="Variación de Frecuencia de Casos Policiales entre 2019 y 2020 de Homicidios en la Región de Maule"/>
    <s v="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
    <s v="Gráfico"/>
    <s v="Región de Maule,social,variación,frecuencia,casos policiales,homicidios,delitos,anual,Agencia Información,Social,DMCS - Homicidio,Delincuencia"/>
    <s v="https://analytics.zoho.com/open-view/2395394000009208859?ZOHO_CRITERIA=%22Localiza%20Chile%22.%22Codreg%22%3D7"/>
    <x v="24"/>
    <s v="#1774B359"/>
  </r>
  <r>
    <s v="1738"/>
    <n v="990"/>
    <s v="Agencia Información"/>
    <s v="Social"/>
    <n v="8"/>
    <x v="93"/>
    <x v="10"/>
    <x v="1"/>
    <x v="8"/>
    <x v="1"/>
    <x v="116"/>
    <s v="Periodo 2019-2020"/>
    <s v="Porcentaje"/>
    <s v="Centro de Estudios y Análisis del Delito (CEAD) de la Subsecretaría de Prevención del Delito"/>
    <s v="Variación de Frecuencia de Casos Policiales entre 2019 y 2020 de Homicidios en la Región del Biobío"/>
    <s v="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
    <s v="Gráfico"/>
    <s v="Región del Biobío,social,variación,frecuencia,casos policiales,homicidios,delitos,anual,Agencia Información,Social,DMCS - Homicidio,Delincuencia"/>
    <s v="https://analytics.zoho.com/open-view/2395394000009208859?ZOHO_CRITERIA=%22Localiza%20Chile%22.%22Codreg%22%3D8"/>
    <x v="25"/>
    <s v="#1774B360"/>
  </r>
  <r>
    <s v="1739"/>
    <n v="990"/>
    <s v="Agencia Información"/>
    <s v="Social"/>
    <n v="9"/>
    <x v="93"/>
    <x v="10"/>
    <x v="1"/>
    <x v="9"/>
    <x v="1"/>
    <x v="116"/>
    <s v="Periodo 2019-2020"/>
    <s v="Porcentaje"/>
    <s v="Centro de Estudios y Análisis del Delito (CEAD) de la Subsecretaría de Prevención del Delito"/>
    <s v="Variación de Frecuencia de Casos Policiales entre 2019 y 2020 de Homicidios en la Región de La Araucanía"/>
    <s v="La comuna de Angol en la región de La Araucanía presenta el mayor incremento en los casos policiales de homicidios, entre los años 2019- 2020, aumentando en un 100%. Por su parte, las comunas que presentan mayores bajas son Gorbea, Loncoche y Lonquimay, disminuyendo en un 100%."/>
    <s v="Gráfico"/>
    <s v="Región de La Araucanía,social,variación,frecuencia,casos policiales,homicidios,delitos,anual,Agencia Información,Social,DMCS - Homicidio,Delincuencia"/>
    <s v="https://analytics.zoho.com/open-view/2395394000009208859?ZOHO_CRITERIA=%22Localiza%20Chile%22.%22Codreg%22%3D9"/>
    <x v="26"/>
    <s v="#1774B361"/>
  </r>
  <r>
    <s v="1740"/>
    <n v="990"/>
    <s v="Agencia Información"/>
    <s v="Social"/>
    <n v="10"/>
    <x v="93"/>
    <x v="10"/>
    <x v="1"/>
    <x v="10"/>
    <x v="1"/>
    <x v="116"/>
    <s v="Periodo 2019-2020"/>
    <s v="Porcentaje"/>
    <s v="Centro de Estudios y Análisis del Delito (CEAD) de la Subsecretaría de Prevención del Delito"/>
    <s v="Variación de Frecuencia de Casos Policiales entre 2019 y 2020 de Homicidios en la Región de Los Lagos"/>
    <s v="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
    <s v="Gráfico"/>
    <s v="Región de Los Lagos,social,variación,frecuencia,casos policiales,homicidios,delitos,anual,Agencia Información,Social,DMCS - Homicidio,Delincuencia"/>
    <s v="https://analytics.zoho.com/open-view/2395394000009208859?ZOHO_CRITERIA=%22Localiza%20Chile%22.%22Codreg%22%3D10"/>
    <x v="27"/>
    <s v="#1774B362"/>
  </r>
  <r>
    <s v="1741"/>
    <n v="990"/>
    <s v="Agencia Información"/>
    <s v="Social"/>
    <n v="11"/>
    <x v="93"/>
    <x v="10"/>
    <x v="1"/>
    <x v="11"/>
    <x v="1"/>
    <x v="116"/>
    <s v="Periodo 2019-2020"/>
    <s v="Porcentaje"/>
    <s v="Centro de Estudios y Análisis del Delito (CEAD) de la Subsecretaría de Prevención del Delito"/>
    <s v="Variación de Frecuencia de Casos Policiales entre 2019 y 2020 de Homicidios en la Región de Aysén"/>
    <s v="La comuna de Coihaique en la región de Aysén presenta la mayor baja en los casos policiales de homicidio entre los años 2019 y 2020, disminuyendo en un 50%."/>
    <s v="Gráfico"/>
    <s v="Región de Aysén,social,variación,frecuencia,casos policiales,homicidios,delitos,anual,Agencia Información,Social,DMCS - Homicidio,Delincuencia"/>
    <s v="https://analytics.zoho.com/open-view/2395394000009208859?ZOHO_CRITERIA=%22Localiza%20Chile%22.%22Codreg%22%3D11"/>
    <x v="33"/>
    <s v="#1774B363"/>
  </r>
  <r>
    <s v="1742"/>
    <n v="990"/>
    <s v="Agencia Información"/>
    <s v="Social"/>
    <n v="12"/>
    <x v="93"/>
    <x v="10"/>
    <x v="1"/>
    <x v="12"/>
    <x v="1"/>
    <x v="116"/>
    <s v="Periodo 2019-2020"/>
    <s v="Porcentaje"/>
    <s v="Centro de Estudios y Análisis del Delito (CEAD) de la Subsecretaría de Prevención del Delito"/>
    <s v="Variación de Frecuencia de Casos Policiales entre 2019 y 2020 de Homicidios en la Región de Magallanes"/>
    <s v="La comuna de Punta Arenas en la región de Magallanes presenta la mayor baja en los casos policiales de homicidio entre los años 2019 y 2020, disminuyendo en un 60%. "/>
    <s v="Gráfico"/>
    <s v="Región de Magallanes,social,variación,frecuencia,casos policiales,homicidios,delitos,anual,Agencia Información,Social,DMCS - Homicidio,Delincuencia"/>
    <s v="https://analytics.zoho.com/open-view/2395394000009208859?ZOHO_CRITERIA=%22Localiza%20Chile%22.%22Codreg%22%3D12"/>
    <x v="28"/>
    <s v="#1774B364"/>
  </r>
  <r>
    <s v="1743"/>
    <n v="990"/>
    <s v="Agencia Información"/>
    <s v="Social"/>
    <n v="13"/>
    <x v="93"/>
    <x v="10"/>
    <x v="1"/>
    <x v="13"/>
    <x v="1"/>
    <x v="116"/>
    <s v="Periodo 2019-2020"/>
    <s v="Porcentaje"/>
    <s v="Centro de Estudios y Análisis del Delito (CEAD) de la Subsecretaría de Prevención del Delito"/>
    <s v="Variación de Frecuencia de Casos Policiales entre 2019 y 2020 de Homicidios en la Región Metropolitana"/>
    <s v="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
    <s v="Gráfico"/>
    <s v="Región Metropolitana,social,variación,frecuencia,casos policiales,homicidios,delitos,anual,Agencia Información,Social,DMCS - Homicidio,Delincuencia"/>
    <s v="https://analytics.zoho.com/open-view/2395394000009208859?ZOHO_CRITERIA=%22Localiza%20Chile%22.%22Codreg%22%3D13"/>
    <x v="29"/>
    <s v="#1774B365"/>
  </r>
  <r>
    <s v="1744"/>
    <n v="990"/>
    <s v="Agencia Información"/>
    <s v="Social"/>
    <n v="14"/>
    <x v="93"/>
    <x v="10"/>
    <x v="1"/>
    <x v="14"/>
    <x v="1"/>
    <x v="116"/>
    <s v="Periodo 2019-2020"/>
    <s v="Porcentaje"/>
    <s v="Centro de Estudios y Análisis del Delito (CEAD) de la Subsecretaría de Prevención del Delito"/>
    <s v="Variación de Frecuencia de Casos Policiales entre 2019 y 2020 de Homicidios en la Región de Los Ríos"/>
    <s v="La comuna de Mariquina en la región de Los Ríos presenta el mayor incremento en los casos policiales de homicidios, entre los años 2019- 2020, aumentando en un 100%. Por su parte, la comuna de Lanco presenta la mayor baja, disminuyendo en un 100%."/>
    <s v="Gráfico"/>
    <s v="Región de Los Ríos,social,variación,frecuencia,casos policiales,homicidios,delitos,anual,Agencia Información,Social,DMCS - Homicidio,Delincuencia"/>
    <s v="https://analytics.zoho.com/open-view/2395394000009208859?ZOHO_CRITERIA=%22Localiza%20Chile%22.%22Codreg%22%3D14"/>
    <x v="30"/>
    <s v="#1774B366"/>
  </r>
  <r>
    <s v="1745"/>
    <n v="990"/>
    <s v="Agencia Información"/>
    <s v="Social"/>
    <n v="15"/>
    <x v="93"/>
    <x v="10"/>
    <x v="1"/>
    <x v="15"/>
    <x v="1"/>
    <x v="116"/>
    <s v="Periodo 2019-2020"/>
    <s v="Porcentaje"/>
    <s v="Centro de Estudios y Análisis del Delito (CEAD) de la Subsecretaría de Prevención del Delito"/>
    <s v="Variación de Frecuencia de Casos Policiales entre 2019 y 2020 de Homicidios en la Región de Arica y Parinacota"/>
    <s v="La comuna de Arica en la región de Arica y Parinacota es la única que presenta una baja en los casos policiales de homicidio entre los años 2019 y 2020, disminuyendo en un 69%. "/>
    <s v="Gráfico"/>
    <s v="Región de Arica y Parinacota,social,variación,frecuencia,casos policiales,homicidios,delitos,anual,Agencia Información,Social,DMCS - Homicidio,Delincuencia"/>
    <s v="https://analytics.zoho.com/open-view/2395394000009208859?ZOHO_CRITERIA=%22Localiza%20Chile%22.%22Codreg%22%3D15"/>
    <x v="31"/>
    <s v="#1774B367"/>
  </r>
  <r>
    <s v="1746"/>
    <n v="990"/>
    <s v="Agencia Información"/>
    <s v="Social"/>
    <n v="16"/>
    <x v="93"/>
    <x v="10"/>
    <x v="1"/>
    <x v="16"/>
    <x v="1"/>
    <x v="116"/>
    <s v="Periodo 2019-2020"/>
    <s v="Porcentaje"/>
    <s v="Centro de Estudios y Análisis del Delito (CEAD) de la Subsecretaría de Prevención del Delito"/>
    <s v="Variación de Frecuencia de Casos Policiales entre 2019 y 2020 de Homicidios en la Región de Ñuble"/>
    <s v="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
    <s v="Gráfico"/>
    <s v="Región de Ñuble,social,variación,frecuencia,casos policiales,homicidios,delitos,anual,Agencia Información,Social,DMCS - Homicidio,Delincuencia"/>
    <s v="https://analytics.zoho.com/open-view/2395394000009208859?ZOHO_CRITERIA=%22Localiza%20Chile%22.%22Codreg%22%3D16"/>
    <x v="32"/>
    <s v="#1774B368"/>
  </r>
  <r>
    <s v="1747"/>
    <n v="990"/>
    <s v="Agencia Información"/>
    <s v="Social"/>
    <n v="0"/>
    <x v="94"/>
    <x v="10"/>
    <x v="0"/>
    <x v="0"/>
    <x v="0"/>
    <x v="117"/>
    <s v="Periodo 2008-2020"/>
    <s v="Porcentaje"/>
    <s v="Centro de Estudios y Análisis del Delito (CEAD) de la Subsecretaría de Prevención del Delito"/>
    <s v="Relación entre Detenciones y Denuncias (%) para Delitos de Homicidio y Violación"/>
    <s v="A nivel nacional, se observa una diferencia significativa para Homicidios y Violaciones, en cuanto a la relación entre detenciones y denuncias, siendo considerablemente mayor las detenciones por el delito de homicidios que por violación."/>
    <s v="Gráfico de Evolución"/>
    <s v="Chile,relación,detenciones,denuncias,delitos,homicidio,violación,nacional,Agencia Información,Social,DMCS - Homicidio y Violación,Delincuencia"/>
    <s v="https://analytics.zoho.com/open-view/2395394000008443177"/>
    <x v="0"/>
    <s v="#1774B369"/>
  </r>
  <r>
    <s v="1748"/>
    <n v="990"/>
    <s v="Agencia Información"/>
    <s v="Social"/>
    <n v="1"/>
    <x v="94"/>
    <x v="10"/>
    <x v="1"/>
    <x v="1"/>
    <x v="1"/>
    <x v="117"/>
    <s v="Periodo 2008-2020"/>
    <s v="Porcentaje"/>
    <s v="Centro de Estudios y Análisis del Delito (CEAD) de la Subsecretaría de Prevención del Delito"/>
    <s v="Relación entre Detenciones y Denuncias (%) para Delitos de Homicidio y Violación en la Región de Tarapacá"/>
    <s v="En la región de Tarapacá se observa una diferencia significativa para Homicidios y Violaciones, en cuanto a la relación entre detenciones y denuncias, siendo considerablemente mayor las detenciones por el delito de homicidios que por violación."/>
    <s v="Gráfico de Evolución"/>
    <s v="Región de Tarapacá,relación,detenciones,denuncias,delitos,homicidio,violación,nacional,Agencia Información,Social,DMCS - Homicidio y Violación,Delincuencia"/>
    <s v="https://analytics.zoho.com/open-view/2395394000008467312?ZOHO_CRITERIA=%22Localiza%20Chile%22.%22Codreg%22%3D1"/>
    <x v="1"/>
    <s v="#1774B370"/>
  </r>
  <r>
    <s v="1749"/>
    <n v="990"/>
    <s v="Agencia Información"/>
    <s v="Social"/>
    <n v="2"/>
    <x v="94"/>
    <x v="10"/>
    <x v="1"/>
    <x v="2"/>
    <x v="1"/>
    <x v="117"/>
    <s v="Periodo 2008-2020"/>
    <s v="Porcentaje"/>
    <s v="Centro de Estudios y Análisis del Delito (CEAD) de la Subsecretaría de Prevención del Delito"/>
    <s v="Relación entre Detenciones y Denuncias (%) para Delitos de Homicidio y Violación en la Región de Antofagasta"/>
    <s v="En la región de Antofagasta se observa una diferencia significativa para Homicidios y Violaciones, en cuanto a la relación entre detenciones y denuncias, siendo considerablemente mayor las detenciones por el delito de homicidios que por violación."/>
    <s v="Gráfico de Evolución"/>
    <s v="Región de Antofagasta,relación,detenciones,denuncias,delitos,homicidio,violación,nacional,Agencia Información,Social,DMCS - Homicidio y Violación,Delincuencia"/>
    <s v="https://analytics.zoho.com/open-view/2395394000008467312?ZOHO_CRITERIA=%22Localiza%20Chile%22.%22Codreg%22%3D2"/>
    <x v="2"/>
    <s v="#1774B371"/>
  </r>
  <r>
    <s v="1750"/>
    <n v="990"/>
    <s v="Agencia Información"/>
    <s v="Social"/>
    <n v="3"/>
    <x v="94"/>
    <x v="10"/>
    <x v="1"/>
    <x v="3"/>
    <x v="1"/>
    <x v="117"/>
    <s v="Periodo 2008-2020"/>
    <s v="Porcentaje"/>
    <s v="Centro de Estudios y Análisis del Delito (CEAD) de la Subsecretaría de Prevención del Delito"/>
    <s v="Relación entre Detenciones y Denuncias (%) para Delitos de Homicidio y Violación en la Región de Atacama"/>
    <s v="En la región de Atacama se observa una diferencia significativa para Homicidios y Violaciones, en cuanto a la relación entre detenciones y denuncias, siendo considerablemente mayor las detenciones por el delito de homicidios que por violación."/>
    <s v="Gráfico de Evolución"/>
    <s v="Región de Atacama,relación,detenciones,denuncias,delitos,homicidio,violación,nacional,Agencia Información,Social,DMCS - Homicidio y Violación,Delincuencia"/>
    <s v="https://analytics.zoho.com/open-view/2395394000008467312?ZOHO_CRITERIA=%22Localiza%20Chile%22.%22Codreg%22%3D3"/>
    <x v="3"/>
    <s v="#1774B372"/>
  </r>
  <r>
    <s v="1751"/>
    <n v="990"/>
    <s v="Agencia Información"/>
    <s v="Social"/>
    <n v="4"/>
    <x v="94"/>
    <x v="10"/>
    <x v="1"/>
    <x v="4"/>
    <x v="1"/>
    <x v="117"/>
    <s v="Periodo 2008-2020"/>
    <s v="Porcentaje"/>
    <s v="Centro de Estudios y Análisis del Delito (CEAD) de la Subsecretaría de Prevención del Delito"/>
    <s v="Relación entre Detenciones y Denuncias (%) para Delitos de Homicidio y Violación en la Región de Coquimbo"/>
    <s v="En la región de Coquimbo se observa una diferencia significativa para Homicidios y Violaciones, en cuanto a la relación entre detenciones y denuncias, siendo considerablemente mayor las detenciones por el delito de homicidios que por violación."/>
    <s v="Gráfico de Evolución"/>
    <s v="Región de Coquimbo,relación,detenciones,denuncias,delitos,homicidio,violación,nacional,Agencia Información,Social,DMCS - Homicidio y Violación,Delincuencia"/>
    <s v="https://analytics.zoho.com/open-view/2395394000008467312?ZOHO_CRITERIA=%22Localiza%20Chile%22.%22Codreg%22%3D4"/>
    <x v="4"/>
    <s v="#1774B373"/>
  </r>
  <r>
    <s v="1752"/>
    <n v="990"/>
    <s v="Agencia Información"/>
    <s v="Social"/>
    <n v="5"/>
    <x v="94"/>
    <x v="10"/>
    <x v="1"/>
    <x v="5"/>
    <x v="1"/>
    <x v="117"/>
    <s v="Periodo 2008-2020"/>
    <s v="Porcentaje"/>
    <s v="Centro de Estudios y Análisis del Delito (CEAD) de la Subsecretaría de Prevención del Delito"/>
    <s v="Relación entre Detenciones y Denuncias (%) para Delitos de Homicidio y Violación en la Región de Valparaíso"/>
    <s v="En la región de Valparaíso se observa una diferencia significativa para Homicidios y Violaciones, en cuanto a la relación entre detenciones y denuncias, siendo considerablemente mayor las detenciones por el delito de homicidios que por violación."/>
    <s v="Gráfico de Evolución"/>
    <s v="Región de Valparaíso,relación,detenciones,denuncias,delitos,homicidio,violación,nacional,Agencia Información,Social,DMCS - Homicidio y Violación,Delincuencia"/>
    <s v="https://analytics.zoho.com/open-view/2395394000008467312?ZOHO_CRITERIA=%22Localiza%20Chile%22.%22Codreg%22%3D5"/>
    <x v="5"/>
    <s v="#1774B374"/>
  </r>
  <r>
    <s v="1753"/>
    <n v="990"/>
    <s v="Agencia Información"/>
    <s v="Social"/>
    <n v="6"/>
    <x v="94"/>
    <x v="10"/>
    <x v="1"/>
    <x v="6"/>
    <x v="1"/>
    <x v="117"/>
    <s v="Periodo 2008-2020"/>
    <s v="Porcentaje"/>
    <s v="Centro de Estudios y Análisis del Delito (CEAD) de la Subsecretaría de Prevención del Delito"/>
    <s v="Relación entre Detenciones y Denuncias (%) para Delitos de Homicidio y Violación en la Región de O'Higgins"/>
    <s v="En la región de O'Higgins se observa una diferencia significativa para Homicidios y Violaciones, en cuanto a la relación entre detenciones y denuncias, siendo considerablemente mayor las detenciones por el delito de homicidios que por violación."/>
    <s v="Gráfico de Evolución"/>
    <s v="Región de O'Higgins,relación,detenciones,denuncias,delitos,homicidio,violación,nacional,Agencia Información,Social,DMCS - Homicidio y Violación,Delincuencia"/>
    <s v="https://analytics.zoho.com/open-view/2395394000008467312?ZOHO_CRITERIA=%22Localiza%20Chile%22.%22Codreg%22%3D6"/>
    <x v="6"/>
    <s v="#1774B375"/>
  </r>
  <r>
    <s v="1754"/>
    <n v="990"/>
    <s v="Agencia Información"/>
    <s v="Social"/>
    <n v="7"/>
    <x v="94"/>
    <x v="10"/>
    <x v="1"/>
    <x v="7"/>
    <x v="1"/>
    <x v="117"/>
    <s v="Periodo 2008-2020"/>
    <s v="Porcentaje"/>
    <s v="Centro de Estudios y Análisis del Delito (CEAD) de la Subsecretaría de Prevención del Delito"/>
    <s v="Relación entre Detenciones y Denuncias (%) para Delitos de Homicidio y Violación en la Región de Maule"/>
    <s v="En la región de Maule se observa una diferencia significativa para Homicidios y Violaciones, en cuanto a la relación entre detenciones y denuncias, siendo considerablemente mayor las detenciones por el delito de homicidios que por violación."/>
    <s v="Gráfico de Evolución"/>
    <s v="Región de Maule,relación,detenciones,denuncias,delitos,homicidio,violación,nacional,Agencia Información,Social,DMCS - Homicidio y Violación,Delincuencia"/>
    <s v="https://analytics.zoho.com/open-view/2395394000008467312?ZOHO_CRITERIA=%22Localiza%20Chile%22.%22Codreg%22%3D7"/>
    <x v="7"/>
    <s v="#1774B376"/>
  </r>
  <r>
    <s v="1755"/>
    <n v="990"/>
    <s v="Agencia Información"/>
    <s v="Social"/>
    <n v="8"/>
    <x v="94"/>
    <x v="10"/>
    <x v="1"/>
    <x v="8"/>
    <x v="1"/>
    <x v="117"/>
    <s v="Periodo 2008-2020"/>
    <s v="Porcentaje"/>
    <s v="Centro de Estudios y Análisis del Delito (CEAD) de la Subsecretaría de Prevención del Delito"/>
    <s v="Relación entre Detenciones y Denuncias (%) para Delitos de Homicidio y Violación en la Región del Biobío"/>
    <s v="En la región del Biobío se observa una diferencia significativa para Homicidios y Violaciones, en cuanto a la relación entre detenciones y denuncias, siendo considerablemente mayor las detenciones por el delito de homicidios que por violación."/>
    <s v="Gráfico de Evolución"/>
    <s v="Región del Biobío,relación,detenciones,denuncias,delitos,homicidio,violación,nacional,Agencia Información,Social,DMCS - Homicidio y Violación,Delincuencia"/>
    <s v="https://analytics.zoho.com/open-view/2395394000008467312?ZOHO_CRITERIA=%22Localiza%20Chile%22.%22Codreg%22%3D8"/>
    <x v="8"/>
    <s v="#1774B377"/>
  </r>
  <r>
    <s v="1756"/>
    <n v="990"/>
    <s v="Agencia Información"/>
    <s v="Social"/>
    <n v="9"/>
    <x v="94"/>
    <x v="10"/>
    <x v="1"/>
    <x v="9"/>
    <x v="1"/>
    <x v="117"/>
    <s v="Periodo 2008-2020"/>
    <s v="Porcentaje"/>
    <s v="Centro de Estudios y Análisis del Delito (CEAD) de la Subsecretaría de Prevención del Delito"/>
    <s v="Relación entre Detenciones y Denuncias (%) para Delitos de Homicidio y Violación en la Región de La Araucanía"/>
    <s v="En la región de La Araucanía se observa una diferencia significativa para Homicidios y Violaciones, en cuanto a la relación entre detenciones y denuncias, siendo considerablemente mayor las detenciones por el delito de homicidios que por violación."/>
    <s v="Gráfico de Evolución"/>
    <s v="Región de La Araucanía,relación,detenciones,denuncias,delitos,homicidio,violación,nacional,Agencia Información,Social,DMCS - Homicidio y Violación,Delincuencia"/>
    <s v="https://analytics.zoho.com/open-view/2395394000008467312?ZOHO_CRITERIA=%22Localiza%20Chile%22.%22Codreg%22%3D9"/>
    <x v="9"/>
    <s v="#1774B378"/>
  </r>
  <r>
    <s v="1757"/>
    <n v="990"/>
    <s v="Agencia Información"/>
    <s v="Social"/>
    <n v="10"/>
    <x v="94"/>
    <x v="10"/>
    <x v="1"/>
    <x v="10"/>
    <x v="1"/>
    <x v="117"/>
    <s v="Periodo 2008-2020"/>
    <s v="Porcentaje"/>
    <s v="Centro de Estudios y Análisis del Delito (CEAD) de la Subsecretaría de Prevención del Delito"/>
    <s v="Relación entre Detenciones y Denuncias (%) para Delitos de Homicidio y Violación en la Región de Los Lagos"/>
    <s v="En la región de Los Lagos se observa una diferencia significativa para Homicidios y Violaciones, en cuanto a la relación entre detenciones y denuncias, siendo considerablemente mayor las detenciones por el delito de homicidios que por violación."/>
    <s v="Gráfico de Evolución"/>
    <s v="Región de Los Lagos,relación,detenciones,denuncias,delitos,homicidio,violación,nacional,Agencia Información,Social,DMCS - Homicidio y Violación,Delincuencia"/>
    <s v="https://analytics.zoho.com/open-view/2395394000008467312?ZOHO_CRITERIA=%22Localiza%20Chile%22.%22Codreg%22%3D10"/>
    <x v="10"/>
    <s v="#1774B379"/>
  </r>
  <r>
    <s v="1758"/>
    <n v="990"/>
    <s v="Agencia Información"/>
    <s v="Social"/>
    <n v="11"/>
    <x v="94"/>
    <x v="10"/>
    <x v="1"/>
    <x v="11"/>
    <x v="1"/>
    <x v="117"/>
    <s v="Periodo 2008-2020"/>
    <s v="Porcentaje"/>
    <s v="Centro de Estudios y Análisis del Delito (CEAD) de la Subsecretaría de Prevención del Delito"/>
    <s v="Relación entre Detenciones y Denuncias (%) para Delitos de Homicidio y Violación en la Región de Aysén"/>
    <s v="En la región de Aysén se observa una diferencia significativa para Homicidios y Violaciones, en cuanto a la relación entre detenciones y denuncias, siendo considerablemente mayor las detenciones por el delito de homicidios que por violación."/>
    <s v="Gráfico de Evolución"/>
    <s v="Región de Aysén,relación,detenciones,denuncias,delitos,homicidio,violación,nacional,Agencia Información,Social,DMCS - Homicidio y Violación,Delincuencia"/>
    <s v="https://analytics.zoho.com/open-view/2395394000008467312?ZOHO_CRITERIA=%22Localiza%20Chile%22.%22Codreg%22%3D11"/>
    <x v="11"/>
    <s v="#1774B380"/>
  </r>
  <r>
    <s v="1759"/>
    <n v="990"/>
    <s v="Agencia Información"/>
    <s v="Social"/>
    <n v="12"/>
    <x v="94"/>
    <x v="10"/>
    <x v="1"/>
    <x v="12"/>
    <x v="1"/>
    <x v="117"/>
    <s v="Periodo 2008-2020"/>
    <s v="Porcentaje"/>
    <s v="Centro de Estudios y Análisis del Delito (CEAD) de la Subsecretaría de Prevención del Delito"/>
    <s v="Relación entre Detenciones y Denuncias (%) para Delitos de Homicidio y Violación en la Región de Magallanes"/>
    <s v="En la región de Magallanes se observa una diferencia significativa para Homicidios y Violaciones, en cuanto a la relación entre detenciones y denuncias, siendo considerablemente mayor las detenciones por el delito de homicidios que por violación."/>
    <s v="Gráfico de Evolución"/>
    <s v="Región de Magallanes,relación,detenciones,denuncias,delitos,homicidio,violación,nacional,Agencia Información,Social,DMCS - Homicidio y Violación,Delincuencia"/>
    <s v="https://analytics.zoho.com/open-view/2395394000008467312?ZOHO_CRITERIA=%22Localiza%20Chile%22.%22Codreg%22%3D12"/>
    <x v="12"/>
    <s v="#1774B381"/>
  </r>
  <r>
    <s v="1760"/>
    <n v="990"/>
    <s v="Agencia Información"/>
    <s v="Social"/>
    <n v="13"/>
    <x v="94"/>
    <x v="10"/>
    <x v="1"/>
    <x v="13"/>
    <x v="1"/>
    <x v="117"/>
    <s v="Periodo 2008-2020"/>
    <s v="Porcentaje"/>
    <s v="Centro de Estudios y Análisis del Delito (CEAD) de la Subsecretaría de Prevención del Delito"/>
    <s v="Relación entre Detenciones y Denuncias (%) para Delitos de Homicidio y Violación en la Región Metropolitana"/>
    <s v="En la región Metropolitana se observa una diferencia significativa para Homicidios y Violaciones, en cuanto a la relación entre detenciones y denuncias, siendo considerablemente mayor las detenciones por el delito de homicidios que por violación."/>
    <s v="Gráfico de Evolución"/>
    <s v="Región Metropolitana,relación,detenciones,denuncias,delitos,homicidio,violación,nacional,Agencia Información,Social,DMCS - Homicidio y Violación,Delincuencia"/>
    <s v="https://analytics.zoho.com/open-view/2395394000008467312?ZOHO_CRITERIA=%22Localiza%20Chile%22.%22Codreg%22%3D13"/>
    <x v="13"/>
    <s v="#1774B382"/>
  </r>
  <r>
    <s v="1761"/>
    <n v="990"/>
    <s v="Agencia Información"/>
    <s v="Social"/>
    <n v="14"/>
    <x v="94"/>
    <x v="10"/>
    <x v="1"/>
    <x v="14"/>
    <x v="1"/>
    <x v="117"/>
    <s v="Periodo 2008-2020"/>
    <s v="Porcentaje"/>
    <s v="Centro de Estudios y Análisis del Delito (CEAD) de la Subsecretaría de Prevención del Delito"/>
    <s v="Relación entre Detenciones y Denuncias (%) para Delitos de Homicidio y Violación en la Región de Los Ríos"/>
    <s v="En la región de Los Ríos se observa una diferencia significativa para Homicidios y Violaciones, en cuanto a la relación entre detenciones y denuncias, siendo considerablemente mayor las detenciones por el delito de homicidios que por violación."/>
    <s v="Gráfico de Evolución"/>
    <s v="Región de Los Ríos,relación,detenciones,denuncias,delitos,homicidio,violación,nacional,Agencia Información,Social,DMCS - Homicidio y Violación,Delincuencia"/>
    <s v="https://analytics.zoho.com/open-view/2395394000008467312?ZOHO_CRITERIA=%22Localiza%20Chile%22.%22Codreg%22%3D14"/>
    <x v="14"/>
    <s v="#1774B383"/>
  </r>
  <r>
    <s v="1762"/>
    <n v="990"/>
    <s v="Agencia Información"/>
    <s v="Social"/>
    <n v="15"/>
    <x v="94"/>
    <x v="10"/>
    <x v="1"/>
    <x v="15"/>
    <x v="1"/>
    <x v="117"/>
    <s v="Periodo 2008-2020"/>
    <s v="Porcentaje"/>
    <s v="Centro de Estudios y Análisis del Delito (CEAD) de la Subsecretaría de Prevención del Delito"/>
    <s v="Relación entre Detenciones y Denuncias (%) para Delitos de Homicidio y Violación en la Región de Arica y Parinacota"/>
    <s v="En la región de Arica y Parinacota se observa una diferencia significativa para Homicidios y Violaciones, en cuanto a la relación entre detenciones y denuncias, siendo considerablemente mayor las detenciones por el delito de homicidios que por violación."/>
    <s v="Gráfico de Evolución"/>
    <s v="Región de Arica y Parinacota,relación,detenciones,denuncias,delitos,homicidio,violación,nacional,Agencia Información,Social,DMCS - Homicidio y Violación,Delincuencia"/>
    <s v="https://analytics.zoho.com/open-view/2395394000008467312?ZOHO_CRITERIA=%22Localiza%20Chile%22.%22Codreg%22%3D15"/>
    <x v="15"/>
    <s v="#1774B384"/>
  </r>
  <r>
    <s v="1763"/>
    <n v="990"/>
    <s v="Agencia Información"/>
    <s v="Social"/>
    <n v="16"/>
    <x v="94"/>
    <x v="10"/>
    <x v="1"/>
    <x v="16"/>
    <x v="1"/>
    <x v="117"/>
    <s v="Periodo 2008-2020"/>
    <s v="Porcentaje"/>
    <s v="Centro de Estudios y Análisis del Delito (CEAD) de la Subsecretaría de Prevención del Delito"/>
    <s v="Relación entre Detenciones y Denuncias (%) para Delitos de Homicidio y Violación en la Región de Ñuble"/>
    <s v="En la región de Ñuble se observa una diferencia significativa para Homicidios y Violaciones, en cuanto a la relación entre detenciones y denuncias, siendo considerablemente mayor las detenciones por el delito de homicidios que por violación."/>
    <s v="Gráfico de Evolución"/>
    <s v="Región de Ñuble,relación,detenciones,denuncias,delitos,homicidio,violación,nacional,Agencia Información,Social,DMCS - Homicidio y Violación,Delincuencia"/>
    <s v="https://analytics.zoho.com/open-view/2395394000008467312?ZOHO_CRITERIA=%22Localiza%20Chile%22.%22Codreg%22%3D16"/>
    <x v="16"/>
    <s v="#1774B385"/>
  </r>
  <r>
    <s v="1764"/>
    <n v="990"/>
    <s v="Agencia Información"/>
    <s v="Socioeconómico"/>
    <n v="0"/>
    <x v="95"/>
    <x v="35"/>
    <x v="0"/>
    <x v="0"/>
    <x v="0"/>
    <x v="118"/>
    <s v="Año 2020"/>
    <s v="Porcentaje"/>
    <s v="Encuestas CASEN"/>
    <s v="Pobreza Extrema y No Extrema en la Población Autodefinida como Indígena a Escala Comunal en Chile, Año 2020"/>
    <s v="Según la encuesta CASEN realizada el año 2020, existen 12 comunas en las que más del 50% de la población autodefinida como indígena vive en pobreza extrema y no extrema."/>
    <s v="Mapa de calor"/>
    <s v="Chile,no extrema,extrema,población,autodefinida,indígena,comunal,nacional,porcentaje,Agencia Información,Socioeconómico,Pobreza población Indígena,Pobreza"/>
    <s v="https://analytics.zoho.com/open-view/2395394000008493041"/>
    <x v="17"/>
    <s v="#1774B386"/>
  </r>
  <r>
    <s v="1765"/>
    <n v="990"/>
    <s v="Agencia Información"/>
    <s v="Socioeconómico"/>
    <n v="1"/>
    <x v="95"/>
    <x v="35"/>
    <x v="1"/>
    <x v="1"/>
    <x v="1"/>
    <x v="118"/>
    <s v="Año 2020"/>
    <s v="Porcentaje"/>
    <s v="Encuestas CASEN"/>
    <s v="Pobreza Extrema y No Extrema en la Población Autodefinida como Indígena a Escala Comunal en la Región de Tarapacá, Año 2020"/>
    <s v="En la región de Tarapacá, en la comuna de Huara se encuentra un 46,0% de población indígena en situación de pobreza, siendo el mayor porcentaje de la región. "/>
    <s v="Mapa de calor"/>
    <s v="Región de Tarapacá,no extrema,extrema,población,autodefinida,indígena,comunal,regional,porcentaje,Agencia Información,Socioeconómico,Pobreza población Indígena,Pobreza"/>
    <s v="https://analytics.zoho.com/open-view/2395394000008493398?ZOHO_CRITERIA=%22Localiza%20CL%22.%22Codreg%22%3D1"/>
    <x v="18"/>
    <s v="#1774B387"/>
  </r>
  <r>
    <s v="1766"/>
    <n v="990"/>
    <s v="Agencia Información"/>
    <s v="Socioeconómico"/>
    <n v="2"/>
    <x v="95"/>
    <x v="35"/>
    <x v="1"/>
    <x v="2"/>
    <x v="1"/>
    <x v="118"/>
    <s v="Año 2020"/>
    <s v="Porcentaje"/>
    <s v="Encuestas CASEN"/>
    <s v="Pobreza Extrema y No Extrema en la Población Autodefinida como Indígena a Escala Comunal en la Región de Antofagasta, Año 2020"/>
    <s v="En la región de Antofagasta, en la comuna de Mejillones se encuentra un 31,9% de población indígena en situación de pobreza, siendo el mayor porcentaje de la región."/>
    <s v="Mapa de calor"/>
    <s v="Región de Antofagasta,no extrema,extrema,población,autodefinida,indígena,comunal,regional,porcentaje,Agencia Información,Socioeconómico,Pobreza población Indígena,Pobreza"/>
    <s v="https://analytics.zoho.com/open-view/2395394000008493398?ZOHO_CRITERIA=%22Localiza%20CL%22.%22Codreg%22%3D2"/>
    <x v="19"/>
    <s v="#1774B388"/>
  </r>
  <r>
    <s v="1767"/>
    <n v="990"/>
    <s v="Agencia Información"/>
    <s v="Socioeconómico"/>
    <n v="3"/>
    <x v="95"/>
    <x v="35"/>
    <x v="1"/>
    <x v="3"/>
    <x v="1"/>
    <x v="118"/>
    <s v="Año 2020"/>
    <s v="Porcentaje"/>
    <s v="Encuestas CASEN"/>
    <s v="Pobreza Extrema y No Extrema en la Población Autodefinida como Indígena a Escala Comunal en la Región de Atacama, Año 2020"/>
    <s v="En la región de Atacama, en la comuna de Huasco se encuentra un 21,0% de población indígena en situación de pobreza, siendo el mayor porcentaje de la región. "/>
    <s v="Mapa de calor"/>
    <s v="Región de Atacama,no extrema,extrema,población,autodefinida,indígena,comunal,regional,porcentaje,Agencia Información,Socioeconómico,Pobreza población Indígena,Pobreza"/>
    <s v="https://analytics.zoho.com/open-view/2395394000008493398?ZOHO_CRITERIA=%22Localiza%20CL%22.%22Codreg%22%3D3"/>
    <x v="20"/>
    <s v="#1774B389"/>
  </r>
  <r>
    <s v="1768"/>
    <n v="990"/>
    <s v="Agencia Información"/>
    <s v="Socioeconómico"/>
    <n v="4"/>
    <x v="95"/>
    <x v="35"/>
    <x v="1"/>
    <x v="4"/>
    <x v="1"/>
    <x v="118"/>
    <s v="Año 2020"/>
    <s v="Porcentaje"/>
    <s v="Encuestas CASEN"/>
    <s v="Pobreza Extrema y No Extrema en la Población Autodefinida como Indígena a Escala Comunal en la Región de Coquimbo, Año 2020"/>
    <s v="En la región de Coquimbo en la comuna Los Vilos se encuentra un 43,5% de población indígena en situación de pobreza, siendo el mayor porcentaje de la región. "/>
    <s v="Mapa de calor"/>
    <s v="Región de Coquimbo,no extrema,extrema,población,autodefinida,indígena,comunal,regional,porcentaje,Agencia Información,Socioeconómico,Pobreza población Indígena,Pobreza"/>
    <s v="https://analytics.zoho.com/open-view/2395394000008493398?ZOHO_CRITERIA=%22Localiza%20CL%22.%22Codreg%22%3D4"/>
    <x v="21"/>
    <s v="#1774B390"/>
  </r>
  <r>
    <s v="1769"/>
    <n v="990"/>
    <s v="Agencia Información"/>
    <s v="Socioeconómico"/>
    <n v="5"/>
    <x v="95"/>
    <x v="35"/>
    <x v="1"/>
    <x v="5"/>
    <x v="1"/>
    <x v="118"/>
    <s v="Año 2020"/>
    <s v="Porcentaje"/>
    <s v="Encuestas CASEN"/>
    <s v="Pobreza Extrema y No Extrema en la Población Autodefinida como Indígena a Escala Comunal en la Región de Valparaíso, Año 2020"/>
    <s v="En la región de Valparaíso en la comuna Catemu se encuentra un 36,1% de población indígena en situación de pobreza, siendo el mayor porcentaje de la región. "/>
    <s v="Mapa de calor"/>
    <s v="Región de Valparaíso,no extrema,extrema,población,autodefinida,indígena,comunal,regional,porcentaje,Agencia Información,Socioeconómico,Pobreza población Indígena,Pobreza"/>
    <s v="https://analytics.zoho.com/open-view/2395394000008493398?ZOHO_CRITERIA=%22Localiza%20CL%22.%22Codreg%22%3D5"/>
    <x v="22"/>
    <s v="#1774B391"/>
  </r>
  <r>
    <s v="1770"/>
    <n v="990"/>
    <s v="Agencia Información"/>
    <s v="Socioeconómico"/>
    <n v="6"/>
    <x v="95"/>
    <x v="35"/>
    <x v="1"/>
    <x v="6"/>
    <x v="1"/>
    <x v="118"/>
    <s v="Año 2020"/>
    <s v="Porcentaje"/>
    <s v="Encuestas CASEN"/>
    <s v="Pobreza Extrema y No Extrema en la Población Autodefinida como Indígena a Escala Comunal en la Región de O'Higgins, Año 2020"/>
    <s v="En la región de O'Higgins en la comuna de Paredones se encuentra un 38,2% de población indígena en situación de pobreza, siendo el mayor porcentaje de la región. "/>
    <s v="Mapa de calor"/>
    <s v="Región de O'Higgins,no extrema,extrema,población,autodefinida,indígena,comunal,regional,porcentaje,Agencia Información,Socioeconómico,Pobreza población Indígena,Pobreza"/>
    <s v="https://analytics.zoho.com/open-view/2395394000008493398?ZOHO_CRITERIA=%22Localiza%20CL%22.%22Codreg%22%3D6"/>
    <x v="23"/>
    <s v="#1774B392"/>
  </r>
  <r>
    <s v="1771"/>
    <n v="990"/>
    <s v="Agencia Información"/>
    <s v="Socioeconómico"/>
    <n v="7"/>
    <x v="95"/>
    <x v="35"/>
    <x v="1"/>
    <x v="7"/>
    <x v="1"/>
    <x v="118"/>
    <s v="Año 2020"/>
    <s v="Porcentaje"/>
    <s v="Encuestas CASEN"/>
    <s v="Pobreza Extrema y No Extrema en la Población Autodefinida como Indígena a Escala Comunal en la Región de Maule, Año 2020"/>
    <s v="En la región del Maule, en la comuna de Pelluhue se encuentra un 91,8% de población indígena en situación de pobreza, siendo el mayor porcentaje de la región."/>
    <s v="Mapa de calor"/>
    <s v="Región de Maule,no extrema,extrema,población,autodefinida,indígena,comunal,regional,porcentaje,Agencia Información,Socioeconómico,Pobreza población Indígena,Pobreza"/>
    <s v="https://analytics.zoho.com/open-view/2395394000008493398?ZOHO_CRITERIA=%22Localiza%20CL%22.%22Codreg%22%3D7"/>
    <x v="24"/>
    <s v="#1774B393"/>
  </r>
  <r>
    <s v="1772"/>
    <n v="990"/>
    <s v="Agencia Información"/>
    <s v="Socioeconómico"/>
    <n v="8"/>
    <x v="95"/>
    <x v="35"/>
    <x v="1"/>
    <x v="8"/>
    <x v="1"/>
    <x v="118"/>
    <s v="Año 2020"/>
    <s v="Porcentaje"/>
    <s v="Encuestas CASEN"/>
    <s v="Pobreza Extrema y No Extrema en la Población Autodefinida como Indígena a Escala Comunal en la Región del Biobío, Año 2020"/>
    <s v="En la región del Biobío, en la comuna de Santa Bárbara se encuentra un 81,1% de población indígena en situación de pobreza, siendo el mayor porcentaje de la región."/>
    <s v="Mapa de calor"/>
    <s v="Región del Biobío,no extrema,extrema,población,autodefinida,indígena,comunal,regional,porcentaje,Agencia Información,Socioeconómico,Pobreza población Indígena,Pobreza"/>
    <s v="https://analytics.zoho.com/open-view/2395394000008493398?ZOHO_CRITERIA=%22Localiza%20CL%22.%22Codreg%22%3D8"/>
    <x v="25"/>
    <s v="#1774B394"/>
  </r>
  <r>
    <s v="1773"/>
    <n v="990"/>
    <s v="Agencia Información"/>
    <s v="Socioeconómico"/>
    <n v="9"/>
    <x v="95"/>
    <x v="35"/>
    <x v="1"/>
    <x v="9"/>
    <x v="1"/>
    <x v="118"/>
    <s v="Año 2020"/>
    <s v="Porcentaje"/>
    <s v="Encuestas CASEN"/>
    <s v="Pobreza Extrema y No Extrema en la Población Autodefinida como Indígena a Escala Comunal en la Región de La Araucanía, Año 2020"/>
    <s v="En la región de la Araucanía, en la comuna de Cunco se encuentra un 47,0% de población indígena en situación de pobreza, siendo el mayor porcentaje de la región."/>
    <s v="Mapa de calor"/>
    <s v="Región de La Araucanía,no extrema,extrema,población,autodefinida,indígena,comunal,regional,porcentaje,Agencia Información,Socioeconómico,Pobreza población Indígena,Pobreza"/>
    <s v="https://analytics.zoho.com/open-view/2395394000008493398?ZOHO_CRITERIA=%22Localiza%20CL%22.%22Codreg%22%3D9"/>
    <x v="26"/>
    <s v="#1774B395"/>
  </r>
  <r>
    <s v="1774"/>
    <n v="990"/>
    <s v="Agencia Información"/>
    <s v="Socioeconómico"/>
    <n v="10"/>
    <x v="95"/>
    <x v="35"/>
    <x v="1"/>
    <x v="10"/>
    <x v="1"/>
    <x v="118"/>
    <s v="Año 2020"/>
    <s v="Porcentaje"/>
    <s v="Encuestas CASEN"/>
    <s v="Pobreza Extrema y No Extrema en la Población Autodefinida como Indígena a Escala Comunal en la Región de Los Lagos, Año 2020"/>
    <s v="En la región de los Lagos, en la comuna de Puqueldón se encuentra un 50,0% de población indígena en situación de pobreza, siendo el mayor porcentaje de la región."/>
    <s v="Mapa de calor"/>
    <s v="Región de Los Lagos,no extrema,extrema,población,autodefinida,indígena,comunal,regional,porcentaje,Agencia Información,Socioeconómico,Pobreza población Indígena,Pobreza"/>
    <s v="https://analytics.zoho.com/open-view/2395394000008493398?ZOHO_CRITERIA=%22Localiza%20CL%22.%22Codreg%22%3D10"/>
    <x v="27"/>
    <s v="#1774B396"/>
  </r>
  <r>
    <s v="1775"/>
    <n v="990"/>
    <s v="Agencia Información"/>
    <s v="Socioeconómico"/>
    <n v="11"/>
    <x v="95"/>
    <x v="35"/>
    <x v="1"/>
    <x v="11"/>
    <x v="1"/>
    <x v="118"/>
    <s v="Año 2020"/>
    <s v="Porcentaje"/>
    <s v="Encuestas CASEN"/>
    <s v="Pobreza Extrema y No Extrema en la Población Autodefinida como Indígena a Escala Comunal en la Región de Aysén, Año 2020"/>
    <s v="En la región de Aysén, en la comuna de Aysén se encuentra un 13% de población indígena en situación de pobreza, siendo el mayor porcentaje de la región."/>
    <s v="Mapa de calor"/>
    <s v="Región de Aysén,no extrema,extrema,población,autodefinida,indígena,comunal,regional,porcentaje,Agencia Información,Socioeconómico,Pobreza población Indígena,Pobreza"/>
    <s v="https://analytics.zoho.com/open-view/2395394000008493398?ZOHO_CRITERIA=%22Localiza%20CL%22.%22Codreg%22%3D11"/>
    <x v="33"/>
    <s v="#1774B397"/>
  </r>
  <r>
    <s v="1776"/>
    <n v="990"/>
    <s v="Agencia Información"/>
    <s v="Socioeconómico"/>
    <n v="12"/>
    <x v="95"/>
    <x v="35"/>
    <x v="1"/>
    <x v="12"/>
    <x v="1"/>
    <x v="118"/>
    <s v="Año 2020"/>
    <s v="Porcentaje"/>
    <s v="Encuestas CASEN"/>
    <s v="Pobreza Extrema y No Extrema en la Población Autodefinida como Indígena a Escala Comunal en la Región de Magallanes, Año 2020"/>
    <s v="En la región del Magallanes en la comuna de Natales se encuentra un 12,8% de población indígena en situación de pobreza, siendo el mayor porcentaje de la región."/>
    <s v="Mapa de calor"/>
    <s v="Región de Magallanes,no extrema,extrema,población,autodefinida,indígena,comunal,regional,porcentaje,Agencia Información,Socioeconómico,Pobreza población Indígena,Pobreza"/>
    <s v="https://analytics.zoho.com/open-view/2395394000008493398?ZOHO_CRITERIA=%22Localiza%20CL%22.%22Codreg%22%3D12"/>
    <x v="28"/>
    <s v="#1774B398"/>
  </r>
  <r>
    <s v="1777"/>
    <n v="990"/>
    <s v="Agencia Información"/>
    <s v="Socioeconómico"/>
    <n v="13"/>
    <x v="95"/>
    <x v="35"/>
    <x v="1"/>
    <x v="13"/>
    <x v="1"/>
    <x v="118"/>
    <s v="Año 2020"/>
    <s v="Porcentaje"/>
    <s v="Encuestas CASEN"/>
    <s v="Pobreza Extrema y No Extrema en la Población Autodefinida como Indígena a Escala Comunal en la Región Metropolitana, Año 2020"/>
    <s v="En la región Metropolitana en la comuna de Pirque se encuentra un 48,0% de población indígena en situación de pobreza, siendo el mayor porcentaje de la región."/>
    <s v="Mapa de calor"/>
    <s v="Región Metropolitana,no extrema,extrema,población,autodefinida,indígena,comunal,regional,porcentaje,Agencia Información,Socioeconómico,Pobreza población Indígena,Pobreza"/>
    <s v="https://analytics.zoho.com/open-view/2395394000008493398?ZOHO_CRITERIA=%22Localiza%20CL%22.%22Codreg%22%3D13"/>
    <x v="29"/>
    <s v="#1774B399"/>
  </r>
  <r>
    <s v="1778"/>
    <n v="990"/>
    <s v="Agencia Información"/>
    <s v="Socioeconómico"/>
    <n v="14"/>
    <x v="95"/>
    <x v="35"/>
    <x v="1"/>
    <x v="14"/>
    <x v="1"/>
    <x v="118"/>
    <s v="Año 2020"/>
    <s v="Porcentaje"/>
    <s v="Encuestas CASEN"/>
    <s v="Pobreza Extrema y No Extrema en la Población Autodefinida como Indígena a Escala Comunal en la Región de Los Ríos, Año 2020"/>
    <s v="En la región de Los Ríos en la comuna Los Lagos se encuentra un 25,8% de población indígena en situación de pobreza, siendo el mayor porcentaje de la región."/>
    <s v="Mapa de calor"/>
    <s v="Región de Los Ríos,no extrema,extrema,población,autodefinida,indígena,comunal,regional,porcentaje,Agencia Información,Socioeconómico,Pobreza población Indígena,Pobreza"/>
    <s v="https://analytics.zoho.com/open-view/2395394000008493398?ZOHO_CRITERIA=%22Localiza%20CL%22.%22Codreg%22%3D14"/>
    <x v="30"/>
    <s v="#1774B400"/>
  </r>
  <r>
    <s v="1779"/>
    <n v="990"/>
    <s v="Agencia Información"/>
    <s v="Socioeconómico"/>
    <n v="15"/>
    <x v="95"/>
    <x v="35"/>
    <x v="1"/>
    <x v="15"/>
    <x v="1"/>
    <x v="118"/>
    <s v="Año 2020"/>
    <s v="Porcentaje"/>
    <s v="Encuestas CASEN"/>
    <s v="Pobreza Extrema y No Extrema en la Población Autodefinida como Indígena a Escala Comunal en la Región de Arica y Parinacota, Año 2020"/>
    <s v="En la región de Arica y Parinacota en la comuna de Putre se encuentra un 28,5% de población indígena en situación de pobreza, siendo el mayor porcentaje de la región."/>
    <s v="Mapa de calor"/>
    <s v="Región de Arica y Parinacota,no extrema,extrema,población,autodefinida,indígena,comunal,regional,porcentaje,Agencia Información,Socioeconómico,Pobreza población Indígena,Pobreza"/>
    <s v="https://analytics.zoho.com/open-view/2395394000008493398?ZOHO_CRITERIA=%22Localiza%20CL%22.%22Codreg%22%3D15"/>
    <x v="31"/>
    <s v="#1774B401"/>
  </r>
  <r>
    <s v="1780"/>
    <n v="990"/>
    <s v="Agencia Información"/>
    <s v="Socioeconómico"/>
    <n v="16"/>
    <x v="95"/>
    <x v="35"/>
    <x v="1"/>
    <x v="16"/>
    <x v="1"/>
    <x v="118"/>
    <s v="Año 2020"/>
    <s v="Porcentaje"/>
    <s v="Encuestas CASEN"/>
    <s v="Pobreza Extrema y No Extrema en la Población Autodefinida como Indígena a Escala Comunal en la Región de Ñuble, Año 2020"/>
    <s v="En la región del Ñuble en la comuna de Ñiquén se encuentra un 94,5% de población indígena en situación de pobreza, siendo el mayor porcentaje de la región."/>
    <s v="Mapa de calor"/>
    <s v="Región de Ñuble,no extrema,extrema,población,autodefinida,indígena,comunal,regional,porcentaje,Agencia Información,Socioeconómico,Pobreza población Indígena,Pobreza"/>
    <s v="https://analytics.zoho.com/open-view/2395394000008493398?ZOHO_CRITERIA=%22Localiza%20CL%22.%22Codreg%22%3D16"/>
    <x v="32"/>
    <s v="#1774B402"/>
  </r>
  <r>
    <s v="1781"/>
    <n v="990"/>
    <s v="Agencia Información"/>
    <s v="Socioeconómico"/>
    <n v="0"/>
    <x v="96"/>
    <x v="35"/>
    <x v="0"/>
    <x v="0"/>
    <x v="0"/>
    <x v="119"/>
    <s v="Periodo 2006-2020"/>
    <s v="Porcentaje"/>
    <s v="Encuestas CASEN"/>
    <s v="Evolución de la Pobreza y Pobreza Extrema a Escala Nacional"/>
    <s v="De acuerdo a los resultados de la encuesta CASEN, los niveles de pobreza han disminuido de un 8,8% en el año 2006 a un 6,5% en el año 2020. Al contrario, la pobreza extrema ha aumentado de un 2,5% a un 4,3% en ese mismo periodo."/>
    <s v="Gráfico de Evolución"/>
    <s v="Chile,evolución,variación,CASEN,pobreza,extrema,nacional,Agencia Información,Socioeconómico,Pobreza Extrema y No Extrema,Pobreza"/>
    <s v="https://analytics.zoho.com/open-view/2395394000008486718"/>
    <x v="0"/>
    <s v="#1774B403"/>
  </r>
  <r>
    <s v="1782"/>
    <n v="990"/>
    <s v="Agencia Información"/>
    <s v="Socioeconómico"/>
    <n v="1"/>
    <x v="96"/>
    <x v="35"/>
    <x v="1"/>
    <x v="1"/>
    <x v="1"/>
    <x v="119"/>
    <s v="Periodo 2006-2020"/>
    <s v="Porcentaje"/>
    <s v="Encuestas CASEN"/>
    <s v="Evolución de la Pobreza y Pobreza Extrema en la Región de Tarapacá"/>
    <s v="En la región de Tarapacá, la  pobreza para el año 2006 fue de 6,9% en tanto en el 2020 de 7,0%. Mientras que la pobreza extrema para el año 2006 fue de 1,8% y para el año 2020 de 6,7% representando un incremento en los últimos 14 años."/>
    <s v="Gráfico de Evolución"/>
    <s v="Región de Tarapacá,evolución,variación,CASEN,pobreza,extrema,regional,Agencia Información,Socioeconómico,Pobreza Extrema y No Extrema,Pobreza"/>
    <s v="https://analytics.zoho.com/open-view/2395394000008493571?ZOHO_CRITERIA=%22Localiza%20CL%22.%22Codreg%22%3D1"/>
    <x v="1"/>
    <s v="#1774B404"/>
  </r>
  <r>
    <s v="1783"/>
    <n v="990"/>
    <s v="Agencia Información"/>
    <s v="Socioeconómico"/>
    <n v="2"/>
    <x v="96"/>
    <x v="35"/>
    <x v="1"/>
    <x v="2"/>
    <x v="1"/>
    <x v="119"/>
    <s v="Periodo 2006-2020"/>
    <s v="Porcentaje"/>
    <s v="Encuestas CASEN"/>
    <s v="Evolución de la Pobreza y Pobreza Extrema en la Región de Antofagasta"/>
    <s v="En la región de Antofagasta, la pobreza para el año 2006 fue de 4,0% en tanto en el 2020 de 6,1%. Mientras que la pobreza extrema para el año 2006 fue de 1,8% y para el año 2020 de 3,7% representando un incremento en los últimos 14 años."/>
    <s v="Gráfico de Evolución"/>
    <s v="Región de Antofagasta,evolución,variación,CASEN,pobreza,extrema,regional,Agencia Información,Socioeconómico,Pobreza Extrema y No Extrema,Pobreza"/>
    <s v="https://analytics.zoho.com/open-view/2395394000008493571?ZOHO_CRITERIA=%22Localiza%20CL%22.%22Codreg%22%3D2"/>
    <x v="2"/>
    <s v="#1774B405"/>
  </r>
  <r>
    <s v="1784"/>
    <n v="990"/>
    <s v="Agencia Información"/>
    <s v="Socioeconómico"/>
    <n v="3"/>
    <x v="96"/>
    <x v="35"/>
    <x v="1"/>
    <x v="3"/>
    <x v="1"/>
    <x v="119"/>
    <s v="Periodo 2006-2020"/>
    <s v="Porcentaje"/>
    <s v="Encuestas CASEN"/>
    <s v="Evolución de la Pobreza y Pobreza Extrema en la Región de Atacama"/>
    <s v="En la región de Atacama, la pobreza para el año 2006 fue de 6,1% en tanto en el 2020 de 5,7%. Mientras que la pobreza extrema para el año 2006 fue de 2,3% y para el año 2020 de 3,9% representando un incremento en los últimos 14 años."/>
    <s v="Gráfico de Evolución"/>
    <s v="Región de Atacama,evolución,variación,CASEN,pobreza,extrema,regional,Agencia Información,Socioeconómico,Pobreza Extrema y No Extrema,Pobreza"/>
    <s v="https://analytics.zoho.com/open-view/2395394000008493571?ZOHO_CRITERIA=%22Localiza%20CL%22.%22Codreg%22%3D3"/>
    <x v="3"/>
    <s v="#1774B406"/>
  </r>
  <r>
    <s v="1785"/>
    <n v="990"/>
    <s v="Agencia Información"/>
    <s v="Socioeconómico"/>
    <n v="4"/>
    <x v="96"/>
    <x v="35"/>
    <x v="1"/>
    <x v="4"/>
    <x v="1"/>
    <x v="119"/>
    <s v="Periodo 2006-2020"/>
    <s v="Porcentaje"/>
    <s v="Encuestas CASEN"/>
    <s v="Evolución de la Pobreza y Pobreza Extrema en la Región de Coquimbo"/>
    <s v="En la región de Coquimbo la pobreza para el año 2006 fue de 11,3% en tanto en el 2020 de 7,6%. Mientras que la pobreza extrema para el año 2006 fue de 2,1% y para el año 2020 de 4,1% representando un incremento en los últimos 14 años."/>
    <s v="Gráfico de Evolución"/>
    <s v="Región de Coquimbo,evolución,variación,CASEN,pobreza,extrema,regional,Agencia Información,Socioeconómico,Pobreza Extrema y No Extrema,Pobreza"/>
    <s v="https://analytics.zoho.com/open-view/2395394000008493571?ZOHO_CRITERIA=%22Localiza%20CL%22.%22Codreg%22%3D4"/>
    <x v="4"/>
    <s v="#1774B407"/>
  </r>
  <r>
    <s v="1786"/>
    <n v="990"/>
    <s v="Agencia Información"/>
    <s v="Socioeconómico"/>
    <n v="5"/>
    <x v="96"/>
    <x v="35"/>
    <x v="1"/>
    <x v="5"/>
    <x v="1"/>
    <x v="119"/>
    <s v="Periodo 2006-2020"/>
    <s v="Porcentaje"/>
    <s v="Encuestas CASEN"/>
    <s v="Evolución de la Pobreza y Pobreza Extrema en la Región de Valparaíso"/>
    <s v="En la región de Valparaíso, la pobreza para el año 2006 fue de 10,6% en tanto en el 2020 de 6,4%. Mientras que la pobreza extrema para el año 2006 fue de 2,3% y para el año 2020 de 4,9% representando un incremento en los últimos 14 años."/>
    <s v="Gráfico de Evolución"/>
    <s v="Región de Valparaíso,evolución,variación,CASEN,pobreza,extrema,regional,Agencia Información,Socioeconómico,Pobreza Extrema y No Extrema,Pobreza"/>
    <s v="https://analytics.zoho.com/open-view/2395394000008493571?ZOHO_CRITERIA=%22Localiza%20CL%22.%22Codreg%22%3D5"/>
    <x v="5"/>
    <s v="#1774B408"/>
  </r>
  <r>
    <s v="1787"/>
    <n v="990"/>
    <s v="Agencia Información"/>
    <s v="Socioeconómico"/>
    <n v="6"/>
    <x v="96"/>
    <x v="35"/>
    <x v="1"/>
    <x v="6"/>
    <x v="1"/>
    <x v="119"/>
    <s v="Periodo 2006-2020"/>
    <s v="Porcentaje"/>
    <s v="Encuestas CASEN"/>
    <s v="Evolución de la Pobreza y Pobreza Extrema en la Región de O'Higgins"/>
    <s v="En la región de O'Higgins, la pobreza para el año 2006 fue de 7,7% en tanto en el 2020 de 5,7%. Mientras que la pobreza extrema para el año 2006 fue de 1,6% y para el año 2020 de 4,3% representando un incremento en los últimos 14 años."/>
    <s v="Gráfico de Evolución"/>
    <s v="Región de O'Higgins,evolución,variación,CASEN,pobreza,extrema,regional,Agencia Información,Socioeconómico,Pobreza Extrema y No Extrema,Pobreza"/>
    <s v="https://analytics.zoho.com/open-view/2395394000008493571?ZOHO_CRITERIA=%22Localiza%20CL%22.%22Codreg%22%3D6"/>
    <x v="6"/>
    <s v="#1774B409"/>
  </r>
  <r>
    <s v="1788"/>
    <n v="990"/>
    <s v="Agencia Información"/>
    <s v="Socioeconómico"/>
    <n v="7"/>
    <x v="96"/>
    <x v="35"/>
    <x v="1"/>
    <x v="7"/>
    <x v="1"/>
    <x v="119"/>
    <s v="Periodo 2006-2020"/>
    <s v="Porcentaje"/>
    <s v="Encuestas CASEN"/>
    <s v="Evolución de la Pobreza y Pobreza Extrema en la Región de Maule"/>
    <s v="En la región de Maule, la pobreza para el año 2006 fue de 11,8% en tanto en el 2020 de 7,7%. Mientras que la pobreza extrema para el año 2006 fue de 3,7% y para el año 2020 de 4,7% representando un incremento en los últimos 14 años."/>
    <s v="Gráfico de Evolución"/>
    <s v="Región de Maule,evolución,variación,CASEN,pobreza,extrema,regional,Agencia Información,Socioeconómico,Pobreza Extrema y No Extrema,Pobreza"/>
    <s v="https://analytics.zoho.com/open-view/2395394000008493571?ZOHO_CRITERIA=%22Localiza%20CL%22.%22Codreg%22%3D7"/>
    <x v="7"/>
    <s v="#1774B410"/>
  </r>
  <r>
    <s v="1789"/>
    <n v="990"/>
    <s v="Agencia Información"/>
    <s v="Socioeconómico"/>
    <n v="8"/>
    <x v="96"/>
    <x v="35"/>
    <x v="1"/>
    <x v="8"/>
    <x v="1"/>
    <x v="119"/>
    <s v="Periodo 2006-2020"/>
    <s v="Porcentaje"/>
    <s v="Encuestas CASEN"/>
    <s v="Evolución de la Pobreza y Pobreza Extrema en la Región del Biobío"/>
    <s v="En la región de Biobío, la pobreza para el año 2006 fue de 13,1% en tanto en el 2020 de 8,0%. Mientras que la pobreza extrema para el año 2006 fue de 4,1% y para el año 2020 de 5,0% representando un incremento en los últimos 14 años."/>
    <s v="Gráfico de Evolución"/>
    <s v="Región del Biobío,evolución,variación,CASEN,pobreza,extrema,regional,Agencia Información,Socioeconómico,Pobreza Extrema y No Extrema,Pobreza"/>
    <s v="https://analytics.zoho.com/open-view/2395394000008493571?ZOHO_CRITERIA=%22Localiza%20CL%22.%22Codreg%22%3D8"/>
    <x v="8"/>
    <s v="#1774B411"/>
  </r>
  <r>
    <s v="1790"/>
    <n v="990"/>
    <s v="Agencia Información"/>
    <s v="Socioeconómico"/>
    <n v="9"/>
    <x v="96"/>
    <x v="35"/>
    <x v="1"/>
    <x v="9"/>
    <x v="1"/>
    <x v="119"/>
    <s v="Periodo 2006-2020"/>
    <s v="Porcentaje"/>
    <s v="Encuestas CASEN"/>
    <s v="Evolución de la Pobreza y Pobreza Extrema en la Región de La Araucanía"/>
    <s v="En la región de Araucanía, la pobreza para el año 2006 fue de 12,3% en tanto en el 2020 de 11,5%. Mientras que la pobreza extrema para el año 2006 fue de 4,8% y para el año 2020 de 6,0% representando un incremento en los últimos 14 años."/>
    <s v="Gráfico de Evolución"/>
    <s v="Región de La Araucanía,evolución,variación,CASEN,pobreza,extrema,regional,Agencia Información,Socioeconómico,Pobreza Extrema y No Extrema,Pobreza"/>
    <s v="https://analytics.zoho.com/open-view/2395394000008493571?ZOHO_CRITERIA=%22Localiza%20CL%22.%22Codreg%22%3D9"/>
    <x v="9"/>
    <s v="#1774B412"/>
  </r>
  <r>
    <s v="1791"/>
    <n v="990"/>
    <s v="Agencia Información"/>
    <s v="Socioeconómico"/>
    <n v="10"/>
    <x v="96"/>
    <x v="35"/>
    <x v="1"/>
    <x v="10"/>
    <x v="1"/>
    <x v="119"/>
    <s v="Periodo 2006-2020"/>
    <s v="Porcentaje"/>
    <s v="Encuestas CASEN"/>
    <s v="Evolución de la Pobreza y Pobreza Extrema en la Región de Los Lagos"/>
    <s v="En la región de Los Lagos, la pobreza para el año 2006 fue de 7,6% en tanto en el 2020 de 7,4%. Mientras que la pobreza extrema para el año 2006 fue de 2,2% y para el año 2020 de 3,5% representando un incremento en los últimos 14 años."/>
    <s v="Gráfico de Evolución"/>
    <s v="Región de Los Lagos,evolución,variación,CASEN,pobreza,extrema,regional,Agencia Información,Socioeconómico,Pobreza Extrema y No Extrema,Pobreza"/>
    <s v="https://analytics.zoho.com/open-view/2395394000008493571?ZOHO_CRITERIA=%22Localiza%20CL%22.%22Codreg%22%3D10"/>
    <x v="10"/>
    <s v="#1774B413"/>
  </r>
  <r>
    <s v="1792"/>
    <n v="990"/>
    <s v="Agencia Información"/>
    <s v="Socioeconómico"/>
    <n v="11"/>
    <x v="96"/>
    <x v="35"/>
    <x v="1"/>
    <x v="11"/>
    <x v="1"/>
    <x v="119"/>
    <s v="Periodo 2006-2020"/>
    <s v="Porcentaje"/>
    <s v="Encuestas CASEN"/>
    <s v="Evolución de la Pobreza y Pobreza Extrema en la Región de Aysén"/>
    <s v="En la región de Aysén, la pobreza para el año 2006 fue de 4,3% en tanto en el 2020 de 4,2%. Mientras que la pobreza extrema para el año 2006 fue de 3,0%y para el año 2020 de 2,3% representando una disminución en los últimos 14 años."/>
    <s v="Gráfico de Evolución"/>
    <s v="Región de Aysén,evolución,variación,CASEN,pobreza,extrema,regional,Agencia Información,Socioeconómico,Pobreza Extrema y No Extrema,Pobreza"/>
    <s v="https://analytics.zoho.com/open-view/2395394000008493571?ZOHO_CRITERIA=%22Localiza%20CL%22.%22Codreg%22%3D11"/>
    <x v="11"/>
    <s v="#1774B414"/>
  </r>
  <r>
    <s v="1793"/>
    <n v="990"/>
    <s v="Agencia Información"/>
    <s v="Socioeconómico"/>
    <n v="12"/>
    <x v="96"/>
    <x v="35"/>
    <x v="1"/>
    <x v="12"/>
    <x v="1"/>
    <x v="119"/>
    <s v="Periodo 2006-2020"/>
    <s v="Porcentaje"/>
    <s v="Encuestas CASEN"/>
    <s v="Evolución de la Pobreza y Pobreza Extrema en la Región de Magallanes"/>
    <s v="En la región de Magallanes, la pobreza para el año 2006 fue de 3,2% en tanto en el 2020 de 3,9%. Mientras que la pobreza extrema para el año 2006 fue de 2,3% y para el año 2020 de 1,9% representando una disminución en los últimos 14 años."/>
    <s v="Gráfico de Evolución"/>
    <s v="Región de Magallanes,evolución,variación,CASEN,pobreza,extrema,regional,Agencia Información,Socioeconómico,Pobreza Extrema y No Extrema,Pobreza"/>
    <s v="https://analytics.zoho.com/open-view/2395394000008493571?ZOHO_CRITERIA=%22Localiza%20CL%22.%22Codreg%22%3D12"/>
    <x v="12"/>
    <s v="#1774B415"/>
  </r>
  <r>
    <s v="1794"/>
    <n v="990"/>
    <s v="Agencia Información"/>
    <s v="Socioeconómico"/>
    <n v="13"/>
    <x v="96"/>
    <x v="35"/>
    <x v="1"/>
    <x v="13"/>
    <x v="1"/>
    <x v="119"/>
    <s v="Periodo 2006-2020"/>
    <s v="Porcentaje"/>
    <s v="Encuestas CASEN"/>
    <s v="Evolución de la Pobreza y Pobreza Extrema en la Región Metropolitana"/>
    <s v="En la región Metropolitana la pobreza para el año 2006 fue de 6,6% en tanto en el 2020 de 5,2%. Mientras que la pobreza extrema para el año 2006 fue de 1,7% y para el año 2020 de 3,7% representando un incremento en los últimos 14 años."/>
    <s v="Gráfico de Evolución"/>
    <s v="Región Metropolitana,evolución,variación,CASEN,pobreza,extrema,regional,Agencia Información,Socioeconómico,Pobreza Extrema y No Extrema,Pobreza"/>
    <s v="https://analytics.zoho.com/open-view/2395394000008493571?ZOHO_CRITERIA=%22Localiza%20CL%22.%22Codreg%22%3D13"/>
    <x v="13"/>
    <s v="#1774B416"/>
  </r>
  <r>
    <s v="1795"/>
    <n v="990"/>
    <s v="Agencia Información"/>
    <s v="Socioeconómico"/>
    <n v="14"/>
    <x v="96"/>
    <x v="35"/>
    <x v="1"/>
    <x v="14"/>
    <x v="1"/>
    <x v="119"/>
    <s v="Periodo 2006-2020"/>
    <s v="Porcentaje"/>
    <s v="Encuestas CASEN"/>
    <s v="Evolución de la Pobreza y Pobreza Extrema en la Región de Los Ríos"/>
    <s v="En la región de Los Ríos, la pobreza para el año 2006 fue de 12,3% en tanto en el 2020 de 7,6%. Mientras que la pobreza extrema para el año 2006 fue de 4,3% y para el año 2020 de 4,7% representando un incremento en los últimos 14 años."/>
    <s v="Gráfico de Evolución"/>
    <s v="Región de Los Ríos,evolución,variación,CASEN,pobreza,extrema,regional,Agencia Información,Socioeconómico,Pobreza Extrema y No Extrema,Pobreza"/>
    <s v="https://analytics.zoho.com/open-view/2395394000008493571?ZOHO_CRITERIA=%22Localiza%20CL%22.%22Codreg%22%3D14"/>
    <x v="14"/>
    <s v="#1774B417"/>
  </r>
  <r>
    <s v="1796"/>
    <n v="990"/>
    <s v="Agencia Información"/>
    <s v="Socioeconómico"/>
    <n v="15"/>
    <x v="96"/>
    <x v="35"/>
    <x v="1"/>
    <x v="15"/>
    <x v="1"/>
    <x v="119"/>
    <s v="Periodo 2006-2020"/>
    <s v="Porcentaje"/>
    <s v="Encuestas CASEN"/>
    <s v="Evolución de la Pobreza y Pobreza Extrema en la Región de Arica y Parinacota"/>
    <s v="En la región de Arica y Parinacota, la pobreza para el año 2006 fue de 12,5% en tanto en el 2020 de 6,0%. Mientras que la pobreza extrema para el año 2006 fue de 3,5% y para el año 2020 de 6,0% representando un incremento en los últimos 14 años."/>
    <s v="Gráfico de Evolución"/>
    <s v="Región de Arica y Parinacota,evolución,variación,CASEN,pobreza,extrema,regional,Agencia Información,Socioeconómico,Pobreza Extrema y No Extrema,Pobreza"/>
    <s v="https://analytics.zoho.com/open-view/2395394000008493571?ZOHO_CRITERIA=%22Localiza%20CL%22.%22Codreg%22%3D15"/>
    <x v="15"/>
    <s v="#1774B418"/>
  </r>
  <r>
    <s v="1797"/>
    <n v="990"/>
    <s v="Agencia Información"/>
    <s v="Socioeconómico"/>
    <n v="16"/>
    <x v="96"/>
    <x v="35"/>
    <x v="1"/>
    <x v="16"/>
    <x v="1"/>
    <x v="119"/>
    <s v="Periodo 2006-2020"/>
    <s v="Porcentaje"/>
    <s v="Encuestas CASEN"/>
    <s v="Evolución de la Pobreza y Pobreza Extrema en la Región de Ñuble"/>
    <s v="En la región del Ñuble, la pobreza para el año 2006 fue de 14,5% en tanto en el 2020 de 9,6%. Mientras que la pobreza extrema para el año 2006 fue de 4,5% y para el año 2020 de 5,2% representando un incremento en los últimos 14 años."/>
    <s v="Gráfico de Evolución"/>
    <s v="Región de Ñuble,evolución,variación,CASEN,pobreza,extrema,regional,Agencia Información,Socioeconómico,Pobreza Extrema y No Extrema,Pobreza"/>
    <s v="https://analytics.zoho.com/open-view/2395394000008493571?ZOHO_CRITERIA=%22Localiza%20CL%22.%22Codreg%22%3D16"/>
    <x v="16"/>
    <s v="#1774B419"/>
  </r>
  <r>
    <s v="1798"/>
    <n v="990"/>
    <s v="Agencia Información"/>
    <s v="Socioeconómico"/>
    <n v="0"/>
    <x v="97"/>
    <x v="35"/>
    <x v="0"/>
    <x v="0"/>
    <x v="0"/>
    <x v="120"/>
    <s v="Año 2020"/>
    <s v="Porcentaje"/>
    <s v="Encuestas CASEN"/>
    <s v="Geografía de la Pobreza Extrema a Escala Comunal - 2020"/>
    <s v="Según la encuesta CASEN del año 2020, existen 28 comunas en Chile que tienen sobre un 10% de pobreza extrema. En cambio, solo 15 comunas tienen un porcentaje de pobreza extrema menor o igual a 1%."/>
    <s v="Mapa de calor"/>
    <s v="Chile,porcentaje,pobreza,extrema,comunal,nacional,Agencia Información,Socioeconómico,Pobreza Extrema,Pobreza"/>
    <s v="https://analytics.zoho.com/open-view/2395394000008483613"/>
    <x v="17"/>
    <s v="#1774B420"/>
  </r>
  <r>
    <s v="1799"/>
    <n v="990"/>
    <s v="Agencia Información"/>
    <s v="Socioeconómico"/>
    <n v="1"/>
    <x v="97"/>
    <x v="35"/>
    <x v="1"/>
    <x v="1"/>
    <x v="1"/>
    <x v="120"/>
    <s v="Año 2020"/>
    <s v="Porcentaje"/>
    <s v="Encuestas CASEN"/>
    <s v="Geografía de la Pobreza Extrema a Escala Comunal en la Región de Tarapacá - 2020"/>
    <s v="En la región de Tarapacá para el 2020, la comuna de Huara presentó el mayor porcentaje de pobreza extrema con un 16,8%, mientras que Pozo Almonte fue la comuna con menor porcentaje de pobreza extrema con un 4,6%."/>
    <s v="Mapa de calor"/>
    <s v="Región de Tarapacá,porcentaje,pobreza,extrema,comunal,regional,Agencia Información,Socioeconómico,Pobreza Extrema,Pobreza"/>
    <s v="https://analytics.zoho.com/open-view/2395394000008496266?ZOHO_CRITERIA=%22Localiza%20CL%22.%22Codreg%22%3D1"/>
    <x v="18"/>
    <s v="#1774B421"/>
  </r>
  <r>
    <s v="1800"/>
    <n v="990"/>
    <s v="Agencia Información"/>
    <s v="Socioeconómico"/>
    <n v="2"/>
    <x v="97"/>
    <x v="35"/>
    <x v="1"/>
    <x v="2"/>
    <x v="1"/>
    <x v="120"/>
    <s v="Año 2020"/>
    <s v="Porcentaje"/>
    <s v="Encuestas CASEN"/>
    <s v="Geografía de la Pobreza Extrema a Escala Comunal en la Región de Antofagasta - 2020"/>
    <s v="En la región de Antofagasta para el 2020, la comuna de Mejillones presentó el mayor porcentaje de pobreza extrema con un 18,0%, mientras que Tocopilla fue la comuna con menor porcentaje de pobreza extrema con un 1,0%."/>
    <s v="Mapa de calor"/>
    <s v="Región de Antofagasta,porcentaje,pobreza,extrema,comunal,regional,Agencia Información,Socioeconómico,Pobreza Extrema,Pobreza"/>
    <s v="https://analytics.zoho.com/open-view/2395394000008496266?ZOHO_CRITERIA=%22Localiza%20CL%22.%22Codreg%22%3D2"/>
    <x v="19"/>
    <s v="#1774B422"/>
  </r>
  <r>
    <s v="1801"/>
    <n v="990"/>
    <s v="Agencia Información"/>
    <s v="Socioeconómico"/>
    <n v="3"/>
    <x v="97"/>
    <x v="35"/>
    <x v="1"/>
    <x v="3"/>
    <x v="1"/>
    <x v="120"/>
    <s v="Año 2020"/>
    <s v="Porcentaje"/>
    <s v="Encuestas CASEN"/>
    <s v="Geografía de la Pobreza Extrema a Escala Comunal en la Región de Atacama - 2020"/>
    <s v="En la región de Atacama para el 2020, la comuna de Freirina presentó el mayor porcentaje de pobreza extrema con un 19,3%, mientras que Tierra Amarilla fue la comuna con menor porcentaje de pobreza extrema con un 1,0%."/>
    <s v="Mapa de calor"/>
    <s v="Región de Atacama,porcentaje,pobreza,extrema,comunal,regional,Agencia Información,Socioeconómico,Pobreza Extrema,Pobreza"/>
    <s v="https://analytics.zoho.com/open-view/2395394000008496266?ZOHO_CRITERIA=%22Localiza%20CL%22.%22Codreg%22%3D3"/>
    <x v="20"/>
    <s v="#1774B423"/>
  </r>
  <r>
    <s v="1802"/>
    <n v="990"/>
    <s v="Agencia Información"/>
    <s v="Socioeconómico"/>
    <n v="4"/>
    <x v="97"/>
    <x v="35"/>
    <x v="1"/>
    <x v="4"/>
    <x v="1"/>
    <x v="120"/>
    <s v="Año 2020"/>
    <s v="Porcentaje"/>
    <s v="Encuestas CASEN"/>
    <s v="Geografía de la Pobreza Extrema a Escala Comunal en la Región de Coquimbo - 2020"/>
    <s v="En la región de Coquimbo para el 2020, la comuna de Vicuña presentó el mayor porcentaje de pobreza extrema con un 9,0%, mientras que Salamanca fue la comuna con menor porcentaje de pobreza extrema con un 0,4%."/>
    <s v="Mapa de calor"/>
    <s v="Región de Coquimbo,porcentaje,pobreza,extrema,comunal,regional,Agencia Información,Socioeconómico,Pobreza Extrema,Pobreza"/>
    <s v="https://analytics.zoho.com/open-view/2395394000008496266?ZOHO_CRITERIA=%22Localiza%20CL%22.%22Codreg%22%3D4"/>
    <x v="21"/>
    <s v="#1774B424"/>
  </r>
  <r>
    <s v="1803"/>
    <n v="990"/>
    <s v="Agencia Información"/>
    <s v="Socioeconómico"/>
    <n v="5"/>
    <x v="97"/>
    <x v="35"/>
    <x v="1"/>
    <x v="5"/>
    <x v="1"/>
    <x v="120"/>
    <s v="Año 2020"/>
    <s v="Porcentaje"/>
    <s v="Encuestas CASEN"/>
    <s v="Geografía de la Pobreza Extrema a Escala Comunal en la Región de Valparaíso - 2020"/>
    <s v="En la región de Valparaíso para el 2020, la comuna de Calle Larga presentó el mayor porcentaje de pobreza extrema con un 9,2%, mientras que La Cruz fue la comuna con menor porcentaje de pobreza extrema con un 0,5%."/>
    <s v="Mapa de calor"/>
    <s v="Región de Valparaíso,porcentaje,pobreza,extrema,comunal,regional,Agencia Información,Socioeconómico,Pobreza Extrema,Pobreza"/>
    <s v="https://analytics.zoho.com/open-view/2395394000008496266?ZOHO_CRITERIA=%22Localiza%20CL%22.%22Codreg%22%3D5"/>
    <x v="22"/>
    <s v="#1774B425"/>
  </r>
  <r>
    <s v="1804"/>
    <n v="990"/>
    <s v="Agencia Información"/>
    <s v="Socioeconómico"/>
    <n v="6"/>
    <x v="97"/>
    <x v="35"/>
    <x v="1"/>
    <x v="6"/>
    <x v="1"/>
    <x v="120"/>
    <s v="Año 2020"/>
    <s v="Porcentaje"/>
    <s v="Encuestas CASEN"/>
    <s v="Geografía de la Pobreza Extrema a Escala Comunal en la Región de O'Higgins - 2020"/>
    <s v="En la región de O'Higgins para el 2020, la comuna de Peralillo presentó el mayor porcentaje de pobreza extrema con un 9,9%, mientras que Palmilla fue la comuna con menor porcentaje de pobreza extrema con un 0,8%."/>
    <s v="Mapa de calor"/>
    <s v="Región de O'Higgins,porcentaje,pobreza,extrema,comunal,regional,Agencia Información,Socioeconómico,Pobreza Extrema,Pobreza"/>
    <s v="https://analytics.zoho.com/open-view/2395394000008496266?ZOHO_CRITERIA=%22Localiza%20CL%22.%22Codreg%22%3D6"/>
    <x v="23"/>
    <s v="#1774B426"/>
  </r>
  <r>
    <s v="1805"/>
    <n v="990"/>
    <s v="Agencia Información"/>
    <s v="Socioeconómico"/>
    <n v="7"/>
    <x v="97"/>
    <x v="35"/>
    <x v="1"/>
    <x v="7"/>
    <x v="1"/>
    <x v="120"/>
    <s v="Año 2020"/>
    <s v="Porcentaje"/>
    <s v="Encuestas CASEN"/>
    <s v="Geografía de la Pobreza Extrema a Escala Comunal en la Región de Maule - 2020"/>
    <s v="En la región de Maule para el 2020, la comuna de Pelluhue presentó el mayor porcentaje de pobreza extrema con un 16,9%, mientras que Teno fue la comuna con menor porcentaje de pobreza extrema con un 0,5%."/>
    <s v="Mapa de calor"/>
    <s v="Región de Maule,porcentaje,pobreza,extrema,comunal,regional,Agencia Información,Socioeconómico,Pobreza Extrema,Pobreza"/>
    <s v="https://analytics.zoho.com/open-view/2395394000008496266?ZOHO_CRITERIA=%22Localiza%20CL%22.%22Codreg%22%3D7"/>
    <x v="24"/>
    <s v="#1774B427"/>
  </r>
  <r>
    <s v="1806"/>
    <n v="990"/>
    <s v="Agencia Información"/>
    <s v="Socioeconómico"/>
    <n v="8"/>
    <x v="97"/>
    <x v="35"/>
    <x v="1"/>
    <x v="8"/>
    <x v="1"/>
    <x v="120"/>
    <s v="Año 2020"/>
    <s v="Porcentaje"/>
    <s v="Encuestas CASEN"/>
    <s v="Geografía de la Pobreza Extrema a Escala Comunal en la Región del Biobío - 2020"/>
    <s v="En la región de Biobío para el 2020, la comuna de Cañete presentó el mayor porcentaje de pobreza extrema con un 19,4%, mientras que San Rosendo fue la comuna con menor porcentaje de pobreza extrema con un 0,5%."/>
    <s v="Mapa de calor"/>
    <s v="Región del Biobío,porcentaje,pobreza,extrema,comunal,regional,Agencia Información,Socioeconómico,Pobreza Extrema,Pobreza"/>
    <s v="https://analytics.zoho.com/open-view/2395394000008496266?ZOHO_CRITERIA=%22Localiza%20CL%22.%22Codreg%22%3D8"/>
    <x v="25"/>
    <s v="#1774B428"/>
  </r>
  <r>
    <s v="1807"/>
    <n v="990"/>
    <s v="Agencia Información"/>
    <s v="Socioeconómico"/>
    <n v="9"/>
    <x v="97"/>
    <x v="35"/>
    <x v="1"/>
    <x v="9"/>
    <x v="1"/>
    <x v="120"/>
    <s v="Año 2020"/>
    <s v="Porcentaje"/>
    <s v="Encuestas CASEN"/>
    <s v="Geografía de la Pobreza Extrema a Escala Comunal en la Región de La Araucanía - 2020"/>
    <s v="En la región de Araucanía para el 2020, la comuna de Curarrehue presentó el mayor porcentaje de pobreza extrema con un 17,1%, mientras que Lonquimay fue la comuna con menor porcentaje de pobreza extrema con un 0,8%."/>
    <s v="Mapa de calor"/>
    <s v="Región de La Araucanía,porcentaje,pobreza,extrema,comunal,regional,Agencia Información,Socioeconómico,Pobreza Extrema,Pobreza"/>
    <s v="https://analytics.zoho.com/open-view/2395394000008496266?ZOHO_CRITERIA=%22Localiza%20CL%22.%22Codreg%22%3D9"/>
    <x v="26"/>
    <s v="#1774B429"/>
  </r>
  <r>
    <s v="1808"/>
    <n v="990"/>
    <s v="Agencia Información"/>
    <s v="Socioeconómico"/>
    <n v="10"/>
    <x v="97"/>
    <x v="35"/>
    <x v="1"/>
    <x v="10"/>
    <x v="1"/>
    <x v="120"/>
    <s v="Año 2020"/>
    <s v="Porcentaje"/>
    <s v="Encuestas CASEN"/>
    <s v="Geografía de la Pobreza Extrema a Escala Comunal en la Región de Los Lagos - 2020"/>
    <s v="En la región de Los Lagos para el 2020, la comuna de Curaco de Veléz presentó el mayor porcentaje de pobreza extrema con un 14,1%, mientras que Puerto Varas fue la comuna con menor porcentaje de pobreza extrema con un 1,4%."/>
    <s v="Mapa de calor"/>
    <s v="Región de Los Lagos,porcentaje,pobreza,extrema,comunal,regional,Agencia Información,Socioeconómico,Pobreza Extrema,Pobreza"/>
    <s v="https://analytics.zoho.com/open-view/2395394000008496266?ZOHO_CRITERIA=%22Localiza%20CL%22.%22Codreg%22%3D10"/>
    <x v="27"/>
    <s v="#1774B430"/>
  </r>
  <r>
    <s v="1809"/>
    <n v="990"/>
    <s v="Agencia Información"/>
    <s v="Socioeconómico"/>
    <n v="11"/>
    <x v="97"/>
    <x v="35"/>
    <x v="1"/>
    <x v="11"/>
    <x v="1"/>
    <x v="120"/>
    <s v="Año 2020"/>
    <s v="Porcentaje"/>
    <s v="Encuestas CASEN"/>
    <s v="Geografía de la Pobreza Extrema a Escala Comunal en la Región de Aysén - 2020"/>
    <s v="En la región de Aysén para el 2020, la comuna de Río Ibáñez presentó el mayor porcentaje de pobreza extrema con un 7,4%, mientras que Coyhaique fue la comuna con menor porcentaje de pobreza extrema con un 2,1%."/>
    <s v="Mapa de calor"/>
    <s v="Región de Aysén,porcentaje,pobreza,extrema,comunal,regional,Agencia Información,Socioeconómico,Pobreza Extrema,Pobreza"/>
    <s v="https://analytics.zoho.com/open-view/2395394000008496266?ZOHO_CRITERIA=%22Localiza%20CL%22.%22Codreg%22%3D11"/>
    <x v="33"/>
    <s v="#1774B431"/>
  </r>
  <r>
    <s v="1810"/>
    <n v="990"/>
    <s v="Agencia Información"/>
    <s v="Socioeconómico"/>
    <n v="12"/>
    <x v="97"/>
    <x v="35"/>
    <x v="1"/>
    <x v="12"/>
    <x v="1"/>
    <x v="120"/>
    <s v="Año 2020"/>
    <s v="Porcentaje"/>
    <s v="Encuestas CASEN"/>
    <s v="Geografía de la Pobreza Extrema a Escala Comunal en la Región de Magallanes - 2020"/>
    <s v="En la región de Magallanes para el 2020, la comuna de Porvenir presentó el mayor porcentaje de pobreza extrema con un 5,3%, mientras que Punta Arena fue la comuna con menor porcentaje de pobreza extrema con un 1,6%."/>
    <s v="Mapa de calor"/>
    <s v="Región de Magallanes,porcentaje,pobreza,extrema,comunal,regional,Agencia Información,Socioeconómico,Pobreza Extrema,Pobreza"/>
    <s v="https://analytics.zoho.com/open-view/2395394000008496266?ZOHO_CRITERIA=%22Localiza%20CL%22.%22Codreg%22%3D12"/>
    <x v="28"/>
    <s v="#1774B432"/>
  </r>
  <r>
    <s v="1811"/>
    <n v="990"/>
    <s v="Agencia Información"/>
    <s v="Socioeconómico"/>
    <n v="13"/>
    <x v="97"/>
    <x v="35"/>
    <x v="1"/>
    <x v="13"/>
    <x v="1"/>
    <x v="120"/>
    <s v="Año 2020"/>
    <s v="Porcentaje"/>
    <s v="Encuestas CASEN"/>
    <s v="Geografía de la Pobreza Extrema a Escala Comunal en la Región Metropolitana - 2020"/>
    <s v="En la región Metropolitana para el 2020, la comuna de Lampa presentó el mayor porcentaje de pobreza extrema con un 13,9%, mientras que San José de Maipo fue la comuna con menor porcentaje de pobreza extrema con un 0,2%."/>
    <s v="Mapa de calor"/>
    <s v="Región Metropolitana,porcentaje,pobreza,extrema,comunal,regional,Agencia Información,Socioeconómico,Pobreza Extrema,Pobreza"/>
    <s v="https://analytics.zoho.com/open-view/2395394000008496266?ZOHO_CRITERIA=%22Localiza%20CL%22.%22Codreg%22%3D13"/>
    <x v="29"/>
    <s v="#1774B433"/>
  </r>
  <r>
    <s v="1812"/>
    <n v="990"/>
    <s v="Agencia Información"/>
    <s v="Socioeconómico"/>
    <n v="14"/>
    <x v="97"/>
    <x v="35"/>
    <x v="1"/>
    <x v="14"/>
    <x v="1"/>
    <x v="120"/>
    <s v="Año 2020"/>
    <s v="Porcentaje"/>
    <s v="Encuestas CASEN"/>
    <s v="Geografía de la Pobreza Extrema a Escala Comunal en la Región de Los Ríos - 2020"/>
    <s v="En la región de Los Ríos para el 2020, la comuna de Máfil presentó el mayor porcentaje de pobreza extrema con un 9,4%, mientras que Lago Ranco fue la comuna con menor porcentaje de pobreza extrema con un 1,7%."/>
    <s v="Mapa de calor"/>
    <s v="Región de Los Ríos,porcentaje,pobreza,extrema,comunal,regional,Agencia Información,Socioeconómico,Pobreza Extrema,Pobreza"/>
    <s v="https://analytics.zoho.com/open-view/2395394000008496266?ZOHO_CRITERIA=%22Localiza%20CL%22.%22Codreg%22%3D14"/>
    <x v="30"/>
    <s v="#1774B434"/>
  </r>
  <r>
    <s v="1813"/>
    <n v="990"/>
    <s v="Agencia Información"/>
    <s v="Socioeconómico"/>
    <n v="15"/>
    <x v="97"/>
    <x v="35"/>
    <x v="1"/>
    <x v="15"/>
    <x v="1"/>
    <x v="120"/>
    <s v="Año 2020"/>
    <s v="Porcentaje"/>
    <s v="Encuestas CASEN"/>
    <s v="Geografía de la Pobreza Extrema a Escala Comunal en la Región de Arica y Parinacota - 2020"/>
    <s v="En la región de Arica y Parinacota para el 2020, la comuna de Putre presentó el mayor porcentaje de pobreza extrema con un 13,0%, mientras que Arica fue la comuna con menor porcentaje de pobreza extrema con un 6,0%."/>
    <s v="Mapa de calor"/>
    <s v="Región de Arica y Parinacota,porcentaje,pobreza,extrema,comunal,regional,Agencia Información,Socioeconómico,Pobreza Extrema,Pobreza"/>
    <s v="https://analytics.zoho.com/open-view/2395394000008496266?ZOHO_CRITERIA=%22Localiza%20CL%22.%22Codreg%22%3D15"/>
    <x v="31"/>
    <s v="#1774B435"/>
  </r>
  <r>
    <s v="1814"/>
    <n v="990"/>
    <s v="Agencia Información"/>
    <s v="Socioeconómico"/>
    <n v="16"/>
    <x v="97"/>
    <x v="35"/>
    <x v="1"/>
    <x v="16"/>
    <x v="1"/>
    <x v="120"/>
    <s v="Año 2020"/>
    <s v="Porcentaje"/>
    <s v="Encuestas CASEN"/>
    <s v="Geografía de la Pobreza Extrema a Escala Comunal en la Región de Ñuble - 2020"/>
    <s v="En la región de Ñuble para el 2020, la comuna de San Ignacio presentó el mayor porcentaje de pobreza extrema con un 16,0%, mientras que Cobquecura fue la comuna con menor porcentaje de pobreza extrema con un 0,3%."/>
    <s v="Mapa de calor"/>
    <s v="Región de Ñuble,porcentaje,pobreza,extrema,comunal,regional,Agencia Información,Socioeconómico,Pobreza Extrema,Pobreza"/>
    <s v="https://analytics.zoho.com/open-view/2395394000008496266?ZOHO_CRITERIA=%22Localiza%20CL%22.%22Codreg%22%3D16"/>
    <x v="32"/>
    <s v="#1774B436"/>
  </r>
  <r>
    <s v="1815"/>
    <n v="990"/>
    <s v="Agencia Información"/>
    <s v="Social"/>
    <n v="0"/>
    <x v="98"/>
    <x v="36"/>
    <x v="0"/>
    <x v="0"/>
    <x v="1"/>
    <x v="121"/>
    <s v="Periodo 2016-2019"/>
    <s v="Número de ingresos/egresos y Porcentaje"/>
    <s v="Servicio Nacional de Menores (SENAME)"/>
    <s v="Evolución de Ingresos y Egresos de NNA en el Periodo 2016-201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
    <s v="Dashboard"/>
    <s v="Chile,protección,restitución,derechos,evolución,ingresos,egresos,niños,niñas,adolescentes,NNA,sename,protección,menores,nacional,variación,Agencia Información,Social,Ingresos y Egresos de NNA,Protección de Menores"/>
    <s v="https://app.powerbi.com/view?r=eyJrIjoiMTZjZmZhZjQtN2I5ZS00ZWFmLWFkZWMtMDlkMGYzOGZmNzk2IiwidCI6IjhmYmFhNWJmLTJlY2MtNGRjOC1iNTZiLThmOTJlMzA3ZjA3NiIsImMiOjR9"/>
    <x v="34"/>
    <s v="#1774B437"/>
  </r>
  <r>
    <s v="1816"/>
    <n v="990"/>
    <s v="Agencia Información"/>
    <s v="Social"/>
    <n v="0"/>
    <x v="98"/>
    <x v="36"/>
    <x v="0"/>
    <x v="0"/>
    <x v="19"/>
    <x v="121"/>
    <s v="Año 2019"/>
    <s v="Número de ingresos/egresos"/>
    <s v="Servicio Nacional de Menores (SENAME)"/>
    <s v="Ingresos y Egresos de NNA por Línea de Atención en el Año 2019"/>
    <s v="En Chile, la mayor cantidad de niños, niñas y adolescentes (NNA) ingresados en centros de SENAME en el año 2019 lo hizo por medio de la Línea de Atención Ambulatoria, seguida por la Línea de Atención Oficina Protección de Derechos, con 53.163 y 27.632 NNA respectivamente."/>
    <s v="Dashboard"/>
    <s v="Chile,protección,restitución,derechos,sename,menores,ingresos,egresos,niños,niñas,adolescentes,NNA,línea de atención,ambulatoria,diagnóstico,cuidado alternativo,nacional,Agencia Información,Social,Ingresos y Egresos de NNA,Protección de Menores"/>
    <s v="https://app.powerbi.com/view?r=eyJrIjoiMTFiMTI5YmQtYTU1Ni00MzI4LTk1NDUtMDRlYTM0NDAwYmJlIiwidCI6IjhmYmFhNWJmLTJlY2MtNGRjOC1iNTZiLThmOTJlMzA3ZjA3NiIsImMiOjR9"/>
    <x v="34"/>
    <s v="#1774B438"/>
  </r>
  <r>
    <s v="1817"/>
    <n v="990"/>
    <s v="Agencia Información"/>
    <s v="Social"/>
    <n v="0"/>
    <x v="98"/>
    <x v="36"/>
    <x v="0"/>
    <x v="0"/>
    <x v="19"/>
    <x v="121"/>
    <s v="Año 2019"/>
    <s v="Número de ingresos/egresos"/>
    <s v="Servicio Nacional de Menores (SENAME)"/>
    <s v="Ingresos y Egresos de NNA por Región en el Año 2019"/>
    <s v="En el año 2019, la mayor cantidad de egresos de niños, niñas y adolescentes (NNA) desde centros de SENAME ocurrió en la región Metropolitana, con 14.942, mientras que el egreso más bajo se dio en la región de Aysén, con 520 NNA."/>
    <s v="Dashboard"/>
    <s v="Chile,protección,restitución,derechos,sename,protección,menores,ingresos,egresos,niños,niñas,adolescentes,NNA,regional,Agencia Información,Social,Ingresos y Egresos de NNA,Protección de Menores"/>
    <s v="https://app.powerbi.com/view?r=eyJrIjoiNjg0OGI5NjEtNGNmMy00OGE4LWFlYzEtY2FmYWMxMjRhZmU5IiwidCI6IjhmYmFhNWJmLTJlY2MtNGRjOC1iNTZiLThmOTJlMzA3ZjA3NiIsImMiOjR9"/>
    <x v="34"/>
    <s v="#1774B439"/>
  </r>
  <r>
    <s v="1818"/>
    <n v="990"/>
    <s v="Agencia Información"/>
    <s v="Gobiernos locales"/>
    <n v="0"/>
    <x v="99"/>
    <x v="24"/>
    <x v="0"/>
    <x v="0"/>
    <x v="0"/>
    <x v="122"/>
    <s v="Periodo 2006-2019"/>
    <s v="Número de predios"/>
    <s v="Sistema Nacional de Información Municipal"/>
    <s v="Cantidad de Predios No Agrícolas Habitacionales por Comuna en el periodo 2006-201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Chile,gobiernos,locales,catastro,predio,municipal,municipio,no agrícola,habitacional,Agencia Información,Gobiernos Locales,Predios No Agrícolas Habitacionales,Gestión Municipal Territorial"/>
    <s v="https://analytics.zoho.com/open-view/2395394000008083041"/>
    <x v="17"/>
    <s v="#1774B440"/>
  </r>
  <r>
    <s v="1819"/>
    <n v="990"/>
    <s v="Agencia Información"/>
    <s v="Gobiernos locales"/>
    <n v="1"/>
    <x v="99"/>
    <x v="24"/>
    <x v="1"/>
    <x v="1"/>
    <x v="1"/>
    <x v="122"/>
    <s v="Periodo 2006-2019"/>
    <s v="Número de predios"/>
    <s v="Sistema Nacional de Información Municipal"/>
    <s v="Cantidad de Predios No Agrícolas Habitacionales por Comuna en la Región de Tarapacá en el periodo 2006-2019"/>
    <s v="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
    <s v="Gráfico de Evolución"/>
    <s v="Región de Tarapacá,gobiernos,locales,catastro,predio,municipal,municipio,no agrícola,habitacional,Agencia Información,Gobiernos Locales,Predios No Agrícolas Habitacionales,Gestión Municipal Territorial"/>
    <s v="https://analytics.zoho.com/open-view/2395394000008464571?ZOHO_CRITERIA=%22Localiza%20CL%22.%22Codreg%22%20%3D%201"/>
    <x v="18"/>
    <s v="#1774B441"/>
  </r>
  <r>
    <s v="1820"/>
    <n v="990"/>
    <s v="Agencia Información"/>
    <s v="Gobiernos locales"/>
    <n v="2"/>
    <x v="99"/>
    <x v="24"/>
    <x v="1"/>
    <x v="2"/>
    <x v="1"/>
    <x v="122"/>
    <s v="Periodo 2006-2019"/>
    <s v="Número de predios"/>
    <s v="Sistema Nacional de Información Municipal"/>
    <s v="Cantidad de Predios No Agrícolas Habitacionales por Comuna en la Región de Antofagasta en el periodo 2006-2019"/>
    <s v="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
    <s v="Gráfico de Evolución"/>
    <s v="Región de Antofagasta,gobiernos,locales,catastro,predio,municipal,municipio,no agrícola,habitacional,Agencia Información,Gobiernos Locales,Predios No Agrícolas Habitacionales,Gestión Municipal Territorial"/>
    <s v="https://analytics.zoho.com/open-view/2395394000008464571?ZOHO_CRITERIA=%22Localiza%20CL%22.%22Codreg%22%20%3D%202"/>
    <x v="19"/>
    <s v="#1774B442"/>
  </r>
  <r>
    <s v="1821"/>
    <n v="990"/>
    <s v="Agencia Información"/>
    <s v="Gobiernos locales"/>
    <n v="3"/>
    <x v="99"/>
    <x v="24"/>
    <x v="1"/>
    <x v="3"/>
    <x v="1"/>
    <x v="122"/>
    <s v="Periodo 2006-2019"/>
    <s v="Número de predios"/>
    <s v="Sistema Nacional de Información Municipal"/>
    <s v="Cantidad de Predios No Agrícolas Habitacionales por Comuna en la Región de Atacama en el periodo 2006-2019"/>
    <s v="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
    <s v="Gráfico de Evolución"/>
    <s v="Región de Atacama,gobiernos,locales,catastro,predio,municipal,municipio,no agrícola,habitacional,Agencia Información,Gobiernos Locales,Predios No Agrícolas Habitacionales,Gestión Municipal Territorial"/>
    <s v="https://analytics.zoho.com/open-view/2395394000008464571?ZOHO_CRITERIA=%22Localiza%20CL%22.%22Codreg%22%20%3D%203"/>
    <x v="20"/>
    <s v="#1774B443"/>
  </r>
  <r>
    <s v="1822"/>
    <n v="990"/>
    <s v="Agencia Información"/>
    <s v="Gobiernos locales"/>
    <n v="4"/>
    <x v="99"/>
    <x v="24"/>
    <x v="1"/>
    <x v="4"/>
    <x v="1"/>
    <x v="122"/>
    <s v="Periodo 2006-2019"/>
    <s v="Número de predios"/>
    <s v="Sistema Nacional de Información Municipal"/>
    <s v="Cantidad de Predios No Agrícolas Habitacionales por Comuna en la Región de Coquimbo en el periodo 2006-2019"/>
    <s v="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
    <s v="Gráfico de Evolución"/>
    <s v="Región de Coquimbo,gobiernos,locales,catastro,predio,municipal,municipio,no agrícola,habitacional,Agencia Información,Gobiernos Locales,Predios No Agrícolas Habitacionales,Gestión Municipal Territorial"/>
    <s v="https://analytics.zoho.com/open-view/2395394000008464571?ZOHO_CRITERIA=%22Localiza%20CL%22.%22Codreg%22%20%3D%204"/>
    <x v="21"/>
    <s v="#1774B444"/>
  </r>
  <r>
    <s v="1823"/>
    <n v="990"/>
    <s v="Agencia Información"/>
    <s v="Gobiernos locales"/>
    <n v="5"/>
    <x v="99"/>
    <x v="24"/>
    <x v="1"/>
    <x v="5"/>
    <x v="1"/>
    <x v="122"/>
    <s v="Periodo 2006-2019"/>
    <s v="Número de predios"/>
    <s v="Sistema Nacional de Información Municipal"/>
    <s v="Cantidad de Predios No Agrícolas Habitacionales por Comuna en la Región de Valparaíso en el periodo 2006-2019"/>
    <s v="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
    <s v="Gráfico de Evolución"/>
    <s v="Región de Valparaíso,gobiernos,locales,catastro,predio,municipal,municipio,no agrícola,habitacional,Agencia Información,Gobiernos Locales,Predios No Agrícolas Habitacionales,Gestión Municipal Territorial"/>
    <s v="https://analytics.zoho.com/open-view/2395394000008464571?ZOHO_CRITERIA=%22Localiza%20CL%22.%22Codreg%22%20%3D%205"/>
    <x v="22"/>
    <s v="#1774B445"/>
  </r>
  <r>
    <s v="1824"/>
    <n v="990"/>
    <s v="Agencia Información"/>
    <s v="Gobiernos locales"/>
    <n v="6"/>
    <x v="99"/>
    <x v="24"/>
    <x v="1"/>
    <x v="6"/>
    <x v="1"/>
    <x v="122"/>
    <s v="Periodo 2006-2019"/>
    <s v="Número de predios"/>
    <s v="Sistema Nacional de Información Municipal"/>
    <s v="Cantidad de Predios No Agrícolas Habitacionales por Comuna en la Región de O'Higgins en el periodo 2006-2019"/>
    <s v="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
    <s v="Gráfico de Evolución"/>
    <s v="Región de O'Higgins,gobiernos,locales,catastro,predio,municipal,municipio,no agrícola,habitacional,Agencia Información,Gobiernos Locales,Predios No Agrícolas Habitacionales,Gestión Municipal Territorial"/>
    <s v="https://analytics.zoho.com/open-view/2395394000008464571?ZOHO_CRITERIA=%22Localiza%20CL%22.%22Codreg%22%20%3D%206"/>
    <x v="23"/>
    <s v="#1774B446"/>
  </r>
  <r>
    <s v="1825"/>
    <n v="990"/>
    <s v="Agencia Información"/>
    <s v="Gobiernos locales"/>
    <n v="7"/>
    <x v="99"/>
    <x v="24"/>
    <x v="1"/>
    <x v="7"/>
    <x v="1"/>
    <x v="122"/>
    <s v="Periodo 2006-2019"/>
    <s v="Número de predios"/>
    <s v="Sistema Nacional de Información Municipal"/>
    <s v="Cantidad de Predios No Agrícolas Habitacionales por Comuna en la Región de Maule en el periodo 2006-2019"/>
    <s v="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
    <s v="Gráfico de Evolución"/>
    <s v="Región de Maule,gobiernos,locales,catastro,predio,municipal,municipio,no agrícola,habitacional,Agencia Información,Gobiernos Locales,Predios No Agrícolas Habitacionales,Gestión Municipal Territorial"/>
    <s v="https://analytics.zoho.com/open-view/2395394000008464571?ZOHO_CRITERIA=%22Localiza%20CL%22.%22Codreg%22%20%3D%207"/>
    <x v="24"/>
    <s v="#1774B447"/>
  </r>
  <r>
    <s v="1826"/>
    <n v="990"/>
    <s v="Agencia Información"/>
    <s v="Gobiernos locales"/>
    <n v="8"/>
    <x v="99"/>
    <x v="24"/>
    <x v="1"/>
    <x v="8"/>
    <x v="1"/>
    <x v="122"/>
    <s v="Periodo 2006-2019"/>
    <s v="Número de predios"/>
    <s v="Sistema Nacional de Información Municipal"/>
    <s v="Cantidad de Predios No Agrícolas Habitacionales por Comuna en la Región del Biobío en el periodo 2006-2019"/>
    <s v="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
    <s v="Gráfico de Evolución"/>
    <s v="Región del Biobío,gobiernos,locales,catastro,predio,municipal,municipio,no agrícola,habitacional,Agencia Información,Gobiernos Locales,Predios No Agrícolas Habitacionales,Gestión Municipal Territorial"/>
    <s v="https://analytics.zoho.com/open-view/2395394000008464571?ZOHO_CRITERIA=%22Localiza%20CL%22.%22Codreg%22%20%3D%208"/>
    <x v="25"/>
    <s v="#1774B448"/>
  </r>
  <r>
    <s v="1827"/>
    <n v="990"/>
    <s v="Agencia Información"/>
    <s v="Gobiernos locales"/>
    <n v="9"/>
    <x v="99"/>
    <x v="24"/>
    <x v="1"/>
    <x v="9"/>
    <x v="1"/>
    <x v="122"/>
    <s v="Periodo 2006-2019"/>
    <s v="Número de predios"/>
    <s v="Sistema Nacional de Información Municipal"/>
    <s v="Cantidad de Predios No Agrícolas Habitacionales por Comuna en la Región de La Araucanía en el periodo 2006-2019"/>
    <s v="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
    <s v="Gráfico de Evolución"/>
    <s v="Región de La Araucanía,gobiernos,locales,catastro,predio,municipal,municipio,no agrícola,habitacional,Agencia Información,Gobiernos Locales,Predios No Agrícolas Habitacionales,Gestión Municipal Territorial"/>
    <s v="https://analytics.zoho.com/open-view/2395394000008464571?ZOHO_CRITERIA=%22Localiza%20CL%22.%22Codreg%22%20%3D%209"/>
    <x v="26"/>
    <s v="#1774B449"/>
  </r>
  <r>
    <s v="1828"/>
    <n v="990"/>
    <s v="Agencia Información"/>
    <s v="Gobiernos locales"/>
    <n v="10"/>
    <x v="99"/>
    <x v="24"/>
    <x v="1"/>
    <x v="10"/>
    <x v="1"/>
    <x v="122"/>
    <s v="Periodo 2006-2019"/>
    <s v="Número de predios"/>
    <s v="Sistema Nacional de Información Municipal"/>
    <s v="Cantidad de Predios No Agrícolas Habitacionales por Comuna en la Región de Los Lagos en el periodo 2006-2019"/>
    <s v="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
    <s v="Gráfico de Evolución"/>
    <s v="Región de Los Lagos,gobiernos,locales,catastro,predio,municipal,municipio,no agrícola,habitacional,Agencia Información,Gobiernos Locales,Predios No Agrícolas Habitacionales,Gestión Municipal Territorial"/>
    <s v="https://analytics.zoho.com/open-view/2395394000008464571?ZOHO_CRITERIA=%22Localiza%20CL%22.%22Codreg%22%20%3D%2010"/>
    <x v="27"/>
    <s v="#1774B450"/>
  </r>
  <r>
    <s v="1829"/>
    <n v="990"/>
    <s v="Agencia Información"/>
    <s v="Gobiernos locales"/>
    <n v="11"/>
    <x v="99"/>
    <x v="24"/>
    <x v="1"/>
    <x v="11"/>
    <x v="1"/>
    <x v="122"/>
    <s v="Periodo 2006-2019"/>
    <s v="Número de predios"/>
    <s v="Sistema Nacional de Información Municipal"/>
    <s v="Cantidad de Predios No Agrícolas Habitacionales por Comuna en la Región de Aysén en el periodo 2006-2019"/>
    <s v="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
    <s v="Gráfico de Evolución"/>
    <s v="Región de Aysén,gobiernos,locales,catastro,predio,municipal,municipio,no agrícola,habitacional,Agencia Información,Gobiernos Locales,Predios No Agrícolas Habitacionales,Gestión Municipal Territorial"/>
    <s v="https://analytics.zoho.com/open-view/2395394000008464571?ZOHO_CRITERIA=%22Localiza%20CL%22.%22Codreg%22%20%3D%2011"/>
    <x v="33"/>
    <s v="#1774B451"/>
  </r>
  <r>
    <s v="1830"/>
    <n v="990"/>
    <s v="Agencia Información"/>
    <s v="Gobiernos locales"/>
    <n v="12"/>
    <x v="99"/>
    <x v="24"/>
    <x v="1"/>
    <x v="12"/>
    <x v="1"/>
    <x v="122"/>
    <s v="Periodo 2006-2019"/>
    <s v="Número de predios"/>
    <s v="Sistema Nacional de Información Municipal"/>
    <s v="Cantidad de Predios No Agrícolas Habitacionales por Comuna en la Región de Magallanes en el periodo 2006-2019"/>
    <s v="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
    <s v="Gráfico de Evolución"/>
    <s v="Región de Magallanes,gobiernos,locales,catastro,predio,municipal,municipio,no agrícola,habitacional,Agencia Información,Gobiernos Locales,Predios No Agrícolas Habitacionales,Gestión Municipal Territorial"/>
    <s v="https://analytics.zoho.com/open-view/2395394000008464571?ZOHO_CRITERIA=%22Localiza%20CL%22.%22Codreg%22%20%3D%2012"/>
    <x v="28"/>
    <s v="#1774B452"/>
  </r>
  <r>
    <s v="1831"/>
    <n v="990"/>
    <s v="Agencia Información"/>
    <s v="Gobiernos locales"/>
    <n v="13"/>
    <x v="99"/>
    <x v="24"/>
    <x v="1"/>
    <x v="13"/>
    <x v="1"/>
    <x v="122"/>
    <s v="Periodo 2006-2019"/>
    <s v="Número de predios"/>
    <s v="Sistema Nacional de Información Municipal"/>
    <s v="Cantidad de Predios No Agrícolas Habitacionales por Comuna en la Región Metropolitana en el periodo 2006-2019"/>
    <s v="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
    <s v="Gráfico de Evolución"/>
    <s v="Región Metropolitana,gobiernos,locales,catastro,predio,municipal,municipio,no agrícola,habitacional,Agencia Información,Gobiernos Locales,Predios No Agrícolas Habitacionales,Gestión Municipal Territorial"/>
    <s v="https://analytics.zoho.com/open-view/2395394000008464571?ZOHO_CRITERIA=%22Localiza%20CL%22.%22Codreg%22%20%3D%2013"/>
    <x v="29"/>
    <s v="#1774B453"/>
  </r>
  <r>
    <s v="1832"/>
    <n v="990"/>
    <s v="Agencia Información"/>
    <s v="Gobiernos locales"/>
    <n v="14"/>
    <x v="99"/>
    <x v="24"/>
    <x v="1"/>
    <x v="14"/>
    <x v="1"/>
    <x v="122"/>
    <s v="Periodo 2006-2019"/>
    <s v="Número de predios"/>
    <s v="Sistema Nacional de Información Municipal"/>
    <s v="Cantidad de Predios No Agrícolas Habitacionales por Comuna en la Región de Los Ríos en el periodo 2006-2019"/>
    <s v="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
    <s v="Gráfico de Evolución"/>
    <s v="Región de Los Ríos,gobiernos,locales,catastro,predio,municipal,municipio,no agrícola,habitacional,Agencia Información,Gobiernos Locales,Predios No Agrícolas Habitacionales,Gestión Municipal Territorial"/>
    <s v="https://analytics.zoho.com/open-view/2395394000008464571?ZOHO_CRITERIA=%22Localiza%20CL%22.%22Codreg%22%20%3D%2014"/>
    <x v="30"/>
    <s v="#1774B454"/>
  </r>
  <r>
    <s v="1833"/>
    <n v="990"/>
    <s v="Agencia Información"/>
    <s v="Gobiernos locales"/>
    <n v="15"/>
    <x v="99"/>
    <x v="24"/>
    <x v="1"/>
    <x v="15"/>
    <x v="1"/>
    <x v="122"/>
    <s v="Periodo 2006-2019"/>
    <s v="Número de predios"/>
    <s v="Sistema Nacional de Información Municipal"/>
    <s v="Cantidad de Predios No Agrícolas Habitacionales por Comuna en la Región de Arica y Parinacota en el periodo 2006-2019"/>
    <s v="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
    <s v="Gráfico de Evolución"/>
    <s v="Región de Arica y Parinacota,gobiernos,locales,catastro,predio,municipal,municipio,no agrícola,habitacional,Agencia Información,Gobiernos Locales,Predios No Agrícolas Habitacionales,Gestión Municipal Territorial"/>
    <s v="https://analytics.zoho.com/open-view/2395394000008464571?ZOHO_CRITERIA=%22Localiza%20CL%22.%22Codreg%22%20%3D%2015"/>
    <x v="31"/>
    <s v="#1774B455"/>
  </r>
  <r>
    <s v="1834"/>
    <n v="990"/>
    <s v="Agencia Información"/>
    <s v="Gobiernos locales"/>
    <n v="16"/>
    <x v="99"/>
    <x v="24"/>
    <x v="1"/>
    <x v="16"/>
    <x v="1"/>
    <x v="122"/>
    <s v="Periodo 2006-2019"/>
    <s v="Número de predios"/>
    <s v="Sistema Nacional de Información Municipal"/>
    <s v="Cantidad de Predios No Agrícolas Habitacionales por Comuna en la Región de Ñuble en el periodo 2006-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Región de Ñuble,gobiernos,locales,catastro,predio,municipal,municipio,no agrícola,habitacional,Agencia Información,Gobiernos Locales,Predios No Agrícolas Habitacionales,Gestión Municipal Territorial"/>
    <s v="https://analytics.zoho.com/open-view/2395394000008464571?ZOHO_CRITERIA=%22Localiza%20CL%22.%22Codreg%22%20%3D%2016"/>
    <x v="32"/>
    <s v="#1774B456"/>
  </r>
  <r>
    <s v="1835"/>
    <n v="990"/>
    <s v="Agencia Información"/>
    <s v="Gobiernos locales"/>
    <n v="0"/>
    <x v="100"/>
    <x v="24"/>
    <x v="0"/>
    <x v="0"/>
    <x v="0"/>
    <x v="123"/>
    <s v="Periodo 2010-2019"/>
    <s v="Número de propiedades municipales"/>
    <s v="Sistema Nacional de Información Municipal"/>
    <s v="Cantidad de Propiedades Municipales por Comuna en el periodo 2010-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Chile,gobiernos,locales,propiedades,municipal,municipio,cantidad,comunal,Agencia Información,Gobiernos Locales,Propiedades Municipales,Gestión Municipal Territorial"/>
    <s v="https://analytics.zoho.com/open-view/2395394000008083242"/>
    <x v="17"/>
    <s v="#1774B457"/>
  </r>
  <r>
    <s v="1836"/>
    <n v="990"/>
    <s v="Agencia Información"/>
    <s v="Gobiernos locales"/>
    <n v="1"/>
    <x v="100"/>
    <x v="24"/>
    <x v="1"/>
    <x v="1"/>
    <x v="1"/>
    <x v="123"/>
    <s v="Periodo 2010-2019"/>
    <s v="Número de propiedades municipales"/>
    <s v="Sistema Nacional de Información Municipal"/>
    <s v="Cantidad de Propiedades Municipales por Comuna en la Región de Tarapacá en el periodo 2010-2019"/>
    <s v="La cantidad de propiedades municipales en la región de Tarapacá, durante el periodo 2010-2019, en general presenta variaciones a nivel comunal. La mayor cantidad de propiedades a nivel municipal se observa el año 2019 en la municipalidad de Iquique, con 347 propiedades."/>
    <s v="Gráfico de Evolución"/>
    <s v="Región de Tarapacá,gobiernos,locales,propiedades,municipal,municipio,cantidad,comunal,Agencia Información,Gobiernos Locales,Propiedades Municipales,Gestión Municipal Territorial"/>
    <s v="https://analytics.zoho.com/open-view/2395394000008771662?ZOHO_CRITERIA=%22Localiza%20CL%22.%22Codreg%22%20%3D%201"/>
    <x v="18"/>
    <s v="#1774B458"/>
  </r>
  <r>
    <s v="1837"/>
    <n v="990"/>
    <s v="Agencia Información"/>
    <s v="Gobiernos locales"/>
    <n v="2"/>
    <x v="100"/>
    <x v="24"/>
    <x v="1"/>
    <x v="2"/>
    <x v="1"/>
    <x v="123"/>
    <s v="Periodo 2010-2019"/>
    <s v="Número de propiedades municipales"/>
    <s v="Sistema Nacional de Información Municipal"/>
    <s v="Cantidad de Propiedades Municipales por Comuna en la Región de Antofagasta en el periodo 2010-2019"/>
    <s v="La cantidad de propiedades municipales en la región de Antofagasta, durante el periodo 2010-2019, en general presenta variaciones a nivel comunal. La mayor cantidad de propiedades a nivel municipal se observa el año 2019 en la municipalidad de Antofagasta, con 353 propiedades."/>
    <s v="Gráfico de Evolución"/>
    <s v="Región de Antofagasta,gobiernos,locales,propiedades,municipal,municipio,cantidad,comunal,Agencia Información,Gobiernos Locales,Propiedades Municipales,Gestión Municipal Territorial"/>
    <s v="https://analytics.zoho.com/open-view/2395394000008771662?ZOHO_CRITERIA=%22Localiza%20CL%22.%22Codreg%22%20%3D%202"/>
    <x v="19"/>
    <s v="#1774B459"/>
  </r>
  <r>
    <s v="1838"/>
    <n v="990"/>
    <s v="Agencia Información"/>
    <s v="Gobiernos locales"/>
    <n v="3"/>
    <x v="100"/>
    <x v="24"/>
    <x v="1"/>
    <x v="3"/>
    <x v="1"/>
    <x v="123"/>
    <s v="Periodo 2010-2019"/>
    <s v="Número de propiedades municipales"/>
    <s v="Sistema Nacional de Información Municipal"/>
    <s v="Cantidad de Propiedades Municipales por Comuna en la Región de Atacama en el periodo 2010-2019"/>
    <s v="La cantidad de propiedades municipales en la región de Atacama, durante el periodo 2010-2019, en general se mantiene estable a nivel comunal. La mayor cantidad de propiedades a nivel municipal se observa el año 2015 en la municipalidad de Huasco, con 529 propiedades."/>
    <s v="Gráfico de Evolución"/>
    <s v="Región de Atacama,gobiernos,locales,propiedades,municipal,municipio,cantidad,comunal,Agencia Información,Gobiernos Locales,Propiedades Municipales,Gestión Municipal Territorial"/>
    <s v="https://analytics.zoho.com/open-view/2395394000008771662?ZOHO_CRITERIA=%22Localiza%20CL%22.%22Codreg%22%20%3D%203"/>
    <x v="20"/>
    <s v="#1774B460"/>
  </r>
  <r>
    <s v="1839"/>
    <n v="990"/>
    <s v="Agencia Información"/>
    <s v="Gobiernos locales"/>
    <n v="4"/>
    <x v="100"/>
    <x v="24"/>
    <x v="1"/>
    <x v="4"/>
    <x v="1"/>
    <x v="123"/>
    <s v="Periodo 2010-2019"/>
    <s v="Número de propiedades municipales"/>
    <s v="Sistema Nacional de Información Municipal"/>
    <s v="Cantidad de Propiedades Municipales por Comuna en la Región de Coquimbo en el periodo 2010-2019"/>
    <s v="La cantidad de propiedades municipales en la región de Coquimbo, durante el periodo 2010-2019, en general se mantiene estable a nivel comunal. La mayor cantidad de propiedades a nivel municipal se observa el año 2012 en la municipalidad de Coquimbo, con 1.523 propiedades."/>
    <s v="Gráfico de Evolución"/>
    <s v="Región de Coquimbo,gobiernos,locales,propiedades,municipal,municipio,cantidad,comunal,Agencia Información,Gobiernos Locales,Propiedades Municipales,Gestión Municipal Territorial"/>
    <s v="https://analytics.zoho.com/open-view/2395394000008771662?ZOHO_CRITERIA=%22Localiza%20CL%22.%22Codreg%22%20%3D%204"/>
    <x v="21"/>
    <s v="#1774B461"/>
  </r>
  <r>
    <s v="1840"/>
    <n v="990"/>
    <s v="Agencia Información"/>
    <s v="Gobiernos locales"/>
    <n v="5"/>
    <x v="100"/>
    <x v="24"/>
    <x v="1"/>
    <x v="5"/>
    <x v="1"/>
    <x v="123"/>
    <s v="Periodo 2010-2019"/>
    <s v="Número de propiedades municipales"/>
    <s v="Sistema Nacional de Información Municipal"/>
    <s v="Cantidad de Propiedades Municipales por Comuna en la Región de Valparaíso en el periodo 2010-2019"/>
    <s v="La cantidad de propiedades municipales en la región de Valparaíso, durante el periodo 2010-2019, en general se mantiene estable a nivel comunal. La mayor cantidad de propiedades a nivel municipal se observa el año 2010 en la municipalidad de Viña del Mar, con 1.438 propiedades."/>
    <s v="Gráfico de Evolución"/>
    <s v="Región de Valparaíso,gobiernos,locales,propiedades,municipal,municipio,cantidad,comunal,Agencia Información,Gobiernos Locales,Propiedades Municipales,Gestión Municipal Territorial"/>
    <s v="https://analytics.zoho.com/open-view/2395394000008771662?ZOHO_CRITERIA=%22Localiza%20CL%22.%22Codreg%22%20%3D%205"/>
    <x v="22"/>
    <s v="#1774B462"/>
  </r>
  <r>
    <s v="1841"/>
    <n v="990"/>
    <s v="Agencia Información"/>
    <s v="Gobiernos locales"/>
    <n v="6"/>
    <x v="100"/>
    <x v="24"/>
    <x v="1"/>
    <x v="6"/>
    <x v="1"/>
    <x v="123"/>
    <s v="Periodo 2010-2019"/>
    <s v="Número de propiedades municipales"/>
    <s v="Sistema Nacional de Información Municipal"/>
    <s v="Cantidad de Propiedades Municipales por Comuna en la Región de O'Higgins en el periodo 2010-2019"/>
    <s v="La cantidad de propiedades municipales en la región de O'Higgins, durante el periodo 2010-2019, en general tiene una tendencia al alza a nivel comunal. La mayor cantidad de propiedades a nivel municipal se observa el año 2019 en la municipalidad de Rancagua, con 352 propiedades."/>
    <s v="Gráfico de Evolución"/>
    <s v="Región de O'Higgins,gobiernos,locales,propiedades,municipal,municipio,cantidad,comunal,Agencia Información,Gobiernos Locales,Propiedades Municipales,Gestión Municipal Territorial"/>
    <s v="https://analytics.zoho.com/open-view/2395394000008771662?ZOHO_CRITERIA=%22Localiza%20CL%22.%22Codreg%22%20%3D%206"/>
    <x v="23"/>
    <s v="#1774B463"/>
  </r>
  <r>
    <s v="1842"/>
    <n v="990"/>
    <s v="Agencia Información"/>
    <s v="Gobiernos locales"/>
    <n v="7"/>
    <x v="100"/>
    <x v="24"/>
    <x v="1"/>
    <x v="7"/>
    <x v="1"/>
    <x v="123"/>
    <s v="Periodo 2010-2019"/>
    <s v="Número de propiedades municipales"/>
    <s v="Sistema Nacional de Información Municipal"/>
    <s v="Cantidad de Propiedades Municipales por Comuna en la Región de Maule en el periodo 2010-2019"/>
    <s v="La cantidad de propiedades municipales en la región de Maule, durante el periodo 2010-2019, en general tiene una tendencia al alza a nivel comunal. La mayor cantidad de propiedades a nivel municipal se observa el año 2019 en la municipalidad de Talca, con 620 propiedades."/>
    <s v="Gráfico de Evolución"/>
    <s v="Región de Maule,gobiernos,locales,propiedades,municipal,municipio,cantidad,comunal,Agencia Información,Gobiernos Locales,Propiedades Municipales,Gestión Municipal Territorial"/>
    <s v="https://analytics.zoho.com/open-view/2395394000008771662?ZOHO_CRITERIA=%22Localiza%20CL%22.%22Codreg%22%20%3D%207"/>
    <x v="24"/>
    <s v="#1774B464"/>
  </r>
  <r>
    <s v="1843"/>
    <n v="990"/>
    <s v="Agencia Información"/>
    <s v="Gobiernos locales"/>
    <n v="8"/>
    <x v="100"/>
    <x v="24"/>
    <x v="1"/>
    <x v="8"/>
    <x v="1"/>
    <x v="123"/>
    <s v="Periodo 2010-2019"/>
    <s v="Número de propiedades municipales"/>
    <s v="Sistema Nacional de Información Municipal"/>
    <s v="Cantidad de Propiedades Municipales por Comuna en la Región del Biobío en el periodo 2010-2019"/>
    <s v="La cantidad de propiedades municipales en la región del Biobío, durante el periodo 2010-2019, en general presenta variaciones a nivel comunal. La mayor cantidad de propiedades a nivel municipal se observa el año 2010 en la municipalidad de Concepción, con 589 propiedades."/>
    <s v="Gráfico de Evolución"/>
    <s v="Región del Biobío,gobiernos,locales,propiedades,municipal,municipio,cantidad,comunal,Agencia Información,Gobiernos Locales,Propiedades Municipales,Gestión Municipal Territorial"/>
    <s v="https://analytics.zoho.com/open-view/2395394000008771662?ZOHO_CRITERIA=%22Localiza%20CL%22.%22Codreg%22%20%3D%208"/>
    <x v="25"/>
    <s v="#1774B465"/>
  </r>
  <r>
    <s v="1844"/>
    <n v="990"/>
    <s v="Agencia Información"/>
    <s v="Gobiernos locales"/>
    <n v="9"/>
    <x v="100"/>
    <x v="24"/>
    <x v="1"/>
    <x v="9"/>
    <x v="1"/>
    <x v="123"/>
    <s v="Periodo 2010-2019"/>
    <s v="Número de propiedades municipales"/>
    <s v="Sistema Nacional de Información Municipal"/>
    <s v="Cantidad de Propiedades Municipales por Comuna en la Región de La Araucanía en el periodo 2010-2019"/>
    <s v="La cantidad de propiedades municipales en la región de La Araucanía, durante el periodo 2010-2019, en general tiene una tendencia al alza a nivel comunal. La mayor cantidad de propiedades a nivel municipal se observa el año 2013 en la municipalidad de Temuco, con 1.013 propiedades."/>
    <s v="Gráfico de Evolución"/>
    <s v="Región de La Araucanía,gobiernos,locales,propiedades,municipal,municipio,cantidad,comunal,Agencia Información,Gobiernos Locales,Propiedades Municipales,Gestión Municipal Territorial"/>
    <s v="https://analytics.zoho.com/open-view/2395394000008771662?ZOHO_CRITERIA=%22Localiza%20CL%22.%22Codreg%22%20%3D%209"/>
    <x v="26"/>
    <s v="#1774B466"/>
  </r>
  <r>
    <s v="1845"/>
    <n v="990"/>
    <s v="Agencia Información"/>
    <s v="Gobiernos locales"/>
    <n v="10"/>
    <x v="100"/>
    <x v="24"/>
    <x v="1"/>
    <x v="10"/>
    <x v="1"/>
    <x v="123"/>
    <s v="Periodo 2010-2019"/>
    <s v="Número de propiedades municipales"/>
    <s v="Sistema Nacional de Información Municipal"/>
    <s v="Cantidad de Propiedades Municipales por Comuna en la Región de Los Lagos en el periodo 2010-2019"/>
    <s v="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
    <s v="Gráfico de Evolución"/>
    <s v="Región de Los Lagos,gobiernos,locales,propiedades,municipal,municipio,cantidad,comunal,Agencia Información,Gobiernos Locales,Propiedades Municipales,Gestión Municipal Territorial"/>
    <s v="https://analytics.zoho.com/open-view/2395394000008771662?ZOHO_CRITERIA=%22Localiza%20CL%22.%22Codreg%22%20%3D%2010"/>
    <x v="27"/>
    <s v="#1774B467"/>
  </r>
  <r>
    <s v="1846"/>
    <n v="990"/>
    <s v="Agencia Información"/>
    <s v="Gobiernos locales"/>
    <n v="11"/>
    <x v="100"/>
    <x v="24"/>
    <x v="1"/>
    <x v="11"/>
    <x v="1"/>
    <x v="123"/>
    <s v="Periodo 2010-2019"/>
    <s v="Número de propiedades municipales"/>
    <s v="Sistema Nacional de Información Municipal"/>
    <s v="Cantidad de Propiedades Municipales por Comuna en la Región de Aysén en el periodo 2010-2019"/>
    <s v="La cantidad de propiedades municipales en la región de Aysén, durante el periodo 2010-2019, en general tiene una tendencia al alza a nivel comunal. La mayor cantidad de propiedades a nivel municipal se observa el año 2015 en la municipalidad de Coihaique, con 100 propiedades."/>
    <s v="Gráfico de Evolución"/>
    <s v="Región de Aysén,gobiernos,locales,propiedades,municipal,municipio,cantidad,comunal,Agencia Información,Gobiernos Locales,Propiedades Municipales,Gestión Municipal Territorial"/>
    <s v="https://analytics.zoho.com/open-view/2395394000008771662?ZOHO_CRITERIA=%22Localiza%20CL%22.%22Codreg%22%20%3D%2011"/>
    <x v="33"/>
    <s v="#1774B468"/>
  </r>
  <r>
    <s v="1847"/>
    <n v="990"/>
    <s v="Agencia Información"/>
    <s v="Gobiernos locales"/>
    <n v="12"/>
    <x v="100"/>
    <x v="24"/>
    <x v="1"/>
    <x v="12"/>
    <x v="1"/>
    <x v="123"/>
    <s v="Periodo 2010-2019"/>
    <s v="Número de propiedades municipales"/>
    <s v="Sistema Nacional de Información Municipal"/>
    <s v="Cantidad de Propiedades Municipales por Comuna en la Región de Magallanes en el periodo 2010-2019"/>
    <s v="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
    <s v="Gráfico de Evolución"/>
    <s v="Región de Magallanes,gobiernos,locales,propiedades,municipal,municipio,cantidad,comunal,Agencia Información,Gobiernos Locales,Propiedades Municipales,Gestión Municipal Territorial"/>
    <s v="https://analytics.zoho.com/open-view/2395394000008771662?ZOHO_CRITERIA=%22Localiza%20CL%22.%22Codreg%22%20%3D%2012"/>
    <x v="28"/>
    <s v="#1774B469"/>
  </r>
  <r>
    <s v="1848"/>
    <n v="990"/>
    <s v="Agencia Información"/>
    <s v="Gobiernos locales"/>
    <n v="13"/>
    <x v="100"/>
    <x v="24"/>
    <x v="1"/>
    <x v="13"/>
    <x v="1"/>
    <x v="123"/>
    <s v="Periodo 2010-2019"/>
    <s v="Número de propiedades municipales"/>
    <s v="Sistema Nacional de Información Municipal"/>
    <s v="Cantidad de Propiedades Municipales por Comuna en la Región Metropolitana en el periodo 2010-2019"/>
    <s v="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
    <s v="Gráfico de Evolución"/>
    <s v="Región Metropolitana,gobiernos,locales,propiedades,municipal,municipio,cantidad,comunal,Agencia Información,Gobiernos Locales,Propiedades Municipales,Gestión Municipal Territorial"/>
    <s v="https://analytics.zoho.com/open-view/2395394000008771662?ZOHO_CRITERIA=%22Localiza%20CL%22.%22Codreg%22%20%3D%2013"/>
    <x v="29"/>
    <s v="#1774B470"/>
  </r>
  <r>
    <s v="1849"/>
    <n v="990"/>
    <s v="Agencia Información"/>
    <s v="Gobiernos locales"/>
    <n v="14"/>
    <x v="100"/>
    <x v="24"/>
    <x v="1"/>
    <x v="14"/>
    <x v="1"/>
    <x v="123"/>
    <s v="Periodo 2010-2019"/>
    <s v="Número de propiedades municipales"/>
    <s v="Sistema Nacional de Información Municipal"/>
    <s v="Cantidad de Propiedades Municipales por Comuna en la Región de Los Ríos en el periodo 2010-2019"/>
    <s v="La cantidad de propiedades municipales en la región de Los Ríos, durante el periodo 2010-2019, en general tiene una tendencia al alza a nivel comunal. La mayor cantidad de propiedades a nivel municipal se observa el año 2019 en la municipalidad de Valdivia, con 395 propiedades."/>
    <s v="Gráfico de Evolución"/>
    <s v="Región de Los Ríos,gobiernos,locales,propiedades,municipal,municipio,cantidad,comunal,Agencia Información,Gobiernos Locales,Propiedades Municipales,Gestión Municipal Territorial"/>
    <s v="https://analytics.zoho.com/open-view/2395394000008771662?ZOHO_CRITERIA=%22Localiza%20CL%22.%22Codreg%22%20%3D%2014"/>
    <x v="30"/>
    <s v="#1774B471"/>
  </r>
  <r>
    <s v="1850"/>
    <n v="990"/>
    <s v="Agencia Información"/>
    <s v="Gobiernos locales"/>
    <n v="15"/>
    <x v="100"/>
    <x v="24"/>
    <x v="1"/>
    <x v="15"/>
    <x v="1"/>
    <x v="123"/>
    <s v="Periodo 2010-2019"/>
    <s v="Número de propiedades municipales"/>
    <s v="Sistema Nacional de Información Municipal"/>
    <s v="Cantidad de Propiedades Municipales por Comuna en la Región de Arica y Parinacota en el periodo 2010-2019"/>
    <s v="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
    <s v="Gráfico de Evolución"/>
    <s v="Región de Arica y Parinacota,gobiernos,locales,propiedades,municipal,municipio,cantidad,comunal,Agencia Información,Gobiernos Locales,Propiedades Municipales,Gestión Municipal Territorial"/>
    <s v="https://analytics.zoho.com/open-view/2395394000008771662?ZOHO_CRITERIA=%22Localiza%20CL%22.%22Codreg%22%20%3D%2015"/>
    <x v="31"/>
    <s v="#1774B472"/>
  </r>
  <r>
    <s v="1851"/>
    <n v="990"/>
    <s v="Agencia Información"/>
    <s v="Gobiernos locales"/>
    <n v="16"/>
    <x v="100"/>
    <x v="24"/>
    <x v="1"/>
    <x v="16"/>
    <x v="1"/>
    <x v="123"/>
    <s v="Periodo 2010-2019"/>
    <s v="Número de propiedades municipales"/>
    <s v="Sistema Nacional de Información Municipal"/>
    <s v="Cantidad de Propiedades Municipales por Comuna en la Región de Ñuble en el periodo 2010-2019"/>
    <s v="La cantidad de propiedades municipales en la región de Ñuble, durante el periodo 2010-2019, en general tiene una tendencia al alza a nivel comunal. La mayor cantidad de propiedades a nivel municipal se observa el año 2019 en la municipalidad de Chillán, con 391 propiedades."/>
    <s v="Gráfico de Evolución"/>
    <s v="Región de Ñuble,gobiernos,locales,propiedades,municipal,municipio,cantidad,comunal,Agencia Información,Gobiernos Locales,Propiedades Municipales,Gestión Municipal Territorial"/>
    <s v="https://analytics.zoho.com/open-view/2395394000008771662?ZOHO_CRITERIA=%22Localiza%20CL%22.%22Codreg%22%20%3D%2016"/>
    <x v="32"/>
    <s v="#1774B473"/>
  </r>
  <r>
    <s v="1852"/>
    <n v="990"/>
    <s v="Agencia Información"/>
    <s v="Salud"/>
    <n v="0"/>
    <x v="45"/>
    <x v="15"/>
    <x v="0"/>
    <x v="0"/>
    <x v="1"/>
    <x v="32"/>
    <s v="Periodo 2012-2018"/>
    <s v="Número de personas"/>
    <s v="Departamento de Estadísticas e Información de la Salud (DEIS) - Ministerio de Salud"/>
    <s v="Evolución Población en Control del Programa de Salud Cardiovascular, Chile 2012-2018"/>
    <s v="La Población en el Programa de Salud Cardiovascular disminuyó considerablemente el año 2015, reduciendo los pacientes en el programa en un 42%. Sin embargo, a partir del año 2016, los casos aumentan nuevamente, registrando el año 2018, más de 5,6 millones de personas en control."/>
    <s v="Gráfico de Evolución"/>
    <s v="Chile,cardiovascular,corazón,salud,programa,nacional,variación,anual,casos,población,control,personas,Agencia Información,Salud,Programa de Salud Cardiovascular,Programas de Salud"/>
    <s v="https://analytics.zoho.com/open-view/2395394000008188638"/>
    <x v="34"/>
    <s v="#1774B474"/>
  </r>
  <r>
    <s v="1853"/>
    <n v="990"/>
    <s v="Agencia Información"/>
    <s v="Salud"/>
    <n v="0"/>
    <x v="45"/>
    <x v="15"/>
    <x v="0"/>
    <x v="0"/>
    <x v="12"/>
    <x v="32"/>
    <s v="Periodo 2012-2018"/>
    <s v="Número de personas"/>
    <s v="Departamento de Estadísticas e Información de la Salud (DEIS) - Ministerio de Salud"/>
    <s v="Población en Control del Programa de Salud Cardiovascular por Enfermedad, Chile 2012-2018"/>
    <s v="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
    <s v="Gráfico de Evolución"/>
    <s v="Chile,riesgo,diabetes,tabaquismo,obesidad,cardiovascular,corazón,hipertensión,enfermedad,renal,dislipidemias,infarto,salud,programa,nacional,población,control,casos,personas,Agencia Información,Salud,Programa de Salud Cardiovascular,Programas de Salud"/>
    <s v="https://analytics.zoho.com/open-view/2395394000008188953"/>
    <x v="0"/>
    <s v="#1774B475"/>
  </r>
  <r>
    <s v="1854"/>
    <n v="990"/>
    <s v="Agencia Información"/>
    <s v="Salud"/>
    <n v="1"/>
    <x v="45"/>
    <x v="15"/>
    <x v="1"/>
    <x v="1"/>
    <x v="9"/>
    <x v="32"/>
    <s v="Periodo 2012-2018"/>
    <s v="Número de personas"/>
    <s v="Departamento de Estadísticas e Información de la Salud (DEIS) - Ministerio de Salud"/>
    <s v="Población en Control del Programa de Salud Cardiovascular por Enfermedad en la Región de Tarapacá, 2012-2018"/>
    <s v="En la región de Tarapacá,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Tarapacá,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
    <x v="1"/>
    <s v="#1774B476"/>
  </r>
  <r>
    <s v="1855"/>
    <n v="990"/>
    <s v="Agencia Información"/>
    <s v="Salud"/>
    <n v="2"/>
    <x v="45"/>
    <x v="15"/>
    <x v="1"/>
    <x v="2"/>
    <x v="9"/>
    <x v="32"/>
    <s v="Periodo 2012-2018"/>
    <s v="Número de personas"/>
    <s v="Departamento de Estadísticas e Información de la Salud (DEIS) - Ministerio de Salud"/>
    <s v="Población en Control del Programa de Salud Cardiovascular por Enfermedad en la Región de Antofagasta, 2012-2018"/>
    <s v="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Antofagast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2"/>
    <x v="2"/>
    <s v="#1774B477"/>
  </r>
  <r>
    <s v="1856"/>
    <n v="990"/>
    <s v="Agencia Información"/>
    <s v="Salud"/>
    <n v="3"/>
    <x v="45"/>
    <x v="15"/>
    <x v="1"/>
    <x v="3"/>
    <x v="9"/>
    <x v="32"/>
    <s v="Periodo 2012-2018"/>
    <s v="Número de personas"/>
    <s v="Departamento de Estadísticas e Información de la Salud (DEIS) - Ministerio de Salud"/>
    <s v="Población en Control del Programa de Salud Cardiovascular por Enfermedad en la Región de Atacama, 2012-2018"/>
    <s v="En la región de Atacama,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Atacam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3"/>
    <x v="3"/>
    <s v="#1774B478"/>
  </r>
  <r>
    <s v="1857"/>
    <n v="990"/>
    <s v="Agencia Información"/>
    <s v="Salud"/>
    <n v="4"/>
    <x v="45"/>
    <x v="15"/>
    <x v="1"/>
    <x v="4"/>
    <x v="9"/>
    <x v="32"/>
    <s v="Periodo 2012-2018"/>
    <s v="Número de personas"/>
    <s v="Departamento de Estadísticas e Información de la Salud (DEIS) - Ministerio de Salud"/>
    <s v="Población en Control del Programa de Salud Cardiovascular por Enfermedad en la Región de Coquimbo, 2012-2018"/>
    <s v="En la región de Coquimb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Coquimbo,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4"/>
    <x v="4"/>
    <s v="#1774B479"/>
  </r>
  <r>
    <s v="1858"/>
    <n v="990"/>
    <s v="Agencia Información"/>
    <s v="Salud"/>
    <n v="5"/>
    <x v="45"/>
    <x v="15"/>
    <x v="1"/>
    <x v="5"/>
    <x v="9"/>
    <x v="32"/>
    <s v="Periodo 2012-2018"/>
    <s v="Número de personas"/>
    <s v="Departamento de Estadísticas e Información de la Salud (DEIS) - Ministerio de Salud"/>
    <s v="Población en Control del Programa de Salud Cardiovascular por Enfermedad en la Región de Valparaíso, 2012-2018"/>
    <s v="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Valparaíso,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5"/>
    <x v="5"/>
    <s v="#1774B480"/>
  </r>
  <r>
    <s v="1859"/>
    <n v="990"/>
    <s v="Agencia Información"/>
    <s v="Salud"/>
    <n v="6"/>
    <x v="45"/>
    <x v="15"/>
    <x v="1"/>
    <x v="6"/>
    <x v="9"/>
    <x v="32"/>
    <s v="Periodo 2012-2018"/>
    <s v="Número de personas"/>
    <s v="Departamento de Estadísticas e Información de la Salud (DEIS) - Ministerio de Salud"/>
    <s v="Población en Control del Programa de Salud Cardiovascular por Enfermedad en la Región de O'Higgins, 2012-2018"/>
    <s v="En la región de O'Higgins,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Región de O'Higgin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6"/>
    <x v="6"/>
    <s v="#1774B481"/>
  </r>
  <r>
    <s v="1860"/>
    <n v="990"/>
    <s v="Agencia Información"/>
    <s v="Salud"/>
    <n v="7"/>
    <x v="45"/>
    <x v="15"/>
    <x v="1"/>
    <x v="7"/>
    <x v="9"/>
    <x v="32"/>
    <s v="Periodo 2012-2018"/>
    <s v="Número de personas"/>
    <s v="Departamento de Estadísticas e Información de la Salud (DEIS) - Ministerio de Salud"/>
    <s v="Población en Control del Programa de Salud Cardiovascular por Enfermedad en la Región de Maule, 2012-2018"/>
    <s v="En la región del Mau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Maule,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7"/>
    <x v="7"/>
    <s v="#1774B482"/>
  </r>
  <r>
    <s v="1861"/>
    <n v="990"/>
    <s v="Agencia Información"/>
    <s v="Salud"/>
    <n v="8"/>
    <x v="45"/>
    <x v="15"/>
    <x v="1"/>
    <x v="8"/>
    <x v="9"/>
    <x v="32"/>
    <s v="Periodo 2012-2018"/>
    <s v="Número de personas"/>
    <s v="Departamento de Estadísticas e Información de la Salud (DEIS) - Ministerio de Salud"/>
    <s v="Población en Control del Programa de Salud Cardiovascular por Enfermedad en la Región del Biobío, 2012-2018"/>
    <s v="En la región del Biobío,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l Biobío,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8"/>
    <x v="8"/>
    <s v="#1774B483"/>
  </r>
  <r>
    <s v="1862"/>
    <n v="990"/>
    <s v="Agencia Información"/>
    <s v="Salud"/>
    <n v="9"/>
    <x v="45"/>
    <x v="15"/>
    <x v="1"/>
    <x v="9"/>
    <x v="9"/>
    <x v="32"/>
    <s v="Periodo 2012-2018"/>
    <s v="Número de personas"/>
    <s v="Departamento de Estadísticas e Información de la Salud (DEIS) - Ministerio de Salud"/>
    <s v="Población en Control del Programa de Salud Cardiovascular por Enfermedad en la Región de La Araucanía, 2012-2018"/>
    <s v="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La Araucaní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9"/>
    <x v="9"/>
    <s v="#1774B484"/>
  </r>
  <r>
    <s v="1863"/>
    <n v="990"/>
    <s v="Agencia Información"/>
    <s v="Salud"/>
    <n v="10"/>
    <x v="45"/>
    <x v="15"/>
    <x v="1"/>
    <x v="10"/>
    <x v="9"/>
    <x v="32"/>
    <s v="Periodo 2012-2018"/>
    <s v="Número de personas"/>
    <s v="Departamento de Estadísticas e Información de la Salud (DEIS) - Ministerio de Salud"/>
    <s v="Población en Control del Programa de Salud Cardiovascular por Enfermedad en la Región de Los Lagos, 2012-2018"/>
    <s v="En la región de Los Lag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Los Lago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0"/>
    <x v="10"/>
    <s v="#1774B485"/>
  </r>
  <r>
    <s v="1864"/>
    <n v="990"/>
    <s v="Agencia Información"/>
    <s v="Salud"/>
    <n v="11"/>
    <x v="45"/>
    <x v="15"/>
    <x v="1"/>
    <x v="11"/>
    <x v="9"/>
    <x v="32"/>
    <s v="Periodo 2012-2018"/>
    <s v="Número de personas"/>
    <s v="Departamento de Estadísticas e Información de la Salud (DEIS) - Ministerio de Salud"/>
    <s v="Población en Control del Programa de Salud Cardiovascular por Enfermedad en la Región de Aysén, 2012-2018"/>
    <s v="En la región de Aysén,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Aysén,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1"/>
    <x v="11"/>
    <s v="#1774B486"/>
  </r>
  <r>
    <s v="1865"/>
    <n v="990"/>
    <s v="Agencia Información"/>
    <s v="Salud"/>
    <n v="12"/>
    <x v="45"/>
    <x v="15"/>
    <x v="1"/>
    <x v="12"/>
    <x v="9"/>
    <x v="32"/>
    <s v="Periodo 2012-2018"/>
    <s v="Número de personas"/>
    <s v="Departamento de Estadísticas e Información de la Salud (DEIS) - Ministerio de Salud"/>
    <s v="Población en Control del Programa de Salud Cardiovascular por Enfermedad en la Región de Magallanes, 2012-2018"/>
    <s v="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Magallane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2"/>
    <x v="12"/>
    <s v="#1774B487"/>
  </r>
  <r>
    <s v="1866"/>
    <n v="990"/>
    <s v="Agencia Información"/>
    <s v="Salud"/>
    <n v="13"/>
    <x v="45"/>
    <x v="15"/>
    <x v="1"/>
    <x v="13"/>
    <x v="9"/>
    <x v="32"/>
    <s v="Periodo 2012-2018"/>
    <s v="Número de personas"/>
    <s v="Departamento de Estadísticas e Información de la Salud (DEIS) - Ministerio de Salud"/>
    <s v="Población en Control del Programa de Salud Cardiovascular por Enfermedad en la Región Metropolitana, 2012-2018"/>
    <s v="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Metropolitan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3"/>
    <x v="13"/>
    <s v="#1774B488"/>
  </r>
  <r>
    <s v="1867"/>
    <n v="990"/>
    <s v="Agencia Información"/>
    <s v="Salud"/>
    <n v="14"/>
    <x v="45"/>
    <x v="15"/>
    <x v="1"/>
    <x v="14"/>
    <x v="9"/>
    <x v="32"/>
    <s v="Periodo 2012-2018"/>
    <s v="Número de personas"/>
    <s v="Departamento de Estadísticas e Información de la Salud (DEIS) - Ministerio de Salud"/>
    <s v="Población en Control del Programa de Salud Cardiovascular por Enfermedad en la Región de Los Ríos, 2012-2018"/>
    <s v="En la región de Los Rí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Los Ríos,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4"/>
    <x v="14"/>
    <s v="#1774B489"/>
  </r>
  <r>
    <s v="1868"/>
    <n v="990"/>
    <s v="Agencia Información"/>
    <s v="Salud"/>
    <n v="15"/>
    <x v="45"/>
    <x v="15"/>
    <x v="1"/>
    <x v="15"/>
    <x v="9"/>
    <x v="32"/>
    <s v="Periodo 2012-2018"/>
    <s v="Número de personas"/>
    <s v="Departamento de Estadísticas e Información de la Salud (DEIS) - Ministerio de Salud"/>
    <s v="Población en Control del Programa de Salud Cardiovascular por Enfermedad en la Región de Arica y Parinacota, 2012-2018"/>
    <s v="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Arica y Parinacota,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5"/>
    <x v="15"/>
    <s v="#1774B490"/>
  </r>
  <r>
    <s v="1869"/>
    <n v="990"/>
    <s v="Agencia Información"/>
    <s v="Salud"/>
    <n v="16"/>
    <x v="45"/>
    <x v="15"/>
    <x v="1"/>
    <x v="16"/>
    <x v="9"/>
    <x v="32"/>
    <s v="Periodo 2012-2018"/>
    <s v="Número de personas"/>
    <s v="Departamento de Estadísticas e Información de la Salud (DEIS) - Ministerio de Salud"/>
    <s v="Población en Control del Programa de Salud Cardiovascular por Enfermedad en la Región de Ñuble, 2012-2018"/>
    <s v="En la región de Ñub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Región de Ñuble,riesgo,diabetes,tabaquismo,obesidad,cardiovascular,corazón,hipertensión,enfermedad,renal,dislipidemias,infarto,salud,programa,regional,población,control,casos,personas,Agencia Información,Salud,Programa de Salud Cardiovascular,Programas de Salud"/>
    <s v="https://analytics.zoho.com/open-view/2395394000008539404?ZOHO_CRITERIA=%22Uni%C3%B3n%202.11-2.12%22.%22C%C3%B3digo%20Regi%C3%B3n%22%20%3D%2016"/>
    <x v="16"/>
    <s v="#1774B491"/>
  </r>
  <r>
    <s v="1870"/>
    <n v="990"/>
    <s v="Agencia Información"/>
    <s v="Salud"/>
    <n v="0"/>
    <x v="45"/>
    <x v="15"/>
    <x v="0"/>
    <x v="0"/>
    <x v="1"/>
    <x v="32"/>
    <s v="Periodo 2012-2018"/>
    <s v="Número de personas"/>
    <s v="Departamento de Estadísticas e Información de la Salud (DEIS) - Ministerio de Salud"/>
    <s v="Población en Control del Programa de Salud Cardiovascular por Región, Chile 2012-2018"/>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Chile,enfermedad,cardiovascular,corazón,población,control,salud,programa,regional,evolución,Agencia Información,Salud,Programa de Salud Cardiovascular,Programas de Salud"/>
    <s v="https://analytics.zoho.com/open-view/2395394000008188130"/>
    <x v="0"/>
    <s v="#1774B492"/>
  </r>
  <r>
    <s v="1871"/>
    <n v="990"/>
    <s v="Agencia Información"/>
    <s v="Salud"/>
    <n v="1"/>
    <x v="45"/>
    <x v="15"/>
    <x v="1"/>
    <x v="1"/>
    <x v="1"/>
    <x v="32"/>
    <s v="Periodo 2012-2018"/>
    <s v="Número de personas"/>
    <s v="Departamento de Estadísticas e Información de la Salud (DEIS) - Ministerio de Salud"/>
    <s v="Población en Control del Programa de Salud Cardiovascular en la Región de Tarapacá, 2012-2018"/>
    <s v="En la región de Tarapacá, el año 2014 registra la mayor cantidad de Población en Control del Programa de Salud Cardiovascular (PSCV) con  1110.205 personas."/>
    <s v="Gráfico de Evolución"/>
    <s v="Región de Tarapacá,enfermedad,cardiovascular,corazón,población,control,salud,programa,regional,evolución,Agencia Información,Salud,Programa de Salud Cardiovascular,Programas de Salud"/>
    <s v="https://analytics.zoho.com/open-view/2395394000008188130?ZOHO_CRITERIA=%22Uni%C3%B3n%202.11-2.12%22.%22C%C3%B3digo%20Regi%C3%B3n%22%20%3D%201"/>
    <x v="1"/>
    <s v="#1774B493"/>
  </r>
  <r>
    <s v="1872"/>
    <n v="990"/>
    <s v="Agencia Información"/>
    <s v="Salud"/>
    <n v="2"/>
    <x v="45"/>
    <x v="15"/>
    <x v="1"/>
    <x v="2"/>
    <x v="1"/>
    <x v="32"/>
    <s v="Periodo 2012-2018"/>
    <s v="Número de personas"/>
    <s v="Departamento de Estadísticas e Información de la Salud (DEIS) - Ministerio de Salud"/>
    <s v="Población en Control del Programa de Salud Cardiovascular en la Región de Antofagasta, 2012-2018"/>
    <s v="En la región de Antofagasta, el año 2014 registra la mayor cantidad de Población en Control del Programa de Salud Cardiovascular (PSCV) con  141.460 personas."/>
    <s v="Gráfico de Evolución"/>
    <s v="Región de Antofagasta,enfermedad,cardiovascular,corazón,población,control,salud,programa,regional,evolución,Agencia Información,Salud,Programa de Salud Cardiovascular,Programas de Salud"/>
    <s v="https://analytics.zoho.com/open-view/2395394000008188130?ZOHO_CRITERIA=%22Uni%C3%B3n%202.11-2.12%22.%22C%C3%B3digo%20Regi%C3%B3n%22%20%3D%202"/>
    <x v="2"/>
    <s v="#1774B494"/>
  </r>
  <r>
    <s v="1873"/>
    <n v="990"/>
    <s v="Agencia Información"/>
    <s v="Salud"/>
    <n v="3"/>
    <x v="45"/>
    <x v="15"/>
    <x v="1"/>
    <x v="3"/>
    <x v="1"/>
    <x v="32"/>
    <s v="Periodo 2012-2018"/>
    <s v="Número de personas"/>
    <s v="Departamento de Estadísticas e Información de la Salud (DEIS) - Ministerio de Salud"/>
    <s v="Población en Control del Programa de Salud Cardiovascular en la Región de Atacama, 2012-2018"/>
    <s v="En la región de Atacama, el año 2014 registra la mayor cantidad de Población en Control del Programa de Salud Cardiovascular (PSCV) con  89.399personas."/>
    <s v="Gráfico de Evolución"/>
    <s v="Región de Atacama,enfermedad,cardiovascular,corazón,población,control,salud,programa,regional,evolución,Agencia Información,Salud,Programa de Salud Cardiovascular,Programas de Salud"/>
    <s v="https://analytics.zoho.com/open-view/2395394000008188130?ZOHO_CRITERIA=%22Uni%C3%B3n%202.11-2.12%22.%22C%C3%B3digo%20Regi%C3%B3n%22%20%3D%203"/>
    <x v="3"/>
    <s v="#1774B495"/>
  </r>
  <r>
    <s v="1874"/>
    <n v="990"/>
    <s v="Agencia Información"/>
    <s v="Salud"/>
    <n v="4"/>
    <x v="45"/>
    <x v="15"/>
    <x v="1"/>
    <x v="4"/>
    <x v="1"/>
    <x v="32"/>
    <s v="Periodo 2012-2018"/>
    <s v="Número de personas"/>
    <s v="Departamento de Estadísticas e Información de la Salud (DEIS) - Ministerio de Salud"/>
    <s v="Población en Control del Programa de Salud Cardiovascular en la Región de Coquimbo, 2012-2018"/>
    <s v="En la región de Coquimbo, el año 2014 registra la mayor cantidad de Población en Control del Programa de Salud Cardiovascular (PSCV) con  284.450 personas."/>
    <s v="Gráfico de Evolución"/>
    <s v="Región de Coquimbo,enfermedad,cardiovascular,corazón,población,control,salud,programa,regional,evolución,Agencia Información,Salud,Programa de Salud Cardiovascular,Programas de Salud"/>
    <s v="https://analytics.zoho.com/open-view/2395394000008188130?ZOHO_CRITERIA=%22Uni%C3%B3n%202.11-2.12%22.%22C%C3%B3digo%20Regi%C3%B3n%22%20%3D%204"/>
    <x v="4"/>
    <s v="#1774B496"/>
  </r>
  <r>
    <s v="1875"/>
    <n v="990"/>
    <s v="Agencia Información"/>
    <s v="Salud"/>
    <n v="5"/>
    <x v="45"/>
    <x v="15"/>
    <x v="1"/>
    <x v="5"/>
    <x v="1"/>
    <x v="32"/>
    <s v="Periodo 2012-2018"/>
    <s v="Número de personas"/>
    <s v="Departamento de Estadísticas e Información de la Salud (DEIS) - Ministerio de Salud"/>
    <s v="Población en Control del Programa de Salud Cardiovascular en la Región de Valparaíso, 2012-2018"/>
    <s v="En la región de Valparaíso, el año 2014 registra la mayor cantidad de Población en Control del Programa de Salud Cardiovascular (PSCV) con  841.465 personas."/>
    <s v="Gráfico de Evolución"/>
    <s v="Región de Valparaíso,enfermedad,cardiovascular,corazón,población,control,salud,programa,regional,evolución,Agencia Información,Salud,Programa de Salud Cardiovascular,Programas de Salud"/>
    <s v="https://analytics.zoho.com/open-view/2395394000008188130?ZOHO_CRITERIA=%22Uni%C3%B3n%202.11-2.12%22.%22C%C3%B3digo%20Regi%C3%B3n%22%20%3D%205"/>
    <x v="5"/>
    <s v="#1774B497"/>
  </r>
  <r>
    <s v="1876"/>
    <n v="990"/>
    <s v="Agencia Información"/>
    <s v="Salud"/>
    <n v="6"/>
    <x v="45"/>
    <x v="15"/>
    <x v="1"/>
    <x v="6"/>
    <x v="1"/>
    <x v="32"/>
    <s v="Periodo 2012-2018"/>
    <s v="Número de personas"/>
    <s v="Departamento de Estadísticas e Información de la Salud (DEIS) - Ministerio de Salud"/>
    <s v="Población en Control del Programa de Salud Cardiovascular en la Región de O'Higgins, 2012-2018"/>
    <s v="En la región de O'Higgins, el año 2014 registra la mayor cantidad de Población en Control del Programa de Salud Cardiovascular (PSCV) con  397.050 personas."/>
    <s v="Gráfico de Evolución"/>
    <s v="Región de O'Higgins,enfermedad,cardiovascular,corazón,población,control,salud,programa,regional,evolución,Agencia Información,Salud,Programa de Salud Cardiovascular,Programas de Salud"/>
    <s v="https://analytics.zoho.com/open-view/2395394000008188130?ZOHO_CRITERIA=%22Uni%C3%B3n%202.11-2.12%22.%22C%C3%B3digo%20Regi%C3%B3n%22%20%3D%206"/>
    <x v="6"/>
    <s v="#1774B498"/>
  </r>
  <r>
    <s v="1877"/>
    <n v="990"/>
    <s v="Agencia Información"/>
    <s v="Salud"/>
    <n v="7"/>
    <x v="45"/>
    <x v="15"/>
    <x v="1"/>
    <x v="7"/>
    <x v="1"/>
    <x v="32"/>
    <s v="Periodo 2012-2018"/>
    <s v="Número de personas"/>
    <s v="Departamento de Estadísticas e Información de la Salud (DEIS) - Ministerio de Salud"/>
    <s v="Población en Control del Programa de Salud Cardiovascular en la Región de Maule, 2012-2018"/>
    <s v="En la región de Maule, el año 2014 registra la mayor cantidad de Población en Control del Programa de Salud Cardiovascular (PSCV) con  559.861 personas."/>
    <s v="Gráfico de Evolución"/>
    <s v="Región de Maule,enfermedad,cardiovascular,corazón,población,control,salud,programa,regional,evolución,Agencia Información,Salud,Programa de Salud Cardiovascular,Programas de Salud"/>
    <s v="https://analytics.zoho.com/open-view/2395394000008188130?ZOHO_CRITERIA=%22Uni%C3%B3n%202.11-2.12%22.%22C%C3%B3digo%20Regi%C3%B3n%22%20%3D%207"/>
    <x v="7"/>
    <s v="#1774B499"/>
  </r>
  <r>
    <s v="1878"/>
    <n v="990"/>
    <s v="Agencia Información"/>
    <s v="Salud"/>
    <n v="8"/>
    <x v="45"/>
    <x v="15"/>
    <x v="1"/>
    <x v="8"/>
    <x v="1"/>
    <x v="32"/>
    <s v="Periodo 2012-2018"/>
    <s v="Número de personas"/>
    <s v="Departamento de Estadísticas e Información de la Salud (DEIS) - Ministerio de Salud"/>
    <s v="Población en Control del Programa de Salud Cardiovascular en la Región del Biobío, 2012-2018"/>
    <s v="En la región del Biobío, el año 2014 registra la mayor cantidad de Población en Control del Programa de Salud Cardiovascular (PSCV) con  844.819 personas."/>
    <s v="Gráfico de Evolución"/>
    <s v="Región del Biobío,enfermedad,cardiovascular,corazón,población,control,salud,programa,regional,evolución,Agencia Información,Salud,Programa de Salud Cardiovascular,Programas de Salud"/>
    <s v="https://analytics.zoho.com/open-view/2395394000008188130?ZOHO_CRITERIA=%22Uni%C3%B3n%202.11-2.12%22.%22C%C3%B3digo%20Regi%C3%B3n%22%20%3D%208"/>
    <x v="8"/>
    <s v="#1774B500"/>
  </r>
  <r>
    <s v="1879"/>
    <n v="990"/>
    <s v="Agencia Información"/>
    <s v="Salud"/>
    <n v="9"/>
    <x v="45"/>
    <x v="15"/>
    <x v="1"/>
    <x v="9"/>
    <x v="1"/>
    <x v="32"/>
    <s v="Periodo 2012-2018"/>
    <s v="Número de personas"/>
    <s v="Departamento de Estadísticas e Información de la Salud (DEIS) - Ministerio de Salud"/>
    <s v="Población en Control del Programa de Salud Cardiovascular en la Región de La Araucanía, 2012-2018"/>
    <s v="En la región de La Araucanía, el año 2014 resgitra la mayor cantidad de Población en Control del Programa de Salud Cardiovascular (PSCV) con  505.505 personas."/>
    <s v="Gráfico de Evolución"/>
    <s v="Región de La Araucanía,enfermedad,cardiovascular,corazón,población,control,salud,programa,regional,evolución,Agencia Información,Salud,Programa de Salud Cardiovascular,Programas de Salud"/>
    <s v="https://analytics.zoho.com/open-view/2395394000008188130?ZOHO_CRITERIA=%22Uni%C3%B3n%202.11-2.12%22.%22C%C3%B3digo%20Regi%C3%B3n%22%20%3D%209"/>
    <x v="9"/>
    <s v="#1774B501"/>
  </r>
  <r>
    <s v="1880"/>
    <n v="990"/>
    <s v="Agencia Información"/>
    <s v="Salud"/>
    <n v="10"/>
    <x v="45"/>
    <x v="15"/>
    <x v="1"/>
    <x v="10"/>
    <x v="1"/>
    <x v="32"/>
    <s v="Periodo 2012-2018"/>
    <s v="Número de personas"/>
    <s v="Departamento de Estadísticas e Información de la Salud (DEIS) - Ministerio de Salud"/>
    <s v="Población en Control del Programa de Salud Cardiovascular en la Región de Los Lagos, 2012-2018"/>
    <s v="En la región de Los Lagos, el año 2014 registra la mayor cantidad de Población en Control del Programa de Salud Cardiovascular (PSCV) con  480.688 personas."/>
    <s v="Gráfico de Evolución"/>
    <s v="Región de Los Lagos,enfermedad,cardiovascular,corazón,población,control,salud,programa,regional,evolución,Agencia Información,Salud,Programa de Salud Cardiovascular,Programas de Salud"/>
    <s v="https://analytics.zoho.com/open-view/2395394000008188130?ZOHO_CRITERIA=%22Uni%C3%B3n%202.11-2.12%22.%22C%C3%B3digo%20Regi%C3%B3n%22%20%3D%2010"/>
    <x v="10"/>
    <s v="#1774B502"/>
  </r>
  <r>
    <s v="1881"/>
    <n v="990"/>
    <s v="Agencia Información"/>
    <s v="Salud"/>
    <n v="11"/>
    <x v="45"/>
    <x v="15"/>
    <x v="1"/>
    <x v="11"/>
    <x v="1"/>
    <x v="32"/>
    <s v="Periodo 2012-2018"/>
    <s v="Número de personas"/>
    <s v="Departamento de Estadísticas e Información de la Salud (DEIS) - Ministerio de Salud"/>
    <s v="Población en Control del Programa de Salud Cardiovascular en la Región de Aysén, 2012-2018"/>
    <s v="En la región de Aysén, el año 2014 registra la mayor cantidad de Población en Control del Programa de Salud Cardiovascular (PSCV) con  34.595 personas."/>
    <s v="Gráfico de Evolución"/>
    <s v="Región de Aysén,enfermedad,cardiovascular,corazón,población,control,salud,programa,regional,evolución,Agencia Información,Salud,Programa de Salud Cardiovascular,Programas de Salud"/>
    <s v="https://analytics.zoho.com/open-view/2395394000008188130?ZOHO_CRITERIA=%22Uni%C3%B3n%202.11-2.12%22.%22C%C3%B3digo%20Regi%C3%B3n%22%20%3D%2011"/>
    <x v="11"/>
    <s v="#1774B503"/>
  </r>
  <r>
    <s v="1882"/>
    <n v="990"/>
    <s v="Agencia Información"/>
    <s v="Salud"/>
    <n v="12"/>
    <x v="45"/>
    <x v="15"/>
    <x v="1"/>
    <x v="12"/>
    <x v="1"/>
    <x v="32"/>
    <s v="Periodo 2012-2018"/>
    <s v="Número de personas"/>
    <s v="Departamento de Estadísticas e Información de la Salud (DEIS) - Ministerio de Salud"/>
    <s v="Población en Control del Programa de Salud Cardiovascular en la Región de Magallanes, 2012-2018"/>
    <s v="En la región de Magallanes, el año 2014 registra la mayor cantidad de la Población en Control del Programa de Salud Cardiovascular (PSCV) con  72.859 personas."/>
    <s v="Gráfico de Evolución"/>
    <s v="Región de Magallanes,enfermedad,cardiovascular,corazón,población,control,salud,programa,regional,evolución,Agencia Información,Salud,Programa de Salud Cardiovascular,Programas de Salud"/>
    <s v="https://analytics.zoho.com/open-view/2395394000008188130?ZOHO_CRITERIA=%22Uni%C3%B3n%202.11-2.12%22.%22C%C3%B3digo%20Regi%C3%B3n%22%20%3D%2012"/>
    <x v="12"/>
    <s v="#1774B504"/>
  </r>
  <r>
    <s v="1883"/>
    <n v="990"/>
    <s v="Agencia Información"/>
    <s v="Salud"/>
    <n v="13"/>
    <x v="45"/>
    <x v="15"/>
    <x v="1"/>
    <x v="13"/>
    <x v="1"/>
    <x v="32"/>
    <s v="Periodo 2012-2018"/>
    <s v="Número de personas"/>
    <s v="Departamento de Estadísticas e Información de la Salud (DEIS) - Ministerio de Salud"/>
    <s v="Población en Control del Programa de Salud Cardiovascular en la Región Metropolitana, 2012-2018"/>
    <s v="En la región Metropolitana, el año 2014 registra la mayor cantidad de Población en Control del Programa de Salud Cardiovascular (PSCV) con  3.377.765 personas."/>
    <s v="Gráfico de Evolución"/>
    <s v="Región Metropolitana,enfermedad,cardiovascular,corazón,población,control,salud,programa,regional,evolución,Agencia Información,Salud,Programa de Salud Cardiovascular,Programas de Salud"/>
    <s v="https://analytics.zoho.com/open-view/2395394000008188130?ZOHO_CRITERIA=%22Uni%C3%B3n%202.11-2.12%22.%22C%C3%B3digo%20Regi%C3%B3n%22%20%3D%2013"/>
    <x v="13"/>
    <s v="#1774B505"/>
  </r>
  <r>
    <s v="1884"/>
    <n v="990"/>
    <s v="Agencia Información"/>
    <s v="Salud"/>
    <n v="14"/>
    <x v="45"/>
    <x v="15"/>
    <x v="1"/>
    <x v="14"/>
    <x v="1"/>
    <x v="32"/>
    <s v="Periodo 2012-2018"/>
    <s v="Número de personas"/>
    <s v="Departamento de Estadísticas e Información de la Salud (DEIS) - Ministerio de Salud"/>
    <s v="Población en Control del Programa de Salud Cardiovascular en la Región de Los Ríos, 2012-2018"/>
    <s v="En la región de Los Ríos, el año 2014 registra la mayor cantidad de Población en Control del Programa de Salud Cardiovascular (PSCV) con  207.542 personas."/>
    <s v="Gráfico de Evolución"/>
    <s v="Región de Los Ríos,enfermedad,cardiovascular,corazón,población,control,salud,programa,regional,evolución,Agencia Información,Salud,Programa de Salud Cardiovascular,Programas de Salud"/>
    <s v="https://analytics.zoho.com/open-view/2395394000008188130?ZOHO_CRITERIA=%22Uni%C3%B3n%202.11-2.12%22.%22C%C3%B3digo%20Regi%C3%B3n%22%20%3D%2014"/>
    <x v="14"/>
    <s v="#1774B506"/>
  </r>
  <r>
    <s v="1885"/>
    <n v="990"/>
    <s v="Agencia Información"/>
    <s v="Salud"/>
    <n v="15"/>
    <x v="45"/>
    <x v="15"/>
    <x v="1"/>
    <x v="15"/>
    <x v="1"/>
    <x v="32"/>
    <s v="Periodo 2012-2018"/>
    <s v="Número de personas"/>
    <s v="Departamento de Estadísticas e Información de la Salud (DEIS) - Ministerio de Salud"/>
    <s v="Población en Control del Programa de Salud Cardiovascular en la Región de Arica y Parinacota, 2012-2018"/>
    <s v="En la región de Arica y Parinacota, el año 2014 registra la mayor cantidad de Población en Control del Programa de Salud Cardiovascular (PSCV) con 67.760 personas."/>
    <s v="Gráfico de Evolución"/>
    <s v="Región de Arica y Parinacota,enfermedad,cardiovascular,corazón,población,control,salud,programa,regional,evolución,Agencia Información,Salud,Programa de Salud Cardiovascular,Programas de Salud"/>
    <s v="https://analytics.zoho.com/open-view/2395394000008188130?ZOHO_CRITERIA=%22Uni%C3%B3n%202.11-2.12%22.%22C%C3%B3digo%20Regi%C3%B3n%22%20%3D%2015"/>
    <x v="15"/>
    <s v="#1774B507"/>
  </r>
  <r>
    <s v="1886"/>
    <n v="990"/>
    <s v="Agencia Información"/>
    <s v="Salud"/>
    <n v="16"/>
    <x v="45"/>
    <x v="15"/>
    <x v="1"/>
    <x v="16"/>
    <x v="1"/>
    <x v="32"/>
    <s v="Periodo 2012-2018"/>
    <s v="Número de personas"/>
    <s v="Departamento de Estadísticas e Información de la Salud (DEIS) - Ministerio de Salud"/>
    <s v="Población en Control del Programa de Salud Cardiovascular en la Región de Ñuble, 2012-2018"/>
    <s v="En la región de Ñuble, el año 2014 registra la mayor cantidad de la Población en Control del Programa de Salud Cardiovascular (PSCV) con 325.833 personas."/>
    <s v="Gráfico de Evolución"/>
    <s v="Región de Ñuble,enfermedad,cardiovascular,corazón,población,control,salud,programa,regional,evolución,Agencia Información,Salud,Programa de Salud Cardiovascular,Programas de Salud"/>
    <s v="https://analytics.zoho.com/open-view/2395394000008188130?ZOHO_CRITERIA=%22Uni%C3%B3n%202.11-2.12%22.%22C%C3%B3digo%20Regi%C3%B3n%22%20%3D%2016"/>
    <x v="16"/>
    <s v="#1774B508"/>
  </r>
  <r>
    <s v="1887"/>
    <n v="990"/>
    <s v="Agencia Información"/>
    <s v="Salud"/>
    <n v="0"/>
    <x v="45"/>
    <x v="15"/>
    <x v="0"/>
    <x v="0"/>
    <x v="10"/>
    <x v="32"/>
    <s v="Periodo 2012-2018"/>
    <s v="Número de personas"/>
    <s v="Departamento de Estadísticas e Información de la Salud (DEIS) - Ministerio de Salud"/>
    <s v="Población en Control del Programa de Salud Cardiovascular por Comuna, Chile 2012-2018"/>
    <s v="Considerando el periodo 2012-2018, las comunas de Puente Alto y La Florida registraron la mayor Población en el Programa de Salud Cardiovascular, superando el millón de personas, seguidos por la comuna Valparaíso que alcanzó 800 mil personas ."/>
    <s v="Gráfico de Evolución"/>
    <s v="Chile,enfermedad,cardiovascular,corazón,población,control,salud,programa,regional,evolución,Agencia Información,Salud,Programa de Salud Cardiovascular,Programas de Salud"/>
    <s v="https://analytics.zoho.com/open-view/2395394000008188039"/>
    <x v="17"/>
    <s v="#1774B509"/>
  </r>
  <r>
    <s v="1888"/>
    <n v="990"/>
    <s v="Agencia Información"/>
    <s v="Salud"/>
    <n v="1"/>
    <x v="45"/>
    <x v="15"/>
    <x v="1"/>
    <x v="1"/>
    <x v="11"/>
    <x v="32"/>
    <s v="Periodo 2012-2018"/>
    <s v="Número de personas"/>
    <s v="Departamento de Estadísticas e Información de la Salud (DEIS) - Ministerio de Salud"/>
    <s v="Población en Control del Programa de Salud Cardiovascular por Comuna en la Región de Tarapacá, 2012-2018"/>
    <s v="En la región de Tarapacá, el año 2018, la comuna de Iquique, registró la mayor cantidad de personas en el Programa de Salud Cardiovascular, con 59.583, seguida por la comuna de Alto Hospicio con 19.027 personas."/>
    <s v="Gráfico de Evolución"/>
    <s v="Región de Tarapacá,enfermedad,cardiovascular,corazón,población,control,salud,programa,regional,evolución,Agencia Información,Salud,Programa de Salud Cardiovascular,Programas de Salud"/>
    <s v="https://analytics.zoho.com/open-view/2395394000008463254?ZOHO_CRITERIA=%22Uni%C3%B3n%202.11-2.12%22.%22C%C3%B3digo%20Regi%C3%B3n%22%20%3D%201"/>
    <x v="18"/>
    <s v="#1774B510"/>
  </r>
  <r>
    <s v="1889"/>
    <n v="990"/>
    <s v="Agencia Información"/>
    <s v="Salud"/>
    <n v="2"/>
    <x v="45"/>
    <x v="15"/>
    <x v="1"/>
    <x v="2"/>
    <x v="11"/>
    <x v="32"/>
    <s v="Periodo 2012-2018"/>
    <s v="Número de personas"/>
    <s v="Departamento de Estadísticas e Información de la Salud (DEIS) - Ministerio de Salud"/>
    <s v="Población en Control del Programa de Salud Cardiovascular por Comuna en la Región de Antofagasta, 2012-2018"/>
    <s v="En la región de Antofagasta, el año 2018, la comuna de Antofagasta, registró la mayor cantidad de personas en el Programa de Salud Cardiovascular, con 65.749, seguida por la comuna de Calama con 28.244 personas."/>
    <s v="Gráfico de Evolución"/>
    <s v="Región de Antofagasta,enfermedad,cardiovascular,corazón,población,control,salud,programa,regional,evolución,Agencia Información,Salud,Programa de Salud Cardiovascular,Programas de Salud"/>
    <s v="https://analytics.zoho.com/open-view/2395394000008463254?ZOHO_CRITERIA=%22Uni%C3%B3n%202.11-2.12%22.%22C%C3%B3digo%20Regi%C3%B3n%22%20%3D%202"/>
    <x v="19"/>
    <s v="#1774B511"/>
  </r>
  <r>
    <s v="1890"/>
    <n v="990"/>
    <s v="Agencia Información"/>
    <s v="Salud"/>
    <n v="3"/>
    <x v="45"/>
    <x v="15"/>
    <x v="1"/>
    <x v="3"/>
    <x v="11"/>
    <x v="32"/>
    <s v="Periodo 2012-2018"/>
    <s v="Número de personas"/>
    <s v="Departamento de Estadísticas e Información de la Salud (DEIS) - Ministerio de Salud"/>
    <s v="Población en Control del Programa de Salud Cardiovascular por Comuna en la Región de Atacama, 2012-2018"/>
    <s v="En la región de Atacama, el año 2018, la comuna de Copiapó, registró la mayor cantidad de personas en el Programa de Salud Cardiovascular, con 34.827, seguida por la comuna de Vallenar con 17.136 personas."/>
    <s v="Gráfico de Evolución"/>
    <s v="Región de Atacama,enfermedad,cardiovascular,corazón,población,control,salud,programa,regional,evolución,Agencia Información,Salud,Programa de Salud Cardiovascular,Programas de Salud"/>
    <s v="https://analytics.zoho.com/open-view/2395394000008463254?ZOHO_CRITERIA=%22Uni%C3%B3n%202.11-2.12%22.%22C%C3%B3digo%20Regi%C3%B3n%22%20%3D%203"/>
    <x v="20"/>
    <s v="#1774B512"/>
  </r>
  <r>
    <s v="1891"/>
    <n v="990"/>
    <s v="Agencia Información"/>
    <s v="Salud"/>
    <n v="4"/>
    <x v="45"/>
    <x v="15"/>
    <x v="1"/>
    <x v="4"/>
    <x v="11"/>
    <x v="32"/>
    <s v="Periodo 2012-2018"/>
    <s v="Número de personas"/>
    <s v="Departamento de Estadísticas e Información de la Salud (DEIS) - Ministerio de Salud"/>
    <s v="Población en Control del Programa de Salud Cardiovascular por Comuna en la Región de Coquimbo, 2012-2018"/>
    <s v="En la región de Coquimbo, el año 2018, la comuna de Coquimbo, registró la mayor cantidad de personas en el Programa de Salud Cardiovascular, con 49.567, seguida por la comuna de La Serena con 46.052 personas."/>
    <s v="Gráfico de Evolución"/>
    <s v="Región de Coquimbo,enfermedad,cardiovascular,corazón,población,control,salud,programa,regional,evolución,Agencia Información,Salud,Programa de Salud Cardiovascular,Programas de Salud"/>
    <s v="https://analytics.zoho.com/open-view/2395394000008463254?ZOHO_CRITERIA=%22Uni%C3%B3n%202.11-2.12%22.%22C%C3%B3digo%20Regi%C3%B3n%22%20%3D%204"/>
    <x v="21"/>
    <s v="#1774B513"/>
  </r>
  <r>
    <s v="1892"/>
    <n v="990"/>
    <s v="Agencia Información"/>
    <s v="Salud"/>
    <n v="5"/>
    <x v="45"/>
    <x v="15"/>
    <x v="1"/>
    <x v="5"/>
    <x v="11"/>
    <x v="32"/>
    <s v="Periodo 2012-2018"/>
    <s v="Número de personas"/>
    <s v="Departamento de Estadísticas e Información de la Salud (DEIS) - Ministerio de Salud"/>
    <s v="Población en Control del Programa de Salud Cardiovascular por Comuna en la Región de Valparaíso, 2012-2018"/>
    <s v="En la región de Valparaíso, el año 2018, la comuna de Valparaíso, registró la mayor cantidad de personas en el Programa de Salud Cardiovascular, con 98.804, seguida por la comuna de Viña del Mar con 81.612 personas."/>
    <s v="Gráfico de Evolución"/>
    <s v="Región de Valparaíso,enfermedad,cardiovascular,corazón,población,control,salud,programa,regional,evolución,Agencia Información,Salud,Programa de Salud Cardiovascular,Programas de Salud"/>
    <s v="https://analytics.zoho.com/open-view/2395394000008463254?ZOHO_CRITERIA=%22Uni%C3%B3n%202.11-2.12%22.%22C%C3%B3digo%20Regi%C3%B3n%22%20%3D%205"/>
    <x v="22"/>
    <s v="#1774B514"/>
  </r>
  <r>
    <s v="1893"/>
    <n v="990"/>
    <s v="Agencia Información"/>
    <s v="Salud"/>
    <n v="6"/>
    <x v="45"/>
    <x v="15"/>
    <x v="1"/>
    <x v="6"/>
    <x v="11"/>
    <x v="32"/>
    <s v="Periodo 2012-2018"/>
    <s v="Número de personas"/>
    <s v="Departamento de Estadísticas e Información de la Salud (DEIS) - Ministerio de Salud"/>
    <s v="Población en Control del Programa de Salud Cardiovascular por Comuna en la Región de O'Higgins, 2012-2018"/>
    <s v="En la región de O'Higgins, el año 2018, la comuna de Rancagua, registró la mayor cantidad de personas en el Programa de Salud Cardiovascular, con 56.860, seguida por la comuna de Rengo con 21.638 personas."/>
    <s v="Gráfico de Evolución"/>
    <s v="Región de O'Higgins,enfermedad,cardiovascular,corazón,población,control,salud,programa,regional,evolución,Agencia Información,Salud,Programa de Salud Cardiovascular,Programas de Salud"/>
    <s v="https://analytics.zoho.com/open-view/2395394000008463254?ZOHO_CRITERIA=%22Uni%C3%B3n%202.11-2.12%22.%22C%C3%B3digo%20Regi%C3%B3n%22%20%3D%206"/>
    <x v="23"/>
    <s v="#1774B515"/>
  </r>
  <r>
    <s v="1894"/>
    <n v="990"/>
    <s v="Agencia Información"/>
    <s v="Salud"/>
    <n v="7"/>
    <x v="45"/>
    <x v="15"/>
    <x v="1"/>
    <x v="7"/>
    <x v="11"/>
    <x v="32"/>
    <s v="Periodo 2012-2018"/>
    <s v="Número de personas"/>
    <s v="Departamento de Estadísticas e Información de la Salud (DEIS) - Ministerio de Salud"/>
    <s v="Población en Control del Programa de Salud Cardiovascular por Comuna en la Región de Maule, 2012-2018"/>
    <s v="En la región del Maule, el año 2018, la comuna de Talca, registró la mayor cantidad de personas en el Programa de Salud Cardiovascular, con 59.907, seguida por la comuna de Curicó con 84.043 personas."/>
    <s v="Gráfico de Evolución"/>
    <s v="Región de Maule,enfermedad,cardiovascular,corazón,población,control,salud,programa,regional,evolución,Agencia Información,Salud,Programa de Salud Cardiovascular,Programas de Salud"/>
    <s v="https://analytics.zoho.com/open-view/2395394000008463254?ZOHO_CRITERIA=%22Uni%C3%B3n%202.11-2.12%22.%22C%C3%B3digo%20Regi%C3%B3n%22%20%3D%207"/>
    <x v="24"/>
    <s v="#1774B516"/>
  </r>
  <r>
    <s v="1895"/>
    <n v="990"/>
    <s v="Agencia Información"/>
    <s v="Salud"/>
    <n v="8"/>
    <x v="45"/>
    <x v="15"/>
    <x v="1"/>
    <x v="8"/>
    <x v="11"/>
    <x v="32"/>
    <s v="Periodo 2012-2018"/>
    <s v="Número de personas"/>
    <s v="Departamento de Estadísticas e Información de la Salud (DEIS) - Ministerio de Salud"/>
    <s v="Población en Control del Programa de Salud Cardiovascular por Comuna en la Región del Biobío, 2012-2018"/>
    <s v="En la región del Biobío, el año 2018, la comuna de Los Ángeles, registró la mayor cantidad de personas en el Programa de Salud Cardiovascular, con 77.691, seguida por la comuna de Concepción con 75.792 personas."/>
    <s v="Gráfico de Evolución"/>
    <s v="Región del Biobío,enfermedad,cardiovascular,corazón,población,control,salud,programa,regional,evolución,Agencia Información,Salud,Programa de Salud Cardiovascular,Programas de Salud"/>
    <s v="https://analytics.zoho.com/open-view/2395394000008463254?ZOHO_CRITERIA=%22Uni%C3%B3n%202.11-2.12%22.%22C%C3%B3digo%20Regi%C3%B3n%22%20%3D%208"/>
    <x v="25"/>
    <s v="#1774B517"/>
  </r>
  <r>
    <s v="1896"/>
    <n v="990"/>
    <s v="Agencia Información"/>
    <s v="Salud"/>
    <n v="9"/>
    <x v="45"/>
    <x v="15"/>
    <x v="1"/>
    <x v="9"/>
    <x v="11"/>
    <x v="32"/>
    <s v="Periodo 2012-2018"/>
    <s v="Número de personas"/>
    <s v="Departamento de Estadísticas e Información de la Salud (DEIS) - Ministerio de Salud"/>
    <s v="Población en Control del Programa de Salud Cardiovascular por Comuna en la Región de La Araucanía, 2012-2018"/>
    <s v="En la región de La Araucanía, el año 2018, la comuna de Temuco, registró la mayor cantidad de personas en el Programa de Salud Cardiovascular, con 88.843, seguida por la comuna de Padre de las Casas con 31.508 personas."/>
    <s v="Gráfico de Evolución"/>
    <s v="Región de La Araucanía,enfermedad,cardiovascular,corazón,población,control,salud,programa,regional,evolución,Agencia Información,Salud,Programa de Salud Cardiovascular,Programas de Salud"/>
    <s v="https://analytics.zoho.com/open-view/2395394000008463254?ZOHO_CRITERIA=%22Uni%C3%B3n%202.11-2.12%22.%22C%C3%B3digo%20Regi%C3%B3n%22%20%3D%209"/>
    <x v="26"/>
    <s v="#1774B518"/>
  </r>
  <r>
    <s v="1897"/>
    <n v="990"/>
    <s v="Agencia Información"/>
    <s v="Salud"/>
    <n v="10"/>
    <x v="45"/>
    <x v="15"/>
    <x v="1"/>
    <x v="10"/>
    <x v="11"/>
    <x v="32"/>
    <s v="Periodo 2012-2018"/>
    <s v="Número de personas"/>
    <s v="Departamento de Estadísticas e Información de la Salud (DEIS) - Ministerio de Salud"/>
    <s v="Población en Control del Programa de Salud Cardiovascular por Comuna en la Región de Los Lagos, 2012-2018"/>
    <s v="En la región de Los Lagos, el año 2018, la comuna de Puerto Montt, registró la mayor cantidad de personas en el Programa de Salud Cardiovascular, con 64.119, seguida por la comuna de Osorno con 62.396 personas."/>
    <s v="Gráfico de Evolución"/>
    <s v="Región de Los Lagos,enfermedad,cardiovascular,corazón,población,control,salud,programa,regional,evolución,Agencia Información,Salud,Programa de Salud Cardiovascular,Programas de Salud"/>
    <s v="https://analytics.zoho.com/open-view/2395394000008463254?ZOHO_CRITERIA=%22Uni%C3%B3n%202.11-2.12%22.%22C%C3%B3digo%20Regi%C3%B3n%22%20%3D%2010"/>
    <x v="27"/>
    <s v="#1774B519"/>
  </r>
  <r>
    <s v="1898"/>
    <n v="990"/>
    <s v="Agencia Información"/>
    <s v="Salud"/>
    <n v="11"/>
    <x v="45"/>
    <x v="15"/>
    <x v="1"/>
    <x v="11"/>
    <x v="11"/>
    <x v="32"/>
    <s v="Periodo 2012-2018"/>
    <s v="Número de personas"/>
    <s v="Departamento de Estadísticas e Información de la Salud (DEIS) - Ministerio de Salud"/>
    <s v="Población en Control del Programa de Salud Cardiovascular por Comuna en la Región de Aysén, 2012-2018"/>
    <s v="En la región de Aysén, el año 2018, la comuna de Coyhaique, registró la mayor cantidad de personas en el Programa de Salud Cardiovascular, con 12.377, seguida por la comuna de Aysén con 7.707 personas."/>
    <s v="Gráfico de Evolución"/>
    <s v="Región de Aysén,enfermedad,cardiovascular,corazón,población,control,salud,programa,regional,evolución,Agencia Información,Salud,Programa de Salud Cardiovascular,Programas de Salud"/>
    <s v="https://analytics.zoho.com/open-view/2395394000008463254?ZOHO_CRITERIA=%22Uni%C3%B3n%202.11-2.12%22.%22C%C3%B3digo%20Regi%C3%B3n%22%20%3D%2011"/>
    <x v="33"/>
    <s v="#1774B520"/>
  </r>
  <r>
    <s v="1899"/>
    <n v="990"/>
    <s v="Agencia Información"/>
    <s v="Salud"/>
    <n v="12"/>
    <x v="45"/>
    <x v="15"/>
    <x v="1"/>
    <x v="12"/>
    <x v="11"/>
    <x v="32"/>
    <s v="Periodo 2012-2018"/>
    <s v="Número de personas"/>
    <s v="Departamento de Estadísticas e Información de la Salud (DEIS) - Ministerio de Salud"/>
    <s v="Población en Control del Programa de Salud Cardiovascular por Comuna en la Región de Magallanes, 2012-2018"/>
    <s v="En la región de Magallanes, el año 2018, la comuna de Punta Arenas, registró la mayor cantidad de personas en el Programa de Salud Cardiovascular, con 45.828, seguida por la comuna de Natales con 7.044 personas."/>
    <s v="Gráfico de Evolución"/>
    <s v="Región de Magallanes,enfermedad,cardiovascular,corazón,población,control,salud,programa,regional,evolución,Agencia Información,Salud,Programa de Salud Cardiovascular,Programas de Salud"/>
    <s v="https://analytics.zoho.com/open-view/2395394000008463254?ZOHO_CRITERIA=%22Uni%C3%B3n%202.11-2.12%22.%22C%C3%B3digo%20Regi%C3%B3n%22%20%3D%2012"/>
    <x v="28"/>
    <s v="#1774B521"/>
  </r>
  <r>
    <s v="1900"/>
    <n v="990"/>
    <s v="Agencia Información"/>
    <s v="Salud"/>
    <n v="13"/>
    <x v="45"/>
    <x v="15"/>
    <x v="1"/>
    <x v="13"/>
    <x v="11"/>
    <x v="32"/>
    <s v="Periodo 2012-2018"/>
    <s v="Número de personas"/>
    <s v="Departamento de Estadísticas e Información de la Salud (DEIS) - Ministerio de Salud"/>
    <s v="Población en Control del Programa de Salud Cardiovascular por Comuna en la Región Metropolitana, 2012-2018"/>
    <s v="En la región Metropolitana, el año 2018, la comuna de Puente Alto, registró la mayor cantidad de personas en el Programa de Salud Cardiovascular, con 179.341, seguida por la comuna de La Florida con 143.507 personas."/>
    <s v="Gráfico de Evolución"/>
    <s v="Región Metropolitana,enfermedad,cardiovascular,corazón,población,control,salud,programa,regional,evolución,Agencia Información,Salud,Programa de Salud Cardiovascular,Programas de Salud"/>
    <s v="https://analytics.zoho.com/open-view/2395394000008463254?ZOHO_CRITERIA=%22Uni%C3%B3n%202.11-2.12%22.%22C%C3%B3digo%20Regi%C3%B3n%22%20%3D%2013"/>
    <x v="29"/>
    <s v="#1774B522"/>
  </r>
  <r>
    <s v="1901"/>
    <n v="990"/>
    <s v="Agencia Información"/>
    <s v="Salud"/>
    <n v="14"/>
    <x v="45"/>
    <x v="15"/>
    <x v="1"/>
    <x v="14"/>
    <x v="11"/>
    <x v="32"/>
    <s v="Periodo 2012-2018"/>
    <s v="Número de personas"/>
    <s v="Departamento de Estadísticas e Información de la Salud (DEIS) - Ministerio de Salud"/>
    <s v="Población en Control del Programa de Salud Cardiovascular por Comuna en la Región de Los Ríos, 2012-2018"/>
    <s v="En la región de Los Ríos, el año 2018, la comuna de Valdivia, registró la mayor cantidad de personas en el Programa de Salud Cardiovascular, con 47.466, seguida por la comuna de Panguipulli con 14.933 personas."/>
    <s v="Gráfico de Evolución"/>
    <s v="Región de Los Ríos,enfermedad,cardiovascular,corazón,población,control,salud,programa,regional,evolución,Agencia Información,Salud,Programa de Salud Cardiovascular,Programas de Salud"/>
    <s v="https://analytics.zoho.com/open-view/2395394000008463254?ZOHO_CRITERIA=%22Uni%C3%B3n%202.11-2.12%22.%22C%C3%B3digo%20Regi%C3%B3n%22%20%3D%2014"/>
    <x v="30"/>
    <s v="#1774B523"/>
  </r>
  <r>
    <s v="1902"/>
    <n v="990"/>
    <s v="Agencia Información"/>
    <s v="Salud"/>
    <n v="15"/>
    <x v="45"/>
    <x v="15"/>
    <x v="1"/>
    <x v="15"/>
    <x v="11"/>
    <x v="32"/>
    <s v="Periodo 2012-2018"/>
    <s v="Número de personas"/>
    <s v="Departamento de Estadísticas e Información de la Salud (DEIS) - Ministerio de Salud"/>
    <s v="Población en Control del Programa de Salud Cardiovascular por Comuna en la Región de Arica y Parinacota, 2012-2018"/>
    <s v="En la región de Arica y Parinacota, el año 2018, la comuna de Arica, registró la mayor cantidad de personas en el Programa de Salud Cardiovascular, con 45.825, seguida por la comuna de Putre con 253 personas."/>
    <s v="Gráfico de Evolución"/>
    <s v="Región de Arica y Parinacota,enfermedad,cardiovascular,corazón,población,control,salud,programa,regional,evolución,Agencia Información,Salud,Programa de Salud Cardiovascular,Programas de Salud"/>
    <s v="https://analytics.zoho.com/open-view/2395394000008463254?ZOHO_CRITERIA=%22Uni%C3%B3n%202.11-2.12%22.%22C%C3%B3digo%20Regi%C3%B3n%22%20%3D%2015"/>
    <x v="31"/>
    <s v="#1774B524"/>
  </r>
  <r>
    <s v="1903"/>
    <n v="990"/>
    <s v="Agencia Información"/>
    <s v="Salud"/>
    <n v="16"/>
    <x v="45"/>
    <x v="15"/>
    <x v="1"/>
    <x v="16"/>
    <x v="11"/>
    <x v="32"/>
    <s v="Periodo 2012-2018"/>
    <s v="Número de personas"/>
    <s v="Departamento de Estadísticas e Información de la Salud (DEIS) - Ministerio de Salud"/>
    <s v="Población en Control del Programa de Salud Cardiovascular por Comuna en la Región de Ñuble, 2012-2018"/>
    <s v="En la región de Ñuble, el año 2018, la comuna de Chillán, registró la mayor cantidad de personas en el Programa de Salud Cardiovascular, con 77.581, seguida por la comuna de San Carlos con 25.025 personas."/>
    <s v="Gráfico de Evolución"/>
    <s v="Región de Ñuble,enfermedad,cardiovascular,corazón,población,control,salud,programa,regional,evolución,Agencia Información,Salud,Programa de Salud Cardiovascular,Programas de Salud"/>
    <s v="https://analytics.zoho.com/open-view/2395394000008463254?ZOHO_CRITERIA=%22Uni%C3%B3n%202.11-2.12%22.%22C%C3%B3digo%20Regi%C3%B3n%22%20%3D%2016"/>
    <x v="32"/>
    <s v="#1774B525"/>
  </r>
  <r>
    <s v="1904"/>
    <n v="990"/>
    <s v="Agencia Información"/>
    <s v="Salud"/>
    <n v="0"/>
    <x v="45"/>
    <x v="15"/>
    <x v="0"/>
    <x v="0"/>
    <x v="0"/>
    <x v="32"/>
    <s v="Periodo 2012-2018"/>
    <s v="Número de personas"/>
    <s v="Departamento de Estadísticas e Información de la Salud (DEIS) - Ministerio de Salud"/>
    <s v="Población en Control del Programa de Salud Cardiovascular por Sexo, Chile 2012-201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Chile,enfermedad,cardiovascular,corazón,población,control,salud,programa,sexo,hombre,mujer,nacional,Agencia Información,Salud,Programa de Salud Cardiovascular,Programas de Salud"/>
    <s v="https://analytics.zoho.com/open-view/2395394000008188229"/>
    <x v="0"/>
    <s v="#1774B526"/>
  </r>
  <r>
    <s v="1905"/>
    <n v="990"/>
    <s v="Agencia Información"/>
    <s v="Salud"/>
    <n v="1"/>
    <x v="45"/>
    <x v="15"/>
    <x v="1"/>
    <x v="1"/>
    <x v="1"/>
    <x v="32"/>
    <s v="Periodo 2012-2018"/>
    <s v="Número de personas"/>
    <s v="Departamento de Estadísticas e Información de la Salud (DEIS) - Ministerio de Salud"/>
    <s v="Población en Control del Programa de Salud Cardiovascular por Sexo en la Región de Tarapacá, 2012-2018"/>
    <s v="En la región de Tarapacá, la población del Programa de Salud Cardiovascular (PSCV), durante el periodo comprendido entre los años 2012-2018 presentó fluctuaciones. El año 2014 fue el que concentró mayor cantidad de pacientes, alcanzando un peak de 65.967 mujeres. "/>
    <s v="Gráfico de Evolución"/>
    <s v="Región de Tarapacá,enfermedad,cardiovascular,corazón,población,control,salud,programa,sexo,hombre,mujer,regional,Agencia Información,Salud,Programa de Salud Cardiovascular,Programas de Salud"/>
    <s v="https://analytics.zoho.com/open-view/2395394000008463332?ZOHO_CRITERIA=%22Uni%C3%B3n%202.11-2.12%22.%22C%C3%B3digo%20Regi%C3%B3n%22%20%3D%201"/>
    <x v="1"/>
    <s v="#1774B527"/>
  </r>
  <r>
    <s v="1906"/>
    <n v="990"/>
    <s v="Agencia Información"/>
    <s v="Salud"/>
    <n v="2"/>
    <x v="45"/>
    <x v="15"/>
    <x v="1"/>
    <x v="2"/>
    <x v="1"/>
    <x v="32"/>
    <s v="Periodo 2012-2018"/>
    <s v="Número de personas"/>
    <s v="Departamento de Estadísticas e Información de la Salud (DEIS) - Ministerio de Salud"/>
    <s v="Población en Control del Programa de Salud Cardiovascular por Sexo en la Región de Antofagasta, 2012-2018"/>
    <s v="En la región de Antofagasta, la población del Programa de Salud Cardiovascular (PSCV), durante el periodo comprendido entre los años 2012-2018 presentó fluctuaciones. El año 2014 fue el que concentró mayor cantidad de pacientes, alcanzando un peak de 92.038 mujeres. "/>
    <s v="Gráfico de Evolución"/>
    <s v="Región de Antofagasta,enfermedad,cardiovascular,corazón,población,control,salud,programa,sexo,hombre,mujer,regional,Agencia Información,Salud,Programa de Salud Cardiovascular,Programas de Salud"/>
    <s v="https://analytics.zoho.com/open-view/2395394000008463332?ZOHO_CRITERIA=%22Uni%C3%B3n%202.11-2.12%22.%22C%C3%B3digo%20Regi%C3%B3n%22%20%3D%202"/>
    <x v="2"/>
    <s v="#1774B528"/>
  </r>
  <r>
    <s v="1907"/>
    <n v="990"/>
    <s v="Agencia Información"/>
    <s v="Salud"/>
    <n v="3"/>
    <x v="45"/>
    <x v="15"/>
    <x v="1"/>
    <x v="3"/>
    <x v="1"/>
    <x v="32"/>
    <s v="Periodo 2012-2018"/>
    <s v="Número de personas"/>
    <s v="Departamento de Estadísticas e Información de la Salud (DEIS) - Ministerio de Salud"/>
    <s v="Población en Control del Programa de Salud Cardiovascular por Sexo en la Región de Atacama, 2012-2018"/>
    <s v="En la región de Atacama, la población del Programa de Salud Cardiovascular (PSCV), durante el periodo comprendido entre los años 2012-2018 presentó fluctuaciones. el año 2014 fue el que concentró mayor cantidad de pacientes, alcanzando un peak de 57.899 mujeres. "/>
    <s v="Gráfico de Evolución"/>
    <s v="Región de Atacama,enfermedad,cardiovascular,corazón,población,control,salud,programa,sexo,hombre,mujer,regional,Agencia Información,Salud,Programa de Salud Cardiovascular,Programas de Salud"/>
    <s v="https://analytics.zoho.com/open-view/2395394000008463332?ZOHO_CRITERIA=%22Uni%C3%B3n%202.11-2.12%22.%22C%C3%B3digo%20Regi%C3%B3n%22%20%3D%203"/>
    <x v="3"/>
    <s v="#1774B529"/>
  </r>
  <r>
    <s v="1908"/>
    <n v="990"/>
    <s v="Agencia Información"/>
    <s v="Salud"/>
    <n v="4"/>
    <x v="45"/>
    <x v="15"/>
    <x v="1"/>
    <x v="4"/>
    <x v="1"/>
    <x v="32"/>
    <s v="Periodo 2012-2018"/>
    <s v="Número de personas"/>
    <s v="Departamento de Estadísticas e Información de la Salud (DEIS) - Ministerio de Salud"/>
    <s v="Población en Control del Programa de Salud Cardiovascular por Sexo en la Región de Coquimbo, 2012-2018"/>
    <s v="En la región de Coquimbo, la población del Programa de Salud Cardiovascular (PSCV), durante el periodo comprendido entre los años 2012-2018 presentó fluctuaciones. El año 2014 fue el que concentró mayor cantidad de pacientes, alcanzando un peak de 187.213 mujeres. "/>
    <s v="Gráfico de Evolución"/>
    <s v="Región de Coquimbo,enfermedad,cardiovascular,corazón,población,control,salud,programa,sexo,hombre,mujer,regional,Agencia Información,Salud,Programa de Salud Cardiovascular,Programas de Salud"/>
    <s v="https://analytics.zoho.com/open-view/2395394000008463332?ZOHO_CRITERIA=%22Uni%C3%B3n%202.11-2.12%22.%22C%C3%B3digo%20Regi%C3%B3n%22%20%3D%204"/>
    <x v="4"/>
    <s v="#1774B530"/>
  </r>
  <r>
    <s v="1909"/>
    <n v="990"/>
    <s v="Agencia Información"/>
    <s v="Salud"/>
    <n v="5"/>
    <x v="45"/>
    <x v="15"/>
    <x v="1"/>
    <x v="5"/>
    <x v="1"/>
    <x v="32"/>
    <s v="Periodo 2012-2018"/>
    <s v="Número de personas"/>
    <s v="Departamento de Estadísticas e Información de la Salud (DEIS) - Ministerio de Salud"/>
    <s v="Población en Control del Programa de Salud Cardiovascular por Sexo en la Región de Valparaíso, 2012-2018"/>
    <s v="En la región de Valparaíso, la población del Programa de Salud Cardiovascular (PSCV), durante el periodo comprendido entre los años 2012-2018 presentó fluctuaciones. El año 2014 fue el que concentró mayor cantidad de pacientes, alcanzando un peak de 535.578 mujeres. "/>
    <s v="Gráfico de Evolución"/>
    <s v="Región de Valparaíso,enfermedad,cardiovascular,corazón,población,control,salud,programa,sexo,hombre,mujer,regional,Agencia Información,Salud,Programa de Salud Cardiovascular,Programas de Salud"/>
    <s v="https://analytics.zoho.com/open-view/2395394000008463332?ZOHO_CRITERIA=%22Uni%C3%B3n%202.11-2.12%22.%22C%C3%B3digo%20Regi%C3%B3n%22%20%3D%205"/>
    <x v="5"/>
    <s v="#1774B531"/>
  </r>
  <r>
    <s v="1910"/>
    <n v="990"/>
    <s v="Agencia Información"/>
    <s v="Salud"/>
    <n v="6"/>
    <x v="45"/>
    <x v="15"/>
    <x v="1"/>
    <x v="6"/>
    <x v="1"/>
    <x v="32"/>
    <s v="Periodo 2012-2018"/>
    <s v="Número de personas"/>
    <s v="Departamento de Estadísticas e Información de la Salud (DEIS) - Ministerio de Salud"/>
    <s v="Población en Control del Programa de Salud Cardiovascular por Sexo en la Región de O'Higgins, 2012-2018"/>
    <s v="En la región de O'Higgins, la población del Programa de Salud Cardiovascular (PSCV), durante el periodo comprendido entre los años 2012-2018 presentó fluctuaciones. El año 2014 fue el que concentró mayor cantidad de pacientes, alcanzando un peak de 250.884 mujeres. "/>
    <s v="Gráfico de Evolución"/>
    <s v="Región de O'Higgins,enfermedad,cardiovascular,corazón,población,control,salud,programa,sexo,hombre,mujer,regional,Agencia Información,Salud,Programa de Salud Cardiovascular,Programas de Salud"/>
    <s v="https://analytics.zoho.com/open-view/2395394000008463332?ZOHO_CRITERIA=%22Uni%C3%B3n%202.11-2.12%22.%22C%C3%B3digo%20Regi%C3%B3n%22%20%3D%206"/>
    <x v="6"/>
    <s v="#1774B532"/>
  </r>
  <r>
    <s v="1911"/>
    <n v="990"/>
    <s v="Agencia Información"/>
    <s v="Salud"/>
    <n v="7"/>
    <x v="45"/>
    <x v="15"/>
    <x v="1"/>
    <x v="7"/>
    <x v="1"/>
    <x v="32"/>
    <s v="Periodo 2012-2018"/>
    <s v="Número de personas"/>
    <s v="Departamento de Estadísticas e Información de la Salud (DEIS) - Ministerio de Salud"/>
    <s v="Población en Control del Programa de Salud Cardiovascular por Sexo en la Región de Maule, 2012-2018"/>
    <s v="En la región del Maule, la población del Programa de Salud Cardiovascular (PSCV), durante el periodo comprendido entre los años 2012-2018 presentó fluctuaciones. El año 2014 fue el que concentró mayor cantidad de pacientes, alcanzando un peak de 351.507 mujeres. "/>
    <s v="Gráfico de Evolución"/>
    <s v="Región de Maule,enfermedad,cardiovascular,corazón,población,control,salud,programa,sexo,hombre,mujer,regional,Agencia Información,Salud,Programa de Salud Cardiovascular,Programas de Salud"/>
    <s v="https://analytics.zoho.com/open-view/2395394000008463332?ZOHO_CRITERIA=%22Uni%C3%B3n%202.11-2.12%22.%22C%C3%B3digo%20Regi%C3%B3n%22%20%3D%207"/>
    <x v="7"/>
    <s v="#1774B533"/>
  </r>
  <r>
    <s v="1912"/>
    <n v="990"/>
    <s v="Agencia Información"/>
    <s v="Salud"/>
    <n v="8"/>
    <x v="45"/>
    <x v="15"/>
    <x v="1"/>
    <x v="8"/>
    <x v="1"/>
    <x v="32"/>
    <s v="Periodo 2012-2018"/>
    <s v="Número de personas"/>
    <s v="Departamento de Estadísticas e Información de la Salud (DEIS) - Ministerio de Salud"/>
    <s v="Población en Control del Programa de Salud Cardiovascular por Sexo en la Región del Biobío, 2012-2018"/>
    <s v="En la región del Biobío, la población del Programa de Salud Cardiovascular (PSCV), durante el periodo comprendido entre los años 2012-2018 presentó fluctuaciones. El año 2014 fue el que concentró mayor cantidad de pacientes, alcanzando un peak de 542.046 mujeres. "/>
    <s v="Gráfico de Evolución"/>
    <s v="Región del Biobío,enfermedad,cardiovascular,corazón,población,control,salud,programa,sexo,hombre,mujer,regional,Agencia Información,Salud,Programa de Salud Cardiovascular,Programas de Salud"/>
    <s v="https://analytics.zoho.com/open-view/2395394000008463332?ZOHO_CRITERIA=%22Uni%C3%B3n%202.11-2.12%22.%22C%C3%B3digo%20Regi%C3%B3n%22%20%3D%208"/>
    <x v="8"/>
    <s v="#1774B534"/>
  </r>
  <r>
    <s v="1913"/>
    <n v="990"/>
    <s v="Agencia Información"/>
    <s v="Salud"/>
    <n v="9"/>
    <x v="45"/>
    <x v="15"/>
    <x v="1"/>
    <x v="9"/>
    <x v="1"/>
    <x v="32"/>
    <s v="Periodo 2012-2018"/>
    <s v="Número de personas"/>
    <s v="Departamento de Estadísticas e Información de la Salud (DEIS) - Ministerio de Salud"/>
    <s v="Población en Control del Programa de Salud Cardiovascular por Sexo en la Región de La Araucanía, 2012-2018"/>
    <s v="En la región de La Araucanía, la población del Programa de Salud Cardiovascular (PSCV), durante el periodo comprendido entre los años 2012-2018 presentó fluctuaciones. El año 2014 fue el que concentró mayor cantidad de pacientes, alcanzando un peak de 316.287 mujeres. "/>
    <s v="Gráfico de Evolución"/>
    <s v="Región de La Araucanía,enfermedad,cardiovascular,corazón,población,control,salud,programa,sexo,hombre,mujer,regional,Agencia Información,Salud,Programa de Salud Cardiovascular,Programas de Salud"/>
    <s v="https://analytics.zoho.com/open-view/2395394000008463332?ZOHO_CRITERIA=%22Uni%C3%B3n%202.11-2.12%22.%22C%C3%B3digo%20Regi%C3%B3n%22%20%3D%209"/>
    <x v="9"/>
    <s v="#1774B535"/>
  </r>
  <r>
    <s v="1914"/>
    <n v="990"/>
    <s v="Agencia Información"/>
    <s v="Salud"/>
    <n v="10"/>
    <x v="45"/>
    <x v="15"/>
    <x v="1"/>
    <x v="10"/>
    <x v="1"/>
    <x v="32"/>
    <s v="Periodo 2012-2018"/>
    <s v="Número de personas"/>
    <s v="Departamento de Estadísticas e Información de la Salud (DEIS) - Ministerio de Salud"/>
    <s v="Población en Control del Programa de Salud Cardiovascular por Sexo en la Región de Los Lagos, 2012-2018"/>
    <s v="En la región de Los Lagos, la población del Programa de Salud Cardiovascular (PSCV), durante el periodo comprendido entre los años 2012-2018 presentó fluctuaciones. El año 2014 fue el que concentró mayor cantidad de pacientes, alcanzando un peak de 305.563 mujeres. "/>
    <s v="Gráfico de Evolución"/>
    <s v="Región de Los Lagos,enfermedad,cardiovascular,corazón,población,control,salud,programa,sexo,hombre,mujer,regional,Agencia Información,Salud,Programa de Salud Cardiovascular,Programas de Salud"/>
    <s v="https://analytics.zoho.com/open-view/2395394000008463332?ZOHO_CRITERIA=%22Uni%C3%B3n%202.11-2.12%22.%22C%C3%B3digo%20Regi%C3%B3n%22%20%3D%2010"/>
    <x v="10"/>
    <s v="#1774B536"/>
  </r>
  <r>
    <s v="1915"/>
    <n v="990"/>
    <s v="Agencia Información"/>
    <s v="Salud"/>
    <n v="11"/>
    <x v="45"/>
    <x v="15"/>
    <x v="1"/>
    <x v="11"/>
    <x v="1"/>
    <x v="32"/>
    <s v="Periodo 2012-2018"/>
    <s v="Número de personas"/>
    <s v="Departamento de Estadísticas e Información de la Salud (DEIS) - Ministerio de Salud"/>
    <s v="Población en Control del Programa de Salud Cardiovascular por Sexo en la Región de Aysén, 2012-2018"/>
    <s v="En la región de Aysén, la población del Programa de Salud Cardiovascular (PSCV), durante el periodo comprendido entre los años 2012-2018 presentó fluctuaciones. El año 2014 fue el que concentró mayor cantidad de pacientes, alcanzando un peak de 21.787 mujeres. "/>
    <s v="Gráfico de Evolución"/>
    <s v="Región de Aysén,enfermedad,cardiovascular,corazón,población,control,salud,programa,sexo,hombre,mujer,regional,Agencia Información,Salud,Programa de Salud Cardiovascular,Programas de Salud"/>
    <s v="https://analytics.zoho.com/open-view/2395394000008463332?ZOHO_CRITERIA=%22Uni%C3%B3n%202.11-2.12%22.%22C%C3%B3digo%20Regi%C3%B3n%22%20%3D%2011"/>
    <x v="11"/>
    <s v="#1774B537"/>
  </r>
  <r>
    <s v="1916"/>
    <n v="990"/>
    <s v="Agencia Información"/>
    <s v="Salud"/>
    <n v="12"/>
    <x v="45"/>
    <x v="15"/>
    <x v="1"/>
    <x v="12"/>
    <x v="1"/>
    <x v="32"/>
    <s v="Periodo 2012-2018"/>
    <s v="Número de personas"/>
    <s v="Departamento de Estadísticas e Información de la Salud (DEIS) - Ministerio de Salud"/>
    <s v="Población en Control del Programa de Salud Cardiovascular por Sexo en la Región de Magallanes, 2012-2018"/>
    <s v="En la región de Magallanes, la población del Programa de Salud Cardiovascular (PSCV), durante el periodo comprendido entre los años 2012-2018 presentó fluctuaciones. El año 2014 fue el que concentró mayor cantidad de pacientes, alcanzando un peak de 44.021 mujeres. "/>
    <s v="Gráfico de Evolución"/>
    <s v="Región de Magallanes,enfermedad,cardiovascular,corazón,población,control,salud,programa,sexo,hombre,mujer,regional,Agencia Información,Salud,Programa de Salud Cardiovascular,Programas de Salud"/>
    <s v="https://analytics.zoho.com/open-view/2395394000008463332?ZOHO_CRITERIA=%22Uni%C3%B3n%202.11-2.12%22.%22C%C3%B3digo%20Regi%C3%B3n%22%20%3D%2012"/>
    <x v="12"/>
    <s v="#1774B538"/>
  </r>
  <r>
    <s v="1917"/>
    <n v="990"/>
    <s v="Agencia Información"/>
    <s v="Salud"/>
    <n v="13"/>
    <x v="45"/>
    <x v="15"/>
    <x v="1"/>
    <x v="13"/>
    <x v="1"/>
    <x v="32"/>
    <s v="Periodo 2012-2018"/>
    <s v="Número de personas"/>
    <s v="Departamento de Estadísticas e Información de la Salud (DEIS) - Ministerio de Salud"/>
    <s v="Población en Control del Programa de Salud Cardiovascular por Sexo en la Región Metropolitana, 2012-2018"/>
    <s v="En la región Metropolitana, la población del Programa de Salud Cardiovascular (PSCV), durante el periodo comprendido entre los años 2012-2018 presentó fluctuaciones. El año 2014 fue el que concentró mayor cantidad de pacientes, alcanzando un peak de 2.174.826 mujeres. "/>
    <s v="Gráfico de Evolución"/>
    <s v="Región Metropolitana,enfermedad,cardiovascular,corazón,población,control,salud,programa,sexo,hombre,mujer,regional,Agencia Información,Salud,Programa de Salud Cardiovascular,Programas de Salud"/>
    <s v="https://analytics.zoho.com/open-view/2395394000008463332?ZOHO_CRITERIA=%22Uni%C3%B3n%202.11-2.12%22.%22C%C3%B3digo%20Regi%C3%B3n%22%20%3D%2013"/>
    <x v="13"/>
    <s v="#1774B539"/>
  </r>
  <r>
    <s v="1918"/>
    <n v="990"/>
    <s v="Agencia Información"/>
    <s v="Salud"/>
    <n v="14"/>
    <x v="45"/>
    <x v="15"/>
    <x v="1"/>
    <x v="14"/>
    <x v="1"/>
    <x v="32"/>
    <s v="Periodo 2012-2018"/>
    <s v="Número de personas"/>
    <s v="Departamento de Estadísticas e Información de la Salud (DEIS) - Ministerio de Salud"/>
    <s v="Población en Control del Programa de Salud Cardiovascular por Sexo en la Región de Los Ríos, 2012-2018"/>
    <s v="En la región de Los Ríos, la población del Programa de Salud Cardiovascular (PSCV), durante el periodo comprendido entre los años 2012-2018 presentó fluctuaciones. El año 2014 fue el que concentró mayor cantidad de pacientes, alcanzando un peak de 131.316 mujeres. "/>
    <s v="Gráfico de Evolución"/>
    <s v="Región de Los Ríos,enfermedad,cardiovascular,corazón,población,control,salud,programa,sexo,hombre,mujer,regional,Agencia Información,Salud,Programa de Salud Cardiovascular,Programas de Salud"/>
    <s v="https://analytics.zoho.com/open-view/2395394000008463332?ZOHO_CRITERIA=%22Uni%C3%B3n%202.11-2.12%22.%22C%C3%B3digo%20Regi%C3%B3n%22%20%3D%2014"/>
    <x v="14"/>
    <s v="#1774B540"/>
  </r>
  <r>
    <s v="1919"/>
    <n v="990"/>
    <s v="Agencia Información"/>
    <s v="Salud"/>
    <n v="15"/>
    <x v="45"/>
    <x v="15"/>
    <x v="1"/>
    <x v="15"/>
    <x v="1"/>
    <x v="32"/>
    <s v="Periodo 2012-2018"/>
    <s v="Número de personas"/>
    <s v="Departamento de Estadísticas e Información de la Salud (DEIS) - Ministerio de Salud"/>
    <s v="Población en Control del Programa de Salud Cardiovascular por Sexo en la Región de Arica y Parinacota, 2012-2018"/>
    <s v="En la región de Arica y Parinacota, la población del Programa de Salud Cardiovascular (PSCV), durante el periodo comprendido entre los años 2012-2018 presentó fluctuaciones. El año 2014 fue el que concentró mayor cantidad de pacientes, alcanzando un peak de 41.918 mujeres. "/>
    <s v="Gráfico de Evolución"/>
    <s v="Región de Arica y Parinacota,enfermedad,cardiovascular,corazón,población,control,salud,programa,sexo,hombre,mujer,regional,Agencia Información,Salud,Programa de Salud Cardiovascular,Programas de Salud"/>
    <s v="https://analytics.zoho.com/open-view/2395394000008463332?ZOHO_CRITERIA=%22Uni%C3%B3n%202.11-2.12%22.%22C%C3%B3digo%20Regi%C3%B3n%22%20%3D%2015"/>
    <x v="15"/>
    <s v="#1774B541"/>
  </r>
  <r>
    <s v="1920"/>
    <n v="990"/>
    <s v="Agencia Información"/>
    <s v="Salud"/>
    <n v="16"/>
    <x v="45"/>
    <x v="15"/>
    <x v="1"/>
    <x v="16"/>
    <x v="1"/>
    <x v="32"/>
    <s v="Periodo 2012-2018"/>
    <s v="Número de personas"/>
    <s v="Departamento de Estadísticas e Información de la Salud (DEIS) - Ministerio de Salud"/>
    <s v="Población en Control del Programa de Salud Cardiovascular por Sexo en la Región de Ñuble, 2012-2018"/>
    <s v="En la región de Ñuble, la población del Programa de Salud Cardiovascular (PSCV), durante el periodo comprendido entre los años 2012-2018 presentó fluctuaciones. El año 2014 fue el que concentró mayor cantidad de pacientes, alcanzando un peak de 204.288 mujeres. "/>
    <s v="Gráfico de Evolución"/>
    <s v="Región de Ñuble,enfermedad,cardiovascular,corazón,población,control,salud,programa,sexo,hombre,mujer,regional,Agencia Información,Salud,Programa de Salud Cardiovascular,Programas de Salud"/>
    <s v="https://analytics.zoho.com/open-view/2395394000008463332?ZOHO_CRITERIA=%22Uni%C3%B3n%202.11-2.12%22.%22C%C3%B3digo%20Regi%C3%B3n%22%20%3D%2016"/>
    <x v="16"/>
    <s v="#1774B542"/>
  </r>
  <r>
    <s v="1921"/>
    <n v="990"/>
    <s v="Agencia Información"/>
    <s v="Salud"/>
    <n v="0"/>
    <x v="45"/>
    <x v="15"/>
    <x v="0"/>
    <x v="0"/>
    <x v="0"/>
    <x v="32"/>
    <s v="Periodo 2012-2018"/>
    <s v="Número de personas"/>
    <s v="Departamento de Estadísticas e Información de la Salud (DEIS) - Ministerio de Salud"/>
    <s v="Población en Control del Programa de Salud Cardiovascular por Rango Etario, Chile 2012-2018"/>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Chile,enfermedad,cardiovascular,corazón,población,personas,control,programa,edad,rango etario,nacional,Agencia Información,Salud,Programa de Salud Cardiovascular,Programas de Salud"/>
    <s v="https://analytics.zoho.com/open-view/2395394000008188448"/>
    <x v="0"/>
    <s v="#1774B543"/>
  </r>
  <r>
    <s v="1922"/>
    <n v="990"/>
    <s v="Agencia Información"/>
    <s v="Salud"/>
    <n v="1"/>
    <x v="45"/>
    <x v="15"/>
    <x v="1"/>
    <x v="1"/>
    <x v="1"/>
    <x v="32"/>
    <s v="Periodo 2012-2018"/>
    <s v="Número de personas"/>
    <s v="Departamento de Estadísticas e Información de la Salud (DEIS) - Ministerio de Salud"/>
    <s v="Población en Control del Programa de Salud Cardiovascular por Rango Etario en la Región de Tarapacá, 2012-2018"/>
    <s v="La región de Tarapacá, el año 2014 tuvo un peak en la población en Control del Programa de Salud Cardiovascular, siendo el rango etario mayoritario el &quot;65 y más&quot; con 45.499 pacientes."/>
    <s v="Gráfico de Evolución"/>
    <s v="Región de Tarapacá,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
    <x v="1"/>
    <s v="#1774B544"/>
  </r>
  <r>
    <s v="1923"/>
    <n v="990"/>
    <s v="Agencia Información"/>
    <s v="Salud"/>
    <n v="2"/>
    <x v="45"/>
    <x v="15"/>
    <x v="1"/>
    <x v="2"/>
    <x v="1"/>
    <x v="32"/>
    <s v="Periodo 2012-2018"/>
    <s v="Número de personas"/>
    <s v="Departamento de Estadísticas e Información de la Salud (DEIS) - Ministerio de Salud"/>
    <s v="Población en Control del Programa de Salud Cardiovascular por Rango Etario en la Región de Antofagasta, 2012-2018"/>
    <s v="La región de Antofagasta, el año 2014 tuvo un peak en la población en Control del Programa de Salud Cardiovascular, siendo el rango etario mayoritario el &quot;65 y más&quot; con 67.343 pacientes."/>
    <s v="Gráfico de Evolución"/>
    <s v="Región de Antofagast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2"/>
    <x v="2"/>
    <s v="#1774B545"/>
  </r>
  <r>
    <s v="1924"/>
    <n v="990"/>
    <s v="Agencia Información"/>
    <s v="Salud"/>
    <n v="3"/>
    <x v="45"/>
    <x v="15"/>
    <x v="1"/>
    <x v="3"/>
    <x v="1"/>
    <x v="32"/>
    <s v="Periodo 2012-2018"/>
    <s v="Número de personas"/>
    <s v="Departamento de Estadísticas e Información de la Salud (DEIS) - Ministerio de Salud"/>
    <s v="Población en Control del Programa de Salud Cardiovascular por Rango Etario en la Región de Atacama, 2012-2018"/>
    <s v="La región de Atacama, el año 2014 tuvo un peak en la población en Control del Programa de Salud Cardiovascular, siendo el rango etario mayoritario el &quot;65 y más&quot; con 40.870 pacientes."/>
    <s v="Gráfico de Evolución"/>
    <s v="Región de Atacam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3"/>
    <x v="3"/>
    <s v="#1774B546"/>
  </r>
  <r>
    <s v="1925"/>
    <n v="990"/>
    <s v="Agencia Información"/>
    <s v="Salud"/>
    <n v="4"/>
    <x v="45"/>
    <x v="15"/>
    <x v="1"/>
    <x v="4"/>
    <x v="1"/>
    <x v="32"/>
    <s v="Periodo 2012-2018"/>
    <s v="Número de personas"/>
    <s v="Departamento de Estadísticas e Información de la Salud (DEIS) - Ministerio de Salud"/>
    <s v="Población en Control del Programa de Salud Cardiovascular por Rango Etario en la Región de Coquimbo, 2012-2018"/>
    <s v="La región de Coquimbo, el año 2014 tuvo un peak en la población en Control del Programa de Salud Cardiovascular, siendo el rango etario mayoritario el &quot;65 y más&quot; con 138.280 pacientes."/>
    <s v="Gráfico de Evolución"/>
    <s v="Región de Coquimbo,enfermedad,cardiovascular,corazón,población,personas,control,programa,edad,rango etario,regional,Agencia Información,Salud,Programa de Salud Cardiovascular,Programas de Salud"/>
    <s v="https://analytics.zoho.com/open-view/2395394000008463071?ZOHO_CRITERIA=%22Uni%C3%B3n%202.11-2.12%22.%22C%C3%B3digo%20Regi%C3%B3n%22%20%3D%204"/>
    <x v="4"/>
    <s v="#1774B547"/>
  </r>
  <r>
    <s v="1926"/>
    <n v="990"/>
    <s v="Agencia Información"/>
    <s v="Salud"/>
    <n v="5"/>
    <x v="45"/>
    <x v="15"/>
    <x v="1"/>
    <x v="5"/>
    <x v="1"/>
    <x v="32"/>
    <s v="Periodo 2012-2018"/>
    <s v="Número de personas"/>
    <s v="Departamento de Estadísticas e Información de la Salud (DEIS) - Ministerio de Salud"/>
    <s v="Población en Control del Programa de Salud Cardiovascular por Rango Etario en la Región de Valparaíso, 2012-2018"/>
    <s v="La región de Valparaíso, el año 2014 tuvo un peak en la población en Control del Programa de Salud Cardiovascular, siendo el rango etario mayoritario el &quot;65 y más&quot; con 416.612 pacientes."/>
    <s v="Gráfico de Evolución"/>
    <s v="Región de Valparaíso,enfermedad,cardiovascular,corazón,población,personas,control,programa,edad,rango etario,regional,Agencia Información,Salud,Programa de Salud Cardiovascular,Programas de Salud"/>
    <s v="https://analytics.zoho.com/open-view/2395394000008463071?ZOHO_CRITERIA=%22Uni%C3%B3n%202.11-2.12%22.%22C%C3%B3digo%20Regi%C3%B3n%22%20%3D%205"/>
    <x v="5"/>
    <s v="#1774B548"/>
  </r>
  <r>
    <s v="1927"/>
    <n v="990"/>
    <s v="Agencia Información"/>
    <s v="Salud"/>
    <n v="6"/>
    <x v="45"/>
    <x v="15"/>
    <x v="1"/>
    <x v="6"/>
    <x v="1"/>
    <x v="32"/>
    <s v="Periodo 2012-2018"/>
    <s v="Número de personas"/>
    <s v="Departamento de Estadísticas e Información de la Salud (DEIS) - Ministerio de Salud"/>
    <s v="Población en Control del Programa de Salud Cardiovascular por Rango Etario en la Región de O'Higgins, 2012-2018"/>
    <s v="La región de O'Higgins, el año 2014 tuvo un peak en la población en Control del Programa de Salud Cardiovascular, siendo el rango etario mayoritario el &quot;65 y más&quot; con 179.284 pacientes."/>
    <s v="Gráfico de Evolución"/>
    <s v="Región de O'Higgin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6"/>
    <x v="6"/>
    <s v="#1774B549"/>
  </r>
  <r>
    <s v="1928"/>
    <n v="990"/>
    <s v="Agencia Información"/>
    <s v="Salud"/>
    <n v="7"/>
    <x v="45"/>
    <x v="15"/>
    <x v="1"/>
    <x v="7"/>
    <x v="1"/>
    <x v="32"/>
    <s v="Periodo 2012-2018"/>
    <s v="Número de personas"/>
    <s v="Departamento de Estadísticas e Información de la Salud (DEIS) - Ministerio de Salud"/>
    <s v="Población en Control del Programa de Salud Cardiovascular por Rango Etario en la Región de Maule, 2012-2018"/>
    <s v="La región del Maule, el año 2014 tuvo un peak en la población en Control del Programa de Salud Cardiovascular, siendo el rango etario mayoritario el &quot;65 y más&quot; con 250.041 pacientes."/>
    <s v="Gráfico de Evolución"/>
    <s v="Región de Maule,enfermedad,cardiovascular,corazón,población,personas,control,programa,edad,rango etario,regional,Agencia Información,Salud,Programa de Salud Cardiovascular,Programas de Salud"/>
    <s v="https://analytics.zoho.com/open-view/2395394000008463071?ZOHO_CRITERIA=%22Uni%C3%B3n%202.11-2.12%22.%22C%C3%B3digo%20Regi%C3%B3n%22%20%3D%207"/>
    <x v="7"/>
    <s v="#1774B550"/>
  </r>
  <r>
    <s v="1929"/>
    <n v="990"/>
    <s v="Agencia Información"/>
    <s v="Salud"/>
    <n v="8"/>
    <x v="45"/>
    <x v="15"/>
    <x v="1"/>
    <x v="8"/>
    <x v="1"/>
    <x v="32"/>
    <s v="Periodo 2012-2018"/>
    <s v="Número de personas"/>
    <s v="Departamento de Estadísticas e Información de la Salud (DEIS) - Ministerio de Salud"/>
    <s v="Población en Control del Programa de Salud Cardiovascular por Rango Etario en la Región del Biobío, 2012-2018"/>
    <s v="La región del Biobío, el año 2014 tuvo un peak en la población en Control del Programa de Salud Cardiovascular, siendo el rango etario mayoritario el &quot;65 y más&quot; con 374.875 pacientes."/>
    <s v="Gráfico de Evolución"/>
    <s v="Región del Biobío,enfermedad,cardiovascular,corazón,población,personas,control,programa,edad,rango etario,regional,Agencia Información,Salud,Programa de Salud Cardiovascular,Programas de Salud"/>
    <s v="https://analytics.zoho.com/open-view/2395394000008463071?ZOHO_CRITERIA=%22Uni%C3%B3n%202.11-2.12%22.%22C%C3%B3digo%20Regi%C3%B3n%22%20%3D%208"/>
    <x v="8"/>
    <s v="#1774B551"/>
  </r>
  <r>
    <s v="1930"/>
    <n v="990"/>
    <s v="Agencia Información"/>
    <s v="Salud"/>
    <n v="9"/>
    <x v="45"/>
    <x v="15"/>
    <x v="1"/>
    <x v="9"/>
    <x v="1"/>
    <x v="32"/>
    <s v="Periodo 2012-2018"/>
    <s v="Número de personas"/>
    <s v="Departamento de Estadísticas e Información de la Salud (DEIS) - Ministerio de Salud"/>
    <s v="Población en Control del Programa de Salud Cardiovascular por Rango Etario en la Región de La Araucanía, 2012-2018"/>
    <s v="La región de La Araucanía, el año 2014 tuvo un peak en la población en Control del Programa de Salud Cardiovascular, siendo el rango etario mayoritario el &quot;65 y más&quot; con 221.208 pacientes."/>
    <s v="Gráfico de Evolución"/>
    <s v="Región de La Araucaní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9"/>
    <x v="9"/>
    <s v="#1774B552"/>
  </r>
  <r>
    <s v="1931"/>
    <n v="990"/>
    <s v="Agencia Información"/>
    <s v="Salud"/>
    <n v="10"/>
    <x v="45"/>
    <x v="15"/>
    <x v="1"/>
    <x v="10"/>
    <x v="1"/>
    <x v="32"/>
    <s v="Periodo 2012-2018"/>
    <s v="Número de personas"/>
    <s v="Departamento de Estadísticas e Información de la Salud (DEIS) - Ministerio de Salud"/>
    <s v="Población en Control del Programa de Salud Cardiovascular por Rango Etario en la Región de Los Lagos, 2012-2018"/>
    <s v="La región de Los Lagos, el año 2014 tuvo un peak en la población en Control del Programa de Salud Cardiovascular, siendo el rango etario mayoritario el &quot;65 y más&quot; con 217.080 pacientes."/>
    <s v="Gráfico de Evolución"/>
    <s v="Región de Los Lago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0"/>
    <x v="10"/>
    <s v="#1774B553"/>
  </r>
  <r>
    <s v="1932"/>
    <n v="990"/>
    <s v="Agencia Información"/>
    <s v="Salud"/>
    <n v="11"/>
    <x v="45"/>
    <x v="15"/>
    <x v="1"/>
    <x v="11"/>
    <x v="1"/>
    <x v="32"/>
    <s v="Periodo 2012-2018"/>
    <s v="Número de personas"/>
    <s v="Departamento de Estadísticas e Información de la Salud (DEIS) - Ministerio de Salud"/>
    <s v="Población en Control del Programa de Salud Cardiovascular por Rango Etario en la Región de Aysén, 2012-2018"/>
    <s v="La región de Aysén, el año 2014 tuvo un peak en la población en Control del Programa de Salud Cardiovascular, siendo el rango etario mayoritario el &quot;65 y más&quot; con 14.767 pacientes."/>
    <s v="Gráfico de Evolución"/>
    <s v="Región de Aysén,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1"/>
    <x v="11"/>
    <s v="#1774B554"/>
  </r>
  <r>
    <s v="1933"/>
    <n v="990"/>
    <s v="Agencia Información"/>
    <s v="Salud"/>
    <n v="12"/>
    <x v="45"/>
    <x v="15"/>
    <x v="1"/>
    <x v="12"/>
    <x v="1"/>
    <x v="32"/>
    <s v="Periodo 2012-2018"/>
    <s v="Número de personas"/>
    <s v="Departamento de Estadísticas e Información de la Salud (DEIS) - Ministerio de Salud"/>
    <s v="Población en Control del Programa de Salud Cardiovascular por Rango Etario en la Región de Magallanes, 2012-2018"/>
    <s v="La región de Magallanes, el año 2014 tuvo un peak en la población en Control del Programa de Salud Cardiovascular, siendo el rango etario mayoritario el &quot;65 y más&quot; con 32.602 pacientes."/>
    <s v="Gráfico de Evolución"/>
    <s v="Región de Magallane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2"/>
    <x v="12"/>
    <s v="#1774B555"/>
  </r>
  <r>
    <s v="1934"/>
    <n v="990"/>
    <s v="Agencia Información"/>
    <s v="Salud"/>
    <n v="13"/>
    <x v="45"/>
    <x v="15"/>
    <x v="1"/>
    <x v="13"/>
    <x v="1"/>
    <x v="32"/>
    <s v="Periodo 2012-2018"/>
    <s v="Número de personas"/>
    <s v="Departamento de Estadísticas e Información de la Salud (DEIS) - Ministerio de Salud"/>
    <s v="Población en Control del Programa de Salud Cardiovascular por Rango Etario en la Región Metropolitana, 2012-2018"/>
    <s v="La región de Metropolitana, el año 2014 tuvo un peak en la población en Control del Programa de Salud Cardiovascular, siendo el rango etario mayoritario el &quot;65 y más&quot; con 1.598.239 pacientes."/>
    <s v="Gráfico de Evolución"/>
    <s v="Región Metropolitan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3"/>
    <x v="13"/>
    <s v="#1774B556"/>
  </r>
  <r>
    <s v="1935"/>
    <n v="990"/>
    <s v="Agencia Información"/>
    <s v="Salud"/>
    <n v="14"/>
    <x v="45"/>
    <x v="15"/>
    <x v="1"/>
    <x v="14"/>
    <x v="1"/>
    <x v="32"/>
    <s v="Periodo 2012-2018"/>
    <s v="Número de personas"/>
    <s v="Departamento de Estadísticas e Información de la Salud (DEIS) - Ministerio de Salud"/>
    <s v="Población en Control del Programa de Salud Cardiovascular por Rango Etario en la Región de Los Ríos, 2012-2018"/>
    <s v="La región de Los Ríos, el año 2014 tuvo un peak en la población en Control del Programa de Salud Cardiovascular, siendo el rango etario mayoritario el &quot;65 y más&quot; con 91.857 pacientes."/>
    <s v="Gráfico de Evolución"/>
    <s v="Región de Los Ríos,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4"/>
    <x v="14"/>
    <s v="#1774B557"/>
  </r>
  <r>
    <s v="1936"/>
    <n v="990"/>
    <s v="Agencia Información"/>
    <s v="Salud"/>
    <n v="15"/>
    <x v="45"/>
    <x v="15"/>
    <x v="1"/>
    <x v="15"/>
    <x v="1"/>
    <x v="32"/>
    <s v="Periodo 2012-2018"/>
    <s v="Número de personas"/>
    <s v="Departamento de Estadísticas e Información de la Salud (DEIS) - Ministerio de Salud"/>
    <s v="Población en Control del Programa de Salud Cardiovascular por Rango Etario en la Región de Arica y Parinacota, 2012-2018"/>
    <s v="La región de Arica y Parinacota, el año 2014 tuvo un peak en la población en Control del Programa de Salud Cardiovascular, siendo el rango etario mayoritario el &quot;65 y más&quot; con 34.024 pacientes."/>
    <s v="Gráfico de Evolución"/>
    <s v="Región de Arica y Parinacota,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5"/>
    <x v="15"/>
    <s v="#1774B558"/>
  </r>
  <r>
    <s v="1937"/>
    <n v="990"/>
    <s v="Agencia Información"/>
    <s v="Salud"/>
    <n v="16"/>
    <x v="45"/>
    <x v="15"/>
    <x v="1"/>
    <x v="16"/>
    <x v="1"/>
    <x v="32"/>
    <s v="Periodo 2012-2018"/>
    <s v="Número de personas"/>
    <s v="Departamento de Estadísticas e Información de la Salud (DEIS) - Ministerio de Salud"/>
    <s v="Población en Control del Programa de Salud Cardiovascular por Rango Etario en la Región de Ñuble, 2012-2018"/>
    <s v="La región de Ñuble, el año 2014 tuvo un peak en la población en Control del Programa de Salud Cardiovascular, siendo el rango etario mayoritario el &quot;65 y más&quot; con 141.454 pacientes."/>
    <s v="Gráfico de Evolución"/>
    <s v="Región de Ñuble,enfermedad,cardiovascular,corazón,población,personas,control,programa,edad,rango etario,regional,Agencia Información,Salud,Programa de Salud Cardiovascular,Programas de Salud"/>
    <s v="https://analytics.zoho.com/open-view/2395394000008463071?ZOHO_CRITERIA=%22Uni%C3%B3n%202.11-2.12%22.%22C%C3%B3digo%20Regi%C3%B3n%22%20%3D%2016"/>
    <x v="16"/>
    <s v="#1774B559"/>
  </r>
  <r>
    <s v="1938"/>
    <n v="990"/>
    <s v="Agencia Información"/>
    <s v="Medio Ambiente"/>
    <n v="2923"/>
    <x v="101"/>
    <x v="37"/>
    <x v="1"/>
    <x v="10"/>
    <x v="1"/>
    <x v="124"/>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17-18&amp;idGlaciar=2923"/>
    <x v="34"/>
    <s v="#FFFFFF"/>
  </r>
  <r>
    <s v="1939"/>
    <n v="990"/>
    <s v="Agencia Información"/>
    <s v="Medio Ambiente"/>
    <n v="2923"/>
    <x v="101"/>
    <x v="37"/>
    <x v="1"/>
    <x v="10"/>
    <x v="1"/>
    <x v="124"/>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18-19&amp;idGlaciar=2923"/>
    <x v="34"/>
    <s v="#FFFFFF"/>
  </r>
  <r>
    <s v="1940"/>
    <n v="990"/>
    <s v="Agencia Información"/>
    <s v="Medio Ambiente"/>
    <n v="2923"/>
    <x v="101"/>
    <x v="37"/>
    <x v="1"/>
    <x v="10"/>
    <x v="1"/>
    <x v="124"/>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19-20&amp;idGlaciar=2923"/>
    <x v="34"/>
    <s v="#FFFFFF"/>
  </r>
  <r>
    <s v="1941"/>
    <n v="990"/>
    <s v="Agencia Información"/>
    <s v="Medio Ambiente"/>
    <n v="2923"/>
    <x v="101"/>
    <x v="37"/>
    <x v="1"/>
    <x v="10"/>
    <x v="1"/>
    <x v="124"/>
    <s v="Años 2020-2021"/>
    <s v="hectáreas (ha)"/>
    <s v="DATA INTELLIGENCE con base en Procesamiento de Imágenes Satelitales SENTINEL"/>
    <s v="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seca (Ene-Abr),Glaciares"/>
    <s v="https://servidormapa.azurewebsites.net/gr10/Dinamica?q=Q1&amp;p=20-21&amp;idGlaciar=2923"/>
    <x v="34"/>
    <s v="#FFFFFF"/>
  </r>
  <r>
    <s v="1942"/>
    <n v="990"/>
    <s v="Agencia Información"/>
    <s v="Medio Ambiente"/>
    <n v="2923"/>
    <x v="102"/>
    <x v="37"/>
    <x v="1"/>
    <x v="10"/>
    <x v="1"/>
    <x v="124"/>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fria (May-Dic),Glaciares"/>
    <s v="https://servidormapa.azurewebsites.net/gr10/Dinamica?q=Q2&amp;p=17-18&amp;idGlaciar=2923"/>
    <x v="34"/>
    <s v="#FFFFFF"/>
  </r>
  <r>
    <s v="1943"/>
    <n v="990"/>
    <s v="Agencia Información"/>
    <s v="Medio Ambiente"/>
    <n v="2923"/>
    <x v="102"/>
    <x v="37"/>
    <x v="1"/>
    <x v="10"/>
    <x v="1"/>
    <x v="124"/>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fria (May-Dic),Glaciares"/>
    <s v="https://servidormapa.azurewebsites.net/gr10/Dinamica?q=Q2&amp;p=18-19&amp;idGlaciar=2923"/>
    <x v="34"/>
    <s v="#FFFFFF"/>
  </r>
  <r>
    <s v="1944"/>
    <n v="990"/>
    <s v="Agencia Información"/>
    <s v="Medio Ambiente"/>
    <n v="2923"/>
    <x v="102"/>
    <x v="37"/>
    <x v="1"/>
    <x v="10"/>
    <x v="1"/>
    <x v="124"/>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Interactivo"/>
    <s v="Región de Los Lagos,glaciar,nieve,SENTINEL,satelital,derretimiento,Cochamó,Hualaihué,dinámica,Agencia Información,Medio Ambiente,Dinámica de Cambio de Glaciares en temporada fria (May-Dic),Glaciares"/>
    <s v="https://servidormapa.azurewebsites.net/gr10/Dinamica?q=Q2&amp;p=19-20&amp;idGlaciar=2923"/>
    <x v="34"/>
    <s v="#FFFFFF"/>
  </r>
  <r>
    <s v="1945"/>
    <n v="990"/>
    <s v="Agencia Información"/>
    <s v="Medio Ambiente"/>
    <n v="2923"/>
    <x v="103"/>
    <x v="37"/>
    <x v="1"/>
    <x v="10"/>
    <x v="20"/>
    <x v="124"/>
    <s v="Años 2017-2021"/>
    <s v="hectáreas (ha)"/>
    <s v="DATA INTELLIGENCE con base en Procesamiento de Imágenes Satelitales SENTINEL"/>
    <s v="Detalle de la Dinámica de Cambio en el Complejo Glaciar COCHAMÓ-HUALAIHUÉ || Costeras entre Rio Puelo y Punta Trentelhue-/Rio Puelo Chico/Costeras Entre Punta Tentelhue y Rio Negro (Incluido)"/>
    <s v="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Región de Los Lagos,glaciar,nieve,SENTINEL,satelital,derretimiento,Cochamó,Hualaihué,dinámica,Agencia Información,Medio Ambiente,Dinámica de Cambio de Glaciares,Glaciares"/>
    <s v="https://analytics.zoho.com/open-view/2395394000008984479?ZOHO_CRITERIA=%22Glaciares%2010%20Final%22.%22idZonGlac%22%3D2923"/>
    <x v="34"/>
    <s v="#FFFFFF"/>
  </r>
  <r>
    <s v="1946"/>
    <n v="990"/>
    <s v="Agencia Información"/>
    <s v="Medio Ambiente"/>
    <n v="2923"/>
    <x v="101"/>
    <x v="37"/>
    <x v="1"/>
    <x v="10"/>
    <x v="1"/>
    <x v="124"/>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17_18_Dinamica_R10/2923.pdf"/>
    <x v="34"/>
    <s v="#FFFFFF"/>
  </r>
  <r>
    <s v="1947"/>
    <n v="990"/>
    <s v="Agencia Información"/>
    <s v="Medio Ambiente"/>
    <n v="2923"/>
    <x v="101"/>
    <x v="37"/>
    <x v="1"/>
    <x v="10"/>
    <x v="1"/>
    <x v="124"/>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18_19_Dinamica_R10/2923.pdf"/>
    <x v="34"/>
    <s v="#FFFFFF"/>
  </r>
  <r>
    <s v="1948"/>
    <n v="990"/>
    <s v="Agencia Información"/>
    <s v="Medio Ambiente"/>
    <n v="2923"/>
    <x v="101"/>
    <x v="37"/>
    <x v="1"/>
    <x v="10"/>
    <x v="1"/>
    <x v="124"/>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19_20_Dinamica_R10/2923.pdf"/>
    <x v="34"/>
    <s v="#FFFFFF"/>
  </r>
  <r>
    <s v="1949"/>
    <n v="990"/>
    <s v="Agencia Información"/>
    <s v="Medio Ambiente"/>
    <n v="2923"/>
    <x v="101"/>
    <x v="37"/>
    <x v="1"/>
    <x v="10"/>
    <x v="1"/>
    <x v="124"/>
    <s v="Años 2020-2021"/>
    <s v="hectáreas (ha)"/>
    <s v="DATA INTELLIGENCE con base en Procesamiento de Imágenes Satelitales SENTINEL"/>
    <s v="Mapa descargable (pdf) de la 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seca (Ene-Abr),Glaciares"/>
    <s v="https://sud-austral.github.io/Pdf2/Layout_Q1_20_21_Dinamica_R10/2923.pdf"/>
    <x v="34"/>
    <s v="#FFFFFF"/>
  </r>
  <r>
    <s v="1950"/>
    <n v="990"/>
    <s v="Agencia Información"/>
    <s v="Medio Ambiente"/>
    <n v="2923"/>
    <x v="102"/>
    <x v="37"/>
    <x v="1"/>
    <x v="10"/>
    <x v="1"/>
    <x v="124"/>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fria (May-Dic),Glaciares"/>
    <s v="https://sud-austral.github.io/Pdf2/Layout_Q2_17_18_Dinamica_R10/2923.pdf"/>
    <x v="34"/>
    <s v="#FFFFFF"/>
  </r>
  <r>
    <s v="1951"/>
    <n v="990"/>
    <s v="Agencia Información"/>
    <s v="Medio Ambiente"/>
    <n v="2923"/>
    <x v="102"/>
    <x v="37"/>
    <x v="1"/>
    <x v="10"/>
    <x v="1"/>
    <x v="124"/>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fria (May-Dic),Glaciares"/>
    <s v="https://sud-austral.github.io/Pdf2/Layout_Q2_18_19_Dinamica_R10/2923.pdf"/>
    <x v="34"/>
    <s v="#FFFFFF"/>
  </r>
  <r>
    <s v="1952"/>
    <n v="990"/>
    <s v="Agencia Información"/>
    <s v="Medio Ambiente"/>
    <n v="2923"/>
    <x v="102"/>
    <x v="37"/>
    <x v="1"/>
    <x v="10"/>
    <x v="1"/>
    <x v="124"/>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Descargable (pdf)"/>
    <s v="Región de Los Lagos,glaciar,nieve,SENTINEL,satelital,derretimiento,Cochamó,Hualaihué,dinámica,Agencia Información,Medio Ambiente,Dinámica de Cambio de Glaciares en temporada fria (May-Dic),Glaciares"/>
    <s v="https://sud-austral.github.io/Pdf2/Layout_Q2_19_20_Dinamica_R10/2923.pdf"/>
    <x v="34"/>
    <s v="#FFFFFF"/>
  </r>
  <r>
    <s v="1953"/>
    <n v="990"/>
    <s v="Agencia Información"/>
    <s v="Medio Ambiente"/>
    <n v="2923"/>
    <x v="104"/>
    <x v="37"/>
    <x v="1"/>
    <x v="10"/>
    <x v="1"/>
    <x v="124"/>
    <s v="Años 2017-2021"/>
    <s v="hectáreas (ha)"/>
    <s v="DATA INTELLIGENCE con base en Procesamiento de Imágenes Satelitales SENTINEL"/>
    <s v="Superficie Máxima y Mínima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Interactivo"/>
    <s v="Región de Los Lagos,glaciar,nieve,SENTINEL,satelital,derretimiento,Cochamó,Hualaihué,dinámica,Agencia Información,Medio Ambiente,Superficie de Glaciares,Glaciares"/>
    <s v="https://servidormapa.azurewebsites.net/gr10/maxmin?idGlaciar=2923"/>
    <x v="34"/>
    <s v="#FFFFFF"/>
  </r>
  <r>
    <s v="1954"/>
    <n v="990"/>
    <s v="Agencia Información"/>
    <s v="Medio Ambiente"/>
    <n v="2923"/>
    <x v="104"/>
    <x v="37"/>
    <x v="1"/>
    <x v="10"/>
    <x v="20"/>
    <x v="124"/>
    <s v="Años 2017-2021"/>
    <s v="hectáreas (ha)"/>
    <s v="DATA INTELLIGENCE con base en Procesamiento de Imágenes Satelitales SENTINEL"/>
    <s v="Detalle de la Superficie Máxima y Mínima en el Complejo Glaciar COCHAMÓ-HUALAIHUÉ || Costeras entre Rio Puelo y Punta Trentelhue-/Rio Puelo Chico/Costeras Entre Punta Tentelhue y Rio Negro (Incluido)"/>
    <s v="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
    <s v="Dashboard"/>
    <s v="Región de Los Lagos,glaciar,nieve,SENTINEL,satelital,derretimiento,Cochamó,Hualaihué,dinámica,Agencia Información,Medio Ambiente,Superficie de Glaciares,Glaciares"/>
    <s v="https://analytics.zoho.com/open-view/2395394000008979469?ZOHO_CRITERIA=%22Glaciares%2010%20Final%22.%22idZonGlac%22%3D2923"/>
    <x v="34"/>
    <s v="#FFFFFF"/>
  </r>
  <r>
    <s v="1955"/>
    <n v="990"/>
    <s v="Agencia Información"/>
    <s v="Medio Ambiente"/>
    <n v="2923"/>
    <x v="104"/>
    <x v="37"/>
    <x v="1"/>
    <x v="10"/>
    <x v="1"/>
    <x v="124"/>
    <s v="Años 2017-2021"/>
    <s v="hectáreas (ha)"/>
    <s v="DATA INTELLIGENCE con base en Procesamiento de Imágenes Satelitales SENTINEL"/>
    <s v="Mapa descargable (pdf) con las Superficies Máximas y Mínimas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Descargable (pdf)"/>
    <s v="Región de Los Lagos,glaciar,nieve,SENTINEL,satelital,derretimiento,Cochamó,Hualaihué,dinámica,Agencia Información,Medio Ambiente,Superficie de Glaciares,Glaciares"/>
    <s v="https://sud-austral.github.io/Pdf2/Layout_Acumulaci%C3%B3n_Max_Min_Q1_Q2_R10/2923.pdf"/>
    <x v="34"/>
    <s v="#FFFFFF"/>
  </r>
  <r>
    <s v="1956"/>
    <n v="990"/>
    <s v="Agencia Información"/>
    <s v="Medio Ambiente"/>
    <n v="3074"/>
    <x v="101"/>
    <x v="37"/>
    <x v="1"/>
    <x v="10"/>
    <x v="1"/>
    <x v="125"/>
    <s v="Años 2017-2018"/>
    <s v="hectáreas (ha)"/>
    <s v="DATA INTELLIGENCE con base en Procesamiento de Imágenes Satelitales SENTINEL"/>
    <s v="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17-18&amp;idGlaciar=3074"/>
    <x v="34"/>
    <s v="#FFFFFF"/>
  </r>
  <r>
    <s v="1957"/>
    <n v="990"/>
    <s v="Agencia Información"/>
    <s v="Medio Ambiente"/>
    <n v="3074"/>
    <x v="101"/>
    <x v="37"/>
    <x v="1"/>
    <x v="10"/>
    <x v="1"/>
    <x v="125"/>
    <s v="Años 2018-2019"/>
    <s v="hectáreas (ha)"/>
    <s v="DATA INTELLIGENCE con base en Procesamiento de Imágenes Satelitales SENTINEL"/>
    <s v="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18-19&amp;idGlaciar=3074"/>
    <x v="34"/>
    <s v="#FFFFFF"/>
  </r>
  <r>
    <s v="1958"/>
    <n v="990"/>
    <s v="Agencia Información"/>
    <s v="Medio Ambiente"/>
    <n v="3074"/>
    <x v="101"/>
    <x v="37"/>
    <x v="1"/>
    <x v="10"/>
    <x v="1"/>
    <x v="125"/>
    <s v=" Años 2019-2020"/>
    <s v="hectáreas (ha)"/>
    <s v="DATA INTELLIGENCE con base en Procesamiento de Imágenes Satelitales SENTINEL"/>
    <s v="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19-20&amp;idGlaciar=3074"/>
    <x v="34"/>
    <s v="#FFFFFF"/>
  </r>
  <r>
    <s v="1959"/>
    <n v="990"/>
    <s v="Agencia Información"/>
    <s v="Medio Ambiente"/>
    <n v="3074"/>
    <x v="101"/>
    <x v="37"/>
    <x v="1"/>
    <x v="10"/>
    <x v="1"/>
    <x v="125"/>
    <s v="Años 2020-2021"/>
    <s v="hectáreas (ha)"/>
    <s v="DATA INTELLIGENCE con base en Procesamiento de Imágenes Satelitales SENTINEL"/>
    <s v="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seca (Ene-Abr),Glaciares"/>
    <s v="https://servidormapa.azurewebsites.net/gr10/Dinamica?q=Q1&amp;p=20-21&amp;idGlaciar=3074"/>
    <x v="34"/>
    <s v="#FFFFFF"/>
  </r>
  <r>
    <s v="1960"/>
    <n v="990"/>
    <s v="Agencia Información"/>
    <s v="Medio Ambiente"/>
    <n v="3074"/>
    <x v="102"/>
    <x v="37"/>
    <x v="1"/>
    <x v="10"/>
    <x v="1"/>
    <x v="125"/>
    <s v="Años 2017-2018"/>
    <s v="hectáreas (ha)"/>
    <s v="DATA INTELLIGENCE con base en Procesamiento de Imágenes Satelitales SENTINEL"/>
    <s v="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fria (May-Dic),Glaciares"/>
    <s v="https://servidormapa.azurewebsites.net/gr10/Dinamica?q=Q2&amp;p=17-18&amp;idGlaciar=3074"/>
    <x v="34"/>
    <s v="#FFFFFF"/>
  </r>
  <r>
    <s v="1961"/>
    <n v="990"/>
    <s v="Agencia Información"/>
    <s v="Medio Ambiente"/>
    <n v="3074"/>
    <x v="102"/>
    <x v="37"/>
    <x v="1"/>
    <x v="10"/>
    <x v="1"/>
    <x v="125"/>
    <s v="Años 2018-2019"/>
    <s v="hectáreas (ha)"/>
    <s v="DATA INTELLIGENCE con base en Procesamiento de Imágenes Satelitales SENTINEL"/>
    <s v="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fria (May-Dic),Glaciares"/>
    <s v="https://servidormapa.azurewebsites.net/gr10/Dinamica?q=Q2&amp;p=18-19&amp;idGlaciar=3074"/>
    <x v="34"/>
    <s v="#FFFFFF"/>
  </r>
  <r>
    <s v="1962"/>
    <n v="990"/>
    <s v="Agencia Información"/>
    <s v="Medio Ambiente"/>
    <n v="3074"/>
    <x v="102"/>
    <x v="37"/>
    <x v="1"/>
    <x v="10"/>
    <x v="1"/>
    <x v="125"/>
    <s v=" Años 2019-2020"/>
    <s v="hectáreas (ha)"/>
    <s v="DATA INTELLIGENCE con base en Procesamiento de Imágenes Satelitales SENTINEL"/>
    <s v="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Interactivo"/>
    <s v="Región de Los Lagos,glaciar,Chile,nieve,Los Lagos,SENTINEL,satelital,derretimiento,volcán,Calbuco,Puerto Varas,Puerto Montt,dinámica,mapa,Agencia Información,Medio Ambiente,Dinámica de Cambio de Glaciares en temporada fria (May-Dic),Glaciares"/>
    <s v="https://servidormapa.azurewebsites.net/gr10/Dinamica?q=Q2&amp;p=19-20&amp;idGlaciar=3074"/>
    <x v="34"/>
    <s v="#FFFFFF"/>
  </r>
  <r>
    <s v="1963"/>
    <n v="990"/>
    <s v="Agencia Información"/>
    <s v="Medio Ambiente"/>
    <n v="3074"/>
    <x v="103"/>
    <x v="37"/>
    <x v="1"/>
    <x v="10"/>
    <x v="20"/>
    <x v="125"/>
    <s v="Años 2017-2021"/>
    <s v="hectáreas (ha)"/>
    <s v="DATA INTELLIGENCE con base en Procesamiento de Imágenes Satelitales SENTINEL"/>
    <s v="Detalle de la Dinámica de Cambio en el Complejo Glaciar Volcán Calbuco"/>
    <s v="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volcán"/>
    <s v="https://analytics.zoho.com/open-view/2395394000008984479?ZOHO_CRITERIA=%22Glaciares%2010%20Final%22.%22idZonGlac%22%3D3074"/>
    <x v="34"/>
    <s v="#FFFFFF"/>
  </r>
  <r>
    <s v="1964"/>
    <n v="990"/>
    <s v="Agencia Información"/>
    <s v="Medio Ambiente"/>
    <n v="3074"/>
    <x v="101"/>
    <x v="37"/>
    <x v="1"/>
    <x v="10"/>
    <x v="1"/>
    <x v="125"/>
    <s v="Años 2017-2018"/>
    <s v="hectáreas (ha)"/>
    <s v="DATA INTELLIGENCE con base en Procesamiento de Imágenes Satelitales SENTINEL"/>
    <s v="Mapa descargable (pdf) de la 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17_18_Dinamica_R10/3074.pdf"/>
    <x v="34"/>
    <s v="#FFFFFF"/>
  </r>
  <r>
    <s v="1965"/>
    <n v="990"/>
    <s v="Agencia Información"/>
    <s v="Medio Ambiente"/>
    <n v="3074"/>
    <x v="101"/>
    <x v="37"/>
    <x v="1"/>
    <x v="10"/>
    <x v="1"/>
    <x v="125"/>
    <s v="Años 2018-2019"/>
    <s v="hectáreas (ha)"/>
    <s v="DATA INTELLIGENCE con base en Procesamiento de Imágenes Satelitales SENTINEL"/>
    <s v="Mapa descargable (pdf) de la 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18_19_Dinamica_R10/3074.pdf"/>
    <x v="34"/>
    <s v="#FFFFFF"/>
  </r>
  <r>
    <s v="1966"/>
    <n v="990"/>
    <s v="Agencia Información"/>
    <s v="Medio Ambiente"/>
    <n v="3074"/>
    <x v="101"/>
    <x v="37"/>
    <x v="1"/>
    <x v="10"/>
    <x v="1"/>
    <x v="125"/>
    <s v=" Años 2019-2020"/>
    <s v="hectáreas (ha)"/>
    <s v="DATA INTELLIGENCE con base en Procesamiento de Imágenes Satelitales SENTINEL"/>
    <s v="Mapa descargable (pdf) de la 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19_20_Dinamica_R10/3074.pdf"/>
    <x v="34"/>
    <s v="#FFFFFF"/>
  </r>
  <r>
    <s v="1967"/>
    <n v="990"/>
    <s v="Agencia Información"/>
    <s v="Medio Ambiente"/>
    <n v="3074"/>
    <x v="101"/>
    <x v="37"/>
    <x v="1"/>
    <x v="10"/>
    <x v="1"/>
    <x v="125"/>
    <s v="Años 2020-2021"/>
    <s v="hectáreas (ha)"/>
    <s v="DATA INTELLIGENCE con base en Procesamiento de Imágenes Satelitales SENTINEL"/>
    <s v="Mapa descargable (pdf) de la 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seca (Ene-Abr),Glaciares"/>
    <s v="https://sud-austral.github.io/Pdf2/Layout_Q1_20_21_Dinamica_R10/3074.pdf"/>
    <x v="34"/>
    <s v="#FFFFFF"/>
  </r>
  <r>
    <s v="1968"/>
    <n v="990"/>
    <s v="Agencia Información"/>
    <s v="Medio Ambiente"/>
    <n v="3074"/>
    <x v="102"/>
    <x v="37"/>
    <x v="1"/>
    <x v="10"/>
    <x v="1"/>
    <x v="125"/>
    <s v="Años 2017-2018"/>
    <s v="hectáreas (ha)"/>
    <s v="DATA INTELLIGENCE con base en Procesamiento de Imágenes Satelitales SENTINEL"/>
    <s v="Mapa descargable (pdf) de la 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fria (May-Dic),Glaciares"/>
    <s v="https://sud-austral.github.io/Pdf2/Layout_Q2_17_18_Dinamica_R10/3074.pdf"/>
    <x v="34"/>
    <s v="#FFFFFF"/>
  </r>
  <r>
    <s v="1969"/>
    <n v="990"/>
    <s v="Agencia Información"/>
    <s v="Medio Ambiente"/>
    <n v="3074"/>
    <x v="102"/>
    <x v="37"/>
    <x v="1"/>
    <x v="10"/>
    <x v="1"/>
    <x v="125"/>
    <s v="Años 2018-2019"/>
    <s v="hectáreas (ha)"/>
    <s v="DATA INTELLIGENCE con base en Procesamiento de Imágenes Satelitales SENTINEL"/>
    <s v="Mapa descargable (pdf) de la 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fria (May-Dic),Glaciares"/>
    <s v="https://sud-austral.github.io/Pdf2/Layout_Q2_18_19_Dinamica_R10/3074.pdf"/>
    <x v="34"/>
    <s v="#FFFFFF"/>
  </r>
  <r>
    <s v="1970"/>
    <n v="990"/>
    <s v="Agencia Información"/>
    <s v="Medio Ambiente"/>
    <n v="3074"/>
    <x v="102"/>
    <x v="37"/>
    <x v="1"/>
    <x v="10"/>
    <x v="1"/>
    <x v="125"/>
    <s v=" Años 2019-2020"/>
    <s v="hectáreas (ha)"/>
    <s v="DATA INTELLIGENCE con base en Procesamiento de Imágenes Satelitales SENTINEL"/>
    <s v="Mapa descargable (pdf) de la 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Descargable (pdf)"/>
    <s v="Región de Los Lagos,glaciar,Chile,nieve,Los Lagos,SENTINEL,satelital,derretimiento,volcán,Calbuco,Puerto Varas,Puerto Montt,dinámica,mapa,Agencia Información,Medio Ambiente,Dinámica de Cambio de Glaciares en temporada fria (May-Dic),Glaciares"/>
    <s v="https://sud-austral.github.io/Pdf2/Layout_Q2_19_20_Dinamica_R10/3074.pdf"/>
    <x v="34"/>
    <s v="#FFFFFF"/>
  </r>
  <r>
    <s v="1971"/>
    <n v="990"/>
    <s v="Agencia Información"/>
    <s v="Medio Ambiente"/>
    <n v="3074"/>
    <x v="104"/>
    <x v="37"/>
    <x v="1"/>
    <x v="10"/>
    <x v="1"/>
    <x v="125"/>
    <s v="Años 2017-2021"/>
    <s v="hectáreas (ha)"/>
    <s v="DATA INTELLIGENCE con base en Procesamiento de Imágenes Satelitales SENTINEL"/>
    <s v="Superficie Máxima y Mínima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Interactivo"/>
    <s v="Región de Los Lagos,glaciar,Chile,nieve,Los Lagos,SENTINEL,satelital,derretimiento,volcán,Calbuco,Puerto Varas,Puerto Montt,dinámica,mapa,Agencia Información,Medio Ambiente,Superficie de Glaciares,Glaciares"/>
    <s v="https://servidormapa.azurewebsites.net/gr10/maxmin?idGlaciar=3074"/>
    <x v="34"/>
    <s v="#FFFFFF"/>
  </r>
  <r>
    <s v="1972"/>
    <n v="990"/>
    <s v="Agencia Información"/>
    <s v="Medio Ambiente"/>
    <n v="3074"/>
    <x v="104"/>
    <x v="37"/>
    <x v="1"/>
    <x v="10"/>
    <x v="20"/>
    <x v="125"/>
    <s v="Años 2017-2021"/>
    <s v="hectáreas (ha)"/>
    <s v="DATA INTELLIGENCE con base en Procesamiento de Imágenes Satelitales SENTINEL"/>
    <s v="Detalle de la Superficie Máxima y Mínima en el Complejo Glaciar Volcán Calbuco"/>
    <s v="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
    <s v="Dashboard"/>
    <s v="Región de Los Lagos,glaciar,Chile,nieve,Los Lagos,SENTINEL,satelital,derretimiento,volcán,Calbuco,Puerto Varas,Puerto Montt,dinámica,mapa,Agencia Información,Medio Ambiente,Superficie de Glaciares,Glaciares"/>
    <s v="https://analytics.zoho.com/open-view/2395394000008979469?ZOHO_CRITERIA=%22Glaciares%2010%20Final%22.%22idZonGlac%22%3D3074"/>
    <x v="34"/>
    <s v="#FFFFFF"/>
  </r>
  <r>
    <s v="1973"/>
    <n v="990"/>
    <s v="Agencia Información"/>
    <s v="Medio Ambiente"/>
    <n v="3074"/>
    <x v="104"/>
    <x v="37"/>
    <x v="1"/>
    <x v="10"/>
    <x v="1"/>
    <x v="125"/>
    <s v="Años 2017-2021"/>
    <s v="hectáreas (ha)"/>
    <s v="DATA INTELLIGENCE con base en Procesamiento de Imágenes Satelitales SENTINEL"/>
    <s v="Mapa descargable (pdf) con las Superficies Máximas y Mínimas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Descargable (pdf)"/>
    <s v="Región de Los Lagos,glaciar,Chile,nieve,Los Lagos,SENTINEL,satelital,derretimiento,volcán,Calbuco,Puerto Varas,Puerto Montt,dinámica,mapa,Agencia Información,Medio Ambiente,Superficie de Glaciares,Glaciares"/>
    <s v="https://sud-austral.github.io/Pdf2/Layout_Acumulaci%C3%B3n_Max_Min_Q1_Q2_R10/3074.pdf"/>
    <x v="34"/>
    <s v="#FFFFFF"/>
  </r>
  <r>
    <s v="1974"/>
    <n v="990"/>
    <s v="Agencia Información"/>
    <s v="Medio Ambiente"/>
    <n v="3104"/>
    <x v="101"/>
    <x v="37"/>
    <x v="1"/>
    <x v="10"/>
    <x v="1"/>
    <x v="126"/>
    <s v="Años 2017-2018"/>
    <s v="hectáreas (ha)"/>
    <s v="DATA INTELLIGENCE con base en Procesamiento de Imágenes Satelitales SENTINEL"/>
    <s v="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17-18&amp;idGlaciar=3104"/>
    <x v="34"/>
    <s v="#FFFFFF"/>
  </r>
  <r>
    <s v="1975"/>
    <n v="990"/>
    <s v="Agencia Información"/>
    <s v="Medio Ambiente"/>
    <n v="3104"/>
    <x v="101"/>
    <x v="37"/>
    <x v="1"/>
    <x v="10"/>
    <x v="1"/>
    <x v="126"/>
    <s v="Años 2018-2019"/>
    <s v="hectáreas (ha)"/>
    <s v="DATA INTELLIGENCE con base en Procesamiento de Imágenes Satelitales SENTINEL"/>
    <s v="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18-19&amp;idGlaciar=3104"/>
    <x v="34"/>
    <s v="#FFFFFF"/>
  </r>
  <r>
    <s v="1976"/>
    <n v="990"/>
    <s v="Agencia Información"/>
    <s v="Medio Ambiente"/>
    <n v="3104"/>
    <x v="101"/>
    <x v="37"/>
    <x v="1"/>
    <x v="10"/>
    <x v="1"/>
    <x v="126"/>
    <s v=" Años 2019-2020"/>
    <s v="hectáreas (ha)"/>
    <s v="DATA INTELLIGENCE con base en Procesamiento de Imágenes Satelitales SENTINEL"/>
    <s v="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19-20&amp;idGlaciar=3104"/>
    <x v="34"/>
    <s v="#FFFFFF"/>
  </r>
  <r>
    <s v="1977"/>
    <n v="990"/>
    <s v="Agencia Información"/>
    <s v="Medio Ambiente"/>
    <n v="3104"/>
    <x v="101"/>
    <x v="37"/>
    <x v="1"/>
    <x v="10"/>
    <x v="1"/>
    <x v="126"/>
    <s v="Años 2020-2021"/>
    <s v="hectáreas (ha)"/>
    <s v="DATA INTELLIGENCE con base en Procesamiento de Imágenes Satelitales SENTINEL"/>
    <s v="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seca (Ene-Abr),Glaciares"/>
    <s v="https://servidormapa.azurewebsites.net/gr10/Dinamica?q=Q1&amp;p=20-21&amp;idGlaciar=3104"/>
    <x v="34"/>
    <s v="#FFFFFF"/>
  </r>
  <r>
    <s v="1978"/>
    <n v="990"/>
    <s v="Agencia Información"/>
    <s v="Medio Ambiente"/>
    <n v="3104"/>
    <x v="102"/>
    <x v="37"/>
    <x v="1"/>
    <x v="10"/>
    <x v="1"/>
    <x v="126"/>
    <s v="Años 2017-2018"/>
    <s v="hectáreas (ha)"/>
    <s v="DATA INTELLIGENCE con base en Procesamiento de Imágenes Satelitales SENTINEL"/>
    <s v="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fria (May-Dic),Glaciares"/>
    <s v="https://servidormapa.azurewebsites.net/gr10/Dinamica?q=Q2&amp;p=17-18&amp;idGlaciar=3104"/>
    <x v="34"/>
    <s v="#FFFFFF"/>
  </r>
  <r>
    <s v="1979"/>
    <n v="990"/>
    <s v="Agencia Información"/>
    <s v="Medio Ambiente"/>
    <n v="3104"/>
    <x v="102"/>
    <x v="37"/>
    <x v="1"/>
    <x v="10"/>
    <x v="1"/>
    <x v="126"/>
    <s v="Años 2018-2019"/>
    <s v="hectáreas (ha)"/>
    <s v="DATA INTELLIGENCE con base en Procesamiento de Imágenes Satelitales SENTINEL"/>
    <s v="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fria (May-Dic),Glaciares"/>
    <s v="https://servidormapa.azurewebsites.net/gr10/Dinamica?q=Q2&amp;p=18-19&amp;idGlaciar=3104"/>
    <x v="34"/>
    <s v="#FFFFFF"/>
  </r>
  <r>
    <s v="1980"/>
    <n v="990"/>
    <s v="Agencia Información"/>
    <s v="Medio Ambiente"/>
    <n v="3104"/>
    <x v="102"/>
    <x v="37"/>
    <x v="1"/>
    <x v="10"/>
    <x v="1"/>
    <x v="126"/>
    <s v=" Años 2019-2020"/>
    <s v="hectáreas (ha)"/>
    <s v="DATA INTELLIGENCE con base en Procesamiento de Imágenes Satelitales SENTINEL"/>
    <s v="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Dinámica de Cambio de Glaciares en temporada fria (May-Dic),Glaciares"/>
    <s v="https://servidormapa.azurewebsites.net/gr10/Dinamica?q=Q2&amp;p=19-20&amp;idGlaciar=3104"/>
    <x v="34"/>
    <s v="#FFFFFF"/>
  </r>
  <r>
    <s v="1981"/>
    <n v="990"/>
    <s v="Agencia Información"/>
    <s v="Medio Ambiente"/>
    <n v="3104"/>
    <x v="103"/>
    <x v="37"/>
    <x v="1"/>
    <x v="10"/>
    <x v="20"/>
    <x v="126"/>
    <s v="Años 2017-2021"/>
    <s v="hectáreas (ha)"/>
    <s v="DATA INTELLIGENCE con base en Procesamiento de Imágenes Satelitales SENTINEL"/>
    <s v="Detalle de la Dinámica de Cambio en el Complejo Glaciar Volcán Osorno"/>
    <s v="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volcán"/>
    <s v="https://analytics.zoho.com/open-view/2395394000008984479?ZOHO_CRITERIA=%22Glaciares%2010%20Final%22.%22idZonGlac%22%3D3104"/>
    <x v="34"/>
    <s v="#FFFFFF"/>
  </r>
  <r>
    <s v="1982"/>
    <n v="990"/>
    <s v="Agencia Información"/>
    <s v="Medio Ambiente"/>
    <n v="3104"/>
    <x v="101"/>
    <x v="37"/>
    <x v="1"/>
    <x v="10"/>
    <x v="1"/>
    <x v="126"/>
    <s v="Años 2017-2018"/>
    <s v="hectáreas (ha)"/>
    <s v="DATA INTELLIGENCE con base en Procesamiento de Imágenes Satelitales SENTINEL"/>
    <s v="Mapa descargable (pdf) de la 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17_18_Dinamica_R10/3104.pdf"/>
    <x v="34"/>
    <s v="#FFFFFF"/>
  </r>
  <r>
    <s v="1983"/>
    <n v="990"/>
    <s v="Agencia Información"/>
    <s v="Medio Ambiente"/>
    <n v="3104"/>
    <x v="101"/>
    <x v="37"/>
    <x v="1"/>
    <x v="10"/>
    <x v="1"/>
    <x v="126"/>
    <s v="Años 2018-2019"/>
    <s v="hectáreas (ha)"/>
    <s v="DATA INTELLIGENCE con base en Procesamiento de Imágenes Satelitales SENTINEL"/>
    <s v="Mapa descargable (pdf) de la 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18_19_Dinamica_R10/3104.pdf"/>
    <x v="34"/>
    <s v="#FFFFFF"/>
  </r>
  <r>
    <s v="1984"/>
    <n v="990"/>
    <s v="Agencia Información"/>
    <s v="Medio Ambiente"/>
    <n v="3104"/>
    <x v="101"/>
    <x v="37"/>
    <x v="1"/>
    <x v="10"/>
    <x v="1"/>
    <x v="126"/>
    <s v=" Años 2019-2020"/>
    <s v="hectáreas (ha)"/>
    <s v="DATA INTELLIGENCE con base en Procesamiento de Imágenes Satelitales SENTINEL"/>
    <s v="Mapa descargable (pdf) de la 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19_20_Dinamica_R10/3104.pdf"/>
    <x v="34"/>
    <s v="#FFFFFF"/>
  </r>
  <r>
    <s v="1985"/>
    <n v="990"/>
    <s v="Agencia Información"/>
    <s v="Medio Ambiente"/>
    <n v="3104"/>
    <x v="101"/>
    <x v="37"/>
    <x v="1"/>
    <x v="10"/>
    <x v="1"/>
    <x v="126"/>
    <s v="Años 2020-2021"/>
    <s v="hectáreas (ha)"/>
    <s v="DATA INTELLIGENCE con base en Procesamiento de Imágenes Satelitales SENTINEL"/>
    <s v="Mapa descargable (pdf) de la 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seca (Ene-Abr),Glaciares"/>
    <s v="https://sud-austral.github.io/Pdf2/Layout_Q1_20_21_Dinamica_R10/3104.pdf"/>
    <x v="34"/>
    <s v="#FFFFFF"/>
  </r>
  <r>
    <s v="1986"/>
    <n v="990"/>
    <s v="Agencia Información"/>
    <s v="Medio Ambiente"/>
    <n v="3104"/>
    <x v="102"/>
    <x v="37"/>
    <x v="1"/>
    <x v="10"/>
    <x v="1"/>
    <x v="126"/>
    <s v="Años 2017-2018"/>
    <s v="hectáreas (ha)"/>
    <s v="DATA INTELLIGENCE con base en Procesamiento de Imágenes Satelitales SENTINEL"/>
    <s v="Mapa descargable (pdf) de la 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fria (May-Dic),Glaciares"/>
    <s v="https://sud-austral.github.io/Pdf2/Layout_Q2_17_18_Dinamica_R10/3104.pdf"/>
    <x v="34"/>
    <s v="#FFFFFF"/>
  </r>
  <r>
    <s v="1987"/>
    <n v="990"/>
    <s v="Agencia Información"/>
    <s v="Medio Ambiente"/>
    <n v="3104"/>
    <x v="102"/>
    <x v="37"/>
    <x v="1"/>
    <x v="10"/>
    <x v="1"/>
    <x v="126"/>
    <s v="Años 2018-2019"/>
    <s v="hectáreas (ha)"/>
    <s v="DATA INTELLIGENCE con base en Procesamiento de Imágenes Satelitales SENTINEL"/>
    <s v="Mapa descargable (pdf) de la 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fria (May-Dic),Glaciares"/>
    <s v="https://sud-austral.github.io/Pdf2/Layout_Q2_18_19_Dinamica_R10/3104.pdf"/>
    <x v="34"/>
    <s v="#FFFFFF"/>
  </r>
  <r>
    <s v="1988"/>
    <n v="990"/>
    <s v="Agencia Información"/>
    <s v="Medio Ambiente"/>
    <n v="3104"/>
    <x v="102"/>
    <x v="37"/>
    <x v="1"/>
    <x v="10"/>
    <x v="1"/>
    <x v="126"/>
    <s v=" Años 2019-2020"/>
    <s v="hectáreas (ha)"/>
    <s v="DATA INTELLIGENCE con base en Procesamiento de Imágenes Satelitales SENTINEL"/>
    <s v="Mapa descargable (pdf) de la 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Dinámica de Cambio de Glaciares en temporada fria (May-Dic),Glaciares"/>
    <s v="https://sud-austral.github.io/Pdf2/Layout_Q2_19_20_Dinamica_R10/3104.pdf"/>
    <x v="34"/>
    <s v="#FFFFFF"/>
  </r>
  <r>
    <s v="1989"/>
    <n v="990"/>
    <s v="Agencia Información"/>
    <s v="Medio Ambiente"/>
    <n v="3104"/>
    <x v="104"/>
    <x v="37"/>
    <x v="1"/>
    <x v="10"/>
    <x v="1"/>
    <x v="126"/>
    <s v="Años 2017-2021"/>
    <s v="hectáreas (ha)"/>
    <s v="DATA INTELLIGENCE con base en Procesamiento de Imágenes Satelitales SENTINEL"/>
    <s v="Superficie Máxima y Mínima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Interactivo"/>
    <s v="Región de Los Lagos,glaciar,Chile,nieve,SENTINEL,satelital,derretimiento,volcán,Osorno,Puerto Varas,Puerto Octay,dinámica,mapa,Agencia Información,Medio Ambiente,Superficie de Glaciares,Glaciares"/>
    <s v="https://servidormapa.azurewebsites.net/gr10/maxmin?idGlaciar=3104"/>
    <x v="34"/>
    <s v="#FFFFFF"/>
  </r>
  <r>
    <s v="1990"/>
    <n v="990"/>
    <s v="Agencia Información"/>
    <s v="Medio Ambiente"/>
    <n v="3104"/>
    <x v="104"/>
    <x v="37"/>
    <x v="1"/>
    <x v="10"/>
    <x v="20"/>
    <x v="126"/>
    <s v="Años 2017-2021"/>
    <s v="hectáreas (ha)"/>
    <s v="DATA INTELLIGENCE con base en Procesamiento de Imágenes Satelitales SENTINEL"/>
    <s v="Detalle de la Superficie Máxima y Mínima en el Complejo Glaciar Volcán Osorno"/>
    <s v="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
    <s v="Dashboard"/>
    <s v="Región de Los Lagos,glaciar,Chile,nieve,SENTINEL,satelital,derretimiento,volcán,Osorno,Puerto Varas,Puerto Octay,dinámica,mapa,Agencia Información,Medio Ambiente,Superficie de Glaciares,Glaciares"/>
    <s v="https://analytics.zoho.com/open-view/2395394000008979469?ZOHO_CRITERIA=%22Glaciares%2010%20Final%22.%22idZonGlac%22%3D3104"/>
    <x v="34"/>
    <s v="#FFFFFF"/>
  </r>
  <r>
    <s v="1991"/>
    <n v="990"/>
    <s v="Agencia Información"/>
    <s v="Medio Ambiente"/>
    <n v="3104"/>
    <x v="104"/>
    <x v="37"/>
    <x v="1"/>
    <x v="10"/>
    <x v="1"/>
    <x v="126"/>
    <s v="Años 2017-2021"/>
    <s v="hectáreas (ha)"/>
    <s v="DATA INTELLIGENCE con base en Procesamiento de Imágenes Satelitales SENTINEL"/>
    <s v="Mapa descargable (pdf) con las Superficies Máximas y Mínimas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Descargable (pdf)"/>
    <s v="Región de Los Lagos,glaciar,Chile,nieve,SENTINEL,satelital,derretimiento,volcán,Osorno,Puerto Varas,Puerto Octay,dinámica,mapa,Agencia Información,Medio Ambiente,Superficie de Glaciares,Glaciares"/>
    <s v="https://sud-austral.github.io/Pdf2/Layout_Acumulaci%C3%B3n_Max_Min_Q1_Q2_R10/3104.pdf"/>
    <x v="34"/>
    <s v="#FFFFF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04027-766E-4B37-A9E8-E2CD49860816}" name="TablaDinámica1" cacheId="3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E230" firstHeaderRow="1" firstDataRow="1" firstDataCol="4"/>
  <pivotFields count="27">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4">
        <item x="0"/>
        <item m="1"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174">
        <item m="1" x="137"/>
        <item m="1" x="170"/>
        <item m="1" x="124"/>
        <item x="5"/>
        <item m="1" x="148"/>
        <item m="1" x="129"/>
        <item m="1" x="113"/>
        <item m="1" x="161"/>
        <item m="1" x="126"/>
        <item m="1" x="138"/>
        <item x="10"/>
        <item m="1" x="164"/>
        <item m="1" x="163"/>
        <item m="1" x="117"/>
        <item x="13"/>
        <item m="1" x="159"/>
        <item m="1" x="144"/>
        <item m="1" x="118"/>
        <item m="1" x="146"/>
        <item m="1" x="152"/>
        <item m="1" x="111"/>
        <item m="1" x="143"/>
        <item x="19"/>
        <item x="48"/>
        <item m="1" x="153"/>
        <item m="1" x="114"/>
        <item m="1" x="110"/>
        <item m="1" x="119"/>
        <item m="1" x="155"/>
        <item m="1" x="171"/>
        <item x="0"/>
        <item x="3"/>
        <item m="1" x="157"/>
        <item m="1" x="139"/>
        <item x="24"/>
        <item x="25"/>
        <item x="26"/>
        <item m="1" x="115"/>
        <item m="1" x="112"/>
        <item m="1" x="142"/>
        <item x="27"/>
        <item x="28"/>
        <item x="29"/>
        <item x="30"/>
        <item m="1" x="158"/>
        <item x="32"/>
        <item x="33"/>
        <item m="1" x="131"/>
        <item m="1" x="160"/>
        <item m="1" x="121"/>
        <item m="1" x="109"/>
        <item m="1" x="154"/>
        <item m="1" x="133"/>
        <item m="1" x="141"/>
        <item m="1" x="125"/>
        <item x="38"/>
        <item x="39"/>
        <item m="1" x="130"/>
        <item m="1" x="135"/>
        <item m="1" x="127"/>
        <item m="1" x="166"/>
        <item m="1" x="151"/>
        <item m="1" x="145"/>
        <item x="42"/>
        <item x="43"/>
        <item x="44"/>
        <item x="45"/>
        <item m="1" x="168"/>
        <item m="1" x="169"/>
        <item m="1" x="108"/>
        <item m="1" x="132"/>
        <item m="1" x="149"/>
        <item x="49"/>
        <item x="50"/>
        <item x="51"/>
        <item x="52"/>
        <item x="53"/>
        <item m="1" x="120"/>
        <item m="1" x="147"/>
        <item m="1" x="172"/>
        <item x="2"/>
        <item x="4"/>
        <item m="1" x="106"/>
        <item x="7"/>
        <item x="8"/>
        <item x="12"/>
        <item m="1" x="156"/>
        <item x="15"/>
        <item x="16"/>
        <item x="17"/>
        <item x="18"/>
        <item x="20"/>
        <item x="21"/>
        <item x="59"/>
        <item x="22"/>
        <item x="23"/>
        <item x="34"/>
        <item x="36"/>
        <item x="37"/>
        <item x="40"/>
        <item x="11"/>
        <item m="1" x="116"/>
        <item x="58"/>
        <item x="60"/>
        <item x="61"/>
        <item m="1" x="140"/>
        <item m="1" x="123"/>
        <item x="64"/>
        <item x="65"/>
        <item x="66"/>
        <item x="67"/>
        <item x="68"/>
        <item m="1" x="150"/>
        <item m="1" x="136"/>
        <item m="1" x="107"/>
        <item x="57"/>
        <item x="62"/>
        <item x="63"/>
        <item x="69"/>
        <item x="70"/>
        <item x="71"/>
        <item x="72"/>
        <item x="73"/>
        <item x="75"/>
        <item x="76"/>
        <item x="77"/>
        <item x="78"/>
        <item x="79"/>
        <item x="80"/>
        <item x="81"/>
        <item x="82"/>
        <item x="83"/>
        <item x="84"/>
        <item x="1"/>
        <item x="35"/>
        <item x="85"/>
        <item x="86"/>
        <item m="1" x="134"/>
        <item m="1" x="165"/>
        <item x="89"/>
        <item x="90"/>
        <item x="91"/>
        <item x="92"/>
        <item m="1" x="173"/>
        <item m="1" x="128"/>
        <item m="1" x="162"/>
        <item x="97"/>
        <item x="98"/>
        <item m="1" x="122"/>
        <item x="100"/>
        <item x="101"/>
        <item x="14"/>
        <item x="88"/>
        <item x="93"/>
        <item x="94"/>
        <item x="95"/>
        <item x="41"/>
        <item x="87"/>
        <item x="31"/>
        <item x="46"/>
        <item x="47"/>
        <item x="54"/>
        <item x="55"/>
        <item x="56"/>
        <item m="1" x="167"/>
        <item x="74"/>
        <item x="99"/>
        <item x="6"/>
        <item x="96"/>
        <item x="9"/>
        <item x="102"/>
        <item x="104"/>
        <item x="103"/>
        <item x="105"/>
      </items>
      <extLst>
        <ext xmlns:x14="http://schemas.microsoft.com/office/spreadsheetml/2009/9/main" uri="{2946ED86-A175-432a-8AC1-64E0C546D7DE}">
          <x14:pivotField fillDownLabels="1"/>
        </ext>
      </extLst>
    </pivotField>
    <pivotField axis="axisRow" compact="0" outline="0" subtotalTop="0" showAll="0">
      <items count="98">
        <item m="1" x="83"/>
        <item m="1" x="90"/>
        <item x="4"/>
        <item m="1" x="48"/>
        <item m="1" x="50"/>
        <item m="1" x="63"/>
        <item m="1" x="74"/>
        <item m="1" x="38"/>
        <item m="1" x="51"/>
        <item m="1" x="58"/>
        <item m="1" x="80"/>
        <item m="1" x="75"/>
        <item m="1" x="88"/>
        <item m="1" x="52"/>
        <item m="1" x="64"/>
        <item m="1" x="94"/>
        <item m="1" x="42"/>
        <item m="1" x="86"/>
        <item m="1" x="70"/>
        <item m="1" x="93"/>
        <item m="1" x="71"/>
        <item m="1" x="62"/>
        <item m="1" x="41"/>
        <item m="1" x="53"/>
        <item m="1" x="46"/>
        <item m="1" x="68"/>
        <item m="1" x="73"/>
        <item x="16"/>
        <item m="1" x="82"/>
        <item m="1" x="76"/>
        <item m="1" x="72"/>
        <item m="1" x="67"/>
        <item m="1" x="45"/>
        <item m="1" x="87"/>
        <item m="1" x="69"/>
        <item m="1" x="44"/>
        <item m="1" x="56"/>
        <item m="1" x="59"/>
        <item m="1" x="91"/>
        <item m="1" x="47"/>
        <item x="12"/>
        <item m="1" x="49"/>
        <item m="1" x="43"/>
        <item m="1" x="81"/>
        <item x="23"/>
        <item x="0"/>
        <item m="1" x="95"/>
        <item x="2"/>
        <item m="1" x="61"/>
        <item x="5"/>
        <item x="10"/>
        <item x="11"/>
        <item x="13"/>
        <item x="37"/>
        <item m="1" x="66"/>
        <item x="18"/>
        <item x="21"/>
        <item x="20"/>
        <item x="30"/>
        <item m="1" x="89"/>
        <item x="7"/>
        <item x="8"/>
        <item x="9"/>
        <item x="14"/>
        <item x="15"/>
        <item x="22"/>
        <item x="17"/>
        <item m="1" x="54"/>
        <item x="25"/>
        <item m="1" x="39"/>
        <item m="1" x="57"/>
        <item x="26"/>
        <item x="24"/>
        <item m="1" x="85"/>
        <item m="1" x="40"/>
        <item x="19"/>
        <item x="27"/>
        <item x="28"/>
        <item x="29"/>
        <item m="1" x="65"/>
        <item x="31"/>
        <item x="32"/>
        <item x="3"/>
        <item m="1" x="84"/>
        <item m="1" x="77"/>
        <item m="1" x="55"/>
        <item m="1" x="92"/>
        <item m="1" x="60"/>
        <item m="1" x="96"/>
        <item m="1" x="78"/>
        <item m="1" x="79"/>
        <item x="35"/>
        <item x="36"/>
        <item x="1"/>
        <item x="33"/>
        <item x="34"/>
        <item x="6"/>
        <item t="default"/>
      </items>
      <extLst>
        <ext xmlns:x14="http://schemas.microsoft.com/office/spreadsheetml/2009/9/main" uri="{2946ED86-A175-432a-8AC1-64E0C546D7DE}">
          <x14:pivotField fillDownLabels="1"/>
        </ext>
      </extLst>
    </pivotField>
    <pivotField axis="axisRow" compact="0" outline="0" subtotalTop="0" showAll="0">
      <items count="4">
        <item x="0"/>
        <item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2"/>
    <field x="6"/>
    <field x="5"/>
    <field x="7"/>
  </rowFields>
  <rowItems count="227">
    <i>
      <x/>
      <x v="2"/>
      <x v="56"/>
      <x/>
    </i>
    <i r="3">
      <x v="1"/>
    </i>
    <i r="2">
      <x v="167"/>
      <x/>
    </i>
    <i r="3">
      <x v="1"/>
    </i>
    <i t="default" r="1">
      <x v="2"/>
    </i>
    <i r="1">
      <x v="27"/>
      <x v="36"/>
      <x/>
    </i>
    <i r="3">
      <x v="1"/>
    </i>
    <i t="default" r="1">
      <x v="27"/>
    </i>
    <i r="1">
      <x v="40"/>
      <x v="23"/>
      <x/>
    </i>
    <i r="2">
      <x v="45"/>
      <x/>
    </i>
    <i r="2">
      <x v="46"/>
      <x/>
    </i>
    <i r="3">
      <x v="1"/>
    </i>
    <i r="2">
      <x v="63"/>
      <x/>
    </i>
    <i r="3">
      <x v="1"/>
    </i>
    <i r="2">
      <x v="64"/>
      <x/>
    </i>
    <i r="3">
      <x v="1"/>
    </i>
    <i r="2">
      <x v="65"/>
      <x/>
    </i>
    <i r="3">
      <x v="1"/>
    </i>
    <i r="2">
      <x v="74"/>
      <x/>
    </i>
    <i r="3">
      <x v="1"/>
    </i>
    <i r="2">
      <x v="75"/>
      <x/>
    </i>
    <i r="3">
      <x v="1"/>
    </i>
    <i r="2">
      <x v="91"/>
      <x/>
    </i>
    <i r="3">
      <x v="1"/>
    </i>
    <i t="default" r="1">
      <x v="40"/>
    </i>
    <i r="1">
      <x v="44"/>
      <x v="72"/>
      <x/>
    </i>
    <i r="3">
      <x v="1"/>
    </i>
    <i r="2">
      <x v="73"/>
      <x/>
    </i>
    <i r="3">
      <x v="1"/>
    </i>
    <i t="default" r="1">
      <x v="44"/>
    </i>
    <i r="1">
      <x v="45"/>
      <x v="30"/>
      <x/>
    </i>
    <i r="3">
      <x v="1"/>
    </i>
    <i r="2">
      <x v="31"/>
      <x/>
    </i>
    <i r="2">
      <x v="81"/>
      <x/>
    </i>
    <i r="3">
      <x v="1"/>
    </i>
    <i t="default" r="1">
      <x v="45"/>
    </i>
    <i r="1">
      <x v="47"/>
      <x v="80"/>
      <x/>
    </i>
    <i r="3">
      <x v="1"/>
    </i>
    <i r="2">
      <x v="84"/>
      <x/>
    </i>
    <i r="3">
      <x v="1"/>
    </i>
    <i r="2">
      <x v="87"/>
      <x/>
    </i>
    <i r="3">
      <x v="1"/>
    </i>
    <i r="2">
      <x v="92"/>
      <x/>
    </i>
    <i r="2">
      <x v="93"/>
      <x/>
    </i>
    <i r="3">
      <x v="1"/>
    </i>
    <i r="2">
      <x v="97"/>
      <x/>
    </i>
    <i r="3">
      <x v="1"/>
    </i>
    <i t="default" r="1">
      <x v="47"/>
    </i>
    <i r="1">
      <x v="49"/>
      <x v="83"/>
      <x/>
    </i>
    <i r="3">
      <x v="1"/>
    </i>
    <i r="2">
      <x v="85"/>
      <x/>
    </i>
    <i r="3">
      <x v="1"/>
    </i>
    <i r="2">
      <x v="88"/>
      <x/>
    </i>
    <i r="3">
      <x v="1"/>
    </i>
    <i r="2">
      <x v="89"/>
      <x/>
    </i>
    <i r="3">
      <x v="1"/>
    </i>
    <i r="2">
      <x v="95"/>
      <x/>
    </i>
    <i t="default" r="1">
      <x v="49"/>
    </i>
    <i r="1">
      <x v="50"/>
      <x v="151"/>
      <x/>
    </i>
    <i r="3">
      <x v="1"/>
    </i>
    <i r="2">
      <x v="153"/>
      <x/>
    </i>
    <i r="3">
      <x v="1"/>
    </i>
    <i r="2">
      <x v="154"/>
      <x/>
    </i>
    <i r="3">
      <x v="1"/>
    </i>
    <i r="2">
      <x v="155"/>
      <x/>
    </i>
    <i r="3">
      <x v="1"/>
    </i>
    <i t="default" r="1">
      <x v="50"/>
    </i>
    <i r="1">
      <x v="51"/>
      <x v="90"/>
      <x/>
    </i>
    <i t="default" r="1">
      <x v="51"/>
    </i>
    <i r="1">
      <x v="52"/>
      <x v="94"/>
      <x/>
    </i>
    <i r="3">
      <x v="1"/>
    </i>
    <i r="2">
      <x v="107"/>
      <x/>
    </i>
    <i r="3">
      <x v="1"/>
    </i>
    <i r="2">
      <x v="116"/>
      <x/>
    </i>
    <i r="2">
      <x v="117"/>
      <x/>
    </i>
    <i t="default" r="1">
      <x v="52"/>
    </i>
    <i r="1">
      <x v="53"/>
      <x v="170"/>
      <x v="1"/>
    </i>
    <i r="2">
      <x v="171"/>
      <x v="1"/>
    </i>
    <i r="2">
      <x v="172"/>
      <x v="1"/>
    </i>
    <i r="2">
      <x v="173"/>
      <x v="1"/>
    </i>
    <i t="default" r="1">
      <x v="53"/>
    </i>
    <i r="1">
      <x v="55"/>
      <x v="41"/>
      <x/>
    </i>
    <i r="3">
      <x v="1"/>
    </i>
    <i r="2">
      <x v="42"/>
      <x/>
    </i>
    <i r="3">
      <x v="1"/>
    </i>
    <i t="default" r="1">
      <x v="55"/>
    </i>
    <i r="1">
      <x v="56"/>
      <x v="98"/>
      <x/>
    </i>
    <i r="2">
      <x v="152"/>
      <x/>
    </i>
    <i r="3">
      <x v="1"/>
    </i>
    <i t="default" r="1">
      <x v="56"/>
    </i>
    <i r="1">
      <x v="57"/>
      <x v="158"/>
      <x/>
    </i>
    <i r="2">
      <x v="159"/>
      <x/>
    </i>
    <i r="2">
      <x v="160"/>
      <x/>
    </i>
    <i t="default" r="1">
      <x v="57"/>
    </i>
    <i r="1">
      <x v="58"/>
      <x v="123"/>
      <x/>
    </i>
    <i r="2">
      <x v="124"/>
      <x/>
    </i>
    <i r="2">
      <x v="125"/>
      <x/>
    </i>
    <i t="default" r="1">
      <x v="58"/>
    </i>
    <i r="1">
      <x v="60"/>
      <x v="10"/>
      <x/>
    </i>
    <i r="2">
      <x v="55"/>
      <x/>
    </i>
    <i t="default" r="1">
      <x v="60"/>
    </i>
    <i r="1">
      <x v="61"/>
      <x v="100"/>
      <x/>
    </i>
    <i r="3">
      <x v="1"/>
    </i>
    <i t="default" r="1">
      <x v="61"/>
    </i>
    <i r="1">
      <x v="62"/>
      <x v="14"/>
      <x/>
    </i>
    <i r="3">
      <x v="1"/>
    </i>
    <i r="2">
      <x v="22"/>
      <x/>
    </i>
    <i r="3">
      <x v="1"/>
    </i>
    <i r="2">
      <x v="76"/>
      <x/>
    </i>
    <i r="3">
      <x v="1"/>
    </i>
    <i r="2">
      <x v="161"/>
      <x/>
    </i>
    <i r="3">
      <x v="1"/>
    </i>
    <i r="2">
      <x v="162"/>
      <x/>
    </i>
    <i r="3">
      <x v="1"/>
    </i>
    <i r="2">
      <x v="163"/>
      <x/>
    </i>
    <i r="3">
      <x v="1"/>
    </i>
    <i t="default" r="1">
      <x v="62"/>
    </i>
    <i r="1">
      <x v="63"/>
      <x v="34"/>
      <x/>
    </i>
    <i r="3">
      <x v="1"/>
    </i>
    <i t="default" r="1">
      <x v="63"/>
    </i>
    <i r="1">
      <x v="64"/>
      <x v="35"/>
      <x/>
    </i>
    <i r="3">
      <x v="1"/>
    </i>
    <i r="2">
      <x v="66"/>
      <x/>
    </i>
    <i r="3">
      <x v="1"/>
    </i>
    <i t="default" r="1">
      <x v="64"/>
    </i>
    <i r="1">
      <x v="65"/>
      <x v="140"/>
      <x/>
    </i>
    <i r="3">
      <x v="1"/>
    </i>
    <i r="2">
      <x v="141"/>
      <x/>
    </i>
    <i r="3">
      <x v="1"/>
    </i>
    <i r="2">
      <x v="142"/>
      <x/>
    </i>
    <i r="3">
      <x v="1"/>
    </i>
    <i r="2">
      <x v="156"/>
      <x/>
    </i>
    <i t="default" r="1">
      <x v="65"/>
    </i>
    <i r="1">
      <x v="66"/>
      <x v="40"/>
      <x/>
    </i>
    <i r="3">
      <x v="1"/>
    </i>
    <i r="2">
      <x v="122"/>
      <x/>
    </i>
    <i r="3">
      <x v="1"/>
    </i>
    <i r="2">
      <x v="165"/>
      <x/>
    </i>
    <i r="3">
      <x v="1"/>
    </i>
    <i t="default" r="1">
      <x v="66"/>
    </i>
    <i r="1">
      <x v="68"/>
      <x v="102"/>
      <x/>
    </i>
    <i r="3">
      <x v="1"/>
    </i>
    <i r="2">
      <x v="108"/>
      <x/>
    </i>
    <i r="3">
      <x v="1"/>
    </i>
    <i t="default" r="1">
      <x v="68"/>
    </i>
    <i r="1">
      <x v="71"/>
      <x v="83"/>
      <x/>
    </i>
    <i r="3">
      <x v="1"/>
    </i>
    <i r="2">
      <x v="95"/>
      <x/>
    </i>
    <i r="3">
      <x v="1"/>
    </i>
    <i r="2">
      <x v="109"/>
      <x/>
    </i>
    <i r="3">
      <x v="1"/>
    </i>
    <i r="2">
      <x v="132"/>
      <x/>
    </i>
    <i t="default" r="1">
      <x v="71"/>
    </i>
    <i r="1">
      <x v="72"/>
      <x v="110"/>
      <x/>
    </i>
    <i r="3">
      <x v="1"/>
    </i>
    <i r="2">
      <x v="111"/>
      <x/>
    </i>
    <i r="3">
      <x v="1"/>
    </i>
    <i r="2">
      <x v="115"/>
      <x/>
    </i>
    <i r="3">
      <x v="1"/>
    </i>
    <i r="2">
      <x v="118"/>
      <x/>
    </i>
    <i r="3">
      <x v="1"/>
    </i>
    <i r="2">
      <x v="149"/>
      <x/>
    </i>
    <i r="3">
      <x v="1"/>
    </i>
    <i r="2">
      <x v="150"/>
      <x/>
    </i>
    <i r="3">
      <x v="1"/>
    </i>
    <i t="default" r="1">
      <x v="72"/>
    </i>
    <i r="1">
      <x v="75"/>
      <x v="43"/>
      <x/>
    </i>
    <i r="3">
      <x v="1"/>
    </i>
    <i r="2">
      <x v="103"/>
      <x/>
    </i>
    <i r="3">
      <x v="1"/>
    </i>
    <i r="2">
      <x v="104"/>
      <x/>
    </i>
    <i r="3">
      <x v="1"/>
    </i>
    <i r="2">
      <x v="157"/>
      <x/>
    </i>
    <i r="3">
      <x v="1"/>
    </i>
    <i t="default" r="1">
      <x v="75"/>
    </i>
    <i r="1">
      <x v="76"/>
      <x v="119"/>
      <x/>
    </i>
    <i r="3">
      <x v="1"/>
    </i>
    <i t="default" r="1">
      <x v="76"/>
    </i>
    <i r="1">
      <x v="77"/>
      <x v="120"/>
      <x/>
    </i>
    <i r="3">
      <x v="1"/>
    </i>
    <i t="default" r="1">
      <x v="77"/>
    </i>
    <i r="1">
      <x v="78"/>
      <x v="121"/>
      <x/>
    </i>
    <i r="3">
      <x v="1"/>
    </i>
    <i t="default" r="1">
      <x v="78"/>
    </i>
    <i r="1">
      <x v="80"/>
      <x v="126"/>
      <x/>
    </i>
    <i r="3">
      <x v="1"/>
    </i>
    <i t="default" r="1">
      <x v="80"/>
    </i>
    <i r="1">
      <x v="81"/>
      <x v="127"/>
      <x/>
    </i>
    <i r="3">
      <x v="1"/>
    </i>
    <i r="2">
      <x v="128"/>
      <x/>
    </i>
    <i r="3">
      <x v="1"/>
    </i>
    <i t="default" r="1">
      <x v="81"/>
    </i>
    <i r="1">
      <x v="82"/>
      <x v="3"/>
      <x/>
    </i>
    <i r="3">
      <x v="1"/>
    </i>
    <i t="default" r="1">
      <x v="82"/>
    </i>
    <i r="1">
      <x v="91"/>
      <x v="146"/>
      <x/>
    </i>
    <i r="3">
      <x v="1"/>
    </i>
    <i r="2">
      <x v="147"/>
      <x/>
    </i>
    <i r="3">
      <x v="1"/>
    </i>
    <i r="2">
      <x v="168"/>
      <x/>
    </i>
    <i r="3">
      <x v="1"/>
    </i>
    <i t="default" r="1">
      <x v="91"/>
    </i>
    <i r="1">
      <x v="92"/>
      <x v="166"/>
      <x/>
    </i>
    <i t="default" r="1">
      <x v="92"/>
    </i>
    <i r="1">
      <x v="93"/>
      <x v="96"/>
      <x/>
    </i>
    <i r="3">
      <x v="1"/>
    </i>
    <i r="2">
      <x v="99"/>
      <x/>
    </i>
    <i r="3">
      <x v="1"/>
    </i>
    <i r="2">
      <x v="133"/>
      <x/>
    </i>
    <i r="3">
      <x v="1"/>
    </i>
    <i r="2">
      <x v="134"/>
      <x/>
    </i>
    <i r="3">
      <x v="1"/>
    </i>
    <i t="default" r="1">
      <x v="93"/>
    </i>
    <i r="1">
      <x v="94"/>
      <x v="129"/>
      <x/>
    </i>
    <i r="2">
      <x v="130"/>
      <x/>
    </i>
    <i r="2">
      <x v="131"/>
      <x/>
    </i>
    <i t="default" r="1">
      <x v="94"/>
    </i>
    <i r="1">
      <x v="95"/>
      <x v="135"/>
      <x/>
    </i>
    <i r="3">
      <x v="1"/>
    </i>
    <i r="2">
      <x v="136"/>
      <x/>
    </i>
    <i r="3">
      <x v="1"/>
    </i>
    <i r="2">
      <x v="139"/>
      <x/>
    </i>
    <i r="3">
      <x v="1"/>
    </i>
    <i t="default" r="1">
      <x v="95"/>
    </i>
    <i r="1">
      <x v="96"/>
      <x v="169"/>
      <x/>
    </i>
    <i t="default" r="1">
      <x v="96"/>
    </i>
    <i t="default">
      <x/>
    </i>
  </rowItems>
  <colItems count="1">
    <i/>
  </colItems>
  <dataFields count="1">
    <dataField name="Cuenta de id_grafico" fld="21"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9BD45-183F-44F3-A19D-87E484DAF5C0}" name="TablaDinámica7" cacheId="3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10:H2001" firstHeaderRow="1" firstDataRow="1" firstDataCol="8"/>
  <pivotFields count="27">
    <pivotField axis="axisRow" compact="0" outline="0" showAll="0" defaultSubtotal="0">
      <items count="8000">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17"/>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23"/>
        <item x="1107"/>
        <item x="1108"/>
        <item x="1109"/>
        <item x="1110"/>
        <item x="1111"/>
        <item x="1112"/>
        <item x="1113"/>
        <item x="1114"/>
        <item x="1115"/>
        <item x="1116"/>
        <item x="1117"/>
        <item x="1118"/>
        <item x="1119"/>
        <item x="1120"/>
        <item x="1121"/>
        <item x="1122"/>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m="1" x="1996"/>
        <item x="1106"/>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m="1" x="2148"/>
        <item m="1" x="2459"/>
        <item m="1" x="6932"/>
        <item m="1" x="7238"/>
        <item m="1" x="7503"/>
        <item m="1" x="7688"/>
        <item m="1" x="7853"/>
        <item m="1" x="7974"/>
        <item m="1" x="7984"/>
        <item m="1" x="7994"/>
        <item m="1" x="2156"/>
        <item m="1" x="2466"/>
        <item m="1" x="6938"/>
        <item m="1" x="7246"/>
        <item m="1" x="7511"/>
        <item m="1" x="7696"/>
        <item m="1" x="7861"/>
        <item m="1" x="7975"/>
        <item m="1" x="7985"/>
        <item m="1" x="7995"/>
        <item m="1" x="2164"/>
        <item m="1" x="2473"/>
        <item m="1" x="6945"/>
        <item m="1" x="7255"/>
        <item m="1" x="7519"/>
        <item m="1" x="7704"/>
        <item m="1" x="7869"/>
        <item m="1" x="7976"/>
        <item m="1" x="7986"/>
        <item m="1" x="7996"/>
        <item m="1" x="2172"/>
        <item m="1" x="2480"/>
        <item m="1" x="6957"/>
        <item m="1" x="7268"/>
        <item m="1" x="7529"/>
        <item m="1" x="7712"/>
        <item m="1" x="7877"/>
        <item m="1" x="7977"/>
        <item m="1" x="7987"/>
        <item m="1" x="7997"/>
        <item m="1" x="2183"/>
        <item m="1" x="2491"/>
        <item m="1" x="6972"/>
        <item m="1" x="7283"/>
        <item m="1" x="7539"/>
        <item m="1" x="7720"/>
        <item m="1" x="7885"/>
        <item m="1" x="7978"/>
        <item m="1" x="7988"/>
        <item m="1" x="7998"/>
        <item m="1" x="2198"/>
        <item m="1" x="2506"/>
        <item m="1" x="6985"/>
        <item m="1" x="7295"/>
        <item m="1" x="7546"/>
        <item m="1" x="7725"/>
        <item m="1" x="7890"/>
        <item m="1" x="7979"/>
        <item m="1" x="7989"/>
        <item m="1" x="7999"/>
        <item m="1" x="2210"/>
        <item m="1" x="2518"/>
        <item m="1" x="2052"/>
        <item m="1" x="2350"/>
        <item m="1" x="2637"/>
        <item m="1" x="2833"/>
        <item m="1" x="2993"/>
        <item m="1" x="3153"/>
        <item m="1" x="3313"/>
        <item m="1" x="3473"/>
        <item m="1" x="3689"/>
        <item m="1" x="3986"/>
        <item m="1" x="2062"/>
        <item m="1" x="2362"/>
        <item m="1" x="2647"/>
        <item m="1" x="2841"/>
        <item m="1" x="3001"/>
        <item m="1" x="3161"/>
        <item m="1" x="3321"/>
        <item m="1" x="3481"/>
        <item m="1" x="3700"/>
        <item m="1" x="3998"/>
        <item m="1" x="2068"/>
        <item m="1" x="2370"/>
        <item m="1" x="2655"/>
        <item m="1" x="2849"/>
        <item m="1" x="3009"/>
        <item m="1" x="3169"/>
        <item m="1" x="3329"/>
        <item m="1" x="3489"/>
        <item m="1" x="3709"/>
        <item m="1" x="4006"/>
        <item m="1" x="2074"/>
        <item m="1" x="2378"/>
        <item m="1" x="2663"/>
        <item m="1" x="2857"/>
        <item m="1" x="3017"/>
        <item m="1" x="3177"/>
        <item m="1" x="3337"/>
        <item m="1" x="3497"/>
        <item m="1" x="3717"/>
        <item m="1" x="4013"/>
        <item m="1" x="2080"/>
        <item m="1" x="2386"/>
        <item m="1" x="2671"/>
        <item m="1" x="2865"/>
        <item m="1" x="3025"/>
        <item m="1" x="3185"/>
        <item m="1" x="3345"/>
        <item m="1" x="3505"/>
        <item m="1" x="3725"/>
        <item m="1" x="4020"/>
        <item m="1" x="2086"/>
        <item m="1" x="2394"/>
        <item m="1" x="2679"/>
        <item m="1" x="2873"/>
        <item m="1" x="3033"/>
        <item m="1" x="3193"/>
        <item m="1" x="3353"/>
        <item m="1" x="3513"/>
        <item m="1" x="3733"/>
        <item m="1" x="4027"/>
        <item m="1" x="2092"/>
        <item m="1" x="2402"/>
        <item m="1" x="2687"/>
        <item m="1" x="2881"/>
        <item m="1" x="3041"/>
        <item m="1" x="3201"/>
        <item m="1" x="3361"/>
        <item m="1" x="3521"/>
        <item m="1" x="3741"/>
        <item m="1" x="4034"/>
        <item m="1" x="2102"/>
        <item m="1" x="2414"/>
        <item m="1" x="2697"/>
        <item m="1" x="2889"/>
        <item m="1" x="3049"/>
        <item m="1" x="3209"/>
        <item m="1" x="3369"/>
        <item m="1" x="3529"/>
        <item m="1" x="3751"/>
        <item m="1" x="4044"/>
        <item m="1" x="2117"/>
        <item m="1" x="2430"/>
        <item m="1" x="2708"/>
        <item m="1" x="2897"/>
        <item m="1" x="3057"/>
        <item m="1" x="3217"/>
        <item m="1" x="3377"/>
        <item m="1" x="3539"/>
        <item m="1" x="3765"/>
        <item m="1" x="4059"/>
        <item m="1" x="2130"/>
        <item m="1" x="2443"/>
        <item m="1" x="2716"/>
        <item m="1" x="2902"/>
        <item m="1" x="3062"/>
        <item m="1" x="3222"/>
        <item m="1" x="3382"/>
        <item m="1" x="3546"/>
        <item m="1" x="3777"/>
        <item m="1" x="4072"/>
        <item m="1" x="3643"/>
        <item m="1" x="3917"/>
        <item m="1" x="4199"/>
        <item m="1" x="4391"/>
        <item m="1" x="4551"/>
        <item m="1" x="4711"/>
        <item m="1" x="4871"/>
        <item m="1" x="5031"/>
        <item m="1" x="5247"/>
        <item m="1" x="5545"/>
        <item m="1" x="3651"/>
        <item m="1" x="3928"/>
        <item m="1" x="4208"/>
        <item m="1" x="4398"/>
        <item m="1" x="4558"/>
        <item m="1" x="4718"/>
        <item m="1" x="4878"/>
        <item m="1" x="5038"/>
        <item m="1" x="5257"/>
        <item m="1" x="5558"/>
        <item m="1" x="3655"/>
        <item m="1" x="3935"/>
        <item m="1" x="4215"/>
        <item m="1" x="4405"/>
        <item m="1" x="4565"/>
        <item m="1" x="4725"/>
        <item m="1" x="4885"/>
        <item m="1" x="5045"/>
        <item m="1" x="5265"/>
        <item m="1" x="5566"/>
        <item m="1" x="3659"/>
        <item m="1" x="3942"/>
        <item m="1" x="4222"/>
        <item m="1" x="4412"/>
        <item m="1" x="4572"/>
        <item m="1" x="4732"/>
        <item m="1" x="4892"/>
        <item m="1" x="5052"/>
        <item m="1" x="5272"/>
        <item m="1" x="5573"/>
        <item m="1" x="3663"/>
        <item m="1" x="3949"/>
        <item m="1" x="4229"/>
        <item m="1" x="4419"/>
        <item m="1" x="4579"/>
        <item m="1" x="4739"/>
        <item m="1" x="4899"/>
        <item m="1" x="5059"/>
        <item m="1" x="5279"/>
        <item m="1" x="5580"/>
        <item m="1" x="3667"/>
        <item m="1" x="3956"/>
        <item m="1" x="4236"/>
        <item m="1" x="4426"/>
        <item m="1" x="4586"/>
        <item m="1" x="4746"/>
        <item m="1" x="4906"/>
        <item m="1" x="5066"/>
        <item m="1" x="5286"/>
        <item m="1" x="5587"/>
        <item m="1" x="3671"/>
        <item m="1" x="3963"/>
        <item m="1" x="4243"/>
        <item m="1" x="4433"/>
        <item m="1" x="4593"/>
        <item m="1" x="4753"/>
        <item m="1" x="4913"/>
        <item m="1" x="5073"/>
        <item m="1" x="5293"/>
        <item m="1" x="5594"/>
        <item m="1" x="3678"/>
        <item m="1" x="3973"/>
        <item m="1" x="4251"/>
        <item m="1" x="4440"/>
        <item m="1" x="4600"/>
        <item m="1" x="4760"/>
        <item m="1" x="4920"/>
        <item m="1" x="5080"/>
        <item m="1" x="5302"/>
        <item m="1" x="5604"/>
        <item m="1" x="3690"/>
        <item m="1" x="3987"/>
        <item m="1" x="4260"/>
        <item m="1" x="4447"/>
        <item m="1" x="4607"/>
        <item m="1" x="4767"/>
        <item m="1" x="4927"/>
        <item m="1" x="5089"/>
        <item m="1" x="5315"/>
        <item m="1" x="5619"/>
        <item m="1" x="3701"/>
        <item m="1" x="3999"/>
        <item m="1" x="4267"/>
        <item m="1" x="4452"/>
        <item m="1" x="4612"/>
        <item m="1" x="4772"/>
        <item m="1" x="4932"/>
        <item m="1" x="5096"/>
        <item m="1" x="5327"/>
        <item m="1" x="5633"/>
        <item m="1" x="5200"/>
        <item m="1" x="5474"/>
        <item m="1" x="5777"/>
        <item m="1" x="5992"/>
        <item m="1" x="6154"/>
        <item m="1" x="6315"/>
        <item m="1" x="6476"/>
        <item m="1" x="6637"/>
        <item m="1" x="6834"/>
        <item m="1" x="7121"/>
        <item m="1" x="5210"/>
        <item m="1" x="5487"/>
        <item m="1" x="5788"/>
        <item m="1" x="6000"/>
        <item m="1" x="6161"/>
        <item m="1" x="6322"/>
        <item m="1" x="6483"/>
        <item m="1" x="6644"/>
        <item m="1" x="6844"/>
        <item m="1" x="7134"/>
        <item m="1" x="5215"/>
        <item m="1" x="5495"/>
        <item m="1" x="5796"/>
        <item m="1" x="6007"/>
        <item m="1" x="6168"/>
        <item m="1" x="6329"/>
        <item m="1" x="6490"/>
        <item m="1" x="6651"/>
        <item m="1" x="6852"/>
        <item m="1" x="7143"/>
        <item m="1" x="5219"/>
        <item m="1" x="5502"/>
        <item m="1" x="5803"/>
        <item m="1" x="6014"/>
        <item m="1" x="6175"/>
        <item m="1" x="6336"/>
        <item m="1" x="6497"/>
        <item m="1" x="6658"/>
        <item m="1" x="6859"/>
        <item m="1" x="7150"/>
        <item m="1" x="5223"/>
        <item m="1" x="5509"/>
        <item m="1" x="5810"/>
        <item m="1" x="6021"/>
        <item m="1" x="6182"/>
        <item m="1" x="6343"/>
        <item m="1" x="6504"/>
        <item m="1" x="6665"/>
        <item m="1" x="6866"/>
        <item m="1" x="7157"/>
        <item m="1" x="5227"/>
        <item m="1" x="5516"/>
        <item m="1" x="5817"/>
        <item m="1" x="6028"/>
        <item m="1" x="6189"/>
        <item m="1" x="6350"/>
        <item m="1" x="6511"/>
        <item m="1" x="6672"/>
        <item m="1" x="6873"/>
        <item m="1" x="7164"/>
        <item m="1" x="5231"/>
        <item m="1" x="5523"/>
        <item m="1" x="5824"/>
        <item m="1" x="6035"/>
        <item m="1" x="6196"/>
        <item m="1" x="6357"/>
        <item m="1" x="6518"/>
        <item m="1" x="6679"/>
        <item m="1" x="6880"/>
        <item m="1" x="7171"/>
        <item m="1" x="5237"/>
        <item m="1" x="5532"/>
        <item m="1" x="5832"/>
        <item m="1" x="6042"/>
        <item m="1" x="6203"/>
        <item m="1" x="6364"/>
        <item m="1" x="6525"/>
        <item m="1" x="6686"/>
        <item m="1" x="6888"/>
        <item m="1" x="7180"/>
        <item m="1" x="5248"/>
        <item m="1" x="5546"/>
        <item m="1" x="5842"/>
        <item m="1" x="6049"/>
        <item m="1" x="6210"/>
        <item m="1" x="6371"/>
        <item m="1" x="6532"/>
        <item m="1" x="6694"/>
        <item m="1" x="6899"/>
        <item m="1" x="7194"/>
        <item m="1" x="5258"/>
        <item m="1" x="5559"/>
        <item m="1" x="5851"/>
        <item m="1" x="6055"/>
        <item m="1" x="6216"/>
        <item m="1" x="6377"/>
        <item m="1" x="6538"/>
        <item m="1" x="6701"/>
        <item m="1" x="6911"/>
        <item m="1" x="7208"/>
        <item m="1" x="6795"/>
        <item m="1" x="7050"/>
        <item m="1" x="7348"/>
        <item m="1" x="7567"/>
        <item m="1" x="7733"/>
        <item m="1" x="7898"/>
        <item m="1" x="2263"/>
        <item m="1" x="6804"/>
        <item m="1" x="7063"/>
        <item m="1" x="7360"/>
        <item m="1" x="7576"/>
        <item m="1" x="7741"/>
        <item m="1" x="7906"/>
        <item m="1" x="2277"/>
        <item m="1" x="6808"/>
        <item m="1" x="7071"/>
        <item m="1" x="7369"/>
        <item m="1" x="7584"/>
        <item m="1" x="7749"/>
        <item m="1" x="7914"/>
        <item m="1" x="1991"/>
        <item m="1" x="2287"/>
        <item m="1" x="6811"/>
        <item m="1" x="7078"/>
        <item m="1" x="7377"/>
        <item m="1" x="7592"/>
        <item m="1" x="7757"/>
        <item m="1" x="7922"/>
        <item m="1" x="2000"/>
        <item m="1" x="2295"/>
        <item m="1" x="6814"/>
        <item m="1" x="7085"/>
        <item m="1" x="7385"/>
        <item m="1" x="7600"/>
        <item m="1" x="7765"/>
        <item m="1" x="7930"/>
        <item m="1" x="2008"/>
        <item m="1" x="2303"/>
        <item m="1" x="6817"/>
        <item m="1" x="7092"/>
        <item m="1" x="7393"/>
        <item m="1" x="7608"/>
        <item m="1" x="7773"/>
        <item m="1" x="7938"/>
        <item m="1" x="2016"/>
        <item m="1" x="2311"/>
        <item m="1" x="6820"/>
        <item m="1" x="7099"/>
        <item m="1" x="7401"/>
        <item m="1" x="7616"/>
        <item m="1" x="7781"/>
        <item m="1" x="7946"/>
        <item m="1" x="2024"/>
        <item m="1" x="2319"/>
        <item m="1" x="6825"/>
        <item m="1" x="7108"/>
        <item m="1" x="7410"/>
        <item m="1" x="7624"/>
        <item m="1" x="7789"/>
        <item m="1" x="7954"/>
        <item m="1" x="2033"/>
        <item m="1" x="2328"/>
        <item m="1" x="6835"/>
        <item m="1" x="7122"/>
        <item m="1" x="7421"/>
        <item m="1" x="7632"/>
        <item m="1" x="7797"/>
        <item m="1" x="7962"/>
        <item m="1" x="2045"/>
        <item m="1" x="2342"/>
        <item m="1" x="6845"/>
        <item m="1" x="7135"/>
        <item m="1" x="7431"/>
        <item m="1" x="7639"/>
        <item m="1" x="7804"/>
        <item m="1" x="7969"/>
        <item m="1" x="2058"/>
        <item m="1" x="2357"/>
        <item m="1" x="2191"/>
        <item m="1" x="2498"/>
        <item m="1" x="2738"/>
        <item m="1" x="2910"/>
        <item m="1" x="3070"/>
        <item m="1" x="3230"/>
        <item m="1" x="3390"/>
        <item m="1" x="3567"/>
        <item m="1" x="3831"/>
        <item m="1" x="2205"/>
        <item m="1" x="2512"/>
        <item m="1" x="2748"/>
        <item m="1" x="2918"/>
        <item m="1" x="3078"/>
        <item m="1" x="3238"/>
        <item m="1" x="3398"/>
        <item m="1" x="3577"/>
        <item m="1" x="3845"/>
        <item m="1" x="2214"/>
        <item m="1" x="2522"/>
        <item m="1" x="2756"/>
        <item m="1" x="2926"/>
        <item m="1" x="3086"/>
        <item m="1" x="3246"/>
        <item m="1" x="3406"/>
        <item m="1" x="3586"/>
        <item m="1" x="3856"/>
        <item m="1" x="2221"/>
        <item m="1" x="2530"/>
        <item m="1" x="2764"/>
        <item m="1" x="2934"/>
        <item m="1" x="3094"/>
        <item m="1" x="3254"/>
        <item m="1" x="3414"/>
        <item m="1" x="3594"/>
        <item m="1" x="3864"/>
        <item m="1" x="2228"/>
        <item m="1" x="2538"/>
        <item m="1" x="2772"/>
        <item m="1" x="2942"/>
        <item m="1" x="3102"/>
        <item m="1" x="3262"/>
        <item m="1" x="3422"/>
        <item m="1" x="3602"/>
        <item m="1" x="3872"/>
        <item m="1" x="2235"/>
        <item m="1" x="2546"/>
        <item m="1" x="2780"/>
        <item m="1" x="2950"/>
        <item m="1" x="3110"/>
        <item m="1" x="3270"/>
        <item m="1" x="3430"/>
        <item m="1" x="3610"/>
        <item m="1" x="3880"/>
        <item m="1" x="2242"/>
        <item m="1" x="2554"/>
        <item m="1" x="2788"/>
        <item m="1" x="2958"/>
        <item m="1" x="3118"/>
        <item m="1" x="3278"/>
        <item m="1" x="3438"/>
        <item m="1" x="3618"/>
        <item m="1" x="3888"/>
        <item m="1" x="2250"/>
        <item m="1" x="2563"/>
        <item m="1" x="2796"/>
        <item m="1" x="2966"/>
        <item m="1" x="3126"/>
        <item m="1" x="3286"/>
        <item m="1" x="3446"/>
        <item m="1" x="3626"/>
        <item m="1" x="3896"/>
        <item m="1" x="2264"/>
        <item m="1" x="2575"/>
        <item m="1" x="2805"/>
        <item m="1" x="2974"/>
        <item m="1" x="3134"/>
        <item m="1" x="3294"/>
        <item m="1" x="3454"/>
        <item m="1" x="3636"/>
        <item m="1" x="3908"/>
        <item m="1" x="2278"/>
        <item m="1" x="2587"/>
        <item m="1" x="2813"/>
        <item m="1" x="2981"/>
        <item m="1" x="3141"/>
        <item m="1" x="3301"/>
        <item m="1" x="3461"/>
        <item m="1" x="3647"/>
        <item m="1" x="3922"/>
        <item m="1" x="3535"/>
        <item m="1" x="3759"/>
        <item m="1" x="4052"/>
        <item m="1" x="4288"/>
        <item m="1" x="4460"/>
        <item m="1" x="4620"/>
        <item m="1" x="4780"/>
        <item m="1" x="4940"/>
        <item m="1" x="5117"/>
        <item m="1" x="5381"/>
        <item m="1" x="3544"/>
        <item m="1" x="3773"/>
        <item m="1" x="4067"/>
        <item m="1" x="4299"/>
        <item m="1" x="4469"/>
        <item m="1" x="4629"/>
        <item m="1" x="4789"/>
        <item m="1" x="4949"/>
        <item m="1" x="5128"/>
        <item m="1" x="5396"/>
        <item m="1" x="3548"/>
        <item m="1" x="3782"/>
        <item m="1" x="4078"/>
        <item m="1" x="4308"/>
        <item m="1" x="4478"/>
        <item m="1" x="4638"/>
        <item m="1" x="4798"/>
        <item m="1" x="4958"/>
        <item m="1" x="5138"/>
        <item m="1" x="5408"/>
        <item m="1" x="3550"/>
        <item m="1" x="3789"/>
        <item m="1" x="4087"/>
        <item m="1" x="4317"/>
        <item m="1" x="4487"/>
        <item m="1" x="4647"/>
        <item m="1" x="4807"/>
        <item m="1" x="4967"/>
        <item m="1" x="5147"/>
        <item m="1" x="5417"/>
        <item m="1" x="3552"/>
        <item m="1" x="3796"/>
        <item m="1" x="4096"/>
        <item m="1" x="4326"/>
        <item m="1" x="4496"/>
        <item m="1" x="4656"/>
        <item m="1" x="4816"/>
        <item m="1" x="4976"/>
        <item m="1" x="5156"/>
        <item m="1" x="5426"/>
        <item m="1" x="3554"/>
        <item m="1" x="3803"/>
        <item m="1" x="4105"/>
        <item m="1" x="4335"/>
        <item m="1" x="4505"/>
        <item m="1" x="4665"/>
        <item m="1" x="4825"/>
        <item m="1" x="4985"/>
        <item m="1" x="5165"/>
        <item m="1" x="5435"/>
        <item m="1" x="3556"/>
        <item m="1" x="3810"/>
        <item m="1" x="4114"/>
        <item m="1" x="4344"/>
        <item m="1" x="4514"/>
        <item m="1" x="4674"/>
        <item m="1" x="4834"/>
        <item m="1" x="4994"/>
        <item m="1" x="5174"/>
        <item m="1" x="5444"/>
        <item m="1" x="3559"/>
        <item m="1" x="3818"/>
        <item m="1" x="4124"/>
        <item m="1" x="4353"/>
        <item m="1" x="4523"/>
        <item m="1" x="4683"/>
        <item m="1" x="4843"/>
        <item m="1" x="5003"/>
        <item m="1" x="5183"/>
        <item m="1" x="5453"/>
        <item m="1" x="3568"/>
        <item m="1" x="3832"/>
        <item m="1" x="4137"/>
        <item m="1" x="4363"/>
        <item m="1" x="4532"/>
        <item m="1" x="4692"/>
        <item m="1" x="4852"/>
        <item m="1" x="5012"/>
        <item m="1" x="5194"/>
        <item m="1" x="5466"/>
        <item m="1" x="3578"/>
        <item m="1" x="3846"/>
        <item m="1" x="4150"/>
        <item m="1" x="4372"/>
        <item m="1" x="4540"/>
        <item m="1" x="4700"/>
        <item m="1" x="4860"/>
        <item m="1" x="5020"/>
        <item m="1" x="5206"/>
        <item m="1" x="5481"/>
        <item m="1" x="5084"/>
        <item m="1" x="5308"/>
        <item m="1" x="5611"/>
        <item m="1" x="5878"/>
        <item m="1" x="6063"/>
        <item m="1" x="6224"/>
        <item m="1" x="6385"/>
        <item m="1" x="6546"/>
        <item m="1" x="6715"/>
        <item m="1" x="6958"/>
        <item m="1" x="5093"/>
        <item m="1" x="5322"/>
        <item m="1" x="5627"/>
        <item m="1" x="5890"/>
        <item m="1" x="6072"/>
        <item m="1" x="6233"/>
        <item m="1" x="6394"/>
        <item m="1" x="6555"/>
        <item m="1" x="6725"/>
        <item m="1" x="6973"/>
        <item m="1" x="5098"/>
        <item m="1" x="5332"/>
        <item m="1" x="5639"/>
        <item m="1" x="5900"/>
        <item m="1" x="6081"/>
        <item m="1" x="6242"/>
        <item m="1" x="6403"/>
        <item m="1" x="6564"/>
        <item m="1" x="6735"/>
        <item m="1" x="6986"/>
        <item m="1" x="5100"/>
        <item m="1" x="5339"/>
        <item m="1" x="5648"/>
        <item m="1" x="5909"/>
        <item m="1" x="6090"/>
        <item m="1" x="6251"/>
        <item m="1" x="6412"/>
        <item m="1" x="6573"/>
        <item m="1" x="6744"/>
        <item m="1" x="6995"/>
        <item m="1" x="5102"/>
        <item m="1" x="5346"/>
        <item m="1" x="5657"/>
        <item m="1" x="5918"/>
        <item m="1" x="6099"/>
        <item m="1" x="6260"/>
        <item m="1" x="6421"/>
        <item m="1" x="6582"/>
        <item m="1" x="6753"/>
        <item m="1" x="7004"/>
        <item m="1" x="5104"/>
        <item m="1" x="5353"/>
        <item m="1" x="5666"/>
        <item m="1" x="5927"/>
        <item m="1" x="6108"/>
        <item m="1" x="6269"/>
        <item m="1" x="6430"/>
        <item m="1" x="6591"/>
        <item m="1" x="6762"/>
        <item m="1" x="7013"/>
        <item m="1" x="5106"/>
        <item m="1" x="5360"/>
        <item m="1" x="5675"/>
        <item m="1" x="5936"/>
        <item m="1" x="6117"/>
        <item m="1" x="6278"/>
        <item m="1" x="6439"/>
        <item m="1" x="6600"/>
        <item m="1" x="6771"/>
        <item m="1" x="7022"/>
        <item m="1" x="5109"/>
        <item m="1" x="5368"/>
        <item m="1" x="5685"/>
        <item m="1" x="5945"/>
        <item m="1" x="6126"/>
        <item m="1" x="6287"/>
        <item m="1" x="6448"/>
        <item m="1" x="6609"/>
        <item m="1" x="6780"/>
        <item m="1" x="7031"/>
        <item m="1" x="5118"/>
        <item m="1" x="5382"/>
        <item m="1" x="5699"/>
        <item m="1" x="5956"/>
        <item m="1" x="6135"/>
        <item m="1" x="6296"/>
        <item m="1" x="6457"/>
        <item m="1" x="6618"/>
        <item m="1" x="6790"/>
        <item m="1" x="7043"/>
        <item m="1" x="5129"/>
        <item m="1" x="5397"/>
        <item m="1" x="5714"/>
        <item m="1" x="5966"/>
        <item m="1" x="6143"/>
        <item m="1" x="6304"/>
        <item m="1" x="6465"/>
        <item m="1" x="6626"/>
        <item m="1" x="6801"/>
        <item m="1" x="7058"/>
        <item m="1" x="6689"/>
        <item m="1" x="6892"/>
        <item m="1" x="7185"/>
        <item m="1" x="7456"/>
        <item m="1" x="7645"/>
        <item m="1" x="7810"/>
        <item m="1" x="2103"/>
        <item m="1" x="6698"/>
        <item m="1" x="6906"/>
        <item m="1" x="7201"/>
        <item m="1" x="7468"/>
        <item m="1" x="7654"/>
        <item m="1" x="7819"/>
        <item m="1" x="2118"/>
        <item m="1" x="6702"/>
        <item m="1" x="6915"/>
        <item m="1" x="7213"/>
        <item m="1" x="7478"/>
        <item m="1" x="7663"/>
        <item m="1" x="7828"/>
        <item m="1" x="2131"/>
        <item m="1" x="6703"/>
        <item m="1" x="6921"/>
        <item m="1" x="7222"/>
        <item m="1" x="7487"/>
        <item m="1" x="7672"/>
        <item m="1" x="7837"/>
        <item m="1" x="2140"/>
        <item m="1" x="6704"/>
        <item m="1" x="6927"/>
        <item m="1" x="7231"/>
        <item m="1" x="7496"/>
        <item m="1" x="7681"/>
        <item m="1" x="7846"/>
        <item m="1" x="2149"/>
        <item m="1" x="6705"/>
        <item m="1" x="6933"/>
        <item m="1" x="7239"/>
        <item m="1" x="7504"/>
        <item m="1" x="7689"/>
        <item m="1" x="7854"/>
        <item m="1" x="2157"/>
        <item m="1" x="6706"/>
        <item m="1" x="6939"/>
        <item m="1" x="7247"/>
        <item m="1" x="7512"/>
        <item m="1" x="7697"/>
        <item m="1" x="7862"/>
        <item m="1" x="2165"/>
        <item m="1" x="6708"/>
        <item m="1" x="6946"/>
        <item m="1" x="7256"/>
        <item m="1" x="7520"/>
        <item m="1" x="7705"/>
        <item m="1" x="7870"/>
        <item m="1" x="2173"/>
        <item m="1" x="6716"/>
        <item m="1" x="6959"/>
        <item m="1" x="7269"/>
        <item m="1" x="7530"/>
        <item m="1" x="7713"/>
        <item m="1" x="7878"/>
        <item m="1" x="2184"/>
        <item m="1" x="6726"/>
        <item m="1" x="6974"/>
        <item m="1" x="7284"/>
        <item m="1" x="7540"/>
        <item m="1" x="7721"/>
        <item m="1" x="7886"/>
        <item m="1" x="2199"/>
        <item m="1" x="2039"/>
        <item m="1" x="2335"/>
        <item m="1" x="2625"/>
        <item m="1" x="2825"/>
        <item m="1" x="2986"/>
        <item m="1" x="3146"/>
        <item m="1" x="3306"/>
        <item m="1" x="3466"/>
        <item m="1" x="3679"/>
        <item m="1" x="2053"/>
        <item m="1" x="2351"/>
        <item m="1" x="2638"/>
        <item m="1" x="2834"/>
        <item m="1" x="2994"/>
        <item m="1" x="3154"/>
        <item m="1" x="3314"/>
        <item m="1" x="3474"/>
        <item m="1" x="3691"/>
        <item m="1" x="2063"/>
        <item m="1" x="2363"/>
        <item m="1" x="2648"/>
        <item m="1" x="2842"/>
        <item m="1" x="3002"/>
        <item m="1" x="3162"/>
        <item m="1" x="3322"/>
        <item m="1" x="3482"/>
        <item m="1" x="3702"/>
        <item m="1" x="2069"/>
        <item m="1" x="2371"/>
        <item m="1" x="2656"/>
        <item m="1" x="2850"/>
        <item m="1" x="3010"/>
        <item m="1" x="3170"/>
        <item m="1" x="3330"/>
        <item m="1" x="3490"/>
        <item m="1" x="3710"/>
        <item m="1" x="2075"/>
        <item m="1" x="2379"/>
        <item m="1" x="2664"/>
        <item m="1" x="2858"/>
        <item m="1" x="3018"/>
        <item m="1" x="3178"/>
        <item m="1" x="3338"/>
        <item m="1" x="3498"/>
        <item m="1" x="3718"/>
        <item m="1" x="2081"/>
        <item m="1" x="2387"/>
        <item m="1" x="2672"/>
        <item m="1" x="2866"/>
        <item m="1" x="3026"/>
        <item m="1" x="3186"/>
        <item m="1" x="3346"/>
        <item m="1" x="3506"/>
        <item m="1" x="3726"/>
        <item m="1" x="2087"/>
        <item m="1" x="2395"/>
        <item m="1" x="2680"/>
        <item m="1" x="2874"/>
        <item m="1" x="3034"/>
        <item m="1" x="3194"/>
        <item m="1" x="3354"/>
        <item m="1" x="3514"/>
        <item m="1" x="3734"/>
        <item m="1" x="2093"/>
        <item m="1" x="2403"/>
        <item m="1" x="2688"/>
        <item m="1" x="2882"/>
        <item m="1" x="3042"/>
        <item m="1" x="3202"/>
        <item m="1" x="3362"/>
        <item m="1" x="3522"/>
        <item m="1" x="3742"/>
        <item m="1" x="2104"/>
        <item m="1" x="2415"/>
        <item m="1" x="2698"/>
        <item m="1" x="2890"/>
        <item m="1" x="3050"/>
        <item m="1" x="3210"/>
        <item m="1" x="3370"/>
        <item m="1" x="3530"/>
        <item m="1" x="3752"/>
        <item m="1" x="2119"/>
        <item m="1" x="2431"/>
        <item m="1" x="2709"/>
        <item m="1" x="2898"/>
        <item m="1" x="3058"/>
        <item m="1" x="3218"/>
        <item m="1" x="3378"/>
        <item m="1" x="3540"/>
        <item m="1" x="3766"/>
        <item m="1" x="3767"/>
        <item m="1" x="4060"/>
        <item m="1" x="4293"/>
        <item m="1" x="4464"/>
        <item m="1" x="4624"/>
        <item m="1" x="4784"/>
        <item m="1" x="4944"/>
        <item m="1" x="5122"/>
        <item m="1" x="5388"/>
        <item m="1" x="5706"/>
        <item m="1" x="3778"/>
        <item m="1" x="4073"/>
        <item m="1" x="4303"/>
        <item m="1" x="4473"/>
        <item m="1" x="4633"/>
        <item m="1" x="4793"/>
        <item m="1" x="4953"/>
        <item m="1" x="5133"/>
        <item m="1" x="5402"/>
        <item m="1" x="5719"/>
        <item m="1" x="3785"/>
        <item m="1" x="4082"/>
        <item m="1" x="4312"/>
        <item m="1" x="4482"/>
        <item m="1" x="4642"/>
        <item m="1" x="4802"/>
        <item m="1" x="4962"/>
        <item m="1" x="5142"/>
        <item m="1" x="5412"/>
        <item m="1" x="5727"/>
        <item m="1" x="3792"/>
        <item m="1" x="4091"/>
        <item m="1" x="4321"/>
        <item m="1" x="4491"/>
        <item m="1" x="4651"/>
        <item m="1" x="4811"/>
        <item m="1" x="4971"/>
        <item m="1" x="5151"/>
        <item m="1" x="5421"/>
        <item m="1" x="5734"/>
        <item m="1" x="3799"/>
        <item m="1" x="4100"/>
        <item m="1" x="4330"/>
        <item m="1" x="4500"/>
        <item m="1" x="4660"/>
        <item m="1" x="4820"/>
        <item m="1" x="4980"/>
        <item m="1" x="5160"/>
        <item m="1" x="5430"/>
        <item m="1" x="5741"/>
        <item m="1" x="3806"/>
        <item m="1" x="4109"/>
        <item m="1" x="4339"/>
        <item m="1" x="4509"/>
        <item m="1" x="4669"/>
        <item m="1" x="4829"/>
        <item m="1" x="4989"/>
        <item m="1" x="5169"/>
        <item m="1" x="5439"/>
        <item m="1" x="5748"/>
        <item m="1" x="3813"/>
        <item m="1" x="4118"/>
        <item m="1" x="4348"/>
        <item m="1" x="4518"/>
        <item m="1" x="4678"/>
        <item m="1" x="4838"/>
        <item m="1" x="4998"/>
        <item m="1" x="5178"/>
        <item m="1" x="5448"/>
        <item m="1" x="5755"/>
        <item m="1" x="3824"/>
        <item m="1" x="4130"/>
        <item m="1" x="4358"/>
        <item m="1" x="4527"/>
        <item m="1" x="4687"/>
        <item m="1" x="4847"/>
        <item m="1" x="5007"/>
        <item m="1" x="5188"/>
        <item m="1" x="5459"/>
        <item m="1" x="5764"/>
        <item m="1" x="3839"/>
        <item m="1" x="4144"/>
        <item m="1" x="4368"/>
        <item m="1" x="4536"/>
        <item m="1" x="4696"/>
        <item m="1" x="4856"/>
        <item m="1" x="5016"/>
        <item m="1" x="5201"/>
        <item m="1" x="5475"/>
        <item m="1" x="5778"/>
        <item m="1" x="3852"/>
        <item m="1" x="4155"/>
        <item m="1" x="4375"/>
        <item m="1" x="4542"/>
        <item m="1" x="4702"/>
        <item m="1" x="4862"/>
        <item m="1" x="5022"/>
        <item m="1" x="5211"/>
        <item m="1" x="5488"/>
        <item m="1" x="5789"/>
        <item m="1" x="5316"/>
        <item m="1" x="5620"/>
        <item m="1" x="5884"/>
        <item m="1" x="6067"/>
        <item m="1" x="6228"/>
        <item m="1" x="6389"/>
        <item m="1" x="6550"/>
        <item m="1" x="6720"/>
        <item m="1" x="6965"/>
        <item m="1" x="7276"/>
        <item m="1" x="5328"/>
        <item m="1" x="5634"/>
        <item m="1" x="5895"/>
        <item m="1" x="6076"/>
        <item m="1" x="6237"/>
        <item m="1" x="6398"/>
        <item m="1" x="6559"/>
        <item m="1" x="6730"/>
        <item m="1" x="6979"/>
        <item m="1" x="7290"/>
        <item m="1" x="5335"/>
        <item m="1" x="5643"/>
        <item m="1" x="5904"/>
        <item m="1" x="6085"/>
        <item m="1" x="6246"/>
        <item m="1" x="6407"/>
        <item m="1" x="6568"/>
        <item m="1" x="6739"/>
        <item m="1" x="6990"/>
        <item m="1" x="7299"/>
        <item m="1" x="5342"/>
        <item m="1" x="5652"/>
        <item m="1" x="5913"/>
        <item m="1" x="6094"/>
        <item m="1" x="6255"/>
        <item m="1" x="6416"/>
        <item m="1" x="6577"/>
        <item m="1" x="6748"/>
        <item m="1" x="6999"/>
        <item m="1" x="7306"/>
        <item m="1" x="5349"/>
        <item m="1" x="5661"/>
        <item m="1" x="5922"/>
        <item m="1" x="6103"/>
        <item m="1" x="6264"/>
        <item m="1" x="6425"/>
        <item m="1" x="6586"/>
        <item m="1" x="6757"/>
        <item m="1" x="7008"/>
        <item m="1" x="7313"/>
        <item m="1" x="5356"/>
        <item m="1" x="5670"/>
        <item m="1" x="5931"/>
        <item m="1" x="6112"/>
        <item m="1" x="6273"/>
        <item m="1" x="6434"/>
        <item m="1" x="6595"/>
        <item m="1" x="6766"/>
        <item m="1" x="7017"/>
        <item m="1" x="7320"/>
        <item m="1" x="5363"/>
        <item m="1" x="5679"/>
        <item m="1" x="5940"/>
        <item m="1" x="6121"/>
        <item m="1" x="6282"/>
        <item m="1" x="6443"/>
        <item m="1" x="6604"/>
        <item m="1" x="6775"/>
        <item m="1" x="7026"/>
        <item m="1" x="7327"/>
        <item m="1" x="5373"/>
        <item m="1" x="5691"/>
        <item m="1" x="5950"/>
        <item m="1" x="6130"/>
        <item m="1" x="6291"/>
        <item m="1" x="6452"/>
        <item m="1" x="6613"/>
        <item m="1" x="6784"/>
        <item m="1" x="7036"/>
        <item m="1" x="7335"/>
        <item m="1" x="5389"/>
        <item m="1" x="5707"/>
        <item m="1" x="5961"/>
        <item m="1" x="6139"/>
        <item m="1" x="6300"/>
        <item m="1" x="6461"/>
        <item m="1" x="6622"/>
        <item m="1" x="6796"/>
        <item m="1" x="7051"/>
        <item m="1" x="7349"/>
        <item m="1" x="5403"/>
        <item m="1" x="5720"/>
        <item m="1" x="5969"/>
        <item m="1" x="6145"/>
        <item m="1" x="6306"/>
        <item m="1" x="6467"/>
        <item m="1" x="6628"/>
        <item m="1" x="6805"/>
        <item m="1" x="7064"/>
        <item m="1" x="7361"/>
        <item m="1" x="6900"/>
        <item m="1" x="7195"/>
        <item m="1" x="7463"/>
        <item m="1" x="7650"/>
        <item m="1" x="7815"/>
        <item m="1" x="2111"/>
        <item m="1" x="2423"/>
        <item m="1" x="6912"/>
        <item m="1" x="7209"/>
        <item m="1" x="7474"/>
        <item m="1" x="7659"/>
        <item m="1" x="7824"/>
        <item m="1" x="2125"/>
        <item m="1" x="2438"/>
        <item m="1" x="6918"/>
        <item m="1" x="7218"/>
        <item m="1" x="7483"/>
        <item m="1" x="7668"/>
        <item m="1" x="7833"/>
        <item m="1" x="2136"/>
        <item m="1" x="2448"/>
        <item m="1" x="6924"/>
        <item m="1" x="7227"/>
        <item m="1" x="7492"/>
        <item m="1" x="7677"/>
        <item m="1" x="7842"/>
        <item m="1" x="2145"/>
        <item m="1" x="2456"/>
        <item m="1" x="6930"/>
        <item m="1" x="7235"/>
        <item m="1" x="7500"/>
        <item m="1" x="7685"/>
        <item m="1" x="7850"/>
        <item m="1" x="2153"/>
        <item m="1" x="2463"/>
        <item m="1" x="6936"/>
        <item m="1" x="7243"/>
        <item m="1" x="7508"/>
        <item m="1" x="7693"/>
        <item m="1" x="7858"/>
        <item m="1" x="2161"/>
        <item m="1" x="2470"/>
        <item m="1" x="6942"/>
        <item m="1" x="7251"/>
        <item m="1" x="7516"/>
        <item m="1" x="7701"/>
        <item m="1" x="7866"/>
        <item m="1" x="2169"/>
        <item m="1" x="2477"/>
        <item m="1" x="6951"/>
        <item m="1" x="7262"/>
        <item m="1" x="7525"/>
        <item m="1" x="7709"/>
        <item m="1" x="7874"/>
        <item m="1" x="2178"/>
        <item m="1" x="2485"/>
        <item m="1" x="6966"/>
        <item m="1" x="7277"/>
        <item m="1" x="7535"/>
        <item m="1" x="7717"/>
        <item m="1" x="7882"/>
        <item m="1" x="2192"/>
        <item m="1" x="2499"/>
        <item m="1" x="6980"/>
        <item m="1" x="7291"/>
        <item m="1" x="7544"/>
        <item m="1" x="7724"/>
        <item m="1" x="7889"/>
        <item m="1" x="2206"/>
        <item m="1" x="2513"/>
        <item m="1" x="2046"/>
        <item m="1" x="2343"/>
        <item m="1" x="2631"/>
        <item m="1" x="2829"/>
        <item m="1" x="2990"/>
        <item m="1" x="3150"/>
        <item m="1" x="3310"/>
        <item m="1" x="3470"/>
        <item m="1" x="3684"/>
        <item m="1" x="3979"/>
        <item m="1" x="2059"/>
        <item m="1" x="2358"/>
        <item m="1" x="2643"/>
        <item m="1" x="2838"/>
        <item m="1" x="2998"/>
        <item m="1" x="3158"/>
        <item m="1" x="3318"/>
        <item m="1" x="3478"/>
        <item m="1" x="3696"/>
        <item m="1" x="3993"/>
        <item m="1" x="2066"/>
        <item m="1" x="2367"/>
        <item m="1" x="2652"/>
        <item m="1" x="2846"/>
        <item m="1" x="3006"/>
        <item m="1" x="3166"/>
        <item m="1" x="3326"/>
        <item m="1" x="3486"/>
        <item m="1" x="3706"/>
        <item m="1" x="4003"/>
        <item m="1" x="2072"/>
        <item m="1" x="2375"/>
        <item m="1" x="2660"/>
        <item m="1" x="2854"/>
        <item m="1" x="3014"/>
        <item m="1" x="3174"/>
        <item m="1" x="3334"/>
        <item m="1" x="3494"/>
        <item m="1" x="3714"/>
        <item m="1" x="4010"/>
        <item m="1" x="2078"/>
        <item m="1" x="2383"/>
        <item m="1" x="2668"/>
        <item m="1" x="2862"/>
        <item m="1" x="3022"/>
        <item m="1" x="3182"/>
        <item m="1" x="3342"/>
        <item m="1" x="3502"/>
        <item m="1" x="3722"/>
        <item m="1" x="4017"/>
        <item m="1" x="2084"/>
        <item m="1" x="2391"/>
        <item m="1" x="2676"/>
        <item m="1" x="2870"/>
        <item m="1" x="3030"/>
        <item m="1" x="3190"/>
        <item m="1" x="3350"/>
        <item m="1" x="3510"/>
        <item m="1" x="3730"/>
        <item m="1" x="4024"/>
        <item m="1" x="2090"/>
        <item m="1" x="2399"/>
        <item m="1" x="2684"/>
        <item m="1" x="2878"/>
        <item m="1" x="3038"/>
        <item m="1" x="3198"/>
        <item m="1" x="3358"/>
        <item m="1" x="3518"/>
        <item m="1" x="3738"/>
        <item m="1" x="4031"/>
        <item m="1" x="2098"/>
        <item m="1" x="2409"/>
        <item m="1" x="2693"/>
        <item m="1" x="2886"/>
        <item m="1" x="3046"/>
        <item m="1" x="3206"/>
        <item m="1" x="3366"/>
        <item m="1" x="3526"/>
        <item m="1" x="3747"/>
        <item m="1" x="4039"/>
        <item m="1" x="2112"/>
        <item m="1" x="2424"/>
        <item m="1" x="2704"/>
        <item m="1" x="2894"/>
        <item m="1" x="3054"/>
        <item m="1" x="3214"/>
        <item m="1" x="3374"/>
        <item m="1" x="3536"/>
        <item m="1" x="3760"/>
        <item m="1" x="4053"/>
        <item m="1" x="2126"/>
        <item m="1" x="2439"/>
        <item m="1" x="2714"/>
        <item m="1" x="2901"/>
        <item m="1" x="3061"/>
        <item m="1" x="3221"/>
        <item m="1" x="3381"/>
        <item m="1" x="3545"/>
        <item m="1" x="3774"/>
        <item m="1" x="4068"/>
        <item m="1" x="3637"/>
        <item m="1" x="3909"/>
        <item m="1" x="4192"/>
        <item m="1" x="4386"/>
        <item m="1" x="4547"/>
        <item m="1" x="4707"/>
        <item m="1" x="4867"/>
        <item m="1" x="5027"/>
        <item m="1" x="5241"/>
        <item m="1" x="5537"/>
        <item m="1" x="3648"/>
        <item m="1" x="3923"/>
        <item m="1" x="4203"/>
        <item m="1" x="4394"/>
        <item m="1" x="4554"/>
        <item m="1" x="4714"/>
        <item m="1" x="4874"/>
        <item m="1" x="5034"/>
        <item m="1" x="5252"/>
        <item m="1" x="5552"/>
        <item m="1" x="3653"/>
        <item m="1" x="3931"/>
        <item m="1" x="4211"/>
        <item m="1" x="4401"/>
        <item m="1" x="4561"/>
        <item m="1" x="4721"/>
        <item m="1" x="4881"/>
        <item m="1" x="5041"/>
        <item m="1" x="5261"/>
        <item m="1" x="5562"/>
        <item m="1" x="3657"/>
        <item m="1" x="3938"/>
        <item m="1" x="4218"/>
        <item m="1" x="4408"/>
        <item m="1" x="4568"/>
        <item m="1" x="4728"/>
        <item m="1" x="4888"/>
        <item m="1" x="5048"/>
        <item m="1" x="5268"/>
        <item m="1" x="5569"/>
        <item m="1" x="3661"/>
        <item m="1" x="3945"/>
        <item m="1" x="4225"/>
        <item m="1" x="4415"/>
        <item m="1" x="4575"/>
        <item m="1" x="4735"/>
        <item m="1" x="4895"/>
        <item m="1" x="5055"/>
        <item m="1" x="5275"/>
        <item m="1" x="5576"/>
        <item m="1" x="3665"/>
        <item m="1" x="3952"/>
        <item m="1" x="4232"/>
        <item m="1" x="4422"/>
        <item m="1" x="4582"/>
        <item m="1" x="4742"/>
        <item m="1" x="4902"/>
        <item m="1" x="5062"/>
        <item m="1" x="5282"/>
        <item m="1" x="5583"/>
        <item m="1" x="3669"/>
        <item m="1" x="3959"/>
        <item m="1" x="4239"/>
        <item m="1" x="4429"/>
        <item m="1" x="4589"/>
        <item m="1" x="4749"/>
        <item m="1" x="4909"/>
        <item m="1" x="5069"/>
        <item m="1" x="5289"/>
        <item m="1" x="5590"/>
        <item m="1" x="3674"/>
        <item m="1" x="3967"/>
        <item m="1" x="4246"/>
        <item m="1" x="4436"/>
        <item m="1" x="4596"/>
        <item m="1" x="4756"/>
        <item m="1" x="4916"/>
        <item m="1" x="5076"/>
        <item m="1" x="5297"/>
        <item m="1" x="5598"/>
        <item m="1" x="3685"/>
        <item m="1" x="3980"/>
        <item m="1" x="4255"/>
        <item m="1" x="4443"/>
        <item m="1" x="4603"/>
        <item m="1" x="4763"/>
        <item m="1" x="4923"/>
        <item m="1" x="5085"/>
        <item m="1" x="5309"/>
        <item m="1" x="5612"/>
        <item m="1" x="3697"/>
        <item m="1" x="3994"/>
        <item m="1" x="4264"/>
        <item m="1" x="4450"/>
        <item m="1" x="4610"/>
        <item m="1" x="4770"/>
        <item m="1" x="4930"/>
        <item m="1" x="5094"/>
        <item m="1" x="5323"/>
        <item m="1" x="5628"/>
        <item m="1" x="5195"/>
        <item m="1" x="5467"/>
        <item m="1" x="5770"/>
        <item m="1" x="5987"/>
        <item m="1" x="6150"/>
        <item m="1" x="6311"/>
        <item m="1" x="6472"/>
        <item m="1" x="6633"/>
        <item m="1" x="6829"/>
        <item m="1" x="7114"/>
        <item m="1" x="5207"/>
        <item m="1" x="5482"/>
        <item m="1" x="5783"/>
        <item m="1" x="5996"/>
        <item m="1" x="6157"/>
        <item m="1" x="6318"/>
        <item m="1" x="6479"/>
        <item m="1" x="6640"/>
        <item m="1" x="6839"/>
        <item m="1" x="7128"/>
        <item m="1" x="5213"/>
        <item m="1" x="5491"/>
        <item m="1" x="5792"/>
        <item m="1" x="6003"/>
        <item m="1" x="6164"/>
        <item m="1" x="6325"/>
        <item m="1" x="6486"/>
        <item m="1" x="6647"/>
        <item m="1" x="6848"/>
        <item m="1" x="7139"/>
        <item m="1" x="5217"/>
        <item m="1" x="5498"/>
        <item m="1" x="5799"/>
        <item m="1" x="6010"/>
        <item m="1" x="6171"/>
        <item m="1" x="6332"/>
        <item m="1" x="6493"/>
        <item m="1" x="6654"/>
        <item m="1" x="6855"/>
        <item m="1" x="7146"/>
        <item m="1" x="5221"/>
        <item m="1" x="5505"/>
        <item m="1" x="5806"/>
        <item m="1" x="6017"/>
        <item m="1" x="6178"/>
        <item m="1" x="6339"/>
        <item m="1" x="6500"/>
        <item m="1" x="6661"/>
        <item m="1" x="6862"/>
        <item m="1" x="7153"/>
        <item m="1" x="5225"/>
        <item m="1" x="5512"/>
        <item m="1" x="5813"/>
        <item m="1" x="6024"/>
        <item m="1" x="6185"/>
        <item m="1" x="6346"/>
        <item m="1" x="6507"/>
        <item m="1" x="6668"/>
        <item m="1" x="6869"/>
        <item m="1" x="7160"/>
        <item m="1" x="5229"/>
        <item m="1" x="5519"/>
        <item m="1" x="5820"/>
        <item m="1" x="6031"/>
        <item m="1" x="6192"/>
        <item m="1" x="6353"/>
        <item m="1" x="6514"/>
        <item m="1" x="6675"/>
        <item m="1" x="6876"/>
        <item m="1" x="7167"/>
        <item m="1" x="5233"/>
        <item m="1" x="5526"/>
        <item m="1" x="5827"/>
        <item m="1" x="6038"/>
        <item m="1" x="6199"/>
        <item m="1" x="6360"/>
        <item m="1" x="6521"/>
        <item m="1" x="6682"/>
        <item m="1" x="6883"/>
        <item m="1" x="7174"/>
        <item m="1" x="5242"/>
        <item m="1" x="5538"/>
        <item m="1" x="5836"/>
        <item m="1" x="6045"/>
        <item m="1" x="6206"/>
        <item m="1" x="6367"/>
        <item m="1" x="6528"/>
        <item m="1" x="6690"/>
        <item m="1" x="6893"/>
        <item m="1" x="7186"/>
        <item m="1" x="5253"/>
        <item m="1" x="5553"/>
        <item m="1" x="5847"/>
        <item m="1" x="6053"/>
        <item m="1" x="6214"/>
        <item m="1" x="6375"/>
        <item m="1" x="6536"/>
        <item m="1" x="6699"/>
        <item m="1" x="6907"/>
        <item m="1" x="7202"/>
        <item m="1" x="6791"/>
        <item m="1" x="7044"/>
        <item m="1" x="7342"/>
        <item m="1" x="7563"/>
        <item m="1" x="7730"/>
        <item m="1" x="7895"/>
        <item m="1" x="2257"/>
        <item m="1" x="6802"/>
        <item m="1" x="7059"/>
        <item m="1" x="7356"/>
        <item m="1" x="7573"/>
        <item m="1" x="7738"/>
        <item m="1" x="7903"/>
        <item m="1" x="2272"/>
        <item m="1" x="6807"/>
        <item m="1" x="7068"/>
        <item m="1" x="7366"/>
        <item m="1" x="7581"/>
        <item m="1" x="7746"/>
        <item m="1" x="7911"/>
        <item m="1" x="2284"/>
        <item m="1" x="6810"/>
        <item m="1" x="7075"/>
        <item m="1" x="7374"/>
        <item m="1" x="7589"/>
        <item m="1" x="7754"/>
        <item m="1" x="7919"/>
        <item m="1" x="1997"/>
        <item m="1" x="2292"/>
        <item m="1" x="6813"/>
        <item m="1" x="7082"/>
        <item m="1" x="7382"/>
        <item m="1" x="7597"/>
        <item m="1" x="7762"/>
        <item m="1" x="7927"/>
        <item m="1" x="2005"/>
        <item m="1" x="2300"/>
        <item m="1" x="6816"/>
        <item m="1" x="7089"/>
        <item m="1" x="7390"/>
        <item m="1" x="7605"/>
        <item m="1" x="7770"/>
        <item m="1" x="7935"/>
        <item m="1" x="2013"/>
        <item m="1" x="2308"/>
        <item m="1" x="6819"/>
        <item m="1" x="7096"/>
        <item m="1" x="7398"/>
        <item m="1" x="7613"/>
        <item m="1" x="7778"/>
        <item m="1" x="7943"/>
        <item m="1" x="2021"/>
        <item m="1" x="2316"/>
        <item m="1" x="6822"/>
        <item m="1" x="7103"/>
        <item m="1" x="7406"/>
        <item m="1" x="7621"/>
        <item m="1" x="7786"/>
        <item m="1" x="7951"/>
        <item m="1" x="2029"/>
        <item m="1" x="2324"/>
        <item m="1" x="6830"/>
        <item m="1" x="7115"/>
        <item m="1" x="7416"/>
        <item m="1" x="7629"/>
        <item m="1" x="7794"/>
        <item m="1" x="7959"/>
        <item m="1" x="2040"/>
        <item m="1" x="2336"/>
        <item m="1" x="6840"/>
        <item m="1" x="7129"/>
        <item m="1" x="7427"/>
        <item m="1" x="7637"/>
        <item m="1" x="7802"/>
        <item m="1" x="7967"/>
        <item m="1" x="2054"/>
        <item m="1" x="2352"/>
        <item m="1" x="2185"/>
        <item m="1" x="2492"/>
        <item m="1" x="2734"/>
        <item m="1" x="2907"/>
        <item m="1" x="3067"/>
        <item m="1" x="3227"/>
        <item m="1" x="3387"/>
        <item m="1" x="3563"/>
        <item m="1" x="3825"/>
        <item m="1" x="2200"/>
        <item m="1" x="2507"/>
        <item m="1" x="2744"/>
        <item m="1" x="2915"/>
        <item m="1" x="3075"/>
        <item m="1" x="3235"/>
        <item m="1" x="3395"/>
        <item m="1" x="3573"/>
        <item m="1" x="3840"/>
        <item m="1" x="2211"/>
        <item m="1" x="2519"/>
        <item m="1" x="2753"/>
        <item m="1" x="2923"/>
        <item m="1" x="3083"/>
        <item m="1" x="3243"/>
        <item m="1" x="3403"/>
        <item m="1" x="3583"/>
        <item m="1" x="3853"/>
        <item m="1" x="2218"/>
        <item m="1" x="2527"/>
        <item m="1" x="2761"/>
        <item m="1" x="2931"/>
        <item m="1" x="3091"/>
        <item m="1" x="3251"/>
        <item m="1" x="3411"/>
        <item m="1" x="3591"/>
        <item m="1" x="3861"/>
        <item m="1" x="2225"/>
        <item m="1" x="2535"/>
        <item m="1" x="2769"/>
        <item m="1" x="2939"/>
        <item m="1" x="3099"/>
        <item m="1" x="3259"/>
        <item m="1" x="3419"/>
        <item m="1" x="3599"/>
        <item m="1" x="3869"/>
        <item m="1" x="2232"/>
        <item m="1" x="2543"/>
        <item m="1" x="2777"/>
        <item m="1" x="2947"/>
        <item m="1" x="3107"/>
        <item m="1" x="3267"/>
        <item m="1" x="3427"/>
        <item m="1" x="3607"/>
        <item m="1" x="3877"/>
        <item m="1" x="2239"/>
        <item m="1" x="2551"/>
        <item m="1" x="2785"/>
        <item m="1" x="2955"/>
        <item m="1" x="3115"/>
        <item m="1" x="3275"/>
        <item m="1" x="3435"/>
        <item m="1" x="3615"/>
        <item m="1" x="3885"/>
        <item m="1" x="2246"/>
        <item m="1" x="2559"/>
        <item m="1" x="2793"/>
        <item m="1" x="2963"/>
        <item m="1" x="3123"/>
        <item m="1" x="3283"/>
        <item m="1" x="3443"/>
        <item m="1" x="3623"/>
        <item m="1" x="3893"/>
        <item m="1" x="2258"/>
        <item m="1" x="2570"/>
        <item m="1" x="2802"/>
        <item m="1" x="2971"/>
        <item m="1" x="3131"/>
        <item m="1" x="3291"/>
        <item m="1" x="3451"/>
        <item m="1" x="3632"/>
        <item m="1" x="3903"/>
        <item m="1" x="2273"/>
        <item m="1" x="2583"/>
        <item m="1" x="2811"/>
        <item m="1" x="2979"/>
        <item m="1" x="3139"/>
        <item m="1" x="3299"/>
        <item m="1" x="3459"/>
        <item m="1" x="3644"/>
        <item m="1" x="3918"/>
        <item m="1" x="3531"/>
        <item m="1" x="3753"/>
        <item m="1" x="4045"/>
        <item m="1" x="4283"/>
        <item m="1" x="4456"/>
        <item m="1" x="4616"/>
        <item m="1" x="4776"/>
        <item m="1" x="4936"/>
        <item m="1" x="5112"/>
        <item m="1" x="5374"/>
        <item m="1" x="3541"/>
        <item m="1" x="3768"/>
        <item m="1" x="4061"/>
        <item m="1" x="4294"/>
        <item m="1" x="4465"/>
        <item m="1" x="4625"/>
        <item m="1" x="4785"/>
        <item m="1" x="4945"/>
        <item m="1" x="5123"/>
        <item m="1" x="5390"/>
        <item m="1" x="3547"/>
        <item m="1" x="3779"/>
        <item m="1" x="4074"/>
        <item m="1" x="4304"/>
        <item m="1" x="4474"/>
        <item m="1" x="4634"/>
        <item m="1" x="4794"/>
        <item m="1" x="4954"/>
        <item m="1" x="5134"/>
        <item m="1" x="5404"/>
        <item m="1" x="3549"/>
        <item m="1" x="3786"/>
        <item m="1" x="4083"/>
        <item m="1" x="4313"/>
        <item m="1" x="4483"/>
        <item m="1" x="4643"/>
        <item m="1" x="4803"/>
        <item m="1" x="4963"/>
        <item m="1" x="5143"/>
        <item m="1" x="5413"/>
        <item m="1" x="3551"/>
        <item m="1" x="3793"/>
        <item m="1" x="4092"/>
        <item m="1" x="4322"/>
        <item m="1" x="4492"/>
        <item m="1" x="4652"/>
        <item m="1" x="4812"/>
        <item m="1" x="4972"/>
        <item m="1" x="5152"/>
        <item m="1" x="5422"/>
        <item m="1" x="3553"/>
        <item m="1" x="3800"/>
        <item m="1" x="4101"/>
        <item m="1" x="4331"/>
        <item m="1" x="4501"/>
        <item m="1" x="4661"/>
        <item m="1" x="4821"/>
        <item m="1" x="4981"/>
        <item m="1" x="5161"/>
        <item m="1" x="5431"/>
        <item m="1" x="3555"/>
        <item m="1" x="3807"/>
        <item m="1" x="4110"/>
        <item m="1" x="4340"/>
        <item m="1" x="4510"/>
        <item m="1" x="4670"/>
        <item m="1" x="4830"/>
        <item m="1" x="4990"/>
        <item m="1" x="5170"/>
        <item m="1" x="5440"/>
        <item m="1" x="3557"/>
        <item m="1" x="3814"/>
        <item m="1" x="4119"/>
        <item m="1" x="4349"/>
        <item m="1" x="4519"/>
        <item m="1" x="4679"/>
        <item m="1" x="4839"/>
        <item m="1" x="4999"/>
        <item m="1" x="5179"/>
        <item m="1" x="5449"/>
        <item m="1" x="3564"/>
        <item m="1" x="3826"/>
        <item m="1" x="4131"/>
        <item m="1" x="4359"/>
        <item m="1" x="4528"/>
        <item m="1" x="4688"/>
        <item m="1" x="4848"/>
        <item m="1" x="5008"/>
        <item m="1" x="5189"/>
        <item m="1" x="5460"/>
        <item m="1" x="3574"/>
        <item m="1" x="3841"/>
        <item m="1" x="4145"/>
        <item m="1" x="4369"/>
        <item m="1" x="4537"/>
        <item m="1" x="4697"/>
        <item m="1" x="4857"/>
        <item m="1" x="5017"/>
        <item m="1" x="5202"/>
        <item m="1" x="5476"/>
        <item m="1" x="5081"/>
        <item m="1" x="5303"/>
        <item m="1" x="5605"/>
        <item m="1" x="5873"/>
        <item m="1" x="6059"/>
        <item m="1" x="6220"/>
        <item m="1" x="6381"/>
        <item m="1" x="6542"/>
        <item m="1" x="6711"/>
        <item m="1" x="6952"/>
        <item m="1" x="5090"/>
        <item m="1" x="5317"/>
        <item m="1" x="5621"/>
        <item m="1" x="5885"/>
        <item m="1" x="6068"/>
        <item m="1" x="6229"/>
        <item m="1" x="6390"/>
        <item m="1" x="6551"/>
        <item m="1" x="6721"/>
        <item m="1" x="6967"/>
        <item m="1" x="5097"/>
        <item m="1" x="5329"/>
        <item m="1" x="5635"/>
        <item m="1" x="5896"/>
        <item m="1" x="6077"/>
        <item m="1" x="6238"/>
        <item m="1" x="6399"/>
        <item m="1" x="6560"/>
        <item m="1" x="6731"/>
        <item m="1" x="6981"/>
        <item m="1" x="5099"/>
        <item m="1" x="5336"/>
        <item m="1" x="5644"/>
        <item m="1" x="5905"/>
        <item m="1" x="6086"/>
        <item m="1" x="6247"/>
        <item m="1" x="6408"/>
        <item m="1" x="6569"/>
        <item m="1" x="6740"/>
        <item m="1" x="6991"/>
        <item m="1" x="5101"/>
        <item m="1" x="5343"/>
        <item m="1" x="5653"/>
        <item m="1" x="5914"/>
        <item m="1" x="6095"/>
        <item m="1" x="6256"/>
        <item m="1" x="6417"/>
        <item m="1" x="6578"/>
        <item m="1" x="6749"/>
        <item m="1" x="7000"/>
        <item m="1" x="5103"/>
        <item m="1" x="5350"/>
        <item m="1" x="5662"/>
        <item m="1" x="5923"/>
        <item m="1" x="6104"/>
        <item m="1" x="6265"/>
        <item m="1" x="6426"/>
        <item m="1" x="6587"/>
        <item m="1" x="6758"/>
        <item m="1" x="7009"/>
        <item m="1" x="5105"/>
        <item m="1" x="5357"/>
        <item m="1" x="5671"/>
        <item m="1" x="5932"/>
        <item m="1" x="6113"/>
        <item m="1" x="6274"/>
        <item m="1" x="6435"/>
        <item m="1" x="6596"/>
        <item m="1" x="6767"/>
        <item m="1" x="7018"/>
        <item m="1" x="5107"/>
        <item m="1" x="5364"/>
        <item m="1" x="5680"/>
        <item m="1" x="5941"/>
        <item m="1" x="6122"/>
        <item m="1" x="6283"/>
        <item m="1" x="6444"/>
        <item m="1" x="6605"/>
        <item m="1" x="6776"/>
        <item m="1" x="7027"/>
        <item m="1" x="5113"/>
        <item m="1" x="5375"/>
        <item m="1" x="5692"/>
        <item m="1" x="5951"/>
        <item m="1" x="6131"/>
        <item m="1" x="6292"/>
        <item m="1" x="6453"/>
        <item m="1" x="6614"/>
        <item m="1" x="6785"/>
        <item m="1" x="7037"/>
        <item m="1" x="5124"/>
        <item m="1" x="5391"/>
        <item m="1" x="5708"/>
        <item m="1" x="5962"/>
        <item m="1" x="6140"/>
        <item m="1" x="6301"/>
        <item m="1" x="6462"/>
        <item m="1" x="6623"/>
        <item m="1" x="6797"/>
        <item m="1" x="7052"/>
        <item m="1" x="7053"/>
        <item m="1" x="7350"/>
        <item m="1" x="7568"/>
        <item m="1" x="7734"/>
        <item m="1" x="7899"/>
        <item m="1" x="2265"/>
        <item m="1" x="2576"/>
        <item m="1" x="7065"/>
        <item m="1" x="7362"/>
        <item m="1" x="7577"/>
        <item m="1" x="7742"/>
        <item m="1" x="7907"/>
        <item m="1" x="2279"/>
        <item m="1" x="2588"/>
        <item m="1" x="7072"/>
        <item m="1" x="7370"/>
        <item m="1" x="7585"/>
        <item m="1" x="7750"/>
        <item m="1" x="7915"/>
        <item m="1" x="1992"/>
        <item m="1" x="2288"/>
        <item m="1" x="2594"/>
        <item m="1" x="7079"/>
        <item m="1" x="7378"/>
        <item m="1" x="7593"/>
        <item m="1" x="7758"/>
        <item m="1" x="7923"/>
        <item m="1" x="2001"/>
        <item m="1" x="2296"/>
        <item m="1" x="2599"/>
        <item m="1" x="7086"/>
        <item m="1" x="7386"/>
        <item m="1" x="7601"/>
        <item m="1" x="7766"/>
        <item m="1" x="7931"/>
        <item m="1" x="2009"/>
        <item m="1" x="2304"/>
        <item m="1" x="2604"/>
        <item m="1" x="7093"/>
        <item m="1" x="7394"/>
        <item m="1" x="7609"/>
        <item m="1" x="7774"/>
        <item m="1" x="7939"/>
        <item m="1" x="2017"/>
        <item m="1" x="2312"/>
        <item m="1" x="2609"/>
        <item m="1" x="7100"/>
        <item m="1" x="7402"/>
        <item m="1" x="7617"/>
        <item m="1" x="7782"/>
        <item m="1" x="7947"/>
        <item m="1" x="2025"/>
        <item m="1" x="2320"/>
        <item m="1" x="2614"/>
        <item m="1" x="7109"/>
        <item m="1" x="7411"/>
        <item m="1" x="7625"/>
        <item m="1" x="7790"/>
        <item m="1" x="7955"/>
        <item m="1" x="2034"/>
        <item m="1" x="2329"/>
        <item m="1" x="2620"/>
        <item m="1" x="7123"/>
        <item m="1" x="7422"/>
        <item m="1" x="7633"/>
        <item m="1" x="7798"/>
        <item m="1" x="7963"/>
        <item m="1" x="2047"/>
        <item m="1" x="2344"/>
        <item m="1" x="2632"/>
        <item m="1" x="7136"/>
        <item m="1" x="7432"/>
        <item m="1" x="7640"/>
        <item m="1" x="7805"/>
        <item m="1" x="2060"/>
        <item m="1" x="2359"/>
        <item m="1" x="2644"/>
        <item m="1" x="2193"/>
        <item m="1" x="2500"/>
        <item m="1" x="2739"/>
        <item m="1" x="2911"/>
        <item m="1" x="3071"/>
        <item m="1" x="3231"/>
        <item m="1" x="3391"/>
        <item m="1" x="3569"/>
        <item m="1" x="3833"/>
        <item m="1" x="4138"/>
        <item m="1" x="2207"/>
        <item m="1" x="2514"/>
        <item m="1" x="2749"/>
        <item m="1" x="2919"/>
        <item m="1" x="3079"/>
        <item m="1" x="3239"/>
        <item m="1" x="3399"/>
        <item m="1" x="3579"/>
        <item m="1" x="3847"/>
        <item m="1" x="4151"/>
        <item m="1" x="2215"/>
        <item m="1" x="2523"/>
        <item m="1" x="2757"/>
        <item m="1" x="2927"/>
        <item m="1" x="3087"/>
        <item m="1" x="3247"/>
        <item m="1" x="3407"/>
        <item m="1" x="3587"/>
        <item m="1" x="3857"/>
        <item m="1" x="4158"/>
        <item m="1" x="2222"/>
        <item m="1" x="2531"/>
        <item m="1" x="2765"/>
        <item m="1" x="2935"/>
        <item m="1" x="3095"/>
        <item m="1" x="3255"/>
        <item m="1" x="3415"/>
        <item m="1" x="3595"/>
        <item m="1" x="3865"/>
        <item m="1" x="4163"/>
        <item m="1" x="2229"/>
        <item m="1" x="2539"/>
        <item m="1" x="2773"/>
        <item m="1" x="2943"/>
        <item m="1" x="3103"/>
        <item m="1" x="3263"/>
        <item m="1" x="3423"/>
        <item m="1" x="3603"/>
        <item m="1" x="3873"/>
        <item m="1" x="4168"/>
        <item m="1" x="2236"/>
        <item m="1" x="2547"/>
        <item m="1" x="2781"/>
        <item m="1" x="2951"/>
        <item m="1" x="3111"/>
        <item m="1" x="3271"/>
        <item m="1" x="3431"/>
        <item m="1" x="3611"/>
        <item m="1" x="3881"/>
        <item m="1" x="4173"/>
        <item m="1" x="2243"/>
        <item m="1" x="2555"/>
        <item m="1" x="2789"/>
        <item m="1" x="2959"/>
        <item m="1" x="3119"/>
        <item m="1" x="3279"/>
        <item m="1" x="3439"/>
        <item m="1" x="3619"/>
        <item m="1" x="3889"/>
        <item m="1" x="4178"/>
        <item m="1" x="2251"/>
        <item m="1" x="2564"/>
        <item m="1" x="2797"/>
        <item m="1" x="2967"/>
        <item m="1" x="3127"/>
        <item m="1" x="3287"/>
        <item m="1" x="3447"/>
        <item m="1" x="3627"/>
        <item m="1" x="3897"/>
        <item m="1" x="4183"/>
        <item m="1" x="2266"/>
        <item m="1" x="2577"/>
        <item m="1" x="2806"/>
        <item m="1" x="2975"/>
        <item m="1" x="3135"/>
        <item m="1" x="3295"/>
        <item m="1" x="3455"/>
        <item m="1" x="3638"/>
        <item m="1" x="3910"/>
        <item m="1" x="4193"/>
        <item m="1" x="2280"/>
        <item m="1" x="2589"/>
        <item m="1" x="2814"/>
        <item m="1" x="2982"/>
        <item m="1" x="3142"/>
        <item m="1" x="3302"/>
        <item m="1" x="3462"/>
        <item m="1" x="3649"/>
        <item m="1" x="3924"/>
        <item m="1" x="4204"/>
        <item m="1" x="3761"/>
        <item m="1" x="4054"/>
        <item m="1" x="4289"/>
        <item m="1" x="4461"/>
        <item m="1" x="4621"/>
        <item m="1" x="4781"/>
        <item m="1" x="4941"/>
        <item m="1" x="5119"/>
        <item m="1" x="5383"/>
        <item m="1" x="5700"/>
        <item m="1" x="3775"/>
        <item m="1" x="4069"/>
        <item m="1" x="4300"/>
        <item m="1" x="4470"/>
        <item m="1" x="4630"/>
        <item m="1" x="4790"/>
        <item m="1" x="4950"/>
        <item m="1" x="5130"/>
        <item m="1" x="5398"/>
        <item m="1" x="5715"/>
        <item m="1" x="3783"/>
        <item m="1" x="4079"/>
        <item m="1" x="4309"/>
        <item m="1" x="4479"/>
        <item m="1" x="4639"/>
        <item m="1" x="4799"/>
        <item m="1" x="4959"/>
        <item m="1" x="5139"/>
        <item m="1" x="5409"/>
        <item m="1" x="5724"/>
        <item m="1" x="3790"/>
        <item m="1" x="4088"/>
        <item m="1" x="4318"/>
        <item m="1" x="4488"/>
        <item m="1" x="4648"/>
        <item m="1" x="4808"/>
        <item m="1" x="4968"/>
        <item m="1" x="5148"/>
        <item m="1" x="5418"/>
        <item m="1" x="5731"/>
        <item m="1" x="3797"/>
        <item m="1" x="4097"/>
        <item m="1" x="4327"/>
        <item m="1" x="4497"/>
        <item m="1" x="4657"/>
        <item m="1" x="4817"/>
        <item m="1" x="4977"/>
        <item m="1" x="5157"/>
        <item m="1" x="5427"/>
        <item m="1" x="5738"/>
        <item m="1" x="3804"/>
        <item m="1" x="4106"/>
        <item m="1" x="4336"/>
        <item m="1" x="4506"/>
        <item m="1" x="4666"/>
        <item m="1" x="4826"/>
        <item m="1" x="4986"/>
        <item m="1" x="5166"/>
        <item m="1" x="5436"/>
        <item m="1" x="5745"/>
        <item m="1" x="3811"/>
        <item m="1" x="4115"/>
        <item m="1" x="4345"/>
        <item m="1" x="4515"/>
        <item m="1" x="4675"/>
        <item m="1" x="4835"/>
        <item m="1" x="4995"/>
        <item m="1" x="5175"/>
        <item m="1" x="5445"/>
        <item m="1" x="5752"/>
        <item m="1" x="3819"/>
        <item m="1" x="4125"/>
        <item m="1" x="4354"/>
        <item m="1" x="4524"/>
        <item m="1" x="4684"/>
        <item m="1" x="4844"/>
        <item m="1" x="5004"/>
        <item m="1" x="5184"/>
        <item m="1" x="5454"/>
        <item m="1" x="5759"/>
        <item m="1" x="3834"/>
        <item m="1" x="4139"/>
        <item m="1" x="4364"/>
        <item m="1" x="4533"/>
        <item m="1" x="4693"/>
        <item m="1" x="4853"/>
        <item m="1" x="5013"/>
        <item m="1" x="5196"/>
        <item m="1" x="5468"/>
        <item m="1" x="5771"/>
        <item m="1" x="3848"/>
        <item m="1" x="4152"/>
        <item m="1" x="4373"/>
        <item m="1" x="4541"/>
        <item m="1" x="4701"/>
        <item m="1" x="4861"/>
        <item m="1" x="5021"/>
        <item m="1" x="5208"/>
        <item m="1" x="5483"/>
        <item m="1" x="5784"/>
        <item m="1" x="5310"/>
        <item m="1" x="5613"/>
        <item m="1" x="5879"/>
        <item m="1" x="6064"/>
        <item m="1" x="6225"/>
        <item m="1" x="6386"/>
        <item m="1" x="6547"/>
        <item m="1" x="6717"/>
        <item m="1" x="6960"/>
        <item m="1" x="7270"/>
        <item m="1" x="5324"/>
        <item m="1" x="5629"/>
        <item m="1" x="5891"/>
        <item m="1" x="6073"/>
        <item m="1" x="6234"/>
        <item m="1" x="6395"/>
        <item m="1" x="6556"/>
        <item m="1" x="6727"/>
        <item m="1" x="6975"/>
        <item m="1" x="7285"/>
        <item m="1" x="5333"/>
        <item m="1" x="5640"/>
        <item m="1" x="5901"/>
        <item m="1" x="6082"/>
        <item m="1" x="6243"/>
        <item m="1" x="6404"/>
        <item m="1" x="6565"/>
        <item m="1" x="6736"/>
        <item m="1" x="6987"/>
        <item m="1" x="7296"/>
        <item m="1" x="5340"/>
        <item m="1" x="5649"/>
        <item m="1" x="5910"/>
        <item m="1" x="6091"/>
        <item m="1" x="6252"/>
        <item m="1" x="6413"/>
        <item m="1" x="6574"/>
        <item m="1" x="6745"/>
        <item m="1" x="6996"/>
        <item m="1" x="7303"/>
        <item m="1" x="5347"/>
        <item m="1" x="5658"/>
        <item m="1" x="5919"/>
        <item m="1" x="6100"/>
        <item m="1" x="6261"/>
        <item m="1" x="6422"/>
        <item m="1" x="6583"/>
        <item m="1" x="6754"/>
        <item m="1" x="7005"/>
        <item m="1" x="7310"/>
        <item m="1" x="5354"/>
        <item m="1" x="5667"/>
        <item m="1" x="5928"/>
        <item m="1" x="6109"/>
        <item m="1" x="6270"/>
        <item m="1" x="6431"/>
        <item m="1" x="6592"/>
        <item m="1" x="6763"/>
        <item m="1" x="7014"/>
        <item m="1" x="7317"/>
        <item m="1" x="5361"/>
        <item m="1" x="5676"/>
        <item m="1" x="5937"/>
        <item m="1" x="6118"/>
        <item m="1" x="6279"/>
        <item m="1" x="6440"/>
        <item m="1" x="6601"/>
        <item m="1" x="6772"/>
        <item m="1" x="7023"/>
        <item m="1" x="7324"/>
        <item m="1" x="5369"/>
        <item m="1" x="5686"/>
        <item m="1" x="5946"/>
        <item m="1" x="6127"/>
        <item m="1" x="6288"/>
        <item m="1" x="6449"/>
        <item m="1" x="6610"/>
        <item m="1" x="6781"/>
        <item m="1" x="7032"/>
        <item m="1" x="7331"/>
        <item m="1" x="5384"/>
        <item m="1" x="5701"/>
        <item m="1" x="5957"/>
        <item m="1" x="6136"/>
        <item m="1" x="6297"/>
        <item m="1" x="6458"/>
        <item m="1" x="6619"/>
        <item m="1" x="6792"/>
        <item m="1" x="7045"/>
        <item m="1" x="7343"/>
        <item m="1" x="5399"/>
        <item m="1" x="5716"/>
        <item m="1" x="5967"/>
        <item m="1" x="6144"/>
        <item m="1" x="6305"/>
        <item m="1" x="6466"/>
        <item m="1" x="6627"/>
        <item m="1" x="6803"/>
        <item m="1" x="7060"/>
        <item m="1" x="7357"/>
        <item m="1" x="6894"/>
        <item m="1" x="7187"/>
        <item m="1" x="7457"/>
        <item m="1" x="7646"/>
        <item m="1" x="7811"/>
        <item m="1" x="2105"/>
        <item m="1" x="2416"/>
        <item m="1" x="6908"/>
        <item m="1" x="7203"/>
        <item m="1" x="7469"/>
        <item m="1" x="7655"/>
        <item m="1" x="7820"/>
        <item m="1" x="2120"/>
        <item m="1" x="2432"/>
        <item m="1" x="6916"/>
        <item m="1" x="7214"/>
        <item m="1" x="7479"/>
        <item m="1" x="7664"/>
        <item m="1" x="7829"/>
        <item m="1" x="2132"/>
        <item m="1" x="2444"/>
        <item m="1" x="6922"/>
        <item m="1" x="7223"/>
        <item m="1" x="7488"/>
        <item m="1" x="7673"/>
        <item m="1" x="7838"/>
        <item m="1" x="2141"/>
        <item m="1" x="2452"/>
        <item m="1" x="6928"/>
        <item m="1" x="7232"/>
        <item m="1" x="7497"/>
        <item m="1" x="7682"/>
        <item m="1" x="7847"/>
        <item m="1" x="2150"/>
        <item m="1" x="2460"/>
        <item m="1" x="6934"/>
        <item m="1" x="7240"/>
        <item m="1" x="7505"/>
        <item m="1" x="7690"/>
        <item m="1" x="7855"/>
        <item m="1" x="2158"/>
        <item m="1" x="2467"/>
        <item m="1" x="6940"/>
        <item m="1" x="7248"/>
        <item m="1" x="7513"/>
        <item m="1" x="7698"/>
        <item m="1" x="7863"/>
        <item m="1" x="2166"/>
        <item m="1" x="2474"/>
        <item m="1" x="6947"/>
        <item m="1" x="7257"/>
        <item m="1" x="7521"/>
        <item m="1" x="7706"/>
        <item m="1" x="7871"/>
        <item m="1" x="2174"/>
        <item m="1" x="2481"/>
        <item m="1" x="6961"/>
        <item m="1" x="7271"/>
        <item m="1" x="7531"/>
        <item m="1" x="7714"/>
        <item m="1" x="7879"/>
        <item m="1" x="2186"/>
        <item m="1" x="2493"/>
        <item m="1" x="6976"/>
        <item m="1" x="7286"/>
        <item m="1" x="7541"/>
        <item m="1" x="7722"/>
        <item m="1" x="7887"/>
        <item m="1" x="2201"/>
        <item m="1" x="2508"/>
        <item m="1" x="2041"/>
        <item m="1" x="2337"/>
        <item m="1" x="2626"/>
        <item m="1" x="2826"/>
        <item m="1" x="2987"/>
        <item m="1" x="3147"/>
        <item m="1" x="3307"/>
        <item m="1" x="3467"/>
        <item m="1" x="3680"/>
        <item m="1" x="3974"/>
        <item m="1" x="2055"/>
        <item m="1" x="2353"/>
        <item m="1" x="2639"/>
        <item m="1" x="2835"/>
        <item m="1" x="2995"/>
        <item m="1" x="3155"/>
        <item m="1" x="3315"/>
        <item m="1" x="3475"/>
        <item m="1" x="3692"/>
        <item m="1" x="3988"/>
        <item m="1" x="2064"/>
        <item m="1" x="2364"/>
        <item m="1" x="2649"/>
        <item m="1" x="2843"/>
        <item m="1" x="3003"/>
        <item m="1" x="3163"/>
        <item m="1" x="3323"/>
        <item m="1" x="3483"/>
        <item m="1" x="3703"/>
        <item m="1" x="4000"/>
        <item m="1" x="2070"/>
        <item m="1" x="2372"/>
        <item m="1" x="2657"/>
        <item m="1" x="2851"/>
        <item m="1" x="3011"/>
        <item m="1" x="3171"/>
        <item m="1" x="3331"/>
        <item m="1" x="3491"/>
        <item m="1" x="3711"/>
        <item m="1" x="4007"/>
        <item m="1" x="2076"/>
        <item m="1" x="2380"/>
        <item m="1" x="2665"/>
        <item m="1" x="2859"/>
        <item m="1" x="3019"/>
        <item m="1" x="3179"/>
        <item m="1" x="3339"/>
        <item m="1" x="3499"/>
        <item m="1" x="3719"/>
        <item m="1" x="4014"/>
        <item m="1" x="2082"/>
        <item m="1" x="2388"/>
        <item m="1" x="2673"/>
        <item m="1" x="2867"/>
        <item m="1" x="3027"/>
        <item m="1" x="3187"/>
        <item m="1" x="3347"/>
        <item m="1" x="3507"/>
        <item m="1" x="3727"/>
        <item m="1" x="4021"/>
        <item m="1" x="2088"/>
        <item m="1" x="2396"/>
        <item m="1" x="2681"/>
        <item m="1" x="2875"/>
        <item m="1" x="3035"/>
        <item m="1" x="3195"/>
        <item m="1" x="3355"/>
        <item m="1" x="3515"/>
        <item m="1" x="3735"/>
        <item m="1" x="4028"/>
        <item m="1" x="2094"/>
        <item m="1" x="2404"/>
        <item m="1" x="2689"/>
        <item m="1" x="2883"/>
        <item m="1" x="3043"/>
        <item m="1" x="3203"/>
        <item m="1" x="3363"/>
        <item m="1" x="3523"/>
        <item m="1" x="3743"/>
        <item m="1" x="4035"/>
        <item m="1" x="2106"/>
        <item m="1" x="2417"/>
        <item m="1" x="2699"/>
        <item m="1" x="2891"/>
        <item m="1" x="3051"/>
        <item m="1" x="3211"/>
        <item m="1" x="3371"/>
        <item m="1" x="3532"/>
        <item m="1" x="3754"/>
        <item m="1" x="4046"/>
        <item m="1" x="2121"/>
        <item m="1" x="2433"/>
        <item m="1" x="2710"/>
        <item m="1" x="2899"/>
        <item m="1" x="3059"/>
        <item m="1" x="3219"/>
        <item m="1" x="3379"/>
        <item m="1" x="3542"/>
        <item m="1" x="3769"/>
        <item m="1" x="4062"/>
        <item m="1" x="3633"/>
        <item m="1" x="3904"/>
        <item m="1" x="4188"/>
        <item m="1" x="4384"/>
        <item m="1" x="4545"/>
        <item m="1" x="4705"/>
        <item m="1" x="4865"/>
        <item m="1" x="5025"/>
        <item m="1" x="5238"/>
        <item m="1" x="5533"/>
        <item m="1" x="3645"/>
        <item m="1" x="3919"/>
        <item m="1" x="4200"/>
        <item m="1" x="4392"/>
        <item m="1" x="4552"/>
        <item m="1" x="4712"/>
        <item m="1" x="4872"/>
        <item m="1" x="5032"/>
        <item m="1" x="5249"/>
        <item m="1" x="5547"/>
        <item m="1" x="3652"/>
        <item m="1" x="3929"/>
        <item m="1" x="4209"/>
        <item m="1" x="4399"/>
        <item m="1" x="4559"/>
        <item m="1" x="4719"/>
        <item m="1" x="4879"/>
        <item m="1" x="5039"/>
        <item m="1" x="5259"/>
        <item m="1" x="5560"/>
        <item m="1" x="3656"/>
        <item m="1" x="3936"/>
        <item m="1" x="4216"/>
        <item m="1" x="4406"/>
        <item m="1" x="4566"/>
        <item m="1" x="4726"/>
        <item m="1" x="4886"/>
        <item m="1" x="5046"/>
        <item m="1" x="5266"/>
        <item m="1" x="5567"/>
        <item m="1" x="3660"/>
        <item m="1" x="3943"/>
        <item m="1" x="4223"/>
        <item m="1" x="4413"/>
        <item m="1" x="4573"/>
        <item m="1" x="4733"/>
        <item m="1" x="4893"/>
        <item m="1" x="5053"/>
        <item m="1" x="5273"/>
        <item m="1" x="5574"/>
        <item m="1" x="3664"/>
        <item m="1" x="3950"/>
        <item m="1" x="4230"/>
        <item m="1" x="4420"/>
        <item m="1" x="4580"/>
        <item m="1" x="4740"/>
        <item m="1" x="4900"/>
        <item m="1" x="5060"/>
        <item m="1" x="5280"/>
        <item m="1" x="5581"/>
        <item m="1" x="3668"/>
        <item m="1" x="3957"/>
        <item m="1" x="4237"/>
        <item m="1" x="4427"/>
        <item m="1" x="4587"/>
        <item m="1" x="4747"/>
        <item m="1" x="4907"/>
        <item m="1" x="5067"/>
        <item m="1" x="5287"/>
        <item m="1" x="5588"/>
        <item m="1" x="3672"/>
        <item m="1" x="3964"/>
        <item m="1" x="4244"/>
        <item m="1" x="4434"/>
        <item m="1" x="4594"/>
        <item m="1" x="4754"/>
        <item m="1" x="4914"/>
        <item m="1" x="5074"/>
        <item m="1" x="5294"/>
        <item m="1" x="5595"/>
        <item m="1" x="3681"/>
        <item m="1" x="3975"/>
        <item m="1" x="4252"/>
        <item m="1" x="4441"/>
        <item m="1" x="4601"/>
        <item m="1" x="4761"/>
        <item m="1" x="4921"/>
        <item m="1" x="5082"/>
        <item m="1" x="5304"/>
        <item m="1" x="5606"/>
        <item m="1" x="3693"/>
        <item m="1" x="3989"/>
        <item m="1" x="4261"/>
        <item m="1" x="4448"/>
        <item m="1" x="4608"/>
        <item m="1" x="4768"/>
        <item m="1" x="4928"/>
        <item m="1" x="5091"/>
        <item m="1" x="5318"/>
        <item m="1" x="5622"/>
        <item m="1" x="5190"/>
        <item m="1" x="5461"/>
        <item m="1" x="5765"/>
        <item m="1" x="5984"/>
        <item m="1" x="6148"/>
        <item m="1" x="6309"/>
        <item m="1" x="6470"/>
        <item m="1" x="6631"/>
        <item m="1" x="6826"/>
        <item m="1" x="7110"/>
        <item m="1" x="5203"/>
        <item m="1" x="5477"/>
        <item m="1" x="5779"/>
        <item m="1" x="5993"/>
        <item m="1" x="6155"/>
        <item m="1" x="6316"/>
        <item m="1" x="6477"/>
        <item m="1" x="6638"/>
        <item m="1" x="6836"/>
        <item m="1" x="7124"/>
        <item m="1" x="5212"/>
        <item m="1" x="5489"/>
        <item m="1" x="5790"/>
        <item m="1" x="6001"/>
        <item m="1" x="6162"/>
        <item m="1" x="6323"/>
        <item m="1" x="6484"/>
        <item m="1" x="6645"/>
        <item m="1" x="6846"/>
        <item m="1" x="7137"/>
        <item m="1" x="5216"/>
        <item m="1" x="5496"/>
        <item m="1" x="5797"/>
        <item m="1" x="6008"/>
        <item m="1" x="6169"/>
        <item m="1" x="6330"/>
        <item m="1" x="6491"/>
        <item m="1" x="6652"/>
        <item m="1" x="6853"/>
        <item m="1" x="7144"/>
        <item m="1" x="5220"/>
        <item m="1" x="5503"/>
        <item m="1" x="5804"/>
        <item m="1" x="6015"/>
        <item m="1" x="6176"/>
        <item m="1" x="6337"/>
        <item m="1" x="6498"/>
        <item m="1" x="6659"/>
        <item m="1" x="6860"/>
        <item m="1" x="7151"/>
        <item m="1" x="5224"/>
        <item m="1" x="5510"/>
        <item m="1" x="5811"/>
        <item m="1" x="6022"/>
        <item m="1" x="6183"/>
        <item m="1" x="6344"/>
        <item m="1" x="6505"/>
        <item m="1" x="6666"/>
        <item m="1" x="6867"/>
        <item m="1" x="7158"/>
        <item m="1" x="5228"/>
        <item m="1" x="5517"/>
        <item m="1" x="5818"/>
        <item m="1" x="6029"/>
        <item m="1" x="6190"/>
        <item m="1" x="6351"/>
        <item m="1" x="6512"/>
        <item m="1" x="6673"/>
        <item m="1" x="6874"/>
        <item m="1" x="7165"/>
        <item m="1" x="5232"/>
        <item m="1" x="5524"/>
        <item m="1" x="5825"/>
        <item m="1" x="6036"/>
        <item m="1" x="6197"/>
        <item m="1" x="6358"/>
        <item m="1" x="6519"/>
        <item m="1" x="6680"/>
        <item m="1" x="6881"/>
        <item m="1" x="7172"/>
        <item m="1" x="5239"/>
        <item m="1" x="5534"/>
        <item m="1" x="5833"/>
        <item m="1" x="6043"/>
        <item m="1" x="6204"/>
        <item m="1" x="6365"/>
        <item m="1" x="6526"/>
        <item m="1" x="6687"/>
        <item m="1" x="6889"/>
        <item m="1" x="7181"/>
        <item m="1" x="5250"/>
        <item m="1" x="5548"/>
        <item m="1" x="5843"/>
        <item m="1" x="6050"/>
        <item m="1" x="6211"/>
        <item m="1" x="6372"/>
        <item m="1" x="6533"/>
        <item m="1" x="6695"/>
        <item m="1" x="6901"/>
        <item m="1" x="7196"/>
        <item m="1" x="6786"/>
        <item m="1" x="7038"/>
        <item m="1" x="7336"/>
        <item m="1" x="7559"/>
        <item m="1" x="7727"/>
        <item m="1" x="7892"/>
        <item m="1" x="2252"/>
        <item m="1" x="6798"/>
        <item m="1" x="7054"/>
        <item m="1" x="7351"/>
        <item m="1" x="7569"/>
        <item m="1" x="7735"/>
        <item m="1" x="7900"/>
        <item m="1" x="2267"/>
        <item m="1" x="6806"/>
        <item m="1" x="7066"/>
        <item m="1" x="7363"/>
        <item m="1" x="7578"/>
        <item m="1" x="7743"/>
        <item m="1" x="7908"/>
        <item m="1" x="2281"/>
        <item m="1" x="6809"/>
        <item m="1" x="7073"/>
        <item m="1" x="7371"/>
        <item m="1" x="7586"/>
        <item m="1" x="7751"/>
        <item m="1" x="7916"/>
        <item m="1" x="1993"/>
        <item m="1" x="2289"/>
        <item m="1" x="6812"/>
        <item m="1" x="7080"/>
        <item m="1" x="7379"/>
        <item m="1" x="7594"/>
        <item m="1" x="7759"/>
        <item m="1" x="7924"/>
        <item m="1" x="2002"/>
        <item m="1" x="2297"/>
        <item m="1" x="6815"/>
        <item m="1" x="7087"/>
        <item m="1" x="7387"/>
        <item m="1" x="7602"/>
        <item m="1" x="7767"/>
        <item m="1" x="7932"/>
        <item m="1" x="2010"/>
        <item m="1" x="2305"/>
        <item m="1" x="6818"/>
        <item m="1" x="7094"/>
        <item m="1" x="7395"/>
        <item m="1" x="7610"/>
        <item m="1" x="7775"/>
        <item m="1" x="7940"/>
        <item m="1" x="2018"/>
        <item m="1" x="2313"/>
        <item m="1" x="6821"/>
        <item m="1" x="7101"/>
        <item m="1" x="7403"/>
        <item m="1" x="7618"/>
        <item m="1" x="7783"/>
        <item m="1" x="7948"/>
        <item m="1" x="2026"/>
        <item m="1" x="2321"/>
        <item m="1" x="6827"/>
        <item m="1" x="7111"/>
        <item m="1" x="7412"/>
        <item m="1" x="7626"/>
        <item m="1" x="7791"/>
        <item m="1" x="7956"/>
        <item m="1" x="2035"/>
        <item m="1" x="2330"/>
        <item m="1" x="6837"/>
        <item m="1" x="7125"/>
        <item m="1" x="7423"/>
        <item m="1" x="7634"/>
        <item m="1" x="7799"/>
        <item m="1" x="7964"/>
        <item m="1" x="2048"/>
        <item m="1" x="2345"/>
        <item m="1" x="2179"/>
        <item m="1" x="2486"/>
        <item m="1" x="2730"/>
        <item m="1" x="2904"/>
        <item m="1" x="3064"/>
        <item m="1" x="3224"/>
        <item m="1" x="3384"/>
        <item m="1" x="3560"/>
        <item m="1" x="3820"/>
        <item m="1" x="2194"/>
        <item m="1" x="2501"/>
        <item m="1" x="2740"/>
        <item m="1" x="2912"/>
        <item m="1" x="3072"/>
        <item m="1" x="3232"/>
        <item m="1" x="3392"/>
        <item m="1" x="3570"/>
        <item m="1" x="3835"/>
        <item m="1" x="2208"/>
        <item m="1" x="2515"/>
        <item m="1" x="2750"/>
        <item m="1" x="2920"/>
        <item m="1" x="3080"/>
        <item m="1" x="3240"/>
        <item m="1" x="3400"/>
        <item m="1" x="3580"/>
        <item m="1" x="3849"/>
        <item m="1" x="2216"/>
        <item m="1" x="2524"/>
        <item m="1" x="2758"/>
        <item m="1" x="2928"/>
        <item m="1" x="3088"/>
        <item m="1" x="3248"/>
        <item m="1" x="3408"/>
        <item m="1" x="3588"/>
        <item m="1" x="3858"/>
        <item m="1" x="2223"/>
        <item m="1" x="2532"/>
        <item m="1" x="2766"/>
        <item m="1" x="2936"/>
        <item m="1" x="3096"/>
        <item m="1" x="3256"/>
        <item m="1" x="3416"/>
        <item m="1" x="3596"/>
        <item m="1" x="3866"/>
        <item m="1" x="2230"/>
        <item m="1" x="2540"/>
        <item m="1" x="2774"/>
        <item m="1" x="2944"/>
        <item m="1" x="3104"/>
        <item m="1" x="3264"/>
        <item m="1" x="3424"/>
        <item m="1" x="3604"/>
        <item m="1" x="3874"/>
        <item m="1" x="2237"/>
        <item m="1" x="2548"/>
        <item m="1" x="2782"/>
        <item m="1" x="2952"/>
        <item m="1" x="3112"/>
        <item m="1" x="3272"/>
        <item m="1" x="3432"/>
        <item m="1" x="3612"/>
        <item m="1" x="3882"/>
        <item m="1" x="2244"/>
        <item m="1" x="2556"/>
        <item m="1" x="2790"/>
        <item m="1" x="2960"/>
        <item m="1" x="3120"/>
        <item m="1" x="3280"/>
        <item m="1" x="3440"/>
        <item m="1" x="3620"/>
        <item m="1" x="3890"/>
        <item m="1" x="2253"/>
        <item m="1" x="2565"/>
        <item m="1" x="2798"/>
        <item m="1" x="2968"/>
        <item m="1" x="3128"/>
        <item m="1" x="3288"/>
        <item m="1" x="3448"/>
        <item m="1" x="3628"/>
        <item m="1" x="3898"/>
        <item m="1" x="2268"/>
        <item m="1" x="2578"/>
        <item m="1" x="2807"/>
        <item m="1" x="2976"/>
        <item m="1" x="3136"/>
        <item m="1" x="3296"/>
        <item m="1" x="3456"/>
        <item m="1" x="3639"/>
        <item m="1" x="3911"/>
        <item m="1" x="3912"/>
        <item m="1" x="4194"/>
        <item m="1" x="4387"/>
        <item m="1" x="4548"/>
        <item m="1" x="4708"/>
        <item m="1" x="4868"/>
        <item m="1" x="5028"/>
        <item m="1" x="5243"/>
        <item m="1" x="5539"/>
        <item m="1" x="5837"/>
        <item m="1" x="3925"/>
        <item m="1" x="4205"/>
        <item m="1" x="4395"/>
        <item m="1" x="4555"/>
        <item m="1" x="4715"/>
        <item m="1" x="4875"/>
        <item m="1" x="5035"/>
        <item m="1" x="5254"/>
        <item m="1" x="5554"/>
        <item m="1" x="5848"/>
        <item m="1" x="3932"/>
        <item m="1" x="4212"/>
        <item m="1" x="4402"/>
        <item m="1" x="4562"/>
        <item m="1" x="4722"/>
        <item m="1" x="4882"/>
        <item m="1" x="5042"/>
        <item m="1" x="5262"/>
        <item m="1" x="5563"/>
        <item m="1" x="5853"/>
        <item m="1" x="3939"/>
        <item m="1" x="4219"/>
        <item m="1" x="4409"/>
        <item m="1" x="4569"/>
        <item m="1" x="4729"/>
        <item m="1" x="4889"/>
        <item m="1" x="5049"/>
        <item m="1" x="5269"/>
        <item m="1" x="5570"/>
        <item m="1" x="5856"/>
        <item m="1" x="3946"/>
        <item m="1" x="4226"/>
        <item m="1" x="4416"/>
        <item m="1" x="4576"/>
        <item m="1" x="4736"/>
        <item m="1" x="4896"/>
        <item m="1" x="5056"/>
        <item m="1" x="5276"/>
        <item m="1" x="5577"/>
        <item m="1" x="5859"/>
        <item m="1" x="3953"/>
        <item m="1" x="4233"/>
        <item m="1" x="4423"/>
        <item m="1" x="4583"/>
        <item m="1" x="4743"/>
        <item m="1" x="4903"/>
        <item m="1" x="5063"/>
        <item m="1" x="5283"/>
        <item m="1" x="5584"/>
        <item m="1" x="5862"/>
        <item m="1" x="3960"/>
        <item m="1" x="4240"/>
        <item m="1" x="4430"/>
        <item m="1" x="4590"/>
        <item m="1" x="4750"/>
        <item m="1" x="4910"/>
        <item m="1" x="5070"/>
        <item m="1" x="5290"/>
        <item m="1" x="5591"/>
        <item m="1" x="5865"/>
        <item m="1" x="3968"/>
        <item m="1" x="4247"/>
        <item m="1" x="4437"/>
        <item m="1" x="4597"/>
        <item m="1" x="4757"/>
        <item m="1" x="4917"/>
        <item m="1" x="5077"/>
        <item m="1" x="5298"/>
        <item m="1" x="5599"/>
        <item m="1" x="5869"/>
        <item m="1" x="3981"/>
        <item m="1" x="4256"/>
        <item m="1" x="4444"/>
        <item m="1" x="4604"/>
        <item m="1" x="4764"/>
        <item m="1" x="4924"/>
        <item m="1" x="5086"/>
        <item m="1" x="5311"/>
        <item m="1" x="5614"/>
        <item m="1" x="5880"/>
        <item m="1" x="3995"/>
        <item m="1" x="4265"/>
        <item m="1" x="4451"/>
        <item m="1" x="4611"/>
        <item m="1" x="4771"/>
        <item m="1" x="4931"/>
        <item m="1" x="5095"/>
        <item m="1" x="5325"/>
        <item m="1" x="5630"/>
        <item m="1" x="5892"/>
        <item m="1" x="5469"/>
        <item m="1" x="5772"/>
        <item m="1" x="5988"/>
        <item m="1" x="6151"/>
        <item m="1" x="6312"/>
        <item m="1" x="6473"/>
        <item m="1" x="6634"/>
        <item m="1" x="6831"/>
        <item m="1" x="7116"/>
        <item m="1" x="7417"/>
        <item m="1" x="5484"/>
        <item m="1" x="5785"/>
        <item m="1" x="5997"/>
        <item m="1" x="6158"/>
        <item m="1" x="6319"/>
        <item m="1" x="6480"/>
        <item m="1" x="6641"/>
        <item m="1" x="6841"/>
        <item m="1" x="7130"/>
        <item m="1" x="7428"/>
        <item m="1" x="5492"/>
        <item m="1" x="5793"/>
        <item m="1" x="6004"/>
        <item m="1" x="6165"/>
        <item m="1" x="6326"/>
        <item m="1" x="6487"/>
        <item m="1" x="6648"/>
        <item m="1" x="6849"/>
        <item m="1" x="7140"/>
        <item m="1" x="7434"/>
        <item m="1" x="5499"/>
        <item m="1" x="5800"/>
        <item m="1" x="6011"/>
        <item m="1" x="6172"/>
        <item m="1" x="6333"/>
        <item m="1" x="6494"/>
        <item m="1" x="6655"/>
        <item m="1" x="6856"/>
        <item m="1" x="7147"/>
        <item m="1" x="7437"/>
        <item m="1" x="5506"/>
        <item m="1" x="5807"/>
        <item m="1" x="6018"/>
        <item m="1" x="6179"/>
        <item m="1" x="6340"/>
        <item m="1" x="6501"/>
        <item m="1" x="6662"/>
        <item m="1" x="6863"/>
        <item m="1" x="7154"/>
        <item m="1" x="7440"/>
        <item m="1" x="5513"/>
        <item m="1" x="5814"/>
        <item m="1" x="6025"/>
        <item m="1" x="6186"/>
        <item m="1" x="6347"/>
        <item m="1" x="6508"/>
        <item m="1" x="6669"/>
        <item m="1" x="6870"/>
        <item m="1" x="7161"/>
        <item m="1" x="7443"/>
        <item m="1" x="5520"/>
        <item m="1" x="5821"/>
        <item m="1" x="6032"/>
        <item m="1" x="6193"/>
        <item m="1" x="6354"/>
        <item m="1" x="6515"/>
        <item m="1" x="6676"/>
        <item m="1" x="6877"/>
        <item m="1" x="7168"/>
        <item m="1" x="7446"/>
        <item m="1" x="5527"/>
        <item m="1" x="5828"/>
        <item m="1" x="6039"/>
        <item m="1" x="6200"/>
        <item m="1" x="6361"/>
        <item m="1" x="6522"/>
        <item m="1" x="6683"/>
        <item m="1" x="6884"/>
        <item m="1" x="7175"/>
        <item m="1" x="7449"/>
        <item m="1" x="5540"/>
        <item m="1" x="5838"/>
        <item m="1" x="6046"/>
        <item m="1" x="6207"/>
        <item m="1" x="6368"/>
        <item m="1" x="6529"/>
        <item m="1" x="6691"/>
        <item m="1" x="6895"/>
        <item m="1" x="7188"/>
        <item m="1" x="7458"/>
        <item m="1" x="5555"/>
        <item m="1" x="5849"/>
        <item m="1" x="6054"/>
        <item m="1" x="6215"/>
        <item m="1" x="6376"/>
        <item m="1" x="6537"/>
        <item m="1" x="6700"/>
        <item m="1" x="6909"/>
        <item m="1" x="7204"/>
        <item m="1" x="7470"/>
        <item m="1" x="7046"/>
        <item m="1" x="7344"/>
        <item m="1" x="7564"/>
        <item m="1" x="7731"/>
        <item m="1" x="7896"/>
        <item m="1" x="2259"/>
        <item m="1" x="2571"/>
        <item m="1" x="7061"/>
        <item m="1" x="7358"/>
        <item m="1" x="7574"/>
        <item m="1" x="7739"/>
        <item m="1" x="7904"/>
        <item m="1" x="2274"/>
        <item m="1" x="2584"/>
        <item m="1" x="7069"/>
        <item m="1" x="7367"/>
        <item m="1" x="7582"/>
        <item m="1" x="7747"/>
        <item m="1" x="7912"/>
        <item m="1" x="2285"/>
        <item m="1" x="2592"/>
        <item m="1" x="7076"/>
        <item m="1" x="7375"/>
        <item m="1" x="7590"/>
        <item m="1" x="7755"/>
        <item m="1" x="7920"/>
        <item m="1" x="1998"/>
        <item m="1" x="2293"/>
        <item m="1" x="2597"/>
        <item m="1" x="7083"/>
        <item m="1" x="7383"/>
        <item m="1" x="7598"/>
        <item m="1" x="7763"/>
        <item m="1" x="7928"/>
        <item m="1" x="2006"/>
        <item m="1" x="2301"/>
        <item m="1" x="2602"/>
        <item m="1" x="7090"/>
        <item m="1" x="7391"/>
        <item m="1" x="7606"/>
        <item m="1" x="7771"/>
        <item m="1" x="7936"/>
        <item m="1" x="2014"/>
        <item m="1" x="2309"/>
        <item m="1" x="2607"/>
        <item m="1" x="7097"/>
        <item m="1" x="7399"/>
        <item m="1" x="7614"/>
        <item m="1" x="7779"/>
        <item m="1" x="7944"/>
        <item m="1" x="2022"/>
        <item m="1" x="2317"/>
        <item m="1" x="2612"/>
        <item m="1" x="7104"/>
        <item m="1" x="7407"/>
        <item m="1" x="7622"/>
        <item m="1" x="7787"/>
        <item m="1" x="7952"/>
        <item m="1" x="2030"/>
        <item m="1" x="2325"/>
        <item m="1" x="2617"/>
        <item m="1" x="7117"/>
        <item m="1" x="7418"/>
        <item m="1" x="7630"/>
        <item m="1" x="7795"/>
        <item m="1" x="7960"/>
        <item m="1" x="2042"/>
        <item m="1" x="2338"/>
        <item m="1" x="2627"/>
        <item m="1" x="7131"/>
        <item m="1" x="7429"/>
        <item m="1" x="7638"/>
        <item m="1" x="7803"/>
        <item m="1" x="7968"/>
        <item m="1" x="2056"/>
        <item m="1" x="2354"/>
        <item m="1" x="2640"/>
        <item m="1" x="2187"/>
        <item m="1" x="2494"/>
        <item m="1" x="2735"/>
        <item m="1" x="2908"/>
        <item m="1" x="3068"/>
        <item m="1" x="3228"/>
        <item m="1" x="3388"/>
        <item m="1" x="3565"/>
        <item m="1" x="3827"/>
        <item m="1" x="4132"/>
        <item m="1" x="2202"/>
        <item m="1" x="2509"/>
        <item m="1" x="2745"/>
        <item m="1" x="2916"/>
        <item m="1" x="3076"/>
        <item m="1" x="3236"/>
        <item m="1" x="3396"/>
        <item m="1" x="3575"/>
        <item m="1" x="3842"/>
        <item m="1" x="4146"/>
        <item m="1" x="2212"/>
        <item m="1" x="2520"/>
        <item m="1" x="2754"/>
        <item m="1" x="2924"/>
        <item m="1" x="3084"/>
        <item m="1" x="3244"/>
        <item m="1" x="3404"/>
        <item m="1" x="3584"/>
        <item m="1" x="3854"/>
        <item m="1" x="4156"/>
        <item m="1" x="2219"/>
        <item m="1" x="2528"/>
        <item m="1" x="2762"/>
        <item m="1" x="2932"/>
        <item m="1" x="3092"/>
        <item m="1" x="3252"/>
        <item m="1" x="3412"/>
        <item m="1" x="3592"/>
        <item m="1" x="3862"/>
        <item m="1" x="4161"/>
        <item m="1" x="2226"/>
        <item m="1" x="2536"/>
        <item m="1" x="2770"/>
        <item m="1" x="2940"/>
        <item m="1" x="3100"/>
        <item m="1" x="3260"/>
        <item m="1" x="3420"/>
        <item m="1" x="3600"/>
        <item m="1" x="3870"/>
        <item m="1" x="4166"/>
        <item m="1" x="2233"/>
        <item m="1" x="2544"/>
        <item m="1" x="2778"/>
        <item m="1" x="2948"/>
        <item m="1" x="3108"/>
        <item m="1" x="3268"/>
        <item m="1" x="3428"/>
        <item m="1" x="3608"/>
        <item m="1" x="3878"/>
        <item m="1" x="4171"/>
        <item m="1" x="2240"/>
        <item m="1" x="2552"/>
        <item m="1" x="2786"/>
        <item m="1" x="2956"/>
        <item m="1" x="3116"/>
        <item m="1" x="3276"/>
        <item m="1" x="3436"/>
        <item m="1" x="3616"/>
        <item m="1" x="3886"/>
        <item m="1" x="4176"/>
        <item m="1" x="2247"/>
        <item m="1" x="2560"/>
        <item m="1" x="2794"/>
        <item m="1" x="2964"/>
        <item m="1" x="3124"/>
        <item m="1" x="3284"/>
        <item m="1" x="3444"/>
        <item m="1" x="3624"/>
        <item m="1" x="3894"/>
        <item m="1" x="4181"/>
        <item m="1" x="2260"/>
        <item m="1" x="2572"/>
        <item m="1" x="2803"/>
        <item m="1" x="2972"/>
        <item m="1" x="3132"/>
        <item m="1" x="3292"/>
        <item m="1" x="3452"/>
        <item m="1" x="3634"/>
        <item m="1" x="3905"/>
        <item m="1" x="4189"/>
        <item m="1" x="2275"/>
        <item m="1" x="2585"/>
        <item m="1" x="2812"/>
        <item m="1" x="2980"/>
        <item m="1" x="3140"/>
        <item m="1" x="3300"/>
        <item m="1" x="3460"/>
        <item m="1" x="3646"/>
        <item m="1" x="3920"/>
        <item m="1" x="4201"/>
        <item m="1" x="3755"/>
        <item m="1" x="4047"/>
        <item m="1" x="4284"/>
        <item m="1" x="4457"/>
        <item m="1" x="4617"/>
        <item m="1" x="4777"/>
        <item m="1" x="4937"/>
        <item m="1" x="5114"/>
        <item m="1" x="5376"/>
        <item m="1" x="5693"/>
        <item m="1" x="3770"/>
        <item m="1" x="4063"/>
        <item m="1" x="4295"/>
        <item m="1" x="4466"/>
        <item m="1" x="4626"/>
        <item m="1" x="4786"/>
        <item m="1" x="4946"/>
        <item m="1" x="5125"/>
        <item m="1" x="5392"/>
        <item m="1" x="5709"/>
        <item m="1" x="3780"/>
        <item m="1" x="4075"/>
        <item m="1" x="4305"/>
        <item m="1" x="4475"/>
        <item m="1" x="4635"/>
        <item m="1" x="4795"/>
        <item m="1" x="4955"/>
        <item m="1" x="5135"/>
        <item m="1" x="5405"/>
        <item m="1" x="5721"/>
        <item m="1" x="3787"/>
        <item m="1" x="4084"/>
        <item m="1" x="4314"/>
        <item m="1" x="4484"/>
        <item m="1" x="4644"/>
        <item m="1" x="4804"/>
        <item m="1" x="4964"/>
        <item m="1" x="5144"/>
        <item m="1" x="5414"/>
        <item m="1" x="5728"/>
        <item m="1" x="3794"/>
        <item m="1" x="4093"/>
        <item m="1" x="4323"/>
        <item m="1" x="4493"/>
        <item m="1" x="4653"/>
        <item m="1" x="4813"/>
        <item m="1" x="4973"/>
        <item m="1" x="5153"/>
        <item m="1" x="5423"/>
        <item m="1" x="5735"/>
        <item m="1" x="3801"/>
        <item m="1" x="4102"/>
        <item m="1" x="4332"/>
        <item m="1" x="4502"/>
        <item m="1" x="4662"/>
        <item m="1" x="4822"/>
        <item m="1" x="4982"/>
        <item m="1" x="5162"/>
        <item m="1" x="5432"/>
        <item m="1" x="5742"/>
        <item m="1" x="3808"/>
        <item m="1" x="4111"/>
        <item m="1" x="4341"/>
        <item m="1" x="4511"/>
        <item m="1" x="4671"/>
        <item m="1" x="4831"/>
        <item m="1" x="4991"/>
        <item m="1" x="5171"/>
        <item m="1" x="5441"/>
        <item m="1" x="5749"/>
        <item m="1" x="3815"/>
        <item m="1" x="4120"/>
        <item m="1" x="4350"/>
        <item m="1" x="4520"/>
        <item m="1" x="4680"/>
        <item m="1" x="4840"/>
        <item m="1" x="5000"/>
        <item m="1" x="5180"/>
        <item m="1" x="5450"/>
        <item m="1" x="5756"/>
        <item m="1" x="3828"/>
        <item m="1" x="4133"/>
        <item m="1" x="4360"/>
        <item m="1" x="4529"/>
        <item m="1" x="4689"/>
        <item m="1" x="4849"/>
        <item m="1" x="5009"/>
        <item m="1" x="5191"/>
        <item m="1" x="5462"/>
        <item m="1" x="5766"/>
        <item m="1" x="3843"/>
        <item m="1" x="4147"/>
        <item m="1" x="4370"/>
        <item m="1" x="4538"/>
        <item m="1" x="4698"/>
        <item m="1" x="4858"/>
        <item m="1" x="5018"/>
        <item m="1" x="5204"/>
        <item m="1" x="5478"/>
        <item m="1" x="5780"/>
        <item m="1" x="5305"/>
        <item m="1" x="5607"/>
        <item m="1" x="5874"/>
        <item m="1" x="6060"/>
        <item m="1" x="6221"/>
        <item m="1" x="6382"/>
        <item m="1" x="6543"/>
        <item m="1" x="6712"/>
        <item m="1" x="6953"/>
        <item m="1" x="7263"/>
        <item m="1" x="5319"/>
        <item m="1" x="5623"/>
        <item m="1" x="5886"/>
        <item m="1" x="6069"/>
        <item m="1" x="6230"/>
        <item m="1" x="6391"/>
        <item m="1" x="6552"/>
        <item m="1" x="6722"/>
        <item m="1" x="6968"/>
        <item m="1" x="7278"/>
        <item m="1" x="5330"/>
        <item m="1" x="5636"/>
        <item m="1" x="5897"/>
        <item m="1" x="6078"/>
        <item m="1" x="6239"/>
        <item m="1" x="6400"/>
        <item m="1" x="6561"/>
        <item m="1" x="6732"/>
        <item m="1" x="6982"/>
        <item m="1" x="7292"/>
        <item m="1" x="5337"/>
        <item m="1" x="5645"/>
        <item m="1" x="5906"/>
        <item m="1" x="6087"/>
        <item m="1" x="6248"/>
        <item m="1" x="6409"/>
        <item m="1" x="6570"/>
        <item m="1" x="6741"/>
        <item m="1" x="6992"/>
        <item m="1" x="7300"/>
        <item m="1" x="5344"/>
        <item m="1" x="5654"/>
        <item m="1" x="5915"/>
        <item m="1" x="6096"/>
        <item m="1" x="6257"/>
        <item m="1" x="6418"/>
        <item m="1" x="6579"/>
        <item m="1" x="6750"/>
        <item m="1" x="7001"/>
        <item m="1" x="7307"/>
        <item m="1" x="5351"/>
        <item m="1" x="5663"/>
        <item m="1" x="5924"/>
        <item m="1" x="6105"/>
        <item m="1" x="6266"/>
        <item m="1" x="6427"/>
        <item m="1" x="6588"/>
        <item m="1" x="6759"/>
        <item m="1" x="7010"/>
        <item m="1" x="7314"/>
        <item m="1" x="5358"/>
        <item m="1" x="5672"/>
        <item m="1" x="5933"/>
        <item m="1" x="6114"/>
        <item m="1" x="6275"/>
        <item m="1" x="6436"/>
        <item m="1" x="6597"/>
        <item m="1" x="6768"/>
        <item m="1" x="7019"/>
        <item m="1" x="7321"/>
        <item m="1" x="5365"/>
        <item m="1" x="5681"/>
        <item m="1" x="5942"/>
        <item m="1" x="6123"/>
        <item m="1" x="6284"/>
        <item m="1" x="6445"/>
        <item m="1" x="6606"/>
        <item m="1" x="6777"/>
        <item m="1" x="7028"/>
        <item m="1" x="7328"/>
        <item m="1" x="5377"/>
        <item m="1" x="5694"/>
        <item m="1" x="5952"/>
        <item m="1" x="6132"/>
        <item m="1" x="6293"/>
        <item m="1" x="6454"/>
        <item m="1" x="6615"/>
        <item m="1" x="6787"/>
        <item m="1" x="7039"/>
        <item m="1" x="7337"/>
        <item m="1" x="5393"/>
        <item m="1" x="5710"/>
        <item m="1" x="5963"/>
        <item m="1" x="6141"/>
        <item m="1" x="6302"/>
        <item m="1" x="6463"/>
        <item m="1" x="6624"/>
        <item m="1" x="6799"/>
        <item m="1" x="7055"/>
        <item m="1" x="7352"/>
        <item m="1" x="6890"/>
        <item m="1" x="7182"/>
        <item m="1" x="7453"/>
        <item m="1" x="7643"/>
        <item m="1" x="7808"/>
        <item m="1" x="2099"/>
        <item m="1" x="2410"/>
        <item m="1" x="6902"/>
        <item m="1" x="7197"/>
        <item m="1" x="7464"/>
        <item m="1" x="7651"/>
        <item m="1" x="7816"/>
        <item m="1" x="2113"/>
        <item m="1" x="2425"/>
        <item m="1" x="6913"/>
        <item m="1" x="7210"/>
        <item m="1" x="7475"/>
        <item m="1" x="7660"/>
        <item m="1" x="7825"/>
        <item m="1" x="2127"/>
        <item m="1" x="2440"/>
        <item m="1" x="6919"/>
        <item m="1" x="7219"/>
        <item m="1" x="7484"/>
        <item m="1" x="7669"/>
        <item m="1" x="7834"/>
        <item m="1" x="2137"/>
        <item m="1" x="2449"/>
        <item m="1" x="6925"/>
        <item m="1" x="7228"/>
        <item m="1" x="7493"/>
        <item m="1" x="7678"/>
        <item m="1" x="7843"/>
        <item m="1" x="2146"/>
        <item m="1" x="2457"/>
        <item m="1" x="6931"/>
        <item m="1" x="7236"/>
        <item m="1" x="7501"/>
        <item m="1" x="7686"/>
        <item m="1" x="7851"/>
        <item m="1" x="2154"/>
        <item m="1" x="2464"/>
        <item m="1" x="6937"/>
        <item m="1" x="7244"/>
        <item m="1" x="7509"/>
        <item m="1" x="7694"/>
        <item m="1" x="7859"/>
        <item m="1" x="2162"/>
        <item m="1" x="2471"/>
        <item m="1" x="6943"/>
        <item m="1" x="7252"/>
        <item m="1" x="7517"/>
        <item m="1" x="7702"/>
        <item m="1" x="7867"/>
        <item m="1" x="2170"/>
        <item m="1" x="2478"/>
        <item m="1" x="6954"/>
        <item m="1" x="7264"/>
        <item m="1" x="7526"/>
        <item m="1" x="7710"/>
        <item m="1" x="7875"/>
        <item m="1" x="2180"/>
        <item m="1" x="2487"/>
        <item m="1" x="6969"/>
        <item m="1" x="7279"/>
        <item m="1" x="7536"/>
        <item m="1" x="7718"/>
        <item m="1" x="7883"/>
        <item m="1" x="2195"/>
        <item m="1" x="2502"/>
        <item m="1" x="2036"/>
        <item m="1" x="2331"/>
        <item m="1" x="2621"/>
        <item m="1" x="2822"/>
        <item m="1" x="2984"/>
        <item m="1" x="3144"/>
        <item m="1" x="3304"/>
        <item m="1" x="3464"/>
        <item m="1" x="3675"/>
        <item m="1" x="3969"/>
        <item m="1" x="2049"/>
        <item m="1" x="2346"/>
        <item m="1" x="2633"/>
        <item m="1" x="2830"/>
        <item m="1" x="2991"/>
        <item m="1" x="3151"/>
        <item m="1" x="3311"/>
        <item m="1" x="3471"/>
        <item m="1" x="3686"/>
        <item m="1" x="3982"/>
        <item m="1" x="2061"/>
        <item m="1" x="2360"/>
        <item m="1" x="2645"/>
        <item m="1" x="2839"/>
        <item m="1" x="2999"/>
        <item m="1" x="3159"/>
        <item m="1" x="3319"/>
        <item m="1" x="3479"/>
        <item m="1" x="3698"/>
        <item m="1" x="3996"/>
        <item m="1" x="2067"/>
        <item m="1" x="2368"/>
        <item m="1" x="2653"/>
        <item m="1" x="2847"/>
        <item m="1" x="3007"/>
        <item m="1" x="3167"/>
        <item m="1" x="3327"/>
        <item m="1" x="3487"/>
        <item m="1" x="3707"/>
        <item m="1" x="4004"/>
        <item m="1" x="2073"/>
        <item m="1" x="2376"/>
        <item m="1" x="2661"/>
        <item m="1" x="2855"/>
        <item m="1" x="3015"/>
        <item m="1" x="3175"/>
        <item m="1" x="3335"/>
        <item m="1" x="3495"/>
        <item m="1" x="3715"/>
        <item m="1" x="4011"/>
        <item m="1" x="2079"/>
        <item m="1" x="2384"/>
        <item m="1" x="2669"/>
        <item m="1" x="2863"/>
        <item m="1" x="3023"/>
        <item m="1" x="3183"/>
        <item m="1" x="3343"/>
        <item m="1" x="3503"/>
        <item m="1" x="3723"/>
        <item m="1" x="4018"/>
        <item m="1" x="2085"/>
        <item m="1" x="2392"/>
        <item m="1" x="2677"/>
        <item m="1" x="2871"/>
        <item m="1" x="3031"/>
        <item m="1" x="3191"/>
        <item m="1" x="3351"/>
        <item m="1" x="3511"/>
        <item m="1" x="3731"/>
        <item m="1" x="4025"/>
        <item m="1" x="2091"/>
        <item m="1" x="2400"/>
        <item m="1" x="2685"/>
        <item m="1" x="2879"/>
        <item m="1" x="3039"/>
        <item m="1" x="3199"/>
        <item m="1" x="3359"/>
        <item m="1" x="3519"/>
        <item m="1" x="3739"/>
        <item m="1" x="4032"/>
        <item m="1" x="2100"/>
        <item m="1" x="2411"/>
        <item m="1" x="2694"/>
        <item m="1" x="2887"/>
        <item m="1" x="3047"/>
        <item m="1" x="3207"/>
        <item m="1" x="3367"/>
        <item m="1" x="3527"/>
        <item m="1" x="3748"/>
        <item m="1" x="4040"/>
        <item m="1" x="2114"/>
        <item m="1" x="2426"/>
        <item m="1" x="2705"/>
        <item m="1" x="2895"/>
        <item m="1" x="3055"/>
        <item m="1" x="3215"/>
        <item m="1" x="3375"/>
        <item m="1" x="3537"/>
        <item m="1" x="3762"/>
        <item m="1" x="4055"/>
        <item m="1" x="3629"/>
        <item m="1" x="3899"/>
        <item m="1" x="4184"/>
        <item m="1" x="4381"/>
        <item m="1" x="4543"/>
        <item m="1" x="4703"/>
        <item m="1" x="4863"/>
        <item m="1" x="5023"/>
        <item m="1" x="5234"/>
        <item m="1" x="5528"/>
        <item m="1" x="3640"/>
        <item m="1" x="3913"/>
        <item m="1" x="4195"/>
        <item m="1" x="4388"/>
        <item m="1" x="4549"/>
        <item m="1" x="4709"/>
        <item m="1" x="4869"/>
        <item m="1" x="5029"/>
        <item m="1" x="5244"/>
        <item m="1" x="5541"/>
        <item m="1" x="3650"/>
        <item m="1" x="3926"/>
        <item m="1" x="4206"/>
        <item m="1" x="4396"/>
        <item m="1" x="4556"/>
        <item m="1" x="4716"/>
        <item m="1" x="4876"/>
        <item m="1" x="5036"/>
        <item m="1" x="5255"/>
        <item m="1" x="5556"/>
        <item m="1" x="3654"/>
        <item m="1" x="3933"/>
        <item m="1" x="4213"/>
        <item m="1" x="4403"/>
        <item m="1" x="4563"/>
        <item m="1" x="4723"/>
        <item m="1" x="4883"/>
        <item m="1" x="5043"/>
        <item m="1" x="5263"/>
        <item m="1" x="5564"/>
        <item m="1" x="3658"/>
        <item m="1" x="3940"/>
        <item m="1" x="4220"/>
        <item m="1" x="4410"/>
        <item m="1" x="4570"/>
        <item m="1" x="4730"/>
        <item m="1" x="4890"/>
        <item m="1" x="5050"/>
        <item m="1" x="5270"/>
        <item m="1" x="5571"/>
        <item m="1" x="3662"/>
        <item m="1" x="3947"/>
        <item m="1" x="4227"/>
        <item m="1" x="4417"/>
        <item m="1" x="4577"/>
        <item m="1" x="4737"/>
        <item m="1" x="4897"/>
        <item m="1" x="5057"/>
        <item m="1" x="5277"/>
        <item m="1" x="5578"/>
        <item m="1" x="3666"/>
        <item m="1" x="3954"/>
        <item m="1" x="4234"/>
        <item m="1" x="4424"/>
        <item m="1" x="4584"/>
        <item m="1" x="4744"/>
        <item m="1" x="4904"/>
        <item m="1" x="5064"/>
        <item m="1" x="5284"/>
        <item m="1" x="5585"/>
        <item m="1" x="3670"/>
        <item m="1" x="3961"/>
        <item m="1" x="4241"/>
        <item m="1" x="4431"/>
        <item m="1" x="4591"/>
        <item m="1" x="4751"/>
        <item m="1" x="4911"/>
        <item m="1" x="5071"/>
        <item m="1" x="5291"/>
        <item m="1" x="5592"/>
        <item m="1" x="3676"/>
        <item m="1" x="3970"/>
        <item m="1" x="4248"/>
        <item m="1" x="4438"/>
        <item m="1" x="4598"/>
        <item m="1" x="4758"/>
        <item m="1" x="4918"/>
        <item m="1" x="5078"/>
        <item m="1" x="5299"/>
        <item m="1" x="5600"/>
        <item m="1" x="3687"/>
        <item m="1" x="3983"/>
        <item m="1" x="4257"/>
        <item m="1" x="4445"/>
        <item m="1" x="4605"/>
        <item m="1" x="4765"/>
        <item m="1" x="4925"/>
        <item m="1" x="5087"/>
        <item m="1" x="5312"/>
        <item m="1" x="5615"/>
        <item m="1" x="5185"/>
        <item m="1" x="5455"/>
        <item m="1" x="5760"/>
        <item m="1" x="5981"/>
        <item m="1" x="6146"/>
        <item m="1" x="6307"/>
        <item m="1" x="6468"/>
        <item m="1" x="6629"/>
        <item m="1" x="6823"/>
        <item m="1" x="7105"/>
        <item m="1" x="5197"/>
        <item m="1" x="5470"/>
        <item m="1" x="5773"/>
        <item m="1" x="5989"/>
        <item m="1" x="6152"/>
        <item m="1" x="6313"/>
        <item m="1" x="6474"/>
        <item m="1" x="6635"/>
        <item m="1" x="6832"/>
        <item m="1" x="7118"/>
        <item m="1" x="5209"/>
        <item m="1" x="5485"/>
        <item m="1" x="5786"/>
        <item m="1" x="5998"/>
        <item m="1" x="6159"/>
        <item m="1" x="6320"/>
        <item m="1" x="6481"/>
        <item m="1" x="6642"/>
        <item m="1" x="6842"/>
        <item m="1" x="7132"/>
        <item m="1" x="5214"/>
        <item m="1" x="5493"/>
        <item m="1" x="5794"/>
        <item m="1" x="6005"/>
        <item m="1" x="6166"/>
        <item m="1" x="6327"/>
        <item m="1" x="6488"/>
        <item m="1" x="6649"/>
        <item m="1" x="6850"/>
        <item m="1" x="7141"/>
        <item m="1" x="5218"/>
        <item m="1" x="5500"/>
        <item m="1" x="5801"/>
        <item m="1" x="6012"/>
        <item m="1" x="6173"/>
        <item m="1" x="6334"/>
        <item m="1" x="6495"/>
        <item m="1" x="6656"/>
        <item m="1" x="6857"/>
        <item m="1" x="7148"/>
        <item m="1" x="5222"/>
        <item m="1" x="5507"/>
        <item m="1" x="5808"/>
        <item m="1" x="6019"/>
        <item m="1" x="6180"/>
        <item m="1" x="6341"/>
        <item m="1" x="6502"/>
        <item m="1" x="6663"/>
        <item m="1" x="6864"/>
        <item m="1" x="7155"/>
        <item m="1" x="5226"/>
        <item m="1" x="5514"/>
        <item m="1" x="5815"/>
        <item m="1" x="6026"/>
        <item m="1" x="6187"/>
        <item m="1" x="6348"/>
        <item m="1" x="6509"/>
        <item m="1" x="6670"/>
        <item m="1" x="6871"/>
        <item m="1" x="7162"/>
        <item m="1" x="5230"/>
        <item m="1" x="5521"/>
        <item m="1" x="5822"/>
        <item m="1" x="6033"/>
        <item m="1" x="6194"/>
        <item m="1" x="6355"/>
        <item m="1" x="6516"/>
        <item m="1" x="6677"/>
        <item m="1" x="6878"/>
        <item m="1" x="7169"/>
        <item m="1" x="5235"/>
        <item m="1" x="5529"/>
        <item m="1" x="5829"/>
        <item m="1" x="6040"/>
        <item m="1" x="6201"/>
        <item m="1" x="6362"/>
        <item m="1" x="6523"/>
        <item m="1" x="6684"/>
        <item m="1" x="6885"/>
        <item m="1" x="7176"/>
        <item m="1" x="5245"/>
        <item m="1" x="5542"/>
        <item m="1" x="5839"/>
        <item m="1" x="6047"/>
        <item m="1" x="6208"/>
        <item m="1" x="6369"/>
        <item m="1" x="6530"/>
        <item m="1" x="6692"/>
        <item m="1" x="6896"/>
        <item m="1" x="7189"/>
        <item m="1" x="7190"/>
        <item m="1" x="7459"/>
        <item m="1" x="7647"/>
        <item m="1" x="7812"/>
        <item m="1" x="2107"/>
        <item m="1" x="2418"/>
        <item m="1" x="2700"/>
        <item m="1" x="7205"/>
        <item m="1" x="7471"/>
        <item m="1" x="7656"/>
        <item m="1" x="7821"/>
        <item m="1" x="2122"/>
        <item m="1" x="2434"/>
        <item m="1" x="2711"/>
        <item m="1" x="7215"/>
        <item m="1" x="7480"/>
        <item m="1" x="7665"/>
        <item m="1" x="7830"/>
        <item m="1" x="2133"/>
        <item m="1" x="2445"/>
        <item m="1" x="2717"/>
        <item m="1" x="7224"/>
        <item m="1" x="7489"/>
        <item m="1" x="7674"/>
        <item m="1" x="7839"/>
        <item m="1" x="2142"/>
        <item m="1" x="2453"/>
        <item m="1" x="2720"/>
        <item m="1" x="7233"/>
        <item m="1" x="7498"/>
        <item m="1" x="7683"/>
        <item m="1" x="7848"/>
        <item m="1" x="2151"/>
        <item m="1" x="2461"/>
        <item m="1" x="2722"/>
        <item m="1" x="7241"/>
        <item m="1" x="7506"/>
        <item m="1" x="7691"/>
        <item m="1" x="7856"/>
        <item m="1" x="2159"/>
        <item m="1" x="2468"/>
        <item m="1" x="2724"/>
        <item m="1" x="7249"/>
        <item m="1" x="7514"/>
        <item m="1" x="7699"/>
        <item m="1" x="7864"/>
        <item m="1" x="2167"/>
        <item m="1" x="2475"/>
        <item m="1" x="2726"/>
        <item m="1" x="7258"/>
        <item m="1" x="7522"/>
        <item m="1" x="7707"/>
        <item m="1" x="7872"/>
        <item m="1" x="2175"/>
        <item m="1" x="2482"/>
        <item m="1" x="2728"/>
        <item m="1" x="7272"/>
        <item m="1" x="7532"/>
        <item m="1" x="7715"/>
        <item m="1" x="7880"/>
        <item m="1" x="2188"/>
        <item m="1" x="2495"/>
        <item m="1" x="2736"/>
        <item m="1" x="7287"/>
        <item m="1" x="7542"/>
        <item m="1" x="7723"/>
        <item m="1" x="7888"/>
        <item m="1" x="2203"/>
        <item m="1" x="2510"/>
        <item m="1" x="2746"/>
        <item m="1" x="2339"/>
        <item m="1" x="2628"/>
        <item m="1" x="2827"/>
        <item m="1" x="2988"/>
        <item m="1" x="3148"/>
        <item m="1" x="3308"/>
        <item m="1" x="3468"/>
        <item m="1" x="3682"/>
        <item m="1" x="3976"/>
        <item m="1" x="4253"/>
        <item m="1" x="2355"/>
        <item m="1" x="2641"/>
        <item m="1" x="2836"/>
        <item m="1" x="2996"/>
        <item m="1" x="3156"/>
        <item m="1" x="3316"/>
        <item m="1" x="3476"/>
        <item m="1" x="3694"/>
        <item m="1" x="3990"/>
        <item m="1" x="4262"/>
        <item m="1" x="2365"/>
        <item m="1" x="2650"/>
        <item m="1" x="2844"/>
        <item m="1" x="3004"/>
        <item m="1" x="3164"/>
        <item m="1" x="3324"/>
        <item m="1" x="3484"/>
        <item m="1" x="3704"/>
        <item m="1" x="4001"/>
        <item m="1" x="4268"/>
        <item m="1" x="2373"/>
        <item m="1" x="2658"/>
        <item m="1" x="2852"/>
        <item m="1" x="3012"/>
        <item m="1" x="3172"/>
        <item m="1" x="3332"/>
        <item m="1" x="3492"/>
        <item m="1" x="3712"/>
        <item m="1" x="4008"/>
        <item m="1" x="4270"/>
        <item m="1" x="2381"/>
        <item m="1" x="2666"/>
        <item m="1" x="2860"/>
        <item m="1" x="3020"/>
        <item m="1" x="3180"/>
        <item m="1" x="3340"/>
        <item m="1" x="3500"/>
        <item m="1" x="3720"/>
        <item m="1" x="4015"/>
        <item m="1" x="4272"/>
        <item m="1" x="2389"/>
        <item m="1" x="2674"/>
        <item m="1" x="2868"/>
        <item m="1" x="3028"/>
        <item m="1" x="3188"/>
        <item m="1" x="3348"/>
        <item m="1" x="3508"/>
        <item m="1" x="3728"/>
        <item m="1" x="4022"/>
        <item m="1" x="4274"/>
        <item m="1" x="2397"/>
        <item m="1" x="2682"/>
        <item m="1" x="2876"/>
        <item m="1" x="3036"/>
        <item m="1" x="3196"/>
        <item m="1" x="3356"/>
        <item m="1" x="3516"/>
        <item m="1" x="3736"/>
        <item m="1" x="4029"/>
        <item m="1" x="4276"/>
        <item m="1" x="2405"/>
        <item m="1" x="2690"/>
        <item m="1" x="2884"/>
        <item m="1" x="3044"/>
        <item m="1" x="3204"/>
        <item m="1" x="3364"/>
        <item m="1" x="3524"/>
        <item m="1" x="3744"/>
        <item m="1" x="4036"/>
        <item m="1" x="4278"/>
        <item m="1" x="2419"/>
        <item m="1" x="2701"/>
        <item m="1" x="2892"/>
        <item m="1" x="3052"/>
        <item m="1" x="3212"/>
        <item m="1" x="3372"/>
        <item m="1" x="3533"/>
        <item m="1" x="3756"/>
        <item m="1" x="4048"/>
        <item m="1" x="4285"/>
        <item m="1" x="2435"/>
        <item m="1" x="2712"/>
        <item m="1" x="2900"/>
        <item m="1" x="3060"/>
        <item m="1" x="3220"/>
        <item m="1" x="3380"/>
        <item m="1" x="3543"/>
        <item m="1" x="3771"/>
        <item m="1" x="4064"/>
        <item m="1" x="4296"/>
        <item m="1" x="3906"/>
        <item m="1" x="4190"/>
        <item m="1" x="4385"/>
        <item m="1" x="4546"/>
        <item m="1" x="4706"/>
        <item m="1" x="4866"/>
        <item m="1" x="5026"/>
        <item m="1" x="5240"/>
        <item m="1" x="5535"/>
        <item m="1" x="5834"/>
        <item m="1" x="3921"/>
        <item m="1" x="4202"/>
        <item m="1" x="4393"/>
        <item m="1" x="4553"/>
        <item m="1" x="4713"/>
        <item m="1" x="4873"/>
        <item m="1" x="5033"/>
        <item m="1" x="5251"/>
        <item m="1" x="5549"/>
        <item m="1" x="5844"/>
        <item m="1" x="3930"/>
        <item m="1" x="4210"/>
        <item m="1" x="4400"/>
        <item m="1" x="4560"/>
        <item m="1" x="4720"/>
        <item m="1" x="4880"/>
        <item m="1" x="5040"/>
        <item m="1" x="5260"/>
        <item m="1" x="5561"/>
        <item m="1" x="5852"/>
        <item m="1" x="3937"/>
        <item m="1" x="4217"/>
        <item m="1" x="4407"/>
        <item m="1" x="4567"/>
        <item m="1" x="4727"/>
        <item m="1" x="4887"/>
        <item m="1" x="5047"/>
        <item m="1" x="5267"/>
        <item m="1" x="5568"/>
        <item m="1" x="5855"/>
        <item m="1" x="3944"/>
        <item m="1" x="4224"/>
        <item m="1" x="4414"/>
        <item m="1" x="4574"/>
        <item m="1" x="4734"/>
        <item m="1" x="4894"/>
        <item m="1" x="5054"/>
        <item m="1" x="5274"/>
        <item m="1" x="5575"/>
        <item m="1" x="5858"/>
        <item m="1" x="3951"/>
        <item m="1" x="4231"/>
        <item m="1" x="4421"/>
        <item m="1" x="4581"/>
        <item m="1" x="4741"/>
        <item m="1" x="4901"/>
        <item m="1" x="5061"/>
        <item m="1" x="5281"/>
        <item m="1" x="5582"/>
        <item m="1" x="5861"/>
        <item m="1" x="3958"/>
        <item m="1" x="4238"/>
        <item m="1" x="4428"/>
        <item m="1" x="4588"/>
        <item m="1" x="4748"/>
        <item m="1" x="4908"/>
        <item m="1" x="5068"/>
        <item m="1" x="5288"/>
        <item m="1" x="5589"/>
        <item m="1" x="5864"/>
        <item m="1" x="3965"/>
        <item m="1" x="4245"/>
        <item m="1" x="4435"/>
        <item m="1" x="4595"/>
        <item m="1" x="4755"/>
        <item m="1" x="4915"/>
        <item m="1" x="5075"/>
        <item m="1" x="5295"/>
        <item m="1" x="5596"/>
        <item m="1" x="5867"/>
        <item m="1" x="3977"/>
        <item m="1" x="4254"/>
        <item m="1" x="4442"/>
        <item m="1" x="4602"/>
        <item m="1" x="4762"/>
        <item m="1" x="4922"/>
        <item m="1" x="5083"/>
        <item m="1" x="5306"/>
        <item m="1" x="5608"/>
        <item m="1" x="5875"/>
        <item m="1" x="3991"/>
        <item m="1" x="4263"/>
        <item m="1" x="4449"/>
        <item m="1" x="4609"/>
        <item m="1" x="4769"/>
        <item m="1" x="4929"/>
        <item m="1" x="5092"/>
        <item m="1" x="5320"/>
        <item m="1" x="5624"/>
        <item m="1" x="5887"/>
        <item m="1" x="5463"/>
        <item m="1" x="5767"/>
        <item m="1" x="5985"/>
        <item m="1" x="6149"/>
        <item m="1" x="6310"/>
        <item m="1" x="6471"/>
        <item m="1" x="6632"/>
        <item m="1" x="6828"/>
        <item m="1" x="7112"/>
        <item m="1" x="7413"/>
        <item m="1" x="5479"/>
        <item m="1" x="5781"/>
        <item m="1" x="5994"/>
        <item m="1" x="6156"/>
        <item m="1" x="6317"/>
        <item m="1" x="6478"/>
        <item m="1" x="6639"/>
        <item m="1" x="6838"/>
        <item m="1" x="7126"/>
        <item m="1" x="7424"/>
        <item m="1" x="5490"/>
        <item m="1" x="5791"/>
        <item m="1" x="6002"/>
        <item m="1" x="6163"/>
        <item m="1" x="6324"/>
        <item m="1" x="6485"/>
        <item m="1" x="6646"/>
        <item m="1" x="6847"/>
        <item m="1" x="7138"/>
        <item m="1" x="7433"/>
        <item m="1" x="5497"/>
        <item m="1" x="5798"/>
        <item m="1" x="6009"/>
        <item m="1" x="6170"/>
        <item m="1" x="6331"/>
        <item m="1" x="6492"/>
        <item m="1" x="6653"/>
        <item m="1" x="6854"/>
        <item m="1" x="7145"/>
        <item m="1" x="7436"/>
        <item m="1" x="5504"/>
        <item m="1" x="5805"/>
        <item m="1" x="6016"/>
        <item m="1" x="6177"/>
        <item m="1" x="6338"/>
        <item m="1" x="6499"/>
        <item m="1" x="6660"/>
        <item m="1" x="6861"/>
        <item m="1" x="7152"/>
        <item m="1" x="7439"/>
        <item m="1" x="5511"/>
        <item m="1" x="5812"/>
        <item m="1" x="6023"/>
        <item m="1" x="6184"/>
        <item m="1" x="6345"/>
        <item m="1" x="6506"/>
        <item m="1" x="6667"/>
        <item m="1" x="6868"/>
        <item m="1" x="7159"/>
        <item m="1" x="7442"/>
        <item m="1" x="5518"/>
        <item m="1" x="5819"/>
        <item m="1" x="6030"/>
        <item m="1" x="6191"/>
        <item m="1" x="6352"/>
        <item m="1" x="6513"/>
        <item m="1" x="6674"/>
        <item m="1" x="6875"/>
        <item m="1" x="7166"/>
        <item m="1" x="7445"/>
        <item m="1" x="5525"/>
        <item m="1" x="5826"/>
        <item m="1" x="6037"/>
        <item m="1" x="6198"/>
        <item m="1" x="6359"/>
        <item m="1" x="6520"/>
        <item m="1" x="6681"/>
        <item m="1" x="6882"/>
        <item m="1" x="7173"/>
        <item m="1" x="7448"/>
        <item m="1" x="5536"/>
        <item m="1" x="5835"/>
        <item m="1" x="6044"/>
        <item m="1" x="6205"/>
        <item m="1" x="6366"/>
        <item m="1" x="6527"/>
        <item m="1" x="6688"/>
        <item m="1" x="6891"/>
        <item m="1" x="7183"/>
        <item m="1" x="7454"/>
        <item m="1" x="5550"/>
        <item m="1" x="5845"/>
        <item m="1" x="6051"/>
        <item m="1" x="6212"/>
        <item m="1" x="6373"/>
        <item m="1" x="6534"/>
        <item m="1" x="6696"/>
        <item m="1" x="6903"/>
        <item m="1" x="7198"/>
        <item m="1" x="7465"/>
        <item m="1" x="7040"/>
        <item m="1" x="7338"/>
        <item m="1" x="7560"/>
        <item m="1" x="7728"/>
        <item m="1" x="7893"/>
        <item m="1" x="2254"/>
        <item m="1" x="2566"/>
        <item m="1" x="7056"/>
        <item m="1" x="7353"/>
        <item m="1" x="7570"/>
        <item m="1" x="7736"/>
        <item m="1" x="7901"/>
        <item m="1" x="2269"/>
        <item m="1" x="2579"/>
        <item m="1" x="7067"/>
        <item m="1" x="7364"/>
        <item m="1" x="7579"/>
        <item m="1" x="7744"/>
        <item m="1" x="7909"/>
        <item m="1" x="2282"/>
        <item m="1" x="2590"/>
        <item m="1" x="7074"/>
        <item m="1" x="7372"/>
        <item m="1" x="7587"/>
        <item m="1" x="7752"/>
        <item m="1" x="7917"/>
        <item m="1" x="1994"/>
        <item m="1" x="2290"/>
        <item m="1" x="2595"/>
        <item m="1" x="7081"/>
        <item m="1" x="7380"/>
        <item m="1" x="7595"/>
        <item m="1" x="7760"/>
        <item m="1" x="7925"/>
        <item m="1" x="2003"/>
        <item m="1" x="2298"/>
        <item m="1" x="2600"/>
        <item m="1" x="7088"/>
        <item m="1" x="7388"/>
        <item m="1" x="7603"/>
        <item m="1" x="7768"/>
        <item m="1" x="7933"/>
        <item m="1" x="2011"/>
        <item m="1" x="2306"/>
        <item m="1" x="2605"/>
        <item m="1" x="7095"/>
        <item m="1" x="7396"/>
        <item m="1" x="7611"/>
        <item m="1" x="7776"/>
        <item m="1" x="7941"/>
        <item m="1" x="2019"/>
        <item m="1" x="2314"/>
        <item m="1" x="2610"/>
        <item m="1" x="7102"/>
        <item m="1" x="7404"/>
        <item m="1" x="7619"/>
        <item m="1" x="7784"/>
        <item m="1" x="7949"/>
        <item m="1" x="2027"/>
        <item m="1" x="2322"/>
        <item m="1" x="2615"/>
        <item m="1" x="7113"/>
        <item m="1" x="7414"/>
        <item m="1" x="7627"/>
        <item m="1" x="7792"/>
        <item m="1" x="7957"/>
        <item m="1" x="2037"/>
        <item m="1" x="2332"/>
        <item m="1" x="2622"/>
        <item m="1" x="7127"/>
        <item m="1" x="7425"/>
        <item m="1" x="7635"/>
        <item m="1" x="7800"/>
        <item m="1" x="7965"/>
        <item m="1" x="2050"/>
        <item m="1" x="2347"/>
        <item m="1" x="2634"/>
        <item m="1" x="2181"/>
        <item m="1" x="2488"/>
        <item m="1" x="2731"/>
        <item m="1" x="2905"/>
        <item m="1" x="3065"/>
        <item m="1" x="3225"/>
        <item m="1" x="3385"/>
        <item m="1" x="3561"/>
        <item m="1" x="3821"/>
        <item m="1" x="4126"/>
        <item m="1" x="2196"/>
        <item m="1" x="2503"/>
        <item m="1" x="2741"/>
        <item m="1" x="2913"/>
        <item m="1" x="3073"/>
        <item m="1" x="3233"/>
        <item m="1" x="3393"/>
        <item m="1" x="3571"/>
        <item m="1" x="3836"/>
        <item m="1" x="4140"/>
        <item m="1" x="2209"/>
        <item m="1" x="2516"/>
        <item m="1" x="2751"/>
        <item m="1" x="2921"/>
        <item m="1" x="3081"/>
        <item m="1" x="3241"/>
        <item m="1" x="3401"/>
        <item m="1" x="3581"/>
        <item m="1" x="3850"/>
        <item m="1" x="4153"/>
        <item m="1" x="2217"/>
        <item m="1" x="2525"/>
        <item m="1" x="2759"/>
        <item m="1" x="2929"/>
        <item m="1" x="3089"/>
        <item m="1" x="3249"/>
        <item m="1" x="3409"/>
        <item m="1" x="3589"/>
        <item m="1" x="3859"/>
        <item m="1" x="4159"/>
        <item m="1" x="2224"/>
        <item m="1" x="2533"/>
        <item m="1" x="2767"/>
        <item m="1" x="2937"/>
        <item m="1" x="3097"/>
        <item m="1" x="3257"/>
        <item m="1" x="3417"/>
        <item m="1" x="3597"/>
        <item m="1" x="3867"/>
        <item m="1" x="4164"/>
        <item m="1" x="2231"/>
        <item m="1" x="2541"/>
        <item m="1" x="2775"/>
        <item m="1" x="2945"/>
        <item m="1" x="3105"/>
        <item m="1" x="3265"/>
        <item m="1" x="3425"/>
        <item m="1" x="3605"/>
        <item m="1" x="3875"/>
        <item m="1" x="4169"/>
        <item m="1" x="2238"/>
        <item m="1" x="2549"/>
        <item m="1" x="2783"/>
        <item m="1" x="2953"/>
        <item m="1" x="3113"/>
        <item m="1" x="3273"/>
        <item m="1" x="3433"/>
        <item m="1" x="3613"/>
        <item m="1" x="3883"/>
        <item m="1" x="4174"/>
        <item m="1" x="2245"/>
        <item m="1" x="2557"/>
        <item m="1" x="2791"/>
        <item m="1" x="2961"/>
        <item m="1" x="3121"/>
        <item m="1" x="3281"/>
        <item m="1" x="3441"/>
        <item m="1" x="3621"/>
        <item m="1" x="3891"/>
        <item m="1" x="4179"/>
        <item m="1" x="2255"/>
        <item m="1" x="2567"/>
        <item m="1" x="2799"/>
        <item m="1" x="2969"/>
        <item m="1" x="3129"/>
        <item m="1" x="3289"/>
        <item m="1" x="3449"/>
        <item m="1" x="3630"/>
        <item m="1" x="3900"/>
        <item m="1" x="4185"/>
        <item m="1" x="2270"/>
        <item m="1" x="2580"/>
        <item m="1" x="2808"/>
        <item m="1" x="2977"/>
        <item m="1" x="3137"/>
        <item m="1" x="3297"/>
        <item m="1" x="3457"/>
        <item m="1" x="3641"/>
        <item m="1" x="3914"/>
        <item m="1" x="4196"/>
        <item m="1" x="3749"/>
        <item m="1" x="4041"/>
        <item m="1" x="4280"/>
        <item m="1" x="4454"/>
        <item m="1" x="4614"/>
        <item m="1" x="4774"/>
        <item m="1" x="4934"/>
        <item m="1" x="5110"/>
        <item m="1" x="5370"/>
        <item m="1" x="5687"/>
        <item m="1" x="3763"/>
        <item m="1" x="4056"/>
        <item m="1" x="4290"/>
        <item m="1" x="4462"/>
        <item m="1" x="4622"/>
        <item m="1" x="4782"/>
        <item m="1" x="4942"/>
        <item m="1" x="5120"/>
        <item m="1" x="5385"/>
        <item m="1" x="5702"/>
        <item m="1" x="3776"/>
        <item m="1" x="4070"/>
        <item m="1" x="4301"/>
        <item m="1" x="4471"/>
        <item m="1" x="4631"/>
        <item m="1" x="4791"/>
        <item m="1" x="4951"/>
        <item m="1" x="5131"/>
        <item m="1" x="5400"/>
        <item m="1" x="5717"/>
        <item m="1" x="3784"/>
        <item m="1" x="4080"/>
        <item m="1" x="4310"/>
        <item m="1" x="4480"/>
        <item m="1" x="4640"/>
        <item m="1" x="4800"/>
        <item m="1" x="4960"/>
        <item m="1" x="5140"/>
        <item m="1" x="5410"/>
        <item m="1" x="5725"/>
        <item m="1" x="3791"/>
        <item m="1" x="4089"/>
        <item m="1" x="4319"/>
        <item m="1" x="4489"/>
        <item m="1" x="4649"/>
        <item m="1" x="4809"/>
        <item m="1" x="4969"/>
        <item m="1" x="5149"/>
        <item m="1" x="5419"/>
        <item m="1" x="5732"/>
        <item m="1" x="3798"/>
        <item m="1" x="4098"/>
        <item m="1" x="4328"/>
        <item m="1" x="4498"/>
        <item m="1" x="4658"/>
        <item m="1" x="4818"/>
        <item m="1" x="4978"/>
        <item m="1" x="5158"/>
        <item m="1" x="5428"/>
        <item m="1" x="5739"/>
        <item m="1" x="3805"/>
        <item m="1" x="4107"/>
        <item m="1" x="4337"/>
        <item m="1" x="4507"/>
        <item m="1" x="4667"/>
        <item m="1" x="4827"/>
        <item m="1" x="4987"/>
        <item m="1" x="5167"/>
        <item m="1" x="5437"/>
        <item m="1" x="5746"/>
        <item m="1" x="3812"/>
        <item m="1" x="4116"/>
        <item m="1" x="4346"/>
        <item m="1" x="4516"/>
        <item m="1" x="4676"/>
        <item m="1" x="4836"/>
        <item m="1" x="4996"/>
        <item m="1" x="5176"/>
        <item m="1" x="5446"/>
        <item m="1" x="5753"/>
        <item m="1" x="3822"/>
        <item m="1" x="4127"/>
        <item m="1" x="4355"/>
        <item m="1" x="4525"/>
        <item m="1" x="4685"/>
        <item m="1" x="4845"/>
        <item m="1" x="5005"/>
        <item m="1" x="5186"/>
        <item m="1" x="5456"/>
        <item m="1" x="5761"/>
        <item m="1" x="3837"/>
        <item m="1" x="4141"/>
        <item m="1" x="4365"/>
        <item m="1" x="4534"/>
        <item m="1" x="4694"/>
        <item m="1" x="4854"/>
        <item m="1" x="5014"/>
        <item m="1" x="5198"/>
        <item m="1" x="5471"/>
        <item m="1" x="5774"/>
        <item m="1" x="5300"/>
        <item m="1" x="5601"/>
        <item m="1" x="5870"/>
        <item m="1" x="6057"/>
        <item m="1" x="6218"/>
        <item m="1" x="6379"/>
        <item m="1" x="6540"/>
        <item m="1" x="6709"/>
        <item m="1" x="6948"/>
        <item m="1" x="7259"/>
        <item m="1" x="5313"/>
        <item m="1" x="5616"/>
        <item m="1" x="5881"/>
        <item m="1" x="6065"/>
        <item m="1" x="6226"/>
        <item m="1" x="6387"/>
        <item m="1" x="6548"/>
        <item m="1" x="6718"/>
        <item m="1" x="6962"/>
        <item m="1" x="7273"/>
        <item m="1" x="5326"/>
        <item m="1" x="5631"/>
        <item m="1" x="5893"/>
        <item m="1" x="6074"/>
        <item m="1" x="6235"/>
        <item m="1" x="6396"/>
        <item m="1" x="6557"/>
        <item m="1" x="6728"/>
        <item m="1" x="6977"/>
        <item m="1" x="7288"/>
        <item m="1" x="5334"/>
        <item m="1" x="5641"/>
        <item m="1" x="5902"/>
        <item m="1" x="6083"/>
        <item m="1" x="6244"/>
        <item m="1" x="6405"/>
        <item m="1" x="6566"/>
        <item m="1" x="6737"/>
        <item m="1" x="6988"/>
        <item m="1" x="7297"/>
        <item m="1" x="5341"/>
        <item m="1" x="5650"/>
        <item m="1" x="5911"/>
        <item m="1" x="6092"/>
        <item m="1" x="6253"/>
        <item m="1" x="6414"/>
        <item m="1" x="6575"/>
        <item m="1" x="6746"/>
        <item m="1" x="6997"/>
        <item m="1" x="7304"/>
        <item m="1" x="5348"/>
        <item m="1" x="5659"/>
        <item m="1" x="5920"/>
        <item m="1" x="6101"/>
        <item m="1" x="6262"/>
        <item m="1" x="6423"/>
        <item m="1" x="6584"/>
        <item m="1" x="6755"/>
        <item m="1" x="7006"/>
        <item m="1" x="7311"/>
        <item m="1" x="5355"/>
        <item m="1" x="5668"/>
        <item m="1" x="5929"/>
        <item m="1" x="6110"/>
        <item m="1" x="6271"/>
        <item m="1" x="6432"/>
        <item m="1" x="6593"/>
        <item m="1" x="6764"/>
        <item m="1" x="7015"/>
        <item m="1" x="7318"/>
        <item m="1" x="5362"/>
        <item m="1" x="5677"/>
        <item m="1" x="5938"/>
        <item m="1" x="6119"/>
        <item m="1" x="6280"/>
        <item m="1" x="6441"/>
        <item m="1" x="6602"/>
        <item m="1" x="6773"/>
        <item m="1" x="7024"/>
        <item m="1" x="7325"/>
        <item m="1" x="5371"/>
        <item m="1" x="5688"/>
        <item m="1" x="5947"/>
        <item m="1" x="6128"/>
        <item m="1" x="6289"/>
        <item m="1" x="6450"/>
        <item m="1" x="6611"/>
        <item m="1" x="6782"/>
        <item m="1" x="7033"/>
        <item m="1" x="7332"/>
        <item m="1" x="5386"/>
        <item m="1" x="5703"/>
        <item m="1" x="5958"/>
        <item m="1" x="6137"/>
        <item m="1" x="6298"/>
        <item m="1" x="6459"/>
        <item m="1" x="6620"/>
        <item m="1" x="6793"/>
        <item m="1" x="7047"/>
        <item m="1" x="7345"/>
        <item m="1" x="6886"/>
        <item m="1" x="7177"/>
        <item m="1" x="7450"/>
        <item m="1" x="7641"/>
        <item m="1" x="7806"/>
        <item m="1" x="2095"/>
        <item m="1" x="2406"/>
        <item m="1" x="6897"/>
        <item m="1" x="7191"/>
        <item m="1" x="7460"/>
        <item m="1" x="7648"/>
        <item m="1" x="7813"/>
        <item m="1" x="2108"/>
        <item m="1" x="2420"/>
        <item m="1" x="6910"/>
        <item m="1" x="7206"/>
        <item m="1" x="7472"/>
        <item m="1" x="7657"/>
        <item m="1" x="7822"/>
        <item m="1" x="2123"/>
        <item m="1" x="2436"/>
        <item m="1" x="6917"/>
        <item m="1" x="7216"/>
        <item m="1" x="7481"/>
        <item m="1" x="7666"/>
        <item m="1" x="7831"/>
        <item m="1" x="2134"/>
        <item m="1" x="2446"/>
        <item m="1" x="6923"/>
        <item m="1" x="7225"/>
        <item m="1" x="7490"/>
        <item m="1" x="7675"/>
        <item m="1" x="7840"/>
        <item m="1" x="2143"/>
        <item m="1" x="2454"/>
        <item m="1" x="6929"/>
        <item m="1" x="7234"/>
        <item m="1" x="7499"/>
        <item m="1" x="7684"/>
        <item m="1" x="7849"/>
        <item m="1" x="2152"/>
        <item m="1" x="2462"/>
        <item m="1" x="6935"/>
        <item m="1" x="7242"/>
        <item m="1" x="7507"/>
        <item m="1" x="7692"/>
        <item m="1" x="7857"/>
        <item m="1" x="2160"/>
        <item m="1" x="2469"/>
        <item m="1" x="6941"/>
        <item m="1" x="7250"/>
        <item m="1" x="7515"/>
        <item m="1" x="7700"/>
        <item m="1" x="7865"/>
        <item m="1" x="2168"/>
        <item m="1" x="2476"/>
        <item m="1" x="6949"/>
        <item m="1" x="7260"/>
        <item m="1" x="7523"/>
        <item m="1" x="7708"/>
        <item m="1" x="7873"/>
        <item m="1" x="2176"/>
        <item m="1" x="2483"/>
        <item m="1" x="6963"/>
        <item m="1" x="7274"/>
        <item m="1" x="7533"/>
        <item m="1" x="7716"/>
        <item m="1" x="7881"/>
        <item m="1" x="2189"/>
        <item m="1" x="2496"/>
        <item m="1" x="2031"/>
        <item m="1" x="2326"/>
        <item m="1" x="2618"/>
        <item m="1" x="2821"/>
        <item m="1" x="2983"/>
        <item m="1" x="3143"/>
        <item m="1" x="3303"/>
        <item m="1" x="3463"/>
        <item m="1" x="3673"/>
        <item m="1" x="3966"/>
        <item m="1" x="2043"/>
        <item m="1" x="2340"/>
        <item m="1" x="2629"/>
        <item m="1" x="2828"/>
        <item m="1" x="2989"/>
        <item m="1" x="3149"/>
        <item m="1" x="3309"/>
        <item m="1" x="3469"/>
        <item m="1" x="3683"/>
        <item m="1" x="3978"/>
        <item m="1" x="2057"/>
        <item m="1" x="2356"/>
        <item m="1" x="2642"/>
        <item m="1" x="2837"/>
        <item m="1" x="2997"/>
        <item m="1" x="3157"/>
        <item m="1" x="3317"/>
        <item m="1" x="3477"/>
        <item m="1" x="3695"/>
        <item m="1" x="3992"/>
        <item m="1" x="2065"/>
        <item m="1" x="2366"/>
        <item m="1" x="2651"/>
        <item m="1" x="2845"/>
        <item m="1" x="3005"/>
        <item m="1" x="3165"/>
        <item m="1" x="3325"/>
        <item m="1" x="3485"/>
        <item m="1" x="3705"/>
        <item m="1" x="4002"/>
        <item m="1" x="2071"/>
        <item m="1" x="2374"/>
        <item m="1" x="2659"/>
        <item m="1" x="2853"/>
        <item m="1" x="3013"/>
        <item m="1" x="3173"/>
        <item m="1" x="3333"/>
        <item m="1" x="3493"/>
        <item m="1" x="3713"/>
        <item m="1" x="4009"/>
        <item m="1" x="2077"/>
        <item m="1" x="2382"/>
        <item m="1" x="2667"/>
        <item m="1" x="2861"/>
        <item m="1" x="3021"/>
        <item m="1" x="3181"/>
        <item m="1" x="3341"/>
        <item m="1" x="3501"/>
        <item m="1" x="3721"/>
        <item m="1" x="4016"/>
        <item m="1" x="2083"/>
        <item m="1" x="2390"/>
        <item m="1" x="2675"/>
        <item m="1" x="2869"/>
        <item m="1" x="3029"/>
        <item m="1" x="3189"/>
        <item m="1" x="3349"/>
        <item m="1" x="3509"/>
        <item m="1" x="3729"/>
        <item m="1" x="4023"/>
        <item m="1" x="2089"/>
        <item m="1" x="2398"/>
        <item m="1" x="2683"/>
        <item m="1" x="2877"/>
        <item m="1" x="3037"/>
        <item m="1" x="3197"/>
        <item m="1" x="3357"/>
        <item m="1" x="3517"/>
        <item m="1" x="3737"/>
        <item m="1" x="4030"/>
        <item m="1" x="2096"/>
        <item m="1" x="2407"/>
        <item m="1" x="2691"/>
        <item m="1" x="2885"/>
        <item m="1" x="3045"/>
        <item m="1" x="3205"/>
        <item m="1" x="3365"/>
        <item m="1" x="3525"/>
        <item m="1" x="3745"/>
        <item m="1" x="4037"/>
        <item m="1" x="2109"/>
        <item m="1" x="2421"/>
        <item m="1" x="2702"/>
        <item m="1" x="2893"/>
        <item m="1" x="3053"/>
        <item m="1" x="3213"/>
        <item m="1" x="3373"/>
        <item m="1" x="3534"/>
        <item m="1" x="3757"/>
        <item m="1" x="4049"/>
        <item m="1" x="4050"/>
        <item m="1" x="4286"/>
        <item m="1" x="4458"/>
        <item m="1" x="4618"/>
        <item m="1" x="4778"/>
        <item m="1" x="4938"/>
        <item m="1" x="5115"/>
        <item m="1" x="5378"/>
        <item m="1" x="5695"/>
        <item m="1" x="5953"/>
        <item m="1" x="4065"/>
        <item m="1" x="4297"/>
        <item m="1" x="4467"/>
        <item m="1" x="4627"/>
        <item m="1" x="4787"/>
        <item m="1" x="4947"/>
        <item m="1" x="5126"/>
        <item m="1" x="5394"/>
        <item m="1" x="5711"/>
        <item m="1" x="5964"/>
        <item m="1" x="4076"/>
        <item m="1" x="4306"/>
        <item m="1" x="4476"/>
        <item m="1" x="4636"/>
        <item m="1" x="4796"/>
        <item m="1" x="4956"/>
        <item m="1" x="5136"/>
        <item m="1" x="5406"/>
        <item m="1" x="5722"/>
        <item m="1" x="5970"/>
        <item m="1" x="4085"/>
        <item m="1" x="4315"/>
        <item m="1" x="4485"/>
        <item m="1" x="4645"/>
        <item m="1" x="4805"/>
        <item m="1" x="4965"/>
        <item m="1" x="5145"/>
        <item m="1" x="5415"/>
        <item m="1" x="5729"/>
        <item m="1" x="5972"/>
        <item m="1" x="4094"/>
        <item m="1" x="4324"/>
        <item m="1" x="4494"/>
        <item m="1" x="4654"/>
        <item m="1" x="4814"/>
        <item m="1" x="4974"/>
        <item m="1" x="5154"/>
        <item m="1" x="5424"/>
        <item m="1" x="5736"/>
        <item m="1" x="5974"/>
        <item m="1" x="4103"/>
        <item m="1" x="4333"/>
        <item m="1" x="4503"/>
        <item m="1" x="4663"/>
        <item m="1" x="4823"/>
        <item m="1" x="4983"/>
        <item m="1" x="5163"/>
        <item m="1" x="5433"/>
        <item m="1" x="5743"/>
        <item m="1" x="5976"/>
        <item m="1" x="4112"/>
        <item m="1" x="4342"/>
        <item m="1" x="4512"/>
        <item m="1" x="4672"/>
        <item m="1" x="4832"/>
        <item m="1" x="4992"/>
        <item m="1" x="5172"/>
        <item m="1" x="5442"/>
        <item m="1" x="5750"/>
        <item m="1" x="5978"/>
        <item m="1" x="4121"/>
        <item m="1" x="4351"/>
        <item m="1" x="4521"/>
        <item m="1" x="4681"/>
        <item m="1" x="4841"/>
        <item m="1" x="5001"/>
        <item m="1" x="5181"/>
        <item m="1" x="5451"/>
        <item m="1" x="5757"/>
        <item m="1" x="5980"/>
        <item m="1" x="4134"/>
        <item m="1" x="4361"/>
        <item m="1" x="4530"/>
        <item m="1" x="4690"/>
        <item m="1" x="4850"/>
        <item m="1" x="5010"/>
        <item m="1" x="5192"/>
        <item m="1" x="5464"/>
        <item m="1" x="5768"/>
        <item m="1" x="5986"/>
        <item m="1" x="4148"/>
        <item m="1" x="4371"/>
        <item m="1" x="4539"/>
        <item m="1" x="4699"/>
        <item m="1" x="4859"/>
        <item m="1" x="5019"/>
        <item m="1" x="5205"/>
        <item m="1" x="5480"/>
        <item m="1" x="5782"/>
        <item m="1" x="5995"/>
        <item m="1" x="5609"/>
        <item m="1" x="5876"/>
        <item m="1" x="6061"/>
        <item m="1" x="6222"/>
        <item m="1" x="6383"/>
        <item m="1" x="6544"/>
        <item m="1" x="6713"/>
        <item m="1" x="6955"/>
        <item m="1" x="7265"/>
        <item m="1" x="7527"/>
        <item m="1" x="5625"/>
        <item m="1" x="5888"/>
        <item m="1" x="6070"/>
        <item m="1" x="6231"/>
        <item m="1" x="6392"/>
        <item m="1" x="6553"/>
        <item m="1" x="6723"/>
        <item m="1" x="6970"/>
        <item m="1" x="7280"/>
        <item m="1" x="7537"/>
        <item m="1" x="5637"/>
        <item m="1" x="5898"/>
        <item m="1" x="6079"/>
        <item m="1" x="6240"/>
        <item m="1" x="6401"/>
        <item m="1" x="6562"/>
        <item m="1" x="6733"/>
        <item m="1" x="6983"/>
        <item m="1" x="7293"/>
        <item m="1" x="7545"/>
        <item m="1" x="5646"/>
        <item m="1" x="5907"/>
        <item m="1" x="6088"/>
        <item m="1" x="6249"/>
        <item m="1" x="6410"/>
        <item m="1" x="6571"/>
        <item m="1" x="6742"/>
        <item m="1" x="6993"/>
        <item m="1" x="7301"/>
        <item m="1" x="7548"/>
        <item m="1" x="5655"/>
        <item m="1" x="5916"/>
        <item m="1" x="6097"/>
        <item m="1" x="6258"/>
        <item m="1" x="6419"/>
        <item m="1" x="6580"/>
        <item m="1" x="6751"/>
        <item m="1" x="7002"/>
        <item m="1" x="7308"/>
        <item m="1" x="7550"/>
        <item m="1" x="5664"/>
        <item m="1" x="5925"/>
        <item m="1" x="6106"/>
        <item m="1" x="6267"/>
        <item m="1" x="6428"/>
        <item m="1" x="6589"/>
        <item m="1" x="6760"/>
        <item m="1" x="7011"/>
        <item m="1" x="7315"/>
        <item m="1" x="7552"/>
        <item m="1" x="5673"/>
        <item m="1" x="5934"/>
        <item m="1" x="6115"/>
        <item m="1" x="6276"/>
        <item m="1" x="6437"/>
        <item m="1" x="6598"/>
        <item m="1" x="6769"/>
        <item m="1" x="7020"/>
        <item m="1" x="7322"/>
        <item m="1" x="7554"/>
        <item m="1" x="5682"/>
        <item m="1" x="5943"/>
        <item m="1" x="6124"/>
        <item m="1" x="6285"/>
        <item m="1" x="6446"/>
        <item m="1" x="6607"/>
        <item m="1" x="6778"/>
        <item m="1" x="7029"/>
        <item m="1" x="7329"/>
        <item m="1" x="7556"/>
        <item m="1" x="5696"/>
        <item m="1" x="5954"/>
        <item m="1" x="6133"/>
        <item m="1" x="6294"/>
        <item m="1" x="6455"/>
        <item m="1" x="6616"/>
        <item m="1" x="6788"/>
        <item m="1" x="7041"/>
        <item m="1" x="7339"/>
        <item m="1" x="7561"/>
        <item m="1" x="5712"/>
        <item m="1" x="5965"/>
        <item m="1" x="6142"/>
        <item m="1" x="6303"/>
        <item m="1" x="6464"/>
        <item m="1" x="6625"/>
        <item m="1" x="6800"/>
        <item m="1" x="7057"/>
        <item m="1" x="7354"/>
        <item m="1" x="7571"/>
        <item m="1" x="7184"/>
        <item m="1" x="7455"/>
        <item m="1" x="7644"/>
        <item m="1" x="7809"/>
        <item m="1" x="2101"/>
        <item m="1" x="2412"/>
        <item m="1" x="2695"/>
        <item m="1" x="7199"/>
        <item m="1" x="7466"/>
        <item m="1" x="7652"/>
        <item m="1" x="7817"/>
        <item m="1" x="2115"/>
        <item m="1" x="2427"/>
        <item m="1" x="2706"/>
        <item m="1" x="7211"/>
        <item m="1" x="7476"/>
        <item m="1" x="7661"/>
        <item m="1" x="7826"/>
        <item m="1" x="2128"/>
        <item m="1" x="2441"/>
        <item m="1" x="2715"/>
        <item m="1" x="7220"/>
        <item m="1" x="7485"/>
        <item m="1" x="7670"/>
        <item m="1" x="7835"/>
        <item m="1" x="2138"/>
        <item m="1" x="2450"/>
        <item m="1" x="2719"/>
        <item m="1" x="7229"/>
        <item m="1" x="7494"/>
        <item m="1" x="7679"/>
        <item m="1" x="7844"/>
        <item m="1" x="2147"/>
        <item m="1" x="2458"/>
        <item m="1" x="2721"/>
        <item m="1" x="7237"/>
        <item m="1" x="7502"/>
        <item m="1" x="7687"/>
        <item m="1" x="7852"/>
        <item m="1" x="2155"/>
        <item m="1" x="2465"/>
        <item m="1" x="2723"/>
        <item m="1" x="7245"/>
        <item m="1" x="7510"/>
        <item m="1" x="7695"/>
        <item m="1" x="7860"/>
        <item m="1" x="2163"/>
        <item m="1" x="2472"/>
        <item m="1" x="2725"/>
        <item m="1" x="7253"/>
        <item m="1" x="7518"/>
        <item m="1" x="7703"/>
        <item m="1" x="7868"/>
        <item m="1" x="2171"/>
        <item m="1" x="2479"/>
        <item m="1" x="2727"/>
        <item m="1" x="7266"/>
        <item m="1" x="7528"/>
        <item m="1" x="7711"/>
        <item m="1" x="7876"/>
        <item m="1" x="2182"/>
        <item m="1" x="2489"/>
        <item m="1" x="2732"/>
        <item m="1" x="7281"/>
        <item m="1" x="7538"/>
        <item m="1" x="7719"/>
        <item m="1" x="7884"/>
        <item m="1" x="2197"/>
        <item m="1" x="2504"/>
        <item m="1" x="2742"/>
        <item m="1" x="2333"/>
        <item m="1" x="2623"/>
        <item m="1" x="2823"/>
        <item m="1" x="2985"/>
        <item m="1" x="3145"/>
        <item m="1" x="3305"/>
        <item m="1" x="3465"/>
        <item m="1" x="3677"/>
        <item m="1" x="3971"/>
        <item m="1" x="4249"/>
        <item m="1" x="2348"/>
        <item m="1" x="2635"/>
        <item m="1" x="2831"/>
        <item m="1" x="2992"/>
        <item m="1" x="3152"/>
        <item m="1" x="3312"/>
        <item m="1" x="3472"/>
        <item m="1" x="3688"/>
        <item m="1" x="3984"/>
        <item m="1" x="4258"/>
        <item m="1" x="2361"/>
        <item m="1" x="2646"/>
        <item m="1" x="2840"/>
        <item m="1" x="3000"/>
        <item m="1" x="3160"/>
        <item m="1" x="3320"/>
        <item m="1" x="3480"/>
        <item m="1" x="3699"/>
        <item m="1" x="3997"/>
        <item m="1" x="4266"/>
        <item m="1" x="2369"/>
        <item m="1" x="2654"/>
        <item m="1" x="2848"/>
        <item m="1" x="3008"/>
        <item m="1" x="3168"/>
        <item m="1" x="3328"/>
        <item m="1" x="3488"/>
        <item m="1" x="3708"/>
        <item m="1" x="4005"/>
        <item m="1" x="4269"/>
        <item m="1" x="2377"/>
        <item m="1" x="2662"/>
        <item m="1" x="2856"/>
        <item m="1" x="3016"/>
        <item m="1" x="3176"/>
        <item m="1" x="3336"/>
        <item m="1" x="3496"/>
        <item m="1" x="3716"/>
        <item m="1" x="4012"/>
        <item m="1" x="4271"/>
        <item m="1" x="2385"/>
        <item m="1" x="2670"/>
        <item m="1" x="2864"/>
        <item m="1" x="3024"/>
        <item m="1" x="3184"/>
        <item m="1" x="3344"/>
        <item m="1" x="3504"/>
        <item m="1" x="3724"/>
        <item m="1" x="4019"/>
        <item m="1" x="4273"/>
        <item m="1" x="2393"/>
        <item m="1" x="2678"/>
        <item m="1" x="2872"/>
        <item m="1" x="3032"/>
        <item m="1" x="3192"/>
        <item m="1" x="3352"/>
        <item m="1" x="3512"/>
        <item m="1" x="3732"/>
        <item m="1" x="4026"/>
        <item m="1" x="4275"/>
        <item m="1" x="2401"/>
        <item m="1" x="2686"/>
        <item m="1" x="2880"/>
        <item m="1" x="3040"/>
        <item m="1" x="3200"/>
        <item m="1" x="3360"/>
        <item m="1" x="3520"/>
        <item m="1" x="3740"/>
        <item m="1" x="4033"/>
        <item m="1" x="4277"/>
        <item m="1" x="2413"/>
        <item m="1" x="2696"/>
        <item m="1" x="2888"/>
        <item m="1" x="3048"/>
        <item m="1" x="3208"/>
        <item m="1" x="3368"/>
        <item m="1" x="3528"/>
        <item m="1" x="3750"/>
        <item m="1" x="4042"/>
        <item m="1" x="4281"/>
        <item m="1" x="2428"/>
        <item m="1" x="2707"/>
        <item m="1" x="2896"/>
        <item m="1" x="3056"/>
        <item m="1" x="3216"/>
        <item m="1" x="3376"/>
        <item m="1" x="3538"/>
        <item m="1" x="3764"/>
        <item m="1" x="4057"/>
        <item m="1" x="4291"/>
        <item m="1" x="3901"/>
        <item m="1" x="4186"/>
        <item m="1" x="4382"/>
        <item m="1" x="4544"/>
        <item m="1" x="4704"/>
        <item m="1" x="4864"/>
        <item m="1" x="5024"/>
        <item m="1" x="5236"/>
        <item m="1" x="5530"/>
        <item m="1" x="5830"/>
        <item m="1" x="3915"/>
        <item m="1" x="4197"/>
        <item m="1" x="4389"/>
        <item m="1" x="4550"/>
        <item m="1" x="4710"/>
        <item m="1" x="4870"/>
        <item m="1" x="5030"/>
        <item m="1" x="5246"/>
        <item m="1" x="5543"/>
        <item m="1" x="5840"/>
        <item m="1" x="3927"/>
        <item m="1" x="4207"/>
        <item m="1" x="4397"/>
        <item m="1" x="4557"/>
        <item m="1" x="4717"/>
        <item m="1" x="4877"/>
        <item m="1" x="5037"/>
        <item m="1" x="5256"/>
        <item m="1" x="5557"/>
        <item m="1" x="5850"/>
        <item m="1" x="3934"/>
        <item m="1" x="4214"/>
        <item m="1" x="4404"/>
        <item m="1" x="4564"/>
        <item m="1" x="4724"/>
        <item m="1" x="4884"/>
        <item m="1" x="5044"/>
        <item m="1" x="5264"/>
        <item m="1" x="5565"/>
        <item m="1" x="5854"/>
        <item m="1" x="3941"/>
        <item m="1" x="4221"/>
        <item m="1" x="4411"/>
        <item m="1" x="4571"/>
        <item m="1" x="4731"/>
        <item m="1" x="4891"/>
        <item m="1" x="5051"/>
        <item m="1" x="5271"/>
        <item m="1" x="5572"/>
        <item m="1" x="5857"/>
        <item m="1" x="3948"/>
        <item m="1" x="4228"/>
        <item m="1" x="4418"/>
        <item m="1" x="4578"/>
        <item m="1" x="4738"/>
        <item m="1" x="4898"/>
        <item m="1" x="5058"/>
        <item m="1" x="5278"/>
        <item m="1" x="5579"/>
        <item m="1" x="5860"/>
        <item m="1" x="3955"/>
        <item m="1" x="4235"/>
        <item m="1" x="4425"/>
        <item m="1" x="4585"/>
        <item m="1" x="4745"/>
        <item m="1" x="4905"/>
        <item m="1" x="5065"/>
        <item m="1" x="5285"/>
        <item m="1" x="5586"/>
        <item m="1" x="5863"/>
        <item m="1" x="3962"/>
        <item m="1" x="4242"/>
        <item m="1" x="4432"/>
        <item m="1" x="4592"/>
        <item m="1" x="4752"/>
        <item m="1" x="4912"/>
        <item m="1" x="5072"/>
        <item m="1" x="5292"/>
        <item m="1" x="5593"/>
        <item m="1" x="5866"/>
        <item m="1" x="3972"/>
        <item m="1" x="4250"/>
        <item m="1" x="4439"/>
        <item m="1" x="4599"/>
        <item m="1" x="4759"/>
        <item m="1" x="4919"/>
        <item m="1" x="5079"/>
        <item m="1" x="5301"/>
        <item m="1" x="5602"/>
        <item m="1" x="5871"/>
        <item m="1" x="3985"/>
        <item m="1" x="4259"/>
        <item m="1" x="4446"/>
        <item m="1" x="4606"/>
        <item m="1" x="4766"/>
        <item m="1" x="4926"/>
        <item m="1" x="5088"/>
        <item m="1" x="5314"/>
        <item m="1" x="5617"/>
        <item m="1" x="5882"/>
        <item m="1" x="5457"/>
        <item m="1" x="5762"/>
        <item m="1" x="5982"/>
        <item m="1" x="6147"/>
        <item m="1" x="6308"/>
        <item m="1" x="6469"/>
        <item m="1" x="6630"/>
        <item m="1" x="6824"/>
        <item m="1" x="7106"/>
        <item m="1" x="7408"/>
        <item m="1" x="5472"/>
        <item m="1" x="5775"/>
        <item m="1" x="5990"/>
        <item m="1" x="6153"/>
        <item m="1" x="6314"/>
        <item m="1" x="6475"/>
        <item m="1" x="6636"/>
        <item m="1" x="6833"/>
        <item m="1" x="7119"/>
        <item m="1" x="7419"/>
        <item m="1" x="5486"/>
        <item m="1" x="5787"/>
        <item m="1" x="5999"/>
        <item m="1" x="6160"/>
        <item m="1" x="6321"/>
        <item m="1" x="6482"/>
        <item m="1" x="6643"/>
        <item m="1" x="6843"/>
        <item m="1" x="7133"/>
        <item m="1" x="7430"/>
        <item m="1" x="5494"/>
        <item m="1" x="5795"/>
        <item m="1" x="6006"/>
        <item m="1" x="6167"/>
        <item m="1" x="6328"/>
        <item m="1" x="6489"/>
        <item m="1" x="6650"/>
        <item m="1" x="6851"/>
        <item m="1" x="7142"/>
        <item m="1" x="7435"/>
        <item m="1" x="5501"/>
        <item m="1" x="5802"/>
        <item m="1" x="6013"/>
        <item m="1" x="6174"/>
        <item m="1" x="6335"/>
        <item m="1" x="6496"/>
        <item m="1" x="6657"/>
        <item m="1" x="6858"/>
        <item m="1" x="7149"/>
        <item m="1" x="7438"/>
        <item m="1" x="5508"/>
        <item m="1" x="5809"/>
        <item m="1" x="6020"/>
        <item m="1" x="6181"/>
        <item m="1" x="6342"/>
        <item m="1" x="6503"/>
        <item m="1" x="6664"/>
        <item m="1" x="6865"/>
        <item m="1" x="7156"/>
        <item m="1" x="7441"/>
        <item m="1" x="5515"/>
        <item m="1" x="5816"/>
        <item m="1" x="6027"/>
        <item m="1" x="6188"/>
        <item m="1" x="6349"/>
        <item m="1" x="6510"/>
        <item m="1" x="6671"/>
        <item m="1" x="6872"/>
        <item m="1" x="7163"/>
        <item m="1" x="7444"/>
        <item m="1" x="5522"/>
        <item m="1" x="5823"/>
        <item m="1" x="6034"/>
        <item m="1" x="6195"/>
        <item m="1" x="6356"/>
        <item m="1" x="6517"/>
        <item m="1" x="6678"/>
        <item m="1" x="6879"/>
        <item m="1" x="7170"/>
        <item m="1" x="7447"/>
        <item m="1" x="5531"/>
        <item m="1" x="5831"/>
        <item m="1" x="6041"/>
        <item m="1" x="6202"/>
        <item m="1" x="6363"/>
        <item m="1" x="6524"/>
        <item m="1" x="6685"/>
        <item m="1" x="6887"/>
        <item m="1" x="7178"/>
        <item m="1" x="7451"/>
        <item m="1" x="5544"/>
        <item m="1" x="5841"/>
        <item m="1" x="6048"/>
        <item m="1" x="6209"/>
        <item m="1" x="6370"/>
        <item m="1" x="6531"/>
        <item m="1" x="6693"/>
        <item m="1" x="6898"/>
        <item m="1" x="7192"/>
        <item m="1" x="7461"/>
        <item m="1" x="7034"/>
        <item m="1" x="7333"/>
        <item m="1" x="7557"/>
        <item m="1" x="7726"/>
        <item m="1" x="7891"/>
        <item m="1" x="2248"/>
        <item m="1" x="2561"/>
        <item m="1" x="7048"/>
        <item m="1" x="7346"/>
        <item m="1" x="7565"/>
        <item m="1" x="7732"/>
        <item m="1" x="7897"/>
        <item m="1" x="2261"/>
        <item m="1" x="2573"/>
        <item m="1" x="7062"/>
        <item m="1" x="7359"/>
        <item m="1" x="7575"/>
        <item m="1" x="7740"/>
        <item m="1" x="7905"/>
        <item m="1" x="2276"/>
        <item m="1" x="2586"/>
        <item m="1" x="7070"/>
        <item m="1" x="7368"/>
        <item m="1" x="7583"/>
        <item m="1" x="7748"/>
        <item m="1" x="7913"/>
        <item m="1" x="2286"/>
        <item m="1" x="2593"/>
        <item m="1" x="7077"/>
        <item m="1" x="7376"/>
        <item m="1" x="7591"/>
        <item m="1" x="7756"/>
        <item m="1" x="7921"/>
        <item m="1" x="1999"/>
        <item m="1" x="2294"/>
        <item m="1" x="2598"/>
        <item m="1" x="7084"/>
        <item m="1" x="7384"/>
        <item m="1" x="7599"/>
        <item m="1" x="7764"/>
        <item m="1" x="7929"/>
        <item m="1" x="2007"/>
        <item m="1" x="2302"/>
        <item m="1" x="2603"/>
        <item m="1" x="7091"/>
        <item m="1" x="7392"/>
        <item m="1" x="7607"/>
        <item m="1" x="7772"/>
        <item m="1" x="7937"/>
        <item m="1" x="2015"/>
        <item m="1" x="2310"/>
        <item m="1" x="2608"/>
        <item m="1" x="7098"/>
        <item m="1" x="7400"/>
        <item m="1" x="7615"/>
        <item m="1" x="7780"/>
        <item m="1" x="7945"/>
        <item m="1" x="2023"/>
        <item m="1" x="2318"/>
        <item m="1" x="2613"/>
        <item m="1" x="7107"/>
        <item m="1" x="7409"/>
        <item m="1" x="7623"/>
        <item m="1" x="7788"/>
        <item m="1" x="7953"/>
        <item m="1" x="2032"/>
        <item m="1" x="2327"/>
        <item m="1" x="2619"/>
        <item m="1" x="7120"/>
        <item m="1" x="7420"/>
        <item m="1" x="7631"/>
        <item m="1" x="7796"/>
        <item m="1" x="7961"/>
        <item m="1" x="2044"/>
        <item m="1" x="2341"/>
        <item m="1" x="2630"/>
        <item m="1" x="2177"/>
        <item m="1" x="2484"/>
        <item m="1" x="2729"/>
        <item m="1" x="2903"/>
        <item m="1" x="3063"/>
        <item m="1" x="3223"/>
        <item m="1" x="3383"/>
        <item m="1" x="3558"/>
        <item m="1" x="3816"/>
        <item m="1" x="4122"/>
        <item m="1" x="2190"/>
        <item m="1" x="2497"/>
        <item m="1" x="2737"/>
        <item m="1" x="2909"/>
        <item m="1" x="3069"/>
        <item m="1" x="3229"/>
        <item m="1" x="3389"/>
        <item m="1" x="3566"/>
        <item m="1" x="3829"/>
        <item m="1" x="4135"/>
        <item m="1" x="2204"/>
        <item m="1" x="2511"/>
        <item m="1" x="2747"/>
        <item m="1" x="2917"/>
        <item m="1" x="3077"/>
        <item m="1" x="3237"/>
        <item m="1" x="3397"/>
        <item m="1" x="3576"/>
        <item m="1" x="3844"/>
        <item m="1" x="4149"/>
        <item m="1" x="2213"/>
        <item m="1" x="2521"/>
        <item m="1" x="2755"/>
        <item m="1" x="2925"/>
        <item m="1" x="3085"/>
        <item m="1" x="3245"/>
        <item m="1" x="3405"/>
        <item m="1" x="3585"/>
        <item m="1" x="3855"/>
        <item m="1" x="4157"/>
        <item m="1" x="2220"/>
        <item m="1" x="2529"/>
        <item m="1" x="2763"/>
        <item m="1" x="2933"/>
        <item m="1" x="3093"/>
        <item m="1" x="3253"/>
        <item m="1" x="3413"/>
        <item m="1" x="3593"/>
        <item m="1" x="3863"/>
        <item m="1" x="4162"/>
        <item m="1" x="2227"/>
        <item m="1" x="2537"/>
        <item m="1" x="2771"/>
        <item m="1" x="2941"/>
        <item m="1" x="3101"/>
        <item m="1" x="3261"/>
        <item m="1" x="3421"/>
        <item m="1" x="3601"/>
        <item m="1" x="3871"/>
        <item m="1" x="4167"/>
        <item m="1" x="2234"/>
        <item m="1" x="2545"/>
        <item m="1" x="2779"/>
        <item m="1" x="2949"/>
        <item m="1" x="3109"/>
        <item m="1" x="3269"/>
        <item m="1" x="3429"/>
        <item m="1" x="3609"/>
        <item m="1" x="3879"/>
        <item m="1" x="4172"/>
        <item m="1" x="2241"/>
        <item m="1" x="2553"/>
        <item m="1" x="2787"/>
        <item m="1" x="2957"/>
        <item m="1" x="3117"/>
        <item m="1" x="3277"/>
        <item m="1" x="3437"/>
        <item m="1" x="3617"/>
        <item m="1" x="3887"/>
        <item m="1" x="4177"/>
        <item m="1" x="2249"/>
        <item m="1" x="2562"/>
        <item m="1" x="2795"/>
        <item m="1" x="2965"/>
        <item m="1" x="3125"/>
        <item m="1" x="3285"/>
        <item m="1" x="3445"/>
        <item m="1" x="3625"/>
        <item m="1" x="3895"/>
        <item m="1" x="4182"/>
        <item m="1" x="2262"/>
        <item m="1" x="2574"/>
        <item m="1" x="2804"/>
        <item m="1" x="2973"/>
        <item m="1" x="3133"/>
        <item m="1" x="3293"/>
        <item m="1" x="3453"/>
        <item m="1" x="3635"/>
        <item m="1" x="3907"/>
        <item m="1" x="4191"/>
        <item m="1" x="3746"/>
        <item m="1" x="4038"/>
        <item m="1" x="4279"/>
        <item m="1" x="4453"/>
        <item m="1" x="4613"/>
        <item m="1" x="4773"/>
        <item m="1" x="4933"/>
        <item m="1" x="5108"/>
        <item m="1" x="5366"/>
        <item m="1" x="5683"/>
        <item m="1" x="3758"/>
        <item m="1" x="4051"/>
        <item m="1" x="4287"/>
        <item m="1" x="4459"/>
        <item m="1" x="4619"/>
        <item m="1" x="4779"/>
        <item m="1" x="4939"/>
        <item m="1" x="5116"/>
        <item m="1" x="5379"/>
        <item m="1" x="5697"/>
        <item m="1" x="3772"/>
        <item m="1" x="4066"/>
        <item m="1" x="4298"/>
        <item m="1" x="4468"/>
        <item m="1" x="4628"/>
        <item m="1" x="4788"/>
        <item m="1" x="4948"/>
        <item m="1" x="5127"/>
        <item m="1" x="5395"/>
        <item m="1" x="5713"/>
        <item m="1" x="3781"/>
        <item m="1" x="4077"/>
        <item m="1" x="4307"/>
        <item m="1" x="4477"/>
        <item m="1" x="4637"/>
        <item m="1" x="4797"/>
        <item m="1" x="4957"/>
        <item m="1" x="5137"/>
        <item m="1" x="5407"/>
        <item m="1" x="5723"/>
        <item m="1" x="3788"/>
        <item m="1" x="4086"/>
        <item m="1" x="4316"/>
        <item m="1" x="4486"/>
        <item m="1" x="4646"/>
        <item m="1" x="4806"/>
        <item m="1" x="4966"/>
        <item m="1" x="5146"/>
        <item m="1" x="5416"/>
        <item m="1" x="5730"/>
        <item m="1" x="3795"/>
        <item m="1" x="4095"/>
        <item m="1" x="4325"/>
        <item m="1" x="4495"/>
        <item m="1" x="4655"/>
        <item m="1" x="4815"/>
        <item m="1" x="4975"/>
        <item m="1" x="5155"/>
        <item m="1" x="5425"/>
        <item m="1" x="5737"/>
        <item m="1" x="3802"/>
        <item m="1" x="4104"/>
        <item m="1" x="4334"/>
        <item m="1" x="4504"/>
        <item m="1" x="4664"/>
        <item m="1" x="4824"/>
        <item m="1" x="4984"/>
        <item m="1" x="5164"/>
        <item m="1" x="5434"/>
        <item m="1" x="5744"/>
        <item m="1" x="3809"/>
        <item m="1" x="4113"/>
        <item m="1" x="4343"/>
        <item m="1" x="4513"/>
        <item m="1" x="4673"/>
        <item m="1" x="4833"/>
        <item m="1" x="4993"/>
        <item m="1" x="5173"/>
        <item m="1" x="5443"/>
        <item m="1" x="5751"/>
        <item m="1" x="3817"/>
        <item m="1" x="4123"/>
        <item m="1" x="4352"/>
        <item m="1" x="4522"/>
        <item m="1" x="4682"/>
        <item m="1" x="4842"/>
        <item m="1" x="5002"/>
        <item m="1" x="5182"/>
        <item m="1" x="5452"/>
        <item m="1" x="5758"/>
        <item m="1" x="3830"/>
        <item m="1" x="4136"/>
        <item m="1" x="4362"/>
        <item m="1" x="4531"/>
        <item m="1" x="4691"/>
        <item m="1" x="4851"/>
        <item m="1" x="5011"/>
        <item m="1" x="5193"/>
        <item m="1" x="5465"/>
        <item m="1" x="5769"/>
        <item m="1" x="5296"/>
        <item m="1" x="5597"/>
        <item m="1" x="5868"/>
        <item m="1" x="6056"/>
        <item m="1" x="6217"/>
        <item m="1" x="6378"/>
        <item m="1" x="6539"/>
        <item m="1" x="6707"/>
        <item m="1" x="6944"/>
        <item m="1" x="7254"/>
        <item m="1" x="5307"/>
        <item m="1" x="5610"/>
        <item m="1" x="5877"/>
        <item m="1" x="6062"/>
        <item m="1" x="6223"/>
        <item m="1" x="6384"/>
        <item m="1" x="6545"/>
        <item m="1" x="6714"/>
        <item m="1" x="6956"/>
        <item m="1" x="7267"/>
        <item m="1" x="5321"/>
        <item m="1" x="5626"/>
        <item m="1" x="5889"/>
        <item m="1" x="6071"/>
        <item m="1" x="6232"/>
        <item m="1" x="6393"/>
        <item m="1" x="6554"/>
        <item m="1" x="6724"/>
        <item m="1" x="6971"/>
        <item m="1" x="7282"/>
        <item m="1" x="5331"/>
        <item m="1" x="5638"/>
        <item m="1" x="5899"/>
        <item m="1" x="6080"/>
        <item m="1" x="6241"/>
        <item m="1" x="6402"/>
        <item m="1" x="6563"/>
        <item m="1" x="6734"/>
        <item m="1" x="6984"/>
        <item m="1" x="7294"/>
        <item m="1" x="5338"/>
        <item m="1" x="5647"/>
        <item m="1" x="5908"/>
        <item m="1" x="6089"/>
        <item m="1" x="6250"/>
        <item m="1" x="6411"/>
        <item m="1" x="6572"/>
        <item m="1" x="6743"/>
        <item m="1" x="6994"/>
        <item m="1" x="7302"/>
        <item m="1" x="5345"/>
        <item m="1" x="5656"/>
        <item m="1" x="5917"/>
        <item m="1" x="6098"/>
        <item m="1" x="6259"/>
        <item m="1" x="6420"/>
        <item m="1" x="6581"/>
        <item m="1" x="6752"/>
        <item m="1" x="7003"/>
        <item m="1" x="7309"/>
        <item m="1" x="5352"/>
        <item m="1" x="5665"/>
        <item m="1" x="5926"/>
        <item m="1" x="6107"/>
        <item m="1" x="6268"/>
        <item m="1" x="6429"/>
        <item m="1" x="6590"/>
        <item m="1" x="6761"/>
        <item m="1" x="7012"/>
        <item m="1" x="7316"/>
        <item m="1" x="5359"/>
        <item m="1" x="5674"/>
        <item m="1" x="5935"/>
        <item m="1" x="6116"/>
        <item m="1" x="6277"/>
        <item m="1" x="6438"/>
        <item m="1" x="6599"/>
        <item m="1" x="6770"/>
        <item m="1" x="7021"/>
        <item m="1" x="7323"/>
        <item m="1" x="5367"/>
        <item m="1" x="5684"/>
        <item m="1" x="5944"/>
        <item m="1" x="6125"/>
        <item m="1" x="6286"/>
        <item m="1" x="6447"/>
        <item m="1" x="6608"/>
        <item m="1" x="6779"/>
        <item m="1" x="7030"/>
        <item m="1" x="7330"/>
        <item m="1" x="5380"/>
        <item m="1" x="5698"/>
        <item m="1" x="5955"/>
        <item m="1" x="6134"/>
        <item m="1" x="6295"/>
        <item m="1" x="6456"/>
        <item m="1" x="6617"/>
        <item m="1" x="6789"/>
        <item m="1" x="7042"/>
        <item m="1" x="7340"/>
        <item m="1" x="7341"/>
        <item m="1" x="7562"/>
        <item m="1" x="7729"/>
        <item m="1" x="7894"/>
        <item m="1" x="2256"/>
        <item m="1" x="2568"/>
        <item m="1" x="2800"/>
        <item m="1" x="7355"/>
        <item m="1" x="7572"/>
        <item m="1" x="7737"/>
        <item m="1" x="7902"/>
        <item m="1" x="2271"/>
        <item m="1" x="2581"/>
        <item m="1" x="2809"/>
        <item m="1" x="7365"/>
        <item m="1" x="7580"/>
        <item m="1" x="7745"/>
        <item m="1" x="7910"/>
        <item m="1" x="2283"/>
        <item m="1" x="2591"/>
        <item m="1" x="2815"/>
        <item m="1" x="7373"/>
        <item m="1" x="7588"/>
        <item m="1" x="7753"/>
        <item m="1" x="7918"/>
        <item m="1" x="1995"/>
        <item m="1" x="2291"/>
        <item m="1" x="2596"/>
        <item m="1" x="2816"/>
        <item m="1" x="7381"/>
        <item m="1" x="7596"/>
        <item m="1" x="7761"/>
        <item m="1" x="7926"/>
        <item m="1" x="2004"/>
        <item m="1" x="2299"/>
        <item m="1" x="2601"/>
        <item m="1" x="2817"/>
        <item m="1" x="7389"/>
        <item m="1" x="7604"/>
        <item m="1" x="7769"/>
        <item m="1" x="7934"/>
        <item m="1" x="2012"/>
        <item m="1" x="2307"/>
        <item m="1" x="2606"/>
        <item m="1" x="2818"/>
        <item m="1" x="7397"/>
        <item m="1" x="7612"/>
        <item m="1" x="7777"/>
        <item m="1" x="7942"/>
        <item m="1" x="2020"/>
        <item m="1" x="2315"/>
        <item m="1" x="2611"/>
        <item m="1" x="2819"/>
        <item m="1" x="7405"/>
        <item m="1" x="7620"/>
        <item m="1" x="7785"/>
        <item m="1" x="7950"/>
        <item m="1" x="2028"/>
        <item m="1" x="2323"/>
        <item m="1" x="2616"/>
        <item m="1" x="2820"/>
        <item m="1" x="7415"/>
        <item m="1" x="7628"/>
        <item m="1" x="7793"/>
        <item m="1" x="7958"/>
        <item m="1" x="2038"/>
        <item m="1" x="2334"/>
        <item m="1" x="2624"/>
        <item m="1" x="2824"/>
        <item m="1" x="7426"/>
        <item m="1" x="7636"/>
        <item m="1" x="7801"/>
        <item m="1" x="7966"/>
        <item m="1" x="2051"/>
        <item m="1" x="2349"/>
        <item m="1" x="2636"/>
        <item m="1" x="2832"/>
        <item m="1" x="2490"/>
        <item m="1" x="2733"/>
        <item m="1" x="2906"/>
        <item m="1" x="3066"/>
        <item m="1" x="3226"/>
        <item m="1" x="3386"/>
        <item m="1" x="3562"/>
        <item m="1" x="3823"/>
        <item m="1" x="4128"/>
        <item m="1" x="4356"/>
        <item m="1" x="2505"/>
        <item m="1" x="2743"/>
        <item m="1" x="2914"/>
        <item m="1" x="3074"/>
        <item m="1" x="3234"/>
        <item m="1" x="3394"/>
        <item m="1" x="3572"/>
        <item m="1" x="3838"/>
        <item m="1" x="4142"/>
        <item m="1" x="4366"/>
        <item m="1" x="2517"/>
        <item m="1" x="2752"/>
        <item m="1" x="2922"/>
        <item m="1" x="3082"/>
        <item m="1" x="3242"/>
        <item m="1" x="3402"/>
        <item m="1" x="3582"/>
        <item m="1" x="3851"/>
        <item m="1" x="4154"/>
        <item m="1" x="4374"/>
        <item m="1" x="2526"/>
        <item m="1" x="2760"/>
        <item m="1" x="2930"/>
        <item m="1" x="3090"/>
        <item m="1" x="3250"/>
        <item m="1" x="3410"/>
        <item m="1" x="3590"/>
        <item m="1" x="3860"/>
        <item m="1" x="4160"/>
        <item m="1" x="4376"/>
        <item m="1" x="2534"/>
        <item m="1" x="2768"/>
        <item m="1" x="2938"/>
        <item m="1" x="3098"/>
        <item m="1" x="3258"/>
        <item m="1" x="3418"/>
        <item m="1" x="3598"/>
        <item m="1" x="3868"/>
        <item m="1" x="4165"/>
        <item m="1" x="4377"/>
        <item m="1" x="2542"/>
        <item m="1" x="2776"/>
        <item m="1" x="2946"/>
        <item m="1" x="3106"/>
        <item m="1" x="3266"/>
        <item m="1" x="3426"/>
        <item m="1" x="3606"/>
        <item m="1" x="3876"/>
        <item m="1" x="4170"/>
        <item m="1" x="4378"/>
        <item m="1" x="2550"/>
        <item m="1" x="2784"/>
        <item m="1" x="2954"/>
        <item m="1" x="3114"/>
        <item m="1" x="3274"/>
        <item m="1" x="3434"/>
        <item m="1" x="3614"/>
        <item m="1" x="3884"/>
        <item m="1" x="4175"/>
        <item m="1" x="4379"/>
        <item m="1" x="2558"/>
        <item m="1" x="2792"/>
        <item m="1" x="2962"/>
        <item m="1" x="3122"/>
        <item m="1" x="3282"/>
        <item m="1" x="3442"/>
        <item m="1" x="3622"/>
        <item m="1" x="3892"/>
        <item m="1" x="4180"/>
        <item m="1" x="4380"/>
        <item m="1" x="2569"/>
        <item m="1" x="2801"/>
        <item m="1" x="2970"/>
        <item m="1" x="3130"/>
        <item m="1" x="3290"/>
        <item m="1" x="3450"/>
        <item m="1" x="3631"/>
        <item m="1" x="3902"/>
        <item m="1" x="4187"/>
        <item m="1" x="4383"/>
        <item m="1" x="2582"/>
        <item m="1" x="2810"/>
        <item m="1" x="2978"/>
        <item m="1" x="3138"/>
        <item m="1" x="3298"/>
        <item m="1" x="3458"/>
        <item m="1" x="3642"/>
        <item m="1" x="3916"/>
        <item m="1" x="4198"/>
        <item m="1" x="4390"/>
        <item m="1" x="4043"/>
        <item m="1" x="4282"/>
        <item m="1" x="4455"/>
        <item m="1" x="4615"/>
        <item m="1" x="4775"/>
        <item m="1" x="4935"/>
        <item m="1" x="5111"/>
        <item m="1" x="5372"/>
        <item m="1" x="5689"/>
        <item m="1" x="5948"/>
        <item m="1" x="4058"/>
        <item m="1" x="4292"/>
        <item m="1" x="4463"/>
        <item m="1" x="4623"/>
        <item m="1" x="4783"/>
        <item m="1" x="4943"/>
        <item m="1" x="5121"/>
        <item m="1" x="5387"/>
        <item m="1" x="5704"/>
        <item m="1" x="5959"/>
        <item m="1" x="4071"/>
        <item m="1" x="4302"/>
        <item m="1" x="4472"/>
        <item m="1" x="4632"/>
        <item m="1" x="4792"/>
        <item m="1" x="4952"/>
        <item m="1" x="5132"/>
        <item m="1" x="5401"/>
        <item m="1" x="5718"/>
        <item m="1" x="5968"/>
        <item m="1" x="4081"/>
        <item m="1" x="4311"/>
        <item m="1" x="4481"/>
        <item m="1" x="4641"/>
        <item m="1" x="4801"/>
        <item m="1" x="4961"/>
        <item m="1" x="5141"/>
        <item m="1" x="5411"/>
        <item m="1" x="5726"/>
        <item m="1" x="5971"/>
        <item m="1" x="4090"/>
        <item m="1" x="4320"/>
        <item m="1" x="4490"/>
        <item m="1" x="4650"/>
        <item m="1" x="4810"/>
        <item m="1" x="4970"/>
        <item m="1" x="5150"/>
        <item m="1" x="5420"/>
        <item m="1" x="5733"/>
        <item m="1" x="5973"/>
        <item m="1" x="4099"/>
        <item m="1" x="4329"/>
        <item m="1" x="4499"/>
        <item m="1" x="4659"/>
        <item m="1" x="4819"/>
        <item m="1" x="4979"/>
        <item m="1" x="5159"/>
        <item m="1" x="5429"/>
        <item m="1" x="5740"/>
        <item m="1" x="5975"/>
        <item m="1" x="4108"/>
        <item m="1" x="4338"/>
        <item m="1" x="4508"/>
        <item m="1" x="4668"/>
        <item m="1" x="4828"/>
        <item m="1" x="4988"/>
        <item m="1" x="5168"/>
        <item m="1" x="5438"/>
        <item m="1" x="5747"/>
        <item m="1" x="5977"/>
        <item m="1" x="4117"/>
        <item m="1" x="4347"/>
        <item m="1" x="4517"/>
        <item m="1" x="4677"/>
        <item m="1" x="4837"/>
        <item m="1" x="4997"/>
        <item m="1" x="5177"/>
        <item m="1" x="5447"/>
        <item m="1" x="5754"/>
        <item m="1" x="5979"/>
        <item m="1" x="4129"/>
        <item m="1" x="4357"/>
        <item m="1" x="4526"/>
        <item m="1" x="4686"/>
        <item m="1" x="4846"/>
        <item m="1" x="5006"/>
        <item m="1" x="5187"/>
        <item m="1" x="5458"/>
        <item m="1" x="5763"/>
        <item m="1" x="5983"/>
        <item m="1" x="4143"/>
        <item m="1" x="4367"/>
        <item m="1" x="4535"/>
        <item m="1" x="4695"/>
        <item m="1" x="4855"/>
        <item m="1" x="5015"/>
        <item m="1" x="5199"/>
        <item m="1" x="5473"/>
        <item m="1" x="5776"/>
        <item m="1" x="5991"/>
        <item m="1" x="5603"/>
        <item m="1" x="5872"/>
        <item m="1" x="6058"/>
        <item m="1" x="6219"/>
        <item m="1" x="6380"/>
        <item m="1" x="6541"/>
        <item m="1" x="6710"/>
        <item m="1" x="6950"/>
        <item m="1" x="7261"/>
        <item m="1" x="7524"/>
        <item m="1" x="5618"/>
        <item m="1" x="5883"/>
        <item m="1" x="6066"/>
        <item m="1" x="6227"/>
        <item m="1" x="6388"/>
        <item m="1" x="6549"/>
        <item m="1" x="6719"/>
        <item m="1" x="6964"/>
        <item m="1" x="7275"/>
        <item m="1" x="7534"/>
        <item m="1" x="5632"/>
        <item m="1" x="5894"/>
        <item m="1" x="6075"/>
        <item m="1" x="6236"/>
        <item m="1" x="6397"/>
        <item m="1" x="6558"/>
        <item m="1" x="6729"/>
        <item m="1" x="6978"/>
        <item m="1" x="7289"/>
        <item m="1" x="7543"/>
        <item m="1" x="5642"/>
        <item m="1" x="5903"/>
        <item m="1" x="6084"/>
        <item m="1" x="6245"/>
        <item m="1" x="6406"/>
        <item m="1" x="6567"/>
        <item m="1" x="6738"/>
        <item m="1" x="6989"/>
        <item m="1" x="7298"/>
        <item m="1" x="7547"/>
        <item m="1" x="5651"/>
        <item m="1" x="5912"/>
        <item m="1" x="6093"/>
        <item m="1" x="6254"/>
        <item m="1" x="6415"/>
        <item m="1" x="6576"/>
        <item m="1" x="6747"/>
        <item m="1" x="6998"/>
        <item m="1" x="7305"/>
        <item m="1" x="7549"/>
        <item m="1" x="5660"/>
        <item m="1" x="5921"/>
        <item m="1" x="6102"/>
        <item m="1" x="6263"/>
        <item m="1" x="6424"/>
        <item m="1" x="6585"/>
        <item m="1" x="6756"/>
        <item m="1" x="7007"/>
        <item m="1" x="7312"/>
        <item m="1" x="7551"/>
        <item m="1" x="5669"/>
        <item m="1" x="5930"/>
        <item m="1" x="6111"/>
        <item m="1" x="6272"/>
        <item m="1" x="6433"/>
        <item m="1" x="6594"/>
        <item m="1" x="6765"/>
        <item m="1" x="7016"/>
        <item m="1" x="7319"/>
        <item m="1" x="7553"/>
        <item m="1" x="5678"/>
        <item m="1" x="5939"/>
        <item m="1" x="6120"/>
        <item m="1" x="6281"/>
        <item m="1" x="6442"/>
        <item m="1" x="6603"/>
        <item m="1" x="6774"/>
        <item m="1" x="7025"/>
        <item m="1" x="7326"/>
        <item m="1" x="7555"/>
        <item m="1" x="5690"/>
        <item m="1" x="5949"/>
        <item m="1" x="6129"/>
        <item m="1" x="6290"/>
        <item m="1" x="6451"/>
        <item m="1" x="6612"/>
        <item m="1" x="6783"/>
        <item m="1" x="7035"/>
        <item m="1" x="7334"/>
        <item m="1" x="7558"/>
        <item m="1" x="5705"/>
        <item m="1" x="5960"/>
        <item m="1" x="6138"/>
        <item m="1" x="6299"/>
        <item m="1" x="6460"/>
        <item m="1" x="6621"/>
        <item m="1" x="6794"/>
        <item m="1" x="7049"/>
        <item m="1" x="7347"/>
        <item m="1" x="7566"/>
        <item m="1" x="7179"/>
        <item m="1" x="7452"/>
        <item m="1" x="7642"/>
        <item m="1" x="7807"/>
        <item m="1" x="2097"/>
        <item m="1" x="2408"/>
        <item m="1" x="2692"/>
        <item m="1" x="7193"/>
        <item m="1" x="7462"/>
        <item m="1" x="7649"/>
        <item m="1" x="7814"/>
        <item m="1" x="2110"/>
        <item m="1" x="2422"/>
        <item m="1" x="2703"/>
        <item m="1" x="7207"/>
        <item m="1" x="7473"/>
        <item m="1" x="7658"/>
        <item m="1" x="7823"/>
        <item m="1" x="2124"/>
        <item m="1" x="2437"/>
        <item m="1" x="2713"/>
        <item m="1" x="7217"/>
        <item m="1" x="7482"/>
        <item m="1" x="7667"/>
        <item m="1" x="7832"/>
        <item m="1" x="2135"/>
        <item m="1" x="2447"/>
        <item m="1" x="2718"/>
        <item m="1" x="7226"/>
        <item m="1" x="7491"/>
        <item m="1" x="7676"/>
        <item m="1" x="7841"/>
        <item m="1" x="2144"/>
        <item m="1" x="2455"/>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m="1" x="5551"/>
        <item m="1" x="5846"/>
        <item m="1" x="6052"/>
        <item m="1" x="6213"/>
        <item m="1" x="6374"/>
        <item m="1" x="6535"/>
        <item m="1" x="6697"/>
        <item m="1" x="6904"/>
        <item m="1" x="6905"/>
        <item m="1" x="7200"/>
        <item m="1" x="7467"/>
        <item m="1" x="7653"/>
        <item m="1" x="7818"/>
        <item m="1" x="7970"/>
        <item m="1" x="7980"/>
        <item m="1" x="7990"/>
        <item m="1" x="2116"/>
        <item m="1" x="2429"/>
        <item m="1" x="6914"/>
        <item m="1" x="7212"/>
        <item m="1" x="7477"/>
        <item m="1" x="7662"/>
        <item m="1" x="7827"/>
        <item m="1" x="7971"/>
        <item m="1" x="7981"/>
        <item m="1" x="7991"/>
        <item m="1" x="2129"/>
        <item m="1" x="2442"/>
        <item m="1" x="6920"/>
        <item m="1" x="7221"/>
        <item m="1" x="7486"/>
        <item m="1" x="7671"/>
        <item m="1" x="7836"/>
        <item m="1" x="7972"/>
        <item m="1" x="7982"/>
        <item m="1" x="7992"/>
        <item m="1" x="2139"/>
        <item m="1" x="2451"/>
        <item m="1" x="6926"/>
        <item m="1" x="7230"/>
        <item m="1" x="7495"/>
        <item m="1" x="7680"/>
        <item m="1" x="7845"/>
        <item m="1" x="7973"/>
        <item m="1" x="7983"/>
        <item m="1" x="7993"/>
      </items>
    </pivotField>
    <pivotField compact="0" outline="0" showAll="0" defaultSubtotal="0"/>
    <pivotField compact="0" outline="0" showAll="0" defaultSubtotal="0"/>
    <pivotField axis="axisRow" compact="0" outline="0" showAll="0" defaultSubtotal="0">
      <items count="17">
        <item x="5"/>
        <item x="7"/>
        <item x="9"/>
        <item x="1"/>
        <item x="10"/>
        <item x="3"/>
        <item x="2"/>
        <item x="13"/>
        <item x="4"/>
        <item x="6"/>
        <item x="0"/>
        <item x="8"/>
        <item x="11"/>
        <item x="12"/>
        <item m="1" x="16"/>
        <item x="14"/>
        <item x="15"/>
      </items>
    </pivotField>
    <pivotField compact="0" outline="0" showAll="0" defaultSubtotal="0"/>
    <pivotField axis="axisRow" compact="0" outline="0" showAll="0" defaultSubtotal="0">
      <items count="174">
        <item x="19"/>
        <item m="1" x="126"/>
        <item m="1" x="110"/>
        <item m="1" x="114"/>
        <item m="1" x="137"/>
        <item m="1" x="144"/>
        <item m="1" x="153"/>
        <item m="1" x="170"/>
        <item m="1" x="118"/>
        <item m="1" x="146"/>
        <item m="1" x="159"/>
        <item m="1" x="124"/>
        <item m="1" x="155"/>
        <item x="5"/>
        <item m="1" x="148"/>
        <item m="1" x="129"/>
        <item m="1" x="113"/>
        <item m="1" x="152"/>
        <item m="1" x="143"/>
        <item m="1" x="117"/>
        <item m="1" x="163"/>
        <item m="1" x="171"/>
        <item x="10"/>
        <item m="1" x="161"/>
        <item m="1" x="164"/>
        <item m="1" x="111"/>
        <item x="13"/>
        <item m="1" x="119"/>
        <item x="48"/>
        <item m="1" x="138"/>
        <item x="0"/>
        <item x="3"/>
        <item m="1" x="157"/>
        <item m="1" x="139"/>
        <item x="24"/>
        <item x="25"/>
        <item x="26"/>
        <item m="1" x="115"/>
        <item m="1" x="112"/>
        <item m="1" x="142"/>
        <item x="27"/>
        <item x="28"/>
        <item x="29"/>
        <item x="30"/>
        <item m="1" x="158"/>
        <item x="32"/>
        <item x="33"/>
        <item m="1" x="131"/>
        <item m="1" x="160"/>
        <item m="1" x="121"/>
        <item m="1" x="109"/>
        <item m="1" x="154"/>
        <item m="1" x="133"/>
        <item m="1" x="141"/>
        <item m="1" x="125"/>
        <item x="38"/>
        <item x="39"/>
        <item m="1" x="130"/>
        <item m="1" x="135"/>
        <item m="1" x="127"/>
        <item m="1" x="166"/>
        <item m="1" x="151"/>
        <item m="1" x="145"/>
        <item x="42"/>
        <item x="43"/>
        <item x="44"/>
        <item x="45"/>
        <item m="1" x="168"/>
        <item m="1" x="169"/>
        <item m="1" x="108"/>
        <item m="1" x="132"/>
        <item m="1" x="149"/>
        <item x="49"/>
        <item x="50"/>
        <item x="51"/>
        <item x="52"/>
        <item x="53"/>
        <item m="1" x="120"/>
        <item m="1" x="147"/>
        <item m="1" x="172"/>
        <item x="2"/>
        <item x="4"/>
        <item m="1" x="106"/>
        <item x="7"/>
        <item x="8"/>
        <item x="12"/>
        <item m="1" x="156"/>
        <item x="15"/>
        <item x="16"/>
        <item x="17"/>
        <item x="18"/>
        <item x="20"/>
        <item x="21"/>
        <item x="59"/>
        <item x="22"/>
        <item x="23"/>
        <item x="34"/>
        <item x="36"/>
        <item x="37"/>
        <item x="40"/>
        <item x="11"/>
        <item m="1" x="116"/>
        <item x="58"/>
        <item x="60"/>
        <item x="61"/>
        <item m="1" x="140"/>
        <item m="1" x="123"/>
        <item x="64"/>
        <item x="65"/>
        <item x="66"/>
        <item x="67"/>
        <item x="68"/>
        <item m="1" x="150"/>
        <item m="1" x="136"/>
        <item m="1" x="107"/>
        <item x="57"/>
        <item x="62"/>
        <item x="63"/>
        <item x="69"/>
        <item x="70"/>
        <item x="71"/>
        <item x="72"/>
        <item x="73"/>
        <item x="75"/>
        <item x="76"/>
        <item x="77"/>
        <item x="78"/>
        <item x="79"/>
        <item x="80"/>
        <item x="81"/>
        <item x="82"/>
        <item x="83"/>
        <item x="84"/>
        <item x="1"/>
        <item x="35"/>
        <item x="85"/>
        <item x="86"/>
        <item m="1" x="134"/>
        <item m="1" x="165"/>
        <item x="89"/>
        <item x="90"/>
        <item x="91"/>
        <item x="92"/>
        <item m="1" x="173"/>
        <item m="1" x="128"/>
        <item m="1" x="162"/>
        <item x="97"/>
        <item x="98"/>
        <item m="1" x="122"/>
        <item x="100"/>
        <item x="101"/>
        <item x="14"/>
        <item x="88"/>
        <item x="93"/>
        <item x="94"/>
        <item x="95"/>
        <item x="41"/>
        <item x="87"/>
        <item x="31"/>
        <item x="46"/>
        <item x="47"/>
        <item x="54"/>
        <item x="55"/>
        <item x="56"/>
        <item m="1" x="167"/>
        <item x="74"/>
        <item x="99"/>
        <item x="6"/>
        <item x="96"/>
        <item x="9"/>
        <item x="102"/>
        <item x="104"/>
        <item x="103"/>
        <item x="105"/>
      </items>
    </pivotField>
    <pivotField axis="axisRow" compact="0" outline="0" showAll="0" defaultSubtotal="0">
      <items count="97">
        <item m="1" x="83"/>
        <item m="1" x="93"/>
        <item m="1" x="90"/>
        <item x="4"/>
        <item m="1" x="88"/>
        <item m="1" x="71"/>
        <item m="1" x="70"/>
        <item m="1" x="51"/>
        <item m="1" x="38"/>
        <item m="1" x="48"/>
        <item m="1" x="50"/>
        <item m="1" x="58"/>
        <item m="1" x="75"/>
        <item m="1" x="63"/>
        <item m="1" x="42"/>
        <item m="1" x="94"/>
        <item m="1" x="80"/>
        <item m="1" x="64"/>
        <item m="1" x="86"/>
        <item m="1" x="74"/>
        <item m="1" x="52"/>
        <item m="1" x="62"/>
        <item m="1" x="41"/>
        <item m="1" x="53"/>
        <item m="1" x="46"/>
        <item m="1" x="68"/>
        <item m="1" x="73"/>
        <item x="16"/>
        <item m="1" x="82"/>
        <item m="1" x="76"/>
        <item m="1" x="72"/>
        <item m="1" x="67"/>
        <item m="1" x="45"/>
        <item m="1" x="87"/>
        <item m="1" x="69"/>
        <item m="1" x="44"/>
        <item m="1" x="56"/>
        <item m="1" x="59"/>
        <item m="1" x="91"/>
        <item m="1" x="47"/>
        <item x="12"/>
        <item m="1" x="49"/>
        <item m="1" x="43"/>
        <item m="1" x="81"/>
        <item x="23"/>
        <item x="0"/>
        <item m="1" x="95"/>
        <item x="2"/>
        <item m="1" x="61"/>
        <item x="5"/>
        <item x="10"/>
        <item x="11"/>
        <item x="13"/>
        <item x="37"/>
        <item m="1" x="66"/>
        <item x="18"/>
        <item x="21"/>
        <item x="20"/>
        <item x="30"/>
        <item m="1" x="89"/>
        <item x="7"/>
        <item x="8"/>
        <item x="9"/>
        <item x="14"/>
        <item x="15"/>
        <item x="22"/>
        <item x="17"/>
        <item m="1" x="54"/>
        <item x="25"/>
        <item m="1" x="39"/>
        <item m="1" x="57"/>
        <item x="26"/>
        <item x="24"/>
        <item m="1" x="85"/>
        <item m="1" x="40"/>
        <item x="19"/>
        <item x="27"/>
        <item x="28"/>
        <item x="29"/>
        <item m="1" x="65"/>
        <item x="31"/>
        <item x="32"/>
        <item x="3"/>
        <item m="1" x="84"/>
        <item m="1" x="77"/>
        <item m="1" x="55"/>
        <item m="1" x="92"/>
        <item m="1" x="60"/>
        <item m="1" x="96"/>
        <item m="1" x="78"/>
        <item m="1" x="79"/>
        <item x="35"/>
        <item x="36"/>
        <item x="1"/>
        <item x="33"/>
        <item x="34"/>
        <item x="6"/>
      </items>
    </pivotField>
    <pivotField axis="axisRow" compact="0" outline="0" showAll="0" defaultSubtotal="0">
      <items count="3">
        <item x="0"/>
        <item x="1"/>
        <item m="1" x="2"/>
      </items>
    </pivotField>
    <pivotField axis="axisRow" compact="0" outline="0" showAll="0" defaultSubtotal="0">
      <items count="18">
        <item x="0"/>
        <item x="2"/>
        <item x="15"/>
        <item x="3"/>
        <item x="11"/>
        <item x="4"/>
        <item x="9"/>
        <item x="10"/>
        <item x="14"/>
        <item x="12"/>
        <item x="7"/>
        <item x="16"/>
        <item x="6"/>
        <item x="1"/>
        <item x="5"/>
        <item x="8"/>
        <item x="13"/>
        <item m="1" x="1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559">
        <item x="273"/>
        <item x="195"/>
        <item x="196"/>
        <item x="239"/>
        <item x="241"/>
        <item x="254"/>
        <item x="242"/>
        <item x="250"/>
        <item x="243"/>
        <item x="248"/>
        <item x="249"/>
        <item x="253"/>
        <item x="251"/>
        <item x="246"/>
        <item x="255"/>
        <item x="245"/>
        <item x="240"/>
        <item x="244"/>
        <item x="247"/>
        <item x="252"/>
        <item x="145"/>
        <item x="158"/>
        <item x="146"/>
        <item x="154"/>
        <item x="147"/>
        <item x="152"/>
        <item x="153"/>
        <item x="157"/>
        <item x="155"/>
        <item x="150"/>
        <item x="159"/>
        <item x="149"/>
        <item x="144"/>
        <item x="148"/>
        <item x="151"/>
        <item x="156"/>
        <item x="143"/>
        <item x="274"/>
        <item x="275"/>
        <item m="1" x="2117"/>
        <item m="1" x="2124"/>
        <item m="1" x="2235"/>
        <item m="1" x="2101"/>
        <item m="1" x="2480"/>
        <item m="1" x="1973"/>
        <item m="1" x="2471"/>
        <item m="1" x="2293"/>
        <item m="1" x="1974"/>
        <item m="1" x="2527"/>
        <item m="1" x="2481"/>
        <item m="1" x="2482"/>
        <item m="1" x="2294"/>
        <item m="1" x="1975"/>
        <item m="1" x="2528"/>
        <item m="1" x="2102"/>
        <item m="1" x="2529"/>
        <item m="1" x="2022"/>
        <item m="1" x="2030"/>
        <item m="1" x="2374"/>
        <item m="1" x="2357"/>
        <item m="1" x="2406"/>
        <item m="1" x="2258"/>
        <item m="1" x="2388"/>
        <item m="1" x="2143"/>
        <item m="1" x="2259"/>
        <item m="1" x="2435"/>
        <item m="1" x="2407"/>
        <item m="1" x="2408"/>
        <item m="1" x="2144"/>
        <item m="1" x="2260"/>
        <item m="1" x="2436"/>
        <item m="1" x="2358"/>
        <item m="1" x="2437"/>
        <item m="1" x="2108"/>
        <item x="238"/>
        <item m="1" x="2326"/>
        <item x="236"/>
        <item x="228"/>
        <item m="1" x="2156"/>
        <item x="229"/>
        <item x="234"/>
        <item m="1" x="2526"/>
        <item m="1" x="2221"/>
        <item m="1" x="2133"/>
        <item x="232"/>
        <item x="237"/>
        <item x="231"/>
        <item m="1" x="2485"/>
        <item x="230"/>
        <item x="233"/>
        <item x="235"/>
        <item x="227"/>
        <item x="84"/>
        <item x="86"/>
        <item x="99"/>
        <item x="87"/>
        <item x="95"/>
        <item x="88"/>
        <item x="93"/>
        <item x="94"/>
        <item x="98"/>
        <item x="96"/>
        <item x="91"/>
        <item x="100"/>
        <item x="90"/>
        <item x="85"/>
        <item x="89"/>
        <item x="92"/>
        <item x="97"/>
        <item x="0"/>
        <item x="2"/>
        <item x="15"/>
        <item x="3"/>
        <item x="11"/>
        <item x="4"/>
        <item x="9"/>
        <item x="10"/>
        <item x="14"/>
        <item x="12"/>
        <item x="7"/>
        <item x="16"/>
        <item x="6"/>
        <item x="1"/>
        <item x="5"/>
        <item x="8"/>
        <item x="13"/>
        <item x="122"/>
        <item m="1" x="2305"/>
        <item m="1" x="2179"/>
        <item m="1" x="2359"/>
        <item m="1" x="2271"/>
        <item m="1" x="2421"/>
        <item m="1" x="2414"/>
        <item m="1" x="2222"/>
        <item m="1" x="2488"/>
        <item m="1" x="2415"/>
        <item m="1" x="2016"/>
        <item m="1" x="2422"/>
        <item m="1" x="2423"/>
        <item m="1" x="2489"/>
        <item m="1" x="2416"/>
        <item m="1" x="2017"/>
        <item m="1" x="2272"/>
        <item m="1" x="2018"/>
        <item x="277"/>
        <item x="279"/>
        <item x="292"/>
        <item x="280"/>
        <item x="288"/>
        <item x="281"/>
        <item x="286"/>
        <item x="287"/>
        <item x="291"/>
        <item x="289"/>
        <item x="284"/>
        <item x="293"/>
        <item x="283"/>
        <item x="278"/>
        <item x="282"/>
        <item x="285"/>
        <item x="290"/>
        <item x="177"/>
        <item x="178"/>
        <item x="180"/>
        <item x="193"/>
        <item x="181"/>
        <item x="189"/>
        <item x="182"/>
        <item x="187"/>
        <item x="188"/>
        <item x="192"/>
        <item x="190"/>
        <item x="185"/>
        <item x="194"/>
        <item x="184"/>
        <item x="179"/>
        <item x="183"/>
        <item x="186"/>
        <item x="191"/>
        <item m="1" x="2040"/>
        <item m="1" x="2340"/>
        <item m="1" x="2038"/>
        <item m="1" x="2411"/>
        <item m="1" x="2171"/>
        <item m="1" x="2158"/>
        <item m="1" x="2366"/>
        <item m="1" x="2372"/>
        <item m="1" x="2159"/>
        <item m="1" x="1983"/>
        <item m="1" x="2172"/>
        <item m="1" x="2173"/>
        <item m="1" x="2373"/>
        <item m="1" x="2160"/>
        <item m="1" x="1984"/>
        <item m="1" x="2412"/>
        <item m="1" x="1985"/>
        <item m="1" x="2084"/>
        <item m="1" x="2454"/>
        <item m="1" x="2531"/>
        <item m="1" x="2291"/>
        <item m="1" x="2111"/>
        <item m="1" x="2306"/>
        <item m="1" x="2479"/>
        <item m="1" x="2088"/>
        <item m="1" x="2307"/>
        <item m="1" x="2052"/>
        <item m="1" x="2112"/>
        <item m="1" x="2113"/>
        <item m="1" x="2089"/>
        <item m="1" x="2308"/>
        <item m="1" x="2053"/>
        <item m="1" x="2292"/>
        <item m="1" x="2054"/>
        <item x="121"/>
        <item m="1" x="2536"/>
        <item m="1" x="2230"/>
        <item m="1" x="2287"/>
        <item m="1" x="2298"/>
        <item m="1" x="2332"/>
        <item m="1" x="2424"/>
        <item m="1" x="2138"/>
        <item m="1" x="2490"/>
        <item m="1" x="2383"/>
        <item m="1" x="2277"/>
        <item m="1" x="2491"/>
        <item m="1" x="2334"/>
        <item m="1" x="2139"/>
        <item m="1" x="2140"/>
        <item m="1" x="2278"/>
        <item m="1" x="2492"/>
        <item m="1" x="2335"/>
        <item m="1" x="2425"/>
        <item m="1" x="2336"/>
        <item x="17"/>
        <item x="19"/>
        <item x="31"/>
        <item x="20"/>
        <item m="1" x="2403"/>
        <item x="21"/>
        <item x="26"/>
        <item x="27"/>
        <item x="30"/>
        <item x="28"/>
        <item x="24"/>
        <item x="32"/>
        <item x="23"/>
        <item x="18"/>
        <item x="22"/>
        <item x="25"/>
        <item x="29"/>
        <item x="213"/>
        <item m="1" x="1988"/>
        <item x="225"/>
        <item x="215"/>
        <item m="1" x="2155"/>
        <item x="216"/>
        <item x="221"/>
        <item x="222"/>
        <item x="224"/>
        <item m="1" x="2001"/>
        <item x="219"/>
        <item x="226"/>
        <item x="218"/>
        <item x="214"/>
        <item x="217"/>
        <item x="220"/>
        <item x="223"/>
        <item x="276"/>
        <item x="68"/>
        <item x="70"/>
        <item m="1" x="2460"/>
        <item x="71"/>
        <item x="79"/>
        <item x="72"/>
        <item x="77"/>
        <item x="78"/>
        <item x="82"/>
        <item x="80"/>
        <item x="75"/>
        <item x="83"/>
        <item x="74"/>
        <item x="69"/>
        <item x="73"/>
        <item x="76"/>
        <item x="81"/>
        <item x="103"/>
        <item m="1" x="1968"/>
        <item x="105"/>
        <item x="197"/>
        <item x="118"/>
        <item x="210"/>
        <item x="106"/>
        <item x="198"/>
        <item x="114"/>
        <item x="206"/>
        <item x="107"/>
        <item x="199"/>
        <item x="112"/>
        <item x="204"/>
        <item x="113"/>
        <item x="205"/>
        <item x="117"/>
        <item x="209"/>
        <item x="115"/>
        <item x="207"/>
        <item x="110"/>
        <item x="202"/>
        <item x="119"/>
        <item x="211"/>
        <item x="109"/>
        <item x="201"/>
        <item x="104"/>
        <item x="108"/>
        <item x="200"/>
        <item x="111"/>
        <item x="203"/>
        <item x="116"/>
        <item x="208"/>
        <item x="212"/>
        <item m="1" x="2333"/>
        <item m="1" x="2264"/>
        <item m="1" x="2270"/>
        <item m="1" x="2057"/>
        <item m="1" x="2103"/>
        <item m="1" x="2302"/>
        <item m="1" x="2200"/>
        <item m="1" x="2516"/>
        <item m="1" x="2134"/>
        <item m="1" x="2201"/>
        <item m="1" x="2119"/>
        <item m="1" x="2303"/>
        <item m="1" x="2304"/>
        <item m="1" x="2135"/>
        <item m="1" x="2202"/>
        <item m="1" x="2120"/>
        <item m="1" x="2104"/>
        <item m="1" x="2121"/>
        <item x="256"/>
        <item x="258"/>
        <item x="271"/>
        <item x="259"/>
        <item x="267"/>
        <item x="260"/>
        <item x="265"/>
        <item x="266"/>
        <item x="270"/>
        <item x="268"/>
        <item x="263"/>
        <item x="272"/>
        <item x="262"/>
        <item x="257"/>
        <item x="261"/>
        <item x="264"/>
        <item x="269"/>
        <item x="102"/>
        <item x="101"/>
        <item m="1" x="2114"/>
        <item m="1" x="2325"/>
        <item m="1" x="2548"/>
        <item m="1" x="2148"/>
        <item m="1" x="2389"/>
        <item m="1" x="2499"/>
        <item m="1" x="1962"/>
        <item m="1" x="2390"/>
        <item m="1" x="2446"/>
        <item m="1" x="2149"/>
        <item m="1" x="2150"/>
        <item m="1" x="1963"/>
        <item m="1" x="2391"/>
        <item m="1" x="2447"/>
        <item m="1" x="2549"/>
        <item m="1" x="2448"/>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123"/>
        <item x="124"/>
        <item x="125"/>
        <item x="126"/>
        <item x="127"/>
        <item x="128"/>
        <item x="129"/>
        <item x="130"/>
        <item x="131"/>
        <item x="132"/>
        <item x="133"/>
        <item x="134"/>
        <item x="135"/>
        <item x="136"/>
        <item x="137"/>
        <item x="138"/>
        <item x="139"/>
        <item x="140"/>
        <item x="141"/>
        <item x="142"/>
        <item x="294"/>
        <item m="1" x="2316"/>
        <item m="1" x="2497"/>
        <item m="1" x="2323"/>
        <item m="1" x="1964"/>
        <item m="1" x="2495"/>
        <item m="1" x="2546"/>
        <item m="1" x="2523"/>
        <item m="1" x="1971"/>
        <item m="1" x="1965"/>
        <item m="1" x="2494"/>
        <item m="1" x="2522"/>
        <item m="1" x="1970"/>
        <item m="1" x="2545"/>
        <item m="1" x="2547"/>
        <item m="1" x="2496"/>
        <item m="1" x="2185"/>
        <item m="1" x="1972"/>
        <item x="312"/>
        <item m="1" x="2382"/>
        <item m="1" x="2107"/>
        <item m="1" x="2297"/>
        <item x="313"/>
        <item x="314"/>
        <item x="315"/>
        <item x="316"/>
        <item x="317"/>
        <item x="318"/>
        <item x="319"/>
        <item m="1" x="2276"/>
        <item m="1" x="2075"/>
        <item x="320"/>
        <item x="321"/>
        <item m="1" x="2502"/>
        <item x="322"/>
        <item x="323"/>
        <item x="324"/>
        <item x="325"/>
        <item x="326"/>
        <item x="327"/>
        <item x="328"/>
        <item x="329"/>
        <item x="330"/>
        <item x="331"/>
        <item x="332"/>
        <item x="333"/>
        <item x="334"/>
        <item x="335"/>
        <item x="336"/>
        <item x="337"/>
        <item x="338"/>
        <item x="339"/>
        <item x="340"/>
        <item x="341"/>
        <item x="342"/>
        <item m="1" x="2525"/>
        <item m="1" x="2240"/>
        <item m="1" x="2342"/>
        <item m="1" x="2093"/>
        <item m="1" x="2238"/>
        <item m="1" x="2458"/>
        <item m="1" x="2077"/>
        <item m="1" x="2540"/>
        <item m="1" x="2094"/>
        <item m="1" x="2066"/>
        <item m="1" x="2076"/>
        <item m="1" x="2539"/>
        <item m="1" x="2457"/>
        <item m="1" x="2459"/>
        <item m="1" x="2239"/>
        <item m="1" x="2530"/>
        <item m="1" x="2541"/>
        <item m="1" x="2128"/>
        <item m="1" x="2417"/>
        <item m="1" x="2370"/>
        <item m="1" x="2192"/>
        <item m="1" x="2375"/>
        <item m="1" x="2233"/>
        <item m="1" x="2190"/>
        <item m="1" x="2344"/>
        <item m="1" x="2275"/>
        <item m="1" x="2444"/>
        <item m="1" x="2234"/>
        <item m="1" x="2364"/>
        <item m="1" x="2274"/>
        <item m="1" x="2443"/>
        <item m="1" x="2343"/>
        <item m="1" x="2345"/>
        <item m="1" x="2191"/>
        <item m="1" x="2341"/>
        <item m="1" x="2445"/>
        <item x="362"/>
        <item m="1" x="2261"/>
        <item m="1" x="2381"/>
        <item m="1" x="2106"/>
        <item m="1" x="2013"/>
        <item m="1" x="2469"/>
        <item m="1" x="2243"/>
        <item m="1" x="2187"/>
        <item m="1" x="2047"/>
        <item m="1" x="2014"/>
        <item m="1" x="2453"/>
        <item m="1" x="2186"/>
        <item m="1" x="2046"/>
        <item m="1" x="2242"/>
        <item m="1" x="2244"/>
        <item m="1" x="2470"/>
        <item m="1" x="2505"/>
        <item m="1" x="2048"/>
        <item m="1" x="2367"/>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m="1" x="2147"/>
        <item m="1" x="2189"/>
        <item m="1" x="2309"/>
        <item m="1" x="2145"/>
        <item m="1" x="1993"/>
        <item m="1" x="2168"/>
        <item m="1" x="2010"/>
        <item m="1" x="2310"/>
        <item m="1" x="2438"/>
        <item m="1" x="2167"/>
        <item m="1" x="2009"/>
        <item m="1" x="1992"/>
        <item m="1" x="1994"/>
        <item m="1" x="2146"/>
        <item m="1" x="2432"/>
        <item m="1" x="2011"/>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m="1" x="2273"/>
        <item m="1" x="2441"/>
        <item m="1" x="2280"/>
        <item m="1" x="1998"/>
        <item m="1" x="2439"/>
        <item m="1" x="2477"/>
        <item m="1" x="2290"/>
        <item m="1" x="2059"/>
        <item m="1" x="1999"/>
        <item m="1" x="2083"/>
        <item m="1" x="2289"/>
        <item m="1" x="2058"/>
        <item m="1" x="2476"/>
        <item m="1" x="2478"/>
        <item m="1" x="2440"/>
        <item m="1" x="2007"/>
        <item m="1" x="2060"/>
        <item x="739"/>
        <item m="1" x="2051"/>
        <item m="1" x="2212"/>
        <item x="740"/>
        <item x="741"/>
        <item x="742"/>
        <item x="743"/>
        <item x="744"/>
        <item x="745"/>
        <item x="746"/>
        <item x="747"/>
        <item x="748"/>
        <item x="749"/>
        <item x="750"/>
        <item x="751"/>
        <item m="1" x="2354"/>
        <item x="752"/>
        <item x="753"/>
        <item x="754"/>
        <item x="755"/>
        <item x="756"/>
        <item x="757"/>
        <item x="758"/>
        <item x="759"/>
        <item x="760"/>
        <item x="761"/>
        <item x="762"/>
        <item x="763"/>
        <item x="764"/>
        <item x="765"/>
        <item x="766"/>
        <item x="767"/>
        <item x="768"/>
        <item x="769"/>
        <item m="1" x="2097"/>
        <item m="1" x="2153"/>
        <item m="1" x="2100"/>
        <item m="1" x="2401"/>
        <item m="1" x="2151"/>
        <item m="1" x="2091"/>
        <item m="1" x="2353"/>
        <item m="1" x="2543"/>
        <item m="1" x="2402"/>
        <item m="1" x="2154"/>
        <item m="1" x="2352"/>
        <item m="1" x="2542"/>
        <item m="1" x="2090"/>
        <item m="1" x="2092"/>
        <item m="1" x="2152"/>
        <item m="1" x="2356"/>
        <item m="1" x="2544"/>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m="1" x="2000"/>
        <item x="1025"/>
        <item x="1026"/>
        <item x="1027"/>
        <item x="1028"/>
        <item x="1029"/>
        <item x="1030"/>
        <item x="1031"/>
        <item x="1032"/>
        <item x="1033"/>
        <item x="1034"/>
        <item x="1035"/>
        <item x="1036"/>
        <item x="1037"/>
        <item x="1038"/>
        <item x="1039"/>
        <item x="1040"/>
        <item x="1041"/>
        <item m="1" x="2301"/>
        <item m="1" x="2067"/>
        <item x="1043"/>
        <item x="1044"/>
        <item x="1045"/>
        <item x="1046"/>
        <item x="1047"/>
        <item x="1048"/>
        <item x="1049"/>
        <item x="1050"/>
        <item x="1051"/>
        <item x="1052"/>
        <item x="1053"/>
        <item x="1054"/>
        <item x="1055"/>
        <item x="1056"/>
        <item x="1057"/>
        <item m="1" x="2300"/>
        <item m="1" x="2035"/>
        <item x="1060"/>
        <item x="1061"/>
        <item x="1062"/>
        <item x="1063"/>
        <item x="1064"/>
        <item x="1065"/>
        <item x="1066"/>
        <item x="1067"/>
        <item x="1068"/>
        <item x="1069"/>
        <item x="1070"/>
        <item x="1071"/>
        <item x="1072"/>
        <item x="1073"/>
        <item x="1074"/>
        <item m="1" x="2245"/>
        <item m="1" x="2019"/>
        <item m="1" x="2220"/>
        <item m="1" x="2350"/>
        <item m="1" x="2055"/>
        <item m="1" x="2218"/>
        <item m="1" x="2181"/>
        <item m="1" x="2249"/>
        <item m="1" x="2468"/>
        <item m="1" x="2056"/>
        <item m="1" x="2175"/>
        <item m="1" x="2248"/>
        <item m="1" x="2467"/>
        <item m="1" x="2180"/>
        <item m="1" x="2182"/>
        <item m="1" x="2219"/>
        <item m="1" x="2204"/>
        <item m="1" x="2217"/>
        <item m="1" x="2465"/>
        <item m="1" x="1997"/>
        <item m="1" x="1979"/>
        <item m="1" x="2266"/>
        <item m="1" x="1995"/>
        <item m="1" x="2553"/>
        <item m="1" x="2507"/>
        <item m="1" x="2225"/>
        <item m="1" x="2267"/>
        <item m="1" x="2346"/>
        <item m="1" x="2506"/>
        <item m="1" x="2224"/>
        <item m="1" x="2552"/>
        <item m="1" x="2554"/>
        <item m="1" x="1996"/>
        <item m="1" x="2247"/>
        <item m="1" x="2313"/>
        <item m="1" x="2211"/>
        <item m="1" x="2163"/>
        <item m="1" x="2376"/>
        <item m="1" x="2395"/>
        <item m="1" x="2161"/>
        <item m="1" x="2032"/>
        <item m="1" x="2194"/>
        <item m="1" x="2021"/>
        <item m="1" x="2396"/>
        <item m="1" x="2472"/>
        <item m="1" x="2193"/>
        <item m="1" x="2020"/>
        <item m="1" x="2031"/>
        <item m="1" x="2033"/>
        <item m="1" x="2162"/>
        <item m="1" x="2068"/>
        <item m="1" x="2397"/>
        <item m="1" x="2036"/>
        <item m="1" x="2451"/>
        <item m="1" x="2475"/>
        <item m="1" x="2514"/>
        <item m="1" x="2449"/>
        <item m="1" x="2430"/>
        <item m="1" x="2520"/>
        <item m="1" x="2484"/>
        <item m="1" x="2515"/>
        <item m="1" x="2026"/>
        <item m="1" x="2519"/>
        <item m="1" x="2483"/>
        <item m="1" x="2429"/>
        <item m="1" x="2431"/>
        <item m="1" x="2450"/>
        <item m="1" x="2315"/>
        <item m="1" x="2493"/>
        <item m="1" x="2508"/>
        <item m="1" x="2400"/>
        <item m="1" x="2034"/>
        <item m="1" x="2227"/>
        <item m="1" x="2398"/>
        <item m="1" x="2197"/>
        <item m="1" x="2165"/>
        <item m="1" x="2003"/>
        <item m="1" x="2228"/>
        <item m="1" x="2377"/>
        <item m="1" x="2164"/>
        <item m="1" x="2002"/>
        <item m="1" x="2196"/>
        <item m="1" x="2198"/>
        <item m="1" x="2399"/>
        <item m="1" x="2178"/>
        <item m="1" x="2195"/>
        <item m="1" x="2008"/>
        <item m="1" x="2428"/>
        <item m="1" x="2129"/>
        <item m="1" x="2517"/>
        <item m="1" x="2426"/>
        <item m="1" x="2024"/>
        <item m="1" x="2474"/>
        <item m="1" x="2513"/>
        <item m="1" x="2518"/>
        <item m="1" x="2039"/>
        <item m="1" x="2473"/>
        <item m="1" x="2512"/>
        <item m="1" x="2023"/>
        <item m="1" x="2025"/>
        <item m="1" x="2427"/>
        <item m="1" x="2176"/>
        <item m="1" x="2452"/>
        <item m="1" x="2226"/>
        <item m="1" x="2463"/>
        <item m="1" x="2409"/>
        <item m="1" x="2069"/>
        <item m="1" x="2461"/>
        <item m="1" x="2044"/>
        <item m="1" x="2142"/>
        <item m="1" x="2296"/>
        <item m="1" x="2070"/>
        <item m="1" x="2015"/>
        <item m="1" x="2141"/>
        <item m="1" x="2295"/>
        <item m="1" x="2043"/>
        <item m="1" x="2045"/>
        <item m="1" x="2462"/>
        <item m="1" x="2037"/>
        <item m="1" x="2466"/>
        <item m="1" x="2538"/>
        <item m="1" x="1982"/>
        <item m="1" x="2314"/>
        <item m="1" x="2073"/>
        <item m="1" x="1980"/>
        <item m="1" x="2207"/>
        <item m="1" x="2510"/>
        <item m="1" x="2184"/>
        <item m="1" x="2074"/>
        <item m="1" x="2131"/>
        <item m="1" x="2509"/>
        <item m="1" x="2183"/>
        <item m="1" x="2206"/>
        <item m="1" x="2208"/>
        <item m="1" x="1981"/>
        <item m="1" x="2250"/>
        <item m="1" x="2246"/>
        <item m="1" x="2511"/>
        <item x="1213"/>
        <item x="1214"/>
        <item x="1215"/>
        <item x="1216"/>
        <item x="1217"/>
        <item x="1218"/>
        <item x="1219"/>
        <item x="1220"/>
        <item x="1221"/>
        <item x="1222"/>
        <item x="1223"/>
        <item x="1224"/>
        <item x="1225"/>
        <item m="1" x="2464"/>
        <item m="1" x="2086"/>
        <item m="1" x="1991"/>
        <item m="1" x="2311"/>
        <item m="1" x="1961"/>
        <item m="1" x="2331"/>
        <item m="1" x="2041"/>
        <item m="1" x="1959"/>
        <item m="1" x="2028"/>
        <item m="1" x="2339"/>
        <item m="1" x="2318"/>
        <item m="1" x="2042"/>
        <item m="1" x="2255"/>
        <item m="1" x="2338"/>
        <item m="1" x="2317"/>
        <item m="1" x="2027"/>
        <item m="1" x="2210"/>
        <item m="1" x="2555"/>
        <item m="1" x="2537"/>
        <item m="1" x="2203"/>
        <item m="1" x="2237"/>
        <item m="1" x="2380"/>
        <item m="1" x="2413"/>
        <item m="1" x="2394"/>
        <item m="1" x="2174"/>
        <item m="1" x="2004"/>
        <item m="1" x="2393"/>
        <item m="1" x="2137"/>
        <item m="1" x="2257"/>
        <item m="1" x="2062"/>
        <item m="1" x="2005"/>
        <item m="1" x="2379"/>
        <item m="1" x="2256"/>
        <item m="1" x="2061"/>
        <item m="1" x="2006"/>
        <item m="1" x="2378"/>
        <item m="1" x="2355"/>
        <item m="1" x="2410"/>
        <item x="1271"/>
        <item x="1272"/>
        <item x="1273"/>
        <item x="1274"/>
        <item x="1275"/>
        <item x="1276"/>
        <item x="1277"/>
        <item x="1278"/>
        <item x="1279"/>
        <item x="1280"/>
        <item x="1281"/>
        <item x="1282"/>
        <item x="1283"/>
        <item x="1284"/>
        <item x="1285"/>
        <item x="1286"/>
        <item x="1287"/>
        <item m="1" x="2132"/>
        <item x="1288"/>
        <item x="1289"/>
        <item x="1290"/>
        <item x="1291"/>
        <item x="1292"/>
        <item x="1293"/>
        <item x="1294"/>
        <item x="1295"/>
        <item x="1296"/>
        <item x="1297"/>
        <item x="1298"/>
        <item x="1299"/>
        <item x="1300"/>
        <item x="1301"/>
        <item m="1" x="1969"/>
        <item m="1" x="2071"/>
        <item m="1" x="2283"/>
        <item m="1" x="2079"/>
        <item m="1" x="2433"/>
        <item m="1" x="2281"/>
        <item m="1" x="1977"/>
        <item m="1" x="2558"/>
        <item m="1" x="2096"/>
        <item m="1" x="2434"/>
        <item m="1" x="2241"/>
        <item m="1" x="2557"/>
        <item m="1" x="2095"/>
        <item m="1" x="1976"/>
        <item m="1" x="1978"/>
        <item m="1" x="2282"/>
        <item m="1" x="2253"/>
        <item m="1" x="2080"/>
        <item m="1" x="2265"/>
        <item x="1321"/>
        <item x="1322"/>
        <item x="1323"/>
        <item x="1324"/>
        <item x="1325"/>
        <item x="1326"/>
        <item x="1327"/>
        <item x="1328"/>
        <item x="1329"/>
        <item x="1330"/>
        <item x="1331"/>
        <item x="1332"/>
        <item x="1333"/>
        <item x="1334"/>
        <item x="1335"/>
        <item m="1" x="2081"/>
        <item m="1" x="2365"/>
        <item m="1" x="2330"/>
        <item m="1" x="2322"/>
        <item m="1" x="2360"/>
        <item m="1" x="2328"/>
        <item m="1" x="2385"/>
        <item m="1" x="1990"/>
        <item m="1" x="2123"/>
        <item m="1" x="2361"/>
        <item m="1" x="2223"/>
        <item m="1" x="1989"/>
        <item m="1" x="2122"/>
        <item m="1" x="2384"/>
        <item m="1" x="2386"/>
        <item m="1" x="2329"/>
        <item m="1" x="2347"/>
        <item m="1" x="2521"/>
        <item m="1" x="2286"/>
        <item m="1" x="2288"/>
        <item m="1" x="2231"/>
        <item m="1" x="2284"/>
        <item m="1" x="2214"/>
        <item m="1" x="2419"/>
        <item m="1" x="2534"/>
        <item m="1" x="2232"/>
        <item m="1" x="2269"/>
        <item m="1" x="2418"/>
        <item m="1" x="2533"/>
        <item m="1" x="2213"/>
        <item m="1" x="2215"/>
        <item m="1" x="2285"/>
        <item m="1" x="2524"/>
        <item m="1" x="2535"/>
        <item m="1" x="2371"/>
        <item m="1" x="2550"/>
        <item m="1" x="2087"/>
        <item m="1" x="1966"/>
        <item x="1042"/>
        <item x="1058"/>
        <item x="1059"/>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26"/>
        <item x="1227"/>
        <item x="1228"/>
        <item x="1229"/>
        <item m="1" x="2321"/>
        <item m="1" x="2029"/>
        <item m="1" x="1960"/>
        <item m="1" x="2205"/>
        <item m="1" x="2319"/>
        <item x="1248"/>
        <item m="1" x="2320"/>
        <item x="1250"/>
        <item x="1251"/>
        <item x="1252"/>
        <item x="1253"/>
        <item x="1254"/>
        <item x="1255"/>
        <item x="1256"/>
        <item x="1257"/>
        <item x="1258"/>
        <item x="1259"/>
        <item x="1260"/>
        <item x="1261"/>
        <item x="1262"/>
        <item x="1263"/>
        <item x="1264"/>
        <item x="1265"/>
        <item m="1" x="2072"/>
        <item x="1266"/>
        <item x="1267"/>
        <item x="1268"/>
        <item x="1269"/>
        <item x="1270"/>
        <item x="1302"/>
        <item x="1303"/>
        <item x="1304"/>
        <item x="1305"/>
        <item x="1306"/>
        <item x="1307"/>
        <item x="1308"/>
        <item x="1309"/>
        <item x="1310"/>
        <item x="1311"/>
        <item x="1312"/>
        <item x="1313"/>
        <item x="1314"/>
        <item x="1315"/>
        <item x="1316"/>
        <item x="1317"/>
        <item x="1318"/>
        <item x="1319"/>
        <item x="1320"/>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m="1" x="2420"/>
        <item x="1372"/>
        <item x="1373"/>
        <item x="1374"/>
        <item x="1375"/>
        <item x="1376"/>
        <item x="1377"/>
        <item x="1378"/>
        <item x="1379"/>
        <item x="1380"/>
        <item x="1381"/>
        <item x="1382"/>
        <item x="1383"/>
        <item x="1384"/>
        <item x="1385"/>
        <item x="1386"/>
        <item x="1387"/>
        <item x="1388"/>
        <item x="1389"/>
        <item m="1" x="2110"/>
        <item x="1391"/>
        <item x="1392"/>
        <item x="1393"/>
        <item x="1394"/>
        <item x="1395"/>
        <item x="1396"/>
        <item x="1397"/>
        <item x="1398"/>
        <item x="1399"/>
        <item x="1400"/>
        <item x="1401"/>
        <item x="1402"/>
        <item x="1403"/>
        <item m="1" x="2252"/>
        <item x="1405"/>
        <item x="1406"/>
        <item x="1407"/>
        <item m="1" x="1958"/>
        <item m="1" x="2369"/>
        <item m="1" x="2125"/>
        <item m="1" x="2263"/>
        <item m="1" x="2254"/>
        <item m="1" x="2130"/>
        <item m="1" x="2262"/>
        <item m="1" x="2501"/>
        <item m="1" x="2105"/>
        <item m="1" x="2312"/>
        <item m="1" x="2236"/>
        <item m="1" x="2099"/>
        <item m="1" x="2109"/>
        <item m="1" x="2251"/>
        <item m="1" x="2115"/>
        <item m="1" x="2500"/>
        <item m="1" x="2268"/>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8"/>
        <item m="1" x="2012"/>
        <item x="1506"/>
        <item x="1507"/>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m="1" x="2348"/>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3"/>
        <item x="1584"/>
        <item m="1" x="2085"/>
        <item x="1586"/>
        <item x="1587"/>
        <item x="1390"/>
        <item x="1404"/>
        <item x="1408"/>
        <item x="1409"/>
        <item x="1410"/>
        <item x="1411"/>
        <item x="1412"/>
        <item x="1413"/>
        <item x="1414"/>
        <item x="1415"/>
        <item x="1416"/>
        <item x="1417"/>
        <item x="1418"/>
        <item x="1419"/>
        <item x="1420"/>
        <item x="1421"/>
        <item x="1422"/>
        <item x="1423"/>
        <item x="1424"/>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m="1" x="2551"/>
        <item m="1" x="2065"/>
        <item m="1" x="2116"/>
        <item m="1" x="2169"/>
        <item m="1" x="2556"/>
        <item m="1" x="2349"/>
        <item m="1" x="1967"/>
        <item m="1" x="2362"/>
        <item m="1" x="2050"/>
        <item m="1" x="2063"/>
        <item m="1" x="2455"/>
        <item m="1" x="2498"/>
        <item m="1" x="2188"/>
        <item m="1" x="2082"/>
        <item m="1" x="2229"/>
        <item m="1" x="2199"/>
        <item m="1" x="2064"/>
        <item x="1664"/>
        <item m="1" x="2486"/>
        <item m="1" x="2392"/>
        <item m="1" x="2487"/>
        <item m="1" x="2363"/>
        <item m="1" x="2049"/>
        <item m="1" x="2166"/>
        <item m="1" x="2532"/>
        <item m="1" x="2279"/>
        <item m="1" x="2118"/>
        <item m="1" x="2327"/>
        <item m="1" x="2126"/>
        <item m="1" x="2368"/>
        <item m="1" x="2405"/>
        <item m="1" x="2098"/>
        <item m="1" x="2299"/>
        <item m="1" x="2136"/>
        <item x="1680"/>
        <item m="1" x="2503"/>
        <item m="1" x="2442"/>
        <item m="1" x="2504"/>
        <item m="1" x="2387"/>
        <item m="1" x="2078"/>
        <item m="1" x="2209"/>
        <item m="1" x="1986"/>
        <item m="1" x="2324"/>
        <item m="1" x="2157"/>
        <item m="1" x="2351"/>
        <item m="1" x="2170"/>
        <item m="1" x="2404"/>
        <item m="1" x="2456"/>
        <item m="1" x="2127"/>
        <item m="1" x="2337"/>
        <item m="1" x="2177"/>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249"/>
        <item m="1" x="2216"/>
        <item m="1" x="1987"/>
        <item x="1585"/>
        <item x="120"/>
        <item x="160"/>
        <item x="161"/>
        <item x="162"/>
        <item x="163"/>
        <item x="164"/>
        <item x="165"/>
        <item x="166"/>
        <item x="167"/>
        <item x="168"/>
        <item x="169"/>
        <item x="170"/>
        <item x="171"/>
        <item x="172"/>
        <item x="173"/>
        <item x="174"/>
        <item x="175"/>
        <item x="176"/>
        <item x="295"/>
        <item x="296"/>
        <item x="297"/>
        <item x="298"/>
        <item x="299"/>
        <item x="300"/>
        <item x="301"/>
        <item x="302"/>
        <item x="303"/>
        <item x="304"/>
        <item x="305"/>
        <item x="306"/>
        <item x="307"/>
        <item x="308"/>
        <item x="309"/>
        <item x="310"/>
        <item x="311"/>
        <item x="343"/>
        <item x="344"/>
        <item x="345"/>
        <item x="346"/>
        <item x="347"/>
        <item x="348"/>
        <item x="349"/>
        <item x="350"/>
        <item x="351"/>
        <item x="352"/>
        <item x="353"/>
        <item x="354"/>
        <item x="355"/>
        <item x="356"/>
        <item x="357"/>
        <item x="358"/>
        <item x="359"/>
        <item x="360"/>
        <item x="361"/>
        <item x="363"/>
        <item x="770"/>
        <item x="771"/>
        <item x="772"/>
        <item x="773"/>
        <item x="774"/>
        <item x="775"/>
        <item x="776"/>
        <item x="777"/>
        <item x="778"/>
        <item x="779"/>
        <item x="780"/>
        <item x="781"/>
        <item x="782"/>
        <item x="783"/>
        <item x="784"/>
        <item x="785"/>
        <item x="786"/>
        <item x="1230"/>
        <item x="1231"/>
        <item x="1232"/>
        <item x="1233"/>
        <item x="1234"/>
        <item x="1235"/>
        <item x="1236"/>
        <item x="1237"/>
        <item x="1238"/>
        <item x="1239"/>
        <item x="1240"/>
        <item x="1241"/>
        <item x="1242"/>
        <item x="1243"/>
        <item x="1244"/>
        <item x="1245"/>
        <item x="1246"/>
        <item x="1247"/>
        <item x="1371"/>
        <item x="1504"/>
        <item x="1505"/>
        <item x="1547"/>
        <item x="1582"/>
        <item x="1647"/>
        <item x="1648"/>
        <item x="1649"/>
        <item x="1650"/>
        <item x="1651"/>
        <item x="1652"/>
        <item x="1653"/>
        <item x="1654"/>
        <item x="1655"/>
        <item x="1656"/>
        <item x="1657"/>
        <item x="1658"/>
        <item x="1659"/>
        <item x="1660"/>
        <item x="1661"/>
        <item x="1662"/>
        <item x="1663"/>
        <item x="1665"/>
        <item x="1666"/>
        <item x="1667"/>
        <item x="1668"/>
        <item x="1669"/>
        <item x="1670"/>
        <item x="1671"/>
        <item x="1672"/>
        <item x="1673"/>
        <item x="1674"/>
        <item x="1675"/>
        <item x="1676"/>
        <item x="1677"/>
        <item x="1678"/>
        <item x="1679"/>
        <item x="1681"/>
        <item x="1682"/>
        <item x="1683"/>
        <item x="1684"/>
        <item x="1685"/>
        <item x="1686"/>
        <item x="1687"/>
        <item x="1688"/>
        <item x="1689"/>
        <item x="1690"/>
        <item x="1691"/>
        <item x="1692"/>
        <item x="1693"/>
        <item x="1694"/>
        <item x="1695"/>
        <item x="1696"/>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s>
    </pivotField>
    <pivotField compact="0" outline="0" showAll="0" defaultSubtotal="0"/>
    <pivotField compact="0" outline="0" showAll="0" defaultSubtotal="0"/>
    <pivotField compact="0" outline="0" showAll="0" defaultSubtotal="0"/>
    <pivotField axis="axisRow" compact="0" outline="0" showAll="0" defaultSubtotal="0">
      <items count="2195">
        <item m="1" x="2006"/>
        <item m="1" x="2017"/>
        <item m="1" x="1979"/>
        <item x="102"/>
        <item x="101"/>
        <item m="1" x="2053"/>
        <item m="1" x="1991"/>
        <item x="104"/>
        <item x="113"/>
        <item x="114"/>
        <item x="115"/>
        <item x="116"/>
        <item x="117"/>
        <item x="118"/>
        <item x="119"/>
        <item x="105"/>
        <item x="106"/>
        <item x="107"/>
        <item x="108"/>
        <item x="109"/>
        <item x="110"/>
        <item x="111"/>
        <item x="112"/>
        <item m="1" x="2008"/>
        <item x="68"/>
        <item x="273"/>
        <item x="274"/>
        <item x="275"/>
        <item x="276"/>
        <item m="1" x="2100"/>
        <item m="1" x="2178"/>
        <item m="1" x="2192"/>
        <item m="1" x="1984"/>
        <item m="1" x="2005"/>
        <item m="1" x="2010"/>
        <item m="1" x="2025"/>
        <item m="1" x="2036"/>
        <item m="1" x="2130"/>
        <item m="1" x="2169"/>
        <item m="1" x="2183"/>
        <item m="1" x="1993"/>
        <item m="1" x="2016"/>
        <item m="1" x="2049"/>
        <item m="1" x="2074"/>
        <item m="1" x="2104"/>
        <item x="177"/>
        <item x="179"/>
        <item x="188"/>
        <item x="189"/>
        <item x="190"/>
        <item x="191"/>
        <item x="192"/>
        <item x="193"/>
        <item x="194"/>
        <item x="180"/>
        <item x="181"/>
        <item x="182"/>
        <item x="183"/>
        <item x="184"/>
        <item x="185"/>
        <item x="186"/>
        <item x="187"/>
        <item x="196"/>
        <item x="205"/>
        <item x="206"/>
        <item x="207"/>
        <item x="208"/>
        <item x="209"/>
        <item x="210"/>
        <item x="211"/>
        <item x="197"/>
        <item x="198"/>
        <item x="199"/>
        <item x="200"/>
        <item x="201"/>
        <item x="202"/>
        <item x="203"/>
        <item x="204"/>
        <item x="212"/>
        <item x="227"/>
        <item m="1" x="2158"/>
        <item m="1" x="2051"/>
        <item m="1" x="2055"/>
        <item m="1" x="2058"/>
        <item m="1" x="2060"/>
        <item m="1" x="2064"/>
        <item m="1" x="2069"/>
        <item m="1" x="2076"/>
        <item m="1" x="2159"/>
        <item m="1" x="2160"/>
        <item m="1" x="2161"/>
        <item m="1" x="2162"/>
        <item m="1" x="2163"/>
        <item m="1" x="2164"/>
        <item m="1" x="2165"/>
        <item m="1" x="2166"/>
        <item x="278"/>
        <item x="287"/>
        <item x="288"/>
        <item x="289"/>
        <item x="290"/>
        <item x="291"/>
        <item x="292"/>
        <item x="293"/>
        <item x="279"/>
        <item x="280"/>
        <item x="281"/>
        <item x="282"/>
        <item x="283"/>
        <item x="284"/>
        <item x="285"/>
        <item x="286"/>
        <item x="294"/>
        <item m="1" x="1999"/>
        <item x="239"/>
        <item x="143"/>
        <item m="1" x="2191"/>
        <item x="195"/>
        <item x="213"/>
        <item x="214"/>
        <item x="222"/>
        <item m="1" x="2011"/>
        <item m="1" x="2127"/>
        <item x="223"/>
        <item x="224"/>
        <item x="225"/>
        <item x="226"/>
        <item m="1" x="2088"/>
        <item x="215"/>
        <item x="216"/>
        <item x="217"/>
        <item x="218"/>
        <item x="219"/>
        <item x="220"/>
        <item x="221"/>
        <item x="178"/>
        <item m="1" x="2172"/>
        <item x="171"/>
        <item x="174"/>
        <item x="170"/>
        <item x="161"/>
        <item x="166"/>
        <item x="173"/>
        <item x="163"/>
        <item x="175"/>
        <item x="167"/>
        <item x="164"/>
        <item x="168"/>
        <item x="160"/>
        <item x="176"/>
        <item x="169"/>
        <item x="165"/>
        <item x="172"/>
        <item m="1" x="2077"/>
        <item m="1" x="2136"/>
        <item m="1" x="2083"/>
        <item x="0"/>
        <item x="1"/>
        <item x="2"/>
        <item x="3"/>
        <item x="4"/>
        <item x="5"/>
        <item x="6"/>
        <item x="7"/>
        <item x="8"/>
        <item x="9"/>
        <item x="10"/>
        <item x="11"/>
        <item x="12"/>
        <item x="13"/>
        <item x="14"/>
        <item x="15"/>
        <item x="16"/>
        <item m="1" x="2057"/>
        <item m="1" x="2065"/>
        <item m="1" x="2098"/>
        <item m="1" x="2126"/>
        <item m="1" x="2168"/>
        <item m="1" x="2181"/>
        <item m="1" x="1988"/>
        <item m="1" x="2012"/>
        <item m="1" x="2047"/>
        <item m="1" x="2071"/>
        <item m="1" x="2013"/>
        <item m="1" x="2029"/>
        <item m="1" x="2045"/>
        <item m="1" x="2054"/>
        <item m="1" x="2067"/>
        <item m="1" x="2084"/>
        <item m="1" x="2099"/>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9"/>
        <item x="70"/>
        <item x="71"/>
        <item x="72"/>
        <item x="73"/>
        <item x="74"/>
        <item x="75"/>
        <item x="76"/>
        <item x="77"/>
        <item x="78"/>
        <item x="79"/>
        <item x="80"/>
        <item x="81"/>
        <item x="82"/>
        <item m="1" x="2085"/>
        <item x="83"/>
        <item x="84"/>
        <item x="85"/>
        <item x="86"/>
        <item x="87"/>
        <item x="88"/>
        <item x="89"/>
        <item x="90"/>
        <item x="91"/>
        <item x="92"/>
        <item x="93"/>
        <item x="94"/>
        <item x="95"/>
        <item x="96"/>
        <item x="97"/>
        <item x="98"/>
        <item x="99"/>
        <item x="100"/>
        <item x="103"/>
        <item x="122"/>
        <item x="123"/>
        <item x="124"/>
        <item x="125"/>
        <item x="126"/>
        <item x="127"/>
        <item x="128"/>
        <item x="129"/>
        <item x="130"/>
        <item x="131"/>
        <item x="132"/>
        <item x="133"/>
        <item x="134"/>
        <item x="135"/>
        <item x="136"/>
        <item x="137"/>
        <item x="138"/>
        <item x="139"/>
        <item x="140"/>
        <item x="141"/>
        <item x="142"/>
        <item x="144"/>
        <item x="145"/>
        <item x="146"/>
        <item x="147"/>
        <item x="148"/>
        <item x="149"/>
        <item x="150"/>
        <item x="151"/>
        <item x="152"/>
        <item x="153"/>
        <item x="154"/>
        <item x="155"/>
        <item x="156"/>
        <item x="157"/>
        <item x="158"/>
        <item x="159"/>
        <item x="228"/>
        <item x="229"/>
        <item x="230"/>
        <item x="231"/>
        <item x="232"/>
        <item x="233"/>
        <item x="234"/>
        <item x="235"/>
        <item x="236"/>
        <item x="237"/>
        <item x="238"/>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7"/>
        <item m="1" x="2107"/>
        <item x="296"/>
        <item x="297"/>
        <item x="298"/>
        <item x="299"/>
        <item x="300"/>
        <item x="301"/>
        <item x="302"/>
        <item x="303"/>
        <item x="304"/>
        <item x="305"/>
        <item x="306"/>
        <item x="307"/>
        <item x="308"/>
        <item x="309"/>
        <item x="310"/>
        <item x="311"/>
        <item x="312"/>
        <item m="1" x="2101"/>
        <item m="1" x="2131"/>
        <item m="1" x="2170"/>
        <item x="313"/>
        <item x="314"/>
        <item x="315"/>
        <item x="316"/>
        <item x="317"/>
        <item x="318"/>
        <item x="319"/>
        <item m="1" x="2193"/>
        <item m="1" x="1985"/>
        <item x="320"/>
        <item x="321"/>
        <item m="1" x="2026"/>
        <item x="322"/>
        <item x="323"/>
        <item x="324"/>
        <item x="325"/>
        <item m="1" x="2007"/>
        <item x="327"/>
        <item x="328"/>
        <item x="329"/>
        <item x="330"/>
        <item x="331"/>
        <item x="332"/>
        <item x="333"/>
        <item x="334"/>
        <item x="335"/>
        <item x="336"/>
        <item x="337"/>
        <item x="338"/>
        <item x="339"/>
        <item x="340"/>
        <item x="341"/>
        <item x="342"/>
        <item m="1" x="2031"/>
        <item m="1" x="2095"/>
        <item m="1" x="2061"/>
        <item x="362"/>
        <item x="363"/>
        <item x="364"/>
        <item x="365"/>
        <item x="366"/>
        <item x="367"/>
        <item x="368"/>
        <item x="369"/>
        <item x="370"/>
        <item x="371"/>
        <item x="372"/>
        <item x="373"/>
        <item x="374"/>
        <item x="375"/>
        <item x="376"/>
        <item x="377"/>
        <item x="378"/>
        <item x="379"/>
        <item x="380"/>
        <item m="1" x="2176"/>
        <item x="399"/>
        <item x="400"/>
        <item x="401"/>
        <item x="402"/>
        <item x="403"/>
        <item x="404"/>
        <item x="405"/>
        <item x="406"/>
        <item x="407"/>
        <item x="408"/>
        <item x="409"/>
        <item x="410"/>
        <item x="411"/>
        <item x="412"/>
        <item x="413"/>
        <item x="414"/>
        <item x="415"/>
        <item x="416"/>
        <item x="417"/>
        <item x="418"/>
        <item x="419"/>
        <item x="420"/>
        <item x="421"/>
        <item x="455"/>
        <item x="472"/>
        <item x="489"/>
        <item x="506"/>
        <item x="523"/>
        <item m="1" x="2092"/>
        <item x="525"/>
        <item m="1" x="2175"/>
        <item m="1" x="2009"/>
        <item x="544"/>
        <item x="561"/>
        <item x="579"/>
        <item x="580"/>
        <item x="581"/>
        <item x="582"/>
        <item x="583"/>
        <item x="584"/>
        <item x="585"/>
        <item x="586"/>
        <item x="587"/>
        <item x="588"/>
        <item x="589"/>
        <item x="590"/>
        <item x="591"/>
        <item x="592"/>
        <item x="593"/>
        <item x="594"/>
        <item x="595"/>
        <item x="612"/>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m="1" x="2116"/>
        <item m="1" x="2125"/>
        <item m="1" x="2173"/>
        <item m="1" x="2132"/>
        <item m="1" x="1975"/>
        <item m="1" x="2177"/>
        <item m="1" x="2174"/>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40"/>
        <item x="941"/>
        <item x="942"/>
        <item x="943"/>
        <item x="944"/>
        <item x="945"/>
        <item x="946"/>
        <item x="947"/>
        <item x="948"/>
        <item x="949"/>
        <item x="950"/>
        <item x="951"/>
        <item x="952"/>
        <item x="953"/>
        <item x="954"/>
        <item x="955"/>
        <item x="956"/>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m="1" x="2122"/>
        <item x="1027"/>
        <item x="1028"/>
        <item x="1029"/>
        <item x="1030"/>
        <item x="1031"/>
        <item x="1032"/>
        <item x="1033"/>
        <item x="1034"/>
        <item x="1035"/>
        <item x="1036"/>
        <item x="1037"/>
        <item x="1038"/>
        <item x="1039"/>
        <item x="1040"/>
        <item x="1041"/>
        <item x="1043"/>
        <item m="1" x="2121"/>
        <item x="1044"/>
        <item x="1045"/>
        <item x="1046"/>
        <item x="1047"/>
        <item x="1048"/>
        <item x="1049"/>
        <item x="1050"/>
        <item x="1051"/>
        <item x="1052"/>
        <item x="1053"/>
        <item x="1054"/>
        <item x="1055"/>
        <item x="1056"/>
        <item x="1057"/>
        <item x="1058"/>
        <item x="1060"/>
        <item m="1" x="2123"/>
        <item x="1061"/>
        <item x="1062"/>
        <item x="1063"/>
        <item x="1064"/>
        <item x="1065"/>
        <item x="1066"/>
        <item x="1067"/>
        <item x="1068"/>
        <item x="1069"/>
        <item x="1070"/>
        <item x="1071"/>
        <item x="1072"/>
        <item x="1073"/>
        <item x="1074"/>
        <item x="1075"/>
        <item x="1077"/>
        <item m="1" x="2156"/>
        <item x="1078"/>
        <item x="1079"/>
        <item x="1080"/>
        <item x="1081"/>
        <item x="1082"/>
        <item x="1083"/>
        <item x="1084"/>
        <item x="1085"/>
        <item x="1086"/>
        <item x="1087"/>
        <item x="1088"/>
        <item x="1089"/>
        <item x="1090"/>
        <item x="1091"/>
        <item x="1092"/>
        <item x="1094"/>
        <item m="1" x="2124"/>
        <item x="1095"/>
        <item x="1096"/>
        <item x="1097"/>
        <item x="1098"/>
        <item x="1099"/>
        <item x="1100"/>
        <item x="1101"/>
        <item x="1102"/>
        <item x="1103"/>
        <item x="1104"/>
        <item x="1105"/>
        <item x="1106"/>
        <item x="1107"/>
        <item x="1108"/>
        <item x="1109"/>
        <item x="1111"/>
        <item m="1" x="2150"/>
        <item x="1112"/>
        <item x="1113"/>
        <item x="1114"/>
        <item x="1115"/>
        <item x="1116"/>
        <item x="1117"/>
        <item x="1118"/>
        <item x="1119"/>
        <item x="1120"/>
        <item x="1121"/>
        <item x="1122"/>
        <item x="1123"/>
        <item x="1124"/>
        <item x="1125"/>
        <item x="1126"/>
        <item x="1128"/>
        <item m="1" x="1995"/>
        <item x="1129"/>
        <item x="1130"/>
        <item x="1131"/>
        <item x="1132"/>
        <item x="1133"/>
        <item x="1134"/>
        <item x="1135"/>
        <item x="1136"/>
        <item x="1137"/>
        <item x="1138"/>
        <item x="1139"/>
        <item x="1140"/>
        <item x="1141"/>
        <item x="1142"/>
        <item x="1143"/>
        <item x="1145"/>
        <item m="1" x="2152"/>
        <item x="1146"/>
        <item x="1147"/>
        <item x="1148"/>
        <item x="1149"/>
        <item x="1150"/>
        <item x="1151"/>
        <item x="1152"/>
        <item x="1153"/>
        <item x="1154"/>
        <item x="1155"/>
        <item x="1156"/>
        <item x="1157"/>
        <item x="1158"/>
        <item x="1159"/>
        <item x="1160"/>
        <item x="1162"/>
        <item m="1" x="1996"/>
        <item x="1163"/>
        <item x="1164"/>
        <item x="1165"/>
        <item x="1166"/>
        <item x="1167"/>
        <item x="1168"/>
        <item x="1169"/>
        <item x="1170"/>
        <item x="1171"/>
        <item x="1172"/>
        <item x="1173"/>
        <item x="1174"/>
        <item x="1175"/>
        <item x="1176"/>
        <item x="1177"/>
        <item x="1179"/>
        <item m="1" x="2151"/>
        <item x="1180"/>
        <item x="1181"/>
        <item x="1182"/>
        <item x="1183"/>
        <item x="1184"/>
        <item x="1185"/>
        <item x="1186"/>
        <item x="1187"/>
        <item x="1188"/>
        <item x="1189"/>
        <item x="1190"/>
        <item x="1191"/>
        <item x="1192"/>
        <item x="1193"/>
        <item x="1194"/>
        <item x="1196"/>
        <item m="1" x="2108"/>
        <item x="1197"/>
        <item x="1198"/>
        <item x="1199"/>
        <item x="1200"/>
        <item x="1201"/>
        <item x="1202"/>
        <item x="1203"/>
        <item x="1204"/>
        <item x="1205"/>
        <item x="1206"/>
        <item x="1207"/>
        <item x="1208"/>
        <item x="1209"/>
        <item x="1213"/>
        <item x="1214"/>
        <item x="1215"/>
        <item m="1" x="2109"/>
        <item x="1216"/>
        <item x="1217"/>
        <item x="1218"/>
        <item x="1219"/>
        <item x="1220"/>
        <item x="1221"/>
        <item x="1222"/>
        <item x="1223"/>
        <item x="1224"/>
        <item x="1225"/>
        <item x="1226"/>
        <item x="1227"/>
        <item x="1232"/>
        <item x="1233"/>
        <item x="1234"/>
        <item x="1235"/>
        <item m="1" x="2157"/>
        <item x="1236"/>
        <item x="1237"/>
        <item x="1238"/>
        <item x="1239"/>
        <item x="1240"/>
        <item x="1241"/>
        <item x="1242"/>
        <item x="1243"/>
        <item x="1244"/>
        <item x="1245"/>
        <item x="1246"/>
        <item x="1251"/>
        <item x="1252"/>
        <item x="1253"/>
        <item x="1254"/>
        <item x="1255"/>
        <item x="1256"/>
        <item x="1257"/>
        <item x="1258"/>
        <item x="1259"/>
        <item x="1260"/>
        <item x="1261"/>
        <item x="1262"/>
        <item x="1263"/>
        <item x="1264"/>
        <item x="1265"/>
        <item x="1266"/>
        <item x="1267"/>
        <item x="1268"/>
        <item x="1269"/>
        <item x="1270"/>
        <item x="1271"/>
        <item m="1" x="2167"/>
        <item x="1272"/>
        <item x="1273"/>
        <item x="1274"/>
        <item x="1275"/>
        <item x="1276"/>
        <item x="1277"/>
        <item x="1278"/>
        <item x="1279"/>
        <item x="1280"/>
        <item x="1281"/>
        <item x="1282"/>
        <item x="1283"/>
        <item x="1284"/>
        <item x="1285"/>
        <item x="1287"/>
        <item x="1288"/>
        <item x="1289"/>
        <item x="1290"/>
        <item x="1291"/>
        <item x="1292"/>
        <item x="1293"/>
        <item x="1294"/>
        <item x="1295"/>
        <item x="1296"/>
        <item x="1297"/>
        <item x="1298"/>
        <item x="1299"/>
        <item x="1300"/>
        <item x="1301"/>
        <item x="1302"/>
        <item x="1303"/>
        <item x="1304"/>
        <item m="1" x="2153"/>
        <item x="1305"/>
        <item x="1306"/>
        <item x="1307"/>
        <item x="1308"/>
        <item x="1309"/>
        <item x="1310"/>
        <item x="1311"/>
        <item x="1312"/>
        <item x="1313"/>
        <item x="1314"/>
        <item x="1315"/>
        <item x="1316"/>
        <item x="1317"/>
        <item x="1318"/>
        <item x="1319"/>
        <item x="1321"/>
        <item m="1" x="2154"/>
        <item x="1322"/>
        <item x="1323"/>
        <item x="1324"/>
        <item x="1325"/>
        <item x="1326"/>
        <item x="1327"/>
        <item x="1328"/>
        <item x="1329"/>
        <item x="1330"/>
        <item x="1331"/>
        <item x="1332"/>
        <item x="1333"/>
        <item x="1334"/>
        <item x="1335"/>
        <item x="1336"/>
        <item x="1338"/>
        <item m="1" x="2155"/>
        <item x="1339"/>
        <item x="1340"/>
        <item x="1341"/>
        <item x="1342"/>
        <item x="1343"/>
        <item x="1344"/>
        <item x="1345"/>
        <item x="1346"/>
        <item x="1347"/>
        <item x="1348"/>
        <item x="1349"/>
        <item x="1350"/>
        <item x="1351"/>
        <item x="1355"/>
        <item x="1356"/>
        <item x="1357"/>
        <item m="1" x="1976"/>
        <item x="1042"/>
        <item x="1059"/>
        <item x="1076"/>
        <item x="1093"/>
        <item x="1110"/>
        <item x="1127"/>
        <item x="1144"/>
        <item x="1161"/>
        <item x="1178"/>
        <item x="1195"/>
        <item x="1210"/>
        <item x="1211"/>
        <item x="1212"/>
        <item x="1228"/>
        <item x="1229"/>
        <item x="1230"/>
        <item x="1231"/>
        <item x="1247"/>
        <item x="1248"/>
        <item x="1249"/>
        <item m="1" x="2070"/>
        <item x="1250"/>
        <item x="1286"/>
        <item x="1320"/>
        <item x="1337"/>
        <item x="1352"/>
        <item x="1353"/>
        <item x="1354"/>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m="1" x="2148"/>
        <item m="1" x="2027"/>
        <item m="1" x="2143"/>
        <item m="1" x="2021"/>
        <item x="1503"/>
        <item m="1" x="2149"/>
        <item m="1" x="2028"/>
        <item m="1" x="2144"/>
        <item m="1" x="2022"/>
        <item m="1" x="2138"/>
        <item x="1509"/>
        <item x="1510"/>
        <item m="1" x="2147"/>
        <item m="1" x="2089"/>
        <item m="1" x="2093"/>
        <item m="1" x="2096"/>
        <item m="1" x="2102"/>
        <item m="1" x="2105"/>
        <item m="1" x="2111"/>
        <item m="1" x="2114"/>
        <item m="1" x="2117"/>
        <item m="1" x="2119"/>
        <item m="1" x="2128"/>
        <item m="1" x="2014"/>
        <item m="1" x="2134"/>
        <item m="1" x="2019"/>
        <item m="1" x="2140"/>
        <item m="1" x="2023"/>
        <item m="1" x="2145"/>
        <item m="1" x="1981"/>
        <item m="1" x="2090"/>
        <item m="1" x="2094"/>
        <item m="1" x="2097"/>
        <item m="1" x="2103"/>
        <item m="1" x="2106"/>
        <item m="1" x="2112"/>
        <item m="1" x="2115"/>
        <item m="1" x="2118"/>
        <item m="1" x="2120"/>
        <item m="1" x="2129"/>
        <item m="1" x="2015"/>
        <item m="1" x="2135"/>
        <item m="1" x="2020"/>
        <item m="1" x="2141"/>
        <item m="1" x="2024"/>
        <item m="1" x="2146"/>
        <item m="1" x="2030"/>
        <item m="1" x="2056"/>
        <item m="1" x="2142"/>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957"/>
        <item x="958"/>
        <item x="959"/>
        <item x="960"/>
        <item x="961"/>
        <item x="962"/>
        <item x="963"/>
        <item x="964"/>
        <item x="965"/>
        <item x="966"/>
        <item x="967"/>
        <item x="968"/>
        <item x="969"/>
        <item x="970"/>
        <item x="971"/>
        <item x="972"/>
        <item x="973"/>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m="1" x="213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m="1" x="1982"/>
        <item m="1" x="1986"/>
        <item m="1" x="1987"/>
        <item m="1" x="1992"/>
        <item m="1" x="1994"/>
        <item m="1" x="1997"/>
        <item m="1" x="2000"/>
        <item m="1" x="2002"/>
        <item m="1" x="2003"/>
        <item m="1" x="2001"/>
        <item m="1" x="2050"/>
        <item m="1" x="2110"/>
        <item m="1" x="2171"/>
        <item m="1" x="2004"/>
        <item m="1" x="2052"/>
        <item m="1" x="2113"/>
        <item m="1" x="1978"/>
        <item m="1" x="2091"/>
        <item m="1" x="2087"/>
        <item m="1" x="2086"/>
        <item m="1" x="2081"/>
        <item m="1" x="2078"/>
        <item m="1" x="2072"/>
        <item m="1" x="2066"/>
        <item m="1" x="2062"/>
        <item m="1" x="2059"/>
        <item m="1" x="2034"/>
        <item m="1" x="2037"/>
        <item m="1" x="2039"/>
        <item m="1" x="2041"/>
        <item m="1" x="2043"/>
        <item m="1" x="2046"/>
        <item m="1" x="2048"/>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m="1" x="1998"/>
        <item m="1" x="2063"/>
        <item m="1" x="2179"/>
        <item m="1" x="2068"/>
        <item m="1" x="2184"/>
        <item m="1" x="2075"/>
        <item m="1" x="2186"/>
        <item m="1" x="2079"/>
        <item m="1" x="2189"/>
        <item m="1" x="2082"/>
        <item m="1" x="2080"/>
        <item m="1" x="2139"/>
        <item m="1" x="2187"/>
        <item m="1" x="2018"/>
        <item m="1" x="2073"/>
        <item m="1" x="2133"/>
        <item m="1" x="2182"/>
        <item x="295"/>
        <item x="381"/>
        <item x="382"/>
        <item x="383"/>
        <item x="384"/>
        <item x="385"/>
        <item x="386"/>
        <item x="387"/>
        <item x="388"/>
        <item x="389"/>
        <item x="390"/>
        <item x="391"/>
        <item x="392"/>
        <item x="393"/>
        <item x="394"/>
        <item x="395"/>
        <item x="396"/>
        <item x="397"/>
        <item m="1" x="1990"/>
        <item m="1" x="1983"/>
        <item m="1" x="1980"/>
        <item m="1" x="1977"/>
        <item m="1" x="2194"/>
        <item m="1" x="2190"/>
        <item m="1" x="2188"/>
        <item m="1" x="2185"/>
        <item m="1" x="2180"/>
        <item m="1" x="2032"/>
        <item m="1" x="2033"/>
        <item m="1" x="2035"/>
        <item m="1" x="2038"/>
        <item m="1" x="2040"/>
        <item m="1" x="2042"/>
        <item m="1" x="2044"/>
        <item x="438"/>
        <item x="422"/>
        <item x="423"/>
        <item x="424"/>
        <item x="425"/>
        <item x="426"/>
        <item x="427"/>
        <item x="428"/>
        <item x="429"/>
        <item x="430"/>
        <item x="431"/>
        <item x="432"/>
        <item x="433"/>
        <item x="434"/>
        <item x="435"/>
        <item x="436"/>
        <item x="437"/>
        <item x="439"/>
        <item x="440"/>
        <item x="441"/>
        <item x="442"/>
        <item x="443"/>
        <item m="1" x="1989"/>
        <item x="445"/>
        <item x="446"/>
        <item x="447"/>
        <item x="448"/>
        <item x="449"/>
        <item x="450"/>
        <item x="451"/>
        <item x="452"/>
        <item x="453"/>
        <item x="454"/>
        <item x="456"/>
        <item x="457"/>
        <item x="458"/>
        <item x="459"/>
        <item x="460"/>
        <item x="461"/>
        <item x="462"/>
        <item x="463"/>
        <item x="464"/>
        <item x="465"/>
        <item x="466"/>
        <item x="467"/>
        <item x="468"/>
        <item x="469"/>
        <item x="470"/>
        <item x="471"/>
        <item x="473"/>
        <item x="474"/>
        <item x="475"/>
        <item x="476"/>
        <item x="477"/>
        <item x="478"/>
        <item x="479"/>
        <item x="480"/>
        <item x="481"/>
        <item x="482"/>
        <item x="483"/>
        <item x="484"/>
        <item x="485"/>
        <item x="486"/>
        <item x="487"/>
        <item x="488"/>
        <item x="527"/>
        <item x="528"/>
        <item x="529"/>
        <item x="530"/>
        <item x="531"/>
        <item x="532"/>
        <item x="533"/>
        <item x="534"/>
        <item x="535"/>
        <item x="536"/>
        <item x="537"/>
        <item x="538"/>
        <item x="539"/>
        <item x="540"/>
        <item x="541"/>
        <item x="542"/>
        <item x="543"/>
        <item x="545"/>
        <item x="546"/>
        <item x="547"/>
        <item x="548"/>
        <item x="549"/>
        <item x="550"/>
        <item x="551"/>
        <item x="552"/>
        <item x="553"/>
        <item x="554"/>
        <item x="555"/>
        <item x="556"/>
        <item x="557"/>
        <item x="558"/>
        <item x="559"/>
        <item x="560"/>
        <item x="562"/>
        <item x="563"/>
        <item x="564"/>
        <item x="565"/>
        <item x="566"/>
        <item x="567"/>
        <item x="568"/>
        <item x="569"/>
        <item x="570"/>
        <item x="571"/>
        <item x="572"/>
        <item x="573"/>
        <item x="574"/>
        <item x="575"/>
        <item x="576"/>
        <item x="577"/>
        <item x="578"/>
        <item x="596"/>
        <item x="597"/>
        <item x="598"/>
        <item x="599"/>
        <item x="600"/>
        <item x="601"/>
        <item x="602"/>
        <item x="603"/>
        <item x="604"/>
        <item x="605"/>
        <item x="606"/>
        <item x="607"/>
        <item x="608"/>
        <item x="609"/>
        <item x="610"/>
        <item x="611"/>
        <item x="613"/>
        <item x="614"/>
        <item x="615"/>
        <item x="616"/>
        <item x="617"/>
        <item x="618"/>
        <item x="619"/>
        <item x="620"/>
        <item x="621"/>
        <item x="622"/>
        <item x="623"/>
        <item x="624"/>
        <item x="625"/>
        <item x="626"/>
        <item x="627"/>
        <item x="628"/>
        <item x="923"/>
        <item x="924"/>
        <item x="925"/>
        <item x="926"/>
        <item x="927"/>
        <item x="928"/>
        <item x="929"/>
        <item x="930"/>
        <item x="931"/>
        <item x="932"/>
        <item x="933"/>
        <item x="934"/>
        <item x="935"/>
        <item x="936"/>
        <item x="937"/>
        <item x="938"/>
        <item x="939"/>
        <item x="17"/>
        <item x="18"/>
        <item x="19"/>
        <item x="20"/>
        <item x="21"/>
        <item x="22"/>
        <item x="23"/>
        <item x="24"/>
        <item x="25"/>
        <item x="26"/>
        <item x="27"/>
        <item x="28"/>
        <item x="29"/>
        <item x="30"/>
        <item x="31"/>
        <item x="32"/>
        <item x="120"/>
        <item x="121"/>
        <item x="162"/>
        <item x="326"/>
        <item x="343"/>
        <item x="344"/>
        <item x="345"/>
        <item x="346"/>
        <item x="347"/>
        <item x="348"/>
        <item x="349"/>
        <item x="350"/>
        <item x="351"/>
        <item x="352"/>
        <item x="353"/>
        <item x="354"/>
        <item x="355"/>
        <item x="356"/>
        <item x="357"/>
        <item x="358"/>
        <item x="359"/>
        <item x="360"/>
        <item x="361"/>
        <item x="398"/>
        <item x="444"/>
        <item x="490"/>
        <item x="491"/>
        <item x="492"/>
        <item x="493"/>
        <item x="494"/>
        <item x="495"/>
        <item x="496"/>
        <item x="497"/>
        <item x="498"/>
        <item x="499"/>
        <item x="500"/>
        <item x="501"/>
        <item x="502"/>
        <item x="503"/>
        <item x="504"/>
        <item x="505"/>
        <item x="507"/>
        <item x="508"/>
        <item x="509"/>
        <item x="510"/>
        <item x="511"/>
        <item x="512"/>
        <item x="513"/>
        <item x="514"/>
        <item x="515"/>
        <item x="516"/>
        <item x="517"/>
        <item x="518"/>
        <item x="519"/>
        <item x="520"/>
        <item x="521"/>
        <item x="522"/>
        <item x="524"/>
        <item x="526"/>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1499"/>
        <item x="1500"/>
        <item x="1501"/>
        <item x="1502"/>
        <item x="1504"/>
        <item x="1505"/>
        <item x="1506"/>
        <item x="1507"/>
        <item x="1508"/>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8">
    <field x="0"/>
    <field x="3"/>
    <field x="5"/>
    <field x="6"/>
    <field x="7"/>
    <field x="8"/>
    <field x="14"/>
    <field x="18"/>
  </rowFields>
  <rowItems count="1991">
    <i>
      <x/>
      <x v="10"/>
      <x v="30"/>
      <x v="45"/>
      <x/>
      <x/>
      <x v="109"/>
      <x v="156"/>
    </i>
    <i>
      <x v="1"/>
      <x v="10"/>
      <x v="30"/>
      <x v="45"/>
      <x v="1"/>
      <x v="13"/>
      <x v="122"/>
      <x v="157"/>
    </i>
    <i>
      <x v="2"/>
      <x v="10"/>
      <x v="30"/>
      <x v="45"/>
      <x v="1"/>
      <x v="1"/>
      <x v="110"/>
      <x v="158"/>
    </i>
    <i>
      <x v="3"/>
      <x v="10"/>
      <x v="30"/>
      <x v="45"/>
      <x v="1"/>
      <x v="3"/>
      <x v="112"/>
      <x v="159"/>
    </i>
    <i>
      <x v="4"/>
      <x v="10"/>
      <x v="30"/>
      <x v="45"/>
      <x v="1"/>
      <x v="5"/>
      <x v="114"/>
      <x v="160"/>
    </i>
    <i>
      <x v="5"/>
      <x v="10"/>
      <x v="30"/>
      <x v="45"/>
      <x v="1"/>
      <x v="14"/>
      <x v="123"/>
      <x v="161"/>
    </i>
    <i>
      <x v="6"/>
      <x v="10"/>
      <x v="30"/>
      <x v="45"/>
      <x v="1"/>
      <x v="12"/>
      <x v="121"/>
      <x v="162"/>
    </i>
    <i>
      <x v="7"/>
      <x v="10"/>
      <x v="30"/>
      <x v="45"/>
      <x v="1"/>
      <x v="10"/>
      <x v="119"/>
      <x v="163"/>
    </i>
    <i>
      <x v="8"/>
      <x v="10"/>
      <x v="30"/>
      <x v="45"/>
      <x v="1"/>
      <x v="15"/>
      <x v="124"/>
      <x v="164"/>
    </i>
    <i>
      <x v="9"/>
      <x v="10"/>
      <x v="30"/>
      <x v="45"/>
      <x v="1"/>
      <x v="6"/>
      <x v="115"/>
      <x v="165"/>
    </i>
    <i>
      <x v="10"/>
      <x v="10"/>
      <x v="30"/>
      <x v="45"/>
      <x v="1"/>
      <x v="7"/>
      <x v="116"/>
      <x v="166"/>
    </i>
    <i>
      <x v="11"/>
      <x v="10"/>
      <x v="30"/>
      <x v="45"/>
      <x v="1"/>
      <x v="4"/>
      <x v="113"/>
      <x v="167"/>
    </i>
    <i>
      <x v="12"/>
      <x v="10"/>
      <x v="30"/>
      <x v="45"/>
      <x v="1"/>
      <x v="9"/>
      <x v="118"/>
      <x v="168"/>
    </i>
    <i>
      <x v="13"/>
      <x v="10"/>
      <x v="30"/>
      <x v="45"/>
      <x v="1"/>
      <x v="16"/>
      <x v="125"/>
      <x v="169"/>
    </i>
    <i>
      <x v="14"/>
      <x v="10"/>
      <x v="30"/>
      <x v="45"/>
      <x v="1"/>
      <x v="8"/>
      <x v="117"/>
      <x v="170"/>
    </i>
    <i>
      <x v="15"/>
      <x v="10"/>
      <x v="30"/>
      <x v="45"/>
      <x v="1"/>
      <x v="2"/>
      <x v="111"/>
      <x v="171"/>
    </i>
    <i>
      <x v="16"/>
      <x v="10"/>
      <x v="30"/>
      <x v="45"/>
      <x v="1"/>
      <x v="11"/>
      <x v="120"/>
      <x v="172"/>
    </i>
    <i>
      <x v="17"/>
      <x v="3"/>
      <x v="133"/>
      <x v="93"/>
      <x v="1"/>
      <x v="13"/>
      <x v="246"/>
      <x v="1906"/>
    </i>
    <i>
      <x v="18"/>
      <x v="3"/>
      <x v="133"/>
      <x v="93"/>
      <x v="1"/>
      <x v="1"/>
      <x v="234"/>
      <x v="1907"/>
    </i>
    <i>
      <x v="19"/>
      <x v="3"/>
      <x v="133"/>
      <x v="93"/>
      <x v="1"/>
      <x v="3"/>
      <x v="236"/>
      <x v="1908"/>
    </i>
    <i>
      <x v="20"/>
      <x v="3"/>
      <x v="133"/>
      <x v="93"/>
      <x v="1"/>
      <x v="5"/>
      <x v="238"/>
      <x v="1909"/>
    </i>
    <i>
      <x v="21"/>
      <x v="3"/>
      <x v="133"/>
      <x v="93"/>
      <x v="1"/>
      <x v="14"/>
      <x v="247"/>
      <x v="1910"/>
    </i>
    <i>
      <x v="22"/>
      <x v="3"/>
      <x v="133"/>
      <x v="93"/>
      <x v="1"/>
      <x v="12"/>
      <x v="245"/>
      <x v="1911"/>
    </i>
    <i>
      <x v="23"/>
      <x v="3"/>
      <x v="133"/>
      <x v="93"/>
      <x v="1"/>
      <x v="10"/>
      <x v="243"/>
      <x v="1912"/>
    </i>
    <i>
      <x v="24"/>
      <x v="3"/>
      <x v="133"/>
      <x v="93"/>
      <x v="1"/>
      <x v="15"/>
      <x v="248"/>
      <x v="1913"/>
    </i>
    <i>
      <x v="25"/>
      <x v="3"/>
      <x v="133"/>
      <x v="93"/>
      <x v="1"/>
      <x v="6"/>
      <x v="239"/>
      <x v="1914"/>
    </i>
    <i>
      <x v="26"/>
      <x v="3"/>
      <x v="133"/>
      <x v="93"/>
      <x v="1"/>
      <x v="7"/>
      <x v="240"/>
      <x v="1915"/>
    </i>
    <i>
      <x v="27"/>
      <x v="3"/>
      <x v="133"/>
      <x v="93"/>
      <x v="1"/>
      <x v="9"/>
      <x v="242"/>
      <x v="1916"/>
    </i>
    <i>
      <x v="28"/>
      <x v="3"/>
      <x v="133"/>
      <x v="93"/>
      <x v="1"/>
      <x v="16"/>
      <x v="249"/>
      <x v="1917"/>
    </i>
    <i>
      <x v="29"/>
      <x v="3"/>
      <x v="133"/>
      <x v="93"/>
      <x v="1"/>
      <x v="8"/>
      <x v="241"/>
      <x v="1918"/>
    </i>
    <i>
      <x v="30"/>
      <x v="3"/>
      <x v="133"/>
      <x v="93"/>
      <x v="1"/>
      <x v="2"/>
      <x v="235"/>
      <x v="1919"/>
    </i>
    <i>
      <x v="31"/>
      <x v="3"/>
      <x v="133"/>
      <x v="93"/>
      <x v="1"/>
      <x v="11"/>
      <x v="244"/>
      <x v="1920"/>
    </i>
    <i>
      <x v="32"/>
      <x v="6"/>
      <x v="80"/>
      <x v="47"/>
      <x/>
      <x/>
      <x v="372"/>
      <x v="190"/>
    </i>
    <i>
      <x v="33"/>
      <x v="6"/>
      <x v="80"/>
      <x v="47"/>
      <x v="1"/>
      <x v="13"/>
      <x v="373"/>
      <x v="191"/>
    </i>
    <i>
      <x v="34"/>
      <x v="6"/>
      <x v="80"/>
      <x v="47"/>
      <x v="1"/>
      <x v="1"/>
      <x v="374"/>
      <x v="192"/>
    </i>
    <i>
      <x v="35"/>
      <x v="6"/>
      <x v="80"/>
      <x v="47"/>
      <x v="1"/>
      <x v="3"/>
      <x v="375"/>
      <x v="193"/>
    </i>
    <i>
      <x v="36"/>
      <x v="6"/>
      <x v="80"/>
      <x v="47"/>
      <x v="1"/>
      <x v="5"/>
      <x v="376"/>
      <x v="194"/>
    </i>
    <i>
      <x v="37"/>
      <x v="6"/>
      <x v="80"/>
      <x v="47"/>
      <x v="1"/>
      <x v="14"/>
      <x v="377"/>
      <x v="195"/>
    </i>
    <i>
      <x v="38"/>
      <x v="6"/>
      <x v="80"/>
      <x v="47"/>
      <x v="1"/>
      <x v="12"/>
      <x v="378"/>
      <x v="196"/>
    </i>
    <i>
      <x v="39"/>
      <x v="6"/>
      <x v="80"/>
      <x v="47"/>
      <x v="1"/>
      <x v="10"/>
      <x v="379"/>
      <x v="197"/>
    </i>
    <i>
      <x v="40"/>
      <x v="6"/>
      <x v="80"/>
      <x v="47"/>
      <x v="1"/>
      <x v="15"/>
      <x v="380"/>
      <x v="198"/>
    </i>
    <i>
      <x v="41"/>
      <x v="6"/>
      <x v="80"/>
      <x v="47"/>
      <x v="1"/>
      <x v="6"/>
      <x v="381"/>
      <x v="199"/>
    </i>
    <i>
      <x v="42"/>
      <x v="6"/>
      <x v="80"/>
      <x v="47"/>
      <x v="1"/>
      <x v="7"/>
      <x v="382"/>
      <x v="200"/>
    </i>
    <i>
      <x v="43"/>
      <x v="6"/>
      <x v="80"/>
      <x v="47"/>
      <x v="1"/>
      <x v="4"/>
      <x v="383"/>
      <x v="201"/>
    </i>
    <i>
      <x v="44"/>
      <x v="6"/>
      <x v="80"/>
      <x v="47"/>
      <x v="1"/>
      <x v="9"/>
      <x v="384"/>
      <x v="202"/>
    </i>
    <i>
      <x v="45"/>
      <x v="6"/>
      <x v="80"/>
      <x v="47"/>
      <x v="1"/>
      <x v="16"/>
      <x v="385"/>
      <x v="203"/>
    </i>
    <i>
      <x v="46"/>
      <x v="6"/>
      <x v="80"/>
      <x v="47"/>
      <x v="1"/>
      <x v="8"/>
      <x v="386"/>
      <x v="204"/>
    </i>
    <i>
      <x v="47"/>
      <x v="6"/>
      <x v="80"/>
      <x v="47"/>
      <x v="1"/>
      <x v="2"/>
      <x v="387"/>
      <x v="205"/>
    </i>
    <i>
      <x v="48"/>
      <x v="6"/>
      <x v="80"/>
      <x v="47"/>
      <x v="1"/>
      <x v="11"/>
      <x v="388"/>
      <x v="206"/>
    </i>
    <i>
      <x v="49"/>
      <x v="10"/>
      <x v="31"/>
      <x v="45"/>
      <x/>
      <x/>
      <x v="389"/>
      <x v="207"/>
    </i>
    <i>
      <x v="50"/>
      <x v="10"/>
      <x v="81"/>
      <x v="45"/>
      <x/>
      <x/>
      <x v="390"/>
      <x v="208"/>
    </i>
    <i>
      <x v="51"/>
      <x v="10"/>
      <x v="81"/>
      <x v="45"/>
      <x v="1"/>
      <x v="13"/>
      <x v="391"/>
      <x v="209"/>
    </i>
    <i>
      <x v="52"/>
      <x v="10"/>
      <x v="81"/>
      <x v="45"/>
      <x v="1"/>
      <x v="1"/>
      <x v="392"/>
      <x v="210"/>
    </i>
    <i>
      <x v="53"/>
      <x v="10"/>
      <x v="81"/>
      <x v="45"/>
      <x v="1"/>
      <x v="3"/>
      <x v="393"/>
      <x v="211"/>
    </i>
    <i>
      <x v="54"/>
      <x v="10"/>
      <x v="81"/>
      <x v="45"/>
      <x v="1"/>
      <x v="5"/>
      <x v="394"/>
      <x v="212"/>
    </i>
    <i>
      <x v="55"/>
      <x v="10"/>
      <x v="81"/>
      <x v="45"/>
      <x v="1"/>
      <x v="14"/>
      <x v="395"/>
      <x v="213"/>
    </i>
    <i>
      <x v="56"/>
      <x v="10"/>
      <x v="81"/>
      <x v="45"/>
      <x v="1"/>
      <x v="12"/>
      <x v="396"/>
      <x v="214"/>
    </i>
    <i>
      <x v="57"/>
      <x v="10"/>
      <x v="81"/>
      <x v="45"/>
      <x v="1"/>
      <x v="10"/>
      <x v="397"/>
      <x v="215"/>
    </i>
    <i>
      <x v="58"/>
      <x v="10"/>
      <x v="81"/>
      <x v="45"/>
      <x v="1"/>
      <x v="15"/>
      <x v="398"/>
      <x v="216"/>
    </i>
    <i>
      <x v="59"/>
      <x v="10"/>
      <x v="81"/>
      <x v="45"/>
      <x v="1"/>
      <x v="6"/>
      <x v="399"/>
      <x v="217"/>
    </i>
    <i>
      <x v="60"/>
      <x v="10"/>
      <x v="81"/>
      <x v="45"/>
      <x v="1"/>
      <x v="7"/>
      <x v="400"/>
      <x v="218"/>
    </i>
    <i>
      <x v="61"/>
      <x v="10"/>
      <x v="81"/>
      <x v="45"/>
      <x v="1"/>
      <x v="4"/>
      <x v="401"/>
      <x v="219"/>
    </i>
    <i>
      <x v="62"/>
      <x v="10"/>
      <x v="81"/>
      <x v="45"/>
      <x v="1"/>
      <x v="9"/>
      <x v="402"/>
      <x v="220"/>
    </i>
    <i>
      <x v="63"/>
      <x v="10"/>
      <x v="81"/>
      <x v="45"/>
      <x v="1"/>
      <x v="16"/>
      <x v="403"/>
      <x v="221"/>
    </i>
    <i>
      <x v="64"/>
      <x v="10"/>
      <x v="81"/>
      <x v="45"/>
      <x v="1"/>
      <x v="8"/>
      <x v="404"/>
      <x v="222"/>
    </i>
    <i>
      <x v="65"/>
      <x v="10"/>
      <x v="81"/>
      <x v="45"/>
      <x v="1"/>
      <x v="2"/>
      <x v="405"/>
      <x v="223"/>
    </i>
    <i>
      <x v="66"/>
      <x v="10"/>
      <x v="81"/>
      <x v="45"/>
      <x v="1"/>
      <x v="11"/>
      <x v="406"/>
      <x v="224"/>
    </i>
    <i>
      <x v="67"/>
      <x v="5"/>
      <x v="13"/>
      <x v="82"/>
      <x/>
      <x/>
      <x v="268"/>
      <x v="24"/>
    </i>
    <i>
      <x v="68"/>
      <x v="5"/>
      <x v="13"/>
      <x v="82"/>
      <x v="1"/>
      <x v="13"/>
      <x v="281"/>
      <x v="225"/>
    </i>
    <i>
      <x v="69"/>
      <x v="5"/>
      <x v="13"/>
      <x v="82"/>
      <x v="1"/>
      <x v="1"/>
      <x v="269"/>
      <x v="226"/>
    </i>
    <i>
      <x v="70"/>
      <x v="5"/>
      <x v="13"/>
      <x v="82"/>
      <x v="1"/>
      <x v="3"/>
      <x v="271"/>
      <x v="227"/>
    </i>
    <i>
      <x v="71"/>
      <x v="5"/>
      <x v="13"/>
      <x v="82"/>
      <x v="1"/>
      <x v="5"/>
      <x v="273"/>
      <x v="228"/>
    </i>
    <i>
      <x v="72"/>
      <x v="5"/>
      <x v="13"/>
      <x v="82"/>
      <x v="1"/>
      <x v="14"/>
      <x v="282"/>
      <x v="229"/>
    </i>
    <i>
      <x v="73"/>
      <x v="5"/>
      <x v="13"/>
      <x v="82"/>
      <x v="1"/>
      <x v="12"/>
      <x v="280"/>
      <x v="230"/>
    </i>
    <i>
      <x v="74"/>
      <x v="5"/>
      <x v="13"/>
      <x v="82"/>
      <x v="1"/>
      <x v="10"/>
      <x v="278"/>
      <x v="231"/>
    </i>
    <i>
      <x v="75"/>
      <x v="5"/>
      <x v="13"/>
      <x v="82"/>
      <x v="1"/>
      <x v="15"/>
      <x v="283"/>
      <x v="232"/>
    </i>
    <i>
      <x v="76"/>
      <x v="5"/>
      <x v="13"/>
      <x v="82"/>
      <x v="1"/>
      <x v="6"/>
      <x v="274"/>
      <x v="233"/>
    </i>
    <i>
      <x v="77"/>
      <x v="5"/>
      <x v="13"/>
      <x v="82"/>
      <x v="1"/>
      <x v="7"/>
      <x v="275"/>
      <x v="234"/>
    </i>
    <i>
      <x v="78"/>
      <x v="5"/>
      <x v="13"/>
      <x v="82"/>
      <x v="1"/>
      <x v="4"/>
      <x v="272"/>
      <x v="235"/>
    </i>
    <i>
      <x v="79"/>
      <x v="5"/>
      <x v="13"/>
      <x v="82"/>
      <x v="1"/>
      <x v="9"/>
      <x v="277"/>
      <x v="236"/>
    </i>
    <i>
      <x v="80"/>
      <x v="5"/>
      <x v="13"/>
      <x v="82"/>
      <x v="1"/>
      <x v="16"/>
      <x v="284"/>
      <x v="237"/>
    </i>
    <i>
      <x v="81"/>
      <x v="5"/>
      <x v="13"/>
      <x v="82"/>
      <x v="1"/>
      <x v="8"/>
      <x v="276"/>
      <x v="238"/>
    </i>
    <i>
      <x v="82"/>
      <x v="5"/>
      <x v="13"/>
      <x v="82"/>
      <x v="1"/>
      <x v="11"/>
      <x v="279"/>
      <x v="240"/>
    </i>
    <i>
      <x v="83"/>
      <x v="8"/>
      <x v="167"/>
      <x v="3"/>
      <x/>
      <x/>
      <x v="92"/>
      <x v="241"/>
    </i>
    <i>
      <x v="84"/>
      <x v="8"/>
      <x v="167"/>
      <x v="3"/>
      <x v="1"/>
      <x v="13"/>
      <x v="105"/>
      <x v="242"/>
    </i>
    <i>
      <x v="85"/>
      <x v="8"/>
      <x v="167"/>
      <x v="3"/>
      <x v="1"/>
      <x v="1"/>
      <x v="93"/>
      <x v="243"/>
    </i>
    <i>
      <x v="86"/>
      <x v="8"/>
      <x v="167"/>
      <x v="3"/>
      <x v="1"/>
      <x v="3"/>
      <x v="95"/>
      <x v="244"/>
    </i>
    <i>
      <x v="87"/>
      <x v="8"/>
      <x v="167"/>
      <x v="3"/>
      <x v="1"/>
      <x v="5"/>
      <x v="97"/>
      <x v="245"/>
    </i>
    <i>
      <x v="88"/>
      <x v="8"/>
      <x v="167"/>
      <x v="3"/>
      <x v="1"/>
      <x v="14"/>
      <x v="106"/>
      <x v="246"/>
    </i>
    <i>
      <x v="89"/>
      <x v="8"/>
      <x v="167"/>
      <x v="3"/>
      <x v="1"/>
      <x v="12"/>
      <x v="104"/>
      <x v="247"/>
    </i>
    <i>
      <x v="90"/>
      <x v="8"/>
      <x v="167"/>
      <x v="3"/>
      <x v="1"/>
      <x v="10"/>
      <x v="102"/>
      <x v="248"/>
    </i>
    <i>
      <x v="91"/>
      <x v="8"/>
      <x v="167"/>
      <x v="3"/>
      <x v="1"/>
      <x v="15"/>
      <x v="107"/>
      <x v="249"/>
    </i>
    <i>
      <x v="92"/>
      <x v="8"/>
      <x v="167"/>
      <x v="3"/>
      <x v="1"/>
      <x v="6"/>
      <x v="98"/>
      <x v="250"/>
    </i>
    <i>
      <x v="93"/>
      <x v="8"/>
      <x v="167"/>
      <x v="3"/>
      <x v="1"/>
      <x v="7"/>
      <x v="99"/>
      <x v="251"/>
    </i>
    <i>
      <x v="94"/>
      <x v="8"/>
      <x v="167"/>
      <x v="3"/>
      <x v="1"/>
      <x v="4"/>
      <x v="96"/>
      <x v="252"/>
    </i>
    <i>
      <x v="95"/>
      <x v="8"/>
      <x v="167"/>
      <x v="3"/>
      <x v="1"/>
      <x v="9"/>
      <x v="101"/>
      <x v="253"/>
    </i>
    <i>
      <x v="96"/>
      <x v="8"/>
      <x v="167"/>
      <x v="3"/>
      <x v="1"/>
      <x v="16"/>
      <x v="108"/>
      <x v="254"/>
    </i>
    <i>
      <x v="97"/>
      <x v="8"/>
      <x v="167"/>
      <x v="3"/>
      <x v="1"/>
      <x v="8"/>
      <x v="100"/>
      <x v="255"/>
    </i>
    <i>
      <x v="98"/>
      <x v="8"/>
      <x v="167"/>
      <x v="3"/>
      <x v="1"/>
      <x v="2"/>
      <x v="94"/>
      <x v="256"/>
    </i>
    <i>
      <x v="99"/>
      <x v="8"/>
      <x v="167"/>
      <x v="3"/>
      <x v="1"/>
      <x v="11"/>
      <x v="103"/>
      <x v="257"/>
    </i>
    <i>
      <x v="100"/>
      <x/>
      <x v="83"/>
      <x v="49"/>
      <x/>
      <x/>
      <x v="355"/>
      <x v="4"/>
    </i>
    <i>
      <x v="101"/>
      <x/>
      <x v="83"/>
      <x v="49"/>
      <x/>
      <x/>
      <x v="354"/>
      <x v="3"/>
    </i>
    <i>
      <x v="102"/>
      <x v="6"/>
      <x v="84"/>
      <x v="47"/>
      <x/>
      <x/>
      <x v="285"/>
      <x v="258"/>
    </i>
    <i>
      <x v="103"/>
      <x v="6"/>
      <x v="84"/>
      <x v="47"/>
      <x v="1"/>
      <x v="13"/>
      <x v="311"/>
      <x v="7"/>
    </i>
    <i>
      <x v="104"/>
      <x v="6"/>
      <x v="84"/>
      <x v="47"/>
      <x v="1"/>
      <x v="1"/>
      <x v="287"/>
      <x v="15"/>
    </i>
    <i>
      <x v="105"/>
      <x v="6"/>
      <x v="84"/>
      <x v="47"/>
      <x v="1"/>
      <x v="3"/>
      <x v="291"/>
      <x v="16"/>
    </i>
    <i>
      <x v="106"/>
      <x v="6"/>
      <x v="84"/>
      <x v="47"/>
      <x v="1"/>
      <x v="5"/>
      <x v="295"/>
      <x v="17"/>
    </i>
    <i>
      <x v="107"/>
      <x v="6"/>
      <x v="84"/>
      <x v="47"/>
      <x v="1"/>
      <x v="14"/>
      <x v="312"/>
      <x v="18"/>
    </i>
    <i>
      <x v="108"/>
      <x v="6"/>
      <x v="84"/>
      <x v="47"/>
      <x v="1"/>
      <x v="12"/>
      <x v="309"/>
      <x v="19"/>
    </i>
    <i>
      <x v="109"/>
      <x v="6"/>
      <x v="84"/>
      <x v="47"/>
      <x v="1"/>
      <x v="10"/>
      <x v="305"/>
      <x v="20"/>
    </i>
    <i>
      <x v="110"/>
      <x v="6"/>
      <x v="84"/>
      <x v="47"/>
      <x v="1"/>
      <x v="15"/>
      <x v="314"/>
      <x v="21"/>
    </i>
    <i>
      <x v="111"/>
      <x v="6"/>
      <x v="84"/>
      <x v="47"/>
      <x v="1"/>
      <x v="6"/>
      <x v="297"/>
      <x v="22"/>
    </i>
    <i>
      <x v="112"/>
      <x v="6"/>
      <x v="84"/>
      <x v="47"/>
      <x v="1"/>
      <x v="7"/>
      <x v="299"/>
      <x v="8"/>
    </i>
    <i>
      <x v="113"/>
      <x v="6"/>
      <x v="84"/>
      <x v="47"/>
      <x v="1"/>
      <x v="4"/>
      <x v="293"/>
      <x v="9"/>
    </i>
    <i>
      <x v="114"/>
      <x v="6"/>
      <x v="84"/>
      <x v="47"/>
      <x v="1"/>
      <x v="9"/>
      <x v="303"/>
      <x v="10"/>
    </i>
    <i>
      <x v="115"/>
      <x v="6"/>
      <x v="84"/>
      <x v="47"/>
      <x v="1"/>
      <x v="16"/>
      <x v="316"/>
      <x v="11"/>
    </i>
    <i>
      <x v="116"/>
      <x v="6"/>
      <x v="84"/>
      <x v="47"/>
      <x v="1"/>
      <x v="8"/>
      <x v="301"/>
      <x v="12"/>
    </i>
    <i>
      <x v="117"/>
      <x v="6"/>
      <x v="84"/>
      <x v="47"/>
      <x v="1"/>
      <x v="2"/>
      <x v="289"/>
      <x v="13"/>
    </i>
    <i>
      <x v="118"/>
      <x v="6"/>
      <x v="84"/>
      <x v="47"/>
      <x v="1"/>
      <x v="11"/>
      <x v="307"/>
      <x v="14"/>
    </i>
    <i>
      <x v="119"/>
      <x v="9"/>
      <x v="169"/>
      <x v="96"/>
      <x/>
      <x/>
      <x v="2380"/>
      <x v="1921"/>
    </i>
    <i>
      <x v="120"/>
      <x v="9"/>
      <x v="22"/>
      <x v="60"/>
      <x/>
      <x/>
      <x v="213"/>
      <x v="1922"/>
    </i>
    <i>
      <x v="121"/>
      <x/>
      <x v="100"/>
      <x v="61"/>
      <x/>
      <x/>
      <x v="126"/>
      <x v="259"/>
    </i>
    <i>
      <x v="122"/>
      <x/>
      <x v="85"/>
      <x v="49"/>
      <x/>
      <x/>
      <x v="407"/>
      <x v="260"/>
    </i>
    <i>
      <x v="123"/>
      <x/>
      <x v="85"/>
      <x v="49"/>
      <x v="1"/>
      <x v="5"/>
      <x v="408"/>
      <x v="261"/>
    </i>
    <i>
      <x v="124"/>
      <x/>
      <x v="85"/>
      <x v="49"/>
      <x v="1"/>
      <x v="14"/>
      <x v="409"/>
      <x v="262"/>
    </i>
    <i>
      <x v="125"/>
      <x/>
      <x v="85"/>
      <x v="49"/>
      <x v="1"/>
      <x v="10"/>
      <x v="410"/>
      <x v="263"/>
    </i>
    <i>
      <x v="126"/>
      <x/>
      <x v="85"/>
      <x v="49"/>
      <x v="1"/>
      <x v="15"/>
      <x v="411"/>
      <x v="264"/>
    </i>
    <i>
      <x v="127"/>
      <x/>
      <x v="85"/>
      <x v="49"/>
      <x v="1"/>
      <x v="6"/>
      <x v="412"/>
      <x v="265"/>
    </i>
    <i>
      <x v="128"/>
      <x/>
      <x v="85"/>
      <x v="49"/>
      <x v="1"/>
      <x v="7"/>
      <x v="413"/>
      <x v="266"/>
    </i>
    <i>
      <x v="129"/>
      <x/>
      <x v="85"/>
      <x v="49"/>
      <x v="1"/>
      <x v="16"/>
      <x v="414"/>
      <x v="267"/>
    </i>
    <i>
      <x v="130"/>
      <x/>
      <x v="85"/>
      <x v="49"/>
      <x v="1"/>
      <x v="2"/>
      <x v="415"/>
      <x v="268"/>
    </i>
    <i>
      <x v="131"/>
      <x/>
      <x v="85"/>
      <x v="49"/>
      <x v="1"/>
      <x v="11"/>
      <x v="416"/>
      <x v="269"/>
    </i>
    <i>
      <x v="132"/>
      <x/>
      <x v="85"/>
      <x v="49"/>
      <x/>
      <x/>
      <x v="417"/>
      <x v="270"/>
    </i>
    <i>
      <x v="133"/>
      <x/>
      <x v="85"/>
      <x v="49"/>
      <x v="1"/>
      <x v="5"/>
      <x v="418"/>
      <x v="271"/>
    </i>
    <i>
      <x v="134"/>
      <x/>
      <x v="85"/>
      <x v="49"/>
      <x v="1"/>
      <x v="14"/>
      <x v="419"/>
      <x v="272"/>
    </i>
    <i>
      <x v="135"/>
      <x/>
      <x v="85"/>
      <x v="49"/>
      <x v="1"/>
      <x v="10"/>
      <x v="420"/>
      <x v="273"/>
    </i>
    <i>
      <x v="136"/>
      <x/>
      <x v="85"/>
      <x v="49"/>
      <x v="1"/>
      <x v="15"/>
      <x v="421"/>
      <x v="274"/>
    </i>
    <i>
      <x v="137"/>
      <x/>
      <x v="85"/>
      <x v="49"/>
      <x v="1"/>
      <x v="6"/>
      <x v="422"/>
      <x v="275"/>
    </i>
    <i>
      <x v="138"/>
      <x/>
      <x v="85"/>
      <x v="49"/>
      <x v="1"/>
      <x v="7"/>
      <x v="423"/>
      <x v="276"/>
    </i>
    <i>
      <x v="139"/>
      <x/>
      <x v="85"/>
      <x v="49"/>
      <x v="1"/>
      <x v="16"/>
      <x v="424"/>
      <x v="277"/>
    </i>
    <i>
      <x v="140"/>
      <x/>
      <x v="85"/>
      <x v="49"/>
      <x v="1"/>
      <x v="2"/>
      <x v="425"/>
      <x v="278"/>
    </i>
    <i>
      <x v="141"/>
      <x/>
      <x v="85"/>
      <x v="49"/>
      <x v="1"/>
      <x v="11"/>
      <x v="426"/>
      <x v="279"/>
    </i>
    <i>
      <x v="142"/>
      <x v="1"/>
      <x v="26"/>
      <x v="62"/>
      <x/>
      <x/>
      <x v="36"/>
      <x v="115"/>
    </i>
    <i>
      <x v="143"/>
      <x v="1"/>
      <x v="26"/>
      <x v="62"/>
      <x v="1"/>
      <x v="13"/>
      <x v="32"/>
      <x v="280"/>
    </i>
    <i>
      <x v="144"/>
      <x v="1"/>
      <x v="26"/>
      <x v="62"/>
      <x v="1"/>
      <x v="1"/>
      <x v="20"/>
      <x v="281"/>
    </i>
    <i>
      <x v="145"/>
      <x v="1"/>
      <x v="26"/>
      <x v="62"/>
      <x v="1"/>
      <x v="3"/>
      <x v="22"/>
      <x v="282"/>
    </i>
    <i>
      <x v="146"/>
      <x v="1"/>
      <x v="26"/>
      <x v="62"/>
      <x v="1"/>
      <x v="5"/>
      <x v="24"/>
      <x v="283"/>
    </i>
    <i>
      <x v="147"/>
      <x v="1"/>
      <x v="26"/>
      <x v="62"/>
      <x v="1"/>
      <x v="14"/>
      <x v="33"/>
      <x v="284"/>
    </i>
    <i>
      <x v="148"/>
      <x v="1"/>
      <x v="26"/>
      <x v="62"/>
      <x v="1"/>
      <x v="12"/>
      <x v="31"/>
      <x v="285"/>
    </i>
    <i>
      <x v="149"/>
      <x v="1"/>
      <x v="26"/>
      <x v="62"/>
      <x v="1"/>
      <x v="10"/>
      <x v="29"/>
      <x v="286"/>
    </i>
    <i>
      <x v="150"/>
      <x v="1"/>
      <x v="26"/>
      <x v="62"/>
      <x v="1"/>
      <x v="15"/>
      <x v="34"/>
      <x v="287"/>
    </i>
    <i>
      <x v="151"/>
      <x v="1"/>
      <x v="26"/>
      <x v="62"/>
      <x v="1"/>
      <x v="6"/>
      <x v="25"/>
      <x v="288"/>
    </i>
    <i>
      <x v="152"/>
      <x v="1"/>
      <x v="26"/>
      <x v="62"/>
      <x v="1"/>
      <x v="7"/>
      <x v="26"/>
      <x v="289"/>
    </i>
    <i>
      <x v="153"/>
      <x v="1"/>
      <x v="26"/>
      <x v="62"/>
      <x v="1"/>
      <x v="4"/>
      <x v="23"/>
      <x v="290"/>
    </i>
    <i>
      <x v="154"/>
      <x v="1"/>
      <x v="26"/>
      <x v="62"/>
      <x v="1"/>
      <x v="9"/>
      <x v="28"/>
      <x v="291"/>
    </i>
    <i>
      <x v="155"/>
      <x v="1"/>
      <x v="26"/>
      <x v="62"/>
      <x v="1"/>
      <x v="16"/>
      <x v="35"/>
      <x v="292"/>
    </i>
    <i>
      <x v="156"/>
      <x v="1"/>
      <x v="26"/>
      <x v="62"/>
      <x v="1"/>
      <x v="8"/>
      <x v="27"/>
      <x v="293"/>
    </i>
    <i>
      <x v="157"/>
      <x v="1"/>
      <x v="26"/>
      <x v="62"/>
      <x v="1"/>
      <x v="2"/>
      <x v="21"/>
      <x v="294"/>
    </i>
    <i>
      <x v="158"/>
      <x v="1"/>
      <x v="26"/>
      <x v="62"/>
      <x v="1"/>
      <x v="11"/>
      <x v="30"/>
      <x v="295"/>
    </i>
    <i>
      <x v="159"/>
      <x v="9"/>
      <x v="151"/>
      <x v="50"/>
      <x/>
      <x/>
      <x v="2381"/>
      <x v="148"/>
    </i>
    <i>
      <x v="160"/>
      <x v="9"/>
      <x v="151"/>
      <x v="50"/>
      <x v="1"/>
      <x v="13"/>
      <x v="2382"/>
      <x v="140"/>
    </i>
    <i>
      <x v="161"/>
      <x v="9"/>
      <x v="151"/>
      <x v="50"/>
      <x v="1"/>
      <x v="1"/>
      <x v="2383"/>
      <x v="1923"/>
    </i>
    <i>
      <x v="162"/>
      <x v="9"/>
      <x v="151"/>
      <x v="50"/>
      <x v="1"/>
      <x v="3"/>
      <x v="2384"/>
      <x v="143"/>
    </i>
    <i>
      <x v="163"/>
      <x v="9"/>
      <x v="151"/>
      <x v="50"/>
      <x v="1"/>
      <x v="5"/>
      <x v="2385"/>
      <x v="146"/>
    </i>
    <i>
      <x v="164"/>
      <x v="9"/>
      <x v="151"/>
      <x v="50"/>
      <x v="1"/>
      <x v="14"/>
      <x v="2386"/>
      <x v="151"/>
    </i>
    <i>
      <x v="165"/>
      <x v="9"/>
      <x v="151"/>
      <x v="50"/>
      <x v="1"/>
      <x v="12"/>
      <x v="2387"/>
      <x v="141"/>
    </i>
    <i>
      <x v="166"/>
      <x v="9"/>
      <x v="151"/>
      <x v="50"/>
      <x v="1"/>
      <x v="10"/>
      <x v="2388"/>
      <x v="145"/>
    </i>
    <i>
      <x v="167"/>
      <x v="9"/>
      <x v="151"/>
      <x v="50"/>
      <x v="1"/>
      <x v="15"/>
      <x v="2389"/>
      <x v="147"/>
    </i>
    <i>
      <x v="168"/>
      <x v="9"/>
      <x v="151"/>
      <x v="50"/>
      <x v="1"/>
      <x v="6"/>
      <x v="2390"/>
      <x v="150"/>
    </i>
    <i>
      <x v="169"/>
      <x v="9"/>
      <x v="151"/>
      <x v="50"/>
      <x v="1"/>
      <x v="7"/>
      <x v="2391"/>
      <x v="139"/>
    </i>
    <i>
      <x v="170"/>
      <x v="9"/>
      <x v="151"/>
      <x v="50"/>
      <x v="1"/>
      <x v="4"/>
      <x v="2392"/>
      <x v="137"/>
    </i>
    <i>
      <x v="171"/>
      <x v="9"/>
      <x v="151"/>
      <x v="50"/>
      <x v="1"/>
      <x v="9"/>
      <x v="2393"/>
      <x v="152"/>
    </i>
    <i>
      <x v="172"/>
      <x v="9"/>
      <x v="151"/>
      <x v="50"/>
      <x v="1"/>
      <x v="16"/>
      <x v="2394"/>
      <x v="142"/>
    </i>
    <i>
      <x v="173"/>
      <x v="9"/>
      <x v="151"/>
      <x v="50"/>
      <x v="1"/>
      <x v="8"/>
      <x v="2395"/>
      <x v="138"/>
    </i>
    <i>
      <x v="174"/>
      <x v="9"/>
      <x v="151"/>
      <x v="50"/>
      <x v="1"/>
      <x v="2"/>
      <x v="2396"/>
      <x v="144"/>
    </i>
    <i>
      <x v="175"/>
      <x v="9"/>
      <x v="151"/>
      <x v="50"/>
      <x v="1"/>
      <x v="11"/>
      <x v="2397"/>
      <x v="149"/>
    </i>
    <i>
      <x v="176"/>
      <x v="6"/>
      <x v="87"/>
      <x v="47"/>
      <x/>
      <x/>
      <x v="161"/>
      <x v="45"/>
    </i>
    <i>
      <x v="177"/>
      <x v="6"/>
      <x v="87"/>
      <x v="47"/>
      <x/>
      <x/>
      <x v="162"/>
      <x v="135"/>
    </i>
    <i>
      <x v="178"/>
      <x v="6"/>
      <x v="87"/>
      <x v="47"/>
      <x v="1"/>
      <x v="13"/>
      <x v="175"/>
      <x v="46"/>
    </i>
    <i>
      <x v="179"/>
      <x v="6"/>
      <x v="87"/>
      <x v="47"/>
      <x v="1"/>
      <x v="1"/>
      <x v="163"/>
      <x v="54"/>
    </i>
    <i>
      <x v="180"/>
      <x v="6"/>
      <x v="87"/>
      <x v="47"/>
      <x v="1"/>
      <x v="3"/>
      <x v="165"/>
      <x v="55"/>
    </i>
    <i>
      <x v="181"/>
      <x v="6"/>
      <x v="87"/>
      <x v="47"/>
      <x v="1"/>
      <x v="5"/>
      <x v="167"/>
      <x v="56"/>
    </i>
    <i>
      <x v="182"/>
      <x v="6"/>
      <x v="87"/>
      <x v="47"/>
      <x v="1"/>
      <x v="14"/>
      <x v="176"/>
      <x v="57"/>
    </i>
    <i>
      <x v="183"/>
      <x v="6"/>
      <x v="87"/>
      <x v="47"/>
      <x v="1"/>
      <x v="12"/>
      <x v="174"/>
      <x v="58"/>
    </i>
    <i>
      <x v="184"/>
      <x v="6"/>
      <x v="87"/>
      <x v="47"/>
      <x v="1"/>
      <x v="10"/>
      <x v="172"/>
      <x v="59"/>
    </i>
    <i>
      <x v="185"/>
      <x v="6"/>
      <x v="87"/>
      <x v="47"/>
      <x v="1"/>
      <x v="15"/>
      <x v="177"/>
      <x v="60"/>
    </i>
    <i>
      <x v="186"/>
      <x v="6"/>
      <x v="87"/>
      <x v="47"/>
      <x v="1"/>
      <x v="6"/>
      <x v="168"/>
      <x v="61"/>
    </i>
    <i>
      <x v="187"/>
      <x v="6"/>
      <x v="87"/>
      <x v="47"/>
      <x v="1"/>
      <x v="7"/>
      <x v="169"/>
      <x v="47"/>
    </i>
    <i>
      <x v="188"/>
      <x v="6"/>
      <x v="87"/>
      <x v="47"/>
      <x v="1"/>
      <x v="4"/>
      <x v="166"/>
      <x v="48"/>
    </i>
    <i>
      <x v="189"/>
      <x v="6"/>
      <x v="87"/>
      <x v="47"/>
      <x v="1"/>
      <x v="9"/>
      <x v="171"/>
      <x v="49"/>
    </i>
    <i>
      <x v="190"/>
      <x v="6"/>
      <x v="87"/>
      <x v="47"/>
      <x v="1"/>
      <x v="16"/>
      <x v="178"/>
      <x v="50"/>
    </i>
    <i>
      <x v="191"/>
      <x v="6"/>
      <x v="87"/>
      <x v="47"/>
      <x v="1"/>
      <x v="8"/>
      <x v="170"/>
      <x v="51"/>
    </i>
    <i>
      <x v="192"/>
      <x v="6"/>
      <x v="87"/>
      <x v="47"/>
      <x v="1"/>
      <x v="2"/>
      <x v="164"/>
      <x v="52"/>
    </i>
    <i>
      <x v="193"/>
      <x v="6"/>
      <x v="87"/>
      <x v="47"/>
      <x v="1"/>
      <x v="11"/>
      <x v="173"/>
      <x v="53"/>
    </i>
    <i>
      <x v="194"/>
      <x v="6"/>
      <x v="87"/>
      <x v="47"/>
      <x/>
      <x/>
      <x v="1"/>
      <x v="117"/>
    </i>
    <i>
      <x v="195"/>
      <x v="6"/>
      <x v="87"/>
      <x v="47"/>
      <x v="1"/>
      <x v="13"/>
      <x v="2"/>
      <x v="62"/>
    </i>
    <i>
      <x v="196"/>
      <x v="6"/>
      <x v="87"/>
      <x v="47"/>
      <x v="1"/>
      <x v="1"/>
      <x v="288"/>
      <x v="70"/>
    </i>
    <i>
      <x v="197"/>
      <x v="6"/>
      <x v="87"/>
      <x v="47"/>
      <x v="1"/>
      <x v="3"/>
      <x v="292"/>
      <x v="71"/>
    </i>
    <i>
      <x v="198"/>
      <x v="6"/>
      <x v="87"/>
      <x v="47"/>
      <x v="1"/>
      <x v="5"/>
      <x v="296"/>
      <x v="72"/>
    </i>
    <i>
      <x v="199"/>
      <x v="6"/>
      <x v="87"/>
      <x v="47"/>
      <x v="1"/>
      <x v="14"/>
      <x v="313"/>
      <x v="73"/>
    </i>
    <i>
      <x v="200"/>
      <x v="6"/>
      <x v="87"/>
      <x v="47"/>
      <x v="1"/>
      <x v="12"/>
      <x v="310"/>
      <x v="74"/>
    </i>
    <i>
      <x v="201"/>
      <x v="6"/>
      <x v="87"/>
      <x v="47"/>
      <x v="1"/>
      <x v="10"/>
      <x v="306"/>
      <x v="75"/>
    </i>
    <i>
      <x v="202"/>
      <x v="6"/>
      <x v="87"/>
      <x v="47"/>
      <x v="1"/>
      <x v="15"/>
      <x v="315"/>
      <x v="76"/>
    </i>
    <i>
      <x v="203"/>
      <x v="6"/>
      <x v="87"/>
      <x v="47"/>
      <x v="1"/>
      <x v="6"/>
      <x v="298"/>
      <x v="77"/>
    </i>
    <i>
      <x v="204"/>
      <x v="6"/>
      <x v="87"/>
      <x v="47"/>
      <x v="1"/>
      <x v="7"/>
      <x v="300"/>
      <x v="63"/>
    </i>
    <i>
      <x v="205"/>
      <x v="6"/>
      <x v="87"/>
      <x v="47"/>
      <x v="1"/>
      <x v="4"/>
      <x v="294"/>
      <x v="64"/>
    </i>
    <i>
      <x v="206"/>
      <x v="6"/>
      <x v="87"/>
      <x v="47"/>
      <x v="1"/>
      <x v="9"/>
      <x v="304"/>
      <x v="65"/>
    </i>
    <i>
      <x v="207"/>
      <x v="6"/>
      <x v="87"/>
      <x v="47"/>
      <x v="1"/>
      <x v="16"/>
      <x v="317"/>
      <x v="66"/>
    </i>
    <i>
      <x v="208"/>
      <x v="6"/>
      <x v="87"/>
      <x v="47"/>
      <x v="1"/>
      <x v="8"/>
      <x v="302"/>
      <x v="67"/>
    </i>
    <i>
      <x v="209"/>
      <x v="6"/>
      <x v="87"/>
      <x v="47"/>
      <x v="1"/>
      <x v="2"/>
      <x v="290"/>
      <x v="68"/>
    </i>
    <i>
      <x v="210"/>
      <x v="6"/>
      <x v="87"/>
      <x v="47"/>
      <x v="1"/>
      <x v="11"/>
      <x v="308"/>
      <x v="69"/>
    </i>
    <i>
      <x v="211"/>
      <x/>
      <x v="88"/>
      <x v="49"/>
      <x/>
      <x/>
      <x v="318"/>
      <x v="78"/>
    </i>
    <i>
      <x v="212"/>
      <x/>
      <x v="83"/>
      <x v="49"/>
      <x/>
      <x/>
      <x v="250"/>
      <x v="118"/>
    </i>
    <i>
      <x v="213"/>
      <x/>
      <x v="83"/>
      <x v="49"/>
      <x v="1"/>
      <x v="13"/>
      <x v="263"/>
      <x v="119"/>
    </i>
    <i>
      <x v="214"/>
      <x/>
      <x v="83"/>
      <x v="49"/>
      <x v="1"/>
      <x v="3"/>
      <x v="253"/>
      <x v="128"/>
    </i>
    <i>
      <x v="215"/>
      <x/>
      <x v="83"/>
      <x v="49"/>
      <x v="1"/>
      <x v="5"/>
      <x v="255"/>
      <x v="129"/>
    </i>
    <i>
      <x v="216"/>
      <x/>
      <x v="83"/>
      <x v="49"/>
      <x v="1"/>
      <x v="14"/>
      <x v="264"/>
      <x v="130"/>
    </i>
    <i>
      <x v="217"/>
      <x/>
      <x v="83"/>
      <x v="49"/>
      <x v="1"/>
      <x v="12"/>
      <x v="262"/>
      <x v="131"/>
    </i>
    <i>
      <x v="218"/>
      <x/>
      <x v="83"/>
      <x v="49"/>
      <x v="1"/>
      <x v="10"/>
      <x v="260"/>
      <x v="132"/>
    </i>
    <i>
      <x v="219"/>
      <x/>
      <x v="83"/>
      <x v="49"/>
      <x v="1"/>
      <x v="15"/>
      <x v="265"/>
      <x v="133"/>
    </i>
    <i>
      <x v="220"/>
      <x/>
      <x v="83"/>
      <x v="49"/>
      <x v="1"/>
      <x v="6"/>
      <x v="256"/>
      <x v="134"/>
    </i>
    <i>
      <x v="221"/>
      <x/>
      <x v="83"/>
      <x v="49"/>
      <x v="1"/>
      <x v="7"/>
      <x v="257"/>
      <x v="120"/>
    </i>
    <i>
      <x v="222"/>
      <x/>
      <x v="83"/>
      <x v="49"/>
      <x v="1"/>
      <x v="16"/>
      <x v="266"/>
      <x v="123"/>
    </i>
    <i>
      <x v="223"/>
      <x/>
      <x v="83"/>
      <x v="49"/>
      <x v="1"/>
      <x v="8"/>
      <x v="258"/>
      <x v="124"/>
    </i>
    <i>
      <x v="224"/>
      <x/>
      <x v="83"/>
      <x v="49"/>
      <x v="1"/>
      <x v="2"/>
      <x v="252"/>
      <x v="125"/>
    </i>
    <i>
      <x v="225"/>
      <x/>
      <x v="83"/>
      <x v="49"/>
      <x v="1"/>
      <x v="11"/>
      <x v="261"/>
      <x v="126"/>
    </i>
    <i>
      <x v="226"/>
      <x/>
      <x v="89"/>
      <x v="49"/>
      <x/>
      <x/>
      <x v="91"/>
      <x v="79"/>
    </i>
    <i>
      <x v="227"/>
      <x/>
      <x v="89"/>
      <x v="49"/>
      <x v="1"/>
      <x v="3"/>
      <x v="77"/>
      <x v="296"/>
    </i>
    <i>
      <x v="228"/>
      <x/>
      <x v="89"/>
      <x v="49"/>
      <x v="1"/>
      <x v="5"/>
      <x v="79"/>
      <x v="297"/>
    </i>
    <i>
      <x v="229"/>
      <x/>
      <x v="89"/>
      <x v="49"/>
      <x v="1"/>
      <x v="14"/>
      <x v="88"/>
      <x v="298"/>
    </i>
    <i>
      <x v="230"/>
      <x/>
      <x v="89"/>
      <x v="49"/>
      <x v="1"/>
      <x v="12"/>
      <x v="86"/>
      <x v="299"/>
    </i>
    <i>
      <x v="231"/>
      <x/>
      <x v="89"/>
      <x v="49"/>
      <x v="1"/>
      <x v="10"/>
      <x v="84"/>
      <x v="300"/>
    </i>
    <i>
      <x v="232"/>
      <x/>
      <x v="89"/>
      <x v="49"/>
      <x v="1"/>
      <x v="15"/>
      <x v="89"/>
      <x v="301"/>
    </i>
    <i>
      <x v="233"/>
      <x/>
      <x v="89"/>
      <x v="49"/>
      <x v="1"/>
      <x v="6"/>
      <x v="80"/>
      <x v="302"/>
    </i>
    <i>
      <x v="234"/>
      <x/>
      <x v="89"/>
      <x v="49"/>
      <x v="1"/>
      <x v="16"/>
      <x v="90"/>
      <x v="303"/>
    </i>
    <i>
      <x v="235"/>
      <x/>
      <x v="89"/>
      <x v="49"/>
      <x v="1"/>
      <x v="2"/>
      <x v="76"/>
      <x v="304"/>
    </i>
    <i>
      <x v="236"/>
      <x/>
      <x v="89"/>
      <x v="49"/>
      <x v="1"/>
      <x v="11"/>
      <x v="85"/>
      <x v="305"/>
    </i>
    <i>
      <x v="237"/>
      <x v="11"/>
      <x v="90"/>
      <x v="51"/>
      <x/>
      <x/>
      <x v="74"/>
      <x v="306"/>
    </i>
    <i>
      <x v="238"/>
      <x v="1"/>
      <x/>
      <x v="62"/>
      <x/>
      <x/>
      <x v="3"/>
      <x v="114"/>
    </i>
    <i>
      <x v="239"/>
      <x v="1"/>
      <x/>
      <x v="62"/>
      <x v="1"/>
      <x v="13"/>
      <x v="16"/>
      <x v="307"/>
    </i>
    <i>
      <x v="240"/>
      <x v="1"/>
      <x/>
      <x v="62"/>
      <x v="1"/>
      <x v="1"/>
      <x v="4"/>
      <x v="308"/>
    </i>
    <i>
      <x v="241"/>
      <x v="1"/>
      <x/>
      <x v="62"/>
      <x v="1"/>
      <x v="3"/>
      <x v="6"/>
      <x v="309"/>
    </i>
    <i>
      <x v="242"/>
      <x v="1"/>
      <x/>
      <x v="62"/>
      <x v="1"/>
      <x v="5"/>
      <x v="8"/>
      <x v="310"/>
    </i>
    <i>
      <x v="243"/>
      <x v="1"/>
      <x/>
      <x v="62"/>
      <x v="1"/>
      <x v="14"/>
      <x v="17"/>
      <x v="311"/>
    </i>
    <i>
      <x v="244"/>
      <x v="1"/>
      <x/>
      <x v="62"/>
      <x v="1"/>
      <x v="12"/>
      <x v="15"/>
      <x v="312"/>
    </i>
    <i>
      <x v="245"/>
      <x v="1"/>
      <x/>
      <x v="62"/>
      <x v="1"/>
      <x v="10"/>
      <x v="13"/>
      <x v="313"/>
    </i>
    <i>
      <x v="246"/>
      <x v="1"/>
      <x/>
      <x v="62"/>
      <x v="1"/>
      <x v="15"/>
      <x v="18"/>
      <x v="314"/>
    </i>
    <i>
      <x v="247"/>
      <x v="1"/>
      <x/>
      <x v="62"/>
      <x v="1"/>
      <x v="6"/>
      <x v="9"/>
      <x v="315"/>
    </i>
    <i>
      <x v="248"/>
      <x v="1"/>
      <x/>
      <x v="62"/>
      <x v="1"/>
      <x v="7"/>
      <x v="10"/>
      <x v="316"/>
    </i>
    <i>
      <x v="249"/>
      <x v="1"/>
      <x/>
      <x v="62"/>
      <x v="1"/>
      <x v="4"/>
      <x v="7"/>
      <x v="317"/>
    </i>
    <i>
      <x v="250"/>
      <x v="1"/>
      <x/>
      <x v="62"/>
      <x v="1"/>
      <x v="9"/>
      <x v="12"/>
      <x v="318"/>
    </i>
    <i>
      <x v="251"/>
      <x v="1"/>
      <x/>
      <x v="62"/>
      <x v="1"/>
      <x v="16"/>
      <x v="19"/>
      <x v="319"/>
    </i>
    <i>
      <x v="252"/>
      <x v="1"/>
      <x/>
      <x v="62"/>
      <x v="1"/>
      <x v="8"/>
      <x v="11"/>
      <x v="320"/>
    </i>
    <i>
      <x v="253"/>
      <x v="1"/>
      <x/>
      <x v="62"/>
      <x v="1"/>
      <x v="2"/>
      <x v="5"/>
      <x v="321"/>
    </i>
    <i>
      <x v="254"/>
      <x v="1"/>
      <x/>
      <x v="62"/>
      <x v="1"/>
      <x v="11"/>
      <x v="14"/>
      <x v="322"/>
    </i>
    <i>
      <x v="255"/>
      <x v="2"/>
      <x v="91"/>
      <x v="40"/>
      <x/>
      <x/>
      <x v="337"/>
      <x v="323"/>
    </i>
    <i>
      <x v="256"/>
      <x v="2"/>
      <x v="91"/>
      <x v="40"/>
      <x v="1"/>
      <x v="13"/>
      <x v="350"/>
      <x v="324"/>
    </i>
    <i>
      <x v="257"/>
      <x v="2"/>
      <x v="91"/>
      <x v="40"/>
      <x v="1"/>
      <x v="1"/>
      <x v="338"/>
      <x v="325"/>
    </i>
    <i>
      <x v="258"/>
      <x v="2"/>
      <x v="91"/>
      <x v="40"/>
      <x v="1"/>
      <x v="3"/>
      <x v="340"/>
      <x v="326"/>
    </i>
    <i>
      <x v="259"/>
      <x v="2"/>
      <x v="91"/>
      <x v="40"/>
      <x v="1"/>
      <x v="5"/>
      <x v="342"/>
      <x v="327"/>
    </i>
    <i>
      <x v="260"/>
      <x v="2"/>
      <x v="91"/>
      <x v="40"/>
      <x v="1"/>
      <x v="14"/>
      <x v="351"/>
      <x v="328"/>
    </i>
    <i>
      <x v="261"/>
      <x v="2"/>
      <x v="91"/>
      <x v="40"/>
      <x v="1"/>
      <x v="12"/>
      <x v="349"/>
      <x v="329"/>
    </i>
    <i>
      <x v="262"/>
      <x v="2"/>
      <x v="91"/>
      <x v="40"/>
      <x v="1"/>
      <x v="10"/>
      <x v="347"/>
      <x v="330"/>
    </i>
    <i>
      <x v="263"/>
      <x v="2"/>
      <x v="91"/>
      <x v="40"/>
      <x v="1"/>
      <x v="15"/>
      <x v="352"/>
      <x v="331"/>
    </i>
    <i>
      <x v="264"/>
      <x v="2"/>
      <x v="91"/>
      <x v="40"/>
      <x v="1"/>
      <x v="6"/>
      <x v="343"/>
      <x v="332"/>
    </i>
    <i>
      <x v="265"/>
      <x v="2"/>
      <x v="91"/>
      <x v="40"/>
      <x v="1"/>
      <x v="7"/>
      <x v="344"/>
      <x v="333"/>
    </i>
    <i>
      <x v="266"/>
      <x v="2"/>
      <x v="91"/>
      <x v="40"/>
      <x v="1"/>
      <x v="4"/>
      <x v="341"/>
      <x v="334"/>
    </i>
    <i>
      <x v="267"/>
      <x v="2"/>
      <x v="91"/>
      <x v="40"/>
      <x v="1"/>
      <x v="9"/>
      <x v="346"/>
      <x v="335"/>
    </i>
    <i>
      <x v="268"/>
      <x v="2"/>
      <x v="91"/>
      <x v="40"/>
      <x v="1"/>
      <x v="16"/>
      <x v="353"/>
      <x v="336"/>
    </i>
    <i>
      <x v="269"/>
      <x v="2"/>
      <x v="91"/>
      <x v="40"/>
      <x v="1"/>
      <x v="8"/>
      <x v="345"/>
      <x v="337"/>
    </i>
    <i>
      <x v="270"/>
      <x v="2"/>
      <x v="91"/>
      <x v="40"/>
      <x v="1"/>
      <x v="2"/>
      <x v="339"/>
      <x v="338"/>
    </i>
    <i>
      <x v="271"/>
      <x v="2"/>
      <x v="91"/>
      <x v="40"/>
      <x v="1"/>
      <x v="11"/>
      <x v="348"/>
      <x v="339"/>
    </i>
    <i>
      <x v="272"/>
      <x v="6"/>
      <x v="92"/>
      <x v="47"/>
      <x/>
      <x/>
      <x/>
      <x v="25"/>
    </i>
    <i>
      <x v="273"/>
      <x v="6"/>
      <x v="92"/>
      <x v="47"/>
      <x/>
      <x/>
      <x v="37"/>
      <x v="26"/>
    </i>
    <i>
      <x v="274"/>
      <x v="6"/>
      <x v="92"/>
      <x v="47"/>
      <x/>
      <x/>
      <x v="38"/>
      <x v="27"/>
    </i>
    <i>
      <x v="275"/>
      <x v="6"/>
      <x v="92"/>
      <x v="47"/>
      <x/>
      <x/>
      <x v="267"/>
      <x v="28"/>
    </i>
    <i>
      <x v="276"/>
      <x/>
      <x v="83"/>
      <x v="49"/>
      <x/>
      <x/>
      <x v="144"/>
      <x v="340"/>
    </i>
    <i>
      <x v="277"/>
      <x/>
      <x v="83"/>
      <x v="49"/>
      <x v="1"/>
      <x v="13"/>
      <x v="157"/>
      <x v="96"/>
    </i>
    <i>
      <x v="278"/>
      <x/>
      <x v="83"/>
      <x v="49"/>
      <x v="1"/>
      <x v="1"/>
      <x v="145"/>
      <x v="104"/>
    </i>
    <i>
      <x v="279"/>
      <x/>
      <x v="83"/>
      <x v="49"/>
      <x v="1"/>
      <x v="3"/>
      <x v="147"/>
      <x v="105"/>
    </i>
    <i>
      <x v="280"/>
      <x/>
      <x v="83"/>
      <x v="49"/>
      <x v="1"/>
      <x v="5"/>
      <x v="149"/>
      <x v="106"/>
    </i>
    <i>
      <x v="281"/>
      <x/>
      <x v="83"/>
      <x v="49"/>
      <x v="1"/>
      <x v="14"/>
      <x v="158"/>
      <x v="107"/>
    </i>
    <i>
      <x v="282"/>
      <x/>
      <x v="83"/>
      <x v="49"/>
      <x v="1"/>
      <x v="12"/>
      <x v="156"/>
      <x v="108"/>
    </i>
    <i>
      <x v="283"/>
      <x/>
      <x v="83"/>
      <x v="49"/>
      <x v="1"/>
      <x v="10"/>
      <x v="154"/>
      <x v="109"/>
    </i>
    <i>
      <x v="284"/>
      <x/>
      <x v="83"/>
      <x v="49"/>
      <x v="1"/>
      <x v="15"/>
      <x v="159"/>
      <x v="110"/>
    </i>
    <i>
      <x v="285"/>
      <x/>
      <x v="83"/>
      <x v="49"/>
      <x v="1"/>
      <x v="6"/>
      <x v="150"/>
      <x v="111"/>
    </i>
    <i>
      <x v="286"/>
      <x/>
      <x v="83"/>
      <x v="49"/>
      <x v="1"/>
      <x v="7"/>
      <x v="151"/>
      <x v="97"/>
    </i>
    <i>
      <x v="287"/>
      <x/>
      <x v="83"/>
      <x v="49"/>
      <x v="1"/>
      <x v="4"/>
      <x v="148"/>
      <x v="98"/>
    </i>
    <i>
      <x v="288"/>
      <x/>
      <x v="83"/>
      <x v="49"/>
      <x v="1"/>
      <x v="9"/>
      <x v="153"/>
      <x v="99"/>
    </i>
    <i>
      <x v="289"/>
      <x/>
      <x v="83"/>
      <x v="49"/>
      <x v="1"/>
      <x v="16"/>
      <x v="160"/>
      <x v="100"/>
    </i>
    <i>
      <x v="290"/>
      <x/>
      <x v="83"/>
      <x v="49"/>
      <x v="1"/>
      <x v="8"/>
      <x v="152"/>
      <x v="101"/>
    </i>
    <i>
      <x v="291"/>
      <x/>
      <x v="83"/>
      <x v="49"/>
      <x v="1"/>
      <x v="2"/>
      <x v="146"/>
      <x v="102"/>
    </i>
    <i>
      <x v="292"/>
      <x/>
      <x v="83"/>
      <x v="49"/>
      <x v="1"/>
      <x v="11"/>
      <x v="155"/>
      <x v="103"/>
    </i>
    <i>
      <x v="293"/>
      <x/>
      <x v="83"/>
      <x v="49"/>
      <x/>
      <x/>
      <x v="427"/>
      <x v="112"/>
    </i>
    <i>
      <x v="294"/>
      <x v="4"/>
      <x v="94"/>
      <x v="52"/>
      <x/>
      <x/>
      <x v="2398"/>
      <x v="1707"/>
    </i>
    <i>
      <x v="295"/>
      <x v="4"/>
      <x v="94"/>
      <x v="52"/>
      <x v="1"/>
      <x v="13"/>
      <x v="2399"/>
      <x v="342"/>
    </i>
    <i>
      <x v="296"/>
      <x v="4"/>
      <x v="94"/>
      <x v="52"/>
      <x v="1"/>
      <x v="1"/>
      <x v="2400"/>
      <x v="343"/>
    </i>
    <i>
      <x v="297"/>
      <x v="4"/>
      <x v="94"/>
      <x v="52"/>
      <x v="1"/>
      <x v="3"/>
      <x v="2401"/>
      <x v="344"/>
    </i>
    <i>
      <x v="298"/>
      <x v="4"/>
      <x v="94"/>
      <x v="52"/>
      <x v="1"/>
      <x v="5"/>
      <x v="2402"/>
      <x v="345"/>
    </i>
    <i>
      <x v="299"/>
      <x v="4"/>
      <x v="94"/>
      <x v="52"/>
      <x v="1"/>
      <x v="14"/>
      <x v="2403"/>
      <x v="346"/>
    </i>
    <i>
      <x v="300"/>
      <x v="4"/>
      <x v="94"/>
      <x v="52"/>
      <x v="1"/>
      <x v="12"/>
      <x v="2404"/>
      <x v="347"/>
    </i>
    <i>
      <x v="301"/>
      <x v="4"/>
      <x v="94"/>
      <x v="52"/>
      <x v="1"/>
      <x v="10"/>
      <x v="2405"/>
      <x v="348"/>
    </i>
    <i>
      <x v="302"/>
      <x v="4"/>
      <x v="94"/>
      <x v="52"/>
      <x v="1"/>
      <x v="15"/>
      <x v="2406"/>
      <x v="349"/>
    </i>
    <i>
      <x v="303"/>
      <x v="4"/>
      <x v="94"/>
      <x v="52"/>
      <x v="1"/>
      <x v="6"/>
      <x v="2407"/>
      <x v="350"/>
    </i>
    <i>
      <x v="304"/>
      <x v="4"/>
      <x v="94"/>
      <x v="52"/>
      <x v="1"/>
      <x v="7"/>
      <x v="2408"/>
      <x v="351"/>
    </i>
    <i>
      <x v="305"/>
      <x v="4"/>
      <x v="94"/>
      <x v="52"/>
      <x v="1"/>
      <x v="4"/>
      <x v="2409"/>
      <x v="352"/>
    </i>
    <i>
      <x v="306"/>
      <x v="4"/>
      <x v="94"/>
      <x v="52"/>
      <x v="1"/>
      <x v="9"/>
      <x v="2410"/>
      <x v="353"/>
    </i>
    <i>
      <x v="307"/>
      <x v="4"/>
      <x v="94"/>
      <x v="52"/>
      <x v="1"/>
      <x v="16"/>
      <x v="2411"/>
      <x v="354"/>
    </i>
    <i>
      <x v="308"/>
      <x v="4"/>
      <x v="94"/>
      <x v="52"/>
      <x v="1"/>
      <x v="8"/>
      <x v="2412"/>
      <x v="355"/>
    </i>
    <i>
      <x v="309"/>
      <x v="4"/>
      <x v="94"/>
      <x v="52"/>
      <x v="1"/>
      <x v="2"/>
      <x v="2413"/>
      <x v="356"/>
    </i>
    <i>
      <x v="310"/>
      <x v="4"/>
      <x v="94"/>
      <x v="52"/>
      <x v="1"/>
      <x v="11"/>
      <x v="2414"/>
      <x v="357"/>
    </i>
    <i>
      <x v="311"/>
      <x/>
      <x v="88"/>
      <x v="49"/>
      <x/>
      <x/>
      <x v="445"/>
      <x v="358"/>
    </i>
    <i>
      <x v="312"/>
      <x/>
      <x v="88"/>
      <x v="49"/>
      <x v="1"/>
      <x v="5"/>
      <x v="449"/>
      <x v="362"/>
    </i>
    <i>
      <x v="313"/>
      <x/>
      <x v="88"/>
      <x v="49"/>
      <x v="1"/>
      <x v="14"/>
      <x v="450"/>
      <x v="363"/>
    </i>
    <i>
      <x v="314"/>
      <x/>
      <x v="88"/>
      <x v="49"/>
      <x v="1"/>
      <x v="12"/>
      <x v="451"/>
      <x v="364"/>
    </i>
    <i>
      <x v="315"/>
      <x/>
      <x v="88"/>
      <x v="49"/>
      <x v="1"/>
      <x v="10"/>
      <x v="452"/>
      <x v="365"/>
    </i>
    <i>
      <x v="316"/>
      <x/>
      <x v="88"/>
      <x v="49"/>
      <x v="1"/>
      <x v="15"/>
      <x v="453"/>
      <x v="366"/>
    </i>
    <i>
      <x v="317"/>
      <x/>
      <x v="88"/>
      <x v="49"/>
      <x v="1"/>
      <x v="6"/>
      <x v="454"/>
      <x v="367"/>
    </i>
    <i>
      <x v="318"/>
      <x/>
      <x v="88"/>
      <x v="49"/>
      <x v="1"/>
      <x v="7"/>
      <x v="455"/>
      <x v="368"/>
    </i>
    <i>
      <x v="319"/>
      <x/>
      <x v="88"/>
      <x v="49"/>
      <x v="1"/>
      <x v="16"/>
      <x v="458"/>
      <x v="371"/>
    </i>
    <i>
      <x v="320"/>
      <x/>
      <x v="88"/>
      <x v="49"/>
      <x v="1"/>
      <x v="8"/>
      <x v="459"/>
      <x v="372"/>
    </i>
    <i>
      <x v="321"/>
      <x/>
      <x v="88"/>
      <x v="49"/>
      <x v="1"/>
      <x v="11"/>
      <x v="461"/>
      <x v="374"/>
    </i>
    <i>
      <x v="322"/>
      <x/>
      <x v="95"/>
      <x v="49"/>
      <x/>
      <x/>
      <x v="462"/>
      <x v="375"/>
    </i>
    <i>
      <x v="323"/>
      <x/>
      <x v="95"/>
      <x v="49"/>
      <x/>
      <x/>
      <x v="463"/>
      <x v="376"/>
    </i>
    <i>
      <x v="324"/>
      <x v="6"/>
      <x v="34"/>
      <x v="63"/>
      <x/>
      <x/>
      <x v="464"/>
      <x v="377"/>
    </i>
    <i>
      <x v="325"/>
      <x v="8"/>
      <x v="35"/>
      <x v="64"/>
      <x/>
      <x/>
      <x v="465"/>
      <x v="1924"/>
    </i>
    <i>
      <x v="326"/>
      <x v="8"/>
      <x v="35"/>
      <x v="64"/>
      <x v="1"/>
      <x v="13"/>
      <x v="466"/>
      <x v="379"/>
    </i>
    <i>
      <x v="327"/>
      <x v="8"/>
      <x v="35"/>
      <x v="64"/>
      <x v="1"/>
      <x v="1"/>
      <x v="467"/>
      <x v="380"/>
    </i>
    <i>
      <x v="328"/>
      <x v="8"/>
      <x v="35"/>
      <x v="64"/>
      <x v="1"/>
      <x v="3"/>
      <x v="468"/>
      <x v="381"/>
    </i>
    <i>
      <x v="329"/>
      <x v="8"/>
      <x v="35"/>
      <x v="64"/>
      <x v="1"/>
      <x v="5"/>
      <x v="469"/>
      <x v="382"/>
    </i>
    <i>
      <x v="330"/>
      <x v="8"/>
      <x v="35"/>
      <x v="64"/>
      <x v="1"/>
      <x v="14"/>
      <x v="470"/>
      <x v="383"/>
    </i>
    <i>
      <x v="331"/>
      <x v="8"/>
      <x v="35"/>
      <x v="64"/>
      <x v="1"/>
      <x v="12"/>
      <x v="471"/>
      <x v="384"/>
    </i>
    <i>
      <x v="332"/>
      <x v="8"/>
      <x v="35"/>
      <x v="64"/>
      <x v="1"/>
      <x v="10"/>
      <x v="472"/>
      <x v="385"/>
    </i>
    <i>
      <x v="333"/>
      <x v="8"/>
      <x v="35"/>
      <x v="64"/>
      <x v="1"/>
      <x v="15"/>
      <x v="473"/>
      <x v="386"/>
    </i>
    <i>
      <x v="334"/>
      <x v="8"/>
      <x v="35"/>
      <x v="64"/>
      <x v="1"/>
      <x v="6"/>
      <x v="474"/>
      <x v="387"/>
    </i>
    <i>
      <x v="335"/>
      <x v="8"/>
      <x v="35"/>
      <x v="64"/>
      <x v="1"/>
      <x v="7"/>
      <x v="475"/>
      <x v="388"/>
    </i>
    <i>
      <x v="336"/>
      <x v="8"/>
      <x v="35"/>
      <x v="64"/>
      <x v="1"/>
      <x v="4"/>
      <x v="476"/>
      <x v="389"/>
    </i>
    <i>
      <x v="337"/>
      <x v="8"/>
      <x v="35"/>
      <x v="64"/>
      <x v="1"/>
      <x v="9"/>
      <x v="477"/>
      <x v="390"/>
    </i>
    <i>
      <x v="338"/>
      <x v="8"/>
      <x v="35"/>
      <x v="64"/>
      <x v="1"/>
      <x v="16"/>
      <x v="478"/>
      <x v="391"/>
    </i>
    <i>
      <x v="339"/>
      <x v="8"/>
      <x v="35"/>
      <x v="64"/>
      <x v="1"/>
      <x v="8"/>
      <x v="479"/>
      <x v="392"/>
    </i>
    <i>
      <x v="340"/>
      <x v="8"/>
      <x v="35"/>
      <x v="64"/>
      <x v="1"/>
      <x v="2"/>
      <x v="480"/>
      <x v="393"/>
    </i>
    <i>
      <x v="341"/>
      <x v="8"/>
      <x v="35"/>
      <x v="64"/>
      <x v="1"/>
      <x v="11"/>
      <x v="481"/>
      <x v="394"/>
    </i>
    <i>
      <x v="342"/>
      <x v="12"/>
      <x v="36"/>
      <x v="27"/>
      <x/>
      <x/>
      <x v="2415"/>
      <x v="1925"/>
    </i>
    <i>
      <x v="343"/>
      <x v="12"/>
      <x v="36"/>
      <x v="27"/>
      <x v="1"/>
      <x v="13"/>
      <x v="2416"/>
      <x v="1926"/>
    </i>
    <i>
      <x v="344"/>
      <x v="12"/>
      <x v="36"/>
      <x v="27"/>
      <x v="1"/>
      <x v="1"/>
      <x v="2417"/>
      <x v="1927"/>
    </i>
    <i>
      <x v="345"/>
      <x v="12"/>
      <x v="36"/>
      <x v="27"/>
      <x v="1"/>
      <x v="3"/>
      <x v="2418"/>
      <x v="1928"/>
    </i>
    <i>
      <x v="346"/>
      <x v="12"/>
      <x v="36"/>
      <x v="27"/>
      <x v="1"/>
      <x v="5"/>
      <x v="2419"/>
      <x v="1929"/>
    </i>
    <i>
      <x v="347"/>
      <x v="12"/>
      <x v="36"/>
      <x v="27"/>
      <x v="1"/>
      <x v="14"/>
      <x v="2420"/>
      <x v="1930"/>
    </i>
    <i>
      <x v="348"/>
      <x v="12"/>
      <x v="36"/>
      <x v="27"/>
      <x v="1"/>
      <x v="12"/>
      <x v="2421"/>
      <x v="1931"/>
    </i>
    <i>
      <x v="349"/>
      <x v="12"/>
      <x v="36"/>
      <x v="27"/>
      <x v="1"/>
      <x v="10"/>
      <x v="2422"/>
      <x v="1932"/>
    </i>
    <i>
      <x v="350"/>
      <x v="12"/>
      <x v="36"/>
      <x v="27"/>
      <x v="1"/>
      <x v="15"/>
      <x v="2423"/>
      <x v="1933"/>
    </i>
    <i>
      <x v="351"/>
      <x v="12"/>
      <x v="36"/>
      <x v="27"/>
      <x v="1"/>
      <x v="6"/>
      <x v="2424"/>
      <x v="1934"/>
    </i>
    <i>
      <x v="352"/>
      <x v="12"/>
      <x v="36"/>
      <x v="27"/>
      <x v="1"/>
      <x v="7"/>
      <x v="2425"/>
      <x v="1935"/>
    </i>
    <i>
      <x v="353"/>
      <x v="12"/>
      <x v="36"/>
      <x v="27"/>
      <x v="1"/>
      <x v="4"/>
      <x v="2426"/>
      <x v="1936"/>
    </i>
    <i>
      <x v="354"/>
      <x v="12"/>
      <x v="36"/>
      <x v="27"/>
      <x v="1"/>
      <x v="9"/>
      <x v="2427"/>
      <x v="1937"/>
    </i>
    <i>
      <x v="355"/>
      <x v="12"/>
      <x v="36"/>
      <x v="27"/>
      <x v="1"/>
      <x v="16"/>
      <x v="2428"/>
      <x v="1938"/>
    </i>
    <i>
      <x v="356"/>
      <x v="12"/>
      <x v="36"/>
      <x v="27"/>
      <x v="1"/>
      <x v="8"/>
      <x v="2429"/>
      <x v="1939"/>
    </i>
    <i>
      <x v="357"/>
      <x v="12"/>
      <x v="36"/>
      <x v="27"/>
      <x v="1"/>
      <x v="2"/>
      <x v="2430"/>
      <x v="1940"/>
    </i>
    <i>
      <x v="358"/>
      <x v="12"/>
      <x v="36"/>
      <x v="27"/>
      <x v="1"/>
      <x v="11"/>
      <x v="2431"/>
      <x v="1941"/>
    </i>
    <i>
      <x v="359"/>
      <x v="12"/>
      <x v="36"/>
      <x v="27"/>
      <x/>
      <x/>
      <x v="2432"/>
      <x v="1942"/>
    </i>
    <i>
      <x v="360"/>
      <x v="12"/>
      <x v="36"/>
      <x v="27"/>
      <x/>
      <x/>
      <x v="2433"/>
      <x v="1943"/>
    </i>
    <i>
      <x v="361"/>
      <x v="11"/>
      <x v="90"/>
      <x v="51"/>
      <x/>
      <x/>
      <x v="518"/>
      <x v="398"/>
    </i>
    <i>
      <x v="362"/>
      <x v="9"/>
      <x v="40"/>
      <x v="66"/>
      <x/>
      <x/>
      <x v="2434"/>
      <x v="399"/>
    </i>
    <i>
      <x v="363"/>
      <x v="9"/>
      <x v="41"/>
      <x v="55"/>
      <x/>
      <x/>
      <x v="537"/>
      <x v="400"/>
    </i>
    <i>
      <x v="364"/>
      <x v="9"/>
      <x v="41"/>
      <x v="55"/>
      <x v="1"/>
      <x v="13"/>
      <x v="538"/>
      <x v="401"/>
    </i>
    <i>
      <x v="365"/>
      <x v="9"/>
      <x v="41"/>
      <x v="55"/>
      <x v="1"/>
      <x v="1"/>
      <x v="539"/>
      <x v="402"/>
    </i>
    <i>
      <x v="366"/>
      <x v="9"/>
      <x v="41"/>
      <x v="55"/>
      <x v="1"/>
      <x v="3"/>
      <x v="540"/>
      <x v="403"/>
    </i>
    <i>
      <x v="367"/>
      <x v="9"/>
      <x v="41"/>
      <x v="55"/>
      <x v="1"/>
      <x v="5"/>
      <x v="541"/>
      <x v="404"/>
    </i>
    <i>
      <x v="368"/>
      <x v="9"/>
      <x v="41"/>
      <x v="55"/>
      <x v="1"/>
      <x v="14"/>
      <x v="542"/>
      <x v="405"/>
    </i>
    <i>
      <x v="369"/>
      <x v="9"/>
      <x v="41"/>
      <x v="55"/>
      <x v="1"/>
      <x v="12"/>
      <x v="543"/>
      <x v="406"/>
    </i>
    <i>
      <x v="370"/>
      <x v="9"/>
      <x v="41"/>
      <x v="55"/>
      <x v="1"/>
      <x v="10"/>
      <x v="544"/>
      <x v="407"/>
    </i>
    <i>
      <x v="371"/>
      <x v="9"/>
      <x v="41"/>
      <x v="55"/>
      <x v="1"/>
      <x v="15"/>
      <x v="545"/>
      <x v="408"/>
    </i>
    <i>
      <x v="372"/>
      <x v="9"/>
      <x v="41"/>
      <x v="55"/>
      <x v="1"/>
      <x v="6"/>
      <x v="546"/>
      <x v="409"/>
    </i>
    <i>
      <x v="373"/>
      <x v="9"/>
      <x v="41"/>
      <x v="55"/>
      <x v="1"/>
      <x v="7"/>
      <x v="547"/>
      <x v="410"/>
    </i>
    <i>
      <x v="374"/>
      <x v="9"/>
      <x v="41"/>
      <x v="55"/>
      <x v="1"/>
      <x v="4"/>
      <x v="548"/>
      <x v="411"/>
    </i>
    <i>
      <x v="375"/>
      <x v="9"/>
      <x v="41"/>
      <x v="55"/>
      <x v="1"/>
      <x v="9"/>
      <x v="549"/>
      <x v="412"/>
    </i>
    <i>
      <x v="376"/>
      <x v="9"/>
      <x v="41"/>
      <x v="55"/>
      <x v="1"/>
      <x v="16"/>
      <x v="550"/>
      <x v="413"/>
    </i>
    <i>
      <x v="377"/>
      <x v="9"/>
      <x v="41"/>
      <x v="55"/>
      <x v="1"/>
      <x v="8"/>
      <x v="551"/>
      <x v="414"/>
    </i>
    <i>
      <x v="378"/>
      <x v="9"/>
      <x v="41"/>
      <x v="55"/>
      <x v="1"/>
      <x v="2"/>
      <x v="552"/>
      <x v="415"/>
    </i>
    <i>
      <x v="379"/>
      <x v="9"/>
      <x v="41"/>
      <x v="55"/>
      <x v="1"/>
      <x v="11"/>
      <x v="553"/>
      <x v="416"/>
    </i>
    <i>
      <x v="380"/>
      <x v="9"/>
      <x v="42"/>
      <x v="55"/>
      <x/>
      <x/>
      <x v="554"/>
      <x v="1708"/>
    </i>
    <i>
      <x v="381"/>
      <x v="9"/>
      <x v="42"/>
      <x v="55"/>
      <x v="1"/>
      <x v="13"/>
      <x v="555"/>
      <x v="1709"/>
    </i>
    <i>
      <x v="382"/>
      <x v="9"/>
      <x v="42"/>
      <x v="55"/>
      <x v="1"/>
      <x v="1"/>
      <x v="556"/>
      <x v="1710"/>
    </i>
    <i>
      <x v="383"/>
      <x v="9"/>
      <x v="42"/>
      <x v="55"/>
      <x v="1"/>
      <x v="3"/>
      <x v="557"/>
      <x v="1711"/>
    </i>
    <i>
      <x v="384"/>
      <x v="9"/>
      <x v="42"/>
      <x v="55"/>
      <x v="1"/>
      <x v="5"/>
      <x v="558"/>
      <x v="1712"/>
    </i>
    <i>
      <x v="385"/>
      <x v="9"/>
      <x v="42"/>
      <x v="55"/>
      <x v="1"/>
      <x v="14"/>
      <x v="559"/>
      <x v="1713"/>
    </i>
    <i>
      <x v="386"/>
      <x v="9"/>
      <x v="42"/>
      <x v="55"/>
      <x v="1"/>
      <x v="12"/>
      <x v="560"/>
      <x v="1714"/>
    </i>
    <i>
      <x v="387"/>
      <x v="9"/>
      <x v="42"/>
      <x v="55"/>
      <x v="1"/>
      <x v="10"/>
      <x v="561"/>
      <x v="1715"/>
    </i>
    <i>
      <x v="388"/>
      <x v="9"/>
      <x v="42"/>
      <x v="55"/>
      <x v="1"/>
      <x v="15"/>
      <x v="562"/>
      <x v="1716"/>
    </i>
    <i>
      <x v="389"/>
      <x v="9"/>
      <x v="42"/>
      <x v="55"/>
      <x v="1"/>
      <x v="6"/>
      <x v="563"/>
      <x v="1717"/>
    </i>
    <i>
      <x v="390"/>
      <x v="9"/>
      <x v="42"/>
      <x v="55"/>
      <x v="1"/>
      <x v="7"/>
      <x v="564"/>
      <x v="1718"/>
    </i>
    <i>
      <x v="391"/>
      <x v="9"/>
      <x v="42"/>
      <x v="55"/>
      <x v="1"/>
      <x v="4"/>
      <x v="565"/>
      <x v="1719"/>
    </i>
    <i>
      <x v="392"/>
      <x v="9"/>
      <x v="42"/>
      <x v="55"/>
      <x v="1"/>
      <x v="9"/>
      <x v="566"/>
      <x v="1720"/>
    </i>
    <i>
      <x v="393"/>
      <x v="9"/>
      <x v="42"/>
      <x v="55"/>
      <x v="1"/>
      <x v="16"/>
      <x v="567"/>
      <x v="1721"/>
    </i>
    <i>
      <x v="394"/>
      <x v="9"/>
      <x v="42"/>
      <x v="55"/>
      <x v="1"/>
      <x v="8"/>
      <x v="568"/>
      <x v="1722"/>
    </i>
    <i>
      <x v="395"/>
      <x v="9"/>
      <x v="42"/>
      <x v="55"/>
      <x v="1"/>
      <x v="2"/>
      <x v="569"/>
      <x v="1723"/>
    </i>
    <i>
      <x v="396"/>
      <x v="9"/>
      <x v="42"/>
      <x v="55"/>
      <x v="1"/>
      <x v="11"/>
      <x v="570"/>
      <x v="1724"/>
    </i>
    <i>
      <x v="397"/>
      <x v="13"/>
      <x v="43"/>
      <x v="75"/>
      <x/>
      <x/>
      <x v="571"/>
      <x v="1944"/>
    </i>
    <i>
      <x v="398"/>
      <x v="12"/>
      <x v="158"/>
      <x v="57"/>
      <x/>
      <x/>
      <x v="588"/>
      <x v="418"/>
    </i>
    <i>
      <x v="399"/>
      <x v="12"/>
      <x v="158"/>
      <x v="57"/>
      <x/>
      <x/>
      <x v="589"/>
      <x v="419"/>
    </i>
    <i>
      <x v="400"/>
      <x v="12"/>
      <x v="158"/>
      <x v="57"/>
      <x/>
      <x/>
      <x v="590"/>
      <x v="420"/>
    </i>
    <i>
      <x v="401"/>
      <x v="12"/>
      <x v="158"/>
      <x v="57"/>
      <x/>
      <x/>
      <x v="591"/>
      <x v="421"/>
    </i>
    <i>
      <x v="402"/>
      <x v="2"/>
      <x v="45"/>
      <x v="40"/>
      <x/>
      <x/>
      <x v="592"/>
      <x v="422"/>
    </i>
    <i>
      <x v="403"/>
      <x v="2"/>
      <x v="46"/>
      <x v="40"/>
      <x/>
      <x/>
      <x v="593"/>
      <x v="423"/>
    </i>
    <i>
      <x v="404"/>
      <x v="2"/>
      <x v="46"/>
      <x v="40"/>
      <x v="1"/>
      <x v="13"/>
      <x v="594"/>
      <x v="424"/>
    </i>
    <i>
      <x v="405"/>
      <x v="2"/>
      <x v="46"/>
      <x v="40"/>
      <x v="1"/>
      <x v="1"/>
      <x v="595"/>
      <x v="425"/>
    </i>
    <i>
      <x v="406"/>
      <x v="2"/>
      <x v="46"/>
      <x v="40"/>
      <x v="1"/>
      <x v="3"/>
      <x v="596"/>
      <x v="426"/>
    </i>
    <i>
      <x v="407"/>
      <x v="2"/>
      <x v="46"/>
      <x v="40"/>
      <x v="1"/>
      <x v="5"/>
      <x v="597"/>
      <x v="427"/>
    </i>
    <i>
      <x v="408"/>
      <x v="2"/>
      <x v="46"/>
      <x v="40"/>
      <x v="1"/>
      <x v="14"/>
      <x v="598"/>
      <x v="428"/>
    </i>
    <i>
      <x v="409"/>
      <x v="2"/>
      <x v="46"/>
      <x v="40"/>
      <x v="1"/>
      <x v="12"/>
      <x v="599"/>
      <x v="429"/>
    </i>
    <i>
      <x v="410"/>
      <x v="2"/>
      <x v="46"/>
      <x v="40"/>
      <x v="1"/>
      <x v="10"/>
      <x v="600"/>
      <x v="430"/>
    </i>
    <i>
      <x v="411"/>
      <x v="2"/>
      <x v="46"/>
      <x v="40"/>
      <x v="1"/>
      <x v="15"/>
      <x v="601"/>
      <x v="431"/>
    </i>
    <i>
      <x v="412"/>
      <x v="2"/>
      <x v="46"/>
      <x v="40"/>
      <x v="1"/>
      <x v="6"/>
      <x v="602"/>
      <x v="432"/>
    </i>
    <i>
      <x v="413"/>
      <x v="2"/>
      <x v="46"/>
      <x v="40"/>
      <x v="1"/>
      <x v="7"/>
      <x v="603"/>
      <x v="433"/>
    </i>
    <i>
      <x v="414"/>
      <x v="2"/>
      <x v="46"/>
      <x v="40"/>
      <x v="1"/>
      <x v="4"/>
      <x v="604"/>
      <x v="434"/>
    </i>
    <i>
      <x v="415"/>
      <x v="2"/>
      <x v="46"/>
      <x v="40"/>
      <x v="1"/>
      <x v="9"/>
      <x v="605"/>
      <x v="435"/>
    </i>
    <i>
      <x v="416"/>
      <x v="2"/>
      <x v="46"/>
      <x v="40"/>
      <x v="1"/>
      <x v="16"/>
      <x v="606"/>
      <x v="436"/>
    </i>
    <i>
      <x v="417"/>
      <x v="2"/>
      <x v="46"/>
      <x v="40"/>
      <x v="1"/>
      <x v="8"/>
      <x v="607"/>
      <x v="437"/>
    </i>
    <i>
      <x v="418"/>
      <x v="2"/>
      <x v="46"/>
      <x v="40"/>
      <x v="1"/>
      <x v="2"/>
      <x v="608"/>
      <x v="438"/>
    </i>
    <i>
      <x v="419"/>
      <x v="2"/>
      <x v="46"/>
      <x v="40"/>
      <x v="1"/>
      <x v="11"/>
      <x v="609"/>
      <x v="439"/>
    </i>
    <i>
      <x v="420"/>
      <x v="3"/>
      <x v="96"/>
      <x v="93"/>
      <x/>
      <x/>
      <x v="610"/>
      <x v="440"/>
    </i>
    <i>
      <x v="421"/>
      <x v="3"/>
      <x v="96"/>
      <x v="93"/>
      <x v="1"/>
      <x v="13"/>
      <x v="611"/>
      <x v="1742"/>
    </i>
    <i>
      <x v="422"/>
      <x v="3"/>
      <x v="96"/>
      <x v="93"/>
      <x v="1"/>
      <x v="1"/>
      <x v="612"/>
      <x v="1743"/>
    </i>
    <i>
      <x v="423"/>
      <x v="3"/>
      <x v="96"/>
      <x v="93"/>
      <x v="1"/>
      <x v="3"/>
      <x v="613"/>
      <x v="1744"/>
    </i>
    <i>
      <x v="424"/>
      <x v="3"/>
      <x v="96"/>
      <x v="93"/>
      <x v="1"/>
      <x v="5"/>
      <x v="614"/>
      <x v="1745"/>
    </i>
    <i>
      <x v="425"/>
      <x v="3"/>
      <x v="96"/>
      <x v="93"/>
      <x v="1"/>
      <x v="14"/>
      <x v="615"/>
      <x v="1746"/>
    </i>
    <i>
      <x v="426"/>
      <x v="3"/>
      <x v="96"/>
      <x v="93"/>
      <x v="1"/>
      <x v="12"/>
      <x v="616"/>
      <x v="1747"/>
    </i>
    <i>
      <x v="427"/>
      <x v="3"/>
      <x v="96"/>
      <x v="93"/>
      <x v="1"/>
      <x v="10"/>
      <x v="617"/>
      <x v="1748"/>
    </i>
    <i>
      <x v="428"/>
      <x v="3"/>
      <x v="96"/>
      <x v="93"/>
      <x v="1"/>
      <x v="15"/>
      <x v="618"/>
      <x v="1749"/>
    </i>
    <i>
      <x v="429"/>
      <x v="3"/>
      <x v="96"/>
      <x v="93"/>
      <x v="1"/>
      <x v="6"/>
      <x v="619"/>
      <x v="1750"/>
    </i>
    <i>
      <x v="430"/>
      <x v="3"/>
      <x v="96"/>
      <x v="93"/>
      <x v="1"/>
      <x v="7"/>
      <x v="620"/>
      <x v="1751"/>
    </i>
    <i>
      <x v="431"/>
      <x v="3"/>
      <x v="96"/>
      <x v="93"/>
      <x v="1"/>
      <x v="4"/>
      <x v="621"/>
      <x v="1752"/>
    </i>
    <i>
      <x v="432"/>
      <x v="3"/>
      <x v="96"/>
      <x v="93"/>
      <x v="1"/>
      <x v="9"/>
      <x v="622"/>
      <x v="1753"/>
    </i>
    <i>
      <x v="433"/>
      <x v="3"/>
      <x v="96"/>
      <x v="93"/>
      <x v="1"/>
      <x v="16"/>
      <x v="623"/>
      <x v="1754"/>
    </i>
    <i>
      <x v="434"/>
      <x v="3"/>
      <x v="96"/>
      <x v="93"/>
      <x v="1"/>
      <x v="8"/>
      <x v="624"/>
      <x v="1755"/>
    </i>
    <i>
      <x v="435"/>
      <x v="3"/>
      <x v="96"/>
      <x v="93"/>
      <x v="1"/>
      <x v="2"/>
      <x v="625"/>
      <x v="1756"/>
    </i>
    <i>
      <x v="436"/>
      <x v="3"/>
      <x v="96"/>
      <x v="93"/>
      <x v="1"/>
      <x v="11"/>
      <x v="626"/>
      <x v="1757"/>
    </i>
    <i>
      <x v="437"/>
      <x v="3"/>
      <x v="96"/>
      <x v="93"/>
      <x/>
      <x/>
      <x v="627"/>
      <x v="1741"/>
    </i>
    <i>
      <x v="438"/>
      <x v="3"/>
      <x v="96"/>
      <x v="93"/>
      <x v="1"/>
      <x v="13"/>
      <x v="628"/>
      <x v="1758"/>
    </i>
    <i>
      <x v="439"/>
      <x v="3"/>
      <x v="96"/>
      <x v="93"/>
      <x v="1"/>
      <x v="1"/>
      <x v="629"/>
      <x v="1759"/>
    </i>
    <i>
      <x v="440"/>
      <x v="3"/>
      <x v="96"/>
      <x v="93"/>
      <x v="1"/>
      <x v="3"/>
      <x v="630"/>
      <x v="1760"/>
    </i>
    <i>
      <x v="441"/>
      <x v="3"/>
      <x v="96"/>
      <x v="93"/>
      <x v="1"/>
      <x v="5"/>
      <x v="631"/>
      <x v="1761"/>
    </i>
    <i>
      <x v="442"/>
      <x v="3"/>
      <x v="96"/>
      <x v="93"/>
      <x v="1"/>
      <x v="14"/>
      <x v="632"/>
      <x v="1762"/>
    </i>
    <i>
      <x v="443"/>
      <x v="3"/>
      <x v="96"/>
      <x v="93"/>
      <x v="1"/>
      <x v="12"/>
      <x v="633"/>
      <x v="1945"/>
    </i>
    <i>
      <x v="444"/>
      <x v="3"/>
      <x v="96"/>
      <x v="93"/>
      <x v="1"/>
      <x v="10"/>
      <x v="634"/>
      <x v="1764"/>
    </i>
    <i>
      <x v="445"/>
      <x v="3"/>
      <x v="96"/>
      <x v="93"/>
      <x v="1"/>
      <x v="15"/>
      <x v="635"/>
      <x v="1765"/>
    </i>
    <i>
      <x v="446"/>
      <x v="3"/>
      <x v="133"/>
      <x v="93"/>
      <x/>
      <x/>
      <x v="233"/>
      <x v="1905"/>
    </i>
    <i>
      <x v="447"/>
      <x v="3"/>
      <x v="96"/>
      <x v="93"/>
      <x v="1"/>
      <x v="6"/>
      <x v="636"/>
      <x v="1766"/>
    </i>
    <i>
      <x v="448"/>
      <x v="3"/>
      <x v="96"/>
      <x v="93"/>
      <x v="1"/>
      <x v="7"/>
      <x v="637"/>
      <x v="1767"/>
    </i>
    <i>
      <x v="449"/>
      <x v="3"/>
      <x v="96"/>
      <x v="93"/>
      <x v="1"/>
      <x v="4"/>
      <x v="638"/>
      <x v="1768"/>
    </i>
    <i>
      <x v="450"/>
      <x v="3"/>
      <x v="96"/>
      <x v="93"/>
      <x v="1"/>
      <x v="9"/>
      <x v="639"/>
      <x v="1769"/>
    </i>
    <i>
      <x v="451"/>
      <x v="3"/>
      <x v="96"/>
      <x v="93"/>
      <x v="1"/>
      <x v="16"/>
      <x v="640"/>
      <x v="1770"/>
    </i>
    <i>
      <x v="452"/>
      <x v="3"/>
      <x v="96"/>
      <x v="93"/>
      <x v="1"/>
      <x v="8"/>
      <x v="641"/>
      <x v="1771"/>
    </i>
    <i>
      <x v="453"/>
      <x v="3"/>
      <x v="96"/>
      <x v="93"/>
      <x v="1"/>
      <x v="2"/>
      <x v="642"/>
      <x v="1772"/>
    </i>
    <i>
      <x v="454"/>
      <x v="3"/>
      <x v="96"/>
      <x v="93"/>
      <x v="1"/>
      <x v="11"/>
      <x v="643"/>
      <x v="1773"/>
    </i>
    <i>
      <x v="455"/>
      <x v="3"/>
      <x v="96"/>
      <x v="93"/>
      <x/>
      <x/>
      <x v="644"/>
      <x v="441"/>
    </i>
    <i>
      <x v="456"/>
      <x v="3"/>
      <x v="96"/>
      <x v="93"/>
      <x v="1"/>
      <x v="13"/>
      <x v="645"/>
      <x v="1774"/>
    </i>
    <i>
      <x v="457"/>
      <x v="3"/>
      <x v="96"/>
      <x v="93"/>
      <x v="1"/>
      <x v="1"/>
      <x v="646"/>
      <x v="1775"/>
    </i>
    <i>
      <x v="458"/>
      <x v="3"/>
      <x v="96"/>
      <x v="93"/>
      <x v="1"/>
      <x v="3"/>
      <x v="647"/>
      <x v="1776"/>
    </i>
    <i>
      <x v="459"/>
      <x v="3"/>
      <x v="96"/>
      <x v="93"/>
      <x v="1"/>
      <x v="5"/>
      <x v="648"/>
      <x v="1777"/>
    </i>
    <i>
      <x v="460"/>
      <x v="3"/>
      <x v="96"/>
      <x v="93"/>
      <x v="1"/>
      <x v="14"/>
      <x v="649"/>
      <x v="1778"/>
    </i>
    <i>
      <x v="461"/>
      <x v="3"/>
      <x v="96"/>
      <x v="93"/>
      <x v="1"/>
      <x v="12"/>
      <x v="650"/>
      <x v="1779"/>
    </i>
    <i>
      <x v="462"/>
      <x v="3"/>
      <x v="96"/>
      <x v="93"/>
      <x v="1"/>
      <x v="10"/>
      <x v="651"/>
      <x v="1780"/>
    </i>
    <i>
      <x v="463"/>
      <x v="3"/>
      <x v="96"/>
      <x v="93"/>
      <x v="1"/>
      <x v="15"/>
      <x v="652"/>
      <x v="1781"/>
    </i>
    <i>
      <x v="464"/>
      <x v="3"/>
      <x v="96"/>
      <x v="93"/>
      <x v="1"/>
      <x v="6"/>
      <x v="653"/>
      <x v="1782"/>
    </i>
    <i>
      <x v="465"/>
      <x v="3"/>
      <x v="96"/>
      <x v="93"/>
      <x v="1"/>
      <x v="7"/>
      <x v="654"/>
      <x v="1783"/>
    </i>
    <i>
      <x v="466"/>
      <x v="3"/>
      <x v="96"/>
      <x v="93"/>
      <x v="1"/>
      <x v="4"/>
      <x v="655"/>
      <x v="1784"/>
    </i>
    <i>
      <x v="467"/>
      <x v="3"/>
      <x v="96"/>
      <x v="93"/>
      <x v="1"/>
      <x v="9"/>
      <x v="656"/>
      <x v="1785"/>
    </i>
    <i>
      <x v="468"/>
      <x v="3"/>
      <x v="96"/>
      <x v="93"/>
      <x v="1"/>
      <x v="16"/>
      <x v="657"/>
      <x v="1786"/>
    </i>
    <i>
      <x v="469"/>
      <x v="3"/>
      <x v="96"/>
      <x v="93"/>
      <x v="1"/>
      <x v="8"/>
      <x v="658"/>
      <x v="1787"/>
    </i>
    <i>
      <x v="470"/>
      <x v="3"/>
      <x v="96"/>
      <x v="93"/>
      <x v="1"/>
      <x v="2"/>
      <x v="659"/>
      <x v="1788"/>
    </i>
    <i>
      <x v="471"/>
      <x v="3"/>
      <x v="96"/>
      <x v="93"/>
      <x v="1"/>
      <x v="11"/>
      <x v="660"/>
      <x v="1789"/>
    </i>
    <i>
      <x v="472"/>
      <x v="3"/>
      <x v="134"/>
      <x v="93"/>
      <x/>
      <x/>
      <x v="661"/>
      <x v="442"/>
    </i>
    <i>
      <x v="473"/>
      <x v="3"/>
      <x v="134"/>
      <x v="93"/>
      <x v="1"/>
      <x v="13"/>
      <x v="662"/>
      <x v="1790"/>
    </i>
    <i>
      <x v="474"/>
      <x v="3"/>
      <x v="134"/>
      <x v="93"/>
      <x v="1"/>
      <x v="1"/>
      <x v="663"/>
      <x v="1791"/>
    </i>
    <i>
      <x v="475"/>
      <x v="3"/>
      <x v="134"/>
      <x v="93"/>
      <x v="1"/>
      <x v="3"/>
      <x v="664"/>
      <x v="1792"/>
    </i>
    <i>
      <x v="476"/>
      <x v="3"/>
      <x v="134"/>
      <x v="93"/>
      <x v="1"/>
      <x v="5"/>
      <x v="665"/>
      <x v="1793"/>
    </i>
    <i>
      <x v="477"/>
      <x v="3"/>
      <x v="134"/>
      <x v="93"/>
      <x v="1"/>
      <x v="14"/>
      <x v="666"/>
      <x v="1794"/>
    </i>
    <i>
      <x v="478"/>
      <x v="3"/>
      <x v="134"/>
      <x v="93"/>
      <x v="1"/>
      <x v="12"/>
      <x v="667"/>
      <x v="1795"/>
    </i>
    <i>
      <x v="479"/>
      <x v="3"/>
      <x v="134"/>
      <x v="93"/>
      <x v="1"/>
      <x v="10"/>
      <x v="668"/>
      <x v="1796"/>
    </i>
    <i>
      <x v="480"/>
      <x v="3"/>
      <x v="134"/>
      <x v="93"/>
      <x v="1"/>
      <x v="15"/>
      <x v="669"/>
      <x v="1797"/>
    </i>
    <i>
      <x v="481"/>
      <x v="3"/>
      <x v="134"/>
      <x v="93"/>
      <x v="1"/>
      <x v="6"/>
      <x v="670"/>
      <x v="1798"/>
    </i>
    <i>
      <x v="482"/>
      <x v="3"/>
      <x v="134"/>
      <x v="93"/>
      <x v="1"/>
      <x v="7"/>
      <x v="671"/>
      <x v="1799"/>
    </i>
    <i>
      <x v="483"/>
      <x v="3"/>
      <x v="134"/>
      <x v="93"/>
      <x v="1"/>
      <x v="4"/>
      <x v="672"/>
      <x v="1800"/>
    </i>
    <i>
      <x v="484"/>
      <x v="3"/>
      <x v="134"/>
      <x v="93"/>
      <x v="1"/>
      <x v="9"/>
      <x v="673"/>
      <x v="1801"/>
    </i>
    <i>
      <x v="485"/>
      <x v="3"/>
      <x v="134"/>
      <x v="93"/>
      <x v="1"/>
      <x v="16"/>
      <x v="674"/>
      <x v="1802"/>
    </i>
    <i>
      <x v="486"/>
      <x v="3"/>
      <x v="134"/>
      <x v="93"/>
      <x v="1"/>
      <x v="8"/>
      <x v="675"/>
      <x v="1803"/>
    </i>
    <i>
      <x v="487"/>
      <x v="3"/>
      <x v="134"/>
      <x v="93"/>
      <x v="1"/>
      <x v="2"/>
      <x v="676"/>
      <x v="1804"/>
    </i>
    <i>
      <x v="488"/>
      <x v="3"/>
      <x v="134"/>
      <x v="93"/>
      <x v="1"/>
      <x v="11"/>
      <x v="677"/>
      <x v="1805"/>
    </i>
    <i>
      <x v="489"/>
      <x v="6"/>
      <x v="97"/>
      <x v="47"/>
      <x/>
      <x/>
      <x v="678"/>
      <x v="443"/>
    </i>
    <i>
      <x v="490"/>
      <x v="6"/>
      <x v="97"/>
      <x v="47"/>
      <x v="1"/>
      <x v="13"/>
      <x v="679"/>
      <x v="1946"/>
    </i>
    <i>
      <x v="491"/>
      <x v="6"/>
      <x v="97"/>
      <x v="47"/>
      <x v="1"/>
      <x v="1"/>
      <x v="680"/>
      <x v="1947"/>
    </i>
    <i>
      <x v="492"/>
      <x v="6"/>
      <x v="97"/>
      <x v="47"/>
      <x v="1"/>
      <x v="3"/>
      <x v="681"/>
      <x v="1948"/>
    </i>
    <i>
      <x v="493"/>
      <x v="6"/>
      <x v="97"/>
      <x v="47"/>
      <x v="1"/>
      <x v="5"/>
      <x v="682"/>
      <x v="1949"/>
    </i>
    <i>
      <x v="494"/>
      <x v="6"/>
      <x v="97"/>
      <x v="47"/>
      <x v="1"/>
      <x v="14"/>
      <x v="683"/>
      <x v="1950"/>
    </i>
    <i>
      <x v="495"/>
      <x v="6"/>
      <x v="97"/>
      <x v="47"/>
      <x v="1"/>
      <x v="12"/>
      <x v="684"/>
      <x v="1951"/>
    </i>
    <i>
      <x v="496"/>
      <x v="6"/>
      <x v="97"/>
      <x v="47"/>
      <x v="1"/>
      <x v="10"/>
      <x v="685"/>
      <x v="1952"/>
    </i>
    <i>
      <x v="497"/>
      <x v="6"/>
      <x v="97"/>
      <x v="47"/>
      <x v="1"/>
      <x v="15"/>
      <x v="686"/>
      <x v="1953"/>
    </i>
    <i>
      <x v="498"/>
      <x v="6"/>
      <x v="97"/>
      <x v="47"/>
      <x v="1"/>
      <x v="6"/>
      <x v="687"/>
      <x v="1954"/>
    </i>
    <i>
      <x v="499"/>
      <x v="6"/>
      <x v="97"/>
      <x v="47"/>
      <x v="1"/>
      <x v="7"/>
      <x v="688"/>
      <x v="1955"/>
    </i>
    <i>
      <x v="500"/>
      <x v="6"/>
      <x v="97"/>
      <x v="47"/>
      <x v="1"/>
      <x v="4"/>
      <x v="689"/>
      <x v="1956"/>
    </i>
    <i>
      <x v="501"/>
      <x v="6"/>
      <x v="97"/>
      <x v="47"/>
      <x v="1"/>
      <x v="9"/>
      <x v="690"/>
      <x v="1957"/>
    </i>
    <i>
      <x v="502"/>
      <x v="6"/>
      <x v="97"/>
      <x v="47"/>
      <x v="1"/>
      <x v="16"/>
      <x v="691"/>
      <x v="1958"/>
    </i>
    <i>
      <x v="503"/>
      <x v="6"/>
      <x v="97"/>
      <x v="47"/>
      <x v="1"/>
      <x v="8"/>
      <x v="692"/>
      <x v="1959"/>
    </i>
    <i>
      <x v="504"/>
      <x v="6"/>
      <x v="97"/>
      <x v="47"/>
      <x v="1"/>
      <x v="2"/>
      <x v="693"/>
      <x v="1960"/>
    </i>
    <i>
      <x v="505"/>
      <x v="6"/>
      <x v="97"/>
      <x v="47"/>
      <x v="1"/>
      <x v="11"/>
      <x v="694"/>
      <x v="1961"/>
    </i>
    <i>
      <x v="506"/>
      <x v="6"/>
      <x v="97"/>
      <x v="47"/>
      <x/>
      <x/>
      <x v="695"/>
      <x v="444"/>
    </i>
    <i>
      <x v="507"/>
      <x v="6"/>
      <x v="97"/>
      <x v="47"/>
      <x v="1"/>
      <x v="13"/>
      <x v="696"/>
      <x v="1962"/>
    </i>
    <i>
      <x v="508"/>
      <x v="6"/>
      <x v="97"/>
      <x v="47"/>
      <x v="1"/>
      <x v="1"/>
      <x v="697"/>
      <x v="1963"/>
    </i>
    <i>
      <x v="509"/>
      <x v="6"/>
      <x v="97"/>
      <x v="47"/>
      <x v="1"/>
      <x v="3"/>
      <x v="698"/>
      <x v="1964"/>
    </i>
    <i>
      <x v="510"/>
      <x v="6"/>
      <x v="97"/>
      <x v="47"/>
      <x v="1"/>
      <x v="5"/>
      <x v="699"/>
      <x v="1965"/>
    </i>
    <i>
      <x v="511"/>
      <x v="6"/>
      <x v="97"/>
      <x v="47"/>
      <x v="1"/>
      <x v="14"/>
      <x v="700"/>
      <x v="1966"/>
    </i>
    <i>
      <x v="512"/>
      <x v="6"/>
      <x v="97"/>
      <x v="47"/>
      <x v="1"/>
      <x v="12"/>
      <x v="701"/>
      <x v="1967"/>
    </i>
    <i>
      <x v="513"/>
      <x v="6"/>
      <x v="97"/>
      <x v="47"/>
      <x v="1"/>
      <x v="10"/>
      <x v="702"/>
      <x v="1968"/>
    </i>
    <i>
      <x v="514"/>
      <x v="6"/>
      <x v="97"/>
      <x v="47"/>
      <x v="1"/>
      <x v="15"/>
      <x v="703"/>
      <x v="1969"/>
    </i>
    <i>
      <x v="515"/>
      <x v="6"/>
      <x v="97"/>
      <x v="47"/>
      <x v="1"/>
      <x v="6"/>
      <x v="704"/>
      <x v="1970"/>
    </i>
    <i>
      <x v="516"/>
      <x v="6"/>
      <x v="97"/>
      <x v="47"/>
      <x v="1"/>
      <x v="7"/>
      <x v="705"/>
      <x v="1971"/>
    </i>
    <i>
      <x v="517"/>
      <x v="6"/>
      <x v="97"/>
      <x v="47"/>
      <x v="1"/>
      <x v="4"/>
      <x v="706"/>
      <x v="1972"/>
    </i>
    <i>
      <x v="518"/>
      <x v="6"/>
      <x v="97"/>
      <x v="47"/>
      <x v="1"/>
      <x v="9"/>
      <x v="707"/>
      <x v="1973"/>
    </i>
    <i>
      <x v="519"/>
      <x v="6"/>
      <x v="97"/>
      <x v="47"/>
      <x v="1"/>
      <x v="16"/>
      <x v="708"/>
      <x v="1974"/>
    </i>
    <i>
      <x v="520"/>
      <x v="6"/>
      <x v="97"/>
      <x v="47"/>
      <x v="1"/>
      <x v="8"/>
      <x v="709"/>
      <x v="1975"/>
    </i>
    <i>
      <x v="521"/>
      <x v="6"/>
      <x v="97"/>
      <x v="47"/>
      <x v="1"/>
      <x v="2"/>
      <x v="710"/>
      <x v="1976"/>
    </i>
    <i>
      <x v="522"/>
      <x v="6"/>
      <x v="97"/>
      <x v="47"/>
      <x v="1"/>
      <x v="11"/>
      <x v="711"/>
      <x v="1977"/>
    </i>
    <i>
      <x v="523"/>
      <x v="6"/>
      <x v="97"/>
      <x v="47"/>
      <x/>
      <x/>
      <x v="712"/>
      <x v="445"/>
    </i>
    <i>
      <x v="524"/>
      <x v="6"/>
      <x v="97"/>
      <x v="47"/>
      <x/>
      <x/>
      <x v="713"/>
      <x v="1978"/>
    </i>
    <i>
      <x v="525"/>
      <x v="13"/>
      <x v="98"/>
      <x v="56"/>
      <x/>
      <x/>
      <x v="714"/>
      <x v="447"/>
    </i>
    <i>
      <x v="526"/>
      <x v="7"/>
      <x v="55"/>
      <x v="60"/>
      <x/>
      <x/>
      <x v="715"/>
      <x v="1979"/>
    </i>
    <i>
      <x v="527"/>
      <x v="8"/>
      <x v="56"/>
      <x v="3"/>
      <x/>
      <x/>
      <x v="716"/>
      <x v="1806"/>
    </i>
    <i>
      <x v="528"/>
      <x v="8"/>
      <x v="56"/>
      <x v="3"/>
      <x v="1"/>
      <x v="13"/>
      <x v="717"/>
      <x v="1807"/>
    </i>
    <i>
      <x v="529"/>
      <x v="8"/>
      <x v="56"/>
      <x v="3"/>
      <x v="1"/>
      <x v="1"/>
      <x v="718"/>
      <x v="1808"/>
    </i>
    <i>
      <x v="530"/>
      <x v="8"/>
      <x v="56"/>
      <x v="3"/>
      <x v="1"/>
      <x v="3"/>
      <x v="719"/>
      <x v="1809"/>
    </i>
    <i>
      <x v="531"/>
      <x v="8"/>
      <x v="56"/>
      <x v="3"/>
      <x v="1"/>
      <x v="5"/>
      <x v="720"/>
      <x v="1810"/>
    </i>
    <i>
      <x v="532"/>
      <x v="8"/>
      <x v="56"/>
      <x v="3"/>
      <x v="1"/>
      <x v="14"/>
      <x v="721"/>
      <x v="1811"/>
    </i>
    <i>
      <x v="533"/>
      <x v="8"/>
      <x v="56"/>
      <x v="3"/>
      <x v="1"/>
      <x v="12"/>
      <x v="722"/>
      <x v="1812"/>
    </i>
    <i>
      <x v="534"/>
      <x v="8"/>
      <x v="56"/>
      <x v="3"/>
      <x v="1"/>
      <x v="10"/>
      <x v="723"/>
      <x v="1813"/>
    </i>
    <i>
      <x v="535"/>
      <x v="8"/>
      <x v="56"/>
      <x v="3"/>
      <x v="1"/>
      <x v="15"/>
      <x v="724"/>
      <x v="1814"/>
    </i>
    <i>
      <x v="536"/>
      <x v="8"/>
      <x v="56"/>
      <x v="3"/>
      <x v="1"/>
      <x v="6"/>
      <x v="725"/>
      <x v="1815"/>
    </i>
    <i>
      <x v="537"/>
      <x v="8"/>
      <x v="56"/>
      <x v="3"/>
      <x v="1"/>
      <x v="7"/>
      <x v="726"/>
      <x v="1816"/>
    </i>
    <i>
      <x v="538"/>
      <x v="8"/>
      <x v="56"/>
      <x v="3"/>
      <x v="1"/>
      <x v="4"/>
      <x v="727"/>
      <x v="1817"/>
    </i>
    <i>
      <x v="539"/>
      <x v="8"/>
      <x v="56"/>
      <x v="3"/>
      <x v="1"/>
      <x v="9"/>
      <x v="728"/>
      <x v="1818"/>
    </i>
    <i>
      <x v="540"/>
      <x v="8"/>
      <x v="56"/>
      <x v="3"/>
      <x v="1"/>
      <x v="16"/>
      <x v="729"/>
      <x v="1819"/>
    </i>
    <i>
      <x v="541"/>
      <x v="8"/>
      <x v="56"/>
      <x v="3"/>
      <x v="1"/>
      <x v="8"/>
      <x v="730"/>
      <x v="1820"/>
    </i>
    <i>
      <x v="542"/>
      <x v="8"/>
      <x v="56"/>
      <x v="3"/>
      <x v="1"/>
      <x v="2"/>
      <x v="731"/>
      <x v="1821"/>
    </i>
    <i>
      <x v="543"/>
      <x v="8"/>
      <x v="56"/>
      <x v="3"/>
      <x v="1"/>
      <x v="11"/>
      <x v="732"/>
      <x v="1822"/>
    </i>
    <i>
      <x v="544"/>
      <x v="3"/>
      <x v="96"/>
      <x v="93"/>
      <x/>
      <x/>
      <x v="733"/>
      <x v="450"/>
    </i>
    <i>
      <x v="545"/>
      <x v="3"/>
      <x v="96"/>
      <x v="93"/>
      <x v="1"/>
      <x v="13"/>
      <x v="734"/>
      <x v="1823"/>
    </i>
    <i>
      <x v="546"/>
      <x v="3"/>
      <x v="96"/>
      <x v="93"/>
      <x v="1"/>
      <x v="1"/>
      <x v="735"/>
      <x v="1824"/>
    </i>
    <i>
      <x v="547"/>
      <x v="3"/>
      <x v="96"/>
      <x v="93"/>
      <x v="1"/>
      <x v="3"/>
      <x v="736"/>
      <x v="1825"/>
    </i>
    <i>
      <x v="548"/>
      <x v="3"/>
      <x v="96"/>
      <x v="93"/>
      <x v="1"/>
      <x v="5"/>
      <x v="737"/>
      <x v="1826"/>
    </i>
    <i>
      <x v="549"/>
      <x v="3"/>
      <x v="96"/>
      <x v="93"/>
      <x v="1"/>
      <x v="14"/>
      <x v="738"/>
      <x v="1827"/>
    </i>
    <i>
      <x v="550"/>
      <x v="3"/>
      <x v="96"/>
      <x v="93"/>
      <x v="1"/>
      <x v="12"/>
      <x v="739"/>
      <x v="1828"/>
    </i>
    <i>
      <x v="551"/>
      <x v="3"/>
      <x v="96"/>
      <x v="93"/>
      <x v="1"/>
      <x v="10"/>
      <x v="740"/>
      <x v="1829"/>
    </i>
    <i>
      <x v="552"/>
      <x v="3"/>
      <x v="96"/>
      <x v="93"/>
      <x v="1"/>
      <x v="15"/>
      <x v="741"/>
      <x v="1830"/>
    </i>
    <i>
      <x v="553"/>
      <x v="3"/>
      <x v="96"/>
      <x v="93"/>
      <x v="1"/>
      <x v="6"/>
      <x v="742"/>
      <x v="1831"/>
    </i>
    <i>
      <x v="554"/>
      <x v="3"/>
      <x v="96"/>
      <x v="93"/>
      <x v="1"/>
      <x v="7"/>
      <x v="743"/>
      <x v="1832"/>
    </i>
    <i>
      <x v="555"/>
      <x v="3"/>
      <x v="96"/>
      <x v="93"/>
      <x v="1"/>
      <x v="4"/>
      <x v="744"/>
      <x v="1833"/>
    </i>
    <i>
      <x v="556"/>
      <x v="3"/>
      <x v="96"/>
      <x v="93"/>
      <x v="1"/>
      <x v="9"/>
      <x v="745"/>
      <x v="1834"/>
    </i>
    <i>
      <x v="557"/>
      <x v="3"/>
      <x v="96"/>
      <x v="93"/>
      <x v="1"/>
      <x v="16"/>
      <x v="746"/>
      <x v="1835"/>
    </i>
    <i>
      <x v="558"/>
      <x v="3"/>
      <x v="96"/>
      <x v="93"/>
      <x v="1"/>
      <x v="8"/>
      <x v="747"/>
      <x v="1836"/>
    </i>
    <i>
      <x v="559"/>
      <x v="3"/>
      <x v="96"/>
      <x v="93"/>
      <x v="1"/>
      <x v="2"/>
      <x v="748"/>
      <x v="1837"/>
    </i>
    <i>
      <x v="560"/>
      <x v="3"/>
      <x v="96"/>
      <x v="93"/>
      <x v="1"/>
      <x v="11"/>
      <x v="749"/>
      <x v="1838"/>
    </i>
    <i>
      <x v="561"/>
      <x v="3"/>
      <x v="96"/>
      <x v="93"/>
      <x/>
      <x/>
      <x v="750"/>
      <x v="451"/>
    </i>
    <i>
      <x v="562"/>
      <x v="3"/>
      <x v="96"/>
      <x v="93"/>
      <x v="1"/>
      <x v="13"/>
      <x v="751"/>
      <x v="1839"/>
    </i>
    <i>
      <x v="563"/>
      <x v="3"/>
      <x v="96"/>
      <x v="93"/>
      <x v="1"/>
      <x v="1"/>
      <x v="752"/>
      <x v="1840"/>
    </i>
    <i>
      <x v="564"/>
      <x v="3"/>
      <x v="96"/>
      <x v="93"/>
      <x v="1"/>
      <x v="3"/>
      <x v="753"/>
      <x v="1841"/>
    </i>
    <i>
      <x v="565"/>
      <x v="3"/>
      <x v="96"/>
      <x v="93"/>
      <x v="1"/>
      <x v="5"/>
      <x v="754"/>
      <x v="1842"/>
    </i>
    <i>
      <x v="566"/>
      <x v="3"/>
      <x v="96"/>
      <x v="93"/>
      <x v="1"/>
      <x v="14"/>
      <x v="755"/>
      <x v="1843"/>
    </i>
    <i>
      <x v="567"/>
      <x v="3"/>
      <x v="96"/>
      <x v="93"/>
      <x v="1"/>
      <x v="12"/>
      <x v="756"/>
      <x v="1844"/>
    </i>
    <i>
      <x v="568"/>
      <x v="3"/>
      <x v="96"/>
      <x v="93"/>
      <x v="1"/>
      <x v="10"/>
      <x v="757"/>
      <x v="1845"/>
    </i>
    <i>
      <x v="569"/>
      <x v="3"/>
      <x v="96"/>
      <x v="93"/>
      <x v="1"/>
      <x v="15"/>
      <x v="758"/>
      <x v="1846"/>
    </i>
    <i>
      <x v="570"/>
      <x v="3"/>
      <x v="96"/>
      <x v="93"/>
      <x v="1"/>
      <x v="6"/>
      <x v="759"/>
      <x v="1847"/>
    </i>
    <i>
      <x v="571"/>
      <x v="3"/>
      <x v="96"/>
      <x v="93"/>
      <x v="1"/>
      <x v="7"/>
      <x v="760"/>
      <x v="1848"/>
    </i>
    <i>
      <x v="572"/>
      <x v="3"/>
      <x v="96"/>
      <x v="93"/>
      <x v="1"/>
      <x v="4"/>
      <x v="761"/>
      <x v="1849"/>
    </i>
    <i>
      <x v="573"/>
      <x v="3"/>
      <x v="96"/>
      <x v="93"/>
      <x v="1"/>
      <x v="9"/>
      <x v="762"/>
      <x v="1850"/>
    </i>
    <i>
      <x v="574"/>
      <x v="3"/>
      <x v="96"/>
      <x v="93"/>
      <x v="1"/>
      <x v="16"/>
      <x v="763"/>
      <x v="1851"/>
    </i>
    <i>
      <x v="575"/>
      <x v="3"/>
      <x v="96"/>
      <x v="93"/>
      <x v="1"/>
      <x v="8"/>
      <x v="764"/>
      <x v="1852"/>
    </i>
    <i>
      <x v="576"/>
      <x v="3"/>
      <x v="96"/>
      <x v="93"/>
      <x v="1"/>
      <x v="2"/>
      <x v="765"/>
      <x v="1853"/>
    </i>
    <i>
      <x v="577"/>
      <x v="3"/>
      <x v="96"/>
      <x v="93"/>
      <x v="1"/>
      <x v="11"/>
      <x v="766"/>
      <x v="1854"/>
    </i>
    <i>
      <x v="578"/>
      <x v="3"/>
      <x v="99"/>
      <x v="93"/>
      <x/>
      <x/>
      <x v="767"/>
      <x v="1855"/>
    </i>
    <i>
      <x v="579"/>
      <x v="3"/>
      <x v="99"/>
      <x v="93"/>
      <x v="1"/>
      <x v="13"/>
      <x v="768"/>
      <x v="452"/>
    </i>
    <i>
      <x v="580"/>
      <x v="3"/>
      <x v="99"/>
      <x v="93"/>
      <x v="1"/>
      <x v="1"/>
      <x v="769"/>
      <x v="453"/>
    </i>
    <i>
      <x v="581"/>
      <x v="3"/>
      <x v="99"/>
      <x v="93"/>
      <x v="1"/>
      <x v="3"/>
      <x v="770"/>
      <x v="454"/>
    </i>
    <i>
      <x v="582"/>
      <x v="3"/>
      <x v="99"/>
      <x v="93"/>
      <x v="1"/>
      <x v="5"/>
      <x v="771"/>
      <x v="455"/>
    </i>
    <i>
      <x v="583"/>
      <x v="3"/>
      <x v="99"/>
      <x v="93"/>
      <x v="1"/>
      <x v="14"/>
      <x v="772"/>
      <x v="456"/>
    </i>
    <i>
      <x v="584"/>
      <x v="3"/>
      <x v="99"/>
      <x v="93"/>
      <x v="1"/>
      <x v="12"/>
      <x v="773"/>
      <x v="457"/>
    </i>
    <i>
      <x v="585"/>
      <x v="3"/>
      <x v="99"/>
      <x v="93"/>
      <x v="1"/>
      <x v="10"/>
      <x v="774"/>
      <x v="458"/>
    </i>
    <i>
      <x v="586"/>
      <x v="3"/>
      <x v="99"/>
      <x v="93"/>
      <x v="1"/>
      <x v="15"/>
      <x v="775"/>
      <x v="459"/>
    </i>
    <i>
      <x v="587"/>
      <x v="3"/>
      <x v="99"/>
      <x v="93"/>
      <x v="1"/>
      <x v="6"/>
      <x v="776"/>
      <x v="460"/>
    </i>
    <i>
      <x v="588"/>
      <x v="3"/>
      <x v="99"/>
      <x v="93"/>
      <x v="1"/>
      <x v="7"/>
      <x v="777"/>
      <x v="461"/>
    </i>
    <i>
      <x v="589"/>
      <x v="3"/>
      <x v="99"/>
      <x v="93"/>
      <x v="1"/>
      <x v="4"/>
      <x v="778"/>
      <x v="462"/>
    </i>
    <i>
      <x v="590"/>
      <x v="3"/>
      <x v="99"/>
      <x v="93"/>
      <x v="1"/>
      <x v="9"/>
      <x v="779"/>
      <x v="463"/>
    </i>
    <i>
      <x v="591"/>
      <x v="3"/>
      <x v="99"/>
      <x v="93"/>
      <x v="1"/>
      <x v="16"/>
      <x v="780"/>
      <x v="464"/>
    </i>
    <i>
      <x v="592"/>
      <x v="3"/>
      <x v="99"/>
      <x v="93"/>
      <x v="1"/>
      <x v="8"/>
      <x v="781"/>
      <x v="465"/>
    </i>
    <i>
      <x v="593"/>
      <x v="3"/>
      <x v="99"/>
      <x v="93"/>
      <x v="1"/>
      <x v="2"/>
      <x v="782"/>
      <x v="466"/>
    </i>
    <i>
      <x v="594"/>
      <x v="3"/>
      <x v="99"/>
      <x v="93"/>
      <x v="1"/>
      <x v="11"/>
      <x v="783"/>
      <x v="467"/>
    </i>
    <i>
      <x v="595"/>
      <x v="3"/>
      <x v="99"/>
      <x v="93"/>
      <x/>
      <x/>
      <x v="784"/>
      <x v="468"/>
    </i>
    <i>
      <x v="596"/>
      <x v="3"/>
      <x v="99"/>
      <x v="93"/>
      <x v="1"/>
      <x v="13"/>
      <x v="785"/>
      <x v="1856"/>
    </i>
    <i>
      <x v="597"/>
      <x v="3"/>
      <x v="99"/>
      <x v="93"/>
      <x v="1"/>
      <x v="1"/>
      <x v="786"/>
      <x v="1857"/>
    </i>
    <i>
      <x v="598"/>
      <x v="3"/>
      <x v="99"/>
      <x v="93"/>
      <x v="1"/>
      <x v="3"/>
      <x v="787"/>
      <x v="1858"/>
    </i>
    <i>
      <x v="599"/>
      <x v="3"/>
      <x v="99"/>
      <x v="93"/>
      <x v="1"/>
      <x v="5"/>
      <x v="788"/>
      <x v="1859"/>
    </i>
    <i>
      <x v="600"/>
      <x v="3"/>
      <x v="99"/>
      <x v="93"/>
      <x v="1"/>
      <x v="14"/>
      <x v="789"/>
      <x v="1860"/>
    </i>
    <i>
      <x v="601"/>
      <x v="3"/>
      <x v="99"/>
      <x v="93"/>
      <x v="1"/>
      <x v="12"/>
      <x v="790"/>
      <x v="1861"/>
    </i>
    <i>
      <x v="602"/>
      <x v="3"/>
      <x v="99"/>
      <x v="93"/>
      <x v="1"/>
      <x v="10"/>
      <x v="791"/>
      <x v="1862"/>
    </i>
    <i>
      <x v="603"/>
      <x v="3"/>
      <x v="99"/>
      <x v="93"/>
      <x v="1"/>
      <x v="15"/>
      <x v="792"/>
      <x v="1863"/>
    </i>
    <i>
      <x v="604"/>
      <x v="3"/>
      <x v="99"/>
      <x v="93"/>
      <x v="1"/>
      <x v="6"/>
      <x v="793"/>
      <x v="1864"/>
    </i>
    <i>
      <x v="605"/>
      <x v="3"/>
      <x v="99"/>
      <x v="93"/>
      <x v="1"/>
      <x v="7"/>
      <x v="794"/>
      <x v="1865"/>
    </i>
    <i>
      <x v="606"/>
      <x v="3"/>
      <x v="99"/>
      <x v="93"/>
      <x v="1"/>
      <x v="4"/>
      <x v="795"/>
      <x v="1866"/>
    </i>
    <i>
      <x v="607"/>
      <x v="3"/>
      <x v="99"/>
      <x v="93"/>
      <x v="1"/>
      <x v="9"/>
      <x v="796"/>
      <x v="1867"/>
    </i>
    <i>
      <x v="608"/>
      <x v="3"/>
      <x v="99"/>
      <x v="93"/>
      <x v="1"/>
      <x v="16"/>
      <x v="797"/>
      <x v="1868"/>
    </i>
    <i>
      <x v="609"/>
      <x v="3"/>
      <x v="99"/>
      <x v="93"/>
      <x v="1"/>
      <x v="8"/>
      <x v="798"/>
      <x v="1869"/>
    </i>
    <i>
      <x v="610"/>
      <x v="3"/>
      <x v="99"/>
      <x v="93"/>
      <x v="1"/>
      <x v="2"/>
      <x v="799"/>
      <x v="1870"/>
    </i>
    <i>
      <x v="611"/>
      <x v="3"/>
      <x v="99"/>
      <x v="93"/>
      <x v="1"/>
      <x v="11"/>
      <x v="800"/>
      <x v="1871"/>
    </i>
    <i>
      <x v="612"/>
      <x v="3"/>
      <x v="99"/>
      <x v="93"/>
      <x/>
      <x/>
      <x v="801"/>
      <x v="469"/>
    </i>
    <i>
      <x v="613"/>
      <x v="3"/>
      <x v="99"/>
      <x v="93"/>
      <x v="1"/>
      <x v="13"/>
      <x v="802"/>
      <x v="1872"/>
    </i>
    <i>
      <x v="614"/>
      <x v="3"/>
      <x v="99"/>
      <x v="93"/>
      <x v="1"/>
      <x v="1"/>
      <x v="803"/>
      <x v="1873"/>
    </i>
    <i>
      <x v="615"/>
      <x v="3"/>
      <x v="99"/>
      <x v="93"/>
      <x v="1"/>
      <x v="3"/>
      <x v="804"/>
      <x v="1874"/>
    </i>
    <i>
      <x v="616"/>
      <x v="3"/>
      <x v="99"/>
      <x v="93"/>
      <x v="1"/>
      <x v="5"/>
      <x v="805"/>
      <x v="1875"/>
    </i>
    <i>
      <x v="617"/>
      <x v="3"/>
      <x v="99"/>
      <x v="93"/>
      <x v="1"/>
      <x v="14"/>
      <x v="806"/>
      <x v="1876"/>
    </i>
    <i>
      <x v="618"/>
      <x v="3"/>
      <x v="99"/>
      <x v="93"/>
      <x v="1"/>
      <x v="12"/>
      <x v="807"/>
      <x v="1877"/>
    </i>
    <i>
      <x v="619"/>
      <x v="3"/>
      <x v="99"/>
      <x v="93"/>
      <x v="1"/>
      <x v="10"/>
      <x v="808"/>
      <x v="1878"/>
    </i>
    <i>
      <x v="620"/>
      <x v="3"/>
      <x v="99"/>
      <x v="93"/>
      <x v="1"/>
      <x v="15"/>
      <x v="809"/>
      <x v="1879"/>
    </i>
    <i>
      <x v="621"/>
      <x v="3"/>
      <x v="99"/>
      <x v="93"/>
      <x v="1"/>
      <x v="6"/>
      <x v="810"/>
      <x v="1880"/>
    </i>
    <i>
      <x v="622"/>
      <x v="3"/>
      <x v="99"/>
      <x v="93"/>
      <x v="1"/>
      <x v="7"/>
      <x v="811"/>
      <x v="1881"/>
    </i>
    <i>
      <x v="623"/>
      <x v="3"/>
      <x v="99"/>
      <x v="93"/>
      <x v="1"/>
      <x v="4"/>
      <x v="812"/>
      <x v="1882"/>
    </i>
    <i>
      <x v="624"/>
      <x v="3"/>
      <x v="99"/>
      <x v="93"/>
      <x v="1"/>
      <x v="9"/>
      <x v="813"/>
      <x v="1883"/>
    </i>
    <i>
      <x v="625"/>
      <x v="3"/>
      <x v="99"/>
      <x v="93"/>
      <x v="1"/>
      <x v="16"/>
      <x v="814"/>
      <x v="1884"/>
    </i>
    <i>
      <x v="626"/>
      <x v="3"/>
      <x v="99"/>
      <x v="93"/>
      <x v="1"/>
      <x v="8"/>
      <x v="815"/>
      <x v="1885"/>
    </i>
    <i>
      <x v="627"/>
      <x v="3"/>
      <x v="99"/>
      <x v="93"/>
      <x v="1"/>
      <x v="2"/>
      <x v="816"/>
      <x v="1886"/>
    </i>
    <i>
      <x v="628"/>
      <x v="3"/>
      <x v="99"/>
      <x v="93"/>
      <x v="1"/>
      <x v="11"/>
      <x v="817"/>
      <x v="1887"/>
    </i>
    <i>
      <x v="629"/>
      <x v="11"/>
      <x v="156"/>
      <x v="65"/>
      <x/>
      <x/>
      <x v="818"/>
      <x v="470"/>
    </i>
    <i>
      <x v="630"/>
      <x v="2"/>
      <x v="63"/>
      <x v="40"/>
      <x/>
      <x/>
      <x v="819"/>
      <x v="471"/>
    </i>
    <i>
      <x v="631"/>
      <x v="2"/>
      <x v="63"/>
      <x v="40"/>
      <x v="1"/>
      <x v="13"/>
      <x v="820"/>
      <x v="472"/>
    </i>
    <i>
      <x v="632"/>
      <x v="2"/>
      <x v="63"/>
      <x v="40"/>
      <x v="1"/>
      <x v="1"/>
      <x v="821"/>
      <x v="473"/>
    </i>
    <i>
      <x v="633"/>
      <x v="2"/>
      <x v="63"/>
      <x v="40"/>
      <x v="1"/>
      <x v="3"/>
      <x v="822"/>
      <x v="474"/>
    </i>
    <i>
      <x v="634"/>
      <x v="2"/>
      <x v="63"/>
      <x v="40"/>
      <x v="1"/>
      <x v="5"/>
      <x v="823"/>
      <x v="475"/>
    </i>
    <i>
      <x v="635"/>
      <x v="2"/>
      <x v="63"/>
      <x v="40"/>
      <x v="1"/>
      <x v="14"/>
      <x v="824"/>
      <x v="476"/>
    </i>
    <i>
      <x v="636"/>
      <x v="2"/>
      <x v="63"/>
      <x v="40"/>
      <x v="1"/>
      <x v="12"/>
      <x v="825"/>
      <x v="477"/>
    </i>
    <i>
      <x v="637"/>
      <x v="2"/>
      <x v="63"/>
      <x v="40"/>
      <x v="1"/>
      <x v="10"/>
      <x v="826"/>
      <x v="478"/>
    </i>
    <i>
      <x v="638"/>
      <x v="2"/>
      <x v="63"/>
      <x v="40"/>
      <x v="1"/>
      <x v="15"/>
      <x v="827"/>
      <x v="479"/>
    </i>
    <i>
      <x v="639"/>
      <x v="2"/>
      <x v="63"/>
      <x v="40"/>
      <x v="1"/>
      <x v="6"/>
      <x v="828"/>
      <x v="480"/>
    </i>
    <i>
      <x v="640"/>
      <x v="2"/>
      <x v="63"/>
      <x v="40"/>
      <x v="1"/>
      <x v="7"/>
      <x v="829"/>
      <x v="481"/>
    </i>
    <i>
      <x v="641"/>
      <x v="2"/>
      <x v="63"/>
      <x v="40"/>
      <x v="1"/>
      <x v="4"/>
      <x v="830"/>
      <x v="482"/>
    </i>
    <i>
      <x v="642"/>
      <x v="2"/>
      <x v="63"/>
      <x v="40"/>
      <x v="1"/>
      <x v="9"/>
      <x v="831"/>
      <x v="483"/>
    </i>
    <i>
      <x v="643"/>
      <x v="2"/>
      <x v="63"/>
      <x v="40"/>
      <x v="1"/>
      <x v="16"/>
      <x v="832"/>
      <x v="484"/>
    </i>
    <i>
      <x v="644"/>
      <x v="2"/>
      <x v="63"/>
      <x v="40"/>
      <x v="1"/>
      <x v="8"/>
      <x v="833"/>
      <x v="485"/>
    </i>
    <i>
      <x v="645"/>
      <x v="2"/>
      <x v="63"/>
      <x v="40"/>
      <x v="1"/>
      <x v="2"/>
      <x v="834"/>
      <x v="486"/>
    </i>
    <i>
      <x v="646"/>
      <x v="2"/>
      <x v="63"/>
      <x v="40"/>
      <x v="1"/>
      <x v="11"/>
      <x v="835"/>
      <x v="487"/>
    </i>
    <i>
      <x v="647"/>
      <x v="2"/>
      <x v="64"/>
      <x v="40"/>
      <x/>
      <x/>
      <x v="836"/>
      <x v="488"/>
    </i>
    <i>
      <x v="648"/>
      <x v="2"/>
      <x v="64"/>
      <x v="40"/>
      <x v="1"/>
      <x v="13"/>
      <x v="837"/>
      <x v="489"/>
    </i>
    <i>
      <x v="649"/>
      <x v="2"/>
      <x v="64"/>
      <x v="40"/>
      <x v="1"/>
      <x v="1"/>
      <x v="838"/>
      <x v="490"/>
    </i>
    <i>
      <x v="650"/>
      <x v="2"/>
      <x v="64"/>
      <x v="40"/>
      <x v="1"/>
      <x v="3"/>
      <x v="839"/>
      <x v="491"/>
    </i>
    <i>
      <x v="651"/>
      <x v="2"/>
      <x v="64"/>
      <x v="40"/>
      <x v="1"/>
      <x v="5"/>
      <x v="840"/>
      <x v="492"/>
    </i>
    <i>
      <x v="652"/>
      <x v="2"/>
      <x v="64"/>
      <x v="40"/>
      <x v="1"/>
      <x v="14"/>
      <x v="841"/>
      <x v="493"/>
    </i>
    <i>
      <x v="653"/>
      <x v="2"/>
      <x v="64"/>
      <x v="40"/>
      <x v="1"/>
      <x v="12"/>
      <x v="842"/>
      <x v="494"/>
    </i>
    <i>
      <x v="654"/>
      <x v="2"/>
      <x v="64"/>
      <x v="40"/>
      <x v="1"/>
      <x v="10"/>
      <x v="843"/>
      <x v="495"/>
    </i>
    <i>
      <x v="655"/>
      <x v="2"/>
      <x v="64"/>
      <x v="40"/>
      <x v="1"/>
      <x v="15"/>
      <x v="844"/>
      <x v="496"/>
    </i>
    <i>
      <x v="656"/>
      <x v="2"/>
      <x v="64"/>
      <x v="40"/>
      <x v="1"/>
      <x v="6"/>
      <x v="845"/>
      <x v="497"/>
    </i>
    <i>
      <x v="657"/>
      <x v="2"/>
      <x v="64"/>
      <x v="40"/>
      <x v="1"/>
      <x v="7"/>
      <x v="846"/>
      <x v="498"/>
    </i>
    <i>
      <x v="658"/>
      <x v="2"/>
      <x v="64"/>
      <x v="40"/>
      <x v="1"/>
      <x v="4"/>
      <x v="847"/>
      <x v="499"/>
    </i>
    <i>
      <x v="659"/>
      <x v="2"/>
      <x v="64"/>
      <x v="40"/>
      <x v="1"/>
      <x v="9"/>
      <x v="848"/>
      <x v="500"/>
    </i>
    <i>
      <x v="660"/>
      <x v="2"/>
      <x v="64"/>
      <x v="40"/>
      <x v="1"/>
      <x v="16"/>
      <x v="849"/>
      <x v="501"/>
    </i>
    <i>
      <x v="661"/>
      <x v="2"/>
      <x v="64"/>
      <x v="40"/>
      <x v="1"/>
      <x v="8"/>
      <x v="850"/>
      <x v="502"/>
    </i>
    <i>
      <x v="662"/>
      <x v="2"/>
      <x v="64"/>
      <x v="40"/>
      <x v="1"/>
      <x v="2"/>
      <x v="851"/>
      <x v="503"/>
    </i>
    <i>
      <x v="663"/>
      <x v="2"/>
      <x v="64"/>
      <x v="40"/>
      <x v="1"/>
      <x v="11"/>
      <x v="852"/>
      <x v="504"/>
    </i>
    <i>
      <x v="664"/>
      <x v="2"/>
      <x v="65"/>
      <x v="40"/>
      <x/>
      <x/>
      <x v="853"/>
      <x v="505"/>
    </i>
    <i>
      <x v="665"/>
      <x v="2"/>
      <x v="65"/>
      <x v="40"/>
      <x v="1"/>
      <x v="13"/>
      <x v="854"/>
      <x v="506"/>
    </i>
    <i>
      <x v="666"/>
      <x v="2"/>
      <x v="65"/>
      <x v="40"/>
      <x v="1"/>
      <x v="1"/>
      <x v="855"/>
      <x v="507"/>
    </i>
    <i>
      <x v="667"/>
      <x v="2"/>
      <x v="65"/>
      <x v="40"/>
      <x v="1"/>
      <x v="3"/>
      <x v="856"/>
      <x v="508"/>
    </i>
    <i>
      <x v="668"/>
      <x v="2"/>
      <x v="65"/>
      <x v="40"/>
      <x v="1"/>
      <x v="5"/>
      <x v="857"/>
      <x v="509"/>
    </i>
    <i>
      <x v="669"/>
      <x v="2"/>
      <x v="65"/>
      <x v="40"/>
      <x v="1"/>
      <x v="14"/>
      <x v="858"/>
      <x v="510"/>
    </i>
    <i>
      <x v="670"/>
      <x v="2"/>
      <x v="65"/>
      <x v="40"/>
      <x v="1"/>
      <x v="12"/>
      <x v="859"/>
      <x v="511"/>
    </i>
    <i>
      <x v="671"/>
      <x v="2"/>
      <x v="65"/>
      <x v="40"/>
      <x v="1"/>
      <x v="10"/>
      <x v="860"/>
      <x v="512"/>
    </i>
    <i>
      <x v="672"/>
      <x v="2"/>
      <x v="65"/>
      <x v="40"/>
      <x v="1"/>
      <x v="15"/>
      <x v="861"/>
      <x v="513"/>
    </i>
    <i>
      <x v="673"/>
      <x v="2"/>
      <x v="65"/>
      <x v="40"/>
      <x v="1"/>
      <x v="6"/>
      <x v="862"/>
      <x v="514"/>
    </i>
    <i>
      <x v="674"/>
      <x v="2"/>
      <x v="65"/>
      <x v="40"/>
      <x v="1"/>
      <x v="7"/>
      <x v="863"/>
      <x v="515"/>
    </i>
    <i>
      <x v="675"/>
      <x v="2"/>
      <x v="65"/>
      <x v="40"/>
      <x v="1"/>
      <x v="4"/>
      <x v="864"/>
      <x v="516"/>
    </i>
    <i>
      <x v="676"/>
      <x v="2"/>
      <x v="65"/>
      <x v="40"/>
      <x v="1"/>
      <x v="9"/>
      <x v="865"/>
      <x v="517"/>
    </i>
    <i>
      <x v="677"/>
      <x v="2"/>
      <x v="65"/>
      <x v="40"/>
      <x v="1"/>
      <x v="16"/>
      <x v="866"/>
      <x v="518"/>
    </i>
    <i>
      <x v="678"/>
      <x v="2"/>
      <x v="65"/>
      <x v="40"/>
      <x v="1"/>
      <x v="8"/>
      <x v="867"/>
      <x v="519"/>
    </i>
    <i>
      <x v="679"/>
      <x v="2"/>
      <x v="65"/>
      <x v="40"/>
      <x v="1"/>
      <x v="2"/>
      <x v="868"/>
      <x v="520"/>
    </i>
    <i>
      <x v="680"/>
      <x v="2"/>
      <x v="65"/>
      <x v="40"/>
      <x v="1"/>
      <x v="11"/>
      <x v="869"/>
      <x v="521"/>
    </i>
    <i>
      <x v="681"/>
      <x v="8"/>
      <x v="66"/>
      <x v="64"/>
      <x/>
      <x/>
      <x v="870"/>
      <x v="522"/>
    </i>
    <i>
      <x v="682"/>
      <x v="12"/>
      <x v="159"/>
      <x v="57"/>
      <x/>
      <x/>
      <x v="871"/>
      <x v="523"/>
    </i>
    <i>
      <x v="683"/>
      <x v="12"/>
      <x v="158"/>
      <x v="57"/>
      <x/>
      <x/>
      <x v="872"/>
      <x v="524"/>
    </i>
    <i>
      <x v="684"/>
      <x v="12"/>
      <x v="158"/>
      <x v="57"/>
      <x/>
      <x/>
      <x v="873"/>
      <x v="525"/>
    </i>
    <i>
      <x v="685"/>
      <x v="12"/>
      <x v="160"/>
      <x v="57"/>
      <x/>
      <x/>
      <x v="874"/>
      <x v="526"/>
    </i>
    <i>
      <x v="686"/>
      <x v="2"/>
      <x v="63"/>
      <x v="40"/>
      <x/>
      <x/>
      <x v="875"/>
      <x v="527"/>
    </i>
    <i>
      <x v="687"/>
      <x v="2"/>
      <x v="63"/>
      <x v="40"/>
      <x v="1"/>
      <x v="13"/>
      <x v="876"/>
      <x v="528"/>
    </i>
    <i>
      <x v="688"/>
      <x v="2"/>
      <x v="63"/>
      <x v="40"/>
      <x v="1"/>
      <x v="1"/>
      <x v="877"/>
      <x v="529"/>
    </i>
    <i>
      <x v="689"/>
      <x v="2"/>
      <x v="63"/>
      <x v="40"/>
      <x v="1"/>
      <x v="3"/>
      <x v="878"/>
      <x v="530"/>
    </i>
    <i>
      <x v="690"/>
      <x v="2"/>
      <x v="63"/>
      <x v="40"/>
      <x v="1"/>
      <x v="5"/>
      <x v="879"/>
      <x v="531"/>
    </i>
    <i>
      <x v="691"/>
      <x v="2"/>
      <x v="63"/>
      <x v="40"/>
      <x v="1"/>
      <x v="14"/>
      <x v="880"/>
      <x v="532"/>
    </i>
    <i>
      <x v="692"/>
      <x v="2"/>
      <x v="63"/>
      <x v="40"/>
      <x v="1"/>
      <x v="12"/>
      <x v="881"/>
      <x v="533"/>
    </i>
    <i>
      <x v="693"/>
      <x v="2"/>
      <x v="63"/>
      <x v="40"/>
      <x v="1"/>
      <x v="10"/>
      <x v="882"/>
      <x v="534"/>
    </i>
    <i>
      <x v="694"/>
      <x v="2"/>
      <x v="63"/>
      <x v="40"/>
      <x v="1"/>
      <x v="15"/>
      <x v="883"/>
      <x v="535"/>
    </i>
    <i>
      <x v="695"/>
      <x v="2"/>
      <x v="63"/>
      <x v="40"/>
      <x v="1"/>
      <x v="6"/>
      <x v="884"/>
      <x v="536"/>
    </i>
    <i>
      <x v="696"/>
      <x v="2"/>
      <x v="63"/>
      <x v="40"/>
      <x v="1"/>
      <x v="7"/>
      <x v="885"/>
      <x v="537"/>
    </i>
    <i>
      <x v="697"/>
      <x v="2"/>
      <x v="63"/>
      <x v="40"/>
      <x v="1"/>
      <x v="4"/>
      <x v="886"/>
      <x v="538"/>
    </i>
    <i>
      <x v="698"/>
      <x v="2"/>
      <x v="63"/>
      <x v="40"/>
      <x v="1"/>
      <x v="9"/>
      <x v="887"/>
      <x v="539"/>
    </i>
    <i>
      <x v="699"/>
      <x v="2"/>
      <x v="63"/>
      <x v="40"/>
      <x v="1"/>
      <x v="16"/>
      <x v="888"/>
      <x v="540"/>
    </i>
    <i>
      <x v="700"/>
      <x v="2"/>
      <x v="63"/>
      <x v="40"/>
      <x v="1"/>
      <x v="8"/>
      <x v="889"/>
      <x v="541"/>
    </i>
    <i>
      <x v="701"/>
      <x v="2"/>
      <x v="63"/>
      <x v="40"/>
      <x v="1"/>
      <x v="2"/>
      <x v="890"/>
      <x v="542"/>
    </i>
    <i>
      <x v="702"/>
      <x v="2"/>
      <x v="63"/>
      <x v="40"/>
      <x v="1"/>
      <x v="11"/>
      <x v="891"/>
      <x v="543"/>
    </i>
    <i>
      <x v="703"/>
      <x v="2"/>
      <x v="28"/>
      <x v="40"/>
      <x/>
      <x/>
      <x v="892"/>
      <x v="544"/>
    </i>
    <i>
      <x v="704"/>
      <x v="6"/>
      <x v="34"/>
      <x v="63"/>
      <x/>
      <x/>
      <x v="893"/>
      <x v="545"/>
    </i>
    <i>
      <x v="705"/>
      <x v="6"/>
      <x v="34"/>
      <x v="63"/>
      <x v="1"/>
      <x v="13"/>
      <x v="894"/>
      <x v="546"/>
    </i>
    <i>
      <x v="706"/>
      <x v="6"/>
      <x v="34"/>
      <x v="63"/>
      <x v="1"/>
      <x v="1"/>
      <x v="895"/>
      <x v="547"/>
    </i>
    <i>
      <x v="707"/>
      <x v="6"/>
      <x v="34"/>
      <x v="63"/>
      <x v="1"/>
      <x v="3"/>
      <x v="896"/>
      <x v="548"/>
    </i>
    <i>
      <x v="708"/>
      <x v="6"/>
      <x v="34"/>
      <x v="63"/>
      <x v="1"/>
      <x v="5"/>
      <x v="897"/>
      <x v="549"/>
    </i>
    <i>
      <x v="709"/>
      <x v="6"/>
      <x v="34"/>
      <x v="63"/>
      <x v="1"/>
      <x v="14"/>
      <x v="898"/>
      <x v="550"/>
    </i>
    <i>
      <x v="710"/>
      <x v="6"/>
      <x v="34"/>
      <x v="63"/>
      <x v="1"/>
      <x v="12"/>
      <x v="899"/>
      <x v="551"/>
    </i>
    <i>
      <x v="711"/>
      <x v="6"/>
      <x v="34"/>
      <x v="63"/>
      <x v="1"/>
      <x v="10"/>
      <x v="900"/>
      <x v="552"/>
    </i>
    <i>
      <x v="712"/>
      <x v="6"/>
      <x v="34"/>
      <x v="63"/>
      <x v="1"/>
      <x v="15"/>
      <x v="901"/>
      <x v="553"/>
    </i>
    <i>
      <x v="713"/>
      <x v="6"/>
      <x v="34"/>
      <x v="63"/>
      <x v="1"/>
      <x v="6"/>
      <x v="902"/>
      <x v="554"/>
    </i>
    <i>
      <x v="714"/>
      <x v="6"/>
      <x v="34"/>
      <x v="63"/>
      <x v="1"/>
      <x v="7"/>
      <x v="903"/>
      <x v="555"/>
    </i>
    <i>
      <x v="715"/>
      <x v="6"/>
      <x v="34"/>
      <x v="63"/>
      <x v="1"/>
      <x v="4"/>
      <x v="904"/>
      <x v="556"/>
    </i>
    <i>
      <x v="716"/>
      <x v="6"/>
      <x v="34"/>
      <x v="63"/>
      <x v="1"/>
      <x v="9"/>
      <x v="905"/>
      <x v="557"/>
    </i>
    <i>
      <x v="717"/>
      <x v="6"/>
      <x v="34"/>
      <x v="63"/>
      <x v="1"/>
      <x v="16"/>
      <x v="906"/>
      <x v="558"/>
    </i>
    <i>
      <x v="718"/>
      <x v="6"/>
      <x v="34"/>
      <x v="63"/>
      <x v="1"/>
      <x v="8"/>
      <x v="907"/>
      <x v="559"/>
    </i>
    <i>
      <x v="719"/>
      <x v="6"/>
      <x v="34"/>
      <x v="63"/>
      <x v="1"/>
      <x v="2"/>
      <x v="908"/>
      <x v="560"/>
    </i>
    <i>
      <x v="720"/>
      <x v="6"/>
      <x v="34"/>
      <x v="63"/>
      <x v="1"/>
      <x v="11"/>
      <x v="909"/>
      <x v="561"/>
    </i>
    <i>
      <x v="721"/>
      <x v="12"/>
      <x v="158"/>
      <x v="57"/>
      <x/>
      <x/>
      <x v="910"/>
      <x v="562"/>
    </i>
    <i>
      <x v="722"/>
      <x/>
      <x v="100"/>
      <x v="61"/>
      <x/>
      <x/>
      <x v="911"/>
      <x v="1980"/>
    </i>
    <i>
      <x v="723"/>
      <x/>
      <x v="100"/>
      <x v="61"/>
      <x v="1"/>
      <x v="13"/>
      <x v="912"/>
      <x v="1981"/>
    </i>
    <i>
      <x v="724"/>
      <x/>
      <x v="100"/>
      <x v="61"/>
      <x v="1"/>
      <x v="1"/>
      <x v="913"/>
      <x v="1982"/>
    </i>
    <i>
      <x v="725"/>
      <x/>
      <x v="100"/>
      <x v="61"/>
      <x v="1"/>
      <x v="3"/>
      <x v="914"/>
      <x v="1983"/>
    </i>
    <i>
      <x v="726"/>
      <x/>
      <x v="100"/>
      <x v="61"/>
      <x v="1"/>
      <x v="5"/>
      <x v="915"/>
      <x v="1984"/>
    </i>
    <i>
      <x v="727"/>
      <x/>
      <x v="100"/>
      <x v="61"/>
      <x v="1"/>
      <x v="14"/>
      <x v="916"/>
      <x v="1985"/>
    </i>
    <i>
      <x v="728"/>
      <x/>
      <x v="100"/>
      <x v="61"/>
      <x v="1"/>
      <x v="12"/>
      <x v="917"/>
      <x v="1986"/>
    </i>
    <i>
      <x v="729"/>
      <x/>
      <x v="100"/>
      <x v="61"/>
      <x v="1"/>
      <x v="10"/>
      <x v="918"/>
      <x v="1987"/>
    </i>
    <i>
      <x v="730"/>
      <x/>
      <x v="100"/>
      <x v="61"/>
      <x v="1"/>
      <x v="15"/>
      <x v="919"/>
      <x v="1988"/>
    </i>
    <i>
      <x v="731"/>
      <x/>
      <x v="100"/>
      <x v="61"/>
      <x v="1"/>
      <x v="6"/>
      <x v="920"/>
      <x v="1989"/>
    </i>
    <i>
      <x v="732"/>
      <x/>
      <x v="100"/>
      <x v="61"/>
      <x v="1"/>
      <x v="7"/>
      <x v="921"/>
      <x v="1990"/>
    </i>
    <i>
      <x v="733"/>
      <x/>
      <x v="100"/>
      <x v="61"/>
      <x v="1"/>
      <x v="4"/>
      <x v="922"/>
      <x v="1991"/>
    </i>
    <i>
      <x v="734"/>
      <x/>
      <x v="100"/>
      <x v="61"/>
      <x v="1"/>
      <x v="9"/>
      <x v="923"/>
      <x v="1992"/>
    </i>
    <i>
      <x v="735"/>
      <x/>
      <x v="100"/>
      <x v="61"/>
      <x v="1"/>
      <x v="16"/>
      <x v="924"/>
      <x v="1993"/>
    </i>
    <i>
      <x v="736"/>
      <x/>
      <x v="100"/>
      <x v="61"/>
      <x v="1"/>
      <x v="8"/>
      <x v="925"/>
      <x v="1994"/>
    </i>
    <i>
      <x v="737"/>
      <x/>
      <x v="100"/>
      <x v="61"/>
      <x v="1"/>
      <x v="2"/>
      <x v="926"/>
      <x v="1995"/>
    </i>
    <i>
      <x v="738"/>
      <x/>
      <x v="100"/>
      <x v="61"/>
      <x v="1"/>
      <x v="11"/>
      <x v="927"/>
      <x v="1996"/>
    </i>
    <i>
      <x v="739"/>
      <x/>
      <x v="100"/>
      <x v="61"/>
      <x/>
      <x/>
      <x v="945"/>
      <x v="1997"/>
    </i>
    <i>
      <x v="740"/>
      <x/>
      <x v="100"/>
      <x v="61"/>
      <x v="1"/>
      <x v="3"/>
      <x v="948"/>
      <x v="1998"/>
    </i>
    <i>
      <x v="741"/>
      <x/>
      <x v="100"/>
      <x v="61"/>
      <x v="1"/>
      <x v="5"/>
      <x v="949"/>
      <x v="1999"/>
    </i>
    <i>
      <x v="742"/>
      <x/>
      <x v="100"/>
      <x v="61"/>
      <x v="1"/>
      <x v="14"/>
      <x v="950"/>
      <x v="2000"/>
    </i>
    <i>
      <x v="743"/>
      <x/>
      <x v="100"/>
      <x v="61"/>
      <x v="1"/>
      <x v="12"/>
      <x v="951"/>
      <x v="2001"/>
    </i>
    <i>
      <x v="744"/>
      <x/>
      <x v="100"/>
      <x v="61"/>
      <x v="1"/>
      <x v="10"/>
      <x v="952"/>
      <x v="2002"/>
    </i>
    <i>
      <x v="745"/>
      <x/>
      <x v="100"/>
      <x v="61"/>
      <x v="1"/>
      <x v="15"/>
      <x v="953"/>
      <x v="2003"/>
    </i>
    <i>
      <x v="746"/>
      <x/>
      <x v="100"/>
      <x v="61"/>
      <x v="1"/>
      <x v="6"/>
      <x v="954"/>
      <x v="2004"/>
    </i>
    <i>
      <x v="747"/>
      <x/>
      <x v="100"/>
      <x v="61"/>
      <x v="1"/>
      <x v="7"/>
      <x v="955"/>
      <x v="2005"/>
    </i>
    <i>
      <x v="748"/>
      <x/>
      <x v="100"/>
      <x v="61"/>
      <x v="1"/>
      <x v="4"/>
      <x v="956"/>
      <x v="2006"/>
    </i>
    <i>
      <x v="749"/>
      <x/>
      <x v="100"/>
      <x v="61"/>
      <x v="1"/>
      <x v="9"/>
      <x v="957"/>
      <x v="2007"/>
    </i>
    <i>
      <x v="750"/>
      <x/>
      <x v="100"/>
      <x v="61"/>
      <x v="1"/>
      <x v="16"/>
      <x v="958"/>
      <x v="2008"/>
    </i>
    <i>
      <x v="751"/>
      <x/>
      <x v="100"/>
      <x v="61"/>
      <x v="1"/>
      <x v="8"/>
      <x v="959"/>
      <x v="2009"/>
    </i>
    <i>
      <x v="752"/>
      <x/>
      <x v="100"/>
      <x v="61"/>
      <x v="1"/>
      <x v="11"/>
      <x v="961"/>
      <x v="2010"/>
    </i>
    <i>
      <x v="753"/>
      <x/>
      <x v="100"/>
      <x v="61"/>
      <x/>
      <x/>
      <x v="962"/>
      <x v="2011"/>
    </i>
    <i>
      <x v="754"/>
      <x/>
      <x v="100"/>
      <x v="61"/>
      <x v="1"/>
      <x v="13"/>
      <x v="963"/>
      <x v="2012"/>
    </i>
    <i>
      <x v="755"/>
      <x/>
      <x v="100"/>
      <x v="61"/>
      <x v="1"/>
      <x v="1"/>
      <x v="964"/>
      <x v="2013"/>
    </i>
    <i>
      <x v="756"/>
      <x/>
      <x v="100"/>
      <x v="61"/>
      <x v="1"/>
      <x v="3"/>
      <x v="965"/>
      <x v="2014"/>
    </i>
    <i>
      <x v="757"/>
      <x/>
      <x v="100"/>
      <x v="61"/>
      <x v="1"/>
      <x v="5"/>
      <x v="966"/>
      <x v="2015"/>
    </i>
    <i>
      <x v="758"/>
      <x/>
      <x v="100"/>
      <x v="61"/>
      <x v="1"/>
      <x v="14"/>
      <x v="967"/>
      <x v="2016"/>
    </i>
    <i>
      <x v="759"/>
      <x/>
      <x v="100"/>
      <x v="61"/>
      <x v="1"/>
      <x v="12"/>
      <x v="968"/>
      <x v="2017"/>
    </i>
    <i>
      <x v="760"/>
      <x/>
      <x v="100"/>
      <x v="61"/>
      <x v="1"/>
      <x v="10"/>
      <x v="969"/>
      <x v="2018"/>
    </i>
    <i>
      <x v="761"/>
      <x/>
      <x v="100"/>
      <x v="61"/>
      <x v="1"/>
      <x v="15"/>
      <x v="970"/>
      <x v="2019"/>
    </i>
    <i>
      <x v="762"/>
      <x/>
      <x v="100"/>
      <x v="61"/>
      <x v="1"/>
      <x v="6"/>
      <x v="971"/>
      <x v="2020"/>
    </i>
    <i>
      <x v="763"/>
      <x/>
      <x v="100"/>
      <x v="61"/>
      <x v="1"/>
      <x v="7"/>
      <x v="972"/>
      <x v="2021"/>
    </i>
    <i>
      <x v="764"/>
      <x/>
      <x v="100"/>
      <x v="61"/>
      <x v="1"/>
      <x v="4"/>
      <x v="973"/>
      <x v="2022"/>
    </i>
    <i>
      <x v="765"/>
      <x/>
      <x v="100"/>
      <x v="61"/>
      <x v="1"/>
      <x v="9"/>
      <x v="974"/>
      <x v="2023"/>
    </i>
    <i>
      <x v="766"/>
      <x/>
      <x v="100"/>
      <x v="61"/>
      <x v="1"/>
      <x v="16"/>
      <x v="975"/>
      <x v="2024"/>
    </i>
    <i>
      <x v="767"/>
      <x/>
      <x v="100"/>
      <x v="61"/>
      <x v="1"/>
      <x v="8"/>
      <x v="976"/>
      <x v="2025"/>
    </i>
    <i>
      <x v="768"/>
      <x/>
      <x v="100"/>
      <x v="61"/>
      <x v="1"/>
      <x v="2"/>
      <x v="977"/>
      <x v="2026"/>
    </i>
    <i>
      <x v="769"/>
      <x/>
      <x v="100"/>
      <x v="61"/>
      <x v="1"/>
      <x v="11"/>
      <x v="978"/>
      <x v="2027"/>
    </i>
    <i>
      <x v="770"/>
      <x v="7"/>
      <x v="72"/>
      <x v="44"/>
      <x/>
      <x/>
      <x v="2435"/>
      <x v="2028"/>
    </i>
    <i>
      <x v="771"/>
      <x v="7"/>
      <x v="72"/>
      <x v="44"/>
      <x v="1"/>
      <x v="13"/>
      <x v="2436"/>
      <x v="2029"/>
    </i>
    <i>
      <x v="772"/>
      <x v="7"/>
      <x v="72"/>
      <x v="44"/>
      <x v="1"/>
      <x v="1"/>
      <x v="2437"/>
      <x v="2030"/>
    </i>
    <i>
      <x v="773"/>
      <x v="7"/>
      <x v="72"/>
      <x v="44"/>
      <x v="1"/>
      <x v="3"/>
      <x v="2438"/>
      <x v="2031"/>
    </i>
    <i>
      <x v="774"/>
      <x v="7"/>
      <x v="72"/>
      <x v="44"/>
      <x v="1"/>
      <x v="5"/>
      <x v="2439"/>
      <x v="2032"/>
    </i>
    <i>
      <x v="775"/>
      <x v="7"/>
      <x v="72"/>
      <x v="44"/>
      <x v="1"/>
      <x v="14"/>
      <x v="2440"/>
      <x v="2033"/>
    </i>
    <i>
      <x v="776"/>
      <x v="7"/>
      <x v="72"/>
      <x v="44"/>
      <x v="1"/>
      <x v="12"/>
      <x v="2441"/>
      <x v="2034"/>
    </i>
    <i>
      <x v="777"/>
      <x v="7"/>
      <x v="72"/>
      <x v="44"/>
      <x v="1"/>
      <x v="10"/>
      <x v="2442"/>
      <x v="2035"/>
    </i>
    <i>
      <x v="778"/>
      <x v="7"/>
      <x v="72"/>
      <x v="44"/>
      <x v="1"/>
      <x v="15"/>
      <x v="2443"/>
      <x v="2036"/>
    </i>
    <i>
      <x v="779"/>
      <x v="7"/>
      <x v="72"/>
      <x v="44"/>
      <x v="1"/>
      <x v="6"/>
      <x v="2444"/>
      <x v="2037"/>
    </i>
    <i>
      <x v="780"/>
      <x v="7"/>
      <x v="72"/>
      <x v="44"/>
      <x v="1"/>
      <x v="7"/>
      <x v="2445"/>
      <x v="2038"/>
    </i>
    <i>
      <x v="781"/>
      <x v="7"/>
      <x v="72"/>
      <x v="44"/>
      <x v="1"/>
      <x v="4"/>
      <x v="2446"/>
      <x v="2039"/>
    </i>
    <i>
      <x v="782"/>
      <x v="7"/>
      <x v="72"/>
      <x v="44"/>
      <x v="1"/>
      <x v="9"/>
      <x v="2447"/>
      <x v="2040"/>
    </i>
    <i>
      <x v="783"/>
      <x v="7"/>
      <x v="72"/>
      <x v="44"/>
      <x v="1"/>
      <x v="16"/>
      <x v="2448"/>
      <x v="2041"/>
    </i>
    <i>
      <x v="784"/>
      <x v="7"/>
      <x v="72"/>
      <x v="44"/>
      <x v="1"/>
      <x v="8"/>
      <x v="2449"/>
      <x v="2042"/>
    </i>
    <i>
      <x v="785"/>
      <x v="7"/>
      <x v="72"/>
      <x v="44"/>
      <x v="1"/>
      <x v="2"/>
      <x v="2450"/>
      <x v="2043"/>
    </i>
    <i>
      <x v="786"/>
      <x v="7"/>
      <x v="72"/>
      <x v="44"/>
      <x v="1"/>
      <x v="11"/>
      <x v="2451"/>
      <x v="2044"/>
    </i>
    <i>
      <x v="787"/>
      <x v="7"/>
      <x v="73"/>
      <x v="44"/>
      <x/>
      <x/>
      <x v="996"/>
      <x v="2045"/>
    </i>
    <i>
      <x v="788"/>
      <x v="7"/>
      <x v="73"/>
      <x v="44"/>
      <x v="1"/>
      <x v="13"/>
      <x v="997"/>
      <x v="2046"/>
    </i>
    <i>
      <x v="789"/>
      <x v="7"/>
      <x v="73"/>
      <x v="44"/>
      <x v="1"/>
      <x v="1"/>
      <x v="998"/>
      <x v="2047"/>
    </i>
    <i>
      <x v="790"/>
      <x v="7"/>
      <x v="73"/>
      <x v="44"/>
      <x v="1"/>
      <x v="3"/>
      <x v="999"/>
      <x v="2048"/>
    </i>
    <i>
      <x v="791"/>
      <x v="7"/>
      <x v="73"/>
      <x v="44"/>
      <x v="1"/>
      <x v="5"/>
      <x v="1000"/>
      <x v="2049"/>
    </i>
    <i>
      <x v="792"/>
      <x v="7"/>
      <x v="73"/>
      <x v="44"/>
      <x v="1"/>
      <x v="14"/>
      <x v="1001"/>
      <x v="2050"/>
    </i>
    <i>
      <x v="793"/>
      <x v="7"/>
      <x v="73"/>
      <x v="44"/>
      <x v="1"/>
      <x v="12"/>
      <x v="1002"/>
      <x v="2051"/>
    </i>
    <i>
      <x v="794"/>
      <x v="7"/>
      <x v="73"/>
      <x v="44"/>
      <x v="1"/>
      <x v="10"/>
      <x v="1003"/>
      <x v="2052"/>
    </i>
    <i>
      <x v="795"/>
      <x v="7"/>
      <x v="73"/>
      <x v="44"/>
      <x v="1"/>
      <x v="15"/>
      <x v="1004"/>
      <x v="2053"/>
    </i>
    <i>
      <x v="796"/>
      <x v="7"/>
      <x v="73"/>
      <x v="44"/>
      <x v="1"/>
      <x v="6"/>
      <x v="1005"/>
      <x v="2054"/>
    </i>
    <i>
      <x v="797"/>
      <x v="7"/>
      <x v="73"/>
      <x v="44"/>
      <x v="1"/>
      <x v="7"/>
      <x v="1006"/>
      <x v="2055"/>
    </i>
    <i>
      <x v="798"/>
      <x v="7"/>
      <x v="73"/>
      <x v="44"/>
      <x v="1"/>
      <x v="4"/>
      <x v="1007"/>
      <x v="2056"/>
    </i>
    <i>
      <x v="799"/>
      <x v="7"/>
      <x v="73"/>
      <x v="44"/>
      <x v="1"/>
      <x v="9"/>
      <x v="1008"/>
      <x v="2057"/>
    </i>
    <i>
      <x v="800"/>
      <x v="7"/>
      <x v="73"/>
      <x v="44"/>
      <x v="1"/>
      <x v="16"/>
      <x v="1009"/>
      <x v="2058"/>
    </i>
    <i>
      <x v="801"/>
      <x v="7"/>
      <x v="73"/>
      <x v="44"/>
      <x v="1"/>
      <x v="8"/>
      <x v="1010"/>
      <x v="2059"/>
    </i>
    <i>
      <x v="802"/>
      <x v="7"/>
      <x v="73"/>
      <x v="44"/>
      <x v="1"/>
      <x v="2"/>
      <x v="1011"/>
      <x v="2060"/>
    </i>
    <i>
      <x v="803"/>
      <x v="7"/>
      <x v="73"/>
      <x v="44"/>
      <x v="1"/>
      <x v="11"/>
      <x v="1012"/>
      <x v="2061"/>
    </i>
    <i>
      <x v="804"/>
      <x v="2"/>
      <x v="74"/>
      <x v="40"/>
      <x/>
      <x/>
      <x v="1013"/>
      <x v="570"/>
    </i>
    <i>
      <x v="805"/>
      <x v="2"/>
      <x v="74"/>
      <x v="40"/>
      <x v="1"/>
      <x v="13"/>
      <x v="1014"/>
      <x v="571"/>
    </i>
    <i>
      <x v="806"/>
      <x v="2"/>
      <x v="74"/>
      <x v="40"/>
      <x v="1"/>
      <x v="1"/>
      <x v="1015"/>
      <x v="572"/>
    </i>
    <i>
      <x v="807"/>
      <x v="2"/>
      <x v="74"/>
      <x v="40"/>
      <x v="1"/>
      <x v="3"/>
      <x v="1016"/>
      <x v="573"/>
    </i>
    <i>
      <x v="808"/>
      <x v="2"/>
      <x v="74"/>
      <x v="40"/>
      <x v="1"/>
      <x v="5"/>
      <x v="1017"/>
      <x v="574"/>
    </i>
    <i>
      <x v="809"/>
      <x v="2"/>
      <x v="74"/>
      <x v="40"/>
      <x v="1"/>
      <x v="14"/>
      <x v="1018"/>
      <x v="575"/>
    </i>
    <i>
      <x v="810"/>
      <x v="2"/>
      <x v="74"/>
      <x v="40"/>
      <x v="1"/>
      <x v="12"/>
      <x v="1019"/>
      <x v="576"/>
    </i>
    <i>
      <x v="811"/>
      <x v="2"/>
      <x v="74"/>
      <x v="40"/>
      <x v="1"/>
      <x v="10"/>
      <x v="1020"/>
      <x v="577"/>
    </i>
    <i>
      <x v="812"/>
      <x v="2"/>
      <x v="74"/>
      <x v="40"/>
      <x v="1"/>
      <x v="15"/>
      <x v="1021"/>
      <x v="578"/>
    </i>
    <i>
      <x v="813"/>
      <x v="2"/>
      <x v="74"/>
      <x v="40"/>
      <x v="1"/>
      <x v="6"/>
      <x v="1022"/>
      <x v="579"/>
    </i>
    <i>
      <x v="814"/>
      <x v="2"/>
      <x v="74"/>
      <x v="40"/>
      <x v="1"/>
      <x v="7"/>
      <x v="1023"/>
      <x v="580"/>
    </i>
    <i>
      <x v="815"/>
      <x v="2"/>
      <x v="74"/>
      <x v="40"/>
      <x v="1"/>
      <x v="4"/>
      <x v="1024"/>
      <x v="581"/>
    </i>
    <i>
      <x v="816"/>
      <x v="2"/>
      <x v="74"/>
      <x v="40"/>
      <x v="1"/>
      <x v="9"/>
      <x v="1025"/>
      <x v="582"/>
    </i>
    <i>
      <x v="817"/>
      <x v="2"/>
      <x v="74"/>
      <x v="40"/>
      <x v="1"/>
      <x v="16"/>
      <x v="1026"/>
      <x v="583"/>
    </i>
    <i>
      <x v="818"/>
      <x v="2"/>
      <x v="74"/>
      <x v="40"/>
      <x v="1"/>
      <x v="8"/>
      <x v="1027"/>
      <x v="584"/>
    </i>
    <i>
      <x v="819"/>
      <x v="2"/>
      <x v="74"/>
      <x v="40"/>
      <x v="1"/>
      <x v="2"/>
      <x v="1028"/>
      <x v="585"/>
    </i>
    <i>
      <x v="820"/>
      <x v="2"/>
      <x v="74"/>
      <x v="40"/>
      <x v="1"/>
      <x v="11"/>
      <x v="1029"/>
      <x v="586"/>
    </i>
    <i>
      <x v="821"/>
      <x v="2"/>
      <x v="75"/>
      <x v="40"/>
      <x/>
      <x/>
      <x v="1030"/>
      <x v="587"/>
    </i>
    <i>
      <x v="822"/>
      <x v="2"/>
      <x v="75"/>
      <x v="40"/>
      <x v="1"/>
      <x v="13"/>
      <x v="1031"/>
      <x v="588"/>
    </i>
    <i>
      <x v="823"/>
      <x v="2"/>
      <x v="75"/>
      <x v="40"/>
      <x v="1"/>
      <x v="1"/>
      <x v="1032"/>
      <x v="589"/>
    </i>
    <i>
      <x v="824"/>
      <x v="2"/>
      <x v="75"/>
      <x v="40"/>
      <x v="1"/>
      <x v="3"/>
      <x v="1033"/>
      <x v="590"/>
    </i>
    <i>
      <x v="825"/>
      <x v="2"/>
      <x v="75"/>
      <x v="40"/>
      <x v="1"/>
      <x v="5"/>
      <x v="1034"/>
      <x v="591"/>
    </i>
    <i>
      <x v="826"/>
      <x v="2"/>
      <x v="75"/>
      <x v="40"/>
      <x v="1"/>
      <x v="14"/>
      <x v="1035"/>
      <x v="592"/>
    </i>
    <i>
      <x v="827"/>
      <x v="2"/>
      <x v="75"/>
      <x v="40"/>
      <x v="1"/>
      <x v="12"/>
      <x v="1036"/>
      <x v="593"/>
    </i>
    <i>
      <x v="828"/>
      <x v="2"/>
      <x v="75"/>
      <x v="40"/>
      <x v="1"/>
      <x v="10"/>
      <x v="1037"/>
      <x v="594"/>
    </i>
    <i>
      <x v="829"/>
      <x v="2"/>
      <x v="75"/>
      <x v="40"/>
      <x v="1"/>
      <x v="15"/>
      <x v="1038"/>
      <x v="595"/>
    </i>
    <i>
      <x v="830"/>
      <x v="2"/>
      <x v="75"/>
      <x v="40"/>
      <x v="1"/>
      <x v="6"/>
      <x v="1039"/>
      <x v="596"/>
    </i>
    <i>
      <x v="831"/>
      <x v="2"/>
      <x v="75"/>
      <x v="40"/>
      <x v="1"/>
      <x v="7"/>
      <x v="1040"/>
      <x v="597"/>
    </i>
    <i>
      <x v="832"/>
      <x v="2"/>
      <x v="75"/>
      <x v="40"/>
      <x v="1"/>
      <x v="4"/>
      <x v="1041"/>
      <x v="598"/>
    </i>
    <i>
      <x v="833"/>
      <x v="2"/>
      <x v="75"/>
      <x v="40"/>
      <x v="1"/>
      <x v="9"/>
      <x v="1042"/>
      <x v="599"/>
    </i>
    <i>
      <x v="834"/>
      <x v="2"/>
      <x v="75"/>
      <x v="40"/>
      <x v="1"/>
      <x v="16"/>
      <x v="1043"/>
      <x v="600"/>
    </i>
    <i>
      <x v="835"/>
      <x v="2"/>
      <x v="75"/>
      <x v="40"/>
      <x v="1"/>
      <x v="8"/>
      <x v="1044"/>
      <x v="601"/>
    </i>
    <i>
      <x v="836"/>
      <x v="2"/>
      <x v="75"/>
      <x v="40"/>
      <x v="1"/>
      <x v="2"/>
      <x v="1045"/>
      <x v="602"/>
    </i>
    <i>
      <x v="837"/>
      <x v="2"/>
      <x v="75"/>
      <x v="40"/>
      <x v="1"/>
      <x v="11"/>
      <x v="1046"/>
      <x v="603"/>
    </i>
    <i>
      <x v="838"/>
      <x v="8"/>
      <x v="35"/>
      <x v="64"/>
      <x/>
      <x/>
      <x v="1047"/>
      <x v="604"/>
    </i>
    <i>
      <x v="839"/>
      <x v="8"/>
      <x v="35"/>
      <x v="64"/>
      <x v="1"/>
      <x v="13"/>
      <x v="1048"/>
      <x v="605"/>
    </i>
    <i>
      <x v="840"/>
      <x v="8"/>
      <x v="35"/>
      <x v="64"/>
      <x v="1"/>
      <x v="1"/>
      <x v="1049"/>
      <x v="606"/>
    </i>
    <i>
      <x v="841"/>
      <x v="8"/>
      <x v="35"/>
      <x v="64"/>
      <x v="1"/>
      <x v="3"/>
      <x v="1050"/>
      <x v="607"/>
    </i>
    <i>
      <x v="842"/>
      <x v="8"/>
      <x v="35"/>
      <x v="64"/>
      <x v="1"/>
      <x v="5"/>
      <x v="1051"/>
      <x v="608"/>
    </i>
    <i>
      <x v="843"/>
      <x v="8"/>
      <x v="35"/>
      <x v="64"/>
      <x v="1"/>
      <x v="14"/>
      <x v="1052"/>
      <x v="609"/>
    </i>
    <i>
      <x v="844"/>
      <x v="8"/>
      <x v="35"/>
      <x v="64"/>
      <x v="1"/>
      <x v="12"/>
      <x v="1053"/>
      <x v="610"/>
    </i>
    <i>
      <x v="845"/>
      <x v="8"/>
      <x v="35"/>
      <x v="64"/>
      <x v="1"/>
      <x v="10"/>
      <x v="1054"/>
      <x v="611"/>
    </i>
    <i>
      <x v="846"/>
      <x v="8"/>
      <x v="35"/>
      <x v="64"/>
      <x v="1"/>
      <x v="15"/>
      <x v="1055"/>
      <x v="612"/>
    </i>
    <i>
      <x v="847"/>
      <x v="8"/>
      <x v="35"/>
      <x v="64"/>
      <x v="1"/>
      <x v="6"/>
      <x v="1056"/>
      <x v="613"/>
    </i>
    <i>
      <x v="848"/>
      <x v="8"/>
      <x v="35"/>
      <x v="64"/>
      <x v="1"/>
      <x v="7"/>
      <x v="1057"/>
      <x v="614"/>
    </i>
    <i>
      <x v="849"/>
      <x v="8"/>
      <x v="35"/>
      <x v="64"/>
      <x v="1"/>
      <x v="4"/>
      <x v="1058"/>
      <x v="615"/>
    </i>
    <i>
      <x v="850"/>
      <x v="8"/>
      <x v="35"/>
      <x v="64"/>
      <x v="1"/>
      <x v="9"/>
      <x v="1059"/>
      <x v="616"/>
    </i>
    <i>
      <x v="851"/>
      <x v="8"/>
      <x v="35"/>
      <x v="64"/>
      <x v="1"/>
      <x v="16"/>
      <x v="1060"/>
      <x v="617"/>
    </i>
    <i>
      <x v="852"/>
      <x v="8"/>
      <x v="35"/>
      <x v="64"/>
      <x v="1"/>
      <x v="8"/>
      <x v="1061"/>
      <x v="618"/>
    </i>
    <i>
      <x v="853"/>
      <x v="8"/>
      <x v="35"/>
      <x v="64"/>
      <x v="1"/>
      <x v="2"/>
      <x v="1062"/>
      <x v="619"/>
    </i>
    <i>
      <x v="854"/>
      <x v="8"/>
      <x v="35"/>
      <x v="64"/>
      <x v="1"/>
      <x v="11"/>
      <x v="1063"/>
      <x v="620"/>
    </i>
    <i>
      <x v="855"/>
      <x v="8"/>
      <x v="35"/>
      <x v="64"/>
      <x/>
      <x/>
      <x v="1064"/>
      <x v="621"/>
    </i>
    <i>
      <x v="856"/>
      <x v="8"/>
      <x v="35"/>
      <x v="64"/>
      <x v="1"/>
      <x v="13"/>
      <x v="1065"/>
      <x v="622"/>
    </i>
    <i>
      <x v="857"/>
      <x v="8"/>
      <x v="35"/>
      <x v="64"/>
      <x v="1"/>
      <x v="1"/>
      <x v="1066"/>
      <x v="623"/>
    </i>
    <i>
      <x v="858"/>
      <x v="8"/>
      <x v="35"/>
      <x v="64"/>
      <x v="1"/>
      <x v="3"/>
      <x v="1067"/>
      <x v="624"/>
    </i>
    <i>
      <x v="859"/>
      <x v="8"/>
      <x v="35"/>
      <x v="64"/>
      <x v="1"/>
      <x v="5"/>
      <x v="1068"/>
      <x v="625"/>
    </i>
    <i>
      <x v="860"/>
      <x v="8"/>
      <x v="35"/>
      <x v="64"/>
      <x v="1"/>
      <x v="14"/>
      <x v="1069"/>
      <x v="626"/>
    </i>
    <i>
      <x v="861"/>
      <x v="8"/>
      <x v="35"/>
      <x v="64"/>
      <x v="1"/>
      <x v="12"/>
      <x v="1070"/>
      <x v="627"/>
    </i>
    <i>
      <x v="862"/>
      <x v="8"/>
      <x v="35"/>
      <x v="64"/>
      <x v="1"/>
      <x v="10"/>
      <x v="1071"/>
      <x v="628"/>
    </i>
    <i>
      <x v="863"/>
      <x v="8"/>
      <x v="35"/>
      <x v="64"/>
      <x v="1"/>
      <x v="15"/>
      <x v="1072"/>
      <x v="629"/>
    </i>
    <i>
      <x v="864"/>
      <x v="8"/>
      <x v="35"/>
      <x v="64"/>
      <x v="1"/>
      <x v="6"/>
      <x v="1073"/>
      <x v="630"/>
    </i>
    <i>
      <x v="865"/>
      <x v="8"/>
      <x v="35"/>
      <x v="64"/>
      <x v="1"/>
      <x v="7"/>
      <x v="1074"/>
      <x v="631"/>
    </i>
    <i>
      <x v="866"/>
      <x v="8"/>
      <x v="35"/>
      <x v="64"/>
      <x v="1"/>
      <x v="4"/>
      <x v="1075"/>
      <x v="632"/>
    </i>
    <i>
      <x v="867"/>
      <x v="8"/>
      <x v="35"/>
      <x v="64"/>
      <x v="1"/>
      <x v="9"/>
      <x v="1076"/>
      <x v="633"/>
    </i>
    <i>
      <x v="868"/>
      <x v="8"/>
      <x v="35"/>
      <x v="64"/>
      <x v="1"/>
      <x v="16"/>
      <x v="1077"/>
      <x v="634"/>
    </i>
    <i>
      <x v="869"/>
      <x v="8"/>
      <x v="35"/>
      <x v="64"/>
      <x v="1"/>
      <x v="8"/>
      <x v="1078"/>
      <x v="635"/>
    </i>
    <i>
      <x v="870"/>
      <x v="8"/>
      <x v="35"/>
      <x v="64"/>
      <x v="1"/>
      <x v="2"/>
      <x v="1079"/>
      <x v="636"/>
    </i>
    <i>
      <x v="871"/>
      <x v="8"/>
      <x v="35"/>
      <x v="64"/>
      <x v="1"/>
      <x v="11"/>
      <x v="1080"/>
      <x v="637"/>
    </i>
    <i>
      <x v="872"/>
      <x v="8"/>
      <x v="35"/>
      <x v="64"/>
      <x/>
      <x/>
      <x v="1081"/>
      <x v="638"/>
    </i>
    <i>
      <x v="873"/>
      <x v="8"/>
      <x v="35"/>
      <x v="64"/>
      <x v="1"/>
      <x v="13"/>
      <x v="1082"/>
      <x v="639"/>
    </i>
    <i>
      <x v="874"/>
      <x v="8"/>
      <x v="35"/>
      <x v="64"/>
      <x v="1"/>
      <x v="1"/>
      <x v="1083"/>
      <x v="640"/>
    </i>
    <i>
      <x v="875"/>
      <x v="8"/>
      <x v="35"/>
      <x v="64"/>
      <x v="1"/>
      <x v="3"/>
      <x v="1084"/>
      <x v="641"/>
    </i>
    <i>
      <x v="876"/>
      <x v="8"/>
      <x v="35"/>
      <x v="64"/>
      <x v="1"/>
      <x v="5"/>
      <x v="1085"/>
      <x v="642"/>
    </i>
    <i>
      <x v="877"/>
      <x v="8"/>
      <x v="35"/>
      <x v="64"/>
      <x v="1"/>
      <x v="14"/>
      <x v="1086"/>
      <x v="643"/>
    </i>
    <i>
      <x v="878"/>
      <x v="8"/>
      <x v="35"/>
      <x v="64"/>
      <x v="1"/>
      <x v="12"/>
      <x v="1087"/>
      <x v="644"/>
    </i>
    <i>
      <x v="879"/>
      <x v="8"/>
      <x v="35"/>
      <x v="64"/>
      <x v="1"/>
      <x v="10"/>
      <x v="1088"/>
      <x v="645"/>
    </i>
    <i>
      <x v="880"/>
      <x v="8"/>
      <x v="35"/>
      <x v="64"/>
      <x v="1"/>
      <x v="15"/>
      <x v="1089"/>
      <x v="646"/>
    </i>
    <i>
      <x v="881"/>
      <x v="8"/>
      <x v="35"/>
      <x v="64"/>
      <x v="1"/>
      <x v="6"/>
      <x v="1090"/>
      <x v="647"/>
    </i>
    <i>
      <x v="882"/>
      <x v="8"/>
      <x v="35"/>
      <x v="64"/>
      <x v="1"/>
      <x v="7"/>
      <x v="1091"/>
      <x v="648"/>
    </i>
    <i>
      <x v="883"/>
      <x v="8"/>
      <x v="35"/>
      <x v="64"/>
      <x v="1"/>
      <x v="4"/>
      <x v="1092"/>
      <x v="649"/>
    </i>
    <i>
      <x v="884"/>
      <x v="8"/>
      <x v="35"/>
      <x v="64"/>
      <x v="1"/>
      <x v="9"/>
      <x v="1093"/>
      <x v="650"/>
    </i>
    <i>
      <x v="885"/>
      <x v="8"/>
      <x v="35"/>
      <x v="64"/>
      <x v="1"/>
      <x v="16"/>
      <x v="1094"/>
      <x v="651"/>
    </i>
    <i>
      <x v="886"/>
      <x v="8"/>
      <x v="35"/>
      <x v="64"/>
      <x v="1"/>
      <x v="8"/>
      <x v="1095"/>
      <x v="652"/>
    </i>
    <i>
      <x v="887"/>
      <x v="8"/>
      <x v="35"/>
      <x v="64"/>
      <x v="1"/>
      <x v="2"/>
      <x v="1096"/>
      <x v="653"/>
    </i>
    <i>
      <x v="888"/>
      <x v="8"/>
      <x v="35"/>
      <x v="64"/>
      <x v="1"/>
      <x v="11"/>
      <x v="1097"/>
      <x v="654"/>
    </i>
    <i>
      <x v="889"/>
      <x v="1"/>
      <x v="76"/>
      <x v="62"/>
      <x/>
      <x/>
      <x v="1098"/>
      <x v="655"/>
    </i>
    <i>
      <x v="890"/>
      <x v="1"/>
      <x v="76"/>
      <x v="62"/>
      <x v="1"/>
      <x v="13"/>
      <x v="1099"/>
      <x v="656"/>
    </i>
    <i>
      <x v="891"/>
      <x v="1"/>
      <x v="76"/>
      <x v="62"/>
      <x v="1"/>
      <x v="1"/>
      <x v="1100"/>
      <x v="657"/>
    </i>
    <i>
      <x v="892"/>
      <x v="1"/>
      <x v="76"/>
      <x v="62"/>
      <x v="1"/>
      <x v="3"/>
      <x v="1101"/>
      <x v="658"/>
    </i>
    <i>
      <x v="893"/>
      <x v="1"/>
      <x v="76"/>
      <x v="62"/>
      <x v="1"/>
      <x v="5"/>
      <x v="1102"/>
      <x v="659"/>
    </i>
    <i>
      <x v="894"/>
      <x v="1"/>
      <x v="76"/>
      <x v="62"/>
      <x v="1"/>
      <x v="14"/>
      <x v="1103"/>
      <x v="660"/>
    </i>
    <i>
      <x v="895"/>
      <x v="1"/>
      <x v="76"/>
      <x v="62"/>
      <x v="1"/>
      <x v="12"/>
      <x v="1104"/>
      <x v="661"/>
    </i>
    <i>
      <x v="896"/>
      <x v="1"/>
      <x v="76"/>
      <x v="62"/>
      <x v="1"/>
      <x v="10"/>
      <x v="1105"/>
      <x v="662"/>
    </i>
    <i>
      <x v="897"/>
      <x v="1"/>
      <x v="76"/>
      <x v="62"/>
      <x v="1"/>
      <x v="15"/>
      <x v="1106"/>
      <x v="663"/>
    </i>
    <i>
      <x v="898"/>
      <x v="1"/>
      <x v="76"/>
      <x v="62"/>
      <x v="1"/>
      <x v="6"/>
      <x v="1107"/>
      <x v="664"/>
    </i>
    <i>
      <x v="899"/>
      <x v="1"/>
      <x v="76"/>
      <x v="62"/>
      <x v="1"/>
      <x v="7"/>
      <x v="1108"/>
      <x v="665"/>
    </i>
    <i>
      <x v="900"/>
      <x v="1"/>
      <x v="76"/>
      <x v="62"/>
      <x v="1"/>
      <x v="4"/>
      <x v="1109"/>
      <x v="666"/>
    </i>
    <i>
      <x v="901"/>
      <x v="1"/>
      <x v="76"/>
      <x v="62"/>
      <x v="1"/>
      <x v="9"/>
      <x v="1110"/>
      <x v="667"/>
    </i>
    <i>
      <x v="902"/>
      <x v="1"/>
      <x v="76"/>
      <x v="62"/>
      <x v="1"/>
      <x v="16"/>
      <x v="1111"/>
      <x v="668"/>
    </i>
    <i>
      <x v="903"/>
      <x v="1"/>
      <x v="76"/>
      <x v="62"/>
      <x v="1"/>
      <x v="8"/>
      <x v="1112"/>
      <x v="669"/>
    </i>
    <i>
      <x v="904"/>
      <x v="1"/>
      <x v="76"/>
      <x v="62"/>
      <x v="1"/>
      <x v="2"/>
      <x v="1113"/>
      <x v="670"/>
    </i>
    <i>
      <x v="905"/>
      <x v="1"/>
      <x v="76"/>
      <x v="62"/>
      <x v="1"/>
      <x v="11"/>
      <x v="1114"/>
      <x v="671"/>
    </i>
    <i>
      <x v="906"/>
      <x v="1"/>
      <x v="161"/>
      <x v="62"/>
      <x/>
      <x/>
      <x v="1115"/>
      <x v="672"/>
    </i>
    <i>
      <x v="907"/>
      <x v="1"/>
      <x v="161"/>
      <x v="62"/>
      <x v="1"/>
      <x v="13"/>
      <x v="1116"/>
      <x v="673"/>
    </i>
    <i>
      <x v="908"/>
      <x v="1"/>
      <x v="161"/>
      <x v="62"/>
      <x v="1"/>
      <x v="1"/>
      <x v="1117"/>
      <x v="674"/>
    </i>
    <i>
      <x v="909"/>
      <x v="1"/>
      <x v="161"/>
      <x v="62"/>
      <x v="1"/>
      <x v="3"/>
      <x v="1118"/>
      <x v="675"/>
    </i>
    <i>
      <x v="910"/>
      <x v="1"/>
      <x v="161"/>
      <x v="62"/>
      <x v="1"/>
      <x v="5"/>
      <x v="1119"/>
      <x v="676"/>
    </i>
    <i>
      <x v="911"/>
      <x v="1"/>
      <x v="161"/>
      <x v="62"/>
      <x v="1"/>
      <x v="14"/>
      <x v="1120"/>
      <x v="677"/>
    </i>
    <i>
      <x v="912"/>
      <x v="1"/>
      <x v="161"/>
      <x v="62"/>
      <x v="1"/>
      <x v="12"/>
      <x v="1121"/>
      <x v="678"/>
    </i>
    <i>
      <x v="913"/>
      <x v="1"/>
      <x v="161"/>
      <x v="62"/>
      <x v="1"/>
      <x v="10"/>
      <x v="1122"/>
      <x v="679"/>
    </i>
    <i>
      <x v="914"/>
      <x v="1"/>
      <x v="161"/>
      <x v="62"/>
      <x v="1"/>
      <x v="15"/>
      <x v="1123"/>
      <x v="680"/>
    </i>
    <i>
      <x v="915"/>
      <x v="1"/>
      <x v="161"/>
      <x v="62"/>
      <x v="1"/>
      <x v="6"/>
      <x v="1124"/>
      <x v="681"/>
    </i>
    <i>
      <x v="916"/>
      <x v="1"/>
      <x v="161"/>
      <x v="62"/>
      <x v="1"/>
      <x v="7"/>
      <x v="1125"/>
      <x v="682"/>
    </i>
    <i>
      <x v="917"/>
      <x v="1"/>
      <x v="161"/>
      <x v="62"/>
      <x v="1"/>
      <x v="4"/>
      <x v="1126"/>
      <x v="683"/>
    </i>
    <i>
      <x v="918"/>
      <x v="1"/>
      <x v="161"/>
      <x v="62"/>
      <x v="1"/>
      <x v="9"/>
      <x v="1127"/>
      <x v="684"/>
    </i>
    <i>
      <x v="919"/>
      <x v="1"/>
      <x v="161"/>
      <x v="62"/>
      <x v="1"/>
      <x v="16"/>
      <x v="1128"/>
      <x v="685"/>
    </i>
    <i>
      <x v="920"/>
      <x v="1"/>
      <x v="161"/>
      <x v="62"/>
      <x v="1"/>
      <x v="8"/>
      <x v="1129"/>
      <x v="686"/>
    </i>
    <i>
      <x v="921"/>
      <x v="1"/>
      <x v="161"/>
      <x v="62"/>
      <x v="1"/>
      <x v="2"/>
      <x v="1130"/>
      <x v="687"/>
    </i>
    <i>
      <x v="922"/>
      <x v="1"/>
      <x v="161"/>
      <x v="62"/>
      <x v="1"/>
      <x v="11"/>
      <x v="1131"/>
      <x v="688"/>
    </i>
    <i>
      <x v="923"/>
      <x v="1"/>
      <x v="76"/>
      <x v="62"/>
      <x/>
      <x/>
      <x v="1132"/>
      <x v="1888"/>
    </i>
    <i>
      <x v="924"/>
      <x v="1"/>
      <x v="76"/>
      <x v="62"/>
      <x v="1"/>
      <x v="13"/>
      <x v="1133"/>
      <x v="1889"/>
    </i>
    <i>
      <x v="925"/>
      <x v="1"/>
      <x v="76"/>
      <x v="62"/>
      <x v="1"/>
      <x v="1"/>
      <x v="1134"/>
      <x v="1890"/>
    </i>
    <i>
      <x v="926"/>
      <x v="1"/>
      <x v="76"/>
      <x v="62"/>
      <x v="1"/>
      <x v="3"/>
      <x v="1135"/>
      <x v="1891"/>
    </i>
    <i>
      <x v="927"/>
      <x v="1"/>
      <x v="76"/>
      <x v="62"/>
      <x v="1"/>
      <x v="5"/>
      <x v="1136"/>
      <x v="1892"/>
    </i>
    <i>
      <x v="928"/>
      <x v="1"/>
      <x v="76"/>
      <x v="62"/>
      <x v="1"/>
      <x v="14"/>
      <x v="1137"/>
      <x v="1893"/>
    </i>
    <i>
      <x v="929"/>
      <x v="1"/>
      <x v="76"/>
      <x v="62"/>
      <x v="1"/>
      <x v="12"/>
      <x v="1138"/>
      <x v="1894"/>
    </i>
    <i>
      <x v="930"/>
      <x v="1"/>
      <x v="76"/>
      <x v="62"/>
      <x v="1"/>
      <x v="10"/>
      <x v="1139"/>
      <x v="1895"/>
    </i>
    <i>
      <x v="931"/>
      <x v="1"/>
      <x v="76"/>
      <x v="62"/>
      <x v="1"/>
      <x v="15"/>
      <x v="1140"/>
      <x v="1896"/>
    </i>
    <i>
      <x v="932"/>
      <x v="1"/>
      <x v="76"/>
      <x v="62"/>
      <x v="1"/>
      <x v="6"/>
      <x v="1141"/>
      <x v="1897"/>
    </i>
    <i>
      <x v="933"/>
      <x v="1"/>
      <x v="76"/>
      <x v="62"/>
      <x v="1"/>
      <x v="7"/>
      <x v="1142"/>
      <x v="1898"/>
    </i>
    <i>
      <x v="934"/>
      <x v="1"/>
      <x v="76"/>
      <x v="62"/>
      <x v="1"/>
      <x v="4"/>
      <x v="1143"/>
      <x v="1899"/>
    </i>
    <i>
      <x v="935"/>
      <x v="1"/>
      <x v="76"/>
      <x v="62"/>
      <x v="1"/>
      <x v="9"/>
      <x v="1144"/>
      <x v="1900"/>
    </i>
    <i>
      <x v="936"/>
      <x v="1"/>
      <x v="76"/>
      <x v="62"/>
      <x v="1"/>
      <x v="16"/>
      <x v="1145"/>
      <x v="1901"/>
    </i>
    <i>
      <x v="937"/>
      <x v="1"/>
      <x v="76"/>
      <x v="62"/>
      <x v="1"/>
      <x v="8"/>
      <x v="1146"/>
      <x v="1902"/>
    </i>
    <i>
      <x v="938"/>
      <x v="1"/>
      <x v="76"/>
      <x v="62"/>
      <x v="1"/>
      <x v="2"/>
      <x v="1147"/>
      <x v="1903"/>
    </i>
    <i>
      <x v="939"/>
      <x v="1"/>
      <x v="76"/>
      <x v="62"/>
      <x v="1"/>
      <x v="11"/>
      <x v="1148"/>
      <x v="1904"/>
    </i>
    <i>
      <x v="940"/>
      <x v="1"/>
      <x v="162"/>
      <x v="62"/>
      <x/>
      <x/>
      <x v="1149"/>
      <x v="689"/>
    </i>
    <i>
      <x v="941"/>
      <x v="1"/>
      <x v="162"/>
      <x v="62"/>
      <x v="1"/>
      <x v="13"/>
      <x v="1150"/>
      <x v="690"/>
    </i>
    <i>
      <x v="942"/>
      <x v="1"/>
      <x v="162"/>
      <x v="62"/>
      <x v="1"/>
      <x v="1"/>
      <x v="1151"/>
      <x v="691"/>
    </i>
    <i>
      <x v="943"/>
      <x v="1"/>
      <x v="162"/>
      <x v="62"/>
      <x v="1"/>
      <x v="3"/>
      <x v="1152"/>
      <x v="692"/>
    </i>
    <i>
      <x v="944"/>
      <x v="1"/>
      <x v="162"/>
      <x v="62"/>
      <x v="1"/>
      <x v="5"/>
      <x v="1153"/>
      <x v="693"/>
    </i>
    <i>
      <x v="945"/>
      <x v="1"/>
      <x v="162"/>
      <x v="62"/>
      <x v="1"/>
      <x v="14"/>
      <x v="1154"/>
      <x v="694"/>
    </i>
    <i>
      <x v="946"/>
      <x v="1"/>
      <x v="162"/>
      <x v="62"/>
      <x v="1"/>
      <x v="12"/>
      <x v="1155"/>
      <x v="695"/>
    </i>
    <i>
      <x v="947"/>
      <x v="1"/>
      <x v="162"/>
      <x v="62"/>
      <x v="1"/>
      <x v="10"/>
      <x v="1156"/>
      <x v="696"/>
    </i>
    <i>
      <x v="948"/>
      <x v="1"/>
      <x v="162"/>
      <x v="62"/>
      <x v="1"/>
      <x v="15"/>
      <x v="1157"/>
      <x v="697"/>
    </i>
    <i>
      <x v="949"/>
      <x v="1"/>
      <x v="162"/>
      <x v="62"/>
      <x v="1"/>
      <x v="6"/>
      <x v="1158"/>
      <x v="698"/>
    </i>
    <i>
      <x v="950"/>
      <x v="1"/>
      <x v="162"/>
      <x v="62"/>
      <x v="1"/>
      <x v="7"/>
      <x v="1159"/>
      <x v="699"/>
    </i>
    <i>
      <x v="951"/>
      <x v="1"/>
      <x v="162"/>
      <x v="62"/>
      <x v="1"/>
      <x v="4"/>
      <x v="1160"/>
      <x v="700"/>
    </i>
    <i>
      <x v="952"/>
      <x v="1"/>
      <x v="162"/>
      <x v="62"/>
      <x v="1"/>
      <x v="9"/>
      <x v="1161"/>
      <x v="701"/>
    </i>
    <i>
      <x v="953"/>
      <x v="1"/>
      <x v="162"/>
      <x v="62"/>
      <x v="1"/>
      <x v="16"/>
      <x v="1162"/>
      <x v="702"/>
    </i>
    <i>
      <x v="954"/>
      <x v="1"/>
      <x v="162"/>
      <x v="62"/>
      <x v="1"/>
      <x v="8"/>
      <x v="1163"/>
      <x v="703"/>
    </i>
    <i>
      <x v="955"/>
      <x v="1"/>
      <x v="162"/>
      <x v="62"/>
      <x v="1"/>
      <x v="2"/>
      <x v="1164"/>
      <x v="704"/>
    </i>
    <i>
      <x v="956"/>
      <x v="1"/>
      <x v="162"/>
      <x v="62"/>
      <x v="1"/>
      <x v="11"/>
      <x v="1165"/>
      <x v="705"/>
    </i>
    <i>
      <x v="957"/>
      <x v="1"/>
      <x v="163"/>
      <x v="62"/>
      <x/>
      <x/>
      <x v="1166"/>
      <x v="1338"/>
    </i>
    <i>
      <x v="958"/>
      <x v="1"/>
      <x v="163"/>
      <x v="62"/>
      <x v="1"/>
      <x v="13"/>
      <x v="1167"/>
      <x v="1339"/>
    </i>
    <i>
      <x v="959"/>
      <x v="1"/>
      <x v="163"/>
      <x v="62"/>
      <x v="1"/>
      <x v="1"/>
      <x v="1168"/>
      <x v="1340"/>
    </i>
    <i>
      <x v="960"/>
      <x v="1"/>
      <x v="163"/>
      <x v="62"/>
      <x v="1"/>
      <x v="3"/>
      <x v="1169"/>
      <x v="1341"/>
    </i>
    <i>
      <x v="961"/>
      <x v="1"/>
      <x v="163"/>
      <x v="62"/>
      <x v="1"/>
      <x v="5"/>
      <x v="1170"/>
      <x v="1342"/>
    </i>
    <i>
      <x v="962"/>
      <x v="1"/>
      <x v="163"/>
      <x v="62"/>
      <x v="1"/>
      <x v="14"/>
      <x v="1171"/>
      <x v="1343"/>
    </i>
    <i>
      <x v="963"/>
      <x v="1"/>
      <x v="163"/>
      <x v="62"/>
      <x v="1"/>
      <x v="12"/>
      <x v="1172"/>
      <x v="1344"/>
    </i>
    <i>
      <x v="964"/>
      <x v="1"/>
      <x v="163"/>
      <x v="62"/>
      <x v="1"/>
      <x v="10"/>
      <x v="1173"/>
      <x v="1345"/>
    </i>
    <i>
      <x v="965"/>
      <x v="1"/>
      <x v="163"/>
      <x v="62"/>
      <x v="1"/>
      <x v="15"/>
      <x v="1174"/>
      <x v="1346"/>
    </i>
    <i>
      <x v="966"/>
      <x v="1"/>
      <x v="163"/>
      <x v="62"/>
      <x v="1"/>
      <x v="6"/>
      <x v="1175"/>
      <x v="1347"/>
    </i>
    <i>
      <x v="967"/>
      <x v="1"/>
      <x v="163"/>
      <x v="62"/>
      <x v="1"/>
      <x v="7"/>
      <x v="1176"/>
      <x v="1348"/>
    </i>
    <i>
      <x v="968"/>
      <x v="1"/>
      <x v="163"/>
      <x v="62"/>
      <x v="1"/>
      <x v="4"/>
      <x v="1177"/>
      <x v="1349"/>
    </i>
    <i>
      <x v="969"/>
      <x v="1"/>
      <x v="163"/>
      <x v="62"/>
      <x v="1"/>
      <x v="9"/>
      <x v="1178"/>
      <x v="1350"/>
    </i>
    <i>
      <x v="970"/>
      <x v="1"/>
      <x v="163"/>
      <x v="62"/>
      <x v="1"/>
      <x v="16"/>
      <x v="1179"/>
      <x v="1351"/>
    </i>
    <i>
      <x v="971"/>
      <x v="1"/>
      <x v="163"/>
      <x v="62"/>
      <x v="1"/>
      <x v="8"/>
      <x v="1180"/>
      <x v="1352"/>
    </i>
    <i>
      <x v="972"/>
      <x v="1"/>
      <x v="163"/>
      <x v="62"/>
      <x v="1"/>
      <x v="2"/>
      <x v="1181"/>
      <x v="1353"/>
    </i>
    <i>
      <x v="973"/>
      <x v="1"/>
      <x v="163"/>
      <x v="62"/>
      <x v="1"/>
      <x v="11"/>
      <x v="1182"/>
      <x v="1354"/>
    </i>
    <i>
      <x v="974"/>
      <x v="6"/>
      <x v="34"/>
      <x v="63"/>
      <x/>
      <x/>
      <x v="1183"/>
      <x v="706"/>
    </i>
    <i>
      <x v="975"/>
      <x v="6"/>
      <x v="34"/>
      <x v="63"/>
      <x v="1"/>
      <x v="13"/>
      <x v="1184"/>
      <x v="707"/>
    </i>
    <i>
      <x v="976"/>
      <x v="6"/>
      <x v="34"/>
      <x v="63"/>
      <x v="1"/>
      <x v="1"/>
      <x v="1185"/>
      <x v="708"/>
    </i>
    <i>
      <x v="977"/>
      <x v="6"/>
      <x v="34"/>
      <x v="63"/>
      <x v="1"/>
      <x v="3"/>
      <x v="1186"/>
      <x v="709"/>
    </i>
    <i>
      <x v="978"/>
      <x v="6"/>
      <x v="34"/>
      <x v="63"/>
      <x v="1"/>
      <x v="5"/>
      <x v="1187"/>
      <x v="710"/>
    </i>
    <i>
      <x v="979"/>
      <x v="6"/>
      <x v="34"/>
      <x v="63"/>
      <x v="1"/>
      <x v="14"/>
      <x v="1188"/>
      <x v="711"/>
    </i>
    <i>
      <x v="980"/>
      <x v="6"/>
      <x v="34"/>
      <x v="63"/>
      <x v="1"/>
      <x v="12"/>
      <x v="1189"/>
      <x v="712"/>
    </i>
    <i>
      <x v="981"/>
      <x v="6"/>
      <x v="34"/>
      <x v="63"/>
      <x v="1"/>
      <x v="10"/>
      <x v="1190"/>
      <x v="713"/>
    </i>
    <i>
      <x v="982"/>
      <x v="6"/>
      <x v="34"/>
      <x v="63"/>
      <x v="1"/>
      <x v="15"/>
      <x v="1191"/>
      <x v="714"/>
    </i>
    <i>
      <x v="983"/>
      <x v="6"/>
      <x v="34"/>
      <x v="63"/>
      <x v="1"/>
      <x v="6"/>
      <x v="1192"/>
      <x v="715"/>
    </i>
    <i>
      <x v="984"/>
      <x v="6"/>
      <x v="34"/>
      <x v="63"/>
      <x v="1"/>
      <x v="7"/>
      <x v="1193"/>
      <x v="716"/>
    </i>
    <i>
      <x v="985"/>
      <x v="6"/>
      <x v="34"/>
      <x v="63"/>
      <x v="1"/>
      <x v="4"/>
      <x v="1194"/>
      <x v="717"/>
    </i>
    <i>
      <x v="986"/>
      <x v="6"/>
      <x v="34"/>
      <x v="63"/>
      <x v="1"/>
      <x v="9"/>
      <x v="1195"/>
      <x v="718"/>
    </i>
    <i>
      <x v="987"/>
      <x v="6"/>
      <x v="34"/>
      <x v="63"/>
      <x v="1"/>
      <x v="16"/>
      <x v="1196"/>
      <x v="719"/>
    </i>
    <i>
      <x v="988"/>
      <x v="6"/>
      <x v="34"/>
      <x v="63"/>
      <x v="1"/>
      <x v="8"/>
      <x v="1197"/>
      <x v="720"/>
    </i>
    <i>
      <x v="989"/>
      <x v="6"/>
      <x v="34"/>
      <x v="63"/>
      <x v="1"/>
      <x v="2"/>
      <x v="1198"/>
      <x v="721"/>
    </i>
    <i>
      <x v="990"/>
      <x v="6"/>
      <x v="34"/>
      <x v="63"/>
      <x v="1"/>
      <x v="11"/>
      <x v="1199"/>
      <x v="722"/>
    </i>
    <i>
      <x v="991"/>
      <x v="6"/>
      <x v="34"/>
      <x v="63"/>
      <x/>
      <x/>
      <x v="1200"/>
      <x v="723"/>
    </i>
    <i>
      <x v="992"/>
      <x v="6"/>
      <x v="34"/>
      <x v="63"/>
      <x v="1"/>
      <x v="13"/>
      <x v="1201"/>
      <x v="724"/>
    </i>
    <i>
      <x v="993"/>
      <x v="6"/>
      <x v="34"/>
      <x v="63"/>
      <x v="1"/>
      <x v="1"/>
      <x v="1202"/>
      <x v="725"/>
    </i>
    <i>
      <x v="994"/>
      <x v="6"/>
      <x v="34"/>
      <x v="63"/>
      <x v="1"/>
      <x v="3"/>
      <x v="1203"/>
      <x v="726"/>
    </i>
    <i>
      <x v="995"/>
      <x v="6"/>
      <x v="34"/>
      <x v="63"/>
      <x v="1"/>
      <x v="5"/>
      <x v="1204"/>
      <x v="727"/>
    </i>
    <i>
      <x v="996"/>
      <x v="6"/>
      <x v="34"/>
      <x v="63"/>
      <x v="1"/>
      <x v="14"/>
      <x v="1205"/>
      <x v="728"/>
    </i>
    <i>
      <x v="997"/>
      <x v="6"/>
      <x v="34"/>
      <x v="63"/>
      <x v="1"/>
      <x v="12"/>
      <x v="1206"/>
      <x v="729"/>
    </i>
    <i>
      <x v="998"/>
      <x v="6"/>
      <x v="34"/>
      <x v="63"/>
      <x v="1"/>
      <x v="10"/>
      <x v="1207"/>
      <x v="730"/>
    </i>
    <i>
      <x v="999"/>
      <x v="6"/>
      <x v="34"/>
      <x v="63"/>
      <x v="1"/>
      <x v="15"/>
      <x v="1208"/>
      <x v="731"/>
    </i>
    <i>
      <x v="1000"/>
      <x v="6"/>
      <x v="34"/>
      <x v="63"/>
      <x v="1"/>
      <x v="6"/>
      <x v="1209"/>
      <x v="732"/>
    </i>
    <i>
      <x v="1001"/>
      <x v="6"/>
      <x v="34"/>
      <x v="63"/>
      <x v="1"/>
      <x v="7"/>
      <x v="1210"/>
      <x v="733"/>
    </i>
    <i>
      <x v="1002"/>
      <x v="6"/>
      <x v="34"/>
      <x v="63"/>
      <x v="1"/>
      <x v="4"/>
      <x v="1211"/>
      <x v="734"/>
    </i>
    <i>
      <x v="1003"/>
      <x v="6"/>
      <x v="34"/>
      <x v="63"/>
      <x v="1"/>
      <x v="9"/>
      <x v="1212"/>
      <x v="735"/>
    </i>
    <i>
      <x v="1004"/>
      <x v="6"/>
      <x v="34"/>
      <x v="63"/>
      <x v="1"/>
      <x v="16"/>
      <x v="1213"/>
      <x v="736"/>
    </i>
    <i>
      <x v="1005"/>
      <x v="6"/>
      <x v="34"/>
      <x v="63"/>
      <x v="1"/>
      <x v="8"/>
      <x v="1214"/>
      <x v="737"/>
    </i>
    <i>
      <x v="1006"/>
      <x v="6"/>
      <x v="34"/>
      <x v="63"/>
      <x v="1"/>
      <x v="2"/>
      <x v="1215"/>
      <x v="738"/>
    </i>
    <i>
      <x v="1007"/>
      <x v="6"/>
      <x v="34"/>
      <x v="63"/>
      <x v="1"/>
      <x v="11"/>
      <x v="1216"/>
      <x v="739"/>
    </i>
    <i>
      <x v="1008"/>
      <x v="8"/>
      <x v="35"/>
      <x v="64"/>
      <x/>
      <x/>
      <x v="1217"/>
      <x v="740"/>
    </i>
    <i>
      <x v="1009"/>
      <x v="8"/>
      <x v="35"/>
      <x v="64"/>
      <x v="1"/>
      <x v="13"/>
      <x v="1218"/>
      <x v="724"/>
    </i>
    <i>
      <x v="1010"/>
      <x v="8"/>
      <x v="35"/>
      <x v="64"/>
      <x v="1"/>
      <x v="1"/>
      <x v="1219"/>
      <x v="725"/>
    </i>
    <i>
      <x v="1011"/>
      <x v="8"/>
      <x v="35"/>
      <x v="64"/>
      <x v="1"/>
      <x v="3"/>
      <x v="1220"/>
      <x v="726"/>
    </i>
    <i>
      <x v="1012"/>
      <x v="8"/>
      <x v="35"/>
      <x v="64"/>
      <x v="1"/>
      <x v="5"/>
      <x v="1221"/>
      <x v="727"/>
    </i>
    <i>
      <x v="1013"/>
      <x v="8"/>
      <x v="35"/>
      <x v="64"/>
      <x v="1"/>
      <x v="14"/>
      <x v="1222"/>
      <x v="728"/>
    </i>
    <i>
      <x v="1014"/>
      <x v="8"/>
      <x v="35"/>
      <x v="64"/>
      <x v="1"/>
      <x v="12"/>
      <x v="1223"/>
      <x v="729"/>
    </i>
    <i>
      <x v="1015"/>
      <x v="8"/>
      <x v="35"/>
      <x v="64"/>
      <x v="1"/>
      <x v="10"/>
      <x v="1224"/>
      <x v="730"/>
    </i>
    <i>
      <x v="1016"/>
      <x v="8"/>
      <x v="35"/>
      <x v="64"/>
      <x v="1"/>
      <x v="15"/>
      <x v="1225"/>
      <x v="731"/>
    </i>
    <i>
      <x v="1017"/>
      <x v="8"/>
      <x v="35"/>
      <x v="64"/>
      <x v="1"/>
      <x v="6"/>
      <x v="1226"/>
      <x v="732"/>
    </i>
    <i>
      <x v="1018"/>
      <x v="8"/>
      <x v="35"/>
      <x v="64"/>
      <x v="1"/>
      <x v="7"/>
      <x v="1227"/>
      <x v="733"/>
    </i>
    <i>
      <x v="1019"/>
      <x v="8"/>
      <x v="35"/>
      <x v="64"/>
      <x v="1"/>
      <x v="4"/>
      <x v="1228"/>
      <x v="734"/>
    </i>
    <i>
      <x v="1020"/>
      <x v="8"/>
      <x v="35"/>
      <x v="64"/>
      <x v="1"/>
      <x v="9"/>
      <x v="1229"/>
      <x v="735"/>
    </i>
    <i>
      <x v="1021"/>
      <x v="8"/>
      <x v="35"/>
      <x v="64"/>
      <x v="1"/>
      <x v="16"/>
      <x v="1230"/>
      <x v="736"/>
    </i>
    <i>
      <x v="1022"/>
      <x v="8"/>
      <x v="35"/>
      <x v="64"/>
      <x v="1"/>
      <x v="8"/>
      <x v="1231"/>
      <x v="737"/>
    </i>
    <i>
      <x v="1023"/>
      <x v="8"/>
      <x v="35"/>
      <x v="64"/>
      <x v="1"/>
      <x v="2"/>
      <x v="1232"/>
      <x v="738"/>
    </i>
    <i>
      <x v="1024"/>
      <x v="8"/>
      <x v="35"/>
      <x v="64"/>
      <x v="1"/>
      <x v="11"/>
      <x v="1233"/>
      <x v="739"/>
    </i>
    <i>
      <x v="1025"/>
      <x v="5"/>
      <x v="115"/>
      <x v="72"/>
      <x/>
      <x/>
      <x v="1235"/>
      <x v="741"/>
    </i>
    <i>
      <x v="1026"/>
      <x v="5"/>
      <x v="115"/>
      <x v="72"/>
      <x v="1"/>
      <x v="13"/>
      <x v="1236"/>
      <x v="742"/>
    </i>
    <i>
      <x v="1027"/>
      <x v="5"/>
      <x v="115"/>
      <x v="72"/>
      <x v="1"/>
      <x v="1"/>
      <x v="1237"/>
      <x v="743"/>
    </i>
    <i>
      <x v="1028"/>
      <x v="5"/>
      <x v="115"/>
      <x v="72"/>
      <x v="1"/>
      <x v="3"/>
      <x v="1238"/>
      <x v="744"/>
    </i>
    <i>
      <x v="1029"/>
      <x v="5"/>
      <x v="115"/>
      <x v="72"/>
      <x v="1"/>
      <x v="5"/>
      <x v="1239"/>
      <x v="745"/>
    </i>
    <i>
      <x v="1030"/>
      <x v="5"/>
      <x v="115"/>
      <x v="72"/>
      <x v="1"/>
      <x v="14"/>
      <x v="1240"/>
      <x v="746"/>
    </i>
    <i>
      <x v="1031"/>
      <x v="5"/>
      <x v="115"/>
      <x v="72"/>
      <x v="1"/>
      <x v="12"/>
      <x v="1241"/>
      <x v="747"/>
    </i>
    <i>
      <x v="1032"/>
      <x v="5"/>
      <x v="115"/>
      <x v="72"/>
      <x v="1"/>
      <x v="10"/>
      <x v="1242"/>
      <x v="748"/>
    </i>
    <i>
      <x v="1033"/>
      <x v="5"/>
      <x v="115"/>
      <x v="72"/>
      <x v="1"/>
      <x v="15"/>
      <x v="1243"/>
      <x v="749"/>
    </i>
    <i>
      <x v="1034"/>
      <x v="5"/>
      <x v="115"/>
      <x v="72"/>
      <x v="1"/>
      <x v="6"/>
      <x v="1244"/>
      <x v="750"/>
    </i>
    <i>
      <x v="1035"/>
      <x v="5"/>
      <x v="115"/>
      <x v="72"/>
      <x v="1"/>
      <x v="7"/>
      <x v="1245"/>
      <x v="751"/>
    </i>
    <i>
      <x v="1036"/>
      <x v="5"/>
      <x v="115"/>
      <x v="72"/>
      <x v="1"/>
      <x v="4"/>
      <x v="1246"/>
      <x v="752"/>
    </i>
    <i>
      <x v="1037"/>
      <x v="5"/>
      <x v="115"/>
      <x v="72"/>
      <x v="1"/>
      <x v="9"/>
      <x v="1247"/>
      <x v="753"/>
    </i>
    <i>
      <x v="1038"/>
      <x v="5"/>
      <x v="115"/>
      <x v="72"/>
      <x v="1"/>
      <x v="16"/>
      <x v="1248"/>
      <x v="754"/>
    </i>
    <i>
      <x v="1039"/>
      <x v="5"/>
      <x v="115"/>
      <x v="72"/>
      <x v="1"/>
      <x v="8"/>
      <x v="1249"/>
      <x v="755"/>
    </i>
    <i>
      <x v="1040"/>
      <x v="5"/>
      <x v="115"/>
      <x v="72"/>
      <x v="1"/>
      <x v="2"/>
      <x v="1250"/>
      <x v="756"/>
    </i>
    <i>
      <x v="1041"/>
      <x v="5"/>
      <x v="115"/>
      <x v="72"/>
      <x v="1"/>
      <x v="11"/>
      <x v="1251"/>
      <x v="757"/>
    </i>
    <i>
      <x v="1042"/>
      <x v="8"/>
      <x v="102"/>
      <x v="68"/>
      <x/>
      <x/>
      <x v="1579"/>
      <x v="758"/>
    </i>
    <i>
      <x v="1043"/>
      <x v="8"/>
      <x v="102"/>
      <x v="68"/>
      <x v="1"/>
      <x v="13"/>
      <x v="1254"/>
      <x v="760"/>
    </i>
    <i>
      <x v="1044"/>
      <x v="8"/>
      <x v="102"/>
      <x v="68"/>
      <x v="1"/>
      <x v="1"/>
      <x v="1255"/>
      <x v="761"/>
    </i>
    <i>
      <x v="1045"/>
      <x v="8"/>
      <x v="102"/>
      <x v="68"/>
      <x v="1"/>
      <x v="3"/>
      <x v="1256"/>
      <x v="762"/>
    </i>
    <i>
      <x v="1046"/>
      <x v="8"/>
      <x v="102"/>
      <x v="68"/>
      <x v="1"/>
      <x v="5"/>
      <x v="1257"/>
      <x v="763"/>
    </i>
    <i>
      <x v="1047"/>
      <x v="8"/>
      <x v="102"/>
      <x v="68"/>
      <x v="1"/>
      <x v="14"/>
      <x v="1258"/>
      <x v="764"/>
    </i>
    <i>
      <x v="1048"/>
      <x v="8"/>
      <x v="102"/>
      <x v="68"/>
      <x v="1"/>
      <x v="12"/>
      <x v="1259"/>
      <x v="765"/>
    </i>
    <i>
      <x v="1049"/>
      <x v="8"/>
      <x v="102"/>
      <x v="68"/>
      <x v="1"/>
      <x v="10"/>
      <x v="1260"/>
      <x v="766"/>
    </i>
    <i>
      <x v="1050"/>
      <x v="8"/>
      <x v="102"/>
      <x v="68"/>
      <x v="1"/>
      <x v="15"/>
      <x v="1261"/>
      <x v="767"/>
    </i>
    <i>
      <x v="1051"/>
      <x v="8"/>
      <x v="102"/>
      <x v="68"/>
      <x v="1"/>
      <x v="6"/>
      <x v="1262"/>
      <x v="768"/>
    </i>
    <i>
      <x v="1052"/>
      <x v="8"/>
      <x v="102"/>
      <x v="68"/>
      <x v="1"/>
      <x v="7"/>
      <x v="1263"/>
      <x v="769"/>
    </i>
    <i>
      <x v="1053"/>
      <x v="8"/>
      <x v="102"/>
      <x v="68"/>
      <x v="1"/>
      <x v="4"/>
      <x v="1264"/>
      <x v="770"/>
    </i>
    <i>
      <x v="1054"/>
      <x v="8"/>
      <x v="102"/>
      <x v="68"/>
      <x v="1"/>
      <x v="9"/>
      <x v="1265"/>
      <x v="771"/>
    </i>
    <i>
      <x v="1055"/>
      <x v="8"/>
      <x v="102"/>
      <x v="68"/>
      <x v="1"/>
      <x v="16"/>
      <x v="1266"/>
      <x v="772"/>
    </i>
    <i>
      <x v="1056"/>
      <x v="8"/>
      <x v="102"/>
      <x v="68"/>
      <x v="1"/>
      <x v="8"/>
      <x v="1267"/>
      <x v="773"/>
    </i>
    <i>
      <x v="1057"/>
      <x v="8"/>
      <x v="102"/>
      <x v="68"/>
      <x v="1"/>
      <x v="2"/>
      <x v="1268"/>
      <x v="774"/>
    </i>
    <i>
      <x v="1058"/>
      <x v="8"/>
      <x v="102"/>
      <x v="68"/>
      <x v="1"/>
      <x v="11"/>
      <x v="1580"/>
      <x v="1081"/>
    </i>
    <i>
      <x v="1059"/>
      <x v="8"/>
      <x v="102"/>
      <x v="68"/>
      <x/>
      <x/>
      <x v="1581"/>
      <x v="775"/>
    </i>
    <i>
      <x v="1060"/>
      <x v="8"/>
      <x v="102"/>
      <x v="68"/>
      <x v="1"/>
      <x v="13"/>
      <x v="1271"/>
      <x v="777"/>
    </i>
    <i>
      <x v="1061"/>
      <x v="8"/>
      <x v="102"/>
      <x v="68"/>
      <x v="1"/>
      <x v="1"/>
      <x v="1272"/>
      <x v="778"/>
    </i>
    <i>
      <x v="1062"/>
      <x v="8"/>
      <x v="102"/>
      <x v="68"/>
      <x v="1"/>
      <x v="3"/>
      <x v="1273"/>
      <x v="779"/>
    </i>
    <i>
      <x v="1063"/>
      <x v="8"/>
      <x v="102"/>
      <x v="68"/>
      <x v="1"/>
      <x v="5"/>
      <x v="1274"/>
      <x v="780"/>
    </i>
    <i>
      <x v="1064"/>
      <x v="8"/>
      <x v="102"/>
      <x v="68"/>
      <x v="1"/>
      <x v="14"/>
      <x v="1275"/>
      <x v="781"/>
    </i>
    <i>
      <x v="1065"/>
      <x v="8"/>
      <x v="102"/>
      <x v="68"/>
      <x v="1"/>
      <x v="12"/>
      <x v="1276"/>
      <x v="782"/>
    </i>
    <i>
      <x v="1066"/>
      <x v="8"/>
      <x v="102"/>
      <x v="68"/>
      <x v="1"/>
      <x v="10"/>
      <x v="1277"/>
      <x v="783"/>
    </i>
    <i>
      <x v="1067"/>
      <x v="8"/>
      <x v="102"/>
      <x v="68"/>
      <x v="1"/>
      <x v="15"/>
      <x v="1278"/>
      <x v="784"/>
    </i>
    <i>
      <x v="1068"/>
      <x v="8"/>
      <x v="102"/>
      <x v="68"/>
      <x v="1"/>
      <x v="6"/>
      <x v="1279"/>
      <x v="785"/>
    </i>
    <i>
      <x v="1069"/>
      <x v="8"/>
      <x v="102"/>
      <x v="68"/>
      <x v="1"/>
      <x v="7"/>
      <x v="1280"/>
      <x v="786"/>
    </i>
    <i>
      <x v="1070"/>
      <x v="8"/>
      <x v="102"/>
      <x v="68"/>
      <x v="1"/>
      <x v="4"/>
      <x v="1281"/>
      <x v="787"/>
    </i>
    <i>
      <x v="1071"/>
      <x v="8"/>
      <x v="102"/>
      <x v="68"/>
      <x v="1"/>
      <x v="9"/>
      <x v="1282"/>
      <x v="788"/>
    </i>
    <i>
      <x v="1072"/>
      <x v="8"/>
      <x v="102"/>
      <x v="68"/>
      <x v="1"/>
      <x v="16"/>
      <x v="1283"/>
      <x v="789"/>
    </i>
    <i>
      <x v="1073"/>
      <x v="8"/>
      <x v="102"/>
      <x v="68"/>
      <x v="1"/>
      <x v="8"/>
      <x v="1284"/>
      <x v="790"/>
    </i>
    <i>
      <x v="1074"/>
      <x v="8"/>
      <x v="102"/>
      <x v="68"/>
      <x v="1"/>
      <x v="2"/>
      <x v="1285"/>
      <x v="791"/>
    </i>
    <i>
      <x v="1075"/>
      <x v="8"/>
      <x v="102"/>
      <x v="68"/>
      <x v="1"/>
      <x v="11"/>
      <x v="1582"/>
      <x v="1082"/>
    </i>
    <i>
      <x v="1076"/>
      <x v="8"/>
      <x v="102"/>
      <x v="68"/>
      <x/>
      <x/>
      <x v="1583"/>
      <x v="792"/>
    </i>
    <i>
      <x v="1077"/>
      <x v="8"/>
      <x v="102"/>
      <x v="68"/>
      <x v="1"/>
      <x v="13"/>
      <x v="1584"/>
      <x v="794"/>
    </i>
    <i>
      <x v="1078"/>
      <x v="8"/>
      <x v="102"/>
      <x v="68"/>
      <x v="1"/>
      <x v="1"/>
      <x v="1585"/>
      <x v="795"/>
    </i>
    <i>
      <x v="1079"/>
      <x v="8"/>
      <x v="102"/>
      <x v="68"/>
      <x v="1"/>
      <x v="3"/>
      <x v="1586"/>
      <x v="796"/>
    </i>
    <i>
      <x v="1080"/>
      <x v="8"/>
      <x v="102"/>
      <x v="68"/>
      <x v="1"/>
      <x v="5"/>
      <x v="1587"/>
      <x v="797"/>
    </i>
    <i>
      <x v="1081"/>
      <x v="8"/>
      <x v="102"/>
      <x v="68"/>
      <x v="1"/>
      <x v="14"/>
      <x v="1588"/>
      <x v="798"/>
    </i>
    <i>
      <x v="1082"/>
      <x v="8"/>
      <x v="102"/>
      <x v="68"/>
      <x v="1"/>
      <x v="12"/>
      <x v="1589"/>
      <x v="799"/>
    </i>
    <i>
      <x v="1083"/>
      <x v="8"/>
      <x v="102"/>
      <x v="68"/>
      <x v="1"/>
      <x v="10"/>
      <x v="1590"/>
      <x v="800"/>
    </i>
    <i>
      <x v="1084"/>
      <x v="8"/>
      <x v="102"/>
      <x v="68"/>
      <x v="1"/>
      <x v="15"/>
      <x v="1591"/>
      <x v="801"/>
    </i>
    <i>
      <x v="1085"/>
      <x v="8"/>
      <x v="102"/>
      <x v="68"/>
      <x v="1"/>
      <x v="6"/>
      <x v="1592"/>
      <x v="802"/>
    </i>
    <i>
      <x v="1086"/>
      <x v="8"/>
      <x v="102"/>
      <x v="68"/>
      <x v="1"/>
      <x v="7"/>
      <x v="1593"/>
      <x v="803"/>
    </i>
    <i>
      <x v="1087"/>
      <x v="8"/>
      <x v="102"/>
      <x v="68"/>
      <x v="1"/>
      <x v="4"/>
      <x v="1594"/>
      <x v="804"/>
    </i>
    <i>
      <x v="1088"/>
      <x v="8"/>
      <x v="102"/>
      <x v="68"/>
      <x v="1"/>
      <x v="9"/>
      <x v="1595"/>
      <x v="805"/>
    </i>
    <i>
      <x v="1089"/>
      <x v="8"/>
      <x v="102"/>
      <x v="68"/>
      <x v="1"/>
      <x v="16"/>
      <x v="1596"/>
      <x v="806"/>
    </i>
    <i>
      <x v="1090"/>
      <x v="8"/>
      <x v="102"/>
      <x v="68"/>
      <x v="1"/>
      <x v="8"/>
      <x v="1597"/>
      <x v="807"/>
    </i>
    <i>
      <x v="1091"/>
      <x v="8"/>
      <x v="102"/>
      <x v="68"/>
      <x v="1"/>
      <x v="2"/>
      <x v="1598"/>
      <x v="808"/>
    </i>
    <i>
      <x v="1092"/>
      <x v="8"/>
      <x v="102"/>
      <x v="68"/>
      <x v="1"/>
      <x v="11"/>
      <x v="1599"/>
      <x v="1083"/>
    </i>
    <i>
      <x v="1093"/>
      <x v="6"/>
      <x v="93"/>
      <x v="47"/>
      <x/>
      <x/>
      <x v="1600"/>
      <x v="809"/>
    </i>
    <i>
      <x v="1094"/>
      <x v="6"/>
      <x v="93"/>
      <x v="47"/>
      <x v="1"/>
      <x v="13"/>
      <x v="1601"/>
      <x v="811"/>
    </i>
    <i>
      <x v="1095"/>
      <x v="6"/>
      <x v="93"/>
      <x v="47"/>
      <x v="1"/>
      <x v="1"/>
      <x v="1602"/>
      <x v="812"/>
    </i>
    <i>
      <x v="1096"/>
      <x v="6"/>
      <x v="93"/>
      <x v="47"/>
      <x v="1"/>
      <x v="3"/>
      <x v="1603"/>
      <x v="813"/>
    </i>
    <i>
      <x v="1097"/>
      <x v="6"/>
      <x v="93"/>
      <x v="47"/>
      <x v="1"/>
      <x v="5"/>
      <x v="1604"/>
      <x v="814"/>
    </i>
    <i>
      <x v="1098"/>
      <x v="6"/>
      <x v="93"/>
      <x v="47"/>
      <x v="1"/>
      <x v="14"/>
      <x v="1605"/>
      <x v="815"/>
    </i>
    <i>
      <x v="1099"/>
      <x v="6"/>
      <x v="93"/>
      <x v="47"/>
      <x v="1"/>
      <x v="12"/>
      <x v="1606"/>
      <x v="816"/>
    </i>
    <i>
      <x v="1100"/>
      <x v="6"/>
      <x v="93"/>
      <x v="47"/>
      <x v="1"/>
      <x v="10"/>
      <x v="1607"/>
      <x v="817"/>
    </i>
    <i>
      <x v="1101"/>
      <x v="6"/>
      <x v="93"/>
      <x v="47"/>
      <x v="1"/>
      <x v="15"/>
      <x v="1608"/>
      <x v="818"/>
    </i>
    <i>
      <x v="1102"/>
      <x v="6"/>
      <x v="93"/>
      <x v="47"/>
      <x v="1"/>
      <x v="6"/>
      <x v="1609"/>
      <x v="819"/>
    </i>
    <i>
      <x v="1103"/>
      <x v="6"/>
      <x v="93"/>
      <x v="47"/>
      <x v="1"/>
      <x v="7"/>
      <x v="1610"/>
      <x v="820"/>
    </i>
    <i>
      <x v="1104"/>
      <x v="6"/>
      <x v="93"/>
      <x v="47"/>
      <x v="1"/>
      <x v="4"/>
      <x v="1611"/>
      <x v="821"/>
    </i>
    <i>
      <x v="1105"/>
      <x v="6"/>
      <x v="93"/>
      <x v="47"/>
      <x v="1"/>
      <x v="9"/>
      <x v="1612"/>
      <x v="822"/>
    </i>
    <i>
      <x v="1106"/>
      <x v="8"/>
      <x v="102"/>
      <x v="68"/>
      <x v="1"/>
      <x v="16"/>
      <x v="1630"/>
      <x v="840"/>
    </i>
    <i>
      <x v="1107"/>
      <x v="6"/>
      <x v="93"/>
      <x v="47"/>
      <x v="1"/>
      <x v="8"/>
      <x v="1614"/>
      <x v="824"/>
    </i>
    <i>
      <x v="1108"/>
      <x v="6"/>
      <x v="93"/>
      <x v="47"/>
      <x v="1"/>
      <x v="2"/>
      <x v="1615"/>
      <x v="825"/>
    </i>
    <i>
      <x v="1109"/>
      <x v="6"/>
      <x v="93"/>
      <x v="47"/>
      <x v="1"/>
      <x v="11"/>
      <x v="1616"/>
      <x v="1084"/>
    </i>
    <i>
      <x v="1110"/>
      <x v="8"/>
      <x v="102"/>
      <x v="68"/>
      <x/>
      <x/>
      <x v="1617"/>
      <x v="826"/>
    </i>
    <i>
      <x v="1111"/>
      <x v="8"/>
      <x v="102"/>
      <x v="68"/>
      <x v="1"/>
      <x v="13"/>
      <x v="1618"/>
      <x v="828"/>
    </i>
    <i>
      <x v="1112"/>
      <x v="8"/>
      <x v="102"/>
      <x v="68"/>
      <x v="1"/>
      <x v="1"/>
      <x v="1619"/>
      <x v="829"/>
    </i>
    <i>
      <x v="1113"/>
      <x v="8"/>
      <x v="102"/>
      <x v="68"/>
      <x v="1"/>
      <x v="3"/>
      <x v="1620"/>
      <x v="830"/>
    </i>
    <i>
      <x v="1114"/>
      <x v="8"/>
      <x v="102"/>
      <x v="68"/>
      <x v="1"/>
      <x v="5"/>
      <x v="1621"/>
      <x v="831"/>
    </i>
    <i>
      <x v="1115"/>
      <x v="8"/>
      <x v="102"/>
      <x v="68"/>
      <x v="1"/>
      <x v="14"/>
      <x v="1622"/>
      <x v="832"/>
    </i>
    <i>
      <x v="1116"/>
      <x v="8"/>
      <x v="102"/>
      <x v="68"/>
      <x v="1"/>
      <x v="12"/>
      <x v="1623"/>
      <x v="833"/>
    </i>
    <i>
      <x v="1117"/>
      <x v="8"/>
      <x v="102"/>
      <x v="68"/>
      <x v="1"/>
      <x v="10"/>
      <x v="1624"/>
      <x v="834"/>
    </i>
    <i>
      <x v="1118"/>
      <x v="8"/>
      <x v="102"/>
      <x v="68"/>
      <x v="1"/>
      <x v="15"/>
      <x v="1625"/>
      <x v="835"/>
    </i>
    <i>
      <x v="1119"/>
      <x v="8"/>
      <x v="102"/>
      <x v="68"/>
      <x v="1"/>
      <x v="6"/>
      <x v="1626"/>
      <x v="836"/>
    </i>
    <i>
      <x v="1120"/>
      <x v="8"/>
      <x v="102"/>
      <x v="68"/>
      <x v="1"/>
      <x v="7"/>
      <x v="1627"/>
      <x v="837"/>
    </i>
    <i>
      <x v="1121"/>
      <x v="8"/>
      <x v="102"/>
      <x v="68"/>
      <x v="1"/>
      <x v="4"/>
      <x v="1628"/>
      <x v="838"/>
    </i>
    <i>
      <x v="1122"/>
      <x v="8"/>
      <x v="102"/>
      <x v="68"/>
      <x v="1"/>
      <x v="9"/>
      <x v="1629"/>
      <x v="839"/>
    </i>
    <i>
      <x v="1123"/>
      <x v="8"/>
      <x v="102"/>
      <x v="68"/>
      <x v="1"/>
      <x v="8"/>
      <x v="1631"/>
      <x v="841"/>
    </i>
    <i>
      <x v="1124"/>
      <x v="8"/>
      <x v="102"/>
      <x v="68"/>
      <x v="1"/>
      <x v="2"/>
      <x v="1632"/>
      <x v="842"/>
    </i>
    <i>
      <x v="1125"/>
      <x v="8"/>
      <x v="102"/>
      <x v="68"/>
      <x v="1"/>
      <x v="11"/>
      <x v="1633"/>
      <x v="1085"/>
    </i>
    <i>
      <x v="1126"/>
      <x v="13"/>
      <x v="103"/>
      <x v="75"/>
      <x/>
      <x/>
      <x v="1634"/>
      <x v="843"/>
    </i>
    <i>
      <x v="1127"/>
      <x v="13"/>
      <x v="103"/>
      <x v="75"/>
      <x v="1"/>
      <x v="13"/>
      <x v="1635"/>
      <x v="845"/>
    </i>
    <i>
      <x v="1128"/>
      <x v="13"/>
      <x v="103"/>
      <x v="75"/>
      <x v="1"/>
      <x v="1"/>
      <x v="1636"/>
      <x v="846"/>
    </i>
    <i>
      <x v="1129"/>
      <x v="13"/>
      <x v="103"/>
      <x v="75"/>
      <x v="1"/>
      <x v="3"/>
      <x v="1637"/>
      <x v="847"/>
    </i>
    <i>
      <x v="1130"/>
      <x v="13"/>
      <x v="103"/>
      <x v="75"/>
      <x v="1"/>
      <x v="5"/>
      <x v="1638"/>
      <x v="848"/>
    </i>
    <i>
      <x v="1131"/>
      <x v="13"/>
      <x v="103"/>
      <x v="75"/>
      <x v="1"/>
      <x v="14"/>
      <x v="1639"/>
      <x v="849"/>
    </i>
    <i>
      <x v="1132"/>
      <x v="13"/>
      <x v="103"/>
      <x v="75"/>
      <x v="1"/>
      <x v="12"/>
      <x v="1640"/>
      <x v="850"/>
    </i>
    <i>
      <x v="1133"/>
      <x v="13"/>
      <x v="103"/>
      <x v="75"/>
      <x v="1"/>
      <x v="10"/>
      <x v="1641"/>
      <x v="851"/>
    </i>
    <i>
      <x v="1134"/>
      <x v="13"/>
      <x v="103"/>
      <x v="75"/>
      <x v="1"/>
      <x v="15"/>
      <x v="1642"/>
      <x v="852"/>
    </i>
    <i>
      <x v="1135"/>
      <x v="13"/>
      <x v="103"/>
      <x v="75"/>
      <x v="1"/>
      <x v="6"/>
      <x v="1643"/>
      <x v="853"/>
    </i>
    <i>
      <x v="1136"/>
      <x v="13"/>
      <x v="103"/>
      <x v="75"/>
      <x v="1"/>
      <x v="7"/>
      <x v="1644"/>
      <x v="854"/>
    </i>
    <i>
      <x v="1137"/>
      <x v="13"/>
      <x v="103"/>
      <x v="75"/>
      <x v="1"/>
      <x v="4"/>
      <x v="1645"/>
      <x v="855"/>
    </i>
    <i>
      <x v="1138"/>
      <x v="13"/>
      <x v="103"/>
      <x v="75"/>
      <x v="1"/>
      <x v="9"/>
      <x v="1646"/>
      <x v="856"/>
    </i>
    <i>
      <x v="1139"/>
      <x v="13"/>
      <x v="103"/>
      <x v="75"/>
      <x v="1"/>
      <x v="16"/>
      <x v="1647"/>
      <x v="857"/>
    </i>
    <i>
      <x v="1140"/>
      <x v="13"/>
      <x v="103"/>
      <x v="75"/>
      <x v="1"/>
      <x v="8"/>
      <x v="1648"/>
      <x v="858"/>
    </i>
    <i>
      <x v="1141"/>
      <x v="13"/>
      <x v="103"/>
      <x v="75"/>
      <x v="1"/>
      <x v="2"/>
      <x v="1649"/>
      <x v="859"/>
    </i>
    <i>
      <x v="1142"/>
      <x v="13"/>
      <x v="103"/>
      <x v="75"/>
      <x v="1"/>
      <x v="11"/>
      <x v="1650"/>
      <x v="1086"/>
    </i>
    <i>
      <x v="1143"/>
      <x v="13"/>
      <x v="43"/>
      <x v="75"/>
      <x/>
      <x/>
      <x v="1651"/>
      <x v="860"/>
    </i>
    <i>
      <x v="1144"/>
      <x v="13"/>
      <x v="43"/>
      <x v="75"/>
      <x v="1"/>
      <x v="13"/>
      <x v="1652"/>
      <x v="862"/>
    </i>
    <i>
      <x v="1145"/>
      <x v="13"/>
      <x v="43"/>
      <x v="75"/>
      <x v="1"/>
      <x v="1"/>
      <x v="1653"/>
      <x v="863"/>
    </i>
    <i>
      <x v="1146"/>
      <x v="13"/>
      <x v="43"/>
      <x v="75"/>
      <x v="1"/>
      <x v="3"/>
      <x v="1654"/>
      <x v="864"/>
    </i>
    <i>
      <x v="1147"/>
      <x v="13"/>
      <x v="43"/>
      <x v="75"/>
      <x v="1"/>
      <x v="5"/>
      <x v="1655"/>
      <x v="865"/>
    </i>
    <i>
      <x v="1148"/>
      <x v="13"/>
      <x v="43"/>
      <x v="75"/>
      <x v="1"/>
      <x v="14"/>
      <x v="1656"/>
      <x v="866"/>
    </i>
    <i>
      <x v="1149"/>
      <x v="13"/>
      <x v="43"/>
      <x v="75"/>
      <x v="1"/>
      <x v="12"/>
      <x v="1657"/>
      <x v="867"/>
    </i>
    <i>
      <x v="1150"/>
      <x v="13"/>
      <x v="43"/>
      <x v="75"/>
      <x v="1"/>
      <x v="10"/>
      <x v="1658"/>
      <x v="868"/>
    </i>
    <i>
      <x v="1151"/>
      <x v="13"/>
      <x v="43"/>
      <x v="75"/>
      <x v="1"/>
      <x v="15"/>
      <x v="1659"/>
      <x v="869"/>
    </i>
    <i>
      <x v="1152"/>
      <x v="13"/>
      <x v="43"/>
      <x v="75"/>
      <x v="1"/>
      <x v="6"/>
      <x v="1660"/>
      <x v="870"/>
    </i>
    <i>
      <x v="1153"/>
      <x v="13"/>
      <x v="43"/>
      <x v="75"/>
      <x v="1"/>
      <x v="7"/>
      <x v="1661"/>
      <x v="871"/>
    </i>
    <i>
      <x v="1154"/>
      <x v="13"/>
      <x v="43"/>
      <x v="75"/>
      <x v="1"/>
      <x v="4"/>
      <x v="1662"/>
      <x v="872"/>
    </i>
    <i>
      <x v="1155"/>
      <x v="13"/>
      <x v="43"/>
      <x v="75"/>
      <x v="1"/>
      <x v="9"/>
      <x v="1663"/>
      <x v="873"/>
    </i>
    <i>
      <x v="1156"/>
      <x v="13"/>
      <x v="43"/>
      <x v="75"/>
      <x v="1"/>
      <x v="16"/>
      <x v="1664"/>
      <x v="874"/>
    </i>
    <i>
      <x v="1157"/>
      <x v="13"/>
      <x v="43"/>
      <x v="75"/>
      <x v="1"/>
      <x v="8"/>
      <x v="1665"/>
      <x v="875"/>
    </i>
    <i>
      <x v="1158"/>
      <x v="13"/>
      <x v="43"/>
      <x v="75"/>
      <x v="1"/>
      <x v="2"/>
      <x v="1666"/>
      <x v="876"/>
    </i>
    <i>
      <x v="1159"/>
      <x v="13"/>
      <x v="43"/>
      <x v="75"/>
      <x v="1"/>
      <x v="11"/>
      <x v="1667"/>
      <x v="1087"/>
    </i>
    <i>
      <x v="1160"/>
      <x v="13"/>
      <x v="104"/>
      <x v="75"/>
      <x/>
      <x/>
      <x v="1668"/>
      <x v="877"/>
    </i>
    <i>
      <x v="1161"/>
      <x v="13"/>
      <x v="104"/>
      <x v="75"/>
      <x v="1"/>
      <x v="13"/>
      <x v="1669"/>
      <x v="879"/>
    </i>
    <i>
      <x v="1162"/>
      <x v="13"/>
      <x v="104"/>
      <x v="75"/>
      <x v="1"/>
      <x v="1"/>
      <x v="1670"/>
      <x v="880"/>
    </i>
    <i>
      <x v="1163"/>
      <x v="13"/>
      <x v="104"/>
      <x v="75"/>
      <x v="1"/>
      <x v="3"/>
      <x v="1671"/>
      <x v="881"/>
    </i>
    <i>
      <x v="1164"/>
      <x v="13"/>
      <x v="104"/>
      <x v="75"/>
      <x v="1"/>
      <x v="5"/>
      <x v="1672"/>
      <x v="882"/>
    </i>
    <i>
      <x v="1165"/>
      <x v="13"/>
      <x v="104"/>
      <x v="75"/>
      <x v="1"/>
      <x v="14"/>
      <x v="1673"/>
      <x v="883"/>
    </i>
    <i>
      <x v="1166"/>
      <x v="13"/>
      <x v="104"/>
      <x v="75"/>
      <x v="1"/>
      <x v="12"/>
      <x v="1674"/>
      <x v="884"/>
    </i>
    <i>
      <x v="1167"/>
      <x v="13"/>
      <x v="104"/>
      <x v="75"/>
      <x v="1"/>
      <x v="10"/>
      <x v="1675"/>
      <x v="885"/>
    </i>
    <i>
      <x v="1168"/>
      <x v="13"/>
      <x v="104"/>
      <x v="75"/>
      <x v="1"/>
      <x v="15"/>
      <x v="1676"/>
      <x v="886"/>
    </i>
    <i>
      <x v="1169"/>
      <x v="13"/>
      <x v="104"/>
      <x v="75"/>
      <x v="1"/>
      <x v="6"/>
      <x v="1677"/>
      <x v="887"/>
    </i>
    <i>
      <x v="1170"/>
      <x v="13"/>
      <x v="104"/>
      <x v="75"/>
      <x v="1"/>
      <x v="7"/>
      <x v="1678"/>
      <x v="888"/>
    </i>
    <i>
      <x v="1171"/>
      <x v="13"/>
      <x v="104"/>
      <x v="75"/>
      <x v="1"/>
      <x v="4"/>
      <x v="1679"/>
      <x v="889"/>
    </i>
    <i>
      <x v="1172"/>
      <x v="13"/>
      <x v="104"/>
      <x v="75"/>
      <x v="1"/>
      <x v="9"/>
      <x v="1680"/>
      <x v="890"/>
    </i>
    <i>
      <x v="1173"/>
      <x v="13"/>
      <x v="104"/>
      <x v="75"/>
      <x v="1"/>
      <x v="16"/>
      <x v="1681"/>
      <x v="891"/>
    </i>
    <i>
      <x v="1174"/>
      <x v="13"/>
      <x v="104"/>
      <x v="75"/>
      <x v="1"/>
      <x v="8"/>
      <x v="1682"/>
      <x v="892"/>
    </i>
    <i>
      <x v="1175"/>
      <x v="13"/>
      <x v="104"/>
      <x v="75"/>
      <x v="1"/>
      <x v="2"/>
      <x v="1683"/>
      <x v="893"/>
    </i>
    <i>
      <x v="1176"/>
      <x v="13"/>
      <x v="104"/>
      <x v="75"/>
      <x v="1"/>
      <x v="11"/>
      <x v="1684"/>
      <x v="1088"/>
    </i>
    <i>
      <x v="1177"/>
      <x v="13"/>
      <x v="43"/>
      <x v="75"/>
      <x/>
      <x/>
      <x v="1685"/>
      <x v="894"/>
    </i>
    <i>
      <x v="1178"/>
      <x v="13"/>
      <x v="43"/>
      <x v="75"/>
      <x v="1"/>
      <x v="13"/>
      <x v="1686"/>
      <x v="896"/>
    </i>
    <i>
      <x v="1179"/>
      <x v="13"/>
      <x v="43"/>
      <x v="75"/>
      <x v="1"/>
      <x v="1"/>
      <x v="1687"/>
      <x v="897"/>
    </i>
    <i>
      <x v="1180"/>
      <x v="13"/>
      <x v="43"/>
      <x v="75"/>
      <x v="1"/>
      <x v="3"/>
      <x v="1688"/>
      <x v="898"/>
    </i>
    <i>
      <x v="1181"/>
      <x v="13"/>
      <x v="43"/>
      <x v="75"/>
      <x v="1"/>
      <x v="5"/>
      <x v="1689"/>
      <x v="899"/>
    </i>
    <i>
      <x v="1182"/>
      <x v="13"/>
      <x v="43"/>
      <x v="75"/>
      <x v="1"/>
      <x v="14"/>
      <x v="1690"/>
      <x v="900"/>
    </i>
    <i>
      <x v="1183"/>
      <x v="13"/>
      <x v="43"/>
      <x v="75"/>
      <x v="1"/>
      <x v="12"/>
      <x v="1691"/>
      <x v="901"/>
    </i>
    <i>
      <x v="1184"/>
      <x v="13"/>
      <x v="43"/>
      <x v="75"/>
      <x v="1"/>
      <x v="10"/>
      <x v="1692"/>
      <x v="902"/>
    </i>
    <i>
      <x v="1185"/>
      <x v="13"/>
      <x v="43"/>
      <x v="75"/>
      <x v="1"/>
      <x v="15"/>
      <x v="1693"/>
      <x v="903"/>
    </i>
    <i>
      <x v="1186"/>
      <x v="13"/>
      <x v="43"/>
      <x v="75"/>
      <x v="1"/>
      <x v="6"/>
      <x v="1694"/>
      <x v="904"/>
    </i>
    <i>
      <x v="1187"/>
      <x v="13"/>
      <x v="43"/>
      <x v="75"/>
      <x v="1"/>
      <x v="7"/>
      <x v="1695"/>
      <x v="905"/>
    </i>
    <i>
      <x v="1188"/>
      <x v="13"/>
      <x v="43"/>
      <x v="75"/>
      <x v="1"/>
      <x v="4"/>
      <x v="1696"/>
      <x v="906"/>
    </i>
    <i>
      <x v="1189"/>
      <x v="13"/>
      <x v="43"/>
      <x v="75"/>
      <x v="1"/>
      <x v="9"/>
      <x v="1697"/>
      <x v="907"/>
    </i>
    <i>
      <x v="1190"/>
      <x v="13"/>
      <x v="43"/>
      <x v="75"/>
      <x v="1"/>
      <x v="16"/>
      <x v="1698"/>
      <x v="908"/>
    </i>
    <i>
      <x v="1191"/>
      <x v="13"/>
      <x v="43"/>
      <x v="75"/>
      <x v="1"/>
      <x v="8"/>
      <x v="1699"/>
      <x v="909"/>
    </i>
    <i>
      <x v="1192"/>
      <x v="13"/>
      <x v="43"/>
      <x v="75"/>
      <x v="1"/>
      <x v="2"/>
      <x v="1700"/>
      <x v="910"/>
    </i>
    <i>
      <x v="1193"/>
      <x v="13"/>
      <x v="43"/>
      <x v="75"/>
      <x v="1"/>
      <x v="11"/>
      <x v="1701"/>
      <x v="1089"/>
    </i>
    <i>
      <x v="1194"/>
      <x v="13"/>
      <x v="104"/>
      <x v="75"/>
      <x/>
      <x/>
      <x v="1702"/>
      <x v="911"/>
    </i>
    <i>
      <x v="1195"/>
      <x v="13"/>
      <x v="104"/>
      <x v="75"/>
      <x v="1"/>
      <x v="13"/>
      <x v="1703"/>
      <x v="913"/>
    </i>
    <i>
      <x v="1196"/>
      <x v="13"/>
      <x v="104"/>
      <x v="75"/>
      <x v="1"/>
      <x v="1"/>
      <x v="1704"/>
      <x v="914"/>
    </i>
    <i>
      <x v="1197"/>
      <x v="13"/>
      <x v="104"/>
      <x v="75"/>
      <x v="1"/>
      <x v="3"/>
      <x v="1705"/>
      <x v="915"/>
    </i>
    <i>
      <x v="1198"/>
      <x v="13"/>
      <x v="104"/>
      <x v="75"/>
      <x v="1"/>
      <x v="5"/>
      <x v="1706"/>
      <x v="916"/>
    </i>
    <i>
      <x v="1199"/>
      <x v="13"/>
      <x v="104"/>
      <x v="75"/>
      <x v="1"/>
      <x v="14"/>
      <x v="1707"/>
      <x v="917"/>
    </i>
    <i>
      <x v="1200"/>
      <x v="13"/>
      <x v="104"/>
      <x v="75"/>
      <x v="1"/>
      <x v="12"/>
      <x v="1708"/>
      <x v="918"/>
    </i>
    <i>
      <x v="1201"/>
      <x v="13"/>
      <x v="104"/>
      <x v="75"/>
      <x v="1"/>
      <x v="10"/>
      <x v="1709"/>
      <x v="919"/>
    </i>
    <i>
      <x v="1202"/>
      <x v="13"/>
      <x v="104"/>
      <x v="75"/>
      <x v="1"/>
      <x v="15"/>
      <x v="1710"/>
      <x v="920"/>
    </i>
    <i>
      <x v="1203"/>
      <x v="13"/>
      <x v="104"/>
      <x v="75"/>
      <x v="1"/>
      <x v="6"/>
      <x v="1711"/>
      <x v="921"/>
    </i>
    <i>
      <x v="1204"/>
      <x v="13"/>
      <x v="104"/>
      <x v="75"/>
      <x v="1"/>
      <x v="7"/>
      <x v="1712"/>
      <x v="922"/>
    </i>
    <i>
      <x v="1205"/>
      <x v="13"/>
      <x v="104"/>
      <x v="75"/>
      <x v="1"/>
      <x v="4"/>
      <x v="1713"/>
      <x v="923"/>
    </i>
    <i>
      <x v="1206"/>
      <x v="13"/>
      <x v="104"/>
      <x v="75"/>
      <x v="1"/>
      <x v="9"/>
      <x v="1714"/>
      <x v="924"/>
    </i>
    <i>
      <x v="1207"/>
      <x v="13"/>
      <x v="104"/>
      <x v="75"/>
      <x v="1"/>
      <x v="16"/>
      <x v="1715"/>
      <x v="925"/>
    </i>
    <i>
      <x v="1208"/>
      <x v="13"/>
      <x v="104"/>
      <x v="75"/>
      <x v="1"/>
      <x v="8"/>
      <x v="1716"/>
      <x v="926"/>
    </i>
    <i>
      <x v="1209"/>
      <x v="13"/>
      <x v="104"/>
      <x v="75"/>
      <x v="1"/>
      <x v="2"/>
      <x v="1717"/>
      <x v="927"/>
    </i>
    <i>
      <x v="1210"/>
      <x v="13"/>
      <x v="104"/>
      <x v="75"/>
      <x v="1"/>
      <x v="11"/>
      <x v="1718"/>
      <x v="1090"/>
    </i>
    <i>
      <x v="1211"/>
      <x v="4"/>
      <x v="94"/>
      <x v="52"/>
      <x/>
      <x/>
      <x v="1719"/>
      <x v="928"/>
    </i>
    <i>
      <x v="1212"/>
      <x v="4"/>
      <x v="94"/>
      <x v="52"/>
      <x v="1"/>
      <x v="13"/>
      <x v="1424"/>
      <x v="930"/>
    </i>
    <i>
      <x v="1213"/>
      <x v="4"/>
      <x v="94"/>
      <x v="52"/>
      <x v="1"/>
      <x v="1"/>
      <x v="1425"/>
      <x v="931"/>
    </i>
    <i>
      <x v="1214"/>
      <x v="4"/>
      <x v="94"/>
      <x v="52"/>
      <x v="1"/>
      <x v="3"/>
      <x v="1426"/>
      <x v="932"/>
    </i>
    <i>
      <x v="1215"/>
      <x v="4"/>
      <x v="94"/>
      <x v="52"/>
      <x v="1"/>
      <x v="5"/>
      <x v="1427"/>
      <x v="933"/>
    </i>
    <i>
      <x v="1216"/>
      <x v="4"/>
      <x v="94"/>
      <x v="52"/>
      <x v="1"/>
      <x v="14"/>
      <x v="1428"/>
      <x v="934"/>
    </i>
    <i>
      <x v="1217"/>
      <x v="4"/>
      <x v="94"/>
      <x v="52"/>
      <x v="1"/>
      <x v="12"/>
      <x v="1429"/>
      <x v="935"/>
    </i>
    <i>
      <x v="1218"/>
      <x v="4"/>
      <x v="94"/>
      <x v="52"/>
      <x v="1"/>
      <x v="10"/>
      <x v="1430"/>
      <x v="936"/>
    </i>
    <i>
      <x v="1219"/>
      <x v="4"/>
      <x v="94"/>
      <x v="52"/>
      <x v="1"/>
      <x v="15"/>
      <x v="1431"/>
      <x v="937"/>
    </i>
    <i>
      <x v="1220"/>
      <x v="4"/>
      <x v="94"/>
      <x v="52"/>
      <x v="1"/>
      <x v="6"/>
      <x v="1432"/>
      <x v="938"/>
    </i>
    <i>
      <x v="1221"/>
      <x v="4"/>
      <x v="94"/>
      <x v="52"/>
      <x v="1"/>
      <x v="7"/>
      <x v="1433"/>
      <x v="939"/>
    </i>
    <i>
      <x v="1222"/>
      <x v="4"/>
      <x v="94"/>
      <x v="52"/>
      <x v="1"/>
      <x v="4"/>
      <x v="1434"/>
      <x v="940"/>
    </i>
    <i>
      <x v="1223"/>
      <x v="4"/>
      <x v="94"/>
      <x v="52"/>
      <x v="1"/>
      <x v="9"/>
      <x v="1435"/>
      <x v="941"/>
    </i>
    <i>
      <x v="1224"/>
      <x v="4"/>
      <x v="94"/>
      <x v="52"/>
      <x v="1"/>
      <x v="16"/>
      <x v="1436"/>
      <x v="942"/>
    </i>
    <i>
      <x v="1225"/>
      <x v="4"/>
      <x v="94"/>
      <x v="52"/>
      <x v="1"/>
      <x v="8"/>
      <x v="1720"/>
      <x v="1091"/>
    </i>
    <i>
      <x v="1226"/>
      <x v="4"/>
      <x v="94"/>
      <x v="52"/>
      <x v="1"/>
      <x v="2"/>
      <x v="1721"/>
      <x v="1092"/>
    </i>
    <i>
      <x v="1227"/>
      <x v="4"/>
      <x v="94"/>
      <x v="52"/>
      <x v="1"/>
      <x v="11"/>
      <x v="1722"/>
      <x v="1093"/>
    </i>
    <i>
      <x v="1228"/>
      <x v="4"/>
      <x v="116"/>
      <x v="52"/>
      <x/>
      <x/>
      <x v="1723"/>
      <x v="943"/>
    </i>
    <i>
      <x v="1229"/>
      <x v="4"/>
      <x v="117"/>
      <x v="52"/>
      <x/>
      <x/>
      <x v="2452"/>
      <x v="944"/>
    </i>
    <i>
      <x v="1230"/>
      <x v="4"/>
      <x v="107"/>
      <x v="52"/>
      <x/>
      <x/>
      <x v="2453"/>
      <x v="945"/>
    </i>
    <i>
      <x v="1231"/>
      <x v="4"/>
      <x v="107"/>
      <x v="52"/>
      <x v="1"/>
      <x v="13"/>
      <x v="2454"/>
      <x v="947"/>
    </i>
    <i>
      <x v="1232"/>
      <x v="4"/>
      <x v="107"/>
      <x v="52"/>
      <x v="1"/>
      <x v="1"/>
      <x v="2455"/>
      <x v="948"/>
    </i>
    <i>
      <x v="1233"/>
      <x v="4"/>
      <x v="107"/>
      <x v="52"/>
      <x v="1"/>
      <x v="3"/>
      <x v="2456"/>
      <x v="949"/>
    </i>
    <i>
      <x v="1234"/>
      <x v="4"/>
      <x v="107"/>
      <x v="52"/>
      <x v="1"/>
      <x v="5"/>
      <x v="2457"/>
      <x v="950"/>
    </i>
    <i>
      <x v="1235"/>
      <x v="4"/>
      <x v="107"/>
      <x v="52"/>
      <x v="1"/>
      <x v="14"/>
      <x v="2458"/>
      <x v="951"/>
    </i>
    <i>
      <x v="1236"/>
      <x v="4"/>
      <x v="107"/>
      <x v="52"/>
      <x v="1"/>
      <x v="12"/>
      <x v="2459"/>
      <x v="952"/>
    </i>
    <i>
      <x v="1237"/>
      <x v="4"/>
      <x v="107"/>
      <x v="52"/>
      <x v="1"/>
      <x v="10"/>
      <x v="2460"/>
      <x v="953"/>
    </i>
    <i>
      <x v="1238"/>
      <x v="4"/>
      <x v="107"/>
      <x v="52"/>
      <x v="1"/>
      <x v="15"/>
      <x v="2461"/>
      <x v="954"/>
    </i>
    <i>
      <x v="1239"/>
      <x v="4"/>
      <x v="107"/>
      <x v="52"/>
      <x v="1"/>
      <x v="6"/>
      <x v="2462"/>
      <x v="955"/>
    </i>
    <i>
      <x v="1240"/>
      <x v="4"/>
      <x v="107"/>
      <x v="52"/>
      <x v="1"/>
      <x v="7"/>
      <x v="2463"/>
      <x v="956"/>
    </i>
    <i>
      <x v="1241"/>
      <x v="4"/>
      <x v="107"/>
      <x v="52"/>
      <x v="1"/>
      <x v="4"/>
      <x v="2464"/>
      <x v="957"/>
    </i>
    <i>
      <x v="1242"/>
      <x v="4"/>
      <x v="107"/>
      <x v="52"/>
      <x v="1"/>
      <x v="9"/>
      <x v="2465"/>
      <x v="958"/>
    </i>
    <i>
      <x v="1243"/>
      <x v="4"/>
      <x v="107"/>
      <x v="52"/>
      <x v="1"/>
      <x v="16"/>
      <x v="2466"/>
      <x v="1094"/>
    </i>
    <i>
      <x v="1244"/>
      <x v="4"/>
      <x v="107"/>
      <x v="52"/>
      <x v="1"/>
      <x v="8"/>
      <x v="2467"/>
      <x v="1095"/>
    </i>
    <i>
      <x v="1245"/>
      <x v="4"/>
      <x v="107"/>
      <x v="52"/>
      <x v="1"/>
      <x v="2"/>
      <x v="2468"/>
      <x v="1096"/>
    </i>
    <i>
      <x v="1246"/>
      <x v="4"/>
      <x v="107"/>
      <x v="52"/>
      <x v="1"/>
      <x v="11"/>
      <x v="2469"/>
      <x v="1097"/>
    </i>
    <i>
      <x v="1247"/>
      <x v="4"/>
      <x v="94"/>
      <x v="52"/>
      <x/>
      <x/>
      <x v="1729"/>
      <x v="959"/>
    </i>
    <i>
      <x v="1248"/>
      <x v="8"/>
      <x v="108"/>
      <x v="68"/>
      <x/>
      <x/>
      <x v="2376"/>
      <x v="960"/>
    </i>
    <i>
      <x v="1249"/>
      <x v="8"/>
      <x v="108"/>
      <x v="68"/>
      <x/>
      <x/>
      <x v="1731"/>
      <x v="961"/>
    </i>
    <i>
      <x v="1250"/>
      <x v="8"/>
      <x v="108"/>
      <x v="68"/>
      <x/>
      <x/>
      <x v="1732"/>
      <x v="962"/>
    </i>
    <i>
      <x v="1251"/>
      <x v="8"/>
      <x v="108"/>
      <x v="68"/>
      <x v="1"/>
      <x v="13"/>
      <x v="1733"/>
      <x v="964"/>
    </i>
    <i>
      <x v="1252"/>
      <x v="8"/>
      <x v="108"/>
      <x v="68"/>
      <x v="1"/>
      <x v="1"/>
      <x v="1734"/>
      <x v="965"/>
    </i>
    <i>
      <x v="1253"/>
      <x v="8"/>
      <x v="108"/>
      <x v="68"/>
      <x v="1"/>
      <x v="3"/>
      <x v="1735"/>
      <x v="966"/>
    </i>
    <i>
      <x v="1254"/>
      <x v="8"/>
      <x v="108"/>
      <x v="68"/>
      <x v="1"/>
      <x v="5"/>
      <x v="1736"/>
      <x v="967"/>
    </i>
    <i>
      <x v="1255"/>
      <x v="8"/>
      <x v="108"/>
      <x v="68"/>
      <x v="1"/>
      <x v="14"/>
      <x v="1737"/>
      <x v="968"/>
    </i>
    <i>
      <x v="1256"/>
      <x v="8"/>
      <x v="108"/>
      <x v="68"/>
      <x v="1"/>
      <x v="12"/>
      <x v="1738"/>
      <x v="969"/>
    </i>
    <i>
      <x v="1257"/>
      <x v="8"/>
      <x v="108"/>
      <x v="68"/>
      <x v="1"/>
      <x v="10"/>
      <x v="1739"/>
      <x v="970"/>
    </i>
    <i>
      <x v="1258"/>
      <x v="8"/>
      <x v="108"/>
      <x v="68"/>
      <x v="1"/>
      <x v="15"/>
      <x v="1740"/>
      <x v="971"/>
    </i>
    <i>
      <x v="1259"/>
      <x v="8"/>
      <x v="108"/>
      <x v="68"/>
      <x v="1"/>
      <x v="6"/>
      <x v="1741"/>
      <x v="972"/>
    </i>
    <i>
      <x v="1260"/>
      <x v="8"/>
      <x v="108"/>
      <x v="68"/>
      <x v="1"/>
      <x v="7"/>
      <x v="1742"/>
      <x v="973"/>
    </i>
    <i>
      <x v="1261"/>
      <x v="8"/>
      <x v="108"/>
      <x v="68"/>
      <x v="1"/>
      <x v="4"/>
      <x v="1743"/>
      <x v="974"/>
    </i>
    <i>
      <x v="1262"/>
      <x v="8"/>
      <x v="108"/>
      <x v="68"/>
      <x v="1"/>
      <x v="9"/>
      <x v="1744"/>
      <x v="1098"/>
    </i>
    <i>
      <x v="1263"/>
      <x v="8"/>
      <x v="108"/>
      <x v="68"/>
      <x v="1"/>
      <x v="16"/>
      <x v="1745"/>
      <x v="1099"/>
    </i>
    <i>
      <x v="1264"/>
      <x v="8"/>
      <x v="108"/>
      <x v="68"/>
      <x v="1"/>
      <x v="8"/>
      <x v="1746"/>
      <x v="1100"/>
    </i>
    <i>
      <x v="1265"/>
      <x v="8"/>
      <x v="108"/>
      <x v="68"/>
      <x v="1"/>
      <x v="11"/>
      <x v="1748"/>
      <x v="1102"/>
    </i>
    <i>
      <x v="1266"/>
      <x v="8"/>
      <x v="108"/>
      <x v="68"/>
      <x/>
      <x/>
      <x v="1749"/>
      <x v="975"/>
    </i>
    <i>
      <x v="1267"/>
      <x v="2"/>
      <x v="83"/>
      <x v="71"/>
      <x/>
      <x/>
      <x v="1750"/>
      <x v="976"/>
    </i>
    <i>
      <x v="1268"/>
      <x v="2"/>
      <x v="83"/>
      <x v="71"/>
      <x/>
      <x/>
      <x v="1751"/>
      <x v="977"/>
    </i>
    <i>
      <x v="1269"/>
      <x v="2"/>
      <x v="95"/>
      <x v="71"/>
      <x/>
      <x/>
      <x v="1752"/>
      <x v="978"/>
    </i>
    <i>
      <x v="1270"/>
      <x v="2"/>
      <x v="95"/>
      <x v="71"/>
      <x/>
      <x/>
      <x v="1475"/>
      <x v="979"/>
    </i>
    <i>
      <x v="1271"/>
      <x v="2"/>
      <x v="95"/>
      <x v="71"/>
      <x v="1"/>
      <x v="13"/>
      <x v="1476"/>
      <x v="980"/>
    </i>
    <i>
      <x v="1272"/>
      <x v="2"/>
      <x v="95"/>
      <x v="71"/>
      <x v="1"/>
      <x v="1"/>
      <x v="1477"/>
      <x v="981"/>
    </i>
    <i>
      <x v="1273"/>
      <x v="2"/>
      <x v="95"/>
      <x v="71"/>
      <x v="1"/>
      <x v="3"/>
      <x v="1478"/>
      <x v="982"/>
    </i>
    <i>
      <x v="1274"/>
      <x v="2"/>
      <x v="95"/>
      <x v="71"/>
      <x v="1"/>
      <x v="5"/>
      <x v="1479"/>
      <x v="983"/>
    </i>
    <i>
      <x v="1275"/>
      <x v="2"/>
      <x v="95"/>
      <x v="71"/>
      <x v="1"/>
      <x v="14"/>
      <x v="1480"/>
      <x v="984"/>
    </i>
    <i>
      <x v="1276"/>
      <x v="2"/>
      <x v="95"/>
      <x v="71"/>
      <x v="1"/>
      <x v="12"/>
      <x v="1481"/>
      <x v="985"/>
    </i>
    <i>
      <x v="1277"/>
      <x v="2"/>
      <x v="95"/>
      <x v="71"/>
      <x v="1"/>
      <x v="10"/>
      <x v="1482"/>
      <x v="986"/>
    </i>
    <i>
      <x v="1278"/>
      <x v="2"/>
      <x v="95"/>
      <x v="71"/>
      <x v="1"/>
      <x v="15"/>
      <x v="1483"/>
      <x v="987"/>
    </i>
    <i>
      <x v="1279"/>
      <x v="2"/>
      <x v="95"/>
      <x v="71"/>
      <x v="1"/>
      <x v="6"/>
      <x v="1484"/>
      <x v="988"/>
    </i>
    <i>
      <x v="1280"/>
      <x v="2"/>
      <x v="95"/>
      <x v="71"/>
      <x v="1"/>
      <x v="7"/>
      <x v="1485"/>
      <x v="989"/>
    </i>
    <i>
      <x v="1281"/>
      <x v="2"/>
      <x v="95"/>
      <x v="71"/>
      <x v="1"/>
      <x v="4"/>
      <x v="1486"/>
      <x v="990"/>
    </i>
    <i>
      <x v="1282"/>
      <x v="2"/>
      <x v="95"/>
      <x v="71"/>
      <x v="1"/>
      <x v="9"/>
      <x v="1487"/>
      <x v="991"/>
    </i>
    <i>
      <x v="1283"/>
      <x v="2"/>
      <x v="95"/>
      <x v="71"/>
      <x v="1"/>
      <x v="16"/>
      <x v="1488"/>
      <x v="992"/>
    </i>
    <i>
      <x v="1284"/>
      <x v="2"/>
      <x v="95"/>
      <x v="71"/>
      <x v="1"/>
      <x v="8"/>
      <x v="1489"/>
      <x v="993"/>
    </i>
    <i>
      <x v="1285"/>
      <x v="2"/>
      <x v="95"/>
      <x v="71"/>
      <x v="1"/>
      <x v="2"/>
      <x v="1490"/>
      <x v="994"/>
    </i>
    <i>
      <x v="1286"/>
      <x v="2"/>
      <x v="83"/>
      <x v="71"/>
      <x/>
      <x/>
      <x v="1491"/>
      <x v="995"/>
    </i>
    <i>
      <x v="1287"/>
      <x v="2"/>
      <x v="83"/>
      <x v="71"/>
      <x v="1"/>
      <x v="13"/>
      <x v="1493"/>
      <x v="997"/>
    </i>
    <i>
      <x v="1288"/>
      <x v="2"/>
      <x v="83"/>
      <x v="71"/>
      <x v="1"/>
      <x v="1"/>
      <x v="1494"/>
      <x v="998"/>
    </i>
    <i>
      <x v="1289"/>
      <x v="2"/>
      <x v="83"/>
      <x v="71"/>
      <x v="1"/>
      <x v="3"/>
      <x v="1495"/>
      <x v="999"/>
    </i>
    <i>
      <x v="1290"/>
      <x v="2"/>
      <x v="83"/>
      <x v="71"/>
      <x v="1"/>
      <x v="5"/>
      <x v="1496"/>
      <x v="1000"/>
    </i>
    <i>
      <x v="1291"/>
      <x v="2"/>
      <x v="83"/>
      <x v="71"/>
      <x v="1"/>
      <x v="14"/>
      <x v="1497"/>
      <x v="1001"/>
    </i>
    <i>
      <x v="1292"/>
      <x v="2"/>
      <x v="83"/>
      <x v="71"/>
      <x v="1"/>
      <x v="12"/>
      <x v="1498"/>
      <x v="1002"/>
    </i>
    <i>
      <x v="1293"/>
      <x v="2"/>
      <x v="83"/>
      <x v="71"/>
      <x v="1"/>
      <x v="10"/>
      <x v="1499"/>
      <x v="1003"/>
    </i>
    <i>
      <x v="1294"/>
      <x v="2"/>
      <x v="83"/>
      <x v="71"/>
      <x v="1"/>
      <x v="15"/>
      <x v="1500"/>
      <x v="1004"/>
    </i>
    <i>
      <x v="1295"/>
      <x v="2"/>
      <x v="83"/>
      <x v="71"/>
      <x v="1"/>
      <x v="6"/>
      <x v="1501"/>
      <x v="1005"/>
    </i>
    <i>
      <x v="1296"/>
      <x v="2"/>
      <x v="83"/>
      <x v="71"/>
      <x v="1"/>
      <x v="7"/>
      <x v="1502"/>
      <x v="1006"/>
    </i>
    <i>
      <x v="1297"/>
      <x v="2"/>
      <x v="83"/>
      <x v="71"/>
      <x v="1"/>
      <x v="4"/>
      <x v="1503"/>
      <x v="1007"/>
    </i>
    <i>
      <x v="1298"/>
      <x v="2"/>
      <x v="83"/>
      <x v="71"/>
      <x v="1"/>
      <x v="9"/>
      <x v="1504"/>
      <x v="1008"/>
    </i>
    <i>
      <x v="1299"/>
      <x v="2"/>
      <x v="83"/>
      <x v="71"/>
      <x v="1"/>
      <x v="16"/>
      <x v="1505"/>
      <x v="1009"/>
    </i>
    <i>
      <x v="1300"/>
      <x v="2"/>
      <x v="83"/>
      <x v="71"/>
      <x v="1"/>
      <x v="8"/>
      <x v="1506"/>
      <x v="1010"/>
    </i>
    <i>
      <x v="1301"/>
      <x v="2"/>
      <x v="83"/>
      <x v="71"/>
      <x v="1"/>
      <x v="2"/>
      <x v="1753"/>
      <x v="1103"/>
    </i>
    <i>
      <x v="1302"/>
      <x v="2"/>
      <x v="83"/>
      <x v="71"/>
      <x/>
      <x/>
      <x v="1754"/>
      <x v="1011"/>
    </i>
    <i>
      <x v="1303"/>
      <x v="2"/>
      <x v="109"/>
      <x v="71"/>
      <x/>
      <x/>
      <x v="1755"/>
      <x v="1012"/>
    </i>
    <i>
      <x v="1304"/>
      <x v="2"/>
      <x v="109"/>
      <x v="71"/>
      <x v="1"/>
      <x v="13"/>
      <x v="1756"/>
      <x v="1013"/>
    </i>
    <i>
      <x v="1305"/>
      <x v="2"/>
      <x v="109"/>
      <x v="71"/>
      <x v="1"/>
      <x v="1"/>
      <x v="1757"/>
      <x v="1014"/>
    </i>
    <i>
      <x v="1306"/>
      <x v="2"/>
      <x v="109"/>
      <x v="71"/>
      <x v="1"/>
      <x v="3"/>
      <x v="1758"/>
      <x v="1015"/>
    </i>
    <i>
      <x v="1307"/>
      <x v="2"/>
      <x v="109"/>
      <x v="71"/>
      <x v="1"/>
      <x v="5"/>
      <x v="1759"/>
      <x v="1016"/>
    </i>
    <i>
      <x v="1308"/>
      <x v="2"/>
      <x v="109"/>
      <x v="71"/>
      <x v="1"/>
      <x v="14"/>
      <x v="1760"/>
      <x v="1017"/>
    </i>
    <i>
      <x v="1309"/>
      <x v="2"/>
      <x v="109"/>
      <x v="71"/>
      <x v="1"/>
      <x v="12"/>
      <x v="1761"/>
      <x v="1018"/>
    </i>
    <i>
      <x v="1310"/>
      <x v="2"/>
      <x v="109"/>
      <x v="71"/>
      <x v="1"/>
      <x v="10"/>
      <x v="1762"/>
      <x v="1019"/>
    </i>
    <i>
      <x v="1311"/>
      <x v="2"/>
      <x v="109"/>
      <x v="71"/>
      <x v="1"/>
      <x v="15"/>
      <x v="1763"/>
      <x v="1020"/>
    </i>
    <i>
      <x v="1312"/>
      <x v="2"/>
      <x v="109"/>
      <x v="71"/>
      <x v="1"/>
      <x v="6"/>
      <x v="1764"/>
      <x v="1021"/>
    </i>
    <i>
      <x v="1313"/>
      <x v="2"/>
      <x v="109"/>
      <x v="71"/>
      <x v="1"/>
      <x v="7"/>
      <x v="1765"/>
      <x v="1022"/>
    </i>
    <i>
      <x v="1314"/>
      <x v="2"/>
      <x v="109"/>
      <x v="71"/>
      <x v="1"/>
      <x v="4"/>
      <x v="1766"/>
      <x v="1023"/>
    </i>
    <i>
      <x v="1315"/>
      <x v="2"/>
      <x v="109"/>
      <x v="71"/>
      <x v="1"/>
      <x v="9"/>
      <x v="1767"/>
      <x v="1024"/>
    </i>
    <i>
      <x v="1316"/>
      <x v="2"/>
      <x v="109"/>
      <x v="71"/>
      <x v="1"/>
      <x v="16"/>
      <x v="1768"/>
      <x v="1025"/>
    </i>
    <i>
      <x v="1317"/>
      <x v="2"/>
      <x v="109"/>
      <x v="71"/>
      <x v="1"/>
      <x v="8"/>
      <x v="1769"/>
      <x v="1026"/>
    </i>
    <i>
      <x v="1318"/>
      <x v="2"/>
      <x v="109"/>
      <x v="71"/>
      <x v="1"/>
      <x v="2"/>
      <x v="1770"/>
      <x v="1027"/>
    </i>
    <i>
      <x v="1319"/>
      <x v="5"/>
      <x v="110"/>
      <x v="72"/>
      <x/>
      <x/>
      <x v="1771"/>
      <x v="1028"/>
    </i>
    <i>
      <x v="1320"/>
      <x v="5"/>
      <x v="110"/>
      <x v="72"/>
      <x v="1"/>
      <x v="13"/>
      <x v="1526"/>
      <x v="1030"/>
    </i>
    <i>
      <x v="1321"/>
      <x v="5"/>
      <x v="110"/>
      <x v="72"/>
      <x v="1"/>
      <x v="1"/>
      <x v="1527"/>
      <x v="1031"/>
    </i>
    <i>
      <x v="1322"/>
      <x v="5"/>
      <x v="110"/>
      <x v="72"/>
      <x v="1"/>
      <x v="3"/>
      <x v="1528"/>
      <x v="1032"/>
    </i>
    <i>
      <x v="1323"/>
      <x v="5"/>
      <x v="110"/>
      <x v="72"/>
      <x v="1"/>
      <x v="5"/>
      <x v="1529"/>
      <x v="1033"/>
    </i>
    <i>
      <x v="1324"/>
      <x v="5"/>
      <x v="110"/>
      <x v="72"/>
      <x v="1"/>
      <x v="14"/>
      <x v="1530"/>
      <x v="1034"/>
    </i>
    <i>
      <x v="1325"/>
      <x v="5"/>
      <x v="110"/>
      <x v="72"/>
      <x v="1"/>
      <x v="12"/>
      <x v="1531"/>
      <x v="1035"/>
    </i>
    <i>
      <x v="1326"/>
      <x v="5"/>
      <x v="110"/>
      <x v="72"/>
      <x v="1"/>
      <x v="10"/>
      <x v="1532"/>
      <x v="1036"/>
    </i>
    <i>
      <x v="1327"/>
      <x v="5"/>
      <x v="110"/>
      <x v="72"/>
      <x v="1"/>
      <x v="15"/>
      <x v="1533"/>
      <x v="1037"/>
    </i>
    <i>
      <x v="1328"/>
      <x v="5"/>
      <x v="110"/>
      <x v="72"/>
      <x v="1"/>
      <x v="6"/>
      <x v="1534"/>
      <x v="1038"/>
    </i>
    <i>
      <x v="1329"/>
      <x v="5"/>
      <x v="110"/>
      <x v="72"/>
      <x v="1"/>
      <x v="7"/>
      <x v="1535"/>
      <x v="1039"/>
    </i>
    <i>
      <x v="1330"/>
      <x v="5"/>
      <x v="110"/>
      <x v="72"/>
      <x v="1"/>
      <x v="4"/>
      <x v="1536"/>
      <x v="1040"/>
    </i>
    <i>
      <x v="1331"/>
      <x v="5"/>
      <x v="110"/>
      <x v="72"/>
      <x v="1"/>
      <x v="9"/>
      <x v="1537"/>
      <x v="1041"/>
    </i>
    <i>
      <x v="1332"/>
      <x v="5"/>
      <x v="110"/>
      <x v="72"/>
      <x v="1"/>
      <x v="16"/>
      <x v="1538"/>
      <x v="1042"/>
    </i>
    <i>
      <x v="1333"/>
      <x v="5"/>
      <x v="110"/>
      <x v="72"/>
      <x v="1"/>
      <x v="8"/>
      <x v="1539"/>
      <x v="1043"/>
    </i>
    <i>
      <x v="1334"/>
      <x v="5"/>
      <x v="110"/>
      <x v="72"/>
      <x v="1"/>
      <x v="2"/>
      <x v="1540"/>
      <x v="1044"/>
    </i>
    <i>
      <x v="1335"/>
      <x v="5"/>
      <x v="110"/>
      <x v="72"/>
      <x v="1"/>
      <x v="11"/>
      <x v="1772"/>
      <x v="1104"/>
    </i>
    <i>
      <x v="1336"/>
      <x v="5"/>
      <x v="111"/>
      <x v="72"/>
      <x/>
      <x/>
      <x v="1773"/>
      <x v="1045"/>
    </i>
    <i>
      <x v="1337"/>
      <x v="5"/>
      <x v="111"/>
      <x v="72"/>
      <x v="1"/>
      <x v="13"/>
      <x v="1774"/>
      <x v="1047"/>
    </i>
    <i>
      <x v="1338"/>
      <x v="5"/>
      <x v="111"/>
      <x v="72"/>
      <x v="1"/>
      <x v="1"/>
      <x v="1775"/>
      <x v="1048"/>
    </i>
    <i>
      <x v="1339"/>
      <x v="5"/>
      <x v="111"/>
      <x v="72"/>
      <x v="1"/>
      <x v="3"/>
      <x v="1776"/>
      <x v="1049"/>
    </i>
    <i>
      <x v="1340"/>
      <x v="5"/>
      <x v="111"/>
      <x v="72"/>
      <x v="1"/>
      <x v="5"/>
      <x v="1777"/>
      <x v="1050"/>
    </i>
    <i>
      <x v="1341"/>
      <x v="5"/>
      <x v="111"/>
      <x v="72"/>
      <x v="1"/>
      <x v="14"/>
      <x v="1778"/>
      <x v="1051"/>
    </i>
    <i>
      <x v="1342"/>
      <x v="5"/>
      <x v="111"/>
      <x v="72"/>
      <x v="1"/>
      <x v="12"/>
      <x v="1779"/>
      <x v="1052"/>
    </i>
    <i>
      <x v="1343"/>
      <x v="5"/>
      <x v="111"/>
      <x v="72"/>
      <x v="1"/>
      <x v="10"/>
      <x v="1780"/>
      <x v="1053"/>
    </i>
    <i>
      <x v="1344"/>
      <x v="5"/>
      <x v="111"/>
      <x v="72"/>
      <x v="1"/>
      <x v="15"/>
      <x v="1781"/>
      <x v="1054"/>
    </i>
    <i>
      <x v="1345"/>
      <x v="5"/>
      <x v="111"/>
      <x v="72"/>
      <x v="1"/>
      <x v="6"/>
      <x v="1782"/>
      <x v="1055"/>
    </i>
    <i>
      <x v="1346"/>
      <x v="5"/>
      <x v="111"/>
      <x v="72"/>
      <x v="1"/>
      <x v="7"/>
      <x v="1783"/>
      <x v="1056"/>
    </i>
    <i>
      <x v="1347"/>
      <x v="5"/>
      <x v="111"/>
      <x v="72"/>
      <x v="1"/>
      <x v="4"/>
      <x v="1784"/>
      <x v="1057"/>
    </i>
    <i>
      <x v="1348"/>
      <x v="5"/>
      <x v="111"/>
      <x v="72"/>
      <x v="1"/>
      <x v="9"/>
      <x v="1785"/>
      <x v="1058"/>
    </i>
    <i>
      <x v="1349"/>
      <x v="5"/>
      <x v="111"/>
      <x v="72"/>
      <x v="1"/>
      <x v="16"/>
      <x v="1786"/>
      <x v="1059"/>
    </i>
    <i>
      <x v="1350"/>
      <x v="5"/>
      <x v="111"/>
      <x v="72"/>
      <x v="1"/>
      <x v="8"/>
      <x v="1787"/>
      <x v="1060"/>
    </i>
    <i>
      <x v="1351"/>
      <x v="5"/>
      <x v="111"/>
      <x v="72"/>
      <x v="1"/>
      <x v="2"/>
      <x v="1788"/>
      <x v="1061"/>
    </i>
    <i>
      <x v="1352"/>
      <x v="5"/>
      <x v="111"/>
      <x v="72"/>
      <x v="1"/>
      <x v="11"/>
      <x v="1789"/>
      <x v="1105"/>
    </i>
    <i>
      <x v="1353"/>
      <x v="5"/>
      <x v="118"/>
      <x v="72"/>
      <x/>
      <x/>
      <x v="1790"/>
      <x v="1062"/>
    </i>
    <i>
      <x v="1354"/>
      <x v="5"/>
      <x v="118"/>
      <x v="72"/>
      <x v="1"/>
      <x v="13"/>
      <x v="1791"/>
      <x v="1064"/>
    </i>
    <i>
      <x v="1355"/>
      <x v="5"/>
      <x v="118"/>
      <x v="72"/>
      <x v="1"/>
      <x v="1"/>
      <x v="1792"/>
      <x v="1065"/>
    </i>
    <i>
      <x v="1356"/>
      <x v="5"/>
      <x v="118"/>
      <x v="72"/>
      <x v="1"/>
      <x v="3"/>
      <x v="1793"/>
      <x v="1066"/>
    </i>
    <i>
      <x v="1357"/>
      <x v="5"/>
      <x v="118"/>
      <x v="72"/>
      <x v="1"/>
      <x v="5"/>
      <x v="1794"/>
      <x v="1067"/>
    </i>
    <i>
      <x v="1358"/>
      <x v="5"/>
      <x v="118"/>
      <x v="72"/>
      <x v="1"/>
      <x v="14"/>
      <x v="1795"/>
      <x v="1068"/>
    </i>
    <i>
      <x v="1359"/>
      <x v="5"/>
      <x v="118"/>
      <x v="72"/>
      <x v="1"/>
      <x v="12"/>
      <x v="1796"/>
      <x v="1069"/>
    </i>
    <i>
      <x v="1360"/>
      <x v="5"/>
      <x v="118"/>
      <x v="72"/>
      <x v="1"/>
      <x v="10"/>
      <x v="1797"/>
      <x v="1070"/>
    </i>
    <i>
      <x v="1361"/>
      <x v="5"/>
      <x v="118"/>
      <x v="72"/>
      <x v="1"/>
      <x v="15"/>
      <x v="1798"/>
      <x v="1071"/>
    </i>
    <i>
      <x v="1362"/>
      <x v="5"/>
      <x v="118"/>
      <x v="72"/>
      <x v="1"/>
      <x v="6"/>
      <x v="1799"/>
      <x v="1072"/>
    </i>
    <i>
      <x v="1363"/>
      <x v="5"/>
      <x v="118"/>
      <x v="72"/>
      <x v="1"/>
      <x v="7"/>
      <x v="1800"/>
      <x v="1073"/>
    </i>
    <i>
      <x v="1364"/>
      <x v="5"/>
      <x v="118"/>
      <x v="72"/>
      <x v="1"/>
      <x v="4"/>
      <x v="1801"/>
      <x v="1074"/>
    </i>
    <i>
      <x v="1365"/>
      <x v="5"/>
      <x v="118"/>
      <x v="72"/>
      <x v="1"/>
      <x v="9"/>
      <x v="1802"/>
      <x v="1075"/>
    </i>
    <i>
      <x v="1366"/>
      <x v="5"/>
      <x v="118"/>
      <x v="72"/>
      <x v="1"/>
      <x v="16"/>
      <x v="1803"/>
      <x v="1076"/>
    </i>
    <i>
      <x v="1367"/>
      <x v="5"/>
      <x v="118"/>
      <x v="72"/>
      <x v="1"/>
      <x v="8"/>
      <x v="1804"/>
      <x v="1106"/>
    </i>
    <i>
      <x v="1368"/>
      <x v="5"/>
      <x v="118"/>
      <x v="72"/>
      <x v="1"/>
      <x v="2"/>
      <x v="1805"/>
      <x v="1107"/>
    </i>
    <i>
      <x v="1369"/>
      <x v="5"/>
      <x v="118"/>
      <x v="72"/>
      <x v="1"/>
      <x v="11"/>
      <x v="1806"/>
      <x v="1108"/>
    </i>
    <i>
      <x v="1370"/>
      <x v="8"/>
      <x v="119"/>
      <x v="76"/>
      <x/>
      <x/>
      <x v="2470"/>
      <x v="1077"/>
    </i>
    <i>
      <x v="1371"/>
      <x v="8"/>
      <x v="119"/>
      <x v="76"/>
      <x/>
      <x/>
      <x v="1808"/>
      <x v="1078"/>
    </i>
    <i>
      <x v="1372"/>
      <x v="8"/>
      <x v="119"/>
      <x v="76"/>
      <x/>
      <x/>
      <x v="1809"/>
      <x v="1079"/>
    </i>
    <i>
      <x v="1373"/>
      <x v="8"/>
      <x v="119"/>
      <x v="76"/>
      <x v="1"/>
      <x v="13"/>
      <x v="1810"/>
      <x v="1109"/>
    </i>
    <i>
      <x v="1374"/>
      <x v="8"/>
      <x v="119"/>
      <x v="76"/>
      <x v="1"/>
      <x v="1"/>
      <x v="1811"/>
      <x v="1110"/>
    </i>
    <i>
      <x v="1375"/>
      <x v="8"/>
      <x v="119"/>
      <x v="76"/>
      <x v="1"/>
      <x v="3"/>
      <x v="1812"/>
      <x v="1111"/>
    </i>
    <i>
      <x v="1376"/>
      <x v="8"/>
      <x v="119"/>
      <x v="76"/>
      <x v="1"/>
      <x v="5"/>
      <x v="1813"/>
      <x v="1112"/>
    </i>
    <i>
      <x v="1377"/>
      <x v="8"/>
      <x v="119"/>
      <x v="76"/>
      <x v="1"/>
      <x v="14"/>
      <x v="1814"/>
      <x v="1113"/>
    </i>
    <i>
      <x v="1378"/>
      <x v="8"/>
      <x v="119"/>
      <x v="76"/>
      <x v="1"/>
      <x v="12"/>
      <x v="1815"/>
      <x v="1114"/>
    </i>
    <i>
      <x v="1379"/>
      <x v="8"/>
      <x v="119"/>
      <x v="76"/>
      <x v="1"/>
      <x v="10"/>
      <x v="1816"/>
      <x v="1115"/>
    </i>
    <i>
      <x v="1380"/>
      <x v="8"/>
      <x v="119"/>
      <x v="76"/>
      <x v="1"/>
      <x v="15"/>
      <x v="1817"/>
      <x v="1116"/>
    </i>
    <i>
      <x v="1381"/>
      <x v="8"/>
      <x v="119"/>
      <x v="76"/>
      <x v="1"/>
      <x v="6"/>
      <x v="1818"/>
      <x v="1117"/>
    </i>
    <i>
      <x v="1382"/>
      <x v="8"/>
      <x v="119"/>
      <x v="76"/>
      <x v="1"/>
      <x v="7"/>
      <x v="1819"/>
      <x v="1118"/>
    </i>
    <i>
      <x v="1383"/>
      <x v="8"/>
      <x v="119"/>
      <x v="76"/>
      <x v="1"/>
      <x v="4"/>
      <x v="1820"/>
      <x v="1119"/>
    </i>
    <i>
      <x v="1384"/>
      <x v="8"/>
      <x v="119"/>
      <x v="76"/>
      <x v="1"/>
      <x v="9"/>
      <x v="1821"/>
      <x v="1120"/>
    </i>
    <i>
      <x v="1385"/>
      <x v="8"/>
      <x v="119"/>
      <x v="76"/>
      <x v="1"/>
      <x v="16"/>
      <x v="1822"/>
      <x v="1121"/>
    </i>
    <i>
      <x v="1386"/>
      <x v="8"/>
      <x v="119"/>
      <x v="76"/>
      <x v="1"/>
      <x v="8"/>
      <x v="1823"/>
      <x v="1122"/>
    </i>
    <i>
      <x v="1387"/>
      <x v="8"/>
      <x v="119"/>
      <x v="76"/>
      <x v="1"/>
      <x v="2"/>
      <x v="1824"/>
      <x v="1123"/>
    </i>
    <i>
      <x v="1388"/>
      <x v="8"/>
      <x v="119"/>
      <x v="76"/>
      <x v="1"/>
      <x v="11"/>
      <x v="1825"/>
      <x v="1124"/>
    </i>
    <i>
      <x v="1389"/>
      <x v="15"/>
      <x v="120"/>
      <x v="77"/>
      <x/>
      <x/>
      <x v="2022"/>
      <x v="1125"/>
    </i>
    <i>
      <x v="1390"/>
      <x v="15"/>
      <x v="120"/>
      <x v="77"/>
      <x/>
      <x/>
      <x v="1827"/>
      <x v="1126"/>
    </i>
    <i>
      <x v="1391"/>
      <x v="15"/>
      <x v="120"/>
      <x v="77"/>
      <x v="1"/>
      <x v="13"/>
      <x v="1828"/>
      <x v="1127"/>
    </i>
    <i>
      <x v="1392"/>
      <x v="15"/>
      <x v="120"/>
      <x v="77"/>
      <x v="1"/>
      <x v="1"/>
      <x v="1829"/>
      <x v="1128"/>
    </i>
    <i>
      <x v="1393"/>
      <x v="15"/>
      <x v="120"/>
      <x v="77"/>
      <x v="1"/>
      <x v="3"/>
      <x v="1830"/>
      <x v="1129"/>
    </i>
    <i>
      <x v="1394"/>
      <x v="15"/>
      <x v="120"/>
      <x v="77"/>
      <x v="1"/>
      <x v="5"/>
      <x v="1831"/>
      <x v="1130"/>
    </i>
    <i>
      <x v="1395"/>
      <x v="15"/>
      <x v="120"/>
      <x v="77"/>
      <x v="1"/>
      <x v="14"/>
      <x v="1832"/>
      <x v="1131"/>
    </i>
    <i>
      <x v="1396"/>
      <x v="15"/>
      <x v="120"/>
      <x v="77"/>
      <x v="1"/>
      <x v="12"/>
      <x v="1833"/>
      <x v="1132"/>
    </i>
    <i>
      <x v="1397"/>
      <x v="15"/>
      <x v="120"/>
      <x v="77"/>
      <x v="1"/>
      <x v="10"/>
      <x v="1834"/>
      <x v="1133"/>
    </i>
    <i>
      <x v="1398"/>
      <x v="15"/>
      <x v="120"/>
      <x v="77"/>
      <x v="1"/>
      <x v="15"/>
      <x v="1835"/>
      <x v="1134"/>
    </i>
    <i>
      <x v="1399"/>
      <x v="15"/>
      <x v="120"/>
      <x v="77"/>
      <x v="1"/>
      <x v="6"/>
      <x v="1836"/>
      <x v="1135"/>
    </i>
    <i>
      <x v="1400"/>
      <x v="15"/>
      <x v="120"/>
      <x v="77"/>
      <x v="1"/>
      <x v="7"/>
      <x v="1837"/>
      <x v="1136"/>
    </i>
    <i>
      <x v="1401"/>
      <x v="15"/>
      <x v="120"/>
      <x v="77"/>
      <x v="1"/>
      <x v="4"/>
      <x v="1838"/>
      <x v="1137"/>
    </i>
    <i>
      <x v="1402"/>
      <x v="15"/>
      <x v="120"/>
      <x v="77"/>
      <x v="1"/>
      <x v="9"/>
      <x v="1839"/>
      <x v="1138"/>
    </i>
    <i>
      <x v="1403"/>
      <x v="15"/>
      <x v="120"/>
      <x v="77"/>
      <x v="1"/>
      <x v="16"/>
      <x v="2023"/>
      <x v="1139"/>
    </i>
    <i>
      <x v="1404"/>
      <x v="15"/>
      <x v="120"/>
      <x v="77"/>
      <x v="1"/>
      <x v="8"/>
      <x v="1841"/>
      <x v="1140"/>
    </i>
    <i>
      <x v="1405"/>
      <x v="15"/>
      <x v="120"/>
      <x v="77"/>
      <x v="1"/>
      <x v="2"/>
      <x v="1842"/>
      <x v="1141"/>
    </i>
    <i>
      <x v="1406"/>
      <x v="15"/>
      <x v="120"/>
      <x v="77"/>
      <x v="1"/>
      <x v="11"/>
      <x v="1843"/>
      <x v="1142"/>
    </i>
    <i>
      <x v="1407"/>
      <x v="15"/>
      <x v="121"/>
      <x v="78"/>
      <x/>
      <x/>
      <x v="2024"/>
      <x v="1143"/>
    </i>
    <i>
      <x v="1408"/>
      <x v="15"/>
      <x v="121"/>
      <x v="78"/>
      <x v="1"/>
      <x v="13"/>
      <x v="2025"/>
      <x v="1144"/>
    </i>
    <i>
      <x v="1409"/>
      <x v="15"/>
      <x v="121"/>
      <x v="78"/>
      <x v="1"/>
      <x v="1"/>
      <x v="2026"/>
      <x v="1145"/>
    </i>
    <i>
      <x v="1410"/>
      <x v="15"/>
      <x v="121"/>
      <x v="78"/>
      <x v="1"/>
      <x v="3"/>
      <x v="2027"/>
      <x v="1146"/>
    </i>
    <i>
      <x v="1411"/>
      <x v="15"/>
      <x v="121"/>
      <x v="78"/>
      <x v="1"/>
      <x v="5"/>
      <x v="2028"/>
      <x v="1147"/>
    </i>
    <i>
      <x v="1412"/>
      <x v="15"/>
      <x v="121"/>
      <x v="78"/>
      <x v="1"/>
      <x v="14"/>
      <x v="2029"/>
      <x v="1148"/>
    </i>
    <i>
      <x v="1413"/>
      <x v="15"/>
      <x v="121"/>
      <x v="78"/>
      <x v="1"/>
      <x v="12"/>
      <x v="2030"/>
      <x v="1149"/>
    </i>
    <i>
      <x v="1414"/>
      <x v="15"/>
      <x v="121"/>
      <x v="78"/>
      <x v="1"/>
      <x v="10"/>
      <x v="2031"/>
      <x v="1150"/>
    </i>
    <i>
      <x v="1415"/>
      <x v="15"/>
      <x v="121"/>
      <x v="78"/>
      <x v="1"/>
      <x v="15"/>
      <x v="2032"/>
      <x v="1151"/>
    </i>
    <i>
      <x v="1416"/>
      <x v="15"/>
      <x v="121"/>
      <x v="78"/>
      <x v="1"/>
      <x v="6"/>
      <x v="2033"/>
      <x v="1152"/>
    </i>
    <i>
      <x v="1417"/>
      <x v="15"/>
      <x v="121"/>
      <x v="78"/>
      <x v="1"/>
      <x v="7"/>
      <x v="2034"/>
      <x v="1153"/>
    </i>
    <i>
      <x v="1418"/>
      <x v="15"/>
      <x v="121"/>
      <x v="78"/>
      <x v="1"/>
      <x v="4"/>
      <x v="2035"/>
      <x v="1154"/>
    </i>
    <i>
      <x v="1419"/>
      <x v="15"/>
      <x v="121"/>
      <x v="78"/>
      <x v="1"/>
      <x v="9"/>
      <x v="2036"/>
      <x v="1155"/>
    </i>
    <i>
      <x v="1420"/>
      <x v="15"/>
      <x v="121"/>
      <x v="78"/>
      <x v="1"/>
      <x v="16"/>
      <x v="2037"/>
      <x v="1156"/>
    </i>
    <i>
      <x v="1421"/>
      <x v="15"/>
      <x v="121"/>
      <x v="78"/>
      <x v="1"/>
      <x v="8"/>
      <x v="2038"/>
      <x v="1157"/>
    </i>
    <i>
      <x v="1422"/>
      <x v="15"/>
      <x v="121"/>
      <x v="78"/>
      <x v="1"/>
      <x v="2"/>
      <x v="2039"/>
      <x v="1158"/>
    </i>
    <i>
      <x v="1423"/>
      <x v="15"/>
      <x v="121"/>
      <x v="78"/>
      <x v="1"/>
      <x v="11"/>
      <x v="2040"/>
      <x v="1159"/>
    </i>
    <i>
      <x v="1424"/>
      <x v="15"/>
      <x v="121"/>
      <x v="78"/>
      <x/>
      <x/>
      <x v="1861"/>
      <x v="1160"/>
    </i>
    <i>
      <x v="1425"/>
      <x v="15"/>
      <x v="121"/>
      <x v="78"/>
      <x v="1"/>
      <x v="13"/>
      <x v="1862"/>
      <x v="1161"/>
    </i>
    <i>
      <x v="1426"/>
      <x v="15"/>
      <x v="121"/>
      <x v="78"/>
      <x v="1"/>
      <x v="1"/>
      <x v="1863"/>
      <x v="1162"/>
    </i>
    <i>
      <x v="1427"/>
      <x v="15"/>
      <x v="121"/>
      <x v="78"/>
      <x v="1"/>
      <x v="3"/>
      <x v="1864"/>
      <x v="1163"/>
    </i>
    <i>
      <x v="1428"/>
      <x v="15"/>
      <x v="121"/>
      <x v="78"/>
      <x v="1"/>
      <x v="5"/>
      <x v="1865"/>
      <x v="1164"/>
    </i>
    <i>
      <x v="1429"/>
      <x v="15"/>
      <x v="121"/>
      <x v="78"/>
      <x v="1"/>
      <x v="14"/>
      <x v="1866"/>
      <x v="1165"/>
    </i>
    <i>
      <x v="1430"/>
      <x v="15"/>
      <x v="121"/>
      <x v="78"/>
      <x v="1"/>
      <x v="12"/>
      <x v="1867"/>
      <x v="1166"/>
    </i>
    <i>
      <x v="1431"/>
      <x v="15"/>
      <x v="121"/>
      <x v="78"/>
      <x v="1"/>
      <x v="10"/>
      <x v="1868"/>
      <x v="1167"/>
    </i>
    <i>
      <x v="1432"/>
      <x v="15"/>
      <x v="121"/>
      <x v="78"/>
      <x v="1"/>
      <x v="15"/>
      <x v="1869"/>
      <x v="1168"/>
    </i>
    <i>
      <x v="1433"/>
      <x v="15"/>
      <x v="121"/>
      <x v="78"/>
      <x v="1"/>
      <x v="6"/>
      <x v="1870"/>
      <x v="1169"/>
    </i>
    <i>
      <x v="1434"/>
      <x v="15"/>
      <x v="121"/>
      <x v="78"/>
      <x v="1"/>
      <x v="7"/>
      <x v="1871"/>
      <x v="1170"/>
    </i>
    <i>
      <x v="1435"/>
      <x v="15"/>
      <x v="121"/>
      <x v="78"/>
      <x v="1"/>
      <x v="4"/>
      <x v="1872"/>
      <x v="1171"/>
    </i>
    <i>
      <x v="1436"/>
      <x v="15"/>
      <x v="121"/>
      <x v="78"/>
      <x v="1"/>
      <x v="9"/>
      <x v="1873"/>
      <x v="1172"/>
    </i>
    <i>
      <x v="1437"/>
      <x v="15"/>
      <x v="121"/>
      <x v="78"/>
      <x v="1"/>
      <x v="16"/>
      <x v="1874"/>
      <x v="1173"/>
    </i>
    <i>
      <x v="1438"/>
      <x v="15"/>
      <x v="121"/>
      <x v="78"/>
      <x v="1"/>
      <x v="8"/>
      <x v="1875"/>
      <x v="1174"/>
    </i>
    <i>
      <x v="1439"/>
      <x v="15"/>
      <x v="121"/>
      <x v="78"/>
      <x v="1"/>
      <x v="2"/>
      <x v="1876"/>
      <x v="1175"/>
    </i>
    <i>
      <x v="1440"/>
      <x v="15"/>
      <x v="121"/>
      <x v="78"/>
      <x v="1"/>
      <x v="11"/>
      <x v="1877"/>
      <x v="1176"/>
    </i>
    <i>
      <x v="1441"/>
      <x v="9"/>
      <x v="122"/>
      <x v="66"/>
      <x/>
      <x/>
      <x v="1878"/>
      <x v="1177"/>
    </i>
    <i>
      <x v="1442"/>
      <x v="9"/>
      <x v="122"/>
      <x v="66"/>
      <x v="1"/>
      <x v="13"/>
      <x v="1879"/>
      <x v="1178"/>
    </i>
    <i>
      <x v="1443"/>
      <x v="9"/>
      <x v="122"/>
      <x v="66"/>
      <x v="1"/>
      <x v="1"/>
      <x v="1880"/>
      <x v="1179"/>
    </i>
    <i>
      <x v="1444"/>
      <x v="9"/>
      <x v="122"/>
      <x v="66"/>
      <x v="1"/>
      <x v="3"/>
      <x v="1881"/>
      <x v="1180"/>
    </i>
    <i>
      <x v="1445"/>
      <x v="9"/>
      <x v="122"/>
      <x v="66"/>
      <x v="1"/>
      <x v="5"/>
      <x v="1882"/>
      <x v="1181"/>
    </i>
    <i>
      <x v="1446"/>
      <x v="9"/>
      <x v="122"/>
      <x v="66"/>
      <x v="1"/>
      <x v="14"/>
      <x v="1883"/>
      <x v="1182"/>
    </i>
    <i>
      <x v="1447"/>
      <x v="9"/>
      <x v="122"/>
      <x v="66"/>
      <x v="1"/>
      <x v="12"/>
      <x v="1884"/>
      <x v="1183"/>
    </i>
    <i>
      <x v="1448"/>
      <x v="9"/>
      <x v="122"/>
      <x v="66"/>
      <x v="1"/>
      <x v="10"/>
      <x v="1885"/>
      <x v="1184"/>
    </i>
    <i>
      <x v="1449"/>
      <x v="9"/>
      <x v="122"/>
      <x v="66"/>
      <x v="1"/>
      <x v="15"/>
      <x v="1886"/>
      <x v="1185"/>
    </i>
    <i>
      <x v="1450"/>
      <x v="9"/>
      <x v="122"/>
      <x v="66"/>
      <x v="1"/>
      <x v="6"/>
      <x v="1887"/>
      <x v="1186"/>
    </i>
    <i>
      <x v="1451"/>
      <x v="9"/>
      <x v="122"/>
      <x v="66"/>
      <x v="1"/>
      <x v="7"/>
      <x v="1888"/>
      <x v="1187"/>
    </i>
    <i>
      <x v="1452"/>
      <x v="9"/>
      <x v="122"/>
      <x v="66"/>
      <x v="1"/>
      <x v="4"/>
      <x v="1889"/>
      <x v="1188"/>
    </i>
    <i>
      <x v="1453"/>
      <x v="9"/>
      <x v="122"/>
      <x v="66"/>
      <x v="1"/>
      <x v="9"/>
      <x v="1890"/>
      <x v="1189"/>
    </i>
    <i>
      <x v="1454"/>
      <x v="9"/>
      <x v="122"/>
      <x v="66"/>
      <x v="1"/>
      <x v="16"/>
      <x v="1891"/>
      <x v="1190"/>
    </i>
    <i>
      <x v="1456"/>
      <x v="6"/>
      <x v="93"/>
      <x v="47"/>
      <x v="1"/>
      <x v="16"/>
      <x v="1613"/>
      <x v="823"/>
    </i>
    <i>
      <x v="1457"/>
      <x v="9"/>
      <x v="122"/>
      <x v="66"/>
      <x v="1"/>
      <x v="8"/>
      <x v="1892"/>
      <x v="1191"/>
    </i>
    <i>
      <x v="1458"/>
      <x v="9"/>
      <x v="122"/>
      <x v="66"/>
      <x v="1"/>
      <x v="2"/>
      <x v="1893"/>
      <x v="1192"/>
    </i>
    <i>
      <x v="1459"/>
      <x v="9"/>
      <x v="122"/>
      <x v="66"/>
      <x v="1"/>
      <x v="11"/>
      <x v="1894"/>
      <x v="1193"/>
    </i>
    <i>
      <x v="1460"/>
      <x v="9"/>
      <x v="165"/>
      <x v="66"/>
      <x/>
      <x/>
      <x v="1895"/>
      <x v="1194"/>
    </i>
    <i>
      <x v="1461"/>
      <x v="9"/>
      <x v="165"/>
      <x v="66"/>
      <x v="1"/>
      <x v="13"/>
      <x v="1896"/>
      <x v="1195"/>
    </i>
    <i>
      <x v="1462"/>
      <x v="9"/>
      <x v="165"/>
      <x v="66"/>
      <x v="1"/>
      <x v="1"/>
      <x v="1896"/>
      <x v="1196"/>
    </i>
    <i>
      <x v="1463"/>
      <x v="9"/>
      <x v="165"/>
      <x v="66"/>
      <x v="1"/>
      <x v="3"/>
      <x v="1896"/>
      <x v="1197"/>
    </i>
    <i>
      <x v="1464"/>
      <x v="9"/>
      <x v="165"/>
      <x v="66"/>
      <x v="1"/>
      <x v="5"/>
      <x v="1896"/>
      <x v="1198"/>
    </i>
    <i>
      <x v="1465"/>
      <x v="9"/>
      <x v="165"/>
      <x v="66"/>
      <x v="1"/>
      <x v="14"/>
      <x v="1896"/>
      <x v="1199"/>
    </i>
    <i>
      <x v="1466"/>
      <x v="9"/>
      <x v="165"/>
      <x v="66"/>
      <x v="1"/>
      <x v="12"/>
      <x v="1896"/>
      <x v="1200"/>
    </i>
    <i>
      <x v="1467"/>
      <x v="9"/>
      <x v="165"/>
      <x v="66"/>
      <x v="1"/>
      <x v="10"/>
      <x v="1896"/>
      <x v="1201"/>
    </i>
    <i>
      <x v="1468"/>
      <x v="9"/>
      <x v="165"/>
      <x v="66"/>
      <x v="1"/>
      <x v="15"/>
      <x v="1896"/>
      <x v="1202"/>
    </i>
    <i>
      <x v="1469"/>
      <x v="9"/>
      <x v="165"/>
      <x v="66"/>
      <x v="1"/>
      <x v="6"/>
      <x v="1896"/>
      <x v="1203"/>
    </i>
    <i>
      <x v="1470"/>
      <x v="9"/>
      <x v="165"/>
      <x v="66"/>
      <x v="1"/>
      <x v="7"/>
      <x v="1896"/>
      <x v="1204"/>
    </i>
    <i>
      <x v="1471"/>
      <x v="9"/>
      <x v="165"/>
      <x v="66"/>
      <x v="1"/>
      <x v="4"/>
      <x v="1896"/>
      <x v="1205"/>
    </i>
    <i>
      <x v="1472"/>
      <x v="9"/>
      <x v="165"/>
      <x v="66"/>
      <x v="1"/>
      <x v="9"/>
      <x v="1896"/>
      <x v="1206"/>
    </i>
    <i>
      <x v="1473"/>
      <x v="9"/>
      <x v="165"/>
      <x v="66"/>
      <x v="1"/>
      <x v="16"/>
      <x v="1896"/>
      <x v="1207"/>
    </i>
    <i>
      <x v="1474"/>
      <x v="9"/>
      <x v="165"/>
      <x v="66"/>
      <x v="1"/>
      <x v="8"/>
      <x v="1896"/>
      <x v="1208"/>
    </i>
    <i>
      <x v="1475"/>
      <x v="9"/>
      <x v="165"/>
      <x v="66"/>
      <x v="1"/>
      <x v="2"/>
      <x v="1896"/>
      <x v="1209"/>
    </i>
    <i>
      <x v="1476"/>
      <x v="9"/>
      <x v="165"/>
      <x v="66"/>
      <x v="1"/>
      <x v="11"/>
      <x v="1896"/>
      <x v="1210"/>
    </i>
    <i>
      <x v="1477"/>
      <x v="9"/>
      <x v="122"/>
      <x v="66"/>
      <x/>
      <x/>
      <x v="1897"/>
      <x v="1211"/>
    </i>
    <i>
      <x v="1478"/>
      <x v="9"/>
      <x v="122"/>
      <x v="66"/>
      <x/>
      <x/>
      <x v="1898"/>
      <x v="1212"/>
    </i>
    <i>
      <x v="1479"/>
      <x v="9"/>
      <x v="122"/>
      <x v="66"/>
      <x v="1"/>
      <x v="13"/>
      <x v="1899"/>
      <x v="1213"/>
    </i>
    <i>
      <x v="1480"/>
      <x v="9"/>
      <x v="122"/>
      <x v="66"/>
      <x v="1"/>
      <x v="1"/>
      <x v="1900"/>
      <x v="1214"/>
    </i>
    <i>
      <x v="1481"/>
      <x v="9"/>
      <x v="122"/>
      <x v="66"/>
      <x v="1"/>
      <x v="3"/>
      <x v="1901"/>
      <x v="1215"/>
    </i>
    <i>
      <x v="1482"/>
      <x v="9"/>
      <x v="122"/>
      <x v="66"/>
      <x v="1"/>
      <x v="5"/>
      <x v="1902"/>
      <x v="1216"/>
    </i>
    <i>
      <x v="1483"/>
      <x v="9"/>
      <x v="122"/>
      <x v="66"/>
      <x v="1"/>
      <x v="14"/>
      <x v="1903"/>
      <x v="1217"/>
    </i>
    <i>
      <x v="1484"/>
      <x v="9"/>
      <x v="122"/>
      <x v="66"/>
      <x v="1"/>
      <x v="12"/>
      <x v="1904"/>
      <x v="1218"/>
    </i>
    <i>
      <x v="1485"/>
      <x v="9"/>
      <x v="122"/>
      <x v="66"/>
      <x v="1"/>
      <x v="10"/>
      <x v="1905"/>
      <x v="1219"/>
    </i>
    <i>
      <x v="1486"/>
      <x v="9"/>
      <x v="122"/>
      <x v="66"/>
      <x v="1"/>
      <x v="15"/>
      <x v="1906"/>
      <x v="1220"/>
    </i>
    <i>
      <x v="1487"/>
      <x v="9"/>
      <x v="122"/>
      <x v="66"/>
      <x v="1"/>
      <x v="6"/>
      <x v="1907"/>
      <x v="1221"/>
    </i>
    <i>
      <x v="1488"/>
      <x v="9"/>
      <x v="122"/>
      <x v="66"/>
      <x v="1"/>
      <x v="7"/>
      <x v="1908"/>
      <x v="1222"/>
    </i>
    <i>
      <x v="1489"/>
      <x v="9"/>
      <x v="122"/>
      <x v="66"/>
      <x v="1"/>
      <x v="4"/>
      <x v="1909"/>
      <x v="1223"/>
    </i>
    <i>
      <x v="1490"/>
      <x v="9"/>
      <x v="122"/>
      <x v="66"/>
      <x v="1"/>
      <x v="9"/>
      <x v="1910"/>
      <x v="1224"/>
    </i>
    <i>
      <x v="1491"/>
      <x v="9"/>
      <x v="122"/>
      <x v="66"/>
      <x v="1"/>
      <x v="16"/>
      <x v="1911"/>
      <x v="1225"/>
    </i>
    <i>
      <x v="1492"/>
      <x v="9"/>
      <x v="122"/>
      <x v="66"/>
      <x v="1"/>
      <x v="8"/>
      <x v="1912"/>
      <x v="1226"/>
    </i>
    <i>
      <x v="1493"/>
      <x v="9"/>
      <x v="122"/>
      <x v="66"/>
      <x v="1"/>
      <x v="2"/>
      <x v="1913"/>
      <x v="1227"/>
    </i>
    <i>
      <x v="1494"/>
      <x v="9"/>
      <x v="122"/>
      <x v="66"/>
      <x v="1"/>
      <x v="11"/>
      <x v="1914"/>
      <x v="1228"/>
    </i>
    <i>
      <x v="1495"/>
      <x v="9"/>
      <x v="40"/>
      <x v="66"/>
      <x/>
      <x/>
      <x v="1915"/>
      <x v="1229"/>
    </i>
    <i>
      <x v="1496"/>
      <x v="9"/>
      <x v="40"/>
      <x v="66"/>
      <x v="1"/>
      <x v="13"/>
      <x v="1916"/>
      <x v="1230"/>
    </i>
    <i>
      <x v="1497"/>
      <x v="9"/>
      <x v="40"/>
      <x v="66"/>
      <x v="1"/>
      <x v="1"/>
      <x v="1917"/>
      <x v="1231"/>
    </i>
    <i>
      <x v="1498"/>
      <x v="9"/>
      <x v="40"/>
      <x v="66"/>
      <x v="1"/>
      <x v="3"/>
      <x v="1918"/>
      <x v="1232"/>
    </i>
    <i>
      <x v="1499"/>
      <x v="9"/>
      <x v="40"/>
      <x v="66"/>
      <x v="1"/>
      <x v="5"/>
      <x v="1919"/>
      <x v="1233"/>
    </i>
    <i>
      <x v="1500"/>
      <x v="9"/>
      <x v="40"/>
      <x v="66"/>
      <x v="1"/>
      <x v="14"/>
      <x v="1920"/>
      <x v="1234"/>
    </i>
    <i>
      <x v="1501"/>
      <x v="9"/>
      <x v="40"/>
      <x v="66"/>
      <x v="1"/>
      <x v="12"/>
      <x v="1921"/>
      <x v="1235"/>
    </i>
    <i>
      <x v="1502"/>
      <x v="9"/>
      <x v="40"/>
      <x v="66"/>
      <x v="1"/>
      <x v="10"/>
      <x v="1922"/>
      <x v="1236"/>
    </i>
    <i>
      <x v="1503"/>
      <x v="9"/>
      <x v="40"/>
      <x v="66"/>
      <x v="1"/>
      <x v="15"/>
      <x v="1923"/>
      <x v="1237"/>
    </i>
    <i>
      <x v="1504"/>
      <x v="9"/>
      <x v="40"/>
      <x v="66"/>
      <x v="1"/>
      <x v="6"/>
      <x v="1924"/>
      <x v="1238"/>
    </i>
    <i>
      <x v="1505"/>
      <x v="9"/>
      <x v="40"/>
      <x v="66"/>
      <x v="1"/>
      <x v="7"/>
      <x v="1925"/>
      <x v="1239"/>
    </i>
    <i>
      <x v="1506"/>
      <x v="9"/>
      <x v="40"/>
      <x v="66"/>
      <x v="1"/>
      <x v="4"/>
      <x v="1926"/>
      <x v="1240"/>
    </i>
    <i>
      <x v="1507"/>
      <x v="9"/>
      <x v="40"/>
      <x v="66"/>
      <x v="1"/>
      <x v="9"/>
      <x v="1927"/>
      <x v="1241"/>
    </i>
    <i>
      <x v="1508"/>
      <x v="9"/>
      <x v="40"/>
      <x v="66"/>
      <x v="1"/>
      <x v="16"/>
      <x v="1928"/>
      <x v="1242"/>
    </i>
    <i>
      <x v="1509"/>
      <x v="9"/>
      <x v="40"/>
      <x v="66"/>
      <x v="1"/>
      <x v="8"/>
      <x v="1929"/>
      <x v="1243"/>
    </i>
    <i>
      <x v="1510"/>
      <x v="9"/>
      <x v="40"/>
      <x v="66"/>
      <x v="1"/>
      <x v="2"/>
      <x v="1930"/>
      <x v="1244"/>
    </i>
    <i>
      <x v="1511"/>
      <x v="9"/>
      <x v="40"/>
      <x v="66"/>
      <x v="1"/>
      <x v="11"/>
      <x v="1931"/>
      <x v="1245"/>
    </i>
    <i>
      <x v="1512"/>
      <x v="10"/>
      <x v="123"/>
      <x v="58"/>
      <x/>
      <x/>
      <x v="1932"/>
      <x v="1246"/>
    </i>
    <i>
      <x v="1513"/>
      <x v="10"/>
      <x v="124"/>
      <x v="58"/>
      <x/>
      <x/>
      <x v="1933"/>
      <x v="1247"/>
    </i>
    <i>
      <x v="1514"/>
      <x v="10"/>
      <x v="125"/>
      <x v="58"/>
      <x/>
      <x/>
      <x v="1934"/>
      <x v="1248"/>
    </i>
    <i>
      <x v="1515"/>
      <x v="2"/>
      <x v="126"/>
      <x v="80"/>
      <x/>
      <x/>
      <x v="1935"/>
      <x v="1249"/>
    </i>
    <i>
      <x v="1516"/>
      <x v="2"/>
      <x v="126"/>
      <x v="80"/>
      <x v="1"/>
      <x v="13"/>
      <x v="1936"/>
      <x v="2062"/>
    </i>
    <i>
      <x v="1517"/>
      <x v="2"/>
      <x v="126"/>
      <x v="80"/>
      <x v="1"/>
      <x v="1"/>
      <x v="1937"/>
      <x v="2063"/>
    </i>
    <i>
      <x v="1518"/>
      <x v="2"/>
      <x v="126"/>
      <x v="80"/>
      <x v="1"/>
      <x v="3"/>
      <x v="1938"/>
      <x v="2064"/>
    </i>
    <i>
      <x v="1519"/>
      <x v="2"/>
      <x v="126"/>
      <x v="80"/>
      <x v="1"/>
      <x v="5"/>
      <x v="1939"/>
      <x v="2065"/>
    </i>
    <i>
      <x v="1520"/>
      <x v="2"/>
      <x v="126"/>
      <x v="80"/>
      <x/>
      <x/>
      <x v="2471"/>
      <x v="1254"/>
    </i>
    <i>
      <x v="1521"/>
      <x v="2"/>
      <x v="126"/>
      <x v="80"/>
      <x v="1"/>
      <x v="13"/>
      <x v="2472"/>
      <x v="2066"/>
    </i>
    <i>
      <x v="1522"/>
      <x v="2"/>
      <x v="126"/>
      <x v="80"/>
      <x v="1"/>
      <x v="1"/>
      <x v="1942"/>
      <x v="2067"/>
    </i>
    <i>
      <x v="1523"/>
      <x v="2"/>
      <x v="126"/>
      <x v="80"/>
      <x v="1"/>
      <x v="3"/>
      <x v="1943"/>
      <x v="2068"/>
    </i>
    <i>
      <x v="1524"/>
      <x v="2"/>
      <x v="126"/>
      <x v="80"/>
      <x v="1"/>
      <x v="5"/>
      <x v="1940"/>
      <x v="2069"/>
    </i>
    <i>
      <x v="1525"/>
      <x v="2"/>
      <x v="126"/>
      <x v="80"/>
      <x v="1"/>
      <x v="14"/>
      <x v="1944"/>
      <x v="2070"/>
    </i>
    <i>
      <x v="1526"/>
      <x v="2"/>
      <x v="126"/>
      <x v="80"/>
      <x/>
      <x/>
      <x v="1945"/>
      <x v="1260"/>
    </i>
    <i>
      <x v="1527"/>
      <x v="2"/>
      <x v="126"/>
      <x v="80"/>
      <x/>
      <x/>
      <x v="1946"/>
      <x v="1261"/>
    </i>
    <i>
      <x v="1528"/>
      <x v="16"/>
      <x v="127"/>
      <x v="81"/>
      <x/>
      <x/>
      <x v="1947"/>
      <x v="2071"/>
    </i>
    <i>
      <x v="1529"/>
      <x v="16"/>
      <x v="127"/>
      <x v="81"/>
      <x v="1"/>
      <x v="13"/>
      <x v="1948"/>
      <x v="2072"/>
    </i>
    <i>
      <x v="1530"/>
      <x v="16"/>
      <x v="127"/>
      <x v="81"/>
      <x v="1"/>
      <x v="1"/>
      <x v="1949"/>
      <x v="2073"/>
    </i>
    <i>
      <x v="1531"/>
      <x v="16"/>
      <x v="127"/>
      <x v="81"/>
      <x v="1"/>
      <x v="3"/>
      <x v="1950"/>
      <x v="2074"/>
    </i>
    <i>
      <x v="1532"/>
      <x v="16"/>
      <x v="127"/>
      <x v="81"/>
      <x v="1"/>
      <x v="5"/>
      <x v="1951"/>
      <x v="2075"/>
    </i>
    <i>
      <x v="1533"/>
      <x v="16"/>
      <x v="127"/>
      <x v="81"/>
      <x v="1"/>
      <x v="14"/>
      <x v="1952"/>
      <x v="2076"/>
    </i>
    <i>
      <x v="1534"/>
      <x v="16"/>
      <x v="127"/>
      <x v="81"/>
      <x v="1"/>
      <x v="12"/>
      <x v="1953"/>
      <x v="2077"/>
    </i>
    <i>
      <x v="1535"/>
      <x v="16"/>
      <x v="127"/>
      <x v="81"/>
      <x v="1"/>
      <x v="10"/>
      <x v="1954"/>
      <x v="2078"/>
    </i>
    <i>
      <x v="1536"/>
      <x v="16"/>
      <x v="127"/>
      <x v="81"/>
      <x v="1"/>
      <x v="15"/>
      <x v="1955"/>
      <x v="2079"/>
    </i>
    <i>
      <x v="1537"/>
      <x v="16"/>
      <x v="127"/>
      <x v="81"/>
      <x v="1"/>
      <x v="6"/>
      <x v="1956"/>
      <x v="2080"/>
    </i>
    <i>
      <x v="1538"/>
      <x v="16"/>
      <x v="127"/>
      <x v="81"/>
      <x v="1"/>
      <x v="7"/>
      <x v="1957"/>
      <x v="2081"/>
    </i>
    <i>
      <x v="1539"/>
      <x v="16"/>
      <x v="127"/>
      <x v="81"/>
      <x v="1"/>
      <x v="4"/>
      <x v="1958"/>
      <x v="2082"/>
    </i>
    <i>
      <x v="1540"/>
      <x v="16"/>
      <x v="127"/>
      <x v="81"/>
      <x v="1"/>
      <x v="9"/>
      <x v="1959"/>
      <x v="2083"/>
    </i>
    <i>
      <x v="1541"/>
      <x v="16"/>
      <x v="127"/>
      <x v="81"/>
      <x v="1"/>
      <x v="16"/>
      <x v="1960"/>
      <x v="2084"/>
    </i>
    <i>
      <x v="1542"/>
      <x v="16"/>
      <x v="127"/>
      <x v="81"/>
      <x v="1"/>
      <x v="8"/>
      <x v="1961"/>
      <x v="2085"/>
    </i>
    <i>
      <x v="1543"/>
      <x v="16"/>
      <x v="127"/>
      <x v="81"/>
      <x v="1"/>
      <x v="2"/>
      <x v="1962"/>
      <x v="2086"/>
    </i>
    <i>
      <x v="1544"/>
      <x v="16"/>
      <x v="127"/>
      <x v="81"/>
      <x v="1"/>
      <x v="11"/>
      <x v="1963"/>
      <x v="2087"/>
    </i>
    <i>
      <x v="1545"/>
      <x v="16"/>
      <x v="128"/>
      <x v="81"/>
      <x/>
      <x/>
      <x v="1964"/>
      <x v="2088"/>
    </i>
    <i>
      <x v="1546"/>
      <x v="16"/>
      <x v="128"/>
      <x v="81"/>
      <x v="1"/>
      <x v="13"/>
      <x v="1965"/>
      <x v="2089"/>
    </i>
    <i>
      <x v="1547"/>
      <x v="16"/>
      <x v="128"/>
      <x v="81"/>
      <x v="1"/>
      <x v="1"/>
      <x v="1966"/>
      <x v="2090"/>
    </i>
    <i>
      <x v="1548"/>
      <x v="16"/>
      <x v="128"/>
      <x v="81"/>
      <x v="1"/>
      <x v="3"/>
      <x v="1967"/>
      <x v="2091"/>
    </i>
    <i>
      <x v="1549"/>
      <x v="16"/>
      <x v="128"/>
      <x v="81"/>
      <x v="1"/>
      <x v="5"/>
      <x v="1968"/>
      <x v="2092"/>
    </i>
    <i>
      <x v="1550"/>
      <x v="16"/>
      <x v="128"/>
      <x v="81"/>
      <x v="1"/>
      <x v="14"/>
      <x v="1969"/>
      <x v="2093"/>
    </i>
    <i>
      <x v="1551"/>
      <x v="16"/>
      <x v="128"/>
      <x v="81"/>
      <x v="1"/>
      <x v="12"/>
      <x v="1970"/>
      <x v="2094"/>
    </i>
    <i>
      <x v="1552"/>
      <x v="16"/>
      <x v="128"/>
      <x v="81"/>
      <x v="1"/>
      <x v="10"/>
      <x v="1971"/>
      <x v="2095"/>
    </i>
    <i>
      <x v="1553"/>
      <x v="16"/>
      <x v="128"/>
      <x v="81"/>
      <x v="1"/>
      <x v="15"/>
      <x v="1972"/>
      <x v="2096"/>
    </i>
    <i>
      <x v="1554"/>
      <x v="16"/>
      <x v="128"/>
      <x v="81"/>
      <x v="1"/>
      <x v="6"/>
      <x v="1973"/>
      <x v="2097"/>
    </i>
    <i>
      <x v="1555"/>
      <x v="16"/>
      <x v="128"/>
      <x v="81"/>
      <x v="1"/>
      <x v="7"/>
      <x v="1974"/>
      <x v="2098"/>
    </i>
    <i>
      <x v="1556"/>
      <x v="16"/>
      <x v="128"/>
      <x v="81"/>
      <x v="1"/>
      <x v="4"/>
      <x v="1975"/>
      <x v="2099"/>
    </i>
    <i>
      <x v="1557"/>
      <x v="16"/>
      <x v="128"/>
      <x v="81"/>
      <x v="1"/>
      <x v="9"/>
      <x v="1976"/>
      <x v="2100"/>
    </i>
    <i>
      <x v="1558"/>
      <x v="16"/>
      <x v="128"/>
      <x v="81"/>
      <x v="1"/>
      <x v="16"/>
      <x v="1977"/>
      <x v="2101"/>
    </i>
    <i>
      <x v="1559"/>
      <x v="16"/>
      <x v="128"/>
      <x v="81"/>
      <x v="1"/>
      <x v="8"/>
      <x v="1978"/>
      <x v="2102"/>
    </i>
    <i>
      <x v="1560"/>
      <x v="16"/>
      <x v="128"/>
      <x v="81"/>
      <x v="1"/>
      <x v="2"/>
      <x v="1979"/>
      <x v="2103"/>
    </i>
    <i>
      <x v="1561"/>
      <x v="16"/>
      <x v="128"/>
      <x v="81"/>
      <x v="1"/>
      <x v="11"/>
      <x v="1980"/>
      <x v="2104"/>
    </i>
    <i>
      <x v="1562"/>
      <x/>
      <x v="129"/>
      <x v="94"/>
      <x/>
      <x/>
      <x v="1981"/>
      <x v="2105"/>
    </i>
    <i>
      <x v="1563"/>
      <x/>
      <x v="130"/>
      <x v="94"/>
      <x/>
      <x/>
      <x v="2473"/>
      <x v="2106"/>
    </i>
    <i>
      <x v="1564"/>
      <x/>
      <x v="131"/>
      <x v="94"/>
      <x/>
      <x/>
      <x v="1983"/>
      <x v="2107"/>
    </i>
    <i>
      <x v="1565"/>
      <x v="5"/>
      <x v="110"/>
      <x v="72"/>
      <x/>
      <x/>
      <x v="1984"/>
      <x v="1299"/>
    </i>
    <i>
      <x v="1566"/>
      <x v="5"/>
      <x v="110"/>
      <x v="72"/>
      <x v="1"/>
      <x v="13"/>
      <x v="1985"/>
      <x v="1300"/>
    </i>
    <i>
      <x v="1567"/>
      <x v="5"/>
      <x v="110"/>
      <x v="72"/>
      <x v="1"/>
      <x v="1"/>
      <x v="1986"/>
      <x v="1301"/>
    </i>
    <i>
      <x v="1568"/>
      <x v="5"/>
      <x v="110"/>
      <x v="72"/>
      <x v="1"/>
      <x v="3"/>
      <x v="1987"/>
      <x v="1302"/>
    </i>
    <i>
      <x v="1569"/>
      <x v="5"/>
      <x v="110"/>
      <x v="72"/>
      <x v="1"/>
      <x v="5"/>
      <x v="1988"/>
      <x v="1303"/>
    </i>
    <i>
      <x v="1570"/>
      <x v="5"/>
      <x v="110"/>
      <x v="72"/>
      <x v="1"/>
      <x v="14"/>
      <x v="1989"/>
      <x v="1304"/>
    </i>
    <i>
      <x v="1571"/>
      <x v="5"/>
      <x v="110"/>
      <x v="72"/>
      <x v="1"/>
      <x v="12"/>
      <x v="1990"/>
      <x v="1305"/>
    </i>
    <i>
      <x v="1572"/>
      <x v="5"/>
      <x v="110"/>
      <x v="72"/>
      <x v="1"/>
      <x v="10"/>
      <x v="1991"/>
      <x v="1306"/>
    </i>
    <i>
      <x v="1573"/>
      <x v="5"/>
      <x v="110"/>
      <x v="72"/>
      <x v="1"/>
      <x v="15"/>
      <x v="1992"/>
      <x v="1307"/>
    </i>
    <i>
      <x v="1574"/>
      <x v="5"/>
      <x v="110"/>
      <x v="72"/>
      <x v="1"/>
      <x v="6"/>
      <x v="1993"/>
      <x v="1308"/>
    </i>
    <i>
      <x v="1575"/>
      <x v="5"/>
      <x v="110"/>
      <x v="72"/>
      <x v="1"/>
      <x v="7"/>
      <x v="1994"/>
      <x v="1309"/>
    </i>
    <i>
      <x v="1576"/>
      <x v="5"/>
      <x v="110"/>
      <x v="72"/>
      <x v="1"/>
      <x v="4"/>
      <x v="1995"/>
      <x v="1310"/>
    </i>
    <i>
      <x v="1577"/>
      <x v="5"/>
      <x v="110"/>
      <x v="72"/>
      <x v="1"/>
      <x v="9"/>
      <x v="1996"/>
      <x v="1311"/>
    </i>
    <i>
      <x v="1578"/>
      <x v="5"/>
      <x v="110"/>
      <x v="72"/>
      <x v="1"/>
      <x v="16"/>
      <x v="1997"/>
      <x v="1312"/>
    </i>
    <i>
      <x v="1579"/>
      <x v="5"/>
      <x v="110"/>
      <x v="72"/>
      <x v="1"/>
      <x v="8"/>
      <x v="1998"/>
      <x v="1313"/>
    </i>
    <i>
      <x v="1580"/>
      <x v="5"/>
      <x v="110"/>
      <x v="72"/>
      <x v="1"/>
      <x v="2"/>
      <x v="1999"/>
      <x v="1314"/>
    </i>
    <i>
      <x v="1581"/>
      <x v="5"/>
      <x v="110"/>
      <x v="72"/>
      <x v="1"/>
      <x v="11"/>
      <x v="2000"/>
      <x v="1315"/>
    </i>
    <i>
      <x v="1582"/>
      <x v="5"/>
      <x v="111"/>
      <x v="72"/>
      <x/>
      <x/>
      <x v="2001"/>
      <x v="1316"/>
    </i>
    <i>
      <x v="1583"/>
      <x v="5"/>
      <x v="111"/>
      <x v="72"/>
      <x v="1"/>
      <x v="13"/>
      <x v="2002"/>
      <x v="1317"/>
    </i>
    <i>
      <x v="1584"/>
      <x v="5"/>
      <x v="111"/>
      <x v="72"/>
      <x v="1"/>
      <x v="1"/>
      <x v="2003"/>
      <x v="1318"/>
    </i>
    <i>
      <x v="1585"/>
      <x v="5"/>
      <x v="111"/>
      <x v="72"/>
      <x v="1"/>
      <x v="3"/>
      <x v="2004"/>
      <x v="1319"/>
    </i>
    <i>
      <x v="1586"/>
      <x v="5"/>
      <x v="111"/>
      <x v="72"/>
      <x v="1"/>
      <x v="5"/>
      <x v="2005"/>
      <x v="1320"/>
    </i>
    <i>
      <x v="1587"/>
      <x v="5"/>
      <x v="111"/>
      <x v="72"/>
      <x v="1"/>
      <x v="14"/>
      <x v="2006"/>
      <x v="1321"/>
    </i>
    <i>
      <x v="1588"/>
      <x v="5"/>
      <x v="111"/>
      <x v="72"/>
      <x v="1"/>
      <x v="12"/>
      <x v="2007"/>
      <x v="1322"/>
    </i>
    <i>
      <x v="1589"/>
      <x v="5"/>
      <x v="111"/>
      <x v="72"/>
      <x v="1"/>
      <x v="10"/>
      <x v="2008"/>
      <x v="1323"/>
    </i>
    <i>
      <x v="1590"/>
      <x v="5"/>
      <x v="111"/>
      <x v="72"/>
      <x v="1"/>
      <x v="15"/>
      <x v="2009"/>
      <x v="1324"/>
    </i>
    <i>
      <x v="1591"/>
      <x v="5"/>
      <x v="111"/>
      <x v="72"/>
      <x v="1"/>
      <x v="6"/>
      <x v="2010"/>
      <x v="1325"/>
    </i>
    <i>
      <x v="1592"/>
      <x v="5"/>
      <x v="111"/>
      <x v="72"/>
      <x v="1"/>
      <x v="7"/>
      <x v="2011"/>
      <x v="1326"/>
    </i>
    <i>
      <x v="1593"/>
      <x v="5"/>
      <x v="111"/>
      <x v="72"/>
      <x v="1"/>
      <x v="4"/>
      <x v="2012"/>
      <x v="1327"/>
    </i>
    <i>
      <x v="1594"/>
      <x v="5"/>
      <x v="111"/>
      <x v="72"/>
      <x v="1"/>
      <x v="9"/>
      <x v="2013"/>
      <x v="1328"/>
    </i>
    <i>
      <x v="1595"/>
      <x v="5"/>
      <x v="111"/>
      <x v="72"/>
      <x v="1"/>
      <x v="16"/>
      <x v="2014"/>
      <x v="1329"/>
    </i>
    <i>
      <x v="1596"/>
      <x v="5"/>
      <x v="111"/>
      <x v="72"/>
      <x v="1"/>
      <x v="8"/>
      <x v="2015"/>
      <x v="1330"/>
    </i>
    <i>
      <x v="1597"/>
      <x v="5"/>
      <x v="111"/>
      <x v="72"/>
      <x v="1"/>
      <x v="2"/>
      <x v="2016"/>
      <x v="1331"/>
    </i>
    <i>
      <x v="1598"/>
      <x v="5"/>
      <x v="111"/>
      <x v="72"/>
      <x v="1"/>
      <x v="11"/>
      <x v="2474"/>
      <x v="1332"/>
    </i>
    <i>
      <x v="1599"/>
      <x v="2"/>
      <x v="95"/>
      <x v="71"/>
      <x/>
      <x/>
      <x v="2017"/>
      <x v="1333"/>
    </i>
    <i>
      <x v="1600"/>
      <x v="2"/>
      <x v="132"/>
      <x v="71"/>
      <x/>
      <x/>
      <x v="2018"/>
      <x v="1334"/>
    </i>
    <i>
      <x v="1601"/>
      <x v="2"/>
      <x v="83"/>
      <x v="71"/>
      <x/>
      <x/>
      <x v="2379"/>
      <x v="1335"/>
    </i>
    <i>
      <x v="1602"/>
      <x v="2"/>
      <x v="95"/>
      <x v="71"/>
      <x/>
      <x/>
      <x v="2020"/>
      <x v="1336"/>
    </i>
    <i>
      <x v="1603"/>
      <x v="2"/>
      <x v="83"/>
      <x v="71"/>
      <x/>
      <x/>
      <x v="2021"/>
      <x v="1337"/>
    </i>
    <i>
      <x v="1604"/>
      <x v="2"/>
      <x v="135"/>
      <x v="95"/>
      <x/>
      <x/>
      <x v="2041"/>
      <x v="1355"/>
    </i>
    <i>
      <x v="1605"/>
      <x v="2"/>
      <x v="135"/>
      <x v="95"/>
      <x v="1"/>
      <x v="14"/>
      <x v="2042"/>
      <x v="1356"/>
    </i>
    <i>
      <x v="1606"/>
      <x v="2"/>
      <x v="135"/>
      <x v="95"/>
      <x v="1"/>
      <x v="12"/>
      <x v="2043"/>
      <x v="1357"/>
    </i>
    <i>
      <x v="1607"/>
      <x v="2"/>
      <x v="135"/>
      <x v="95"/>
      <x v="1"/>
      <x v="15"/>
      <x v="2044"/>
      <x v="1358"/>
    </i>
    <i>
      <x v="1608"/>
      <x v="2"/>
      <x v="135"/>
      <x v="95"/>
      <x v="1"/>
      <x v="6"/>
      <x v="2045"/>
      <x v="1359"/>
    </i>
    <i>
      <x v="1609"/>
      <x v="2"/>
      <x v="135"/>
      <x v="95"/>
      <x v="1"/>
      <x v="8"/>
      <x v="2046"/>
      <x v="1360"/>
    </i>
    <i>
      <x v="1610"/>
      <x v="2"/>
      <x v="136"/>
      <x v="95"/>
      <x/>
      <x/>
      <x v="2047"/>
      <x v="1361"/>
    </i>
    <i>
      <x v="1611"/>
      <x v="2"/>
      <x v="136"/>
      <x v="95"/>
      <x v="1"/>
      <x v="13"/>
      <x v="2048"/>
      <x v="1362"/>
    </i>
    <i>
      <x v="1612"/>
      <x v="2"/>
      <x v="136"/>
      <x v="95"/>
      <x v="1"/>
      <x v="1"/>
      <x v="2049"/>
      <x v="1363"/>
    </i>
    <i>
      <x v="1613"/>
      <x v="2"/>
      <x v="136"/>
      <x v="95"/>
      <x v="1"/>
      <x v="3"/>
      <x v="2050"/>
      <x v="1364"/>
    </i>
    <i>
      <x v="1614"/>
      <x v="2"/>
      <x v="136"/>
      <x v="95"/>
      <x v="1"/>
      <x v="5"/>
      <x v="2051"/>
      <x v="1365"/>
    </i>
    <i>
      <x v="1615"/>
      <x v="2"/>
      <x v="136"/>
      <x v="95"/>
      <x v="1"/>
      <x v="14"/>
      <x v="2052"/>
      <x v="1366"/>
    </i>
    <i>
      <x v="1616"/>
      <x v="2"/>
      <x v="136"/>
      <x v="95"/>
      <x v="1"/>
      <x v="12"/>
      <x v="2053"/>
      <x v="1367"/>
    </i>
    <i>
      <x v="1617"/>
      <x v="2"/>
      <x v="136"/>
      <x v="95"/>
      <x v="1"/>
      <x v="10"/>
      <x v="2054"/>
      <x v="1368"/>
    </i>
    <i>
      <x v="1618"/>
      <x v="2"/>
      <x v="136"/>
      <x v="95"/>
      <x v="1"/>
      <x v="15"/>
      <x v="2055"/>
      <x v="1369"/>
    </i>
    <i>
      <x v="1619"/>
      <x v="2"/>
      <x v="136"/>
      <x v="95"/>
      <x v="1"/>
      <x v="6"/>
      <x v="2056"/>
      <x v="1370"/>
    </i>
    <i>
      <x v="1620"/>
      <x v="2"/>
      <x v="136"/>
      <x v="95"/>
      <x v="1"/>
      <x v="7"/>
      <x v="2057"/>
      <x v="1371"/>
    </i>
    <i>
      <x v="1621"/>
      <x v="2"/>
      <x v="136"/>
      <x v="95"/>
      <x v="1"/>
      <x v="4"/>
      <x v="2058"/>
      <x v="1372"/>
    </i>
    <i>
      <x v="1622"/>
      <x v="2"/>
      <x v="136"/>
      <x v="95"/>
      <x v="1"/>
      <x v="9"/>
      <x v="2059"/>
      <x v="1373"/>
    </i>
    <i>
      <x v="1623"/>
      <x v="2"/>
      <x v="136"/>
      <x v="95"/>
      <x v="1"/>
      <x v="16"/>
      <x v="2060"/>
      <x v="1374"/>
    </i>
    <i>
      <x v="1624"/>
      <x v="2"/>
      <x v="136"/>
      <x v="95"/>
      <x v="1"/>
      <x v="8"/>
      <x v="2061"/>
      <x v="1375"/>
    </i>
    <i>
      <x v="1625"/>
      <x v="2"/>
      <x v="136"/>
      <x v="95"/>
      <x v="1"/>
      <x v="2"/>
      <x v="2062"/>
      <x v="1376"/>
    </i>
    <i>
      <x v="1626"/>
      <x v="2"/>
      <x v="136"/>
      <x v="95"/>
      <x v="1"/>
      <x v="11"/>
      <x v="2063"/>
      <x v="1377"/>
    </i>
    <i>
      <x v="1627"/>
      <x v="2"/>
      <x v="135"/>
      <x v="95"/>
      <x/>
      <x/>
      <x v="2064"/>
      <x v="1378"/>
    </i>
    <i>
      <x v="1628"/>
      <x v="2"/>
      <x v="135"/>
      <x v="95"/>
      <x v="1"/>
      <x v="14"/>
      <x v="2065"/>
      <x v="1379"/>
    </i>
    <i>
      <x v="1629"/>
      <x v="2"/>
      <x v="135"/>
      <x v="95"/>
      <x v="1"/>
      <x v="12"/>
      <x v="2066"/>
      <x v="1380"/>
    </i>
    <i>
      <x v="1630"/>
      <x v="2"/>
      <x v="135"/>
      <x v="95"/>
      <x v="1"/>
      <x v="15"/>
      <x v="2067"/>
      <x v="1381"/>
    </i>
    <i>
      <x v="1631"/>
      <x v="2"/>
      <x v="135"/>
      <x v="95"/>
      <x v="1"/>
      <x v="8"/>
      <x v="2068"/>
      <x v="1382"/>
    </i>
    <i>
      <x v="1632"/>
      <x v="2"/>
      <x v="135"/>
      <x v="95"/>
      <x/>
      <x/>
      <x v="2069"/>
      <x v="1383"/>
    </i>
    <i>
      <x v="1633"/>
      <x v="2"/>
      <x v="135"/>
      <x v="95"/>
      <x/>
      <x/>
      <x v="2070"/>
      <x v="1384"/>
    </i>
    <i>
      <x v="1634"/>
      <x v="2"/>
      <x v="135"/>
      <x v="95"/>
      <x v="1"/>
      <x v="14"/>
      <x v="2071"/>
      <x v="1385"/>
    </i>
    <i>
      <x v="1635"/>
      <x v="2"/>
      <x v="135"/>
      <x v="95"/>
      <x v="1"/>
      <x v="12"/>
      <x v="2072"/>
      <x v="1386"/>
    </i>
    <i>
      <x v="1636"/>
      <x v="2"/>
      <x v="135"/>
      <x v="95"/>
      <x v="1"/>
      <x v="15"/>
      <x v="2073"/>
      <x v="1387"/>
    </i>
    <i>
      <x v="1637"/>
      <x v="13"/>
      <x v="157"/>
      <x v="75"/>
      <x/>
      <x/>
      <x v="2074"/>
      <x v="1388"/>
    </i>
    <i>
      <x v="1638"/>
      <x v="13"/>
      <x v="157"/>
      <x v="75"/>
      <x v="1"/>
      <x v="14"/>
      <x v="2075"/>
      <x v="1389"/>
    </i>
    <i>
      <x v="1639"/>
      <x v="13"/>
      <x v="157"/>
      <x v="75"/>
      <x v="1"/>
      <x v="15"/>
      <x v="2076"/>
      <x v="1390"/>
    </i>
    <i>
      <x v="1640"/>
      <x v="13"/>
      <x v="157"/>
      <x v="75"/>
      <x v="1"/>
      <x v="16"/>
      <x v="2077"/>
      <x v="1391"/>
    </i>
    <i>
      <x v="1641"/>
      <x v="13"/>
      <x v="157"/>
      <x v="75"/>
      <x v="1"/>
      <x v="11"/>
      <x v="2078"/>
      <x v="1392"/>
    </i>
    <i>
      <x v="1642"/>
      <x v="13"/>
      <x v="152"/>
      <x v="56"/>
      <x/>
      <x/>
      <x v="2079"/>
      <x v="1393"/>
    </i>
    <i>
      <x v="1643"/>
      <x v="13"/>
      <x v="152"/>
      <x v="56"/>
      <x v="1"/>
      <x v="13"/>
      <x v="2080"/>
      <x v="1394"/>
    </i>
    <i>
      <x v="1644"/>
      <x v="13"/>
      <x v="152"/>
      <x v="56"/>
      <x v="1"/>
      <x v="1"/>
      <x v="2081"/>
      <x v="1395"/>
    </i>
    <i>
      <x v="1645"/>
      <x v="13"/>
      <x v="152"/>
      <x v="56"/>
      <x v="1"/>
      <x v="3"/>
      <x v="2082"/>
      <x v="1396"/>
    </i>
    <i>
      <x v="1646"/>
      <x v="13"/>
      <x v="152"/>
      <x v="56"/>
      <x v="1"/>
      <x v="5"/>
      <x v="2083"/>
      <x v="1397"/>
    </i>
    <i>
      <x v="1647"/>
      <x v="13"/>
      <x v="152"/>
      <x v="56"/>
      <x v="1"/>
      <x v="14"/>
      <x v="2084"/>
      <x v="1398"/>
    </i>
    <i>
      <x v="1648"/>
      <x v="13"/>
      <x v="152"/>
      <x v="56"/>
      <x v="1"/>
      <x v="12"/>
      <x v="2085"/>
      <x v="1399"/>
    </i>
    <i>
      <x v="1649"/>
      <x v="13"/>
      <x v="152"/>
      <x v="56"/>
      <x v="1"/>
      <x v="10"/>
      <x v="2086"/>
      <x v="1400"/>
    </i>
    <i>
      <x v="1650"/>
      <x v="13"/>
      <x v="152"/>
      <x v="56"/>
      <x v="1"/>
      <x v="15"/>
      <x v="2087"/>
      <x v="1401"/>
    </i>
    <i>
      <x v="1651"/>
      <x v="13"/>
      <x v="152"/>
      <x v="56"/>
      <x v="1"/>
      <x v="6"/>
      <x v="2088"/>
      <x v="1402"/>
    </i>
    <i>
      <x v="1652"/>
      <x v="13"/>
      <x v="152"/>
      <x v="56"/>
      <x v="1"/>
      <x v="7"/>
      <x v="2089"/>
      <x v="1403"/>
    </i>
    <i>
      <x v="1653"/>
      <x v="13"/>
      <x v="152"/>
      <x v="56"/>
      <x v="1"/>
      <x v="4"/>
      <x v="2090"/>
      <x v="1404"/>
    </i>
    <i>
      <x v="1654"/>
      <x v="13"/>
      <x v="152"/>
      <x v="56"/>
      <x v="1"/>
      <x v="9"/>
      <x v="2091"/>
      <x v="1405"/>
    </i>
    <i>
      <x v="1655"/>
      <x v="13"/>
      <x v="152"/>
      <x v="56"/>
      <x v="1"/>
      <x v="16"/>
      <x v="2092"/>
      <x v="1406"/>
    </i>
    <i>
      <x v="1656"/>
      <x v="13"/>
      <x v="152"/>
      <x v="56"/>
      <x v="1"/>
      <x v="8"/>
      <x v="2093"/>
      <x v="1407"/>
    </i>
    <i>
      <x v="1657"/>
      <x v="13"/>
      <x v="152"/>
      <x v="56"/>
      <x v="1"/>
      <x v="2"/>
      <x v="2094"/>
      <x v="1408"/>
    </i>
    <i>
      <x v="1658"/>
      <x v="13"/>
      <x v="152"/>
      <x v="56"/>
      <x v="1"/>
      <x v="11"/>
      <x v="2095"/>
      <x v="1409"/>
    </i>
    <i>
      <x v="1659"/>
      <x v="2"/>
      <x v="139"/>
      <x v="95"/>
      <x/>
      <x/>
      <x v="2096"/>
      <x v="1410"/>
    </i>
    <i>
      <x v="1660"/>
      <x v="2"/>
      <x v="139"/>
      <x v="95"/>
      <x v="1"/>
      <x v="13"/>
      <x v="2097"/>
      <x v="1411"/>
    </i>
    <i>
      <x v="1661"/>
      <x v="2"/>
      <x v="139"/>
      <x v="95"/>
      <x v="1"/>
      <x v="14"/>
      <x v="2098"/>
      <x v="1412"/>
    </i>
    <i>
      <x v="1662"/>
      <x v="2"/>
      <x v="139"/>
      <x v="95"/>
      <x v="1"/>
      <x v="15"/>
      <x v="2099"/>
      <x v="1413"/>
    </i>
    <i>
      <x v="1663"/>
      <x v="11"/>
      <x v="140"/>
      <x v="65"/>
      <x/>
      <x/>
      <x v="2475"/>
      <x v="1414"/>
    </i>
    <i>
      <x v="1664"/>
      <x v="11"/>
      <x v="140"/>
      <x v="65"/>
      <x v="1"/>
      <x v="13"/>
      <x v="2476"/>
      <x v="1415"/>
    </i>
    <i>
      <x v="1665"/>
      <x v="11"/>
      <x v="140"/>
      <x v="65"/>
      <x v="1"/>
      <x v="1"/>
      <x v="2477"/>
      <x v="1416"/>
    </i>
    <i>
      <x v="1666"/>
      <x v="11"/>
      <x v="140"/>
      <x v="65"/>
      <x v="1"/>
      <x v="3"/>
      <x v="2478"/>
      <x v="1417"/>
    </i>
    <i>
      <x v="1667"/>
      <x v="11"/>
      <x v="140"/>
      <x v="65"/>
      <x v="1"/>
      <x v="5"/>
      <x v="2479"/>
      <x v="1418"/>
    </i>
    <i>
      <x v="1668"/>
      <x v="11"/>
      <x v="140"/>
      <x v="65"/>
      <x v="1"/>
      <x v="14"/>
      <x v="2480"/>
      <x v="1419"/>
    </i>
    <i>
      <x v="1669"/>
      <x v="11"/>
      <x v="140"/>
      <x v="65"/>
      <x v="1"/>
      <x v="12"/>
      <x v="2481"/>
      <x v="1420"/>
    </i>
    <i>
      <x v="1670"/>
      <x v="11"/>
      <x v="140"/>
      <x v="65"/>
      <x v="1"/>
      <x v="10"/>
      <x v="2482"/>
      <x v="1421"/>
    </i>
    <i>
      <x v="1671"/>
      <x v="11"/>
      <x v="140"/>
      <x v="65"/>
      <x v="1"/>
      <x v="15"/>
      <x v="2483"/>
      <x v="1422"/>
    </i>
    <i>
      <x v="1672"/>
      <x v="11"/>
      <x v="140"/>
      <x v="65"/>
      <x v="1"/>
      <x v="6"/>
      <x v="2484"/>
      <x v="1423"/>
    </i>
    <i>
      <x v="1673"/>
      <x v="11"/>
      <x v="140"/>
      <x v="65"/>
      <x v="1"/>
      <x v="7"/>
      <x v="2485"/>
      <x v="1424"/>
    </i>
    <i>
      <x v="1674"/>
      <x v="11"/>
      <x v="140"/>
      <x v="65"/>
      <x v="1"/>
      <x v="4"/>
      <x v="2486"/>
      <x v="1425"/>
    </i>
    <i>
      <x v="1675"/>
      <x v="11"/>
      <x v="140"/>
      <x v="65"/>
      <x v="1"/>
      <x v="9"/>
      <x v="2487"/>
      <x v="1426"/>
    </i>
    <i>
      <x v="1676"/>
      <x v="11"/>
      <x v="140"/>
      <x v="65"/>
      <x v="1"/>
      <x v="16"/>
      <x v="2488"/>
      <x v="1427"/>
    </i>
    <i>
      <x v="1677"/>
      <x v="11"/>
      <x v="140"/>
      <x v="65"/>
      <x v="1"/>
      <x v="8"/>
      <x v="2489"/>
      <x v="1428"/>
    </i>
    <i>
      <x v="1678"/>
      <x v="11"/>
      <x v="140"/>
      <x v="65"/>
      <x v="1"/>
      <x v="2"/>
      <x v="2490"/>
      <x v="1429"/>
    </i>
    <i>
      <x v="1679"/>
      <x v="11"/>
      <x v="140"/>
      <x v="65"/>
      <x v="1"/>
      <x v="11"/>
      <x v="2491"/>
      <x v="1430"/>
    </i>
    <i>
      <x v="1680"/>
      <x v="11"/>
      <x v="141"/>
      <x v="65"/>
      <x/>
      <x/>
      <x v="2117"/>
      <x v="1431"/>
    </i>
    <i>
      <x v="1681"/>
      <x v="11"/>
      <x v="141"/>
      <x v="65"/>
      <x v="1"/>
      <x v="13"/>
      <x v="2492"/>
      <x v="1432"/>
    </i>
    <i>
      <x v="1682"/>
      <x v="11"/>
      <x v="141"/>
      <x v="65"/>
      <x v="1"/>
      <x v="1"/>
      <x v="2493"/>
      <x v="1433"/>
    </i>
    <i>
      <x v="1683"/>
      <x v="11"/>
      <x v="141"/>
      <x v="65"/>
      <x v="1"/>
      <x v="3"/>
      <x v="2494"/>
      <x v="1434"/>
    </i>
    <i>
      <x v="1684"/>
      <x v="11"/>
      <x v="141"/>
      <x v="65"/>
      <x v="1"/>
      <x v="5"/>
      <x v="2495"/>
      <x v="1435"/>
    </i>
    <i>
      <x v="1685"/>
      <x v="11"/>
      <x v="141"/>
      <x v="65"/>
      <x v="1"/>
      <x v="12"/>
      <x v="2496"/>
      <x v="1437"/>
    </i>
    <i>
      <x v="1686"/>
      <x v="11"/>
      <x v="141"/>
      <x v="65"/>
      <x v="1"/>
      <x v="10"/>
      <x v="2497"/>
      <x v="1438"/>
    </i>
    <i>
      <x v="1687"/>
      <x v="11"/>
      <x v="141"/>
      <x v="65"/>
      <x v="1"/>
      <x v="15"/>
      <x v="2498"/>
      <x v="1439"/>
    </i>
    <i>
      <x v="1688"/>
      <x v="11"/>
      <x v="141"/>
      <x v="65"/>
      <x v="1"/>
      <x v="6"/>
      <x v="2499"/>
      <x v="1440"/>
    </i>
    <i>
      <x v="1689"/>
      <x v="11"/>
      <x v="141"/>
      <x v="65"/>
      <x v="1"/>
      <x v="7"/>
      <x v="2500"/>
      <x v="1441"/>
    </i>
    <i>
      <x v="1690"/>
      <x v="11"/>
      <x v="141"/>
      <x v="65"/>
      <x v="1"/>
      <x v="4"/>
      <x v="2501"/>
      <x v="1442"/>
    </i>
    <i>
      <x v="1691"/>
      <x v="11"/>
      <x v="141"/>
      <x v="65"/>
      <x v="1"/>
      <x v="9"/>
      <x v="2502"/>
      <x v="1443"/>
    </i>
    <i>
      <x v="1692"/>
      <x v="11"/>
      <x v="141"/>
      <x v="65"/>
      <x v="1"/>
      <x v="16"/>
      <x v="2503"/>
      <x v="1444"/>
    </i>
    <i>
      <x v="1693"/>
      <x v="11"/>
      <x v="141"/>
      <x v="65"/>
      <x v="1"/>
      <x v="8"/>
      <x v="2504"/>
      <x v="1445"/>
    </i>
    <i>
      <x v="1694"/>
      <x v="11"/>
      <x v="141"/>
      <x v="65"/>
      <x v="1"/>
      <x v="2"/>
      <x v="2505"/>
      <x v="1446"/>
    </i>
    <i>
      <x v="1695"/>
      <x v="11"/>
      <x v="141"/>
      <x v="65"/>
      <x v="1"/>
      <x v="11"/>
      <x v="2506"/>
      <x v="1447"/>
    </i>
    <i>
      <x v="1696"/>
      <x v="11"/>
      <x v="142"/>
      <x v="65"/>
      <x/>
      <x/>
      <x v="2134"/>
      <x v="1448"/>
    </i>
    <i>
      <x v="1697"/>
      <x v="11"/>
      <x v="142"/>
      <x v="65"/>
      <x v="1"/>
      <x v="13"/>
      <x v="2507"/>
      <x v="1449"/>
    </i>
    <i>
      <x v="1698"/>
      <x v="11"/>
      <x v="142"/>
      <x v="65"/>
      <x v="1"/>
      <x v="1"/>
      <x v="2508"/>
      <x v="1450"/>
    </i>
    <i>
      <x v="1699"/>
      <x v="11"/>
      <x v="142"/>
      <x v="65"/>
      <x v="1"/>
      <x v="3"/>
      <x v="2509"/>
      <x v="1451"/>
    </i>
    <i>
      <x v="1700"/>
      <x v="11"/>
      <x v="142"/>
      <x v="65"/>
      <x v="1"/>
      <x v="5"/>
      <x v="2510"/>
      <x v="1452"/>
    </i>
    <i>
      <x v="1701"/>
      <x v="11"/>
      <x v="142"/>
      <x v="65"/>
      <x v="1"/>
      <x v="14"/>
      <x v="2511"/>
      <x v="1453"/>
    </i>
    <i>
      <x v="1702"/>
      <x v="11"/>
      <x v="142"/>
      <x v="65"/>
      <x v="1"/>
      <x v="12"/>
      <x v="2512"/>
      <x v="1454"/>
    </i>
    <i>
      <x v="7665"/>
      <x v="11"/>
      <x v="142"/>
      <x v="65"/>
      <x v="1"/>
      <x v="10"/>
      <x v="2513"/>
      <x v="1455"/>
    </i>
    <i>
      <x v="7666"/>
      <x v="11"/>
      <x v="142"/>
      <x v="65"/>
      <x v="1"/>
      <x v="15"/>
      <x v="2514"/>
      <x v="1456"/>
    </i>
    <i>
      <x v="7667"/>
      <x v="11"/>
      <x v="142"/>
      <x v="65"/>
      <x v="1"/>
      <x v="6"/>
      <x v="2515"/>
      <x v="1457"/>
    </i>
    <i>
      <x v="7668"/>
      <x v="11"/>
      <x v="142"/>
      <x v="65"/>
      <x v="1"/>
      <x v="7"/>
      <x v="2516"/>
      <x v="1458"/>
    </i>
    <i>
      <x v="7669"/>
      <x v="11"/>
      <x v="142"/>
      <x v="65"/>
      <x v="1"/>
      <x v="4"/>
      <x v="2517"/>
      <x v="1459"/>
    </i>
    <i>
      <x v="7670"/>
      <x v="11"/>
      <x v="142"/>
      <x v="65"/>
      <x v="1"/>
      <x v="9"/>
      <x v="2518"/>
      <x v="1460"/>
    </i>
    <i>
      <x v="7671"/>
      <x v="11"/>
      <x v="142"/>
      <x v="65"/>
      <x v="1"/>
      <x v="16"/>
      <x v="2519"/>
      <x v="1461"/>
    </i>
    <i>
      <x v="7672"/>
      <x v="11"/>
      <x v="142"/>
      <x v="65"/>
      <x v="1"/>
      <x v="8"/>
      <x v="2520"/>
      <x v="1462"/>
    </i>
    <i>
      <x v="7673"/>
      <x v="11"/>
      <x v="142"/>
      <x v="65"/>
      <x v="1"/>
      <x v="2"/>
      <x v="2521"/>
      <x v="1463"/>
    </i>
    <i>
      <x v="7674"/>
      <x v="11"/>
      <x v="142"/>
      <x v="65"/>
      <x v="1"/>
      <x v="11"/>
      <x v="2522"/>
      <x v="1464"/>
    </i>
    <i>
      <x v="7675"/>
      <x v="9"/>
      <x v="153"/>
      <x v="50"/>
      <x/>
      <x/>
      <x v="2151"/>
      <x v="1465"/>
    </i>
    <i>
      <x v="7676"/>
      <x v="9"/>
      <x v="153"/>
      <x v="50"/>
      <x v="1"/>
      <x v="13"/>
      <x v="2152"/>
      <x v="2108"/>
    </i>
    <i>
      <x v="7677"/>
      <x v="9"/>
      <x v="153"/>
      <x v="50"/>
      <x v="1"/>
      <x v="1"/>
      <x v="2153"/>
      <x v="2109"/>
    </i>
    <i>
      <x v="7678"/>
      <x v="9"/>
      <x v="153"/>
      <x v="50"/>
      <x v="1"/>
      <x v="3"/>
      <x v="2154"/>
      <x v="2110"/>
    </i>
    <i>
      <x v="7679"/>
      <x v="9"/>
      <x v="153"/>
      <x v="50"/>
      <x v="1"/>
      <x v="5"/>
      <x v="2155"/>
      <x v="2111"/>
    </i>
    <i>
      <x v="7680"/>
      <x v="9"/>
      <x v="153"/>
      <x v="50"/>
      <x v="1"/>
      <x v="14"/>
      <x v="2156"/>
      <x v="2112"/>
    </i>
    <i>
      <x v="7681"/>
      <x v="9"/>
      <x v="153"/>
      <x v="50"/>
      <x v="1"/>
      <x v="12"/>
      <x v="2157"/>
      <x v="2113"/>
    </i>
    <i>
      <x v="7682"/>
      <x v="9"/>
      <x v="153"/>
      <x v="50"/>
      <x v="1"/>
      <x v="10"/>
      <x v="2158"/>
      <x v="2114"/>
    </i>
    <i>
      <x v="7683"/>
      <x v="9"/>
      <x v="153"/>
      <x v="50"/>
      <x v="1"/>
      <x v="15"/>
      <x v="2159"/>
      <x v="2115"/>
    </i>
    <i>
      <x v="7684"/>
      <x v="9"/>
      <x v="153"/>
      <x v="50"/>
      <x v="1"/>
      <x v="6"/>
      <x v="2160"/>
      <x v="2116"/>
    </i>
    <i>
      <x v="7685"/>
      <x v="9"/>
      <x v="153"/>
      <x v="50"/>
      <x v="1"/>
      <x v="7"/>
      <x v="2161"/>
      <x v="2117"/>
    </i>
    <i>
      <x v="7686"/>
      <x v="9"/>
      <x v="153"/>
      <x v="50"/>
      <x v="1"/>
      <x v="4"/>
      <x v="2162"/>
      <x v="2118"/>
    </i>
    <i>
      <x v="7687"/>
      <x v="9"/>
      <x v="153"/>
      <x v="50"/>
      <x v="1"/>
      <x v="9"/>
      <x v="2163"/>
      <x v="2119"/>
    </i>
    <i>
      <x v="7688"/>
      <x v="9"/>
      <x v="153"/>
      <x v="50"/>
      <x v="1"/>
      <x v="16"/>
      <x v="2164"/>
      <x v="2120"/>
    </i>
    <i>
      <x v="7689"/>
      <x v="9"/>
      <x v="153"/>
      <x v="50"/>
      <x v="1"/>
      <x v="8"/>
      <x v="2165"/>
      <x v="2121"/>
    </i>
    <i>
      <x v="7690"/>
      <x v="9"/>
      <x v="153"/>
      <x v="50"/>
      <x v="1"/>
      <x v="2"/>
      <x v="2166"/>
      <x v="2122"/>
    </i>
    <i>
      <x v="7691"/>
      <x v="9"/>
      <x v="153"/>
      <x v="50"/>
      <x v="1"/>
      <x v="11"/>
      <x v="2167"/>
      <x v="2123"/>
    </i>
    <i>
      <x v="7692"/>
      <x v="9"/>
      <x v="154"/>
      <x v="50"/>
      <x/>
      <x/>
      <x v="2168"/>
      <x v="2124"/>
    </i>
    <i>
      <x v="7693"/>
      <x v="9"/>
      <x v="154"/>
      <x v="50"/>
      <x v="1"/>
      <x v="13"/>
      <x v="2169"/>
      <x v="2125"/>
    </i>
    <i>
      <x v="7694"/>
      <x v="9"/>
      <x v="154"/>
      <x v="50"/>
      <x v="1"/>
      <x v="1"/>
      <x v="2170"/>
      <x v="2126"/>
    </i>
    <i>
      <x v="7695"/>
      <x v="9"/>
      <x v="154"/>
      <x v="50"/>
      <x v="1"/>
      <x v="3"/>
      <x v="2171"/>
      <x v="2127"/>
    </i>
    <i>
      <x v="7696"/>
      <x v="9"/>
      <x v="154"/>
      <x v="50"/>
      <x v="1"/>
      <x v="5"/>
      <x v="2172"/>
      <x v="2128"/>
    </i>
    <i>
      <x v="7697"/>
      <x v="9"/>
      <x v="154"/>
      <x v="50"/>
      <x v="1"/>
      <x v="14"/>
      <x v="2173"/>
      <x v="2129"/>
    </i>
    <i>
      <x v="7698"/>
      <x v="9"/>
      <x v="154"/>
      <x v="50"/>
      <x v="1"/>
      <x v="12"/>
      <x v="2174"/>
      <x v="2130"/>
    </i>
    <i>
      <x v="7699"/>
      <x v="9"/>
      <x v="154"/>
      <x v="50"/>
      <x v="1"/>
      <x v="10"/>
      <x v="2175"/>
      <x v="2131"/>
    </i>
    <i>
      <x v="7700"/>
      <x v="9"/>
      <x v="154"/>
      <x v="50"/>
      <x v="1"/>
      <x v="15"/>
      <x v="2176"/>
      <x v="2132"/>
    </i>
    <i>
      <x v="7701"/>
      <x v="9"/>
      <x v="154"/>
      <x v="50"/>
      <x v="1"/>
      <x v="6"/>
      <x v="2177"/>
      <x v="2133"/>
    </i>
    <i>
      <x v="7702"/>
      <x v="9"/>
      <x v="154"/>
      <x v="50"/>
      <x v="1"/>
      <x v="7"/>
      <x v="2178"/>
      <x v="2134"/>
    </i>
    <i>
      <x v="7703"/>
      <x v="9"/>
      <x v="154"/>
      <x v="50"/>
      <x v="1"/>
      <x v="4"/>
      <x v="2179"/>
      <x v="2135"/>
    </i>
    <i>
      <x v="7704"/>
      <x v="9"/>
      <x v="154"/>
      <x v="50"/>
      <x v="1"/>
      <x v="9"/>
      <x v="2180"/>
      <x v="2136"/>
    </i>
    <i>
      <x v="7705"/>
      <x v="9"/>
      <x v="154"/>
      <x v="50"/>
      <x v="1"/>
      <x v="16"/>
      <x v="2181"/>
      <x v="2137"/>
    </i>
    <i>
      <x v="7706"/>
      <x v="9"/>
      <x v="154"/>
      <x v="50"/>
      <x v="1"/>
      <x v="8"/>
      <x v="2182"/>
      <x v="2138"/>
    </i>
    <i>
      <x v="7707"/>
      <x v="9"/>
      <x v="154"/>
      <x v="50"/>
      <x v="1"/>
      <x v="2"/>
      <x v="2183"/>
      <x v="2139"/>
    </i>
    <i>
      <x v="7708"/>
      <x v="9"/>
      <x v="154"/>
      <x v="50"/>
      <x v="1"/>
      <x v="11"/>
      <x v="2184"/>
      <x v="2140"/>
    </i>
    <i>
      <x v="7709"/>
      <x v="9"/>
      <x v="155"/>
      <x v="50"/>
      <x/>
      <x/>
      <x v="2185"/>
      <x v="1499"/>
    </i>
    <i>
      <x v="7710"/>
      <x v="9"/>
      <x v="155"/>
      <x v="50"/>
      <x v="1"/>
      <x v="13"/>
      <x v="2186"/>
      <x v="1500"/>
    </i>
    <i>
      <x v="7711"/>
      <x v="9"/>
      <x v="155"/>
      <x v="50"/>
      <x v="1"/>
      <x v="1"/>
      <x v="2187"/>
      <x v="1501"/>
    </i>
    <i>
      <x v="7712"/>
      <x v="9"/>
      <x v="155"/>
      <x v="50"/>
      <x v="1"/>
      <x v="3"/>
      <x v="2188"/>
      <x v="1502"/>
    </i>
    <i>
      <x v="7713"/>
      <x v="9"/>
      <x v="155"/>
      <x v="50"/>
      <x v="1"/>
      <x v="5"/>
      <x v="2189"/>
      <x v="1503"/>
    </i>
    <i>
      <x v="7714"/>
      <x v="9"/>
      <x v="155"/>
      <x v="50"/>
      <x v="1"/>
      <x v="14"/>
      <x v="2190"/>
      <x v="1504"/>
    </i>
    <i>
      <x v="7715"/>
      <x v="9"/>
      <x v="155"/>
      <x v="50"/>
      <x v="1"/>
      <x v="12"/>
      <x v="2191"/>
      <x v="1505"/>
    </i>
    <i>
      <x v="7716"/>
      <x v="9"/>
      <x v="155"/>
      <x v="50"/>
      <x v="1"/>
      <x v="10"/>
      <x v="2192"/>
      <x v="1506"/>
    </i>
    <i>
      <x v="7717"/>
      <x v="9"/>
      <x v="155"/>
      <x v="50"/>
      <x v="1"/>
      <x v="15"/>
      <x v="2193"/>
      <x v="1507"/>
    </i>
    <i>
      <x v="7718"/>
      <x v="9"/>
      <x v="155"/>
      <x v="50"/>
      <x v="1"/>
      <x v="6"/>
      <x v="2194"/>
      <x v="1508"/>
    </i>
    <i>
      <x v="7719"/>
      <x v="9"/>
      <x v="155"/>
      <x v="50"/>
      <x v="1"/>
      <x v="7"/>
      <x v="2195"/>
      <x v="1509"/>
    </i>
    <i>
      <x v="7720"/>
      <x v="9"/>
      <x v="155"/>
      <x v="50"/>
      <x v="1"/>
      <x v="4"/>
      <x v="2196"/>
      <x v="1510"/>
    </i>
    <i>
      <x v="7721"/>
      <x v="9"/>
      <x v="155"/>
      <x v="50"/>
      <x v="1"/>
      <x v="9"/>
      <x v="2197"/>
      <x v="1511"/>
    </i>
    <i>
      <x v="7722"/>
      <x v="9"/>
      <x v="155"/>
      <x v="50"/>
      <x v="1"/>
      <x v="16"/>
      <x v="2198"/>
      <x v="1512"/>
    </i>
    <i>
      <x v="7723"/>
      <x v="9"/>
      <x v="155"/>
      <x v="50"/>
      <x v="1"/>
      <x v="8"/>
      <x v="2199"/>
      <x v="1513"/>
    </i>
    <i>
      <x v="7724"/>
      <x v="9"/>
      <x v="155"/>
      <x v="50"/>
      <x v="1"/>
      <x v="2"/>
      <x v="2200"/>
      <x v="1514"/>
    </i>
    <i>
      <x v="7725"/>
      <x v="9"/>
      <x v="155"/>
      <x v="50"/>
      <x v="1"/>
      <x v="11"/>
      <x v="2201"/>
      <x v="1515"/>
    </i>
    <i>
      <x v="7726"/>
      <x v="10"/>
      <x v="168"/>
      <x v="91"/>
      <x/>
      <x/>
      <x v="2202"/>
      <x v="1516"/>
    </i>
    <i>
      <x v="7727"/>
      <x v="10"/>
      <x v="168"/>
      <x v="91"/>
      <x v="1"/>
      <x v="13"/>
      <x v="2203"/>
      <x v="1517"/>
    </i>
    <i>
      <x v="7728"/>
      <x v="10"/>
      <x v="168"/>
      <x v="91"/>
      <x v="1"/>
      <x v="1"/>
      <x v="2204"/>
      <x v="1518"/>
    </i>
    <i>
      <x v="7729"/>
      <x v="10"/>
      <x v="168"/>
      <x v="91"/>
      <x v="1"/>
      <x v="3"/>
      <x v="2205"/>
      <x v="1519"/>
    </i>
    <i>
      <x v="7730"/>
      <x v="10"/>
      <x v="168"/>
      <x v="91"/>
      <x v="1"/>
      <x v="5"/>
      <x v="2206"/>
      <x v="1520"/>
    </i>
    <i>
      <x v="7731"/>
      <x v="10"/>
      <x v="168"/>
      <x v="91"/>
      <x v="1"/>
      <x v="14"/>
      <x v="2207"/>
      <x v="1521"/>
    </i>
    <i>
      <x v="7732"/>
      <x v="10"/>
      <x v="168"/>
      <x v="91"/>
      <x v="1"/>
      <x v="12"/>
      <x v="2208"/>
      <x v="1522"/>
    </i>
    <i>
      <x v="7733"/>
      <x v="10"/>
      <x v="168"/>
      <x v="91"/>
      <x v="1"/>
      <x v="10"/>
      <x v="2209"/>
      <x v="1523"/>
    </i>
    <i>
      <x v="7734"/>
      <x v="10"/>
      <x v="168"/>
      <x v="91"/>
      <x v="1"/>
      <x v="15"/>
      <x v="2210"/>
      <x v="1524"/>
    </i>
    <i>
      <x v="7735"/>
      <x v="10"/>
      <x v="168"/>
      <x v="91"/>
      <x v="1"/>
      <x v="6"/>
      <x v="2211"/>
      <x v="1525"/>
    </i>
    <i>
      <x v="7736"/>
      <x v="10"/>
      <x v="168"/>
      <x v="91"/>
      <x v="1"/>
      <x v="7"/>
      <x v="2212"/>
      <x v="1526"/>
    </i>
    <i>
      <x v="7737"/>
      <x v="10"/>
      <x v="168"/>
      <x v="91"/>
      <x v="1"/>
      <x v="4"/>
      <x v="2213"/>
      <x v="1527"/>
    </i>
    <i>
      <x v="7738"/>
      <x v="10"/>
      <x v="168"/>
      <x v="91"/>
      <x v="1"/>
      <x v="9"/>
      <x v="2214"/>
      <x v="1528"/>
    </i>
    <i>
      <x v="7739"/>
      <x v="10"/>
      <x v="168"/>
      <x v="91"/>
      <x v="1"/>
      <x v="16"/>
      <x v="2215"/>
      <x v="1529"/>
    </i>
    <i>
      <x v="7740"/>
      <x v="10"/>
      <x v="168"/>
      <x v="91"/>
      <x v="1"/>
      <x v="8"/>
      <x v="2216"/>
      <x v="1530"/>
    </i>
    <i>
      <x v="7741"/>
      <x v="10"/>
      <x v="168"/>
      <x v="91"/>
      <x v="1"/>
      <x v="2"/>
      <x v="2217"/>
      <x v="1531"/>
    </i>
    <i>
      <x v="7742"/>
      <x v="10"/>
      <x v="168"/>
      <x v="91"/>
      <x v="1"/>
      <x v="11"/>
      <x v="2218"/>
      <x v="1532"/>
    </i>
    <i>
      <x v="7743"/>
      <x v="10"/>
      <x v="146"/>
      <x v="91"/>
      <x/>
      <x/>
      <x v="2219"/>
      <x v="1533"/>
    </i>
    <i>
      <x v="7744"/>
      <x v="10"/>
      <x v="146"/>
      <x v="91"/>
      <x v="1"/>
      <x v="13"/>
      <x v="2220"/>
      <x v="1534"/>
    </i>
    <i>
      <x v="7745"/>
      <x v="10"/>
      <x v="146"/>
      <x v="91"/>
      <x v="1"/>
      <x v="1"/>
      <x v="2221"/>
      <x v="1535"/>
    </i>
    <i>
      <x v="7746"/>
      <x v="10"/>
      <x v="146"/>
      <x v="91"/>
      <x v="1"/>
      <x v="3"/>
      <x v="2222"/>
      <x v="1536"/>
    </i>
    <i>
      <x v="7747"/>
      <x v="10"/>
      <x v="146"/>
      <x v="91"/>
      <x v="1"/>
      <x v="5"/>
      <x v="2223"/>
      <x v="1537"/>
    </i>
    <i>
      <x v="7748"/>
      <x v="10"/>
      <x v="146"/>
      <x v="91"/>
      <x v="1"/>
      <x v="14"/>
      <x v="2224"/>
      <x v="1538"/>
    </i>
    <i>
      <x v="7749"/>
      <x v="10"/>
      <x v="146"/>
      <x v="91"/>
      <x v="1"/>
      <x v="12"/>
      <x v="2225"/>
      <x v="1539"/>
    </i>
    <i>
      <x v="7750"/>
      <x v="10"/>
      <x v="146"/>
      <x v="91"/>
      <x v="1"/>
      <x v="10"/>
      <x v="2226"/>
      <x v="1540"/>
    </i>
    <i>
      <x v="7751"/>
      <x v="10"/>
      <x v="146"/>
      <x v="91"/>
      <x v="1"/>
      <x v="15"/>
      <x v="2227"/>
      <x v="1541"/>
    </i>
    <i>
      <x v="7752"/>
      <x v="10"/>
      <x v="146"/>
      <x v="91"/>
      <x v="1"/>
      <x v="6"/>
      <x v="2228"/>
      <x v="1542"/>
    </i>
    <i>
      <x v="7753"/>
      <x v="10"/>
      <x v="146"/>
      <x v="91"/>
      <x v="1"/>
      <x v="7"/>
      <x v="2229"/>
      <x v="1543"/>
    </i>
    <i>
      <x v="7754"/>
      <x v="10"/>
      <x v="146"/>
      <x v="91"/>
      <x v="1"/>
      <x v="4"/>
      <x v="2230"/>
      <x v="1544"/>
    </i>
    <i>
      <x v="7755"/>
      <x v="10"/>
      <x v="146"/>
      <x v="91"/>
      <x v="1"/>
      <x v="9"/>
      <x v="2231"/>
      <x v="1545"/>
    </i>
    <i>
      <x v="7756"/>
      <x v="10"/>
      <x v="146"/>
      <x v="91"/>
      <x v="1"/>
      <x v="16"/>
      <x v="2232"/>
      <x v="1546"/>
    </i>
    <i>
      <x v="7757"/>
      <x v="10"/>
      <x v="146"/>
      <x v="91"/>
      <x v="1"/>
      <x v="8"/>
      <x v="2233"/>
      <x v="1547"/>
    </i>
    <i>
      <x v="7758"/>
      <x v="10"/>
      <x v="146"/>
      <x v="91"/>
      <x v="1"/>
      <x v="2"/>
      <x v="2234"/>
      <x v="1548"/>
    </i>
    <i>
      <x v="7759"/>
      <x v="10"/>
      <x v="146"/>
      <x v="91"/>
      <x v="1"/>
      <x v="11"/>
      <x v="2235"/>
      <x v="1549"/>
    </i>
    <i>
      <x v="7760"/>
      <x v="10"/>
      <x v="147"/>
      <x v="91"/>
      <x/>
      <x/>
      <x v="2236"/>
      <x v="1550"/>
    </i>
    <i>
      <x v="7761"/>
      <x v="10"/>
      <x v="147"/>
      <x v="91"/>
      <x v="1"/>
      <x v="13"/>
      <x v="2237"/>
      <x v="1551"/>
    </i>
    <i>
      <x v="7762"/>
      <x v="10"/>
      <x v="147"/>
      <x v="91"/>
      <x v="1"/>
      <x v="1"/>
      <x v="2238"/>
      <x v="1552"/>
    </i>
    <i>
      <x v="7763"/>
      <x v="10"/>
      <x v="147"/>
      <x v="91"/>
      <x v="1"/>
      <x v="3"/>
      <x v="2239"/>
      <x v="1553"/>
    </i>
    <i>
      <x v="7764"/>
      <x v="10"/>
      <x v="147"/>
      <x v="91"/>
      <x v="1"/>
      <x v="5"/>
      <x v="2240"/>
      <x v="1554"/>
    </i>
    <i>
      <x v="7765"/>
      <x v="10"/>
      <x v="147"/>
      <x v="91"/>
      <x v="1"/>
      <x v="14"/>
      <x v="2241"/>
      <x v="1555"/>
    </i>
    <i>
      <x v="7766"/>
      <x v="10"/>
      <x v="147"/>
      <x v="91"/>
      <x v="1"/>
      <x v="12"/>
      <x v="2242"/>
      <x v="1556"/>
    </i>
    <i>
      <x v="7767"/>
      <x v="10"/>
      <x v="147"/>
      <x v="91"/>
      <x v="1"/>
      <x v="10"/>
      <x v="2243"/>
      <x v="1557"/>
    </i>
    <i>
      <x v="7768"/>
      <x v="10"/>
      <x v="147"/>
      <x v="91"/>
      <x v="1"/>
      <x v="15"/>
      <x v="2244"/>
      <x v="1558"/>
    </i>
    <i>
      <x v="7769"/>
      <x v="10"/>
      <x v="147"/>
      <x v="91"/>
      <x v="1"/>
      <x v="6"/>
      <x v="2245"/>
      <x v="1559"/>
    </i>
    <i>
      <x v="7770"/>
      <x v="10"/>
      <x v="147"/>
      <x v="91"/>
      <x v="1"/>
      <x v="7"/>
      <x v="2246"/>
      <x v="1560"/>
    </i>
    <i>
      <x v="7771"/>
      <x v="10"/>
      <x v="147"/>
      <x v="91"/>
      <x v="1"/>
      <x v="4"/>
      <x v="2247"/>
      <x v="1561"/>
    </i>
    <i>
      <x v="7772"/>
      <x v="10"/>
      <x v="147"/>
      <x v="91"/>
      <x v="1"/>
      <x v="9"/>
      <x v="2248"/>
      <x v="1562"/>
    </i>
    <i>
      <x v="7773"/>
      <x v="10"/>
      <x v="147"/>
      <x v="91"/>
      <x v="1"/>
      <x v="16"/>
      <x v="2249"/>
      <x v="1563"/>
    </i>
    <i>
      <x v="7774"/>
      <x v="10"/>
      <x v="147"/>
      <x v="91"/>
      <x v="1"/>
      <x v="8"/>
      <x v="2250"/>
      <x v="1564"/>
    </i>
    <i>
      <x v="7775"/>
      <x v="10"/>
      <x v="147"/>
      <x v="91"/>
      <x v="1"/>
      <x v="2"/>
      <x v="2251"/>
      <x v="1565"/>
    </i>
    <i>
      <x v="7776"/>
      <x v="10"/>
      <x v="147"/>
      <x v="91"/>
      <x v="1"/>
      <x v="11"/>
      <x v="2252"/>
      <x v="1566"/>
    </i>
    <i>
      <x v="7777"/>
      <x v="9"/>
      <x v="166"/>
      <x v="92"/>
      <x/>
      <x/>
      <x v="2253"/>
      <x v="1567"/>
    </i>
    <i>
      <x v="7778"/>
      <x v="9"/>
      <x v="166"/>
      <x v="92"/>
      <x/>
      <x/>
      <x v="2254"/>
      <x v="1568"/>
    </i>
    <i>
      <x v="7779"/>
      <x v="9"/>
      <x v="166"/>
      <x v="92"/>
      <x/>
      <x/>
      <x v="2255"/>
      <x v="1569"/>
    </i>
    <i>
      <x v="7780"/>
      <x v="5"/>
      <x v="149"/>
      <x v="72"/>
      <x/>
      <x/>
      <x v="2256"/>
      <x v="1570"/>
    </i>
    <i>
      <x v="7781"/>
      <x v="5"/>
      <x v="149"/>
      <x v="72"/>
      <x v="1"/>
      <x v="13"/>
      <x v="2257"/>
      <x v="1571"/>
    </i>
    <i>
      <x v="7782"/>
      <x v="5"/>
      <x v="149"/>
      <x v="72"/>
      <x v="1"/>
      <x v="1"/>
      <x v="2258"/>
      <x v="1572"/>
    </i>
    <i>
      <x v="7783"/>
      <x v="5"/>
      <x v="149"/>
      <x v="72"/>
      <x v="1"/>
      <x v="3"/>
      <x v="2259"/>
      <x v="1573"/>
    </i>
    <i>
      <x v="7784"/>
      <x v="5"/>
      <x v="149"/>
      <x v="72"/>
      <x v="1"/>
      <x v="5"/>
      <x v="2260"/>
      <x v="1574"/>
    </i>
    <i>
      <x v="7785"/>
      <x v="5"/>
      <x v="149"/>
      <x v="72"/>
      <x v="1"/>
      <x v="14"/>
      <x v="2261"/>
      <x v="1575"/>
    </i>
    <i>
      <x v="7786"/>
      <x v="5"/>
      <x v="149"/>
      <x v="72"/>
      <x v="1"/>
      <x v="12"/>
      <x v="2262"/>
      <x v="1576"/>
    </i>
    <i>
      <x v="7787"/>
      <x v="5"/>
      <x v="149"/>
      <x v="72"/>
      <x v="1"/>
      <x v="10"/>
      <x v="2263"/>
      <x v="1577"/>
    </i>
    <i>
      <x v="7788"/>
      <x v="5"/>
      <x v="149"/>
      <x v="72"/>
      <x v="1"/>
      <x v="15"/>
      <x v="2264"/>
      <x v="1578"/>
    </i>
    <i>
      <x v="7789"/>
      <x v="5"/>
      <x v="149"/>
      <x v="72"/>
      <x v="1"/>
      <x v="6"/>
      <x v="2265"/>
      <x v="1579"/>
    </i>
    <i>
      <x v="7790"/>
      <x v="5"/>
      <x v="149"/>
      <x v="72"/>
      <x v="1"/>
      <x v="7"/>
      <x v="2266"/>
      <x v="1580"/>
    </i>
    <i>
      <x v="7791"/>
      <x v="5"/>
      <x v="149"/>
      <x v="72"/>
      <x v="1"/>
      <x v="4"/>
      <x v="2267"/>
      <x v="1581"/>
    </i>
    <i>
      <x v="7792"/>
      <x v="5"/>
      <x v="149"/>
      <x v="72"/>
      <x v="1"/>
      <x v="9"/>
      <x v="2268"/>
      <x v="1582"/>
    </i>
    <i>
      <x v="7793"/>
      <x v="5"/>
      <x v="149"/>
      <x v="72"/>
      <x v="1"/>
      <x v="16"/>
      <x v="2269"/>
      <x v="1583"/>
    </i>
    <i>
      <x v="7794"/>
      <x v="5"/>
      <x v="149"/>
      <x v="72"/>
      <x v="1"/>
      <x v="8"/>
      <x v="2270"/>
      <x v="1584"/>
    </i>
    <i>
      <x v="7795"/>
      <x v="5"/>
      <x v="149"/>
      <x v="72"/>
      <x v="1"/>
      <x v="2"/>
      <x v="2271"/>
      <x v="1585"/>
    </i>
    <i>
      <x v="7796"/>
      <x v="5"/>
      <x v="149"/>
      <x v="72"/>
      <x v="1"/>
      <x v="11"/>
      <x v="2272"/>
      <x v="1586"/>
    </i>
    <i>
      <x v="7797"/>
      <x v="5"/>
      <x v="150"/>
      <x v="72"/>
      <x/>
      <x/>
      <x v="2273"/>
      <x v="1587"/>
    </i>
    <i>
      <x v="7798"/>
      <x v="5"/>
      <x v="150"/>
      <x v="72"/>
      <x v="1"/>
      <x v="13"/>
      <x v="2274"/>
      <x v="1588"/>
    </i>
    <i>
      <x v="7799"/>
      <x v="5"/>
      <x v="150"/>
      <x v="72"/>
      <x v="1"/>
      <x v="1"/>
      <x v="2275"/>
      <x v="1589"/>
    </i>
    <i>
      <x v="7800"/>
      <x v="5"/>
      <x v="150"/>
      <x v="72"/>
      <x v="1"/>
      <x v="3"/>
      <x v="2276"/>
      <x v="1590"/>
    </i>
    <i>
      <x v="7801"/>
      <x v="5"/>
      <x v="150"/>
      <x v="72"/>
      <x v="1"/>
      <x v="5"/>
      <x v="2277"/>
      <x v="1591"/>
    </i>
    <i>
      <x v="7802"/>
      <x v="5"/>
      <x v="150"/>
      <x v="72"/>
      <x v="1"/>
      <x v="14"/>
      <x v="2278"/>
      <x v="1592"/>
    </i>
    <i>
      <x v="7803"/>
      <x v="5"/>
      <x v="150"/>
      <x v="72"/>
      <x v="1"/>
      <x v="12"/>
      <x v="2279"/>
      <x v="1593"/>
    </i>
    <i>
      <x v="7804"/>
      <x v="5"/>
      <x v="150"/>
      <x v="72"/>
      <x v="1"/>
      <x v="10"/>
      <x v="2280"/>
      <x v="1594"/>
    </i>
    <i>
      <x v="7805"/>
      <x v="5"/>
      <x v="150"/>
      <x v="72"/>
      <x v="1"/>
      <x v="15"/>
      <x v="2281"/>
      <x v="1595"/>
    </i>
    <i>
      <x v="7806"/>
      <x v="5"/>
      <x v="150"/>
      <x v="72"/>
      <x v="1"/>
      <x v="6"/>
      <x v="2282"/>
      <x v="1596"/>
    </i>
    <i>
      <x v="7807"/>
      <x v="5"/>
      <x v="150"/>
      <x v="72"/>
      <x v="1"/>
      <x v="7"/>
      <x v="2283"/>
      <x v="1597"/>
    </i>
    <i>
      <x v="7808"/>
      <x v="5"/>
      <x v="150"/>
      <x v="72"/>
      <x v="1"/>
      <x v="4"/>
      <x v="2284"/>
      <x v="1598"/>
    </i>
    <i>
      <x v="7809"/>
      <x v="5"/>
      <x v="150"/>
      <x v="72"/>
      <x v="1"/>
      <x v="9"/>
      <x v="2285"/>
      <x v="1599"/>
    </i>
    <i>
      <x v="7810"/>
      <x v="5"/>
      <x v="150"/>
      <x v="72"/>
      <x v="1"/>
      <x v="16"/>
      <x v="2286"/>
      <x v="1600"/>
    </i>
    <i>
      <x v="7811"/>
      <x v="5"/>
      <x v="150"/>
      <x v="72"/>
      <x v="1"/>
      <x v="8"/>
      <x v="2287"/>
      <x v="1601"/>
    </i>
    <i>
      <x v="7812"/>
      <x v="5"/>
      <x v="150"/>
      <x v="72"/>
      <x v="1"/>
      <x v="2"/>
      <x v="2288"/>
      <x v="1602"/>
    </i>
    <i>
      <x v="7813"/>
      <x v="5"/>
      <x v="150"/>
      <x v="72"/>
      <x v="1"/>
      <x v="11"/>
      <x v="2289"/>
      <x v="1603"/>
    </i>
    <i>
      <x v="7814"/>
      <x v="8"/>
      <x v="66"/>
      <x v="64"/>
      <x/>
      <x/>
      <x v="2290"/>
      <x v="1604"/>
    </i>
    <i>
      <x v="7815"/>
      <x v="8"/>
      <x v="66"/>
      <x v="64"/>
      <x/>
      <x/>
      <x v="2291"/>
      <x v="1605"/>
    </i>
    <i>
      <x v="7816"/>
      <x v="8"/>
      <x v="66"/>
      <x v="64"/>
      <x v="1"/>
      <x v="13"/>
      <x v="2292"/>
      <x v="1606"/>
    </i>
    <i>
      <x v="7817"/>
      <x v="8"/>
      <x v="66"/>
      <x v="64"/>
      <x v="1"/>
      <x v="1"/>
      <x v="2293"/>
      <x v="1607"/>
    </i>
    <i>
      <x v="7818"/>
      <x v="8"/>
      <x v="66"/>
      <x v="64"/>
      <x v="1"/>
      <x v="3"/>
      <x v="2294"/>
      <x v="1608"/>
    </i>
    <i>
      <x v="7819"/>
      <x v="8"/>
      <x v="66"/>
      <x v="64"/>
      <x v="1"/>
      <x v="5"/>
      <x v="2295"/>
      <x v="1609"/>
    </i>
    <i>
      <x v="7820"/>
      <x v="8"/>
      <x v="66"/>
      <x v="64"/>
      <x v="1"/>
      <x v="14"/>
      <x v="2296"/>
      <x v="1610"/>
    </i>
    <i>
      <x v="7821"/>
      <x v="8"/>
      <x v="66"/>
      <x v="64"/>
      <x v="1"/>
      <x v="12"/>
      <x v="2297"/>
      <x v="1611"/>
    </i>
    <i>
      <x v="7822"/>
      <x v="8"/>
      <x v="66"/>
      <x v="64"/>
      <x v="1"/>
      <x v="10"/>
      <x v="2298"/>
      <x v="1612"/>
    </i>
    <i>
      <x v="7823"/>
      <x v="8"/>
      <x v="66"/>
      <x v="64"/>
      <x v="1"/>
      <x v="15"/>
      <x v="2299"/>
      <x v="1613"/>
    </i>
    <i>
      <x v="7824"/>
      <x v="8"/>
      <x v="66"/>
      <x v="64"/>
      <x v="1"/>
      <x v="6"/>
      <x v="2300"/>
      <x v="1614"/>
    </i>
    <i>
      <x v="7825"/>
      <x v="8"/>
      <x v="66"/>
      <x v="64"/>
      <x v="1"/>
      <x v="7"/>
      <x v="2301"/>
      <x v="1615"/>
    </i>
    <i>
      <x v="7826"/>
      <x v="8"/>
      <x v="66"/>
      <x v="64"/>
      <x v="1"/>
      <x v="4"/>
      <x v="2302"/>
      <x v="1616"/>
    </i>
    <i>
      <x v="7827"/>
      <x v="8"/>
      <x v="66"/>
      <x v="64"/>
      <x v="1"/>
      <x v="9"/>
      <x v="2303"/>
      <x v="1617"/>
    </i>
    <i>
      <x v="7828"/>
      <x v="8"/>
      <x v="66"/>
      <x v="64"/>
      <x v="1"/>
      <x v="16"/>
      <x v="2304"/>
      <x v="1618"/>
    </i>
    <i>
      <x v="7829"/>
      <x v="8"/>
      <x v="66"/>
      <x v="64"/>
      <x v="1"/>
      <x v="8"/>
      <x v="2305"/>
      <x v="1619"/>
    </i>
    <i>
      <x v="7830"/>
      <x v="8"/>
      <x v="66"/>
      <x v="64"/>
      <x v="1"/>
      <x v="2"/>
      <x v="2306"/>
      <x v="1620"/>
    </i>
    <i>
      <x v="7831"/>
      <x v="8"/>
      <x v="66"/>
      <x v="64"/>
      <x v="1"/>
      <x v="11"/>
      <x v="2307"/>
      <x v="1621"/>
    </i>
    <i>
      <x v="7832"/>
      <x v="8"/>
      <x v="66"/>
      <x v="64"/>
      <x/>
      <x/>
      <x v="2308"/>
      <x v="1622"/>
    </i>
    <i>
      <x v="7833"/>
      <x v="8"/>
      <x v="66"/>
      <x v="64"/>
      <x v="1"/>
      <x v="13"/>
      <x v="2309"/>
      <x v="1623"/>
    </i>
    <i>
      <x v="7834"/>
      <x v="8"/>
      <x v="66"/>
      <x v="64"/>
      <x v="1"/>
      <x v="1"/>
      <x v="2310"/>
      <x v="1624"/>
    </i>
    <i>
      <x v="7835"/>
      <x v="8"/>
      <x v="66"/>
      <x v="64"/>
      <x v="1"/>
      <x v="3"/>
      <x v="2311"/>
      <x v="1625"/>
    </i>
    <i>
      <x v="7836"/>
      <x v="8"/>
      <x v="66"/>
      <x v="64"/>
      <x v="1"/>
      <x v="5"/>
      <x v="2312"/>
      <x v="1626"/>
    </i>
    <i>
      <x v="7837"/>
      <x v="8"/>
      <x v="66"/>
      <x v="64"/>
      <x v="1"/>
      <x v="14"/>
      <x v="2313"/>
      <x v="1627"/>
    </i>
    <i>
      <x v="7838"/>
      <x v="8"/>
      <x v="66"/>
      <x v="64"/>
      <x v="1"/>
      <x v="12"/>
      <x v="2314"/>
      <x v="1628"/>
    </i>
    <i>
      <x v="7839"/>
      <x v="8"/>
      <x v="66"/>
      <x v="64"/>
      <x v="1"/>
      <x v="10"/>
      <x v="2315"/>
      <x v="1629"/>
    </i>
    <i>
      <x v="7840"/>
      <x v="8"/>
      <x v="66"/>
      <x v="64"/>
      <x v="1"/>
      <x v="15"/>
      <x v="2316"/>
      <x v="1630"/>
    </i>
    <i>
      <x v="7841"/>
      <x v="8"/>
      <x v="66"/>
      <x v="64"/>
      <x v="1"/>
      <x v="6"/>
      <x v="2317"/>
      <x v="1631"/>
    </i>
    <i>
      <x v="7842"/>
      <x v="8"/>
      <x v="66"/>
      <x v="64"/>
      <x v="1"/>
      <x v="7"/>
      <x v="2318"/>
      <x v="1632"/>
    </i>
    <i>
      <x v="7843"/>
      <x v="8"/>
      <x v="66"/>
      <x v="64"/>
      <x v="1"/>
      <x v="4"/>
      <x v="2319"/>
      <x v="1633"/>
    </i>
    <i>
      <x v="7844"/>
      <x v="8"/>
      <x v="66"/>
      <x v="64"/>
      <x v="1"/>
      <x v="9"/>
      <x v="2320"/>
      <x v="1634"/>
    </i>
    <i>
      <x v="7845"/>
      <x v="8"/>
      <x v="66"/>
      <x v="64"/>
      <x v="1"/>
      <x v="16"/>
      <x v="2321"/>
      <x v="1635"/>
    </i>
    <i>
      <x v="7846"/>
      <x v="8"/>
      <x v="66"/>
      <x v="64"/>
      <x v="1"/>
      <x v="8"/>
      <x v="2322"/>
      <x v="1636"/>
    </i>
    <i>
      <x v="7847"/>
      <x v="8"/>
      <x v="66"/>
      <x v="64"/>
      <x v="1"/>
      <x v="2"/>
      <x v="2323"/>
      <x v="1637"/>
    </i>
    <i>
      <x v="7848"/>
      <x v="8"/>
      <x v="66"/>
      <x v="64"/>
      <x v="1"/>
      <x v="11"/>
      <x v="2324"/>
      <x v="1638"/>
    </i>
    <i>
      <x v="7849"/>
      <x v="8"/>
      <x v="66"/>
      <x v="64"/>
      <x/>
      <x/>
      <x v="2325"/>
      <x v="1639"/>
    </i>
    <i>
      <x v="7850"/>
      <x v="8"/>
      <x v="66"/>
      <x v="64"/>
      <x v="1"/>
      <x v="13"/>
      <x v="2326"/>
      <x v="1640"/>
    </i>
    <i>
      <x v="7851"/>
      <x v="8"/>
      <x v="66"/>
      <x v="64"/>
      <x v="1"/>
      <x v="1"/>
      <x v="2327"/>
      <x v="1641"/>
    </i>
    <i>
      <x v="7852"/>
      <x v="8"/>
      <x v="66"/>
      <x v="64"/>
      <x v="1"/>
      <x v="3"/>
      <x v="2328"/>
      <x v="1642"/>
    </i>
    <i>
      <x v="7853"/>
      <x v="8"/>
      <x v="66"/>
      <x v="64"/>
      <x v="1"/>
      <x v="5"/>
      <x v="2329"/>
      <x v="1643"/>
    </i>
    <i>
      <x v="7854"/>
      <x v="8"/>
      <x v="66"/>
      <x v="64"/>
      <x v="1"/>
      <x v="14"/>
      <x v="2330"/>
      <x v="1644"/>
    </i>
    <i>
      <x v="7855"/>
      <x v="8"/>
      <x v="66"/>
      <x v="64"/>
      <x v="1"/>
      <x v="12"/>
      <x v="2331"/>
      <x v="1645"/>
    </i>
    <i>
      <x v="7856"/>
      <x v="8"/>
      <x v="66"/>
      <x v="64"/>
      <x v="1"/>
      <x v="10"/>
      <x v="2332"/>
      <x v="1646"/>
    </i>
    <i>
      <x v="7857"/>
      <x v="8"/>
      <x v="66"/>
      <x v="64"/>
      <x v="1"/>
      <x v="15"/>
      <x v="2333"/>
      <x v="1647"/>
    </i>
    <i>
      <x v="7858"/>
      <x v="8"/>
      <x v="66"/>
      <x v="64"/>
      <x v="1"/>
      <x v="6"/>
      <x v="2334"/>
      <x v="1648"/>
    </i>
    <i>
      <x v="7859"/>
      <x v="8"/>
      <x v="66"/>
      <x v="64"/>
      <x v="1"/>
      <x v="7"/>
      <x v="2335"/>
      <x v="1649"/>
    </i>
    <i>
      <x v="7860"/>
      <x v="8"/>
      <x v="66"/>
      <x v="64"/>
      <x v="1"/>
      <x v="4"/>
      <x v="2336"/>
      <x v="1650"/>
    </i>
    <i>
      <x v="7861"/>
      <x v="8"/>
      <x v="66"/>
      <x v="64"/>
      <x v="1"/>
      <x v="9"/>
      <x v="2337"/>
      <x v="1651"/>
    </i>
    <i>
      <x v="7862"/>
      <x v="8"/>
      <x v="66"/>
      <x v="64"/>
      <x v="1"/>
      <x v="16"/>
      <x v="2338"/>
      <x v="1652"/>
    </i>
    <i>
      <x v="7863"/>
      <x v="8"/>
      <x v="66"/>
      <x v="64"/>
      <x v="1"/>
      <x v="8"/>
      <x v="2339"/>
      <x v="1653"/>
    </i>
    <i>
      <x v="7864"/>
      <x v="8"/>
      <x v="66"/>
      <x v="64"/>
      <x v="1"/>
      <x v="2"/>
      <x v="2340"/>
      <x v="1654"/>
    </i>
    <i>
      <x v="7865"/>
      <x v="8"/>
      <x v="66"/>
      <x v="64"/>
      <x v="1"/>
      <x v="11"/>
      <x v="2341"/>
      <x v="1655"/>
    </i>
    <i>
      <x v="7866"/>
      <x v="8"/>
      <x v="66"/>
      <x v="64"/>
      <x/>
      <x/>
      <x v="2342"/>
      <x v="1656"/>
    </i>
    <i>
      <x v="7867"/>
      <x v="8"/>
      <x v="66"/>
      <x v="64"/>
      <x v="1"/>
      <x v="13"/>
      <x v="2343"/>
      <x v="1657"/>
    </i>
    <i>
      <x v="7868"/>
      <x v="8"/>
      <x v="66"/>
      <x v="64"/>
      <x v="1"/>
      <x v="1"/>
      <x v="2344"/>
      <x v="1658"/>
    </i>
    <i>
      <x v="7869"/>
      <x v="8"/>
      <x v="66"/>
      <x v="64"/>
      <x v="1"/>
      <x v="3"/>
      <x v="2345"/>
      <x v="1659"/>
    </i>
    <i>
      <x v="7870"/>
      <x v="8"/>
      <x v="66"/>
      <x v="64"/>
      <x v="1"/>
      <x v="5"/>
      <x v="2346"/>
      <x v="1660"/>
    </i>
    <i>
      <x v="7871"/>
      <x v="8"/>
      <x v="66"/>
      <x v="64"/>
      <x v="1"/>
      <x v="14"/>
      <x v="2347"/>
      <x v="1661"/>
    </i>
    <i>
      <x v="7872"/>
      <x v="8"/>
      <x v="66"/>
      <x v="64"/>
      <x v="1"/>
      <x v="12"/>
      <x v="2348"/>
      <x v="1662"/>
    </i>
    <i>
      <x v="7873"/>
      <x v="8"/>
      <x v="66"/>
      <x v="64"/>
      <x v="1"/>
      <x v="10"/>
      <x v="2349"/>
      <x v="1663"/>
    </i>
    <i>
      <x v="7874"/>
      <x v="8"/>
      <x v="66"/>
      <x v="64"/>
      <x v="1"/>
      <x v="15"/>
      <x v="2350"/>
      <x v="1664"/>
    </i>
    <i>
      <x v="7875"/>
      <x v="8"/>
      <x v="66"/>
      <x v="64"/>
      <x v="1"/>
      <x v="6"/>
      <x v="2351"/>
      <x v="1665"/>
    </i>
    <i>
      <x v="7876"/>
      <x v="8"/>
      <x v="66"/>
      <x v="64"/>
      <x v="1"/>
      <x v="7"/>
      <x v="2352"/>
      <x v="1666"/>
    </i>
    <i>
      <x v="7877"/>
      <x v="8"/>
      <x v="66"/>
      <x v="64"/>
      <x v="1"/>
      <x v="4"/>
      <x v="2353"/>
      <x v="1667"/>
    </i>
    <i>
      <x v="7878"/>
      <x v="8"/>
      <x v="66"/>
      <x v="64"/>
      <x v="1"/>
      <x v="9"/>
      <x v="2354"/>
      <x v="1668"/>
    </i>
    <i>
      <x v="7879"/>
      <x v="8"/>
      <x v="66"/>
      <x v="64"/>
      <x v="1"/>
      <x v="16"/>
      <x v="2355"/>
      <x v="1669"/>
    </i>
    <i>
      <x v="7880"/>
      <x v="8"/>
      <x v="66"/>
      <x v="64"/>
      <x v="1"/>
      <x v="8"/>
      <x v="2356"/>
      <x v="1670"/>
    </i>
    <i>
      <x v="7881"/>
      <x v="8"/>
      <x v="66"/>
      <x v="64"/>
      <x v="1"/>
      <x v="2"/>
      <x v="2357"/>
      <x v="1671"/>
    </i>
    <i>
      <x v="7882"/>
      <x v="8"/>
      <x v="66"/>
      <x v="64"/>
      <x v="1"/>
      <x v="11"/>
      <x v="2358"/>
      <x v="1672"/>
    </i>
    <i>
      <x v="7883"/>
      <x v="8"/>
      <x v="66"/>
      <x v="64"/>
      <x/>
      <x/>
      <x v="2359"/>
      <x v="1673"/>
    </i>
    <i>
      <x v="7884"/>
      <x v="8"/>
      <x v="66"/>
      <x v="64"/>
      <x v="1"/>
      <x v="13"/>
      <x v="2360"/>
      <x v="1674"/>
    </i>
    <i>
      <x v="7885"/>
      <x v="8"/>
      <x v="66"/>
      <x v="64"/>
      <x v="1"/>
      <x v="1"/>
      <x v="2361"/>
      <x v="1675"/>
    </i>
    <i>
      <x v="7886"/>
      <x v="8"/>
      <x v="66"/>
      <x v="64"/>
      <x v="1"/>
      <x v="3"/>
      <x v="2362"/>
      <x v="1676"/>
    </i>
    <i>
      <x v="7887"/>
      <x v="8"/>
      <x v="66"/>
      <x v="64"/>
      <x v="1"/>
      <x v="5"/>
      <x v="2363"/>
      <x v="1677"/>
    </i>
    <i>
      <x v="7888"/>
      <x v="8"/>
      <x v="66"/>
      <x v="64"/>
      <x v="1"/>
      <x v="14"/>
      <x v="2364"/>
      <x v="1678"/>
    </i>
    <i>
      <x v="7889"/>
      <x v="8"/>
      <x v="66"/>
      <x v="64"/>
      <x v="1"/>
      <x v="12"/>
      <x v="2365"/>
      <x v="1679"/>
    </i>
    <i>
      <x v="7890"/>
      <x v="8"/>
      <x v="66"/>
      <x v="64"/>
      <x v="1"/>
      <x v="10"/>
      <x v="2366"/>
      <x v="1680"/>
    </i>
    <i>
      <x v="7891"/>
      <x v="8"/>
      <x v="66"/>
      <x v="64"/>
      <x v="1"/>
      <x v="15"/>
      <x v="2367"/>
      <x v="1681"/>
    </i>
    <i>
      <x v="7892"/>
      <x v="8"/>
      <x v="66"/>
      <x v="64"/>
      <x v="1"/>
      <x v="6"/>
      <x v="2368"/>
      <x v="1682"/>
    </i>
    <i>
      <x v="7893"/>
      <x v="8"/>
      <x v="66"/>
      <x v="64"/>
      <x v="1"/>
      <x v="7"/>
      <x v="2369"/>
      <x v="1683"/>
    </i>
    <i>
      <x v="7894"/>
      <x v="8"/>
      <x v="66"/>
      <x v="64"/>
      <x v="1"/>
      <x v="4"/>
      <x v="2370"/>
      <x v="1684"/>
    </i>
    <i>
      <x v="7895"/>
      <x v="8"/>
      <x v="66"/>
      <x v="64"/>
      <x v="1"/>
      <x v="9"/>
      <x v="2371"/>
      <x v="1685"/>
    </i>
    <i>
      <x v="7896"/>
      <x v="8"/>
      <x v="66"/>
      <x v="64"/>
      <x v="1"/>
      <x v="16"/>
      <x v="2372"/>
      <x v="1686"/>
    </i>
    <i>
      <x v="7897"/>
      <x v="8"/>
      <x v="66"/>
      <x v="64"/>
      <x v="1"/>
      <x v="8"/>
      <x v="2373"/>
      <x v="1687"/>
    </i>
    <i>
      <x v="7898"/>
      <x v="8"/>
      <x v="66"/>
      <x v="64"/>
      <x v="1"/>
      <x v="2"/>
      <x v="2374"/>
      <x v="1688"/>
    </i>
    <i>
      <x v="7899"/>
      <x v="8"/>
      <x v="66"/>
      <x v="64"/>
      <x v="1"/>
      <x v="11"/>
      <x v="2375"/>
      <x v="1689"/>
    </i>
    <i>
      <x v="7900"/>
      <x v="12"/>
      <x v="170"/>
      <x v="53"/>
      <x v="1"/>
      <x v="7"/>
      <x v="2523"/>
      <x v="2141"/>
    </i>
    <i>
      <x v="7901"/>
      <x v="12"/>
      <x v="170"/>
      <x v="53"/>
      <x v="1"/>
      <x v="7"/>
      <x v="2524"/>
      <x v="2142"/>
    </i>
    <i>
      <x v="7902"/>
      <x v="12"/>
      <x v="170"/>
      <x v="53"/>
      <x v="1"/>
      <x v="7"/>
      <x v="2525"/>
      <x v="2143"/>
    </i>
    <i>
      <x v="7903"/>
      <x v="12"/>
      <x v="170"/>
      <x v="53"/>
      <x v="1"/>
      <x v="7"/>
      <x v="2526"/>
      <x v="2144"/>
    </i>
    <i>
      <x v="7904"/>
      <x v="12"/>
      <x v="172"/>
      <x v="53"/>
      <x v="1"/>
      <x v="7"/>
      <x v="2523"/>
      <x v="2145"/>
    </i>
    <i>
      <x v="7905"/>
      <x v="12"/>
      <x v="172"/>
      <x v="53"/>
      <x v="1"/>
      <x v="7"/>
      <x v="2524"/>
      <x v="2146"/>
    </i>
    <i>
      <x v="7906"/>
      <x v="12"/>
      <x v="172"/>
      <x v="53"/>
      <x v="1"/>
      <x v="7"/>
      <x v="2525"/>
      <x v="2147"/>
    </i>
    <i>
      <x v="7907"/>
      <x v="12"/>
      <x v="171"/>
      <x v="53"/>
      <x v="1"/>
      <x v="7"/>
      <x v="2527"/>
      <x v="2148"/>
    </i>
    <i>
      <x v="7908"/>
      <x v="12"/>
      <x v="170"/>
      <x v="53"/>
      <x v="1"/>
      <x v="7"/>
      <x v="2528"/>
      <x v="2149"/>
    </i>
    <i>
      <x v="7909"/>
      <x v="12"/>
      <x v="170"/>
      <x v="53"/>
      <x v="1"/>
      <x v="7"/>
      <x v="2529"/>
      <x v="2150"/>
    </i>
    <i>
      <x v="7910"/>
      <x v="12"/>
      <x v="170"/>
      <x v="53"/>
      <x v="1"/>
      <x v="7"/>
      <x v="2530"/>
      <x v="2151"/>
    </i>
    <i>
      <x v="7911"/>
      <x v="12"/>
      <x v="170"/>
      <x v="53"/>
      <x v="1"/>
      <x v="7"/>
      <x v="2531"/>
      <x v="2152"/>
    </i>
    <i>
      <x v="7912"/>
      <x v="12"/>
      <x v="172"/>
      <x v="53"/>
      <x v="1"/>
      <x v="7"/>
      <x v="2528"/>
      <x v="2153"/>
    </i>
    <i>
      <x v="7913"/>
      <x v="12"/>
      <x v="172"/>
      <x v="53"/>
      <x v="1"/>
      <x v="7"/>
      <x v="2529"/>
      <x v="2154"/>
    </i>
    <i>
      <x v="7914"/>
      <x v="12"/>
      <x v="172"/>
      <x v="53"/>
      <x v="1"/>
      <x v="7"/>
      <x v="2530"/>
      <x v="2155"/>
    </i>
    <i>
      <x v="7915"/>
      <x v="12"/>
      <x v="173"/>
      <x v="53"/>
      <x v="1"/>
      <x v="7"/>
      <x v="2532"/>
      <x v="2156"/>
    </i>
    <i>
      <x v="7916"/>
      <x v="12"/>
      <x v="173"/>
      <x v="53"/>
      <x v="1"/>
      <x v="7"/>
      <x v="2533"/>
      <x v="2157"/>
    </i>
    <i>
      <x v="7917"/>
      <x v="12"/>
      <x v="173"/>
      <x v="53"/>
      <x v="1"/>
      <x v="7"/>
      <x v="2534"/>
      <x v="2158"/>
    </i>
    <i>
      <x v="7918"/>
      <x v="12"/>
      <x v="170"/>
      <x v="53"/>
      <x v="1"/>
      <x v="7"/>
      <x v="2535"/>
      <x v="2159"/>
    </i>
    <i>
      <x v="7919"/>
      <x v="12"/>
      <x v="170"/>
      <x v="53"/>
      <x v="1"/>
      <x v="7"/>
      <x v="2536"/>
      <x v="2160"/>
    </i>
    <i>
      <x v="7920"/>
      <x v="12"/>
      <x v="170"/>
      <x v="53"/>
      <x v="1"/>
      <x v="7"/>
      <x v="2537"/>
      <x v="2161"/>
    </i>
    <i>
      <x v="7921"/>
      <x v="12"/>
      <x v="170"/>
      <x v="53"/>
      <x v="1"/>
      <x v="7"/>
      <x v="2538"/>
      <x v="2162"/>
    </i>
    <i>
      <x v="7922"/>
      <x v="12"/>
      <x v="172"/>
      <x v="53"/>
      <x v="1"/>
      <x v="7"/>
      <x v="2535"/>
      <x v="2163"/>
    </i>
    <i>
      <x v="7923"/>
      <x v="12"/>
      <x v="172"/>
      <x v="53"/>
      <x v="1"/>
      <x v="7"/>
      <x v="2536"/>
      <x v="2164"/>
    </i>
    <i>
      <x v="7924"/>
      <x v="12"/>
      <x v="172"/>
      <x v="53"/>
      <x v="1"/>
      <x v="7"/>
      <x v="2537"/>
      <x v="2165"/>
    </i>
    <i>
      <x v="7925"/>
      <x v="12"/>
      <x v="171"/>
      <x v="53"/>
      <x v="1"/>
      <x v="7"/>
      <x v="2539"/>
      <x v="2166"/>
    </i>
    <i>
      <x v="7926"/>
      <x v="12"/>
      <x v="170"/>
      <x v="53"/>
      <x v="1"/>
      <x v="7"/>
      <x v="2540"/>
      <x v="2167"/>
    </i>
    <i>
      <x v="7927"/>
      <x v="12"/>
      <x v="170"/>
      <x v="53"/>
      <x v="1"/>
      <x v="7"/>
      <x v="2541"/>
      <x v="2168"/>
    </i>
    <i>
      <x v="7928"/>
      <x v="12"/>
      <x v="170"/>
      <x v="53"/>
      <x v="1"/>
      <x v="7"/>
      <x v="2542"/>
      <x v="2169"/>
    </i>
    <i>
      <x v="7929"/>
      <x v="12"/>
      <x v="170"/>
      <x v="53"/>
      <x v="1"/>
      <x v="7"/>
      <x v="2543"/>
      <x v="2170"/>
    </i>
    <i>
      <x v="7930"/>
      <x v="12"/>
      <x v="172"/>
      <x v="53"/>
      <x v="1"/>
      <x v="7"/>
      <x v="2540"/>
      <x v="2171"/>
    </i>
    <i>
      <x v="7931"/>
      <x v="12"/>
      <x v="172"/>
      <x v="53"/>
      <x v="1"/>
      <x v="7"/>
      <x v="2541"/>
      <x v="2172"/>
    </i>
    <i>
      <x v="7932"/>
      <x v="12"/>
      <x v="172"/>
      <x v="53"/>
      <x v="1"/>
      <x v="7"/>
      <x v="2542"/>
      <x v="2173"/>
    </i>
    <i>
      <x v="7933"/>
      <x v="12"/>
      <x v="173"/>
      <x v="53"/>
      <x v="1"/>
      <x v="7"/>
      <x v="2544"/>
      <x v="2174"/>
    </i>
    <i>
      <x v="7934"/>
      <x v="12"/>
      <x v="173"/>
      <x v="53"/>
      <x v="1"/>
      <x v="7"/>
      <x v="2545"/>
      <x v="2175"/>
    </i>
    <i>
      <x v="7935"/>
      <x v="12"/>
      <x v="173"/>
      <x v="53"/>
      <x v="1"/>
      <x v="7"/>
      <x v="2546"/>
      <x v="2176"/>
    </i>
    <i>
      <x v="7936"/>
      <x v="12"/>
      <x v="170"/>
      <x v="53"/>
      <x v="1"/>
      <x v="7"/>
      <x v="2547"/>
      <x v="2177"/>
    </i>
    <i>
      <x v="7937"/>
      <x v="12"/>
      <x v="170"/>
      <x v="53"/>
      <x v="1"/>
      <x v="7"/>
      <x v="2548"/>
      <x v="2178"/>
    </i>
    <i>
      <x v="7938"/>
      <x v="12"/>
      <x v="170"/>
      <x v="53"/>
      <x v="1"/>
      <x v="7"/>
      <x v="2549"/>
      <x v="2179"/>
    </i>
    <i>
      <x v="7939"/>
      <x v="12"/>
      <x v="170"/>
      <x v="53"/>
      <x v="1"/>
      <x v="7"/>
      <x v="2550"/>
      <x v="2180"/>
    </i>
    <i>
      <x v="7940"/>
      <x v="12"/>
      <x v="172"/>
      <x v="53"/>
      <x v="1"/>
      <x v="7"/>
      <x v="2547"/>
      <x v="2181"/>
    </i>
    <i>
      <x v="7941"/>
      <x v="12"/>
      <x v="172"/>
      <x v="53"/>
      <x v="1"/>
      <x v="7"/>
      <x v="2548"/>
      <x v="2182"/>
    </i>
    <i>
      <x v="7942"/>
      <x v="12"/>
      <x v="172"/>
      <x v="53"/>
      <x v="1"/>
      <x v="7"/>
      <x v="2549"/>
      <x v="2183"/>
    </i>
    <i>
      <x v="7943"/>
      <x v="12"/>
      <x v="171"/>
      <x v="53"/>
      <x v="1"/>
      <x v="7"/>
      <x v="2551"/>
      <x v="2184"/>
    </i>
    <i>
      <x v="7944"/>
      <x v="12"/>
      <x v="170"/>
      <x v="53"/>
      <x v="1"/>
      <x v="7"/>
      <x v="2552"/>
      <x v="2185"/>
    </i>
    <i>
      <x v="7945"/>
      <x v="12"/>
      <x v="170"/>
      <x v="53"/>
      <x v="1"/>
      <x v="7"/>
      <x v="2553"/>
      <x v="2186"/>
    </i>
    <i>
      <x v="7946"/>
      <x v="12"/>
      <x v="170"/>
      <x v="53"/>
      <x v="1"/>
      <x v="7"/>
      <x v="2554"/>
      <x v="2187"/>
    </i>
    <i>
      <x v="7947"/>
      <x v="12"/>
      <x v="170"/>
      <x v="53"/>
      <x v="1"/>
      <x v="7"/>
      <x v="2555"/>
      <x v="2188"/>
    </i>
    <i>
      <x v="7948"/>
      <x v="12"/>
      <x v="172"/>
      <x v="53"/>
      <x v="1"/>
      <x v="7"/>
      <x v="2552"/>
      <x v="2189"/>
    </i>
    <i>
      <x v="7949"/>
      <x v="12"/>
      <x v="172"/>
      <x v="53"/>
      <x v="1"/>
      <x v="7"/>
      <x v="2553"/>
      <x v="2190"/>
    </i>
    <i>
      <x v="7950"/>
      <x v="12"/>
      <x v="172"/>
      <x v="53"/>
      <x v="1"/>
      <x v="7"/>
      <x v="2554"/>
      <x v="2191"/>
    </i>
    <i>
      <x v="7951"/>
      <x v="12"/>
      <x v="173"/>
      <x v="53"/>
      <x v="1"/>
      <x v="7"/>
      <x v="2556"/>
      <x v="2192"/>
    </i>
    <i>
      <x v="7952"/>
      <x v="12"/>
      <x v="173"/>
      <x v="53"/>
      <x v="1"/>
      <x v="7"/>
      <x v="2557"/>
      <x v="2193"/>
    </i>
    <i>
      <x v="7953"/>
      <x v="12"/>
      <x v="173"/>
      <x v="53"/>
      <x v="1"/>
      <x v="7"/>
      <x v="2558"/>
      <x v="2194"/>
    </i>
  </rowItems>
  <colItems count="1">
    <i/>
  </colItems>
  <formats count="4">
    <format dxfId="34">
      <pivotArea dataOnly="0" labelOnly="1" outline="0" fieldPosition="0">
        <references count="7">
          <reference field="0" count="1" selected="0">
            <x v="424"/>
          </reference>
          <reference field="3" count="0" selected="0"/>
          <reference field="5" count="0" selected="0"/>
          <reference field="6" count="0" selected="0"/>
          <reference field="7" count="1" selected="0">
            <x v="0"/>
          </reference>
          <reference field="8" count="1" selected="0">
            <x v="0"/>
          </reference>
          <reference field="14" count="1">
            <x v="536"/>
          </reference>
        </references>
      </pivotArea>
    </format>
    <format dxfId="33">
      <pivotArea dataOnly="0" labelOnly="1" outline="0" fieldPosition="0">
        <references count="7">
          <reference field="0" count="1" selected="0">
            <x v="7915"/>
          </reference>
          <reference field="3" count="1" selected="0">
            <x v="12"/>
          </reference>
          <reference field="5" count="0" selected="0"/>
          <reference field="6" count="0" selected="0"/>
          <reference field="7" count="1" selected="0">
            <x v="1"/>
          </reference>
          <reference field="8" count="1" selected="0">
            <x v="7"/>
          </reference>
          <reference field="14" count="1">
            <x v="2532"/>
          </reference>
        </references>
      </pivotArea>
    </format>
    <format dxfId="32">
      <pivotArea dataOnly="0" labelOnly="1" outline="0" fieldPosition="0">
        <references count="7">
          <reference field="0" count="1" selected="0">
            <x v="7951"/>
          </reference>
          <reference field="3" count="1" selected="0">
            <x v="12"/>
          </reference>
          <reference field="5" count="0" selected="0"/>
          <reference field="6" count="0" selected="0"/>
          <reference field="7" count="1" selected="0">
            <x v="1"/>
          </reference>
          <reference field="8" count="1" selected="0">
            <x v="7"/>
          </reference>
          <reference field="14" count="1">
            <x v="2556"/>
          </reference>
        </references>
      </pivotArea>
    </format>
    <format dxfId="31">
      <pivotArea dataOnly="0" labelOnly="1" outline="0" fieldPosition="0">
        <references count="7">
          <reference field="0" count="1" selected="0">
            <x v="7915"/>
          </reference>
          <reference field="3" count="1" selected="0">
            <x v="12"/>
          </reference>
          <reference field="5" count="0" selected="0"/>
          <reference field="6" count="0" selected="0"/>
          <reference field="7" count="1" selected="0">
            <x v="1"/>
          </reference>
          <reference field="8" count="1" selected="0">
            <x v="7"/>
          </reference>
          <reference field="14" count="1">
            <x v="25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395618-C9A9-4B05-82B3-6BB840224A10}" name="TablaDinámica8" cacheId="3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V3:W20"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7"/>
  </rowFields>
  <rowItems count="17">
    <i>
      <x v="41"/>
      <x v="1"/>
    </i>
    <i>
      <x v="264"/>
      <x v="3"/>
    </i>
    <i>
      <x v="265"/>
      <x v="3"/>
    </i>
    <i>
      <x v="266"/>
      <x v="3"/>
    </i>
    <i>
      <x v="267"/>
      <x v="3"/>
    </i>
    <i>
      <x v="268"/>
      <x v="3"/>
    </i>
    <i>
      <x v="269"/>
      <x v="3"/>
    </i>
    <i>
      <x v="270"/>
      <x v="3"/>
    </i>
    <i>
      <x v="271"/>
      <x v="3"/>
    </i>
    <i>
      <x v="272"/>
      <x v="3"/>
    </i>
    <i>
      <x v="273"/>
      <x v="3"/>
    </i>
    <i>
      <x v="274"/>
      <x v="3"/>
    </i>
    <i>
      <x v="275"/>
      <x v="3"/>
    </i>
    <i>
      <x v="276"/>
      <x v="3"/>
    </i>
    <i>
      <x v="277"/>
      <x v="3"/>
    </i>
    <i>
      <x v="278"/>
      <x v="3"/>
    </i>
    <i>
      <x v="279"/>
      <x v="3"/>
    </i>
  </rowItems>
  <colItems count="1">
    <i/>
  </colItems>
  <formats count="1">
    <format dxfId="0">
      <pivotArea field="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809155-381C-4432-9B5A-1D7F5E378C6D}" name="TablaDinámica7" cacheId="3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M3:M130"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74">
        <item m="1" x="129"/>
        <item m="1" x="242"/>
        <item m="1" x="137"/>
        <item m="1" x="128"/>
        <item m="1" x="194"/>
        <item m="1" x="235"/>
        <item m="1" x="156"/>
        <item m="1" x="157"/>
        <item x="2"/>
        <item m="1" x="187"/>
        <item m="1" x="240"/>
        <item m="1" x="249"/>
        <item m="1" x="246"/>
        <item m="1" x="213"/>
        <item x="7"/>
        <item m="1" x="257"/>
        <item m="1" x="272"/>
        <item m="1" x="254"/>
        <item m="1" x="134"/>
        <item m="1" x="191"/>
        <item m="1" x="172"/>
        <item m="1" x="202"/>
        <item x="15"/>
        <item x="16"/>
        <item x="17"/>
        <item m="1" x="151"/>
        <item m="1" x="264"/>
        <item m="1" x="236"/>
        <item m="1" x="190"/>
        <item m="1" x="247"/>
        <item x="23"/>
        <item x="24"/>
        <item x="25"/>
        <item x="26"/>
        <item m="1" x="162"/>
        <item m="1" x="230"/>
        <item m="1" x="133"/>
        <item m="1" x="173"/>
        <item m="1" x="130"/>
        <item m="1" x="155"/>
        <item m="1" x="153"/>
        <item m="1" x="177"/>
        <item m="1" x="203"/>
        <item x="33"/>
        <item x="34"/>
        <item x="35"/>
        <item m="1" x="188"/>
        <item m="1" x="185"/>
        <item m="1" x="199"/>
        <item m="1" x="238"/>
        <item m="1" x="210"/>
        <item m="1" x="243"/>
        <item x="40"/>
        <item m="1" x="189"/>
        <item m="1" x="201"/>
        <item m="1" x="239"/>
        <item m="1" x="206"/>
        <item m="1" x="232"/>
        <item m="1" x="237"/>
        <item m="1" x="138"/>
        <item m="1" x="220"/>
        <item m="1" x="165"/>
        <item m="1" x="255"/>
        <item x="47"/>
        <item x="48"/>
        <item x="49"/>
        <item x="50"/>
        <item m="1" x="258"/>
        <item m="1" x="231"/>
        <item m="1" x="198"/>
        <item m="1" x="250"/>
        <item m="1" x="184"/>
        <item x="52"/>
        <item m="1" x="227"/>
        <item x="54"/>
        <item m="1" x="175"/>
        <item m="1" x="196"/>
        <item m="1" x="256"/>
        <item m="1" x="251"/>
        <item m="1" x="208"/>
        <item m="1" x="260"/>
        <item m="1" x="195"/>
        <item m="1" x="145"/>
        <item m="1" x="132"/>
        <item m="1" x="170"/>
        <item m="1" x="216"/>
        <item m="1" x="228"/>
        <item m="1" x="265"/>
        <item m="1" x="160"/>
        <item m="1" x="176"/>
        <item m="1" x="158"/>
        <item m="1" x="221"/>
        <item m="1" x="169"/>
        <item m="1" x="248"/>
        <item m="1" x="146"/>
        <item m="1" x="215"/>
        <item m="1" x="150"/>
        <item m="1" x="140"/>
        <item m="1" x="186"/>
        <item m="1" x="197"/>
        <item m="1" x="180"/>
        <item m="1" x="252"/>
        <item m="1" x="224"/>
        <item m="1" x="200"/>
        <item m="1" x="159"/>
        <item m="1" x="142"/>
        <item m="1" x="136"/>
        <item x="69"/>
        <item x="70"/>
        <item x="71"/>
        <item x="72"/>
        <item x="73"/>
        <item x="74"/>
        <item m="1" x="253"/>
        <item m="1" x="168"/>
        <item m="1" x="139"/>
        <item m="1" x="217"/>
        <item m="1" x="154"/>
        <item m="1" x="161"/>
        <item m="1" x="171"/>
        <item m="1" x="229"/>
        <item m="1" x="222"/>
        <item m="1" x="174"/>
        <item m="1" x="226"/>
        <item m="1" x="271"/>
        <item m="1" x="225"/>
        <item m="1" x="270"/>
        <item m="1" x="141"/>
        <item m="1" x="244"/>
        <item m="1" x="245"/>
        <item m="1" x="147"/>
        <item m="1" x="131"/>
        <item m="1" x="181"/>
        <item x="75"/>
        <item m="1" x="266"/>
        <item m="1" x="179"/>
        <item m="1" x="152"/>
        <item m="1" x="211"/>
        <item m="1" x="207"/>
        <item m="1" x="135"/>
        <item m="1" x="166"/>
        <item m="1" x="263"/>
        <item m="1" x="267"/>
        <item m="1" x="273"/>
        <item m="1" x="193"/>
        <item m="1" x="204"/>
        <item m="1" x="233"/>
        <item m="1" x="127"/>
        <item m="1" x="149"/>
        <item m="1" x="144"/>
        <item m="1" x="178"/>
        <item m="1" x="212"/>
        <item x="99"/>
        <item x="100"/>
        <item m="1" x="262"/>
        <item m="1" x="234"/>
        <item m="1" x="259"/>
        <item m="1" x="268"/>
        <item m="1" x="269"/>
        <item m="1" x="164"/>
        <item m="1" x="261"/>
        <item m="1" x="218"/>
        <item m="1" x="214"/>
        <item m="1" x="205"/>
        <item x="105"/>
        <item m="1" x="241"/>
        <item x="107"/>
        <item x="108"/>
        <item x="109"/>
        <item x="110"/>
        <item x="111"/>
        <item x="112"/>
        <item x="113"/>
        <item x="114"/>
        <item m="1" x="192"/>
        <item m="1" x="209"/>
        <item m="1" x="163"/>
        <item m="1" x="219"/>
        <item m="1" x="223"/>
        <item x="119"/>
        <item x="120"/>
        <item m="1" x="143"/>
        <item m="1" x="182"/>
        <item m="1" x="167"/>
        <item m="1" x="183"/>
        <item m="1" x="148"/>
        <item x="0"/>
        <item x="1"/>
        <item x="3"/>
        <item x="4"/>
        <item x="5"/>
        <item x="6"/>
        <item x="8"/>
        <item x="9"/>
        <item x="10"/>
        <item x="11"/>
        <item x="12"/>
        <item x="13"/>
        <item x="14"/>
        <item x="18"/>
        <item x="19"/>
        <item x="20"/>
        <item x="21"/>
        <item x="22"/>
        <item x="27"/>
        <item x="28"/>
        <item x="29"/>
        <item x="30"/>
        <item x="31"/>
        <item x="32"/>
        <item x="36"/>
        <item x="37"/>
        <item x="38"/>
        <item x="39"/>
        <item x="41"/>
        <item x="42"/>
        <item x="43"/>
        <item x="44"/>
        <item x="45"/>
        <item x="46"/>
        <item x="51"/>
        <item x="53"/>
        <item x="55"/>
        <item x="56"/>
        <item x="57"/>
        <item x="58"/>
        <item x="59"/>
        <item x="60"/>
        <item x="61"/>
        <item x="62"/>
        <item x="63"/>
        <item x="64"/>
        <item x="65"/>
        <item x="66"/>
        <item x="67"/>
        <item x="68"/>
        <item x="76"/>
        <item x="77"/>
        <item x="78"/>
        <item x="79"/>
        <item x="80"/>
        <item x="81"/>
        <item x="82"/>
        <item x="83"/>
        <item x="84"/>
        <item x="85"/>
        <item x="86"/>
        <item x="87"/>
        <item x="88"/>
        <item x="89"/>
        <item x="90"/>
        <item x="91"/>
        <item x="92"/>
        <item x="93"/>
        <item x="94"/>
        <item x="95"/>
        <item x="96"/>
        <item x="97"/>
        <item x="98"/>
        <item x="101"/>
        <item x="102"/>
        <item x="103"/>
        <item x="104"/>
        <item x="106"/>
        <item x="115"/>
        <item x="116"/>
        <item x="117"/>
        <item x="118"/>
        <item x="121"/>
        <item x="122"/>
        <item x="123"/>
        <item x="124"/>
        <item x="125"/>
        <item x="12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127">
    <i>
      <x v="8"/>
    </i>
    <i>
      <x v="14"/>
    </i>
    <i>
      <x v="22"/>
    </i>
    <i>
      <x v="23"/>
    </i>
    <i>
      <x v="24"/>
    </i>
    <i>
      <x v="30"/>
    </i>
    <i>
      <x v="31"/>
    </i>
    <i>
      <x v="32"/>
    </i>
    <i>
      <x v="33"/>
    </i>
    <i>
      <x v="43"/>
    </i>
    <i>
      <x v="44"/>
    </i>
    <i>
      <x v="45"/>
    </i>
    <i>
      <x v="52"/>
    </i>
    <i>
      <x v="63"/>
    </i>
    <i>
      <x v="64"/>
    </i>
    <i>
      <x v="65"/>
    </i>
    <i>
      <x v="66"/>
    </i>
    <i>
      <x v="72"/>
    </i>
    <i>
      <x v="74"/>
    </i>
    <i>
      <x v="107"/>
    </i>
    <i>
      <x v="108"/>
    </i>
    <i>
      <x v="109"/>
    </i>
    <i>
      <x v="110"/>
    </i>
    <i>
      <x v="111"/>
    </i>
    <i>
      <x v="112"/>
    </i>
    <i>
      <x v="133"/>
    </i>
    <i>
      <x v="152"/>
    </i>
    <i>
      <x v="153"/>
    </i>
    <i>
      <x v="164"/>
    </i>
    <i>
      <x v="166"/>
    </i>
    <i>
      <x v="167"/>
    </i>
    <i>
      <x v="168"/>
    </i>
    <i>
      <x v="169"/>
    </i>
    <i>
      <x v="170"/>
    </i>
    <i>
      <x v="171"/>
    </i>
    <i>
      <x v="172"/>
    </i>
    <i>
      <x v="173"/>
    </i>
    <i>
      <x v="179"/>
    </i>
    <i>
      <x v="180"/>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70BAEC-3674-494C-96AA-D9E473F73853}" name="TablaDinámica4" cacheId="3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R3:R5"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2">
    <i>
      <x v="1"/>
    </i>
    <i>
      <x v="3"/>
    </i>
  </rowItems>
  <colItems count="1">
    <i/>
  </colItems>
  <formats count="2">
    <format dxfId="2">
      <pivotArea field="7" type="button" dataOnly="0" labelOnly="1" outline="0" axis="axisRow" fieldPosition="0"/>
    </format>
    <format dxfId="1">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A83917-5E13-474F-96F2-8E7D27320B6A}" name="TablaDinámica6" cacheId="3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I3:I24"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3"/>
        <item x="1"/>
        <item m="1" x="21"/>
        <item x="2"/>
        <item m="1" x="22"/>
        <item x="4"/>
        <item x="5"/>
        <item m="1" x="27"/>
        <item x="7"/>
        <item m="1" x="28"/>
        <item x="9"/>
        <item m="1" x="24"/>
        <item x="11"/>
        <item x="12"/>
        <item x="13"/>
        <item x="14"/>
        <item x="15"/>
        <item x="16"/>
        <item x="10"/>
        <item x="8"/>
        <item x="17"/>
        <item x="18"/>
        <item x="6"/>
        <item x="19"/>
        <item x="2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21">
    <i>
      <x/>
    </i>
    <i>
      <x v="4"/>
    </i>
    <i>
      <x v="7"/>
    </i>
    <i>
      <x v="9"/>
    </i>
    <i>
      <x v="11"/>
    </i>
    <i>
      <x v="12"/>
    </i>
    <i>
      <x v="14"/>
    </i>
    <i>
      <x v="16"/>
    </i>
    <i>
      <x v="18"/>
    </i>
    <i>
      <x v="19"/>
    </i>
    <i>
      <x v="20"/>
    </i>
    <i>
      <x v="21"/>
    </i>
    <i>
      <x v="22"/>
    </i>
    <i>
      <x v="23"/>
    </i>
    <i>
      <x v="24"/>
    </i>
    <i>
      <x v="25"/>
    </i>
    <i>
      <x v="26"/>
    </i>
    <i>
      <x v="27"/>
    </i>
    <i>
      <x v="28"/>
    </i>
    <i>
      <x v="29"/>
    </i>
    <i>
      <x v="30"/>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73AC8F-C5B9-4397-881E-C87F4D5D72DB}" name="TablaDinámica3" cacheId="3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E3:E41"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38">
    <i>
      <x v="10"/>
    </i>
    <i>
      <x v="32"/>
    </i>
    <i>
      <x v="44"/>
    </i>
    <i>
      <x v="48"/>
    </i>
    <i>
      <x v="49"/>
    </i>
    <i>
      <x v="51"/>
    </i>
    <i>
      <x v="53"/>
    </i>
    <i>
      <x v="54"/>
    </i>
    <i>
      <x v="55"/>
    </i>
    <i>
      <x v="56"/>
    </i>
    <i>
      <x v="57"/>
    </i>
    <i>
      <x v="59"/>
    </i>
    <i>
      <x v="60"/>
    </i>
    <i>
      <x v="61"/>
    </i>
    <i>
      <x v="62"/>
    </i>
    <i>
      <x v="64"/>
    </i>
    <i>
      <x v="65"/>
    </i>
    <i>
      <x v="66"/>
    </i>
    <i>
      <x v="67"/>
    </i>
    <i>
      <x v="68"/>
    </i>
    <i>
      <x v="69"/>
    </i>
    <i>
      <x v="70"/>
    </i>
    <i>
      <x v="72"/>
    </i>
    <i>
      <x v="75"/>
    </i>
    <i>
      <x v="76"/>
    </i>
    <i>
      <x v="79"/>
    </i>
    <i>
      <x v="80"/>
    </i>
    <i>
      <x v="81"/>
    </i>
    <i>
      <x v="82"/>
    </i>
    <i>
      <x v="83"/>
    </i>
    <i>
      <x v="84"/>
    </i>
    <i>
      <x v="85"/>
    </i>
    <i>
      <x v="86"/>
    </i>
    <i>
      <x v="87"/>
    </i>
    <i>
      <x v="92"/>
    </i>
    <i>
      <x v="93"/>
    </i>
    <i>
      <x v="94"/>
    </i>
    <i>
      <x v="9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DDEFDB-163D-4CC1-8861-7C6E3CE442CC}" name="TablaDinámica2" cacheId="3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A108"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2"/>
        <item x="5"/>
        <item m="1" x="165"/>
        <item m="1" x="127"/>
        <item m="1" x="147"/>
        <item m="1" x="136"/>
        <item m="1" x="123"/>
        <item m="1" x="159"/>
        <item x="0"/>
        <item x="3"/>
        <item m="1" x="125"/>
        <item m="1" x="137"/>
        <item x="10"/>
        <item m="1" x="161"/>
        <item m="1" x="160"/>
        <item m="1" x="116"/>
        <item x="13"/>
        <item m="1" x="157"/>
        <item m="1" x="143"/>
        <item m="1" x="117"/>
        <item m="1" x="145"/>
        <item m="1" x="110"/>
        <item m="1" x="142"/>
        <item x="19"/>
        <item m="1" x="135"/>
        <item m="1" x="152"/>
        <item m="1" x="113"/>
        <item m="1" x="109"/>
        <item m="1" x="118"/>
        <item m="1" x="155"/>
        <item m="1" x="166"/>
        <item m="1" x="138"/>
        <item x="24"/>
        <item x="25"/>
        <item x="26"/>
        <item m="1" x="114"/>
        <item m="1" x="111"/>
        <item m="1" x="141"/>
        <item x="27"/>
        <item x="28"/>
        <item x="29"/>
        <item x="30"/>
        <item m="1" x="156"/>
        <item x="32"/>
        <item x="33"/>
        <item m="1" x="129"/>
        <item m="1" x="158"/>
        <item m="1" x="120"/>
        <item m="1" x="108"/>
        <item m="1" x="153"/>
        <item m="1" x="131"/>
        <item m="1" x="140"/>
        <item m="1" x="124"/>
        <item x="38"/>
        <item x="39"/>
        <item m="1" x="128"/>
        <item m="1" x="133"/>
        <item m="1" x="126"/>
        <item m="1" x="162"/>
        <item m="1" x="150"/>
        <item m="1" x="144"/>
        <item x="42"/>
        <item x="43"/>
        <item x="44"/>
        <item x="45"/>
        <item m="1" x="163"/>
        <item m="1" x="164"/>
        <item m="1" x="107"/>
        <item m="1" x="130"/>
        <item m="1" x="148"/>
        <item x="48"/>
        <item x="49"/>
        <item x="50"/>
        <item x="51"/>
        <item x="52"/>
        <item m="1" x="119"/>
        <item m="1" x="146"/>
        <item m="1" x="167"/>
        <item x="2"/>
        <item x="4"/>
        <item m="1" x="105"/>
        <item x="7"/>
        <item x="8"/>
        <item x="12"/>
        <item m="1" x="154"/>
        <item x="15"/>
        <item x="16"/>
        <item x="17"/>
        <item x="18"/>
        <item x="20"/>
        <item x="21"/>
        <item x="58"/>
        <item x="22"/>
        <item x="23"/>
        <item x="34"/>
        <item x="36"/>
        <item x="37"/>
        <item x="11"/>
        <item m="1" x="115"/>
        <item x="57"/>
        <item x="59"/>
        <item x="60"/>
        <item m="1" x="139"/>
        <item m="1" x="122"/>
        <item x="63"/>
        <item x="64"/>
        <item x="65"/>
        <item x="66"/>
        <item x="67"/>
        <item m="1" x="149"/>
        <item m="1" x="134"/>
        <item m="1" x="106"/>
        <item x="56"/>
        <item x="61"/>
        <item x="62"/>
        <item x="68"/>
        <item x="69"/>
        <item x="1"/>
        <item x="14"/>
        <item x="35"/>
        <item x="41"/>
        <item x="70"/>
        <item x="71"/>
        <item x="72"/>
        <item x="74"/>
        <item x="75"/>
        <item x="76"/>
        <item x="77"/>
        <item x="78"/>
        <item x="79"/>
        <item x="80"/>
        <item x="81"/>
        <item x="82"/>
        <item x="83"/>
        <item x="84"/>
        <item x="85"/>
        <item m="1" x="132"/>
        <item x="87"/>
        <item x="88"/>
        <item x="89"/>
        <item x="90"/>
        <item x="91"/>
        <item x="92"/>
        <item x="93"/>
        <item x="94"/>
        <item x="96"/>
        <item x="97"/>
        <item m="1" x="121"/>
        <item x="99"/>
        <item x="100"/>
        <item x="6"/>
        <item x="9"/>
        <item x="31"/>
        <item x="46"/>
        <item x="47"/>
        <item x="53"/>
        <item x="54"/>
        <item x="55"/>
        <item x="73"/>
        <item x="86"/>
        <item x="95"/>
        <item x="98"/>
        <item x="101"/>
        <item x="102"/>
        <item x="103"/>
        <item x="10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105">
    <i>
      <x/>
    </i>
    <i>
      <x v="3"/>
    </i>
    <i>
      <x v="10"/>
    </i>
    <i>
      <x v="11"/>
    </i>
    <i>
      <x v="14"/>
    </i>
    <i>
      <x v="18"/>
    </i>
    <i>
      <x v="25"/>
    </i>
    <i>
      <x v="34"/>
    </i>
    <i>
      <x v="35"/>
    </i>
    <i>
      <x v="36"/>
    </i>
    <i>
      <x v="40"/>
    </i>
    <i>
      <x v="41"/>
    </i>
    <i>
      <x v="42"/>
    </i>
    <i>
      <x v="43"/>
    </i>
    <i>
      <x v="45"/>
    </i>
    <i>
      <x v="46"/>
    </i>
    <i>
      <x v="55"/>
    </i>
    <i>
      <x v="56"/>
    </i>
    <i>
      <x v="63"/>
    </i>
    <i>
      <x v="64"/>
    </i>
    <i>
      <x v="65"/>
    </i>
    <i>
      <x v="66"/>
    </i>
    <i>
      <x v="72"/>
    </i>
    <i>
      <x v="73"/>
    </i>
    <i>
      <x v="74"/>
    </i>
    <i>
      <x v="75"/>
    </i>
    <i>
      <x v="76"/>
    </i>
    <i>
      <x v="80"/>
    </i>
    <i>
      <x v="81"/>
    </i>
    <i>
      <x v="83"/>
    </i>
    <i>
      <x v="84"/>
    </i>
    <i>
      <x v="85"/>
    </i>
    <i>
      <x v="87"/>
    </i>
    <i>
      <x v="88"/>
    </i>
    <i>
      <x v="89"/>
    </i>
    <i>
      <x v="90"/>
    </i>
    <i>
      <x v="91"/>
    </i>
    <i>
      <x v="92"/>
    </i>
    <i>
      <x v="93"/>
    </i>
    <i>
      <x v="94"/>
    </i>
    <i>
      <x v="95"/>
    </i>
    <i>
      <x v="96"/>
    </i>
    <i>
      <x v="97"/>
    </i>
    <i>
      <x v="98"/>
    </i>
    <i>
      <x v="99"/>
    </i>
    <i>
      <x v="101"/>
    </i>
    <i>
      <x v="102"/>
    </i>
    <i>
      <x v="103"/>
    </i>
    <i>
      <x v="106"/>
    </i>
    <i>
      <x v="107"/>
    </i>
    <i>
      <x v="108"/>
    </i>
    <i>
      <x v="109"/>
    </i>
    <i>
      <x v="110"/>
    </i>
    <i>
      <x v="114"/>
    </i>
    <i>
      <x v="115"/>
    </i>
    <i>
      <x v="116"/>
    </i>
    <i>
      <x v="117"/>
    </i>
    <i>
      <x v="118"/>
    </i>
    <i>
      <x v="119"/>
    </i>
    <i>
      <x v="120"/>
    </i>
    <i>
      <x v="121"/>
    </i>
    <i>
      <x v="122"/>
    </i>
    <i>
      <x v="123"/>
    </i>
    <i>
      <x v="124"/>
    </i>
    <i>
      <x v="125"/>
    </i>
    <i>
      <x v="126"/>
    </i>
    <i>
      <x v="127"/>
    </i>
    <i>
      <x v="128"/>
    </i>
    <i>
      <x v="129"/>
    </i>
    <i>
      <x v="130"/>
    </i>
    <i>
      <x v="131"/>
    </i>
    <i>
      <x v="132"/>
    </i>
    <i>
      <x v="133"/>
    </i>
    <i>
      <x v="134"/>
    </i>
    <i>
      <x v="135"/>
    </i>
    <i>
      <x v="136"/>
    </i>
    <i>
      <x v="137"/>
    </i>
    <i>
      <x v="139"/>
    </i>
    <i>
      <x v="140"/>
    </i>
    <i>
      <x v="141"/>
    </i>
    <i>
      <x v="142"/>
    </i>
    <i>
      <x v="143"/>
    </i>
    <i>
      <x v="144"/>
    </i>
    <i>
      <x v="145"/>
    </i>
    <i>
      <x v="146"/>
    </i>
    <i>
      <x v="147"/>
    </i>
    <i>
      <x v="148"/>
    </i>
    <i>
      <x v="150"/>
    </i>
    <i>
      <x v="151"/>
    </i>
    <i>
      <x v="152"/>
    </i>
    <i>
      <x v="153"/>
    </i>
    <i>
      <x v="154"/>
    </i>
    <i>
      <x v="155"/>
    </i>
    <i>
      <x v="156"/>
    </i>
    <i>
      <x v="157"/>
    </i>
    <i>
      <x v="158"/>
    </i>
    <i>
      <x v="159"/>
    </i>
    <i>
      <x v="160"/>
    </i>
    <i>
      <x v="161"/>
    </i>
    <i>
      <x v="162"/>
    </i>
    <i>
      <x v="163"/>
    </i>
    <i>
      <x v="164"/>
    </i>
    <i>
      <x v="165"/>
    </i>
    <i>
      <x v="166"/>
    </i>
    <i>
      <x v="16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F3C8-DE76-42AA-BDDD-06E650266948}" name="TablaDinámica2" cacheId="3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G1696" firstHeaderRow="1" firstDataRow="1" firstDataCol="7"/>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2"/>
        <item x="5"/>
        <item m="1" x="165"/>
        <item m="1" x="127"/>
        <item m="1" x="147"/>
        <item m="1" x="136"/>
        <item m="1" x="123"/>
        <item m="1" x="159"/>
        <item x="0"/>
        <item x="3"/>
        <item m="1" x="125"/>
        <item m="1" x="137"/>
        <item x="10"/>
        <item m="1" x="161"/>
        <item m="1" x="160"/>
        <item m="1" x="116"/>
        <item x="13"/>
        <item m="1" x="157"/>
        <item m="1" x="143"/>
        <item m="1" x="117"/>
        <item m="1" x="145"/>
        <item m="1" x="110"/>
        <item m="1" x="142"/>
        <item x="19"/>
        <item m="1" x="135"/>
        <item m="1" x="152"/>
        <item m="1" x="113"/>
        <item m="1" x="109"/>
        <item m="1" x="118"/>
        <item m="1" x="155"/>
        <item m="1" x="166"/>
        <item m="1" x="138"/>
        <item x="24"/>
        <item x="25"/>
        <item x="26"/>
        <item m="1" x="114"/>
        <item m="1" x="111"/>
        <item m="1" x="141"/>
        <item x="27"/>
        <item x="28"/>
        <item x="29"/>
        <item x="30"/>
        <item m="1" x="156"/>
        <item x="32"/>
        <item x="33"/>
        <item m="1" x="129"/>
        <item m="1" x="158"/>
        <item m="1" x="120"/>
        <item m="1" x="108"/>
        <item m="1" x="153"/>
        <item m="1" x="131"/>
        <item m="1" x="140"/>
        <item m="1" x="124"/>
        <item x="38"/>
        <item x="39"/>
        <item m="1" x="128"/>
        <item m="1" x="133"/>
        <item m="1" x="126"/>
        <item m="1" x="162"/>
        <item m="1" x="150"/>
        <item m="1" x="144"/>
        <item x="42"/>
        <item x="43"/>
        <item x="44"/>
        <item x="45"/>
        <item m="1" x="163"/>
        <item m="1" x="164"/>
        <item m="1" x="107"/>
        <item m="1" x="130"/>
        <item m="1" x="148"/>
        <item x="48"/>
        <item x="49"/>
        <item x="50"/>
        <item x="51"/>
        <item x="52"/>
        <item m="1" x="119"/>
        <item m="1" x="146"/>
        <item m="1" x="167"/>
        <item x="2"/>
        <item x="4"/>
        <item m="1" x="105"/>
        <item x="7"/>
        <item x="8"/>
        <item x="12"/>
        <item m="1" x="154"/>
        <item x="15"/>
        <item x="16"/>
        <item x="17"/>
        <item x="18"/>
        <item x="20"/>
        <item x="21"/>
        <item x="58"/>
        <item x="22"/>
        <item x="23"/>
        <item x="34"/>
        <item x="36"/>
        <item x="37"/>
        <item x="11"/>
        <item m="1" x="115"/>
        <item x="57"/>
        <item x="59"/>
        <item x="60"/>
        <item m="1" x="139"/>
        <item m="1" x="122"/>
        <item x="63"/>
        <item x="64"/>
        <item x="65"/>
        <item x="66"/>
        <item x="67"/>
        <item m="1" x="149"/>
        <item m="1" x="134"/>
        <item m="1" x="106"/>
        <item x="56"/>
        <item x="61"/>
        <item x="62"/>
        <item x="68"/>
        <item x="69"/>
        <item x="1"/>
        <item x="14"/>
        <item x="35"/>
        <item x="41"/>
        <item x="70"/>
        <item x="71"/>
        <item x="72"/>
        <item x="74"/>
        <item x="75"/>
        <item x="76"/>
        <item x="77"/>
        <item x="78"/>
        <item x="79"/>
        <item x="80"/>
        <item x="81"/>
        <item x="82"/>
        <item x="83"/>
        <item x="84"/>
        <item x="85"/>
        <item m="1" x="132"/>
        <item x="87"/>
        <item x="88"/>
        <item x="89"/>
        <item x="90"/>
        <item x="91"/>
        <item x="92"/>
        <item x="93"/>
        <item x="94"/>
        <item x="96"/>
        <item x="97"/>
        <item m="1" x="121"/>
        <item x="99"/>
        <item x="100"/>
        <item x="6"/>
        <item x="9"/>
        <item x="31"/>
        <item x="46"/>
        <item x="47"/>
        <item x="53"/>
        <item x="54"/>
        <item x="55"/>
        <item x="73"/>
        <item x="86"/>
        <item x="95"/>
        <item x="98"/>
        <item x="101"/>
        <item x="102"/>
        <item x="103"/>
        <item x="104"/>
      </items>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3"/>
        <item x="1"/>
        <item m="1" x="21"/>
        <item x="2"/>
        <item m="1" x="22"/>
        <item x="4"/>
        <item x="5"/>
        <item m="1" x="27"/>
        <item x="7"/>
        <item m="1" x="28"/>
        <item x="9"/>
        <item m="1" x="24"/>
        <item x="11"/>
        <item x="12"/>
        <item x="13"/>
        <item x="14"/>
        <item x="15"/>
        <item x="16"/>
        <item x="10"/>
        <item x="8"/>
        <item x="17"/>
        <item x="18"/>
        <item x="6"/>
        <item x="19"/>
        <item x="20"/>
      </items>
      <extLst>
        <ext xmlns:x14="http://schemas.microsoft.com/office/spreadsheetml/2009/9/main" uri="{2946ED86-A175-432a-8AC1-64E0C546D7DE}">
          <x14:pivotField fillDownLabels="1"/>
        </ext>
      </extLst>
    </pivotField>
    <pivotField axis="axisRow" compact="0" outline="0" showAll="0" defaultSubtotal="0">
      <items count="274">
        <item m="1" x="129"/>
        <item m="1" x="242"/>
        <item m="1" x="137"/>
        <item m="1" x="128"/>
        <item m="1" x="194"/>
        <item m="1" x="235"/>
        <item m="1" x="156"/>
        <item m="1" x="157"/>
        <item x="2"/>
        <item m="1" x="187"/>
        <item m="1" x="240"/>
        <item m="1" x="249"/>
        <item m="1" x="246"/>
        <item m="1" x="213"/>
        <item x="7"/>
        <item m="1" x="257"/>
        <item m="1" x="272"/>
        <item m="1" x="254"/>
        <item m="1" x="134"/>
        <item m="1" x="191"/>
        <item m="1" x="172"/>
        <item m="1" x="202"/>
        <item x="15"/>
        <item x="16"/>
        <item x="17"/>
        <item m="1" x="151"/>
        <item m="1" x="264"/>
        <item m="1" x="236"/>
        <item m="1" x="190"/>
        <item m="1" x="247"/>
        <item x="23"/>
        <item x="24"/>
        <item x="25"/>
        <item x="26"/>
        <item m="1" x="162"/>
        <item m="1" x="230"/>
        <item m="1" x="133"/>
        <item m="1" x="173"/>
        <item m="1" x="130"/>
        <item m="1" x="155"/>
        <item m="1" x="153"/>
        <item m="1" x="177"/>
        <item m="1" x="203"/>
        <item x="33"/>
        <item x="34"/>
        <item x="35"/>
        <item m="1" x="188"/>
        <item m="1" x="185"/>
        <item m="1" x="199"/>
        <item m="1" x="238"/>
        <item m="1" x="210"/>
        <item m="1" x="243"/>
        <item x="40"/>
        <item m="1" x="189"/>
        <item m="1" x="201"/>
        <item m="1" x="239"/>
        <item m="1" x="206"/>
        <item m="1" x="232"/>
        <item m="1" x="237"/>
        <item m="1" x="138"/>
        <item m="1" x="220"/>
        <item m="1" x="165"/>
        <item m="1" x="255"/>
        <item x="47"/>
        <item x="48"/>
        <item x="49"/>
        <item x="50"/>
        <item m="1" x="258"/>
        <item m="1" x="231"/>
        <item m="1" x="198"/>
        <item m="1" x="250"/>
        <item m="1" x="184"/>
        <item x="52"/>
        <item m="1" x="227"/>
        <item x="54"/>
        <item m="1" x="175"/>
        <item m="1" x="196"/>
        <item m="1" x="256"/>
        <item m="1" x="251"/>
        <item m="1" x="208"/>
        <item m="1" x="260"/>
        <item m="1" x="195"/>
        <item m="1" x="145"/>
        <item m="1" x="132"/>
        <item m="1" x="170"/>
        <item m="1" x="216"/>
        <item m="1" x="228"/>
        <item m="1" x="265"/>
        <item m="1" x="160"/>
        <item m="1" x="176"/>
        <item m="1" x="158"/>
        <item m="1" x="221"/>
        <item m="1" x="169"/>
        <item m="1" x="248"/>
        <item m="1" x="146"/>
        <item m="1" x="215"/>
        <item m="1" x="150"/>
        <item m="1" x="140"/>
        <item m="1" x="186"/>
        <item m="1" x="197"/>
        <item m="1" x="180"/>
        <item m="1" x="252"/>
        <item m="1" x="224"/>
        <item m="1" x="200"/>
        <item m="1" x="159"/>
        <item m="1" x="142"/>
        <item m="1" x="136"/>
        <item x="69"/>
        <item x="70"/>
        <item x="71"/>
        <item x="72"/>
        <item x="73"/>
        <item x="74"/>
        <item m="1" x="253"/>
        <item m="1" x="168"/>
        <item m="1" x="139"/>
        <item m="1" x="217"/>
        <item m="1" x="154"/>
        <item m="1" x="161"/>
        <item m="1" x="171"/>
        <item m="1" x="229"/>
        <item m="1" x="222"/>
        <item m="1" x="174"/>
        <item m="1" x="226"/>
        <item m="1" x="271"/>
        <item m="1" x="225"/>
        <item m="1" x="270"/>
        <item m="1" x="141"/>
        <item m="1" x="244"/>
        <item m="1" x="245"/>
        <item m="1" x="147"/>
        <item m="1" x="131"/>
        <item m="1" x="181"/>
        <item x="75"/>
        <item m="1" x="266"/>
        <item m="1" x="179"/>
        <item m="1" x="152"/>
        <item m="1" x="211"/>
        <item m="1" x="207"/>
        <item m="1" x="135"/>
        <item m="1" x="166"/>
        <item m="1" x="263"/>
        <item m="1" x="267"/>
        <item m="1" x="273"/>
        <item m="1" x="193"/>
        <item m="1" x="204"/>
        <item m="1" x="233"/>
        <item m="1" x="127"/>
        <item m="1" x="149"/>
        <item m="1" x="144"/>
        <item m="1" x="178"/>
        <item m="1" x="212"/>
        <item x="99"/>
        <item x="100"/>
        <item m="1" x="262"/>
        <item m="1" x="234"/>
        <item m="1" x="259"/>
        <item m="1" x="268"/>
        <item m="1" x="269"/>
        <item m="1" x="164"/>
        <item m="1" x="261"/>
        <item m="1" x="218"/>
        <item m="1" x="214"/>
        <item m="1" x="205"/>
        <item x="105"/>
        <item m="1" x="241"/>
        <item x="107"/>
        <item x="108"/>
        <item x="109"/>
        <item x="110"/>
        <item x="111"/>
        <item x="112"/>
        <item x="113"/>
        <item x="114"/>
        <item m="1" x="192"/>
        <item m="1" x="209"/>
        <item m="1" x="163"/>
        <item m="1" x="219"/>
        <item m="1" x="223"/>
        <item x="119"/>
        <item x="120"/>
        <item m="1" x="143"/>
        <item m="1" x="182"/>
        <item m="1" x="167"/>
        <item m="1" x="183"/>
        <item m="1" x="148"/>
        <item x="0"/>
        <item x="1"/>
        <item x="3"/>
        <item x="4"/>
        <item x="5"/>
        <item x="6"/>
        <item x="8"/>
        <item x="9"/>
        <item x="10"/>
        <item x="11"/>
        <item x="12"/>
        <item x="13"/>
        <item x="14"/>
        <item x="18"/>
        <item x="19"/>
        <item x="20"/>
        <item x="21"/>
        <item x="22"/>
        <item x="27"/>
        <item x="28"/>
        <item x="29"/>
        <item x="30"/>
        <item x="31"/>
        <item x="32"/>
        <item x="36"/>
        <item x="37"/>
        <item x="38"/>
        <item x="39"/>
        <item x="41"/>
        <item x="42"/>
        <item x="43"/>
        <item x="44"/>
        <item x="45"/>
        <item x="46"/>
        <item x="51"/>
        <item x="53"/>
        <item x="55"/>
        <item x="56"/>
        <item x="57"/>
        <item x="58"/>
        <item x="59"/>
        <item x="60"/>
        <item x="61"/>
        <item x="62"/>
        <item x="63"/>
        <item x="64"/>
        <item x="65"/>
        <item x="66"/>
        <item x="67"/>
        <item x="68"/>
        <item x="76"/>
        <item x="77"/>
        <item x="78"/>
        <item x="79"/>
        <item x="80"/>
        <item x="81"/>
        <item x="82"/>
        <item x="83"/>
        <item x="84"/>
        <item x="85"/>
        <item x="86"/>
        <item x="87"/>
        <item x="88"/>
        <item x="89"/>
        <item x="90"/>
        <item x="91"/>
        <item x="92"/>
        <item x="93"/>
        <item x="94"/>
        <item x="95"/>
        <item x="96"/>
        <item x="97"/>
        <item x="98"/>
        <item x="101"/>
        <item x="102"/>
        <item x="103"/>
        <item x="104"/>
        <item x="106"/>
        <item x="115"/>
        <item x="116"/>
        <item x="117"/>
        <item x="118"/>
        <item x="121"/>
        <item x="122"/>
        <item x="123"/>
        <item x="124"/>
        <item x="125"/>
        <item x="12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m="1" x="42"/>
        <item m="1" x="50"/>
        <item m="1" x="46"/>
        <item m="1" x="39"/>
        <item m="1" x="35"/>
        <item m="1" x="51"/>
        <item m="1" x="47"/>
        <item m="1" x="40"/>
        <item m="1" x="36"/>
        <item m="1" x="52"/>
        <item m="1" x="48"/>
        <item m="1" x="43"/>
        <item m="1" x="37"/>
        <item m="1" x="41"/>
        <item m="1" x="49"/>
        <item m="1" x="45"/>
        <item m="1" x="38"/>
        <item m="1" x="44"/>
        <item x="0"/>
        <item x="1"/>
        <item x="2"/>
        <item x="3"/>
        <item x="4"/>
        <item x="5"/>
        <item x="6"/>
        <item x="7"/>
        <item x="8"/>
        <item x="9"/>
        <item x="10"/>
        <item x="11"/>
        <item x="12"/>
        <item x="13"/>
        <item x="14"/>
        <item x="15"/>
        <item x="16"/>
        <item x="17"/>
        <item x="18"/>
        <item x="19"/>
        <item x="20"/>
        <item x="21"/>
        <item x="22"/>
        <item x="23"/>
        <item x="24"/>
        <item x="25"/>
        <item x="26"/>
        <item x="27"/>
        <item x="33"/>
        <item x="28"/>
        <item x="29"/>
        <item x="30"/>
        <item x="31"/>
        <item x="32"/>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6"/>
    <field x="7"/>
    <field x="9"/>
    <field x="8"/>
    <field x="10"/>
    <field x="19"/>
  </rowFields>
  <rowItems count="1693">
    <i>
      <x/>
      <x v="81"/>
      <x v="1"/>
      <x/>
      <x v="41"/>
      <x v="219"/>
      <x v="35"/>
    </i>
    <i r="3">
      <x v="4"/>
      <x v="41"/>
      <x v="219"/>
      <x v="18"/>
    </i>
    <i r="6">
      <x v="35"/>
    </i>
    <i r="2">
      <x v="3"/>
      <x/>
      <x v="264"/>
      <x v="219"/>
      <x v="37"/>
    </i>
    <i r="4">
      <x v="265"/>
      <x v="219"/>
      <x v="50"/>
    </i>
    <i r="4">
      <x v="266"/>
      <x v="219"/>
      <x v="38"/>
    </i>
    <i r="4">
      <x v="267"/>
      <x v="219"/>
      <x v="46"/>
    </i>
    <i r="4">
      <x v="268"/>
      <x v="219"/>
      <x v="39"/>
    </i>
    <i r="4">
      <x v="269"/>
      <x v="219"/>
      <x v="44"/>
    </i>
    <i r="4">
      <x v="270"/>
      <x v="219"/>
      <x v="45"/>
    </i>
    <i r="4">
      <x v="271"/>
      <x v="219"/>
      <x v="49"/>
    </i>
    <i r="4">
      <x v="272"/>
      <x v="219"/>
      <x v="47"/>
    </i>
    <i r="4">
      <x v="273"/>
      <x v="219"/>
      <x v="42"/>
    </i>
    <i r="4">
      <x v="274"/>
      <x v="219"/>
      <x v="51"/>
    </i>
    <i r="4">
      <x v="275"/>
      <x v="219"/>
      <x v="41"/>
    </i>
    <i r="4">
      <x v="276"/>
      <x v="219"/>
      <x v="36"/>
    </i>
    <i r="4">
      <x v="277"/>
      <x v="219"/>
      <x v="40"/>
    </i>
    <i r="4">
      <x v="278"/>
      <x v="219"/>
      <x v="43"/>
    </i>
    <i r="4">
      <x v="279"/>
      <x v="219"/>
      <x v="48"/>
    </i>
    <i r="3">
      <x v="7"/>
      <x v="264"/>
      <x v="219"/>
      <x v="20"/>
    </i>
    <i r="6">
      <x v="37"/>
    </i>
    <i r="4">
      <x v="265"/>
      <x v="219"/>
      <x v="33"/>
    </i>
    <i r="6">
      <x v="50"/>
    </i>
    <i r="4">
      <x v="266"/>
      <x v="219"/>
      <x v="21"/>
    </i>
    <i r="6">
      <x v="38"/>
    </i>
    <i r="4">
      <x v="267"/>
      <x v="219"/>
      <x v="29"/>
    </i>
    <i r="6">
      <x v="46"/>
    </i>
    <i r="4">
      <x v="268"/>
      <x v="219"/>
      <x v="22"/>
    </i>
    <i r="6">
      <x v="39"/>
    </i>
    <i r="4">
      <x v="269"/>
      <x v="219"/>
      <x v="27"/>
    </i>
    <i r="6">
      <x v="44"/>
    </i>
    <i r="4">
      <x v="270"/>
      <x v="219"/>
      <x v="28"/>
    </i>
    <i r="6">
      <x v="45"/>
    </i>
    <i r="4">
      <x v="271"/>
      <x v="219"/>
      <x v="32"/>
    </i>
    <i r="6">
      <x v="49"/>
    </i>
    <i r="4">
      <x v="272"/>
      <x v="219"/>
      <x v="30"/>
    </i>
    <i r="6">
      <x v="47"/>
    </i>
    <i r="4">
      <x v="273"/>
      <x v="219"/>
      <x v="25"/>
    </i>
    <i r="6">
      <x v="42"/>
    </i>
    <i r="4">
      <x v="274"/>
      <x v="219"/>
      <x v="34"/>
    </i>
    <i r="6">
      <x v="51"/>
    </i>
    <i r="4">
      <x v="275"/>
      <x v="219"/>
      <x v="24"/>
    </i>
    <i r="6">
      <x v="41"/>
    </i>
    <i r="4">
      <x v="276"/>
      <x v="219"/>
      <x v="19"/>
    </i>
    <i r="6">
      <x v="36"/>
    </i>
    <i r="4">
      <x v="277"/>
      <x v="219"/>
      <x v="23"/>
    </i>
    <i r="6">
      <x v="40"/>
    </i>
    <i r="4">
      <x v="278"/>
      <x v="219"/>
      <x v="26"/>
    </i>
    <i r="6">
      <x v="43"/>
    </i>
    <i r="4">
      <x v="279"/>
      <x v="219"/>
      <x v="31"/>
    </i>
    <i r="6">
      <x v="48"/>
    </i>
    <i>
      <x v="3"/>
      <x v="82"/>
      <x v="1"/>
      <x v="4"/>
      <x v="41"/>
      <x v="189"/>
      <x v="35"/>
    </i>
    <i r="2">
      <x v="3"/>
      <x v="7"/>
      <x v="264"/>
      <x v="189"/>
      <x v="37"/>
    </i>
    <i r="4">
      <x v="266"/>
      <x v="189"/>
      <x v="38"/>
    </i>
    <i r="4">
      <x v="267"/>
      <x v="189"/>
      <x v="46"/>
    </i>
    <i r="4">
      <x v="268"/>
      <x v="189"/>
      <x v="39"/>
    </i>
    <i r="4">
      <x v="269"/>
      <x v="189"/>
      <x v="44"/>
    </i>
    <i r="4">
      <x v="270"/>
      <x v="189"/>
      <x v="45"/>
    </i>
    <i r="4">
      <x v="271"/>
      <x v="189"/>
      <x v="49"/>
    </i>
    <i r="4">
      <x v="272"/>
      <x v="189"/>
      <x v="47"/>
    </i>
    <i r="4">
      <x v="273"/>
      <x v="189"/>
      <x v="42"/>
    </i>
    <i r="4">
      <x v="274"/>
      <x v="189"/>
      <x v="51"/>
    </i>
    <i r="4">
      <x v="275"/>
      <x v="189"/>
      <x v="41"/>
    </i>
    <i r="4">
      <x v="276"/>
      <x v="189"/>
      <x v="36"/>
    </i>
    <i r="4">
      <x v="277"/>
      <x v="189"/>
      <x v="40"/>
    </i>
    <i r="4">
      <x v="278"/>
      <x v="189"/>
      <x v="43"/>
    </i>
    <i r="4">
      <x v="279"/>
      <x v="189"/>
      <x v="48"/>
    </i>
    <i>
      <x v="10"/>
      <x v="49"/>
      <x v="1"/>
      <x v="4"/>
      <x v="41"/>
      <x v="186"/>
      <x v="18"/>
    </i>
    <i r="2">
      <x v="3"/>
      <x v="7"/>
      <x v="264"/>
      <x v="186"/>
      <x v="20"/>
    </i>
    <i r="4">
      <x v="265"/>
      <x v="186"/>
      <x v="33"/>
    </i>
    <i r="4">
      <x v="266"/>
      <x v="186"/>
      <x v="21"/>
    </i>
    <i r="4">
      <x v="267"/>
      <x v="186"/>
      <x v="29"/>
    </i>
    <i r="4">
      <x v="268"/>
      <x v="186"/>
      <x v="22"/>
    </i>
    <i r="4">
      <x v="269"/>
      <x v="186"/>
      <x v="27"/>
    </i>
    <i r="4">
      <x v="270"/>
      <x v="186"/>
      <x v="28"/>
    </i>
    <i r="4">
      <x v="271"/>
      <x v="186"/>
      <x v="32"/>
    </i>
    <i r="4">
      <x v="272"/>
      <x v="186"/>
      <x v="30"/>
    </i>
    <i r="4">
      <x v="273"/>
      <x v="186"/>
      <x v="25"/>
    </i>
    <i r="4">
      <x v="274"/>
      <x v="186"/>
      <x v="34"/>
    </i>
    <i r="4">
      <x v="275"/>
      <x v="186"/>
      <x v="24"/>
    </i>
    <i r="4">
      <x v="276"/>
      <x v="186"/>
      <x v="19"/>
    </i>
    <i r="4">
      <x v="277"/>
      <x v="186"/>
      <x v="23"/>
    </i>
    <i r="4">
      <x v="278"/>
      <x v="186"/>
      <x v="26"/>
    </i>
    <i r="4">
      <x v="279"/>
      <x v="186"/>
      <x v="31"/>
    </i>
    <i>
      <x v="11"/>
      <x v="49"/>
      <x v="1"/>
      <x/>
      <x v="41"/>
      <x v="188"/>
      <x v="52"/>
    </i>
    <i>
      <x v="14"/>
      <x v="64"/>
      <x v="1"/>
      <x v="7"/>
      <x v="41"/>
      <x v="193"/>
      <x v="52"/>
    </i>
    <i>
      <x v="18"/>
      <x v="66"/>
      <x v="1"/>
      <x v="4"/>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25"/>
      <x v="66"/>
      <x v="1"/>
      <x/>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34"/>
      <x v="67"/>
      <x v="1"/>
      <x v="4"/>
      <x v="41"/>
      <x v="208"/>
      <x v="18"/>
    </i>
    <i r="3">
      <x v="7"/>
      <x v="41"/>
      <x v="208"/>
      <x v="18"/>
    </i>
    <i r="6">
      <x v="52"/>
    </i>
    <i r="3">
      <x v="24"/>
      <x v="41"/>
      <x v="208"/>
      <x v="35"/>
    </i>
    <i r="2">
      <x v="3"/>
      <x v="7"/>
      <x v="264"/>
      <x v="208"/>
      <x v="20"/>
    </i>
    <i r="4">
      <x v="265"/>
      <x v="208"/>
      <x v="33"/>
    </i>
    <i r="4">
      <x v="266"/>
      <x v="208"/>
      <x v="21"/>
    </i>
    <i r="4">
      <x v="267"/>
      <x v="208"/>
      <x v="29"/>
    </i>
    <i r="4">
      <x v="268"/>
      <x v="208"/>
      <x v="22"/>
    </i>
    <i r="4">
      <x v="269"/>
      <x v="208"/>
      <x v="27"/>
    </i>
    <i r="4">
      <x v="270"/>
      <x v="208"/>
      <x v="28"/>
    </i>
    <i r="4">
      <x v="271"/>
      <x v="208"/>
      <x v="32"/>
    </i>
    <i r="4">
      <x v="272"/>
      <x v="208"/>
      <x v="30"/>
    </i>
    <i r="4">
      <x v="273"/>
      <x v="208"/>
      <x v="25"/>
    </i>
    <i r="4">
      <x v="274"/>
      <x v="208"/>
      <x v="34"/>
    </i>
    <i r="4">
      <x v="275"/>
      <x v="208"/>
      <x v="24"/>
    </i>
    <i r="4">
      <x v="276"/>
      <x v="208"/>
      <x v="19"/>
    </i>
    <i r="4">
      <x v="277"/>
      <x v="208"/>
      <x v="23"/>
    </i>
    <i r="4">
      <x v="278"/>
      <x v="208"/>
      <x v="26"/>
    </i>
    <i r="4">
      <x v="279"/>
      <x v="208"/>
      <x v="31"/>
    </i>
    <i r="3">
      <x v="18"/>
      <x v="264"/>
      <x v="208"/>
      <x v="37"/>
    </i>
    <i r="4">
      <x v="265"/>
      <x v="208"/>
      <x v="50"/>
    </i>
    <i r="4">
      <x v="266"/>
      <x v="208"/>
      <x v="38"/>
    </i>
    <i r="4">
      <x v="267"/>
      <x v="208"/>
      <x v="46"/>
    </i>
    <i r="4">
      <x v="268"/>
      <x v="208"/>
      <x v="39"/>
    </i>
    <i r="4">
      <x v="269"/>
      <x v="208"/>
      <x v="44"/>
    </i>
    <i r="4">
      <x v="270"/>
      <x v="208"/>
      <x v="45"/>
    </i>
    <i r="4">
      <x v="271"/>
      <x v="208"/>
      <x v="49"/>
    </i>
    <i r="4">
      <x v="272"/>
      <x v="208"/>
      <x v="47"/>
    </i>
    <i r="4">
      <x v="273"/>
      <x v="208"/>
      <x v="42"/>
    </i>
    <i r="4">
      <x v="274"/>
      <x v="208"/>
      <x v="51"/>
    </i>
    <i r="4">
      <x v="275"/>
      <x v="208"/>
      <x v="41"/>
    </i>
    <i r="4">
      <x v="276"/>
      <x v="208"/>
      <x v="36"/>
    </i>
    <i r="4">
      <x v="277"/>
      <x v="208"/>
      <x v="40"/>
    </i>
    <i r="4">
      <x v="278"/>
      <x v="208"/>
      <x v="43"/>
    </i>
    <i r="4">
      <x v="279"/>
      <x v="208"/>
      <x v="48"/>
    </i>
    <i>
      <x v="35"/>
      <x v="68"/>
      <x v="1"/>
      <x v="4"/>
      <x v="41"/>
      <x v="209"/>
      <x v="18"/>
    </i>
    <i r="3">
      <x v="7"/>
      <x v="41"/>
      <x v="209"/>
      <x v="52"/>
    </i>
    <i r="3">
      <x v="24"/>
      <x v="41"/>
      <x v="209"/>
      <x v="35"/>
    </i>
    <i r="2">
      <x v="3"/>
      <x v="7"/>
      <x v="264"/>
      <x v="209"/>
      <x v="20"/>
    </i>
    <i r="4">
      <x v="265"/>
      <x v="209"/>
      <x v="33"/>
    </i>
    <i r="4">
      <x v="266"/>
      <x v="209"/>
      <x v="21"/>
    </i>
    <i r="4">
      <x v="267"/>
      <x v="209"/>
      <x v="29"/>
    </i>
    <i r="4">
      <x v="268"/>
      <x v="209"/>
      <x v="22"/>
    </i>
    <i r="4">
      <x v="269"/>
      <x v="209"/>
      <x v="27"/>
    </i>
    <i r="4">
      <x v="270"/>
      <x v="209"/>
      <x v="28"/>
    </i>
    <i r="4">
      <x v="271"/>
      <x v="209"/>
      <x v="32"/>
    </i>
    <i r="4">
      <x v="272"/>
      <x v="209"/>
      <x v="30"/>
    </i>
    <i r="4">
      <x v="273"/>
      <x v="209"/>
      <x v="25"/>
    </i>
    <i r="4">
      <x v="274"/>
      <x v="209"/>
      <x v="34"/>
    </i>
    <i r="4">
      <x v="275"/>
      <x v="209"/>
      <x v="24"/>
    </i>
    <i r="4">
      <x v="276"/>
      <x v="209"/>
      <x v="19"/>
    </i>
    <i r="4">
      <x v="277"/>
      <x v="209"/>
      <x v="23"/>
    </i>
    <i r="4">
      <x v="278"/>
      <x v="209"/>
      <x v="26"/>
    </i>
    <i r="4">
      <x v="279"/>
      <x v="209"/>
      <x v="31"/>
    </i>
    <i r="3">
      <x v="18"/>
      <x v="264"/>
      <x v="209"/>
      <x v="37"/>
    </i>
    <i r="4">
      <x v="265"/>
      <x v="209"/>
      <x v="50"/>
    </i>
    <i r="4">
      <x v="266"/>
      <x v="209"/>
      <x v="38"/>
    </i>
    <i r="4">
      <x v="267"/>
      <x v="209"/>
      <x v="46"/>
    </i>
    <i r="4">
      <x v="268"/>
      <x v="209"/>
      <x v="39"/>
    </i>
    <i r="4">
      <x v="269"/>
      <x v="209"/>
      <x v="44"/>
    </i>
    <i r="4">
      <x v="270"/>
      <x v="209"/>
      <x v="45"/>
    </i>
    <i r="4">
      <x v="271"/>
      <x v="209"/>
      <x v="49"/>
    </i>
    <i r="4">
      <x v="272"/>
      <x v="209"/>
      <x v="47"/>
    </i>
    <i r="4">
      <x v="273"/>
      <x v="209"/>
      <x v="42"/>
    </i>
    <i r="4">
      <x v="274"/>
      <x v="209"/>
      <x v="51"/>
    </i>
    <i r="4">
      <x v="275"/>
      <x v="209"/>
      <x v="41"/>
    </i>
    <i r="4">
      <x v="276"/>
      <x v="209"/>
      <x v="36"/>
    </i>
    <i r="4">
      <x v="277"/>
      <x v="209"/>
      <x v="40"/>
    </i>
    <i r="4">
      <x v="278"/>
      <x v="209"/>
      <x v="43"/>
    </i>
    <i r="4">
      <x v="279"/>
      <x v="209"/>
      <x v="48"/>
    </i>
    <i>
      <x v="36"/>
      <x v="32"/>
      <x v="1"/>
      <x v="7"/>
      <x v="41"/>
      <x v="43"/>
      <x v="18"/>
    </i>
    <i r="5">
      <x v="44"/>
      <x v="52"/>
    </i>
    <i r="5">
      <x v="45"/>
      <x v="52"/>
    </i>
    <i r="2">
      <x v="3"/>
      <x v="7"/>
      <x v="264"/>
      <x v="43"/>
      <x v="20"/>
    </i>
    <i r="4">
      <x v="265"/>
      <x v="43"/>
      <x v="33"/>
    </i>
    <i r="4">
      <x v="266"/>
      <x v="43"/>
      <x v="21"/>
    </i>
    <i r="4">
      <x v="267"/>
      <x v="43"/>
      <x v="29"/>
    </i>
    <i r="4">
      <x v="268"/>
      <x v="43"/>
      <x v="22"/>
    </i>
    <i r="4">
      <x v="269"/>
      <x v="43"/>
      <x v="27"/>
    </i>
    <i r="4">
      <x v="270"/>
      <x v="43"/>
      <x v="28"/>
    </i>
    <i r="4">
      <x v="271"/>
      <x v="43"/>
      <x v="32"/>
    </i>
    <i r="4">
      <x v="272"/>
      <x v="43"/>
      <x v="30"/>
    </i>
    <i r="4">
      <x v="273"/>
      <x v="43"/>
      <x v="25"/>
    </i>
    <i r="4">
      <x v="274"/>
      <x v="43"/>
      <x v="34"/>
    </i>
    <i r="4">
      <x v="275"/>
      <x v="43"/>
      <x v="24"/>
    </i>
    <i r="4">
      <x v="276"/>
      <x v="43"/>
      <x v="19"/>
    </i>
    <i r="4">
      <x v="277"/>
      <x v="43"/>
      <x v="23"/>
    </i>
    <i r="4">
      <x v="278"/>
      <x v="43"/>
      <x v="26"/>
    </i>
    <i r="4">
      <x v="279"/>
      <x v="43"/>
      <x v="31"/>
    </i>
    <i>
      <x v="40"/>
      <x v="70"/>
      <x v="1"/>
      <x v="4"/>
      <x v="41"/>
      <x v="211"/>
      <x v="52"/>
    </i>
    <i r="3">
      <x v="7"/>
      <x v="41"/>
      <x v="211"/>
      <x v="18"/>
    </i>
    <i r="2">
      <x v="3"/>
      <x v="7"/>
      <x v="264"/>
      <x v="211"/>
      <x v="20"/>
    </i>
    <i r="4">
      <x v="265"/>
      <x v="211"/>
      <x v="33"/>
    </i>
    <i r="4">
      <x v="266"/>
      <x v="211"/>
      <x v="21"/>
    </i>
    <i r="4">
      <x v="267"/>
      <x v="211"/>
      <x v="29"/>
    </i>
    <i r="4">
      <x v="268"/>
      <x v="211"/>
      <x v="22"/>
    </i>
    <i r="4">
      <x v="269"/>
      <x v="211"/>
      <x v="27"/>
    </i>
    <i r="4">
      <x v="270"/>
      <x v="211"/>
      <x v="28"/>
    </i>
    <i r="4">
      <x v="271"/>
      <x v="211"/>
      <x v="32"/>
    </i>
    <i r="4">
      <x v="272"/>
      <x v="211"/>
      <x v="30"/>
    </i>
    <i r="4">
      <x v="273"/>
      <x v="211"/>
      <x v="25"/>
    </i>
    <i r="4">
      <x v="274"/>
      <x v="211"/>
      <x v="34"/>
    </i>
    <i r="4">
      <x v="275"/>
      <x v="211"/>
      <x v="24"/>
    </i>
    <i r="4">
      <x v="276"/>
      <x v="211"/>
      <x v="19"/>
    </i>
    <i r="4">
      <x v="277"/>
      <x v="211"/>
      <x v="23"/>
    </i>
    <i r="4">
      <x v="278"/>
      <x v="211"/>
      <x v="26"/>
    </i>
    <i r="4">
      <x v="279"/>
      <x v="211"/>
      <x v="31"/>
    </i>
    <i>
      <x v="41"/>
      <x v="59"/>
      <x v="1"/>
      <x/>
      <x v="41"/>
      <x v="212"/>
      <x v="35"/>
    </i>
    <i r="2">
      <x v="3"/>
      <x/>
      <x v="264"/>
      <x v="212"/>
      <x v="37"/>
    </i>
    <i r="4">
      <x v="265"/>
      <x v="212"/>
      <x v="50"/>
    </i>
    <i r="4">
      <x v="266"/>
      <x v="212"/>
      <x v="38"/>
    </i>
    <i r="4">
      <x v="267"/>
      <x v="212"/>
      <x v="46"/>
    </i>
    <i r="4">
      <x v="268"/>
      <x v="212"/>
      <x v="39"/>
    </i>
    <i r="4">
      <x v="269"/>
      <x v="212"/>
      <x v="44"/>
    </i>
    <i r="4">
      <x v="270"/>
      <x v="212"/>
      <x v="45"/>
    </i>
    <i r="4">
      <x v="271"/>
      <x v="212"/>
      <x v="49"/>
    </i>
    <i r="4">
      <x v="272"/>
      <x v="212"/>
      <x v="47"/>
    </i>
    <i r="4">
      <x v="273"/>
      <x v="212"/>
      <x v="42"/>
    </i>
    <i r="4">
      <x v="274"/>
      <x v="212"/>
      <x v="51"/>
    </i>
    <i r="4">
      <x v="275"/>
      <x v="212"/>
      <x v="41"/>
    </i>
    <i r="4">
      <x v="276"/>
      <x v="212"/>
      <x v="36"/>
    </i>
    <i r="4">
      <x v="277"/>
      <x v="212"/>
      <x v="40"/>
    </i>
    <i r="4">
      <x v="278"/>
      <x v="212"/>
      <x v="43"/>
    </i>
    <i r="4">
      <x v="279"/>
      <x v="212"/>
      <x v="48"/>
    </i>
    <i>
      <x v="42"/>
      <x v="59"/>
      <x v="1"/>
      <x/>
      <x v="41"/>
      <x v="213"/>
      <x v="35"/>
    </i>
    <i r="2">
      <x v="3"/>
      <x/>
      <x v="264"/>
      <x v="213"/>
      <x v="37"/>
    </i>
    <i r="4">
      <x v="265"/>
      <x v="213"/>
      <x v="50"/>
    </i>
    <i r="4">
      <x v="266"/>
      <x v="213"/>
      <x v="38"/>
    </i>
    <i r="4">
      <x v="267"/>
      <x v="213"/>
      <x v="46"/>
    </i>
    <i r="4">
      <x v="268"/>
      <x v="213"/>
      <x v="39"/>
    </i>
    <i r="4">
      <x v="269"/>
      <x v="213"/>
      <x v="44"/>
    </i>
    <i r="4">
      <x v="270"/>
      <x v="213"/>
      <x v="45"/>
    </i>
    <i r="4">
      <x v="271"/>
      <x v="213"/>
      <x v="49"/>
    </i>
    <i r="4">
      <x v="272"/>
      <x v="213"/>
      <x v="47"/>
    </i>
    <i r="4">
      <x v="273"/>
      <x v="213"/>
      <x v="42"/>
    </i>
    <i r="4">
      <x v="274"/>
      <x v="213"/>
      <x v="51"/>
    </i>
    <i r="4">
      <x v="275"/>
      <x v="213"/>
      <x v="41"/>
    </i>
    <i r="4">
      <x v="276"/>
      <x v="213"/>
      <x v="36"/>
    </i>
    <i r="4">
      <x v="277"/>
      <x v="213"/>
      <x v="40"/>
    </i>
    <i r="4">
      <x v="278"/>
      <x v="213"/>
      <x v="43"/>
    </i>
    <i r="4">
      <x v="279"/>
      <x v="213"/>
      <x v="48"/>
    </i>
    <i>
      <x v="43"/>
      <x v="79"/>
      <x v="1"/>
      <x v="4"/>
      <x v="41"/>
      <x v="52"/>
      <x v="52"/>
    </i>
    <i r="5">
      <x v="110"/>
      <x v="18"/>
    </i>
    <i r="3">
      <x v="20"/>
      <x v="41"/>
      <x v="112"/>
      <x v="35"/>
    </i>
    <i r="2">
      <x v="3"/>
      <x v="7"/>
      <x v="264"/>
      <x v="110"/>
      <x v="20"/>
    </i>
    <i r="4">
      <x v="265"/>
      <x v="110"/>
      <x v="33"/>
    </i>
    <i r="4">
      <x v="266"/>
      <x v="110"/>
      <x v="21"/>
    </i>
    <i r="4">
      <x v="267"/>
      <x v="110"/>
      <x v="29"/>
    </i>
    <i r="4">
      <x v="268"/>
      <x v="110"/>
      <x v="22"/>
    </i>
    <i r="4">
      <x v="269"/>
      <x v="110"/>
      <x v="27"/>
    </i>
    <i r="4">
      <x v="270"/>
      <x v="110"/>
      <x v="28"/>
    </i>
    <i r="4">
      <x v="271"/>
      <x v="110"/>
      <x v="32"/>
    </i>
    <i r="4">
      <x v="272"/>
      <x v="110"/>
      <x v="30"/>
    </i>
    <i r="4">
      <x v="273"/>
      <x v="110"/>
      <x v="25"/>
    </i>
    <i r="4">
      <x v="274"/>
      <x v="110"/>
      <x v="34"/>
    </i>
    <i r="4">
      <x v="275"/>
      <x v="110"/>
      <x v="24"/>
    </i>
    <i r="4">
      <x v="276"/>
      <x v="110"/>
      <x v="19"/>
    </i>
    <i r="4">
      <x v="277"/>
      <x v="110"/>
      <x v="23"/>
    </i>
    <i r="4">
      <x v="278"/>
      <x v="110"/>
      <x v="26"/>
    </i>
    <i r="4">
      <x v="279"/>
      <x v="110"/>
      <x v="31"/>
    </i>
    <i r="3">
      <x v="21"/>
      <x v="264"/>
      <x v="112"/>
      <x v="37"/>
    </i>
    <i r="4">
      <x v="265"/>
      <x v="112"/>
      <x v="50"/>
    </i>
    <i r="4">
      <x v="266"/>
      <x v="112"/>
      <x v="38"/>
    </i>
    <i r="4">
      <x v="267"/>
      <x v="112"/>
      <x v="46"/>
    </i>
    <i r="4">
      <x v="268"/>
      <x v="112"/>
      <x v="39"/>
    </i>
    <i r="4">
      <x v="269"/>
      <x v="112"/>
      <x v="44"/>
    </i>
    <i r="4">
      <x v="270"/>
      <x v="112"/>
      <x v="45"/>
    </i>
    <i r="4">
      <x v="271"/>
      <x v="112"/>
      <x v="49"/>
    </i>
    <i r="4">
      <x v="272"/>
      <x v="112"/>
      <x v="47"/>
    </i>
    <i r="4">
      <x v="273"/>
      <x v="112"/>
      <x v="42"/>
    </i>
    <i r="4">
      <x v="274"/>
      <x v="112"/>
      <x v="51"/>
    </i>
    <i r="4">
      <x v="275"/>
      <x v="112"/>
      <x v="41"/>
    </i>
    <i r="4">
      <x v="276"/>
      <x v="112"/>
      <x v="36"/>
    </i>
    <i r="4">
      <x v="277"/>
      <x v="112"/>
      <x v="40"/>
    </i>
    <i r="4">
      <x v="278"/>
      <x v="112"/>
      <x v="43"/>
    </i>
    <i r="4">
      <x v="279"/>
      <x v="112"/>
      <x v="48"/>
    </i>
    <i>
      <x v="45"/>
      <x v="44"/>
      <x v="1"/>
      <x v="14"/>
      <x v="41"/>
      <x v="215"/>
      <x v="52"/>
    </i>
    <i>
      <x v="46"/>
      <x v="44"/>
      <x v="1"/>
      <x v="4"/>
      <x v="41"/>
      <x v="216"/>
      <x v="18"/>
    </i>
    <i r="2">
      <x v="3"/>
      <x v="7"/>
      <x v="264"/>
      <x v="216"/>
      <x v="20"/>
    </i>
    <i r="4">
      <x v="265"/>
      <x v="216"/>
      <x v="33"/>
    </i>
    <i r="4">
      <x v="266"/>
      <x v="216"/>
      <x v="21"/>
    </i>
    <i r="4">
      <x v="267"/>
      <x v="216"/>
      <x v="29"/>
    </i>
    <i r="4">
      <x v="268"/>
      <x v="216"/>
      <x v="22"/>
    </i>
    <i r="4">
      <x v="269"/>
      <x v="216"/>
      <x v="27"/>
    </i>
    <i r="4">
      <x v="270"/>
      <x v="216"/>
      <x v="28"/>
    </i>
    <i r="4">
      <x v="271"/>
      <x v="216"/>
      <x v="32"/>
    </i>
    <i r="4">
      <x v="272"/>
      <x v="216"/>
      <x v="30"/>
    </i>
    <i r="4">
      <x v="273"/>
      <x v="216"/>
      <x v="25"/>
    </i>
    <i r="4">
      <x v="274"/>
      <x v="216"/>
      <x v="34"/>
    </i>
    <i r="4">
      <x v="275"/>
      <x v="216"/>
      <x v="24"/>
    </i>
    <i r="4">
      <x v="276"/>
      <x v="216"/>
      <x v="19"/>
    </i>
    <i r="4">
      <x v="277"/>
      <x v="216"/>
      <x v="23"/>
    </i>
    <i r="4">
      <x v="278"/>
      <x v="216"/>
      <x v="26"/>
    </i>
    <i r="4">
      <x v="279"/>
      <x v="216"/>
      <x v="31"/>
    </i>
    <i>
      <x v="55"/>
      <x v="64"/>
      <x v="1"/>
      <x v="7"/>
      <x v="41"/>
      <x v="193"/>
      <x v="52"/>
    </i>
    <i>
      <x v="56"/>
      <x v="10"/>
      <x v="1"/>
      <x v="9"/>
      <x v="41"/>
      <x v="220"/>
      <x v="35"/>
    </i>
    <i r="2">
      <x v="3"/>
      <x/>
      <x v="264"/>
      <x v="220"/>
      <x v="37"/>
    </i>
    <i r="4">
      <x v="265"/>
      <x v="220"/>
      <x v="50"/>
    </i>
    <i r="4">
      <x v="266"/>
      <x v="220"/>
      <x v="38"/>
    </i>
    <i r="4">
      <x v="267"/>
      <x v="220"/>
      <x v="46"/>
    </i>
    <i r="4">
      <x v="268"/>
      <x v="220"/>
      <x v="39"/>
    </i>
    <i r="4">
      <x v="269"/>
      <x v="220"/>
      <x v="44"/>
    </i>
    <i r="4">
      <x v="270"/>
      <x v="220"/>
      <x v="45"/>
    </i>
    <i r="4">
      <x v="271"/>
      <x v="220"/>
      <x v="49"/>
    </i>
    <i r="4">
      <x v="272"/>
      <x v="220"/>
      <x v="47"/>
    </i>
    <i r="4">
      <x v="273"/>
      <x v="220"/>
      <x v="42"/>
    </i>
    <i r="4">
      <x v="274"/>
      <x v="220"/>
      <x v="51"/>
    </i>
    <i r="4">
      <x v="275"/>
      <x v="220"/>
      <x v="41"/>
    </i>
    <i r="4">
      <x v="276"/>
      <x v="220"/>
      <x v="36"/>
    </i>
    <i r="4">
      <x v="277"/>
      <x v="220"/>
      <x v="40"/>
    </i>
    <i r="4">
      <x v="278"/>
      <x v="220"/>
      <x v="43"/>
    </i>
    <i r="4">
      <x v="279"/>
      <x v="220"/>
      <x v="48"/>
    </i>
    <i>
      <x v="63"/>
      <x v="44"/>
      <x v="1"/>
      <x v="4"/>
      <x v="41"/>
      <x v="221"/>
      <x v="18"/>
    </i>
    <i r="2">
      <x v="3"/>
      <x v="7"/>
      <x v="264"/>
      <x v="221"/>
      <x v="20"/>
    </i>
    <i r="4">
      <x v="265"/>
      <x v="221"/>
      <x v="33"/>
    </i>
    <i r="4">
      <x v="266"/>
      <x v="221"/>
      <x v="21"/>
    </i>
    <i r="4">
      <x v="267"/>
      <x v="221"/>
      <x v="29"/>
    </i>
    <i r="4">
      <x v="268"/>
      <x v="221"/>
      <x v="22"/>
    </i>
    <i r="4">
      <x v="269"/>
      <x v="221"/>
      <x v="27"/>
    </i>
    <i r="4">
      <x v="270"/>
      <x v="221"/>
      <x v="28"/>
    </i>
    <i r="4">
      <x v="271"/>
      <x v="221"/>
      <x v="32"/>
    </i>
    <i r="4">
      <x v="272"/>
      <x v="221"/>
      <x v="30"/>
    </i>
    <i r="4">
      <x v="273"/>
      <x v="221"/>
      <x v="25"/>
    </i>
    <i r="4">
      <x v="274"/>
      <x v="221"/>
      <x v="34"/>
    </i>
    <i r="4">
      <x v="275"/>
      <x v="221"/>
      <x v="24"/>
    </i>
    <i r="4">
      <x v="276"/>
      <x v="221"/>
      <x v="19"/>
    </i>
    <i r="4">
      <x v="277"/>
      <x v="221"/>
      <x v="23"/>
    </i>
    <i r="4">
      <x v="278"/>
      <x v="221"/>
      <x v="26"/>
    </i>
    <i r="4">
      <x v="279"/>
      <x v="221"/>
      <x v="31"/>
    </i>
    <i>
      <x v="64"/>
      <x v="44"/>
      <x v="1"/>
      <x v="4"/>
      <x v="41"/>
      <x v="74"/>
      <x v="18"/>
    </i>
    <i r="2">
      <x v="3"/>
      <x v="7"/>
      <x v="264"/>
      <x v="74"/>
      <x v="20"/>
    </i>
    <i r="4">
      <x v="265"/>
      <x v="74"/>
      <x v="33"/>
    </i>
    <i r="4">
      <x v="266"/>
      <x v="74"/>
      <x v="21"/>
    </i>
    <i r="4">
      <x v="267"/>
      <x v="74"/>
      <x v="29"/>
    </i>
    <i r="4">
      <x v="268"/>
      <x v="74"/>
      <x v="22"/>
    </i>
    <i r="4">
      <x v="269"/>
      <x v="74"/>
      <x v="27"/>
    </i>
    <i r="4">
      <x v="270"/>
      <x v="74"/>
      <x v="28"/>
    </i>
    <i r="4">
      <x v="271"/>
      <x v="74"/>
      <x v="32"/>
    </i>
    <i r="4">
      <x v="272"/>
      <x v="74"/>
      <x v="30"/>
    </i>
    <i r="4">
      <x v="273"/>
      <x v="74"/>
      <x v="25"/>
    </i>
    <i r="4">
      <x v="274"/>
      <x v="74"/>
      <x v="34"/>
    </i>
    <i r="4">
      <x v="275"/>
      <x v="74"/>
      <x v="24"/>
    </i>
    <i r="4">
      <x v="276"/>
      <x v="74"/>
      <x v="19"/>
    </i>
    <i r="4">
      <x v="277"/>
      <x v="74"/>
      <x v="23"/>
    </i>
    <i r="4">
      <x v="278"/>
      <x v="74"/>
      <x v="26"/>
    </i>
    <i r="4">
      <x v="279"/>
      <x v="74"/>
      <x v="31"/>
    </i>
    <i>
      <x v="65"/>
      <x v="44"/>
      <x v="1"/>
      <x v="4"/>
      <x v="41"/>
      <x v="222"/>
      <x v="18"/>
    </i>
    <i r="2">
      <x v="3"/>
      <x v="7"/>
      <x v="264"/>
      <x v="222"/>
      <x v="20"/>
    </i>
    <i r="4">
      <x v="265"/>
      <x v="222"/>
      <x v="33"/>
    </i>
    <i r="4">
      <x v="266"/>
      <x v="222"/>
      <x v="21"/>
    </i>
    <i r="4">
      <x v="267"/>
      <x v="222"/>
      <x v="29"/>
    </i>
    <i r="4">
      <x v="268"/>
      <x v="222"/>
      <x v="22"/>
    </i>
    <i r="4">
      <x v="269"/>
      <x v="222"/>
      <x v="27"/>
    </i>
    <i r="4">
      <x v="270"/>
      <x v="222"/>
      <x v="28"/>
    </i>
    <i r="4">
      <x v="271"/>
      <x v="222"/>
      <x v="32"/>
    </i>
    <i r="4">
      <x v="272"/>
      <x v="222"/>
      <x v="30"/>
    </i>
    <i r="4">
      <x v="273"/>
      <x v="222"/>
      <x v="25"/>
    </i>
    <i r="4">
      <x v="274"/>
      <x v="222"/>
      <x v="34"/>
    </i>
    <i r="4">
      <x v="275"/>
      <x v="222"/>
      <x v="24"/>
    </i>
    <i r="4">
      <x v="276"/>
      <x v="222"/>
      <x v="19"/>
    </i>
    <i r="4">
      <x v="277"/>
      <x v="222"/>
      <x v="23"/>
    </i>
    <i r="4">
      <x v="278"/>
      <x v="222"/>
      <x v="26"/>
    </i>
    <i r="4">
      <x v="279"/>
      <x v="222"/>
      <x v="31"/>
    </i>
    <i>
      <x v="66"/>
      <x v="68"/>
      <x v="1"/>
      <x v="4"/>
      <x v="41"/>
      <x v="209"/>
      <x v="18"/>
    </i>
    <i r="3">
      <x v="7"/>
      <x v="41"/>
      <x v="209"/>
      <x v="18"/>
    </i>
    <i r="6">
      <x v="52"/>
    </i>
    <i r="3">
      <x v="16"/>
      <x v="41"/>
      <x v="209"/>
      <x v="52"/>
    </i>
    <i r="3">
      <x v="19"/>
      <x v="41"/>
      <x v="209"/>
      <x v="18"/>
    </i>
    <i r="3">
      <x v="24"/>
      <x v="41"/>
      <x v="209"/>
      <x v="35"/>
    </i>
    <i r="2">
      <x v="3"/>
      <x v="7"/>
      <x v="264"/>
      <x v="209"/>
      <x v="20"/>
    </i>
    <i r="4">
      <x v="265"/>
      <x v="209"/>
      <x v="33"/>
    </i>
    <i r="4">
      <x v="266"/>
      <x v="209"/>
      <x v="21"/>
    </i>
    <i r="4">
      <x v="267"/>
      <x v="209"/>
      <x v="29"/>
    </i>
    <i r="4">
      <x v="268"/>
      <x v="209"/>
      <x v="22"/>
    </i>
    <i r="4">
      <x v="269"/>
      <x v="209"/>
      <x v="27"/>
    </i>
    <i r="4">
      <x v="270"/>
      <x v="209"/>
      <x v="28"/>
    </i>
    <i r="4">
      <x v="271"/>
      <x v="209"/>
      <x v="32"/>
    </i>
    <i r="4">
      <x v="272"/>
      <x v="209"/>
      <x v="30"/>
    </i>
    <i r="4">
      <x v="273"/>
      <x v="209"/>
      <x v="25"/>
    </i>
    <i r="4">
      <x v="274"/>
      <x v="209"/>
      <x v="34"/>
    </i>
    <i r="4">
      <x v="275"/>
      <x v="209"/>
      <x v="24"/>
    </i>
    <i r="4">
      <x v="276"/>
      <x v="209"/>
      <x v="19"/>
    </i>
    <i r="4">
      <x v="277"/>
      <x v="209"/>
      <x v="23"/>
    </i>
    <i r="4">
      <x v="278"/>
      <x v="209"/>
      <x v="26"/>
    </i>
    <i r="4">
      <x v="279"/>
      <x v="209"/>
      <x v="31"/>
    </i>
    <i r="3">
      <x v="16"/>
      <x v="264"/>
      <x v="209"/>
      <x v="20"/>
    </i>
    <i r="4">
      <x v="265"/>
      <x v="209"/>
      <x v="33"/>
    </i>
    <i r="4">
      <x v="266"/>
      <x v="209"/>
      <x v="21"/>
    </i>
    <i r="4">
      <x v="267"/>
      <x v="209"/>
      <x v="29"/>
    </i>
    <i r="4">
      <x v="268"/>
      <x v="209"/>
      <x v="22"/>
    </i>
    <i r="4">
      <x v="269"/>
      <x v="209"/>
      <x v="27"/>
    </i>
    <i r="4">
      <x v="270"/>
      <x v="209"/>
      <x v="28"/>
    </i>
    <i r="4">
      <x v="271"/>
      <x v="209"/>
      <x v="32"/>
    </i>
    <i r="4">
      <x v="272"/>
      <x v="209"/>
      <x v="30"/>
    </i>
    <i r="4">
      <x v="273"/>
      <x v="209"/>
      <x v="25"/>
    </i>
    <i r="4">
      <x v="274"/>
      <x v="209"/>
      <x v="34"/>
    </i>
    <i r="4">
      <x v="275"/>
      <x v="209"/>
      <x v="24"/>
    </i>
    <i r="4">
      <x v="276"/>
      <x v="209"/>
      <x v="19"/>
    </i>
    <i r="4">
      <x v="277"/>
      <x v="209"/>
      <x v="23"/>
    </i>
    <i r="4">
      <x v="278"/>
      <x v="209"/>
      <x v="26"/>
    </i>
    <i r="4">
      <x v="279"/>
      <x v="209"/>
      <x v="31"/>
    </i>
    <i r="3">
      <x v="18"/>
      <x v="264"/>
      <x v="209"/>
      <x v="37"/>
    </i>
    <i r="4">
      <x v="265"/>
      <x v="209"/>
      <x v="50"/>
    </i>
    <i r="4">
      <x v="266"/>
      <x v="209"/>
      <x v="38"/>
    </i>
    <i r="4">
      <x v="267"/>
      <x v="209"/>
      <x v="46"/>
    </i>
    <i r="4">
      <x v="268"/>
      <x v="209"/>
      <x v="39"/>
    </i>
    <i r="4">
      <x v="269"/>
      <x v="209"/>
      <x v="44"/>
    </i>
    <i r="4">
      <x v="270"/>
      <x v="209"/>
      <x v="45"/>
    </i>
    <i r="4">
      <x v="271"/>
      <x v="209"/>
      <x v="49"/>
    </i>
    <i r="4">
      <x v="272"/>
      <x v="209"/>
      <x v="47"/>
    </i>
    <i r="4">
      <x v="273"/>
      <x v="209"/>
      <x v="42"/>
    </i>
    <i r="4">
      <x v="274"/>
      <x v="209"/>
      <x v="51"/>
    </i>
    <i r="4">
      <x v="275"/>
      <x v="209"/>
      <x v="41"/>
    </i>
    <i r="4">
      <x v="276"/>
      <x v="209"/>
      <x v="36"/>
    </i>
    <i r="4">
      <x v="277"/>
      <x v="209"/>
      <x v="40"/>
    </i>
    <i r="4">
      <x v="278"/>
      <x v="209"/>
      <x v="43"/>
    </i>
    <i r="4">
      <x v="279"/>
      <x v="209"/>
      <x v="48"/>
    </i>
    <i>
      <x v="72"/>
      <x v="48"/>
      <x v="1"/>
      <x v="9"/>
      <x v="41"/>
      <x v="229"/>
      <x v="35"/>
    </i>
    <i r="2">
      <x v="3"/>
      <x/>
      <x v="264"/>
      <x v="229"/>
      <x v="37"/>
    </i>
    <i r="4">
      <x v="265"/>
      <x v="229"/>
      <x v="50"/>
    </i>
    <i r="4">
      <x v="266"/>
      <x v="229"/>
      <x v="38"/>
    </i>
    <i r="4">
      <x v="267"/>
      <x v="229"/>
      <x v="46"/>
    </i>
    <i r="4">
      <x v="268"/>
      <x v="229"/>
      <x v="39"/>
    </i>
    <i r="4">
      <x v="269"/>
      <x v="229"/>
      <x v="44"/>
    </i>
    <i r="4">
      <x v="270"/>
      <x v="229"/>
      <x v="45"/>
    </i>
    <i r="4">
      <x v="271"/>
      <x v="229"/>
      <x v="49"/>
    </i>
    <i r="4">
      <x v="272"/>
      <x v="229"/>
      <x v="47"/>
    </i>
    <i r="4">
      <x v="273"/>
      <x v="229"/>
      <x v="42"/>
    </i>
    <i r="4">
      <x v="274"/>
      <x v="229"/>
      <x v="51"/>
    </i>
    <i r="4">
      <x v="275"/>
      <x v="229"/>
      <x v="41"/>
    </i>
    <i r="4">
      <x v="276"/>
      <x v="229"/>
      <x v="36"/>
    </i>
    <i r="4">
      <x v="277"/>
      <x v="229"/>
      <x v="40"/>
    </i>
    <i r="4">
      <x v="278"/>
      <x v="229"/>
      <x v="43"/>
    </i>
    <i r="4">
      <x v="279"/>
      <x v="229"/>
      <x v="48"/>
    </i>
    <i>
      <x v="73"/>
      <x v="48"/>
      <x v="1"/>
      <x v="9"/>
      <x v="41"/>
      <x v="230"/>
      <x v="35"/>
    </i>
    <i r="2">
      <x v="3"/>
      <x/>
      <x v="264"/>
      <x v="230"/>
      <x v="37"/>
    </i>
    <i r="4">
      <x v="265"/>
      <x v="230"/>
      <x v="50"/>
    </i>
    <i r="4">
      <x v="266"/>
      <x v="230"/>
      <x v="38"/>
    </i>
    <i r="4">
      <x v="267"/>
      <x v="230"/>
      <x v="46"/>
    </i>
    <i r="4">
      <x v="268"/>
      <x v="230"/>
      <x v="39"/>
    </i>
    <i r="4">
      <x v="269"/>
      <x v="230"/>
      <x v="44"/>
    </i>
    <i r="4">
      <x v="270"/>
      <x v="230"/>
      <x v="45"/>
    </i>
    <i r="4">
      <x v="271"/>
      <x v="230"/>
      <x v="49"/>
    </i>
    <i r="4">
      <x v="272"/>
      <x v="230"/>
      <x v="47"/>
    </i>
    <i r="4">
      <x v="273"/>
      <x v="230"/>
      <x v="42"/>
    </i>
    <i r="4">
      <x v="274"/>
      <x v="230"/>
      <x v="51"/>
    </i>
    <i r="4">
      <x v="275"/>
      <x v="230"/>
      <x v="41"/>
    </i>
    <i r="4">
      <x v="276"/>
      <x v="230"/>
      <x v="36"/>
    </i>
    <i r="4">
      <x v="277"/>
      <x v="230"/>
      <x v="40"/>
    </i>
    <i r="4">
      <x v="278"/>
      <x v="230"/>
      <x v="43"/>
    </i>
    <i r="4">
      <x v="279"/>
      <x v="230"/>
      <x v="48"/>
    </i>
    <i>
      <x v="74"/>
      <x v="44"/>
      <x v="1"/>
      <x v="9"/>
      <x v="41"/>
      <x v="231"/>
      <x v="35"/>
    </i>
    <i r="2">
      <x v="3"/>
      <x/>
      <x v="264"/>
      <x v="231"/>
      <x v="37"/>
    </i>
    <i r="4">
      <x v="265"/>
      <x v="231"/>
      <x v="50"/>
    </i>
    <i r="4">
      <x v="266"/>
      <x v="231"/>
      <x v="38"/>
    </i>
    <i r="4">
      <x v="267"/>
      <x v="231"/>
      <x v="46"/>
    </i>
    <i r="4">
      <x v="268"/>
      <x v="231"/>
      <x v="39"/>
    </i>
    <i r="4">
      <x v="269"/>
      <x v="231"/>
      <x v="44"/>
    </i>
    <i r="4">
      <x v="270"/>
      <x v="231"/>
      <x v="45"/>
    </i>
    <i r="4">
      <x v="271"/>
      <x v="231"/>
      <x v="49"/>
    </i>
    <i r="4">
      <x v="272"/>
      <x v="231"/>
      <x v="47"/>
    </i>
    <i r="4">
      <x v="273"/>
      <x v="231"/>
      <x v="42"/>
    </i>
    <i r="4">
      <x v="274"/>
      <x v="231"/>
      <x v="51"/>
    </i>
    <i r="4">
      <x v="275"/>
      <x v="231"/>
      <x v="41"/>
    </i>
    <i r="4">
      <x v="276"/>
      <x v="231"/>
      <x v="36"/>
    </i>
    <i r="4">
      <x v="277"/>
      <x v="231"/>
      <x v="40"/>
    </i>
    <i r="4">
      <x v="278"/>
      <x v="231"/>
      <x v="43"/>
    </i>
    <i r="4">
      <x v="279"/>
      <x v="231"/>
      <x v="48"/>
    </i>
    <i>
      <x v="75"/>
      <x v="44"/>
      <x v="1"/>
      <x v="9"/>
      <x v="41"/>
      <x v="232"/>
      <x v="35"/>
    </i>
    <i r="2">
      <x v="3"/>
      <x/>
      <x v="264"/>
      <x v="232"/>
      <x v="37"/>
    </i>
    <i r="4">
      <x v="265"/>
      <x v="232"/>
      <x v="50"/>
    </i>
    <i r="4">
      <x v="266"/>
      <x v="232"/>
      <x v="38"/>
    </i>
    <i r="4">
      <x v="267"/>
      <x v="232"/>
      <x v="46"/>
    </i>
    <i r="4">
      <x v="268"/>
      <x v="232"/>
      <x v="39"/>
    </i>
    <i r="4">
      <x v="269"/>
      <x v="232"/>
      <x v="44"/>
    </i>
    <i r="4">
      <x v="270"/>
      <x v="232"/>
      <x v="45"/>
    </i>
    <i r="4">
      <x v="271"/>
      <x v="232"/>
      <x v="49"/>
    </i>
    <i r="4">
      <x v="272"/>
      <x v="232"/>
      <x v="47"/>
    </i>
    <i r="4">
      <x v="273"/>
      <x v="232"/>
      <x v="42"/>
    </i>
    <i r="4">
      <x v="274"/>
      <x v="232"/>
      <x v="51"/>
    </i>
    <i r="4">
      <x v="275"/>
      <x v="232"/>
      <x v="41"/>
    </i>
    <i r="4">
      <x v="276"/>
      <x v="232"/>
      <x v="36"/>
    </i>
    <i r="4">
      <x v="277"/>
      <x v="232"/>
      <x v="40"/>
    </i>
    <i r="4">
      <x v="278"/>
      <x v="232"/>
      <x v="43"/>
    </i>
    <i r="4">
      <x v="279"/>
      <x v="232"/>
      <x v="48"/>
    </i>
    <i>
      <x v="76"/>
      <x v="66"/>
      <x v="1"/>
      <x/>
      <x v="41"/>
      <x v="197"/>
      <x v="35"/>
    </i>
    <i r="3">
      <x v="4"/>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r="3">
      <x v="7"/>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80"/>
      <x v="51"/>
      <x v="1"/>
      <x v="9"/>
      <x v="41"/>
      <x v="8"/>
      <x v="35"/>
    </i>
    <i r="2">
      <x v="3"/>
      <x/>
      <x v="264"/>
      <x v="8"/>
      <x v="37"/>
    </i>
    <i r="4">
      <x v="265"/>
      <x v="8"/>
      <x v="50"/>
    </i>
    <i r="4">
      <x v="266"/>
      <x v="8"/>
      <x v="38"/>
    </i>
    <i r="4">
      <x v="267"/>
      <x v="8"/>
      <x v="46"/>
    </i>
    <i r="4">
      <x v="268"/>
      <x v="8"/>
      <x v="39"/>
    </i>
    <i r="4">
      <x v="269"/>
      <x v="8"/>
      <x v="44"/>
    </i>
    <i r="4">
      <x v="270"/>
      <x v="8"/>
      <x v="45"/>
    </i>
    <i r="4">
      <x v="271"/>
      <x v="8"/>
      <x v="49"/>
    </i>
    <i r="4">
      <x v="272"/>
      <x v="8"/>
      <x v="47"/>
    </i>
    <i r="4">
      <x v="273"/>
      <x v="8"/>
      <x v="42"/>
    </i>
    <i r="4">
      <x v="274"/>
      <x v="8"/>
      <x v="51"/>
    </i>
    <i r="4">
      <x v="275"/>
      <x v="8"/>
      <x v="41"/>
    </i>
    <i r="4">
      <x v="276"/>
      <x v="8"/>
      <x v="36"/>
    </i>
    <i r="4">
      <x v="277"/>
      <x v="8"/>
      <x v="40"/>
    </i>
    <i r="4">
      <x v="278"/>
      <x v="8"/>
      <x v="43"/>
    </i>
    <i r="4">
      <x v="279"/>
      <x v="8"/>
      <x v="48"/>
    </i>
    <i>
      <x v="81"/>
      <x v="49"/>
      <x v="1"/>
      <x v="4"/>
      <x v="41"/>
      <x v="186"/>
      <x v="35"/>
    </i>
    <i r="2">
      <x v="3"/>
      <x v="4"/>
      <x v="264"/>
      <x v="186"/>
      <x v="37"/>
    </i>
    <i r="4">
      <x v="265"/>
      <x v="186"/>
      <x v="50"/>
    </i>
    <i r="4">
      <x v="266"/>
      <x v="186"/>
      <x v="38"/>
    </i>
    <i r="4">
      <x v="267"/>
      <x v="186"/>
      <x v="46"/>
    </i>
    <i r="4">
      <x v="268"/>
      <x v="186"/>
      <x v="39"/>
    </i>
    <i r="4">
      <x v="269"/>
      <x v="186"/>
      <x v="44"/>
    </i>
    <i r="4">
      <x v="270"/>
      <x v="186"/>
      <x v="45"/>
    </i>
    <i r="4">
      <x v="271"/>
      <x v="186"/>
      <x v="49"/>
    </i>
    <i r="4">
      <x v="272"/>
      <x v="186"/>
      <x v="47"/>
    </i>
    <i r="4">
      <x v="273"/>
      <x v="186"/>
      <x v="42"/>
    </i>
    <i r="4">
      <x v="274"/>
      <x v="186"/>
      <x v="51"/>
    </i>
    <i r="4">
      <x v="275"/>
      <x v="186"/>
      <x v="41"/>
    </i>
    <i r="4">
      <x v="276"/>
      <x v="186"/>
      <x v="36"/>
    </i>
    <i r="4">
      <x v="277"/>
      <x v="186"/>
      <x v="40"/>
    </i>
    <i r="4">
      <x v="278"/>
      <x v="186"/>
      <x v="43"/>
    </i>
    <i r="4">
      <x v="279"/>
      <x v="186"/>
      <x v="48"/>
    </i>
    <i>
      <x v="83"/>
      <x v="53"/>
      <x v="1"/>
      <x/>
      <x v="41"/>
      <x v="200"/>
      <x v="35"/>
    </i>
    <i r="3">
      <x v="4"/>
      <x v="41"/>
      <x v="191"/>
      <x v="52"/>
    </i>
    <i r="5">
      <x v="204"/>
      <x v="18"/>
    </i>
    <i r="3">
      <x v="7"/>
      <x v="41"/>
      <x v="191"/>
      <x v="52"/>
    </i>
    <i r="5">
      <x v="204"/>
      <x v="52"/>
    </i>
    <i r="2">
      <x v="3"/>
      <x/>
      <x v="265"/>
      <x v="200"/>
      <x v="50"/>
    </i>
    <i r="4">
      <x v="266"/>
      <x v="200"/>
      <x v="38"/>
    </i>
    <i r="4">
      <x v="268"/>
      <x v="200"/>
      <x v="39"/>
    </i>
    <i r="4">
      <x v="269"/>
      <x v="200"/>
      <x v="44"/>
    </i>
    <i r="4">
      <x v="270"/>
      <x v="200"/>
      <x v="45"/>
    </i>
    <i r="4">
      <x v="271"/>
      <x v="200"/>
      <x v="49"/>
    </i>
    <i r="4">
      <x v="273"/>
      <x v="200"/>
      <x v="42"/>
    </i>
    <i r="4">
      <x v="274"/>
      <x v="200"/>
      <x v="51"/>
    </i>
    <i r="4">
      <x v="275"/>
      <x v="200"/>
      <x v="41"/>
    </i>
    <i r="4">
      <x v="276"/>
      <x v="200"/>
      <x v="36"/>
    </i>
    <i r="4">
      <x v="277"/>
      <x v="200"/>
      <x v="40"/>
    </i>
    <i r="4">
      <x v="278"/>
      <x v="200"/>
      <x v="43"/>
    </i>
    <i r="4">
      <x v="279"/>
      <x v="200"/>
      <x v="48"/>
    </i>
    <i r="3">
      <x v="7"/>
      <x v="264"/>
      <x v="204"/>
      <x v="20"/>
    </i>
    <i r="4">
      <x v="265"/>
      <x v="204"/>
      <x v="33"/>
    </i>
    <i r="4">
      <x v="266"/>
      <x v="204"/>
      <x v="21"/>
    </i>
    <i r="4">
      <x v="267"/>
      <x v="204"/>
      <x v="29"/>
    </i>
    <i r="4">
      <x v="268"/>
      <x v="204"/>
      <x v="22"/>
    </i>
    <i r="4">
      <x v="269"/>
      <x v="204"/>
      <x v="27"/>
    </i>
    <i r="4">
      <x v="270"/>
      <x v="204"/>
      <x v="28"/>
    </i>
    <i r="4">
      <x v="271"/>
      <x v="204"/>
      <x v="32"/>
    </i>
    <i r="4">
      <x v="272"/>
      <x v="204"/>
      <x v="30"/>
    </i>
    <i r="4">
      <x v="273"/>
      <x v="204"/>
      <x v="25"/>
    </i>
    <i r="4">
      <x v="274"/>
      <x v="204"/>
      <x v="34"/>
    </i>
    <i r="4">
      <x v="275"/>
      <x v="204"/>
      <x v="24"/>
    </i>
    <i r="4">
      <x v="276"/>
      <x v="204"/>
      <x v="19"/>
    </i>
    <i r="4">
      <x v="277"/>
      <x v="204"/>
      <x v="23"/>
    </i>
    <i r="4">
      <x v="278"/>
      <x v="204"/>
      <x v="26"/>
    </i>
    <i r="4">
      <x v="279"/>
      <x v="204"/>
      <x v="31"/>
    </i>
    <i r="1">
      <x v="75"/>
      <x v="1"/>
      <x v="4"/>
      <x v="41"/>
      <x v="240"/>
      <x v="18"/>
    </i>
    <i r="5">
      <x v="244"/>
      <x v="18"/>
    </i>
    <i r="3">
      <x v="22"/>
      <x v="41"/>
      <x v="240"/>
      <x v="52"/>
    </i>
    <i r="3">
      <x v="23"/>
      <x v="41"/>
      <x v="241"/>
      <x v="52"/>
    </i>
    <i r="3">
      <x v="27"/>
      <x v="41"/>
      <x v="240"/>
      <x v="52"/>
    </i>
    <i r="2">
      <x v="3"/>
      <x v="7"/>
      <x v="264"/>
      <x v="240"/>
      <x v="20"/>
    </i>
    <i r="4">
      <x v="265"/>
      <x v="240"/>
      <x v="33"/>
    </i>
    <i r="4">
      <x v="266"/>
      <x v="240"/>
      <x v="21"/>
    </i>
    <i r="4">
      <x v="267"/>
      <x v="240"/>
      <x v="29"/>
    </i>
    <i r="4">
      <x v="268"/>
      <x v="240"/>
      <x v="22"/>
    </i>
    <i r="4">
      <x v="269"/>
      <x v="240"/>
      <x v="27"/>
    </i>
    <i r="4">
      <x v="270"/>
      <x v="240"/>
      <x v="28"/>
    </i>
    <i r="4">
      <x v="271"/>
      <x v="240"/>
      <x v="32"/>
    </i>
    <i r="4">
      <x v="272"/>
      <x v="240"/>
      <x v="30"/>
    </i>
    <i r="4">
      <x v="273"/>
      <x v="240"/>
      <x v="25"/>
    </i>
    <i r="4">
      <x v="275"/>
      <x v="240"/>
      <x v="24"/>
    </i>
    <i r="4">
      <x v="276"/>
      <x v="240"/>
      <x v="19"/>
    </i>
    <i r="4">
      <x v="277"/>
      <x v="240"/>
      <x v="23"/>
    </i>
    <i r="4">
      <x v="278"/>
      <x v="240"/>
      <x v="26"/>
    </i>
    <i r="4">
      <x v="279"/>
      <x v="240"/>
      <x v="31"/>
    </i>
    <i>
      <x v="84"/>
      <x v="51"/>
      <x v="1"/>
      <x v="4"/>
      <x v="41"/>
      <x v="14"/>
      <x v="18"/>
    </i>
    <i r="2">
      <x v="3"/>
      <x v="7"/>
      <x v="264"/>
      <x v="14"/>
      <x v="20"/>
    </i>
    <i r="4">
      <x v="265"/>
      <x v="14"/>
      <x v="33"/>
    </i>
    <i r="4">
      <x v="266"/>
      <x v="14"/>
      <x v="21"/>
    </i>
    <i r="4">
      <x v="267"/>
      <x v="14"/>
      <x v="29"/>
    </i>
    <i r="4">
      <x v="268"/>
      <x v="14"/>
      <x v="22"/>
    </i>
    <i r="4">
      <x v="269"/>
      <x v="14"/>
      <x v="27"/>
    </i>
    <i r="4">
      <x v="270"/>
      <x v="14"/>
      <x v="28"/>
    </i>
    <i r="4">
      <x v="271"/>
      <x v="14"/>
      <x v="32"/>
    </i>
    <i r="4">
      <x v="272"/>
      <x v="14"/>
      <x v="30"/>
    </i>
    <i r="4">
      <x v="273"/>
      <x v="14"/>
      <x v="25"/>
    </i>
    <i r="4">
      <x v="274"/>
      <x v="14"/>
      <x v="34"/>
    </i>
    <i r="4">
      <x v="275"/>
      <x v="14"/>
      <x v="24"/>
    </i>
    <i r="4">
      <x v="276"/>
      <x v="14"/>
      <x v="19"/>
    </i>
    <i r="4">
      <x v="277"/>
      <x v="14"/>
      <x v="23"/>
    </i>
    <i r="4">
      <x v="278"/>
      <x v="14"/>
      <x v="26"/>
    </i>
    <i r="4">
      <x v="279"/>
      <x v="14"/>
      <x v="31"/>
    </i>
    <i>
      <x v="85"/>
      <x v="53"/>
      <x v="1"/>
      <x v="11"/>
      <x v="41"/>
      <x v="195"/>
      <x v="18"/>
    </i>
    <i r="3">
      <x v="12"/>
      <x v="41"/>
      <x v="196"/>
      <x v="18"/>
    </i>
    <i r="2">
      <x v="3"/>
      <x v="11"/>
      <x v="265"/>
      <x v="195"/>
      <x v="33"/>
    </i>
    <i r="4">
      <x v="268"/>
      <x v="195"/>
      <x v="22"/>
    </i>
    <i r="4">
      <x v="269"/>
      <x v="195"/>
      <x v="27"/>
    </i>
    <i r="4">
      <x v="270"/>
      <x v="195"/>
      <x v="28"/>
    </i>
    <i r="4">
      <x v="273"/>
      <x v="195"/>
      <x v="25"/>
    </i>
    <i r="4">
      <x v="274"/>
      <x v="195"/>
      <x v="34"/>
    </i>
    <i r="4">
      <x v="277"/>
      <x v="195"/>
      <x v="23"/>
    </i>
    <i r="4">
      <x v="278"/>
      <x v="195"/>
      <x v="26"/>
    </i>
    <i r="4">
      <x v="279"/>
      <x v="195"/>
      <x v="31"/>
    </i>
    <i r="3">
      <x v="12"/>
      <x v="265"/>
      <x v="196"/>
      <x v="33"/>
    </i>
    <i r="4">
      <x v="268"/>
      <x v="196"/>
      <x v="22"/>
    </i>
    <i r="4">
      <x v="269"/>
      <x v="196"/>
      <x v="27"/>
    </i>
    <i r="4">
      <x v="270"/>
      <x v="196"/>
      <x v="28"/>
    </i>
    <i r="4">
      <x v="273"/>
      <x v="196"/>
      <x v="25"/>
    </i>
    <i r="4">
      <x v="274"/>
      <x v="196"/>
      <x v="34"/>
    </i>
    <i r="4">
      <x v="277"/>
      <x v="196"/>
      <x v="23"/>
    </i>
    <i r="4">
      <x v="278"/>
      <x v="196"/>
      <x v="26"/>
    </i>
    <i r="4">
      <x v="279"/>
      <x v="196"/>
      <x v="31"/>
    </i>
    <i>
      <x v="87"/>
      <x v="51"/>
      <x v="1"/>
      <x v="4"/>
      <x v="41"/>
      <x v="23"/>
      <x v="18"/>
    </i>
    <i r="5">
      <x v="24"/>
      <x v="35"/>
    </i>
    <i r="3">
      <x v="7"/>
      <x v="41"/>
      <x v="22"/>
      <x v="52"/>
    </i>
    <i r="2">
      <x v="3"/>
      <x v="7"/>
      <x v="264"/>
      <x v="23"/>
      <x v="20"/>
    </i>
    <i r="5">
      <x v="24"/>
      <x v="37"/>
    </i>
    <i r="4">
      <x v="265"/>
      <x v="23"/>
      <x v="33"/>
    </i>
    <i r="5">
      <x v="24"/>
      <x v="50"/>
    </i>
    <i r="4">
      <x v="266"/>
      <x v="23"/>
      <x v="21"/>
    </i>
    <i r="5">
      <x v="24"/>
      <x v="38"/>
    </i>
    <i r="4">
      <x v="267"/>
      <x v="23"/>
      <x v="29"/>
    </i>
    <i r="5">
      <x v="24"/>
      <x v="46"/>
    </i>
    <i r="4">
      <x v="268"/>
      <x v="23"/>
      <x v="22"/>
    </i>
    <i r="5">
      <x v="24"/>
      <x v="39"/>
    </i>
    <i r="4">
      <x v="269"/>
      <x v="23"/>
      <x v="27"/>
    </i>
    <i r="5">
      <x v="24"/>
      <x v="44"/>
    </i>
    <i r="4">
      <x v="270"/>
      <x v="23"/>
      <x v="28"/>
    </i>
    <i r="5">
      <x v="24"/>
      <x v="45"/>
    </i>
    <i r="4">
      <x v="271"/>
      <x v="23"/>
      <x v="32"/>
    </i>
    <i r="5">
      <x v="24"/>
      <x v="49"/>
    </i>
    <i r="4">
      <x v="272"/>
      <x v="23"/>
      <x v="30"/>
    </i>
    <i r="5">
      <x v="24"/>
      <x v="47"/>
    </i>
    <i r="4">
      <x v="273"/>
      <x v="23"/>
      <x v="25"/>
    </i>
    <i r="5">
      <x v="24"/>
      <x v="42"/>
    </i>
    <i r="4">
      <x v="274"/>
      <x v="23"/>
      <x v="34"/>
    </i>
    <i r="5">
      <x v="24"/>
      <x v="51"/>
    </i>
    <i r="4">
      <x v="275"/>
      <x v="23"/>
      <x v="24"/>
    </i>
    <i r="5">
      <x v="24"/>
      <x v="41"/>
    </i>
    <i r="4">
      <x v="276"/>
      <x v="23"/>
      <x v="19"/>
    </i>
    <i r="5">
      <x v="24"/>
      <x v="36"/>
    </i>
    <i r="4">
      <x v="277"/>
      <x v="23"/>
      <x v="23"/>
    </i>
    <i r="5">
      <x v="24"/>
      <x v="40"/>
    </i>
    <i r="4">
      <x v="278"/>
      <x v="23"/>
      <x v="26"/>
    </i>
    <i r="5">
      <x v="24"/>
      <x v="43"/>
    </i>
    <i r="4">
      <x v="279"/>
      <x v="23"/>
      <x v="31"/>
    </i>
    <i r="5">
      <x v="24"/>
      <x v="48"/>
    </i>
    <i>
      <x v="88"/>
      <x v="53"/>
      <x v="1"/>
      <x v="4"/>
      <x v="41"/>
      <x v="206"/>
      <x v="18"/>
    </i>
    <i r="3">
      <x v="7"/>
      <x v="41"/>
      <x v="199"/>
      <x v="52"/>
    </i>
    <i r="2">
      <x v="3"/>
      <x v="4"/>
      <x v="268"/>
      <x v="206"/>
      <x v="22"/>
    </i>
    <i r="4">
      <x v="269"/>
      <x v="206"/>
      <x v="27"/>
    </i>
    <i r="4">
      <x v="270"/>
      <x v="206"/>
      <x v="28"/>
    </i>
    <i r="4">
      <x v="271"/>
      <x v="206"/>
      <x v="32"/>
    </i>
    <i r="4">
      <x v="273"/>
      <x v="206"/>
      <x v="25"/>
    </i>
    <i r="4">
      <x v="274"/>
      <x v="206"/>
      <x v="34"/>
    </i>
    <i r="4">
      <x v="275"/>
      <x v="206"/>
      <x v="24"/>
    </i>
    <i r="4">
      <x v="277"/>
      <x v="206"/>
      <x v="23"/>
    </i>
    <i r="4">
      <x v="278"/>
      <x v="206"/>
      <x v="26"/>
    </i>
    <i r="4">
      <x v="279"/>
      <x v="206"/>
      <x v="31"/>
    </i>
    <i>
      <x v="89"/>
      <x v="53"/>
      <x v="1"/>
      <x v="7"/>
      <x v="41"/>
      <x v="201"/>
      <x v="18"/>
    </i>
    <i r="2">
      <x v="3"/>
      <x v="7"/>
      <x v="265"/>
      <x v="201"/>
      <x v="33"/>
    </i>
    <i r="4">
      <x v="266"/>
      <x v="201"/>
      <x v="21"/>
    </i>
    <i r="4">
      <x v="268"/>
      <x v="201"/>
      <x v="22"/>
    </i>
    <i r="4">
      <x v="269"/>
      <x v="201"/>
      <x v="27"/>
    </i>
    <i r="4">
      <x v="273"/>
      <x v="201"/>
      <x v="25"/>
    </i>
    <i r="4">
      <x v="274"/>
      <x v="201"/>
      <x v="34"/>
    </i>
    <i r="4">
      <x v="275"/>
      <x v="201"/>
      <x v="24"/>
    </i>
    <i r="4">
      <x v="277"/>
      <x v="201"/>
      <x v="23"/>
    </i>
    <i r="4">
      <x v="278"/>
      <x v="201"/>
      <x v="26"/>
    </i>
    <i r="4">
      <x v="279"/>
      <x v="201"/>
      <x v="31"/>
    </i>
    <i>
      <x v="90"/>
      <x v="55"/>
      <x v="1"/>
      <x v="4"/>
      <x v="41"/>
      <x v="202"/>
      <x v="52"/>
    </i>
    <i r="5">
      <x v="210"/>
      <x v="52"/>
    </i>
    <i>
      <x v="91"/>
      <x v="44"/>
      <x v="1"/>
      <x v="4"/>
      <x v="41"/>
      <x v="203"/>
      <x v="18"/>
    </i>
    <i r="3">
      <x v="7"/>
      <x v="41"/>
      <x v="203"/>
      <x v="52"/>
    </i>
    <i r="2">
      <x v="3"/>
      <x v="7"/>
      <x v="264"/>
      <x v="203"/>
      <x v="20"/>
    </i>
    <i r="4">
      <x v="265"/>
      <x v="203"/>
      <x v="33"/>
    </i>
    <i r="4">
      <x v="266"/>
      <x v="203"/>
      <x v="21"/>
    </i>
    <i r="4">
      <x v="267"/>
      <x v="203"/>
      <x v="29"/>
    </i>
    <i r="4">
      <x v="268"/>
      <x v="203"/>
      <x v="22"/>
    </i>
    <i r="4">
      <x v="269"/>
      <x v="203"/>
      <x v="27"/>
    </i>
    <i r="4">
      <x v="270"/>
      <x v="203"/>
      <x v="28"/>
    </i>
    <i r="4">
      <x v="271"/>
      <x v="203"/>
      <x v="32"/>
    </i>
    <i r="4">
      <x v="272"/>
      <x v="203"/>
      <x v="30"/>
    </i>
    <i r="4">
      <x v="273"/>
      <x v="203"/>
      <x v="25"/>
    </i>
    <i r="4">
      <x v="274"/>
      <x v="203"/>
      <x v="34"/>
    </i>
    <i r="4">
      <x v="275"/>
      <x v="203"/>
      <x v="24"/>
    </i>
    <i r="4">
      <x v="276"/>
      <x v="203"/>
      <x v="19"/>
    </i>
    <i r="4">
      <x v="277"/>
      <x v="203"/>
      <x v="23"/>
    </i>
    <i r="4">
      <x v="278"/>
      <x v="203"/>
      <x v="26"/>
    </i>
    <i r="4">
      <x v="279"/>
      <x v="203"/>
      <x v="31"/>
    </i>
    <i>
      <x v="92"/>
      <x v="51"/>
      <x v="1"/>
      <x v="7"/>
      <x v="41"/>
      <x v="30"/>
      <x v="52"/>
    </i>
    <i r="5">
      <x v="31"/>
      <x v="52"/>
    </i>
    <i r="5">
      <x v="32"/>
      <x v="52"/>
    </i>
    <i r="5">
      <x v="33"/>
      <x v="52"/>
    </i>
    <i>
      <x v="93"/>
      <x v="51"/>
      <x v="1"/>
      <x v="4"/>
      <x v="41"/>
      <x v="107"/>
      <x v="18"/>
    </i>
    <i r="2">
      <x v="3"/>
      <x v="7"/>
      <x v="264"/>
      <x v="108"/>
      <x v="20"/>
    </i>
    <i r="4">
      <x v="265"/>
      <x v="108"/>
      <x v="33"/>
    </i>
    <i r="4">
      <x v="266"/>
      <x v="108"/>
      <x v="21"/>
    </i>
    <i r="4">
      <x v="267"/>
      <x v="108"/>
      <x v="29"/>
    </i>
    <i r="4">
      <x v="268"/>
      <x v="108"/>
      <x v="22"/>
    </i>
    <i r="4">
      <x v="269"/>
      <x v="108"/>
      <x v="27"/>
    </i>
    <i r="4">
      <x v="270"/>
      <x v="108"/>
      <x v="28"/>
    </i>
    <i r="4">
      <x v="271"/>
      <x v="108"/>
      <x v="32"/>
    </i>
    <i r="4">
      <x v="272"/>
      <x v="108"/>
      <x v="30"/>
    </i>
    <i r="4">
      <x v="273"/>
      <x v="108"/>
      <x v="25"/>
    </i>
    <i r="4">
      <x v="274"/>
      <x v="108"/>
      <x v="34"/>
    </i>
    <i r="4">
      <x v="275"/>
      <x v="108"/>
      <x v="24"/>
    </i>
    <i r="4">
      <x v="276"/>
      <x v="108"/>
      <x v="19"/>
    </i>
    <i r="4">
      <x v="277"/>
      <x v="108"/>
      <x v="23"/>
    </i>
    <i r="4">
      <x v="278"/>
      <x v="108"/>
      <x v="26"/>
    </i>
    <i r="4">
      <x v="279"/>
      <x v="108"/>
      <x v="31"/>
    </i>
    <i>
      <x v="94"/>
      <x v="56"/>
      <x v="1"/>
      <x v="4"/>
      <x v="41"/>
      <x v="205"/>
      <x v="18"/>
    </i>
    <i r="3">
      <x v="7"/>
      <x v="41"/>
      <x v="205"/>
      <x v="18"/>
    </i>
    <i r="6">
      <x v="52"/>
    </i>
    <i r="2">
      <x v="3"/>
      <x v="7"/>
      <x v="264"/>
      <x v="205"/>
      <x v="20"/>
    </i>
    <i r="4">
      <x v="265"/>
      <x v="205"/>
      <x v="33"/>
    </i>
    <i r="4">
      <x v="266"/>
      <x v="205"/>
      <x v="21"/>
    </i>
    <i r="4">
      <x v="267"/>
      <x v="205"/>
      <x v="29"/>
    </i>
    <i r="4">
      <x v="268"/>
      <x v="205"/>
      <x v="22"/>
    </i>
    <i r="4">
      <x v="269"/>
      <x v="205"/>
      <x v="27"/>
    </i>
    <i r="4">
      <x v="270"/>
      <x v="205"/>
      <x v="28"/>
    </i>
    <i r="4">
      <x v="271"/>
      <x v="205"/>
      <x v="32"/>
    </i>
    <i r="4">
      <x v="272"/>
      <x v="205"/>
      <x v="30"/>
    </i>
    <i r="4">
      <x v="273"/>
      <x v="205"/>
      <x v="25"/>
    </i>
    <i r="4">
      <x v="274"/>
      <x v="205"/>
      <x v="34"/>
    </i>
    <i r="4">
      <x v="275"/>
      <x v="205"/>
      <x v="24"/>
    </i>
    <i r="4">
      <x v="276"/>
      <x v="205"/>
      <x v="19"/>
    </i>
    <i r="4">
      <x v="277"/>
      <x v="205"/>
      <x v="23"/>
    </i>
    <i r="4">
      <x v="278"/>
      <x v="205"/>
      <x v="26"/>
    </i>
    <i r="4">
      <x v="279"/>
      <x v="205"/>
      <x v="31"/>
    </i>
    <i>
      <x v="95"/>
      <x v="53"/>
      <x v="1"/>
      <x v="7"/>
      <x v="41"/>
      <x v="207"/>
      <x v="52"/>
    </i>
    <i r="1">
      <x v="75"/>
      <x v="1"/>
      <x v="4"/>
      <x v="41"/>
      <x v="243"/>
      <x v="18"/>
    </i>
    <i r="3">
      <x v="7"/>
      <x v="41"/>
      <x v="242"/>
      <x v="52"/>
    </i>
    <i r="3">
      <x v="25"/>
      <x v="41"/>
      <x v="242"/>
      <x v="52"/>
    </i>
    <i r="2">
      <x v="3"/>
      <x v="7"/>
      <x v="264"/>
      <x v="243"/>
      <x v="20"/>
    </i>
    <i r="4">
      <x v="265"/>
      <x v="243"/>
      <x v="33"/>
    </i>
    <i r="4">
      <x v="266"/>
      <x v="243"/>
      <x v="21"/>
    </i>
    <i r="4">
      <x v="267"/>
      <x v="243"/>
      <x v="29"/>
    </i>
    <i r="4">
      <x v="268"/>
      <x v="243"/>
      <x v="22"/>
    </i>
    <i r="4">
      <x v="269"/>
      <x v="243"/>
      <x v="27"/>
    </i>
    <i r="4">
      <x v="270"/>
      <x v="243"/>
      <x v="28"/>
    </i>
    <i r="4">
      <x v="271"/>
      <x v="243"/>
      <x v="32"/>
    </i>
    <i r="4">
      <x v="272"/>
      <x v="243"/>
      <x v="30"/>
    </i>
    <i r="4">
      <x v="273"/>
      <x v="243"/>
      <x v="25"/>
    </i>
    <i r="4">
      <x v="275"/>
      <x v="243"/>
      <x v="24"/>
    </i>
    <i r="4">
      <x v="276"/>
      <x v="243"/>
      <x v="19"/>
    </i>
    <i r="4">
      <x v="277"/>
      <x v="243"/>
      <x v="23"/>
    </i>
    <i r="4">
      <x v="278"/>
      <x v="243"/>
      <x v="26"/>
    </i>
    <i r="4">
      <x v="279"/>
      <x v="243"/>
      <x v="31"/>
    </i>
    <i>
      <x v="96"/>
      <x v="81"/>
      <x v="1"/>
      <x v="4"/>
      <x v="41"/>
      <x v="218"/>
      <x v="35"/>
    </i>
    <i r="3">
      <x v="9"/>
      <x v="41"/>
      <x v="217"/>
      <x v="35"/>
    </i>
    <i r="2">
      <x v="3"/>
      <x/>
      <x v="264"/>
      <x v="217"/>
      <x v="37"/>
    </i>
    <i r="4">
      <x v="265"/>
      <x v="217"/>
      <x v="50"/>
    </i>
    <i r="4">
      <x v="266"/>
      <x v="217"/>
      <x v="38"/>
    </i>
    <i r="4">
      <x v="267"/>
      <x v="217"/>
      <x v="46"/>
    </i>
    <i r="4">
      <x v="268"/>
      <x v="217"/>
      <x v="39"/>
    </i>
    <i r="4">
      <x v="269"/>
      <x v="217"/>
      <x v="44"/>
    </i>
    <i r="4">
      <x v="270"/>
      <x v="217"/>
      <x v="45"/>
    </i>
    <i r="4">
      <x v="271"/>
      <x v="217"/>
      <x v="49"/>
    </i>
    <i r="4">
      <x v="272"/>
      <x v="217"/>
      <x v="47"/>
    </i>
    <i r="4">
      <x v="273"/>
      <x v="217"/>
      <x v="42"/>
    </i>
    <i r="4">
      <x v="274"/>
      <x v="217"/>
      <x v="51"/>
    </i>
    <i r="4">
      <x v="275"/>
      <x v="217"/>
      <x v="41"/>
    </i>
    <i r="4">
      <x v="276"/>
      <x v="217"/>
      <x v="36"/>
    </i>
    <i r="4">
      <x v="277"/>
      <x v="217"/>
      <x v="40"/>
    </i>
    <i r="4">
      <x v="278"/>
      <x v="217"/>
      <x v="43"/>
    </i>
    <i r="4">
      <x v="279"/>
      <x v="217"/>
      <x v="48"/>
    </i>
    <i r="3">
      <x v="7"/>
      <x v="264"/>
      <x v="218"/>
      <x v="37"/>
    </i>
    <i r="4">
      <x v="265"/>
      <x v="218"/>
      <x v="50"/>
    </i>
    <i r="4">
      <x v="266"/>
      <x v="218"/>
      <x v="38"/>
    </i>
    <i r="4">
      <x v="267"/>
      <x v="218"/>
      <x v="46"/>
    </i>
    <i r="4">
      <x v="268"/>
      <x v="218"/>
      <x v="39"/>
    </i>
    <i r="4">
      <x v="269"/>
      <x v="218"/>
      <x v="44"/>
    </i>
    <i r="4">
      <x v="270"/>
      <x v="218"/>
      <x v="45"/>
    </i>
    <i r="4">
      <x v="271"/>
      <x v="218"/>
      <x v="49"/>
    </i>
    <i r="4">
      <x v="272"/>
      <x v="218"/>
      <x v="47"/>
    </i>
    <i r="4">
      <x v="273"/>
      <x v="218"/>
      <x v="42"/>
    </i>
    <i r="4">
      <x v="274"/>
      <x v="218"/>
      <x v="51"/>
    </i>
    <i r="4">
      <x v="275"/>
      <x v="218"/>
      <x v="41"/>
    </i>
    <i r="4">
      <x v="276"/>
      <x v="218"/>
      <x v="36"/>
    </i>
    <i r="4">
      <x v="277"/>
      <x v="218"/>
      <x v="40"/>
    </i>
    <i r="4">
      <x v="278"/>
      <x v="218"/>
      <x v="43"/>
    </i>
    <i r="4">
      <x v="279"/>
      <x v="218"/>
      <x v="48"/>
    </i>
    <i>
      <x v="97"/>
      <x v="51"/>
      <x v="1"/>
      <x v="4"/>
      <x v="41"/>
      <x v="63"/>
      <x v="18"/>
    </i>
    <i r="5">
      <x v="64"/>
      <x v="18"/>
    </i>
    <i r="3">
      <x v="7"/>
      <x v="41"/>
      <x v="65"/>
      <x v="52"/>
    </i>
    <i r="3">
      <x v="25"/>
      <x v="41"/>
      <x v="65"/>
      <x v="52"/>
    </i>
    <i r="2">
      <x v="3"/>
      <x v="4"/>
      <x v="264"/>
      <x v="63"/>
      <x v="20"/>
    </i>
    <i r="4">
      <x v="265"/>
      <x v="63"/>
      <x v="33"/>
    </i>
    <i r="4">
      <x v="266"/>
      <x v="63"/>
      <x v="21"/>
    </i>
    <i r="4">
      <x v="267"/>
      <x v="63"/>
      <x v="29"/>
    </i>
    <i r="4">
      <x v="268"/>
      <x v="63"/>
      <x v="22"/>
    </i>
    <i r="4">
      <x v="269"/>
      <x v="63"/>
      <x v="27"/>
    </i>
    <i r="4">
      <x v="270"/>
      <x v="63"/>
      <x v="28"/>
    </i>
    <i r="4">
      <x v="271"/>
      <x v="63"/>
      <x v="32"/>
    </i>
    <i r="4">
      <x v="272"/>
      <x v="63"/>
      <x v="30"/>
    </i>
    <i r="4">
      <x v="273"/>
      <x v="63"/>
      <x v="25"/>
    </i>
    <i r="4">
      <x v="274"/>
      <x v="63"/>
      <x v="34"/>
    </i>
    <i r="4">
      <x v="275"/>
      <x v="63"/>
      <x v="24"/>
    </i>
    <i r="4">
      <x v="276"/>
      <x v="63"/>
      <x v="19"/>
    </i>
    <i r="4">
      <x v="277"/>
      <x v="63"/>
      <x v="23"/>
    </i>
    <i r="4">
      <x v="278"/>
      <x v="63"/>
      <x v="26"/>
    </i>
    <i r="4">
      <x v="279"/>
      <x v="63"/>
      <x v="31"/>
    </i>
    <i r="3">
      <x v="7"/>
      <x v="264"/>
      <x v="64"/>
      <x v="20"/>
    </i>
    <i r="4">
      <x v="265"/>
      <x v="64"/>
      <x v="33"/>
    </i>
    <i r="4">
      <x v="266"/>
      <x v="64"/>
      <x v="21"/>
    </i>
    <i r="4">
      <x v="267"/>
      <x v="64"/>
      <x v="29"/>
    </i>
    <i r="4">
      <x v="268"/>
      <x v="64"/>
      <x v="22"/>
    </i>
    <i r="4">
      <x v="269"/>
      <x v="64"/>
      <x v="27"/>
    </i>
    <i r="4">
      <x v="270"/>
      <x v="64"/>
      <x v="28"/>
    </i>
    <i r="4">
      <x v="271"/>
      <x v="64"/>
      <x v="32"/>
    </i>
    <i r="4">
      <x v="272"/>
      <x v="64"/>
      <x v="30"/>
    </i>
    <i r="4">
      <x v="273"/>
      <x v="64"/>
      <x v="25"/>
    </i>
    <i r="4">
      <x v="274"/>
      <x v="64"/>
      <x v="34"/>
    </i>
    <i r="4">
      <x v="275"/>
      <x v="64"/>
      <x v="24"/>
    </i>
    <i r="4">
      <x v="276"/>
      <x v="64"/>
      <x v="19"/>
    </i>
    <i r="4">
      <x v="277"/>
      <x v="64"/>
      <x v="23"/>
    </i>
    <i r="4">
      <x v="278"/>
      <x v="64"/>
      <x v="26"/>
    </i>
    <i r="4">
      <x v="279"/>
      <x v="64"/>
      <x v="31"/>
    </i>
    <i>
      <x v="98"/>
      <x v="60"/>
      <x v="1"/>
      <x v="7"/>
      <x v="41"/>
      <x v="66"/>
      <x v="52"/>
    </i>
    <i>
      <x v="99"/>
      <x v="65"/>
      <x v="1"/>
      <x v="7"/>
      <x v="41"/>
      <x v="194"/>
      <x v="52"/>
    </i>
    <i r="5">
      <x v="227"/>
      <x v="52"/>
    </i>
    <i r="5">
      <x v="228"/>
      <x v="18"/>
    </i>
    <i r="2">
      <x v="3"/>
      <x v="7"/>
      <x v="264"/>
      <x v="227"/>
      <x v="20"/>
    </i>
    <i r="5">
      <x v="228"/>
      <x v="20"/>
    </i>
    <i r="4">
      <x v="265"/>
      <x v="227"/>
      <x v="33"/>
    </i>
    <i r="5">
      <x v="228"/>
      <x v="33"/>
    </i>
    <i r="4">
      <x v="266"/>
      <x v="194"/>
      <x v="21"/>
    </i>
    <i r="5">
      <x v="227"/>
      <x v="21"/>
    </i>
    <i r="5">
      <x v="228"/>
      <x v="21"/>
    </i>
    <i r="4">
      <x v="267"/>
      <x v="194"/>
      <x v="29"/>
    </i>
    <i r="5">
      <x v="227"/>
      <x v="29"/>
    </i>
    <i r="5">
      <x v="228"/>
      <x v="29"/>
    </i>
    <i r="4">
      <x v="268"/>
      <x v="194"/>
      <x v="22"/>
    </i>
    <i r="5">
      <x v="227"/>
      <x v="22"/>
    </i>
    <i r="5">
      <x v="228"/>
      <x v="22"/>
    </i>
    <i r="4">
      <x v="269"/>
      <x v="194"/>
      <x v="27"/>
    </i>
    <i r="5">
      <x v="227"/>
      <x v="27"/>
    </i>
    <i r="5">
      <x v="228"/>
      <x v="27"/>
    </i>
    <i r="4">
      <x v="270"/>
      <x v="194"/>
      <x v="28"/>
    </i>
    <i r="5">
      <x v="227"/>
      <x v="28"/>
    </i>
    <i r="5">
      <x v="228"/>
      <x v="28"/>
    </i>
    <i r="4">
      <x v="271"/>
      <x v="194"/>
      <x v="32"/>
    </i>
    <i r="5">
      <x v="227"/>
      <x v="32"/>
    </i>
    <i r="5">
      <x v="228"/>
      <x v="32"/>
    </i>
    <i r="4">
      <x v="272"/>
      <x v="194"/>
      <x v="30"/>
    </i>
    <i r="5">
      <x v="227"/>
      <x v="30"/>
    </i>
    <i r="5">
      <x v="228"/>
      <x v="30"/>
    </i>
    <i r="4">
      <x v="273"/>
      <x v="194"/>
      <x v="25"/>
    </i>
    <i r="5">
      <x v="227"/>
      <x v="25"/>
    </i>
    <i r="5">
      <x v="228"/>
      <x v="25"/>
    </i>
    <i r="4">
      <x v="274"/>
      <x v="194"/>
      <x v="34"/>
    </i>
    <i r="5">
      <x v="227"/>
      <x v="34"/>
    </i>
    <i r="5">
      <x v="228"/>
      <x v="34"/>
    </i>
    <i r="4">
      <x v="275"/>
      <x v="194"/>
      <x v="24"/>
    </i>
    <i r="5">
      <x v="227"/>
      <x v="24"/>
    </i>
    <i r="5">
      <x v="228"/>
      <x v="24"/>
    </i>
    <i r="4">
      <x v="276"/>
      <x v="227"/>
      <x v="19"/>
    </i>
    <i r="5">
      <x v="228"/>
      <x v="19"/>
    </i>
    <i r="4">
      <x v="277"/>
      <x v="194"/>
      <x v="23"/>
    </i>
    <i r="5">
      <x v="227"/>
      <x v="23"/>
    </i>
    <i r="5">
      <x v="228"/>
      <x v="23"/>
    </i>
    <i r="4">
      <x v="278"/>
      <x v="194"/>
      <x v="26"/>
    </i>
    <i r="5">
      <x v="227"/>
      <x v="26"/>
    </i>
    <i r="5">
      <x v="228"/>
      <x v="26"/>
    </i>
    <i r="4">
      <x v="279"/>
      <x v="194"/>
      <x v="31"/>
    </i>
    <i r="5">
      <x v="227"/>
      <x v="31"/>
    </i>
    <i r="5">
      <x v="228"/>
      <x v="31"/>
    </i>
    <i>
      <x v="101"/>
      <x v="72"/>
      <x v="1"/>
      <x v="4"/>
      <x v="41"/>
      <x v="235"/>
      <x v="18"/>
    </i>
    <i r="3">
      <x v="19"/>
      <x v="41"/>
      <x v="235"/>
      <x v="35"/>
    </i>
    <i r="2">
      <x v="3"/>
      <x v="7"/>
      <x v="264"/>
      <x v="235"/>
      <x v="20"/>
    </i>
    <i r="4">
      <x v="265"/>
      <x v="235"/>
      <x v="33"/>
    </i>
    <i r="4">
      <x v="266"/>
      <x v="235"/>
      <x v="21"/>
    </i>
    <i r="4">
      <x v="267"/>
      <x v="235"/>
      <x v="29"/>
    </i>
    <i r="4">
      <x v="268"/>
      <x v="235"/>
      <x v="22"/>
    </i>
    <i r="4">
      <x v="269"/>
      <x v="235"/>
      <x v="27"/>
    </i>
    <i r="4">
      <x v="270"/>
      <x v="235"/>
      <x v="28"/>
    </i>
    <i r="4">
      <x v="271"/>
      <x v="235"/>
      <x v="32"/>
    </i>
    <i r="4">
      <x v="272"/>
      <x v="235"/>
      <x v="30"/>
    </i>
    <i r="4">
      <x v="273"/>
      <x v="235"/>
      <x v="25"/>
    </i>
    <i r="4">
      <x v="274"/>
      <x v="235"/>
      <x v="34"/>
    </i>
    <i r="4">
      <x v="275"/>
      <x v="235"/>
      <x v="24"/>
    </i>
    <i r="4">
      <x v="276"/>
      <x v="235"/>
      <x v="19"/>
    </i>
    <i r="4">
      <x v="277"/>
      <x v="235"/>
      <x v="23"/>
    </i>
    <i r="4">
      <x v="278"/>
      <x v="235"/>
      <x v="26"/>
    </i>
    <i r="4">
      <x v="279"/>
      <x v="235"/>
      <x v="31"/>
    </i>
    <i r="3">
      <x v="16"/>
      <x v="264"/>
      <x v="235"/>
      <x v="37"/>
    </i>
    <i r="4">
      <x v="265"/>
      <x v="235"/>
      <x v="50"/>
    </i>
    <i r="4">
      <x v="266"/>
      <x v="235"/>
      <x v="38"/>
    </i>
    <i r="4">
      <x v="267"/>
      <x v="235"/>
      <x v="46"/>
    </i>
    <i r="4">
      <x v="268"/>
      <x v="235"/>
      <x v="39"/>
    </i>
    <i r="4">
      <x v="269"/>
      <x v="235"/>
      <x v="44"/>
    </i>
    <i r="4">
      <x v="270"/>
      <x v="235"/>
      <x v="45"/>
    </i>
    <i r="4">
      <x v="271"/>
      <x v="235"/>
      <x v="49"/>
    </i>
    <i r="4">
      <x v="272"/>
      <x v="235"/>
      <x v="47"/>
    </i>
    <i r="4">
      <x v="273"/>
      <x v="235"/>
      <x v="42"/>
    </i>
    <i r="4">
      <x v="274"/>
      <x v="235"/>
      <x v="51"/>
    </i>
    <i r="4">
      <x v="275"/>
      <x v="235"/>
      <x v="41"/>
    </i>
    <i r="4">
      <x v="276"/>
      <x v="235"/>
      <x v="36"/>
    </i>
    <i r="4">
      <x v="277"/>
      <x v="235"/>
      <x v="40"/>
    </i>
    <i r="4">
      <x v="278"/>
      <x v="235"/>
      <x v="43"/>
    </i>
    <i r="4">
      <x v="279"/>
      <x v="235"/>
      <x v="48"/>
    </i>
    <i>
      <x v="102"/>
      <x v="79"/>
      <x v="1"/>
      <x v="4"/>
      <x v="41"/>
      <x v="109"/>
      <x v="18"/>
    </i>
    <i r="2">
      <x v="3"/>
      <x v="7"/>
      <x v="264"/>
      <x v="109"/>
      <x v="20"/>
    </i>
    <i r="4">
      <x v="265"/>
      <x v="109"/>
      <x v="33"/>
    </i>
    <i r="4">
      <x v="266"/>
      <x v="109"/>
      <x v="21"/>
    </i>
    <i r="4">
      <x v="267"/>
      <x v="109"/>
      <x v="29"/>
    </i>
    <i r="4">
      <x v="268"/>
      <x v="109"/>
      <x v="22"/>
    </i>
    <i r="4">
      <x v="269"/>
      <x v="109"/>
      <x v="27"/>
    </i>
    <i r="4">
      <x v="270"/>
      <x v="109"/>
      <x v="28"/>
    </i>
    <i r="4">
      <x v="271"/>
      <x v="109"/>
      <x v="32"/>
    </i>
    <i r="4">
      <x v="272"/>
      <x v="109"/>
      <x v="30"/>
    </i>
    <i r="4">
      <x v="273"/>
      <x v="109"/>
      <x v="25"/>
    </i>
    <i r="4">
      <x v="274"/>
      <x v="109"/>
      <x v="34"/>
    </i>
    <i r="4">
      <x v="275"/>
      <x v="109"/>
      <x v="24"/>
    </i>
    <i r="4">
      <x v="276"/>
      <x v="109"/>
      <x v="19"/>
    </i>
    <i r="4">
      <x v="277"/>
      <x v="109"/>
      <x v="23"/>
    </i>
    <i r="4">
      <x v="278"/>
      <x v="109"/>
      <x v="26"/>
    </i>
    <i r="4">
      <x v="279"/>
      <x v="109"/>
      <x v="31"/>
    </i>
    <i>
      <x v="103"/>
      <x v="79"/>
      <x v="1"/>
      <x v="9"/>
      <x v="41"/>
      <x v="133"/>
      <x v="35"/>
    </i>
    <i r="3">
      <x v="20"/>
      <x v="41"/>
      <x v="111"/>
      <x v="35"/>
    </i>
    <i r="2">
      <x v="3"/>
      <x v="4"/>
      <x v="264"/>
      <x v="111"/>
      <x v="37"/>
    </i>
    <i r="5">
      <x v="133"/>
      <x v="37"/>
    </i>
    <i r="4">
      <x v="265"/>
      <x v="111"/>
      <x v="50"/>
    </i>
    <i r="5">
      <x v="133"/>
      <x v="50"/>
    </i>
    <i r="4">
      <x v="266"/>
      <x v="111"/>
      <x v="38"/>
    </i>
    <i r="5">
      <x v="133"/>
      <x v="38"/>
    </i>
    <i r="4">
      <x v="267"/>
      <x v="111"/>
      <x v="46"/>
    </i>
    <i r="5">
      <x v="133"/>
      <x v="46"/>
    </i>
    <i r="4">
      <x v="268"/>
      <x v="111"/>
      <x v="39"/>
    </i>
    <i r="5">
      <x v="133"/>
      <x v="39"/>
    </i>
    <i r="4">
      <x v="269"/>
      <x v="111"/>
      <x v="44"/>
    </i>
    <i r="5">
      <x v="133"/>
      <x v="44"/>
    </i>
    <i r="4">
      <x v="270"/>
      <x v="111"/>
      <x v="45"/>
    </i>
    <i r="5">
      <x v="133"/>
      <x v="45"/>
    </i>
    <i r="4">
      <x v="271"/>
      <x v="111"/>
      <x v="49"/>
    </i>
    <i r="5">
      <x v="133"/>
      <x v="49"/>
    </i>
    <i r="4">
      <x v="272"/>
      <x v="111"/>
      <x v="47"/>
    </i>
    <i r="5">
      <x v="133"/>
      <x v="47"/>
    </i>
    <i r="4">
      <x v="273"/>
      <x v="111"/>
      <x v="42"/>
    </i>
    <i r="5">
      <x v="133"/>
      <x v="42"/>
    </i>
    <i r="4">
      <x v="274"/>
      <x v="111"/>
      <x v="51"/>
    </i>
    <i r="5">
      <x v="133"/>
      <x v="51"/>
    </i>
    <i r="4">
      <x v="275"/>
      <x v="111"/>
      <x v="41"/>
    </i>
    <i r="5">
      <x v="133"/>
      <x v="41"/>
    </i>
    <i r="4">
      <x v="276"/>
      <x v="111"/>
      <x v="36"/>
    </i>
    <i r="5">
      <x v="133"/>
      <x v="36"/>
    </i>
    <i r="4">
      <x v="277"/>
      <x v="111"/>
      <x v="40"/>
    </i>
    <i r="5">
      <x v="133"/>
      <x v="40"/>
    </i>
    <i r="4">
      <x v="278"/>
      <x v="111"/>
      <x v="43"/>
    </i>
    <i r="5">
      <x v="133"/>
      <x v="43"/>
    </i>
    <i r="4">
      <x v="279"/>
      <x v="111"/>
      <x v="48"/>
    </i>
    <i r="5">
      <x v="133"/>
      <x v="48"/>
    </i>
    <i>
      <x v="106"/>
      <x v="56"/>
      <x v="1"/>
      <x v="9"/>
      <x v="41"/>
      <x v="237"/>
      <x v="35"/>
    </i>
    <i r="2">
      <x v="3"/>
      <x/>
      <x v="264"/>
      <x v="237"/>
      <x v="37"/>
    </i>
    <i r="4">
      <x v="265"/>
      <x v="237"/>
      <x v="50"/>
    </i>
    <i r="4">
      <x v="266"/>
      <x v="237"/>
      <x v="38"/>
    </i>
    <i r="4">
      <x v="267"/>
      <x v="237"/>
      <x v="46"/>
    </i>
    <i r="4">
      <x v="268"/>
      <x v="237"/>
      <x v="39"/>
    </i>
    <i r="4">
      <x v="269"/>
      <x v="237"/>
      <x v="44"/>
    </i>
    <i r="4">
      <x v="270"/>
      <x v="237"/>
      <x v="45"/>
    </i>
    <i r="4">
      <x v="271"/>
      <x v="237"/>
      <x v="49"/>
    </i>
    <i r="4">
      <x v="272"/>
      <x v="237"/>
      <x v="47"/>
    </i>
    <i r="4">
      <x v="273"/>
      <x v="237"/>
      <x v="42"/>
    </i>
    <i r="4">
      <x v="274"/>
      <x v="237"/>
      <x v="51"/>
    </i>
    <i r="4">
      <x v="275"/>
      <x v="237"/>
      <x v="41"/>
    </i>
    <i r="4">
      <x v="276"/>
      <x v="237"/>
      <x v="36"/>
    </i>
    <i r="4">
      <x v="277"/>
      <x v="237"/>
      <x v="40"/>
    </i>
    <i r="4">
      <x v="278"/>
      <x v="237"/>
      <x v="43"/>
    </i>
    <i r="4">
      <x v="279"/>
      <x v="237"/>
      <x v="48"/>
    </i>
    <i>
      <x v="107"/>
      <x v="72"/>
      <x v="1"/>
      <x v="4"/>
      <x v="41"/>
      <x v="238"/>
      <x v="52"/>
    </i>
    <i r="5">
      <x v="239"/>
      <x v="52"/>
    </i>
    <i r="3">
      <x v="7"/>
      <x v="41"/>
      <x v="238"/>
      <x v="52"/>
    </i>
    <i r="3">
      <x v="9"/>
      <x v="41"/>
      <x v="239"/>
      <x v="35"/>
    </i>
    <i r="2">
      <x v="3"/>
      <x v="4"/>
      <x v="264"/>
      <x v="239"/>
      <x v="37"/>
    </i>
    <i r="4">
      <x v="266"/>
      <x v="239"/>
      <x v="38"/>
    </i>
    <i r="4">
      <x v="267"/>
      <x v="239"/>
      <x v="46"/>
    </i>
    <i r="4">
      <x v="268"/>
      <x v="239"/>
      <x v="39"/>
    </i>
    <i r="4">
      <x v="269"/>
      <x v="239"/>
      <x v="44"/>
    </i>
    <i r="4">
      <x v="270"/>
      <x v="239"/>
      <x v="45"/>
    </i>
    <i r="4">
      <x v="271"/>
      <x v="239"/>
      <x v="49"/>
    </i>
    <i r="4">
      <x v="272"/>
      <x v="239"/>
      <x v="47"/>
    </i>
    <i r="4">
      <x v="273"/>
      <x v="239"/>
      <x v="42"/>
    </i>
    <i r="4">
      <x v="274"/>
      <x v="239"/>
      <x v="51"/>
    </i>
    <i r="4">
      <x v="275"/>
      <x v="239"/>
      <x v="41"/>
    </i>
    <i r="4">
      <x v="276"/>
      <x v="239"/>
      <x v="36"/>
    </i>
    <i r="4">
      <x v="277"/>
      <x v="239"/>
      <x v="40"/>
    </i>
    <i r="4">
      <x v="278"/>
      <x v="239"/>
      <x v="43"/>
    </i>
    <i r="4">
      <x v="279"/>
      <x v="239"/>
      <x v="48"/>
    </i>
    <i>
      <x v="108"/>
      <x v="75"/>
      <x v="1"/>
      <x v="4"/>
      <x v="41"/>
      <x v="245"/>
      <x v="18"/>
    </i>
    <i r="2">
      <x v="3"/>
      <x v="7"/>
      <x v="264"/>
      <x v="245"/>
      <x v="20"/>
    </i>
    <i r="4">
      <x v="265"/>
      <x v="245"/>
      <x v="33"/>
    </i>
    <i r="4">
      <x v="266"/>
      <x v="245"/>
      <x v="21"/>
    </i>
    <i r="4">
      <x v="267"/>
      <x v="245"/>
      <x v="29"/>
    </i>
    <i r="4">
      <x v="268"/>
      <x v="245"/>
      <x v="22"/>
    </i>
    <i r="4">
      <x v="269"/>
      <x v="245"/>
      <x v="27"/>
    </i>
    <i r="4">
      <x v="270"/>
      <x v="245"/>
      <x v="28"/>
    </i>
    <i r="4">
      <x v="271"/>
      <x v="245"/>
      <x v="32"/>
    </i>
    <i r="4">
      <x v="272"/>
      <x v="245"/>
      <x v="30"/>
    </i>
    <i r="4">
      <x v="273"/>
      <x v="245"/>
      <x v="25"/>
    </i>
    <i r="4">
      <x v="275"/>
      <x v="245"/>
      <x v="24"/>
    </i>
    <i r="4">
      <x v="276"/>
      <x v="245"/>
      <x v="19"/>
    </i>
    <i r="4">
      <x v="277"/>
      <x v="245"/>
      <x v="23"/>
    </i>
    <i r="4">
      <x v="278"/>
      <x v="245"/>
      <x v="26"/>
    </i>
    <i r="4">
      <x v="279"/>
      <x v="245"/>
      <x v="31"/>
    </i>
    <i>
      <x v="109"/>
      <x v="76"/>
      <x v="1"/>
      <x v="9"/>
      <x v="41"/>
      <x v="246"/>
      <x v="35"/>
    </i>
    <i r="2">
      <x v="3"/>
      <x/>
      <x v="264"/>
      <x v="246"/>
      <x v="37"/>
    </i>
    <i r="4">
      <x v="265"/>
      <x v="246"/>
      <x v="50"/>
    </i>
    <i r="4">
      <x v="266"/>
      <x v="246"/>
      <x v="38"/>
    </i>
    <i r="4">
      <x v="267"/>
      <x v="246"/>
      <x v="46"/>
    </i>
    <i r="4">
      <x v="268"/>
      <x v="246"/>
      <x v="39"/>
    </i>
    <i r="4">
      <x v="269"/>
      <x v="246"/>
      <x v="44"/>
    </i>
    <i r="4">
      <x v="270"/>
      <x v="246"/>
      <x v="45"/>
    </i>
    <i r="4">
      <x v="271"/>
      <x v="246"/>
      <x v="49"/>
    </i>
    <i r="4">
      <x v="272"/>
      <x v="246"/>
      <x v="47"/>
    </i>
    <i r="4">
      <x v="273"/>
      <x v="246"/>
      <x v="42"/>
    </i>
    <i r="4">
      <x v="274"/>
      <x v="246"/>
      <x v="51"/>
    </i>
    <i r="4">
      <x v="275"/>
      <x v="246"/>
      <x v="41"/>
    </i>
    <i r="4">
      <x v="276"/>
      <x v="246"/>
      <x v="36"/>
    </i>
    <i r="4">
      <x v="277"/>
      <x v="246"/>
      <x v="40"/>
    </i>
    <i r="4">
      <x v="278"/>
      <x v="246"/>
      <x v="43"/>
    </i>
    <i r="4">
      <x v="279"/>
      <x v="246"/>
      <x v="48"/>
    </i>
    <i>
      <x v="110"/>
      <x v="76"/>
      <x v="1"/>
      <x v="9"/>
      <x v="41"/>
      <x v="247"/>
      <x v="35"/>
    </i>
    <i r="2">
      <x v="3"/>
      <x/>
      <x v="264"/>
      <x v="247"/>
      <x v="37"/>
    </i>
    <i r="4">
      <x v="265"/>
      <x v="247"/>
      <x v="50"/>
    </i>
    <i r="4">
      <x v="266"/>
      <x v="247"/>
      <x v="38"/>
    </i>
    <i r="4">
      <x v="267"/>
      <x v="247"/>
      <x v="46"/>
    </i>
    <i r="4">
      <x v="268"/>
      <x v="247"/>
      <x v="39"/>
    </i>
    <i r="4">
      <x v="269"/>
      <x v="247"/>
      <x v="44"/>
    </i>
    <i r="4">
      <x v="270"/>
      <x v="247"/>
      <x v="45"/>
    </i>
    <i r="4">
      <x v="271"/>
      <x v="247"/>
      <x v="49"/>
    </i>
    <i r="4">
      <x v="272"/>
      <x v="247"/>
      <x v="47"/>
    </i>
    <i r="4">
      <x v="273"/>
      <x v="247"/>
      <x v="42"/>
    </i>
    <i r="4">
      <x v="274"/>
      <x v="247"/>
      <x v="51"/>
    </i>
    <i r="4">
      <x v="275"/>
      <x v="247"/>
      <x v="41"/>
    </i>
    <i r="4">
      <x v="276"/>
      <x v="247"/>
      <x v="36"/>
    </i>
    <i r="4">
      <x v="277"/>
      <x v="247"/>
      <x v="40"/>
    </i>
    <i r="4">
      <x v="278"/>
      <x v="247"/>
      <x v="43"/>
    </i>
    <i r="4">
      <x v="279"/>
      <x v="247"/>
      <x v="48"/>
    </i>
    <i>
      <x v="114"/>
      <x v="76"/>
      <x v="1"/>
      <x v="7"/>
      <x v="41"/>
      <x v="234"/>
      <x v="35"/>
    </i>
    <i r="2">
      <x v="3"/>
      <x v="7"/>
      <x v="264"/>
      <x v="234"/>
      <x v="37"/>
    </i>
    <i r="4">
      <x v="265"/>
      <x v="234"/>
      <x v="50"/>
    </i>
    <i r="4">
      <x v="266"/>
      <x v="234"/>
      <x v="38"/>
    </i>
    <i r="4">
      <x v="267"/>
      <x v="234"/>
      <x v="46"/>
    </i>
    <i r="4">
      <x v="268"/>
      <x v="234"/>
      <x v="39"/>
    </i>
    <i r="4">
      <x v="269"/>
      <x v="234"/>
      <x v="44"/>
    </i>
    <i r="4">
      <x v="270"/>
      <x v="234"/>
      <x v="45"/>
    </i>
    <i r="4">
      <x v="271"/>
      <x v="234"/>
      <x v="49"/>
    </i>
    <i r="4">
      <x v="272"/>
      <x v="234"/>
      <x v="47"/>
    </i>
    <i r="4">
      <x v="273"/>
      <x v="234"/>
      <x v="42"/>
    </i>
    <i r="4">
      <x v="274"/>
      <x v="234"/>
      <x v="51"/>
    </i>
    <i r="4">
      <x v="275"/>
      <x v="234"/>
      <x v="41"/>
    </i>
    <i r="4">
      <x v="276"/>
      <x v="234"/>
      <x v="36"/>
    </i>
    <i r="4">
      <x v="277"/>
      <x v="234"/>
      <x v="40"/>
    </i>
    <i r="4">
      <x v="278"/>
      <x v="234"/>
      <x v="43"/>
    </i>
    <i r="4">
      <x v="279"/>
      <x v="234"/>
      <x v="48"/>
    </i>
    <i>
      <x v="115"/>
      <x v="56"/>
      <x v="1"/>
      <x v="7"/>
      <x v="41"/>
      <x v="236"/>
      <x v="52"/>
    </i>
    <i>
      <x v="116"/>
      <x v="56"/>
      <x v="1"/>
      <x v="7"/>
      <x v="41"/>
      <x v="237"/>
      <x v="52"/>
    </i>
    <i>
      <x v="117"/>
      <x v="76"/>
      <x v="1"/>
      <x v="4"/>
      <x v="41"/>
      <x v="248"/>
      <x v="35"/>
    </i>
    <i r="2">
      <x v="3"/>
      <x v="7"/>
      <x v="264"/>
      <x v="248"/>
      <x v="37"/>
    </i>
    <i r="4">
      <x v="265"/>
      <x v="248"/>
      <x v="50"/>
    </i>
    <i r="4">
      <x v="266"/>
      <x v="248"/>
      <x v="38"/>
    </i>
    <i r="4">
      <x v="267"/>
      <x v="248"/>
      <x v="46"/>
    </i>
    <i r="4">
      <x v="268"/>
      <x v="248"/>
      <x v="39"/>
    </i>
    <i r="4">
      <x v="269"/>
      <x v="248"/>
      <x v="44"/>
    </i>
    <i r="4">
      <x v="270"/>
      <x v="248"/>
      <x v="45"/>
    </i>
    <i r="4">
      <x v="271"/>
      <x v="248"/>
      <x v="49"/>
    </i>
    <i r="4">
      <x v="272"/>
      <x v="248"/>
      <x v="47"/>
    </i>
    <i r="4">
      <x v="273"/>
      <x v="248"/>
      <x v="42"/>
    </i>
    <i r="4">
      <x v="274"/>
      <x v="248"/>
      <x v="51"/>
    </i>
    <i r="4">
      <x v="275"/>
      <x v="248"/>
      <x v="41"/>
    </i>
    <i r="4">
      <x v="276"/>
      <x v="248"/>
      <x v="36"/>
    </i>
    <i r="4">
      <x v="277"/>
      <x v="248"/>
      <x v="40"/>
    </i>
    <i r="4">
      <x v="278"/>
      <x v="248"/>
      <x v="43"/>
    </i>
    <i r="4">
      <x v="279"/>
      <x v="248"/>
      <x v="48"/>
    </i>
    <i>
      <x v="118"/>
      <x v="80"/>
      <x v="1"/>
      <x v="4"/>
      <x v="41"/>
      <x v="250"/>
      <x v="35"/>
    </i>
    <i r="3">
      <x v="7"/>
      <x v="41"/>
      <x v="249"/>
      <x v="52"/>
    </i>
    <i r="5">
      <x v="250"/>
      <x v="18"/>
    </i>
    <i r="2">
      <x v="3"/>
      <x v="7"/>
      <x v="264"/>
      <x v="250"/>
      <x v="37"/>
    </i>
    <i r="4">
      <x v="265"/>
      <x v="250"/>
      <x v="50"/>
    </i>
    <i r="4">
      <x v="266"/>
      <x v="250"/>
      <x v="38"/>
    </i>
    <i r="4">
      <x v="267"/>
      <x v="250"/>
      <x v="46"/>
    </i>
    <i r="4">
      <x v="268"/>
      <x v="250"/>
      <x v="39"/>
    </i>
    <i r="4">
      <x v="269"/>
      <x v="250"/>
      <x v="44"/>
    </i>
    <i r="4">
      <x v="270"/>
      <x v="250"/>
      <x v="45"/>
    </i>
    <i r="4">
      <x v="271"/>
      <x v="250"/>
      <x v="49"/>
    </i>
    <i r="4">
      <x v="272"/>
      <x v="250"/>
      <x v="47"/>
    </i>
    <i r="4">
      <x v="273"/>
      <x v="250"/>
      <x v="42"/>
    </i>
    <i r="4">
      <x v="274"/>
      <x v="250"/>
      <x v="51"/>
    </i>
    <i r="4">
      <x v="275"/>
      <x v="250"/>
      <x v="41"/>
    </i>
    <i r="4">
      <x v="276"/>
      <x v="250"/>
      <x v="36"/>
    </i>
    <i r="4">
      <x v="277"/>
      <x v="250"/>
      <x v="40"/>
    </i>
    <i r="4">
      <x v="278"/>
      <x v="250"/>
      <x v="43"/>
    </i>
    <i r="4">
      <x v="279"/>
      <x v="250"/>
      <x v="48"/>
    </i>
    <i>
      <x v="119"/>
      <x v="81"/>
      <x v="1"/>
      <x v="9"/>
      <x v="41"/>
      <x v="187"/>
      <x v="35"/>
    </i>
    <i r="2">
      <x v="3"/>
      <x/>
      <x v="264"/>
      <x v="187"/>
      <x v="37"/>
    </i>
    <i r="4">
      <x v="265"/>
      <x v="187"/>
      <x v="50"/>
    </i>
    <i r="4">
      <x v="266"/>
      <x v="187"/>
      <x v="38"/>
    </i>
    <i r="4">
      <x v="268"/>
      <x v="187"/>
      <x v="39"/>
    </i>
    <i r="4">
      <x v="269"/>
      <x v="187"/>
      <x v="44"/>
    </i>
    <i r="4">
      <x v="270"/>
      <x v="187"/>
      <x v="45"/>
    </i>
    <i r="4">
      <x v="271"/>
      <x v="187"/>
      <x v="49"/>
    </i>
    <i r="4">
      <x v="272"/>
      <x v="187"/>
      <x v="47"/>
    </i>
    <i r="4">
      <x v="273"/>
      <x v="187"/>
      <x v="42"/>
    </i>
    <i r="4">
      <x v="274"/>
      <x v="187"/>
      <x v="51"/>
    </i>
    <i r="4">
      <x v="275"/>
      <x v="187"/>
      <x v="41"/>
    </i>
    <i r="4">
      <x v="276"/>
      <x v="187"/>
      <x v="36"/>
    </i>
    <i r="4">
      <x v="277"/>
      <x v="187"/>
      <x v="40"/>
    </i>
    <i r="4">
      <x v="278"/>
      <x v="187"/>
      <x v="43"/>
    </i>
    <i r="4">
      <x v="279"/>
      <x v="187"/>
      <x v="48"/>
    </i>
    <i>
      <x v="120"/>
      <x v="54"/>
      <x v="1"/>
      <x v="4"/>
      <x v="41"/>
      <x v="198"/>
      <x v="35"/>
    </i>
    <i r="2">
      <x v="3"/>
      <x/>
      <x v="264"/>
      <x v="198"/>
      <x v="37"/>
    </i>
    <i r="4">
      <x v="265"/>
      <x v="198"/>
      <x v="50"/>
    </i>
    <i r="4">
      <x v="266"/>
      <x v="198"/>
      <x v="38"/>
    </i>
    <i r="4">
      <x v="267"/>
      <x v="198"/>
      <x v="46"/>
    </i>
    <i r="4">
      <x v="268"/>
      <x v="198"/>
      <x v="39"/>
    </i>
    <i r="4">
      <x v="269"/>
      <x v="198"/>
      <x v="44"/>
    </i>
    <i r="4">
      <x v="270"/>
      <x v="198"/>
      <x v="45"/>
    </i>
    <i r="4">
      <x v="271"/>
      <x v="198"/>
      <x v="49"/>
    </i>
    <i r="4">
      <x v="272"/>
      <x v="198"/>
      <x v="47"/>
    </i>
    <i r="4">
      <x v="273"/>
      <x v="198"/>
      <x v="42"/>
    </i>
    <i r="4">
      <x v="274"/>
      <x v="198"/>
      <x v="51"/>
    </i>
    <i r="4">
      <x v="275"/>
      <x v="198"/>
      <x v="41"/>
    </i>
    <i r="4">
      <x v="276"/>
      <x v="198"/>
      <x v="36"/>
    </i>
    <i r="4">
      <x v="277"/>
      <x v="198"/>
      <x v="40"/>
    </i>
    <i r="4">
      <x v="278"/>
      <x v="198"/>
      <x v="43"/>
    </i>
    <i r="4">
      <x v="279"/>
      <x v="198"/>
      <x v="48"/>
    </i>
    <i>
      <x v="121"/>
      <x v="81"/>
      <x v="1"/>
      <x v="4"/>
      <x v="41"/>
      <x v="219"/>
      <x v="18"/>
    </i>
    <i r="2">
      <x v="3"/>
      <x v="7"/>
      <x v="264"/>
      <x v="219"/>
      <x v="20"/>
    </i>
    <i r="4">
      <x v="265"/>
      <x v="219"/>
      <x v="33"/>
    </i>
    <i r="4">
      <x v="266"/>
      <x v="219"/>
      <x v="21"/>
    </i>
    <i r="4">
      <x v="267"/>
      <x v="219"/>
      <x v="29"/>
    </i>
    <i r="4">
      <x v="268"/>
      <x v="219"/>
      <x v="22"/>
    </i>
    <i r="4">
      <x v="269"/>
      <x v="219"/>
      <x v="27"/>
    </i>
    <i r="4">
      <x v="270"/>
      <x v="219"/>
      <x v="28"/>
    </i>
    <i r="4">
      <x v="271"/>
      <x v="219"/>
      <x v="32"/>
    </i>
    <i r="4">
      <x v="272"/>
      <x v="219"/>
      <x v="30"/>
    </i>
    <i r="4">
      <x v="273"/>
      <x v="219"/>
      <x v="25"/>
    </i>
    <i r="4">
      <x v="274"/>
      <x v="219"/>
      <x v="34"/>
    </i>
    <i r="4">
      <x v="275"/>
      <x v="219"/>
      <x v="24"/>
    </i>
    <i r="4">
      <x v="276"/>
      <x v="219"/>
      <x v="19"/>
    </i>
    <i r="4">
      <x v="277"/>
      <x v="219"/>
      <x v="23"/>
    </i>
    <i r="4">
      <x v="278"/>
      <x v="219"/>
      <x v="26"/>
    </i>
    <i r="4">
      <x v="279"/>
      <x v="219"/>
      <x v="31"/>
    </i>
    <i>
      <x v="122"/>
      <x v="69"/>
      <x v="1"/>
      <x v="7"/>
      <x v="41"/>
      <x v="72"/>
      <x v="52"/>
    </i>
    <i>
      <x v="123"/>
      <x v="84"/>
      <x v="1"/>
      <x v="4"/>
      <x v="41"/>
      <x v="251"/>
      <x v="35"/>
    </i>
    <i r="3">
      <x v="21"/>
      <x v="41"/>
      <x v="251"/>
      <x v="52"/>
    </i>
    <i r="2">
      <x v="3"/>
      <x v="7"/>
      <x v="264"/>
      <x v="251"/>
      <x v="37"/>
    </i>
    <i r="4">
      <x v="265"/>
      <x v="251"/>
      <x v="50"/>
    </i>
    <i r="4">
      <x v="266"/>
      <x v="251"/>
      <x v="38"/>
    </i>
    <i r="4">
      <x v="267"/>
      <x v="251"/>
      <x v="46"/>
    </i>
    <i r="4">
      <x v="268"/>
      <x v="251"/>
      <x v="39"/>
    </i>
    <i r="4">
      <x v="269"/>
      <x v="251"/>
      <x v="44"/>
    </i>
    <i r="4">
      <x v="270"/>
      <x v="251"/>
      <x v="45"/>
    </i>
    <i r="4">
      <x v="271"/>
      <x v="251"/>
      <x v="49"/>
    </i>
    <i r="4">
      <x v="272"/>
      <x v="251"/>
      <x v="47"/>
    </i>
    <i r="4">
      <x v="273"/>
      <x v="251"/>
      <x v="42"/>
    </i>
    <i r="4">
      <x v="274"/>
      <x v="251"/>
      <x v="51"/>
    </i>
    <i r="4">
      <x v="275"/>
      <x v="251"/>
      <x v="41"/>
    </i>
    <i r="4">
      <x v="276"/>
      <x v="251"/>
      <x v="36"/>
    </i>
    <i r="4">
      <x v="277"/>
      <x v="251"/>
      <x v="40"/>
    </i>
    <i r="4">
      <x v="278"/>
      <x v="251"/>
      <x v="43"/>
    </i>
    <i r="4">
      <x v="279"/>
      <x v="251"/>
      <x v="48"/>
    </i>
    <i>
      <x v="124"/>
      <x v="85"/>
      <x v="1"/>
      <x v="4"/>
      <x v="41"/>
      <x v="252"/>
      <x v="35"/>
    </i>
    <i r="3">
      <x v="9"/>
      <x v="41"/>
      <x v="252"/>
      <x v="35"/>
    </i>
    <i r="2">
      <x v="3"/>
      <x/>
      <x v="264"/>
      <x v="252"/>
      <x v="37"/>
    </i>
    <i r="4">
      <x v="265"/>
      <x v="252"/>
      <x v="50"/>
    </i>
    <i r="4">
      <x v="266"/>
      <x v="252"/>
      <x v="38"/>
    </i>
    <i r="4">
      <x v="267"/>
      <x v="252"/>
      <x v="46"/>
    </i>
    <i r="4">
      <x v="268"/>
      <x v="252"/>
      <x v="39"/>
    </i>
    <i r="4">
      <x v="269"/>
      <x v="252"/>
      <x v="44"/>
    </i>
    <i r="4">
      <x v="270"/>
      <x v="252"/>
      <x v="45"/>
    </i>
    <i r="4">
      <x v="271"/>
      <x v="252"/>
      <x v="49"/>
    </i>
    <i r="4">
      <x v="272"/>
      <x v="252"/>
      <x v="47"/>
    </i>
    <i r="4">
      <x v="273"/>
      <x v="252"/>
      <x v="42"/>
    </i>
    <i r="4">
      <x v="274"/>
      <x v="252"/>
      <x v="51"/>
    </i>
    <i r="4">
      <x v="275"/>
      <x v="252"/>
      <x v="41"/>
    </i>
    <i r="4">
      <x v="276"/>
      <x v="252"/>
      <x v="36"/>
    </i>
    <i r="4">
      <x v="277"/>
      <x v="252"/>
      <x v="40"/>
    </i>
    <i r="4">
      <x v="278"/>
      <x v="252"/>
      <x v="43"/>
    </i>
    <i r="4">
      <x v="279"/>
      <x v="252"/>
      <x v="48"/>
    </i>
    <i r="3">
      <x v="7"/>
      <x v="264"/>
      <x v="252"/>
      <x v="37"/>
    </i>
    <i r="4">
      <x v="265"/>
      <x v="252"/>
      <x v="50"/>
    </i>
    <i r="4">
      <x v="266"/>
      <x v="252"/>
      <x v="38"/>
    </i>
    <i r="4">
      <x v="267"/>
      <x v="252"/>
      <x v="46"/>
    </i>
    <i r="4">
      <x v="268"/>
      <x v="252"/>
      <x v="39"/>
    </i>
    <i r="4">
      <x v="269"/>
      <x v="252"/>
      <x v="44"/>
    </i>
    <i r="4">
      <x v="270"/>
      <x v="252"/>
      <x v="45"/>
    </i>
    <i r="4">
      <x v="271"/>
      <x v="252"/>
      <x v="49"/>
    </i>
    <i r="4">
      <x v="272"/>
      <x v="252"/>
      <x v="47"/>
    </i>
    <i r="4">
      <x v="273"/>
      <x v="252"/>
      <x v="42"/>
    </i>
    <i r="4">
      <x v="274"/>
      <x v="252"/>
      <x v="51"/>
    </i>
    <i r="4">
      <x v="275"/>
      <x v="252"/>
      <x v="41"/>
    </i>
    <i r="4">
      <x v="276"/>
      <x v="252"/>
      <x v="36"/>
    </i>
    <i r="4">
      <x v="277"/>
      <x v="252"/>
      <x v="40"/>
    </i>
    <i r="4">
      <x v="278"/>
      <x v="252"/>
      <x v="43"/>
    </i>
    <i r="4">
      <x v="279"/>
      <x v="252"/>
      <x v="48"/>
    </i>
    <i>
      <x v="125"/>
      <x v="70"/>
      <x v="1"/>
      <x v="7"/>
      <x v="41"/>
      <x v="211"/>
      <x v="18"/>
    </i>
    <i r="6">
      <x v="52"/>
    </i>
    <i r="3">
      <x v="9"/>
      <x v="41"/>
      <x v="211"/>
      <x v="35"/>
    </i>
    <i r="2">
      <x v="3"/>
      <x/>
      <x v="264"/>
      <x v="211"/>
      <x v="37"/>
    </i>
    <i r="4">
      <x v="265"/>
      <x v="211"/>
      <x v="50"/>
    </i>
    <i r="4">
      <x v="266"/>
      <x v="211"/>
      <x v="38"/>
    </i>
    <i r="4">
      <x v="267"/>
      <x v="211"/>
      <x v="46"/>
    </i>
    <i r="4">
      <x v="268"/>
      <x v="211"/>
      <x v="39"/>
    </i>
    <i r="4">
      <x v="269"/>
      <x v="211"/>
      <x v="44"/>
    </i>
    <i r="4">
      <x v="270"/>
      <x v="211"/>
      <x v="45"/>
    </i>
    <i r="4">
      <x v="271"/>
      <x v="211"/>
      <x v="49"/>
    </i>
    <i r="4">
      <x v="272"/>
      <x v="211"/>
      <x v="47"/>
    </i>
    <i r="4">
      <x v="273"/>
      <x v="211"/>
      <x v="42"/>
    </i>
    <i r="4">
      <x v="274"/>
      <x v="211"/>
      <x v="51"/>
    </i>
    <i r="4">
      <x v="275"/>
      <x v="211"/>
      <x v="41"/>
    </i>
    <i r="4">
      <x v="276"/>
      <x v="211"/>
      <x v="36"/>
    </i>
    <i r="4">
      <x v="277"/>
      <x v="211"/>
      <x v="40"/>
    </i>
    <i r="4">
      <x v="278"/>
      <x v="211"/>
      <x v="43"/>
    </i>
    <i r="4">
      <x v="279"/>
      <x v="211"/>
      <x v="48"/>
    </i>
    <i r="3">
      <x v="7"/>
      <x v="264"/>
      <x v="211"/>
      <x v="20"/>
    </i>
    <i r="4">
      <x v="265"/>
      <x v="211"/>
      <x v="33"/>
    </i>
    <i r="4">
      <x v="266"/>
      <x v="211"/>
      <x v="21"/>
    </i>
    <i r="4">
      <x v="267"/>
      <x v="211"/>
      <x v="29"/>
    </i>
    <i r="4">
      <x v="268"/>
      <x v="211"/>
      <x v="22"/>
    </i>
    <i r="4">
      <x v="269"/>
      <x v="211"/>
      <x v="27"/>
    </i>
    <i r="4">
      <x v="270"/>
      <x v="211"/>
      <x v="28"/>
    </i>
    <i r="4">
      <x v="271"/>
      <x v="211"/>
      <x v="32"/>
    </i>
    <i r="4">
      <x v="272"/>
      <x v="211"/>
      <x v="30"/>
    </i>
    <i r="4">
      <x v="273"/>
      <x v="211"/>
      <x v="25"/>
    </i>
    <i r="4">
      <x v="274"/>
      <x v="211"/>
      <x v="34"/>
    </i>
    <i r="4">
      <x v="275"/>
      <x v="211"/>
      <x v="24"/>
    </i>
    <i r="4">
      <x v="276"/>
      <x v="211"/>
      <x v="19"/>
    </i>
    <i r="4">
      <x v="277"/>
      <x v="211"/>
      <x v="23"/>
    </i>
    <i r="4">
      <x v="278"/>
      <x v="211"/>
      <x v="26"/>
    </i>
    <i r="4">
      <x v="279"/>
      <x v="211"/>
      <x v="31"/>
    </i>
    <i>
      <x v="126"/>
      <x v="62"/>
      <x v="1"/>
      <x v="25"/>
      <x v="41"/>
      <x v="253"/>
      <x v="52"/>
    </i>
    <i>
      <x v="127"/>
      <x v="62"/>
      <x v="1"/>
      <x v="25"/>
      <x v="41"/>
      <x v="254"/>
      <x v="52"/>
    </i>
    <i>
      <x v="128"/>
      <x v="62"/>
      <x v="1"/>
      <x v="25"/>
      <x v="41"/>
      <x v="253"/>
      <x v="52"/>
    </i>
    <i>
      <x v="129"/>
      <x v="86"/>
      <x v="1"/>
      <x v="26"/>
      <x v="41"/>
      <x v="255"/>
      <x v="18"/>
    </i>
    <i r="5">
      <x v="256"/>
      <x v="18"/>
    </i>
    <i r="5">
      <x v="257"/>
      <x v="52"/>
    </i>
    <i r="5">
      <x v="258"/>
      <x v="52"/>
    </i>
    <i r="2">
      <x v="3"/>
      <x v="25"/>
      <x v="264"/>
      <x v="255"/>
      <x v="20"/>
    </i>
    <i r="4">
      <x v="266"/>
      <x v="255"/>
      <x v="21"/>
    </i>
    <i r="4">
      <x v="268"/>
      <x v="255"/>
      <x v="22"/>
    </i>
    <i r="4">
      <x v="276"/>
      <x v="255"/>
      <x v="19"/>
    </i>
    <i r="3">
      <x v="26"/>
      <x v="264"/>
      <x v="256"/>
      <x v="20"/>
    </i>
    <i r="4">
      <x v="266"/>
      <x v="256"/>
      <x v="21"/>
    </i>
    <i r="4">
      <x v="268"/>
      <x v="256"/>
      <x v="22"/>
    </i>
    <i r="4">
      <x v="276"/>
      <x v="256"/>
      <x v="19"/>
    </i>
    <i r="4">
      <x v="277"/>
      <x v="256"/>
      <x v="23"/>
    </i>
    <i>
      <x v="130"/>
      <x v="87"/>
      <x v="1"/>
      <x v="26"/>
      <x v="41"/>
      <x v="152"/>
      <x v="18"/>
    </i>
    <i r="2">
      <x v="3"/>
      <x v="25"/>
      <x v="264"/>
      <x v="152"/>
      <x v="20"/>
    </i>
    <i r="4">
      <x v="265"/>
      <x v="152"/>
      <x v="33"/>
    </i>
    <i r="4">
      <x v="266"/>
      <x v="152"/>
      <x v="21"/>
    </i>
    <i r="4">
      <x v="267"/>
      <x v="152"/>
      <x v="29"/>
    </i>
    <i r="4">
      <x v="268"/>
      <x v="152"/>
      <x v="22"/>
    </i>
    <i r="4">
      <x v="269"/>
      <x v="152"/>
      <x v="27"/>
    </i>
    <i r="4">
      <x v="270"/>
      <x v="152"/>
      <x v="28"/>
    </i>
    <i r="4">
      <x v="271"/>
      <x v="152"/>
      <x v="32"/>
    </i>
    <i r="4">
      <x v="272"/>
      <x v="152"/>
      <x v="30"/>
    </i>
    <i r="4">
      <x v="273"/>
      <x v="152"/>
      <x v="25"/>
    </i>
    <i r="4">
      <x v="274"/>
      <x v="152"/>
      <x v="34"/>
    </i>
    <i r="4">
      <x v="275"/>
      <x v="152"/>
      <x v="24"/>
    </i>
    <i r="4">
      <x v="276"/>
      <x v="152"/>
      <x v="19"/>
    </i>
    <i r="4">
      <x v="277"/>
      <x v="152"/>
      <x v="23"/>
    </i>
    <i r="4">
      <x v="278"/>
      <x v="152"/>
      <x v="26"/>
    </i>
    <i r="4">
      <x v="279"/>
      <x v="152"/>
      <x v="31"/>
    </i>
    <i>
      <x v="131"/>
      <x v="87"/>
      <x v="1"/>
      <x v="26"/>
      <x v="41"/>
      <x v="153"/>
      <x v="18"/>
    </i>
    <i r="2">
      <x v="3"/>
      <x v="25"/>
      <x v="264"/>
      <x v="153"/>
      <x v="20"/>
    </i>
    <i r="4">
      <x v="265"/>
      <x v="153"/>
      <x v="33"/>
    </i>
    <i r="4">
      <x v="266"/>
      <x v="153"/>
      <x v="21"/>
    </i>
    <i r="4">
      <x v="267"/>
      <x v="153"/>
      <x v="29"/>
    </i>
    <i r="4">
      <x v="268"/>
      <x v="153"/>
      <x v="22"/>
    </i>
    <i r="4">
      <x v="269"/>
      <x v="153"/>
      <x v="27"/>
    </i>
    <i r="4">
      <x v="270"/>
      <x v="153"/>
      <x v="28"/>
    </i>
    <i r="4">
      <x v="271"/>
      <x v="153"/>
      <x v="32"/>
    </i>
    <i r="4">
      <x v="272"/>
      <x v="153"/>
      <x v="30"/>
    </i>
    <i r="4">
      <x v="273"/>
      <x v="153"/>
      <x v="25"/>
    </i>
    <i r="4">
      <x v="274"/>
      <x v="153"/>
      <x v="34"/>
    </i>
    <i r="4">
      <x v="275"/>
      <x v="153"/>
      <x v="24"/>
    </i>
    <i r="4">
      <x v="276"/>
      <x v="153"/>
      <x v="19"/>
    </i>
    <i r="4">
      <x v="277"/>
      <x v="153"/>
      <x v="23"/>
    </i>
    <i r="4">
      <x v="278"/>
      <x v="153"/>
      <x v="26"/>
    </i>
    <i r="4">
      <x v="279"/>
      <x v="153"/>
      <x v="31"/>
    </i>
    <i>
      <x v="132"/>
      <x v="83"/>
      <x v="1"/>
      <x v="26"/>
      <x v="41"/>
      <x v="259"/>
      <x v="52"/>
    </i>
    <i>
      <x v="133"/>
      <x v="83"/>
      <x v="1"/>
      <x v="25"/>
      <x v="41"/>
      <x v="260"/>
      <x v="52"/>
    </i>
    <i>
      <x v="134"/>
      <x v="83"/>
      <x v="1"/>
      <x v="25"/>
      <x v="41"/>
      <x v="261"/>
      <x v="52"/>
    </i>
    <i>
      <x v="135"/>
      <x v="75"/>
      <x v="1"/>
      <x v="25"/>
      <x v="41"/>
      <x v="262"/>
      <x v="52"/>
    </i>
    <i>
      <x v="136"/>
      <x v="95"/>
      <x v="1"/>
      <x v="25"/>
      <x v="41"/>
      <x v="167"/>
      <x v="52"/>
    </i>
    <i r="3">
      <x v="26"/>
      <x v="41"/>
      <x v="164"/>
      <x v="18"/>
    </i>
    <i r="5">
      <x v="166"/>
      <x v="18"/>
    </i>
    <i r="5">
      <x v="168"/>
      <x v="18"/>
    </i>
    <i r="2">
      <x v="3"/>
      <x v="25"/>
      <x v="269"/>
      <x v="164"/>
      <x v="27"/>
    </i>
    <i r="4">
      <x v="271"/>
      <x v="164"/>
      <x v="32"/>
    </i>
    <i r="5">
      <x v="166"/>
      <x v="32"/>
    </i>
    <i r="4">
      <x v="275"/>
      <x v="164"/>
      <x v="24"/>
    </i>
    <i r="5">
      <x v="166"/>
      <x v="24"/>
    </i>
    <i r="5">
      <x v="168"/>
      <x v="24"/>
    </i>
    <i r="4">
      <x v="277"/>
      <x v="164"/>
      <x v="23"/>
    </i>
    <i r="5">
      <x v="166"/>
      <x v="23"/>
    </i>
    <i r="5">
      <x v="168"/>
      <x v="23"/>
    </i>
    <i r="4">
      <x v="278"/>
      <x v="164"/>
      <x v="26"/>
    </i>
    <i r="5">
      <x v="166"/>
      <x v="26"/>
    </i>
    <i r="5">
      <x v="168"/>
      <x v="26"/>
    </i>
    <i>
      <x v="137"/>
      <x v="95"/>
      <x v="1"/>
      <x v="26"/>
      <x v="41"/>
      <x v="263"/>
      <x v="18"/>
    </i>
    <i r="2">
      <x v="3"/>
      <x v="25"/>
      <x v="264"/>
      <x v="263"/>
      <x v="20"/>
    </i>
    <i r="4">
      <x v="265"/>
      <x v="263"/>
      <x v="33"/>
    </i>
    <i r="4">
      <x v="266"/>
      <x v="263"/>
      <x v="21"/>
    </i>
    <i r="4">
      <x v="267"/>
      <x v="263"/>
      <x v="29"/>
    </i>
    <i r="4">
      <x v="268"/>
      <x v="263"/>
      <x v="22"/>
    </i>
    <i r="4">
      <x v="269"/>
      <x v="263"/>
      <x v="27"/>
    </i>
    <i r="4">
      <x v="270"/>
      <x v="263"/>
      <x v="28"/>
    </i>
    <i r="4">
      <x v="271"/>
      <x v="263"/>
      <x v="32"/>
    </i>
    <i r="4">
      <x v="272"/>
      <x v="263"/>
      <x v="30"/>
    </i>
    <i r="4">
      <x v="273"/>
      <x v="263"/>
      <x v="25"/>
    </i>
    <i r="4">
      <x v="274"/>
      <x v="263"/>
      <x v="34"/>
    </i>
    <i r="4">
      <x v="275"/>
      <x v="263"/>
      <x v="24"/>
    </i>
    <i r="4">
      <x v="276"/>
      <x v="263"/>
      <x v="19"/>
    </i>
    <i r="4">
      <x v="277"/>
      <x v="263"/>
      <x v="23"/>
    </i>
    <i r="4">
      <x v="278"/>
      <x v="263"/>
      <x v="26"/>
    </i>
    <i r="4">
      <x v="279"/>
      <x v="263"/>
      <x v="31"/>
    </i>
    <i>
      <x v="139"/>
      <x v="60"/>
      <x v="1"/>
      <x v="26"/>
      <x v="41"/>
      <x v="170"/>
      <x v="18"/>
    </i>
    <i r="2">
      <x v="3"/>
      <x v="25"/>
      <x v="264"/>
      <x v="170"/>
      <x v="20"/>
    </i>
    <i r="4">
      <x v="265"/>
      <x v="170"/>
      <x v="33"/>
    </i>
    <i r="4">
      <x v="266"/>
      <x v="170"/>
      <x v="21"/>
    </i>
    <i r="4">
      <x v="267"/>
      <x v="170"/>
      <x v="29"/>
    </i>
    <i r="4">
      <x v="268"/>
      <x v="170"/>
      <x v="22"/>
    </i>
    <i r="4">
      <x v="269"/>
      <x v="170"/>
      <x v="27"/>
    </i>
    <i r="4">
      <x v="270"/>
      <x v="170"/>
      <x v="28"/>
    </i>
    <i r="4">
      <x v="271"/>
      <x v="170"/>
      <x v="32"/>
    </i>
    <i r="4">
      <x v="272"/>
      <x v="170"/>
      <x v="30"/>
    </i>
    <i r="4">
      <x v="273"/>
      <x v="170"/>
      <x v="25"/>
    </i>
    <i r="4">
      <x v="274"/>
      <x v="170"/>
      <x v="34"/>
    </i>
    <i r="4">
      <x v="275"/>
      <x v="170"/>
      <x v="24"/>
    </i>
    <i r="4">
      <x v="276"/>
      <x v="170"/>
      <x v="19"/>
    </i>
    <i r="4">
      <x v="277"/>
      <x v="170"/>
      <x v="23"/>
    </i>
    <i r="4">
      <x v="278"/>
      <x v="170"/>
      <x v="26"/>
    </i>
    <i r="4">
      <x v="279"/>
      <x v="170"/>
      <x v="31"/>
    </i>
    <i>
      <x v="140"/>
      <x v="95"/>
      <x v="1"/>
      <x v="26"/>
      <x v="41"/>
      <x v="171"/>
      <x v="18"/>
    </i>
    <i r="2">
      <x v="3"/>
      <x v="25"/>
      <x v="276"/>
      <x v="171"/>
      <x v="19"/>
    </i>
    <i r="4">
      <x v="277"/>
      <x v="171"/>
      <x v="23"/>
    </i>
    <i r="4">
      <x v="278"/>
      <x v="171"/>
      <x v="26"/>
    </i>
    <i>
      <x v="141"/>
      <x v="69"/>
      <x v="1"/>
      <x v="25"/>
      <x v="41"/>
      <x v="172"/>
      <x v="18"/>
    </i>
    <i r="2">
      <x v="3"/>
      <x v="25"/>
      <x v="264"/>
      <x v="172"/>
      <x v="20"/>
    </i>
    <i r="4">
      <x v="265"/>
      <x v="172"/>
      <x v="33"/>
    </i>
    <i r="4">
      <x v="266"/>
      <x v="172"/>
      <x v="21"/>
    </i>
    <i r="4">
      <x v="267"/>
      <x v="172"/>
      <x v="29"/>
    </i>
    <i r="4">
      <x v="268"/>
      <x v="172"/>
      <x v="22"/>
    </i>
    <i r="4">
      <x v="269"/>
      <x v="172"/>
      <x v="27"/>
    </i>
    <i r="4">
      <x v="270"/>
      <x v="172"/>
      <x v="28"/>
    </i>
    <i r="4">
      <x v="271"/>
      <x v="172"/>
      <x v="32"/>
    </i>
    <i r="4">
      <x v="272"/>
      <x v="172"/>
      <x v="30"/>
    </i>
    <i r="4">
      <x v="273"/>
      <x v="172"/>
      <x v="25"/>
    </i>
    <i r="4">
      <x v="274"/>
      <x v="172"/>
      <x v="34"/>
    </i>
    <i r="4">
      <x v="275"/>
      <x v="172"/>
      <x v="24"/>
    </i>
    <i r="4">
      <x v="277"/>
      <x v="172"/>
      <x v="23"/>
    </i>
    <i r="4">
      <x v="278"/>
      <x v="172"/>
      <x v="26"/>
    </i>
    <i r="4">
      <x v="279"/>
      <x v="172"/>
      <x v="31"/>
    </i>
    <i r="3">
      <x v="26"/>
      <x v="276"/>
      <x v="172"/>
      <x v="19"/>
    </i>
    <i>
      <x v="142"/>
      <x v="69"/>
      <x v="1"/>
      <x v="26"/>
      <x v="41"/>
      <x v="173"/>
      <x v="18"/>
    </i>
    <i r="2">
      <x v="3"/>
      <x v="25"/>
      <x v="264"/>
      <x v="173"/>
      <x v="20"/>
    </i>
    <i r="4">
      <x v="265"/>
      <x v="173"/>
      <x v="33"/>
    </i>
    <i r="4">
      <x v="266"/>
      <x v="173"/>
      <x v="21"/>
    </i>
    <i r="4">
      <x v="267"/>
      <x v="173"/>
      <x v="29"/>
    </i>
    <i r="4">
      <x v="268"/>
      <x v="173"/>
      <x v="22"/>
    </i>
    <i r="4">
      <x v="269"/>
      <x v="173"/>
      <x v="27"/>
    </i>
    <i r="4">
      <x v="270"/>
      <x v="173"/>
      <x v="28"/>
    </i>
    <i r="4">
      <x v="271"/>
      <x v="173"/>
      <x v="32"/>
    </i>
    <i r="4">
      <x v="272"/>
      <x v="173"/>
      <x v="30"/>
    </i>
    <i r="4">
      <x v="273"/>
      <x v="173"/>
      <x v="25"/>
    </i>
    <i r="4">
      <x v="274"/>
      <x v="173"/>
      <x v="34"/>
    </i>
    <i r="4">
      <x v="275"/>
      <x v="173"/>
      <x v="24"/>
    </i>
    <i r="4">
      <x v="276"/>
      <x v="173"/>
      <x v="19"/>
    </i>
    <i r="4">
      <x v="278"/>
      <x v="173"/>
      <x v="26"/>
    </i>
    <i r="4">
      <x v="279"/>
      <x v="173"/>
      <x v="31"/>
    </i>
    <i>
      <x v="143"/>
      <x v="69"/>
      <x v="1"/>
      <x v="26"/>
      <x v="41"/>
      <x v="264"/>
      <x v="18"/>
    </i>
    <i r="2">
      <x v="3"/>
      <x v="25"/>
      <x v="264"/>
      <x v="264"/>
      <x v="20"/>
    </i>
    <i r="4">
      <x v="265"/>
      <x v="264"/>
      <x v="33"/>
    </i>
    <i r="4">
      <x v="266"/>
      <x v="264"/>
      <x v="21"/>
    </i>
    <i r="4">
      <x v="267"/>
      <x v="264"/>
      <x v="29"/>
    </i>
    <i r="4">
      <x v="268"/>
      <x v="264"/>
      <x v="22"/>
    </i>
    <i r="4">
      <x v="269"/>
      <x v="264"/>
      <x v="27"/>
    </i>
    <i r="4">
      <x v="270"/>
      <x v="264"/>
      <x v="28"/>
    </i>
    <i r="4">
      <x v="271"/>
      <x v="264"/>
      <x v="32"/>
    </i>
    <i r="4">
      <x v="272"/>
      <x v="264"/>
      <x v="30"/>
    </i>
    <i r="4">
      <x v="273"/>
      <x v="264"/>
      <x v="25"/>
    </i>
    <i r="4">
      <x v="274"/>
      <x v="264"/>
      <x v="34"/>
    </i>
    <i r="4">
      <x v="275"/>
      <x v="264"/>
      <x v="24"/>
    </i>
    <i r="4">
      <x v="276"/>
      <x v="264"/>
      <x v="19"/>
    </i>
    <i r="4">
      <x v="277"/>
      <x v="264"/>
      <x v="23"/>
    </i>
    <i r="4">
      <x v="278"/>
      <x v="264"/>
      <x v="26"/>
    </i>
    <i r="4">
      <x v="279"/>
      <x v="264"/>
      <x v="31"/>
    </i>
    <i>
      <x v="144"/>
      <x v="54"/>
      <x v="1"/>
      <x v="4"/>
      <x v="41"/>
      <x v="265"/>
      <x v="35"/>
    </i>
    <i r="2">
      <x v="3"/>
      <x v="7"/>
      <x v="264"/>
      <x v="265"/>
      <x v="37"/>
    </i>
    <i r="4">
      <x v="265"/>
      <x v="265"/>
      <x v="50"/>
    </i>
    <i r="4">
      <x v="266"/>
      <x v="265"/>
      <x v="38"/>
    </i>
    <i r="4">
      <x v="267"/>
      <x v="265"/>
      <x v="46"/>
    </i>
    <i r="4">
      <x v="268"/>
      <x v="265"/>
      <x v="39"/>
    </i>
    <i r="4">
      <x v="269"/>
      <x v="265"/>
      <x v="44"/>
    </i>
    <i r="4">
      <x v="270"/>
      <x v="265"/>
      <x v="45"/>
    </i>
    <i r="4">
      <x v="271"/>
      <x v="265"/>
      <x v="49"/>
    </i>
    <i r="4">
      <x v="272"/>
      <x v="265"/>
      <x v="47"/>
    </i>
    <i r="4">
      <x v="273"/>
      <x v="265"/>
      <x v="42"/>
    </i>
    <i r="4">
      <x v="274"/>
      <x v="265"/>
      <x v="51"/>
    </i>
    <i r="4">
      <x v="275"/>
      <x v="265"/>
      <x v="41"/>
    </i>
    <i r="4">
      <x v="276"/>
      <x v="265"/>
      <x v="36"/>
    </i>
    <i r="4">
      <x v="277"/>
      <x v="265"/>
      <x v="40"/>
    </i>
    <i r="4">
      <x v="278"/>
      <x v="265"/>
      <x v="43"/>
    </i>
    <i r="4">
      <x v="279"/>
      <x v="265"/>
      <x v="48"/>
    </i>
    <i>
      <x v="145"/>
      <x v="54"/>
      <x v="1"/>
      <x v="4"/>
      <x v="41"/>
      <x v="265"/>
      <x v="35"/>
    </i>
    <i r="2">
      <x v="3"/>
      <x v="7"/>
      <x v="264"/>
      <x v="265"/>
      <x v="37"/>
    </i>
    <i r="4">
      <x v="265"/>
      <x v="265"/>
      <x v="50"/>
    </i>
    <i r="4">
      <x v="266"/>
      <x v="265"/>
      <x v="38"/>
    </i>
    <i r="4">
      <x v="267"/>
      <x v="265"/>
      <x v="46"/>
    </i>
    <i r="4">
      <x v="268"/>
      <x v="265"/>
      <x v="39"/>
    </i>
    <i r="4">
      <x v="269"/>
      <x v="265"/>
      <x v="44"/>
    </i>
    <i r="4">
      <x v="270"/>
      <x v="265"/>
      <x v="45"/>
    </i>
    <i r="4">
      <x v="271"/>
      <x v="265"/>
      <x v="49"/>
    </i>
    <i r="4">
      <x v="272"/>
      <x v="265"/>
      <x v="47"/>
    </i>
    <i r="4">
      <x v="273"/>
      <x v="265"/>
      <x v="42"/>
    </i>
    <i r="4">
      <x v="274"/>
      <x v="265"/>
      <x v="51"/>
    </i>
    <i r="4">
      <x v="275"/>
      <x v="265"/>
      <x v="41"/>
    </i>
    <i r="4">
      <x v="276"/>
      <x v="265"/>
      <x v="36"/>
    </i>
    <i r="4">
      <x v="277"/>
      <x v="265"/>
      <x v="40"/>
    </i>
    <i r="4">
      <x v="278"/>
      <x v="265"/>
      <x v="43"/>
    </i>
    <i r="4">
      <x v="279"/>
      <x v="265"/>
      <x v="48"/>
    </i>
    <i>
      <x v="146"/>
      <x v="54"/>
      <x v="1"/>
      <x v="4"/>
      <x v="41"/>
      <x v="266"/>
      <x v="18"/>
    </i>
    <i r="2">
      <x v="3"/>
      <x v="7"/>
      <x v="264"/>
      <x v="266"/>
      <x v="20"/>
    </i>
    <i r="4">
      <x v="265"/>
      <x v="266"/>
      <x v="33"/>
    </i>
    <i r="4">
      <x v="266"/>
      <x v="266"/>
      <x v="21"/>
    </i>
    <i r="4">
      <x v="267"/>
      <x v="266"/>
      <x v="29"/>
    </i>
    <i r="4">
      <x v="268"/>
      <x v="266"/>
      <x v="22"/>
    </i>
    <i r="4">
      <x v="269"/>
      <x v="266"/>
      <x v="27"/>
    </i>
    <i r="4">
      <x v="270"/>
      <x v="266"/>
      <x v="28"/>
    </i>
    <i r="4">
      <x v="271"/>
      <x v="266"/>
      <x v="32"/>
    </i>
    <i r="4">
      <x v="272"/>
      <x v="266"/>
      <x v="30"/>
    </i>
    <i r="4">
      <x v="273"/>
      <x v="266"/>
      <x v="25"/>
    </i>
    <i r="4">
      <x v="274"/>
      <x v="266"/>
      <x v="34"/>
    </i>
    <i r="4">
      <x v="275"/>
      <x v="266"/>
      <x v="24"/>
    </i>
    <i r="4">
      <x v="276"/>
      <x v="266"/>
      <x v="19"/>
    </i>
    <i r="4">
      <x v="277"/>
      <x v="266"/>
      <x v="23"/>
    </i>
    <i r="4">
      <x v="278"/>
      <x v="266"/>
      <x v="26"/>
    </i>
    <i r="4">
      <x v="279"/>
      <x v="266"/>
      <x v="31"/>
    </i>
    <i>
      <x v="147"/>
      <x v="92"/>
      <x v="1"/>
      <x v="4"/>
      <x v="41"/>
      <x v="179"/>
      <x v="18"/>
    </i>
    <i r="2">
      <x v="3"/>
      <x v="7"/>
      <x v="264"/>
      <x v="179"/>
      <x v="20"/>
    </i>
    <i r="4">
      <x v="265"/>
      <x v="179"/>
      <x v="33"/>
    </i>
    <i r="4">
      <x v="266"/>
      <x v="179"/>
      <x v="21"/>
    </i>
    <i r="4">
      <x v="267"/>
      <x v="179"/>
      <x v="29"/>
    </i>
    <i r="4">
      <x v="268"/>
      <x v="179"/>
      <x v="22"/>
    </i>
    <i r="4">
      <x v="269"/>
      <x v="179"/>
      <x v="27"/>
    </i>
    <i r="4">
      <x v="270"/>
      <x v="179"/>
      <x v="28"/>
    </i>
    <i r="4">
      <x v="271"/>
      <x v="179"/>
      <x v="32"/>
    </i>
    <i r="4">
      <x v="272"/>
      <x v="179"/>
      <x v="30"/>
    </i>
    <i r="4">
      <x v="273"/>
      <x v="179"/>
      <x v="25"/>
    </i>
    <i r="4">
      <x v="274"/>
      <x v="179"/>
      <x v="34"/>
    </i>
    <i r="4">
      <x v="275"/>
      <x v="179"/>
      <x v="24"/>
    </i>
    <i r="4">
      <x v="276"/>
      <x v="179"/>
      <x v="19"/>
    </i>
    <i r="4">
      <x v="277"/>
      <x v="179"/>
      <x v="23"/>
    </i>
    <i r="4">
      <x v="278"/>
      <x v="179"/>
      <x v="26"/>
    </i>
    <i r="4">
      <x v="279"/>
      <x v="179"/>
      <x v="31"/>
    </i>
    <i>
      <x v="148"/>
      <x v="92"/>
      <x v="1"/>
      <x v="4"/>
      <x v="41"/>
      <x v="180"/>
      <x v="35"/>
    </i>
    <i r="2">
      <x v="3"/>
      <x v="7"/>
      <x v="264"/>
      <x v="180"/>
      <x v="37"/>
    </i>
    <i r="4">
      <x v="265"/>
      <x v="180"/>
      <x v="50"/>
    </i>
    <i r="4">
      <x v="266"/>
      <x v="180"/>
      <x v="38"/>
    </i>
    <i r="4">
      <x v="267"/>
      <x v="180"/>
      <x v="46"/>
    </i>
    <i r="4">
      <x v="268"/>
      <x v="180"/>
      <x v="39"/>
    </i>
    <i r="4">
      <x v="269"/>
      <x v="180"/>
      <x v="44"/>
    </i>
    <i r="4">
      <x v="270"/>
      <x v="180"/>
      <x v="45"/>
    </i>
    <i r="4">
      <x v="271"/>
      <x v="180"/>
      <x v="49"/>
    </i>
    <i r="4">
      <x v="272"/>
      <x v="180"/>
      <x v="47"/>
    </i>
    <i r="4">
      <x v="273"/>
      <x v="180"/>
      <x v="42"/>
    </i>
    <i r="4">
      <x v="274"/>
      <x v="180"/>
      <x v="51"/>
    </i>
    <i r="4">
      <x v="275"/>
      <x v="180"/>
      <x v="41"/>
    </i>
    <i r="4">
      <x v="276"/>
      <x v="180"/>
      <x v="36"/>
    </i>
    <i r="4">
      <x v="277"/>
      <x v="180"/>
      <x v="40"/>
    </i>
    <i r="4">
      <x v="278"/>
      <x v="180"/>
      <x v="43"/>
    </i>
    <i r="4">
      <x v="279"/>
      <x v="180"/>
      <x v="48"/>
    </i>
    <i>
      <x v="150"/>
      <x v="76"/>
      <x v="1"/>
      <x v="4"/>
      <x v="41"/>
      <x v="269"/>
      <x v="35"/>
    </i>
    <i r="2">
      <x v="3"/>
      <x v="7"/>
      <x v="264"/>
      <x v="269"/>
      <x v="37"/>
    </i>
    <i r="4">
      <x v="265"/>
      <x v="269"/>
      <x v="50"/>
    </i>
    <i r="4">
      <x v="266"/>
      <x v="269"/>
      <x v="38"/>
    </i>
    <i r="4">
      <x v="267"/>
      <x v="269"/>
      <x v="46"/>
    </i>
    <i r="4">
      <x v="268"/>
      <x v="269"/>
      <x v="39"/>
    </i>
    <i r="4">
      <x v="269"/>
      <x v="269"/>
      <x v="44"/>
    </i>
    <i r="4">
      <x v="270"/>
      <x v="269"/>
      <x v="45"/>
    </i>
    <i r="4">
      <x v="271"/>
      <x v="269"/>
      <x v="49"/>
    </i>
    <i r="4">
      <x v="272"/>
      <x v="269"/>
      <x v="47"/>
    </i>
    <i r="4">
      <x v="273"/>
      <x v="269"/>
      <x v="42"/>
    </i>
    <i r="4">
      <x v="274"/>
      <x v="269"/>
      <x v="51"/>
    </i>
    <i r="4">
      <x v="275"/>
      <x v="269"/>
      <x v="41"/>
    </i>
    <i r="4">
      <x v="276"/>
      <x v="269"/>
      <x v="36"/>
    </i>
    <i r="4">
      <x v="277"/>
      <x v="269"/>
      <x v="40"/>
    </i>
    <i r="4">
      <x v="278"/>
      <x v="269"/>
      <x v="43"/>
    </i>
    <i r="4">
      <x v="279"/>
      <x v="269"/>
      <x v="48"/>
    </i>
    <i>
      <x v="151"/>
      <x v="76"/>
      <x v="1"/>
      <x v="4"/>
      <x v="41"/>
      <x v="270"/>
      <x v="35"/>
    </i>
    <i r="2">
      <x v="3"/>
      <x v="7"/>
      <x v="264"/>
      <x v="270"/>
      <x v="37"/>
    </i>
    <i r="4">
      <x v="265"/>
      <x v="270"/>
      <x v="50"/>
    </i>
    <i r="4">
      <x v="266"/>
      <x v="270"/>
      <x v="38"/>
    </i>
    <i r="4">
      <x v="267"/>
      <x v="270"/>
      <x v="46"/>
    </i>
    <i r="4">
      <x v="268"/>
      <x v="270"/>
      <x v="39"/>
    </i>
    <i r="4">
      <x v="269"/>
      <x v="270"/>
      <x v="44"/>
    </i>
    <i r="4">
      <x v="270"/>
      <x v="270"/>
      <x v="45"/>
    </i>
    <i r="4">
      <x v="271"/>
      <x v="270"/>
      <x v="49"/>
    </i>
    <i r="4">
      <x v="272"/>
      <x v="270"/>
      <x v="47"/>
    </i>
    <i r="4">
      <x v="273"/>
      <x v="270"/>
      <x v="42"/>
    </i>
    <i r="4">
      <x v="274"/>
      <x v="270"/>
      <x v="51"/>
    </i>
    <i r="4">
      <x v="275"/>
      <x v="270"/>
      <x v="41"/>
    </i>
    <i r="4">
      <x v="276"/>
      <x v="270"/>
      <x v="36"/>
    </i>
    <i r="4">
      <x v="277"/>
      <x v="270"/>
      <x v="40"/>
    </i>
    <i r="4">
      <x v="278"/>
      <x v="270"/>
      <x v="43"/>
    </i>
    <i r="4">
      <x v="279"/>
      <x v="270"/>
      <x v="48"/>
    </i>
    <i>
      <x v="152"/>
      <x v="10"/>
      <x v="1"/>
      <x/>
      <x v="41"/>
      <x v="190"/>
      <x v="35"/>
    </i>
    <i r="2">
      <x v="3"/>
      <x/>
      <x v="264"/>
      <x v="190"/>
      <x v="37"/>
    </i>
    <i r="4">
      <x v="265"/>
      <x v="190"/>
      <x v="50"/>
    </i>
    <i r="4">
      <x v="266"/>
      <x v="190"/>
      <x v="38"/>
    </i>
    <i r="4">
      <x v="267"/>
      <x v="190"/>
      <x v="46"/>
    </i>
    <i r="4">
      <x v="268"/>
      <x v="190"/>
      <x v="39"/>
    </i>
    <i r="4">
      <x v="269"/>
      <x v="190"/>
      <x v="44"/>
    </i>
    <i r="4">
      <x v="270"/>
      <x v="190"/>
      <x v="45"/>
    </i>
    <i r="4">
      <x v="271"/>
      <x v="190"/>
      <x v="49"/>
    </i>
    <i r="4">
      <x v="272"/>
      <x v="190"/>
      <x v="47"/>
    </i>
    <i r="4">
      <x v="273"/>
      <x v="190"/>
      <x v="42"/>
    </i>
    <i r="4">
      <x v="274"/>
      <x v="190"/>
      <x v="51"/>
    </i>
    <i r="4">
      <x v="275"/>
      <x v="190"/>
      <x v="41"/>
    </i>
    <i r="4">
      <x v="276"/>
      <x v="190"/>
      <x v="36"/>
    </i>
    <i r="4">
      <x v="277"/>
      <x v="190"/>
      <x v="40"/>
    </i>
    <i r="4">
      <x v="278"/>
      <x v="190"/>
      <x v="43"/>
    </i>
    <i r="4">
      <x v="279"/>
      <x v="190"/>
      <x v="48"/>
    </i>
    <i>
      <x v="153"/>
      <x v="94"/>
      <x v="1"/>
      <x v="7"/>
      <x v="41"/>
      <x v="192"/>
      <x v="52"/>
    </i>
    <i>
      <x v="154"/>
      <x v="61"/>
      <x v="1"/>
      <x v="7"/>
      <x v="41"/>
      <x v="214"/>
      <x v="52"/>
    </i>
    <i r="5">
      <x v="224"/>
      <x v="52"/>
    </i>
    <i r="5">
      <x v="225"/>
      <x v="52"/>
    </i>
    <i r="3">
      <x v="28"/>
      <x v="41"/>
      <x v="214"/>
      <x v="52"/>
    </i>
    <i>
      <x v="155"/>
      <x v="61"/>
      <x v="1"/>
      <x v="7"/>
      <x v="41"/>
      <x v="223"/>
      <x v="52"/>
    </i>
    <i>
      <x v="156"/>
      <x v="61"/>
      <x v="1"/>
      <x v="7"/>
      <x v="41"/>
      <x v="226"/>
      <x v="52"/>
    </i>
    <i>
      <x v="157"/>
      <x v="66"/>
      <x v="1"/>
      <x/>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158"/>
      <x v="66"/>
      <x v="1"/>
      <x/>
      <x v="41"/>
      <x v="197"/>
      <x v="35"/>
    </i>
    <i r="2">
      <x v="3"/>
      <x/>
      <x v="264"/>
      <x v="197"/>
      <x v="37"/>
    </i>
    <i r="4">
      <x v="265"/>
      <x v="197"/>
      <x v="50"/>
    </i>
    <i r="4">
      <x v="266"/>
      <x v="197"/>
      <x v="38"/>
    </i>
    <i r="4">
      <x v="267"/>
      <x v="197"/>
      <x v="46"/>
    </i>
    <i r="4">
      <x v="268"/>
      <x v="197"/>
      <x v="39"/>
    </i>
    <i r="4">
      <x v="269"/>
      <x v="197"/>
      <x v="44"/>
    </i>
    <i r="4">
      <x v="270"/>
      <x v="197"/>
      <x v="45"/>
    </i>
    <i r="4">
      <x v="271"/>
      <x v="197"/>
      <x v="49"/>
    </i>
    <i r="4">
      <x v="272"/>
      <x v="197"/>
      <x v="47"/>
    </i>
    <i r="4">
      <x v="273"/>
      <x v="197"/>
      <x v="42"/>
    </i>
    <i r="4">
      <x v="274"/>
      <x v="197"/>
      <x v="51"/>
    </i>
    <i r="4">
      <x v="275"/>
      <x v="197"/>
      <x v="41"/>
    </i>
    <i r="4">
      <x v="276"/>
      <x v="197"/>
      <x v="36"/>
    </i>
    <i r="4">
      <x v="277"/>
      <x v="197"/>
      <x v="40"/>
    </i>
    <i r="4">
      <x v="278"/>
      <x v="197"/>
      <x v="43"/>
    </i>
    <i r="4">
      <x v="279"/>
      <x v="197"/>
      <x v="48"/>
    </i>
    <i>
      <x v="159"/>
      <x v="66"/>
      <x v="1"/>
      <x v="9"/>
      <x v="41"/>
      <x v="233"/>
      <x v="35"/>
    </i>
    <i r="2">
      <x v="3"/>
      <x/>
      <x v="264"/>
      <x v="233"/>
      <x v="37"/>
    </i>
    <i r="4">
      <x v="265"/>
      <x v="233"/>
      <x v="50"/>
    </i>
    <i r="4">
      <x v="266"/>
      <x v="233"/>
      <x v="38"/>
    </i>
    <i r="4">
      <x v="267"/>
      <x v="233"/>
      <x v="46"/>
    </i>
    <i r="4">
      <x v="268"/>
      <x v="233"/>
      <x v="39"/>
    </i>
    <i r="4">
      <x v="269"/>
      <x v="233"/>
      <x v="44"/>
    </i>
    <i r="4">
      <x v="270"/>
      <x v="233"/>
      <x v="45"/>
    </i>
    <i r="4">
      <x v="271"/>
      <x v="233"/>
      <x v="49"/>
    </i>
    <i r="4">
      <x v="272"/>
      <x v="233"/>
      <x v="47"/>
    </i>
    <i r="4">
      <x v="273"/>
      <x v="233"/>
      <x v="42"/>
    </i>
    <i r="4">
      <x v="274"/>
      <x v="233"/>
      <x v="51"/>
    </i>
    <i r="4">
      <x v="275"/>
      <x v="233"/>
      <x v="41"/>
    </i>
    <i r="4">
      <x v="276"/>
      <x v="233"/>
      <x v="36"/>
    </i>
    <i r="4">
      <x v="277"/>
      <x v="233"/>
      <x v="40"/>
    </i>
    <i r="4">
      <x v="278"/>
      <x v="233"/>
      <x v="43"/>
    </i>
    <i r="4">
      <x v="279"/>
      <x v="233"/>
      <x v="48"/>
    </i>
    <i>
      <x v="160"/>
      <x v="70"/>
      <x v="1"/>
      <x v="9"/>
      <x v="41"/>
      <x v="211"/>
      <x v="35"/>
    </i>
    <i r="2">
      <x v="3"/>
      <x v="7"/>
      <x v="264"/>
      <x v="211"/>
      <x v="37"/>
    </i>
    <i r="4">
      <x v="265"/>
      <x v="211"/>
      <x v="50"/>
    </i>
    <i r="4">
      <x v="266"/>
      <x v="211"/>
      <x v="38"/>
    </i>
    <i r="4">
      <x v="267"/>
      <x v="211"/>
      <x v="46"/>
    </i>
    <i r="4">
      <x v="268"/>
      <x v="211"/>
      <x v="39"/>
    </i>
    <i r="4">
      <x v="269"/>
      <x v="211"/>
      <x v="44"/>
    </i>
    <i r="4">
      <x v="270"/>
      <x v="211"/>
      <x v="45"/>
    </i>
    <i r="4">
      <x v="271"/>
      <x v="211"/>
      <x v="49"/>
    </i>
    <i r="4">
      <x v="272"/>
      <x v="211"/>
      <x v="47"/>
    </i>
    <i r="4">
      <x v="273"/>
      <x v="211"/>
      <x v="42"/>
    </i>
    <i r="4">
      <x v="274"/>
      <x v="211"/>
      <x v="51"/>
    </i>
    <i r="4">
      <x v="275"/>
      <x v="211"/>
      <x v="41"/>
    </i>
    <i r="4">
      <x v="276"/>
      <x v="211"/>
      <x v="36"/>
    </i>
    <i r="4">
      <x v="277"/>
      <x v="211"/>
      <x v="40"/>
    </i>
    <i r="4">
      <x v="278"/>
      <x v="211"/>
      <x v="43"/>
    </i>
    <i r="4">
      <x v="279"/>
      <x v="211"/>
      <x v="48"/>
    </i>
    <i>
      <x v="161"/>
      <x v="79"/>
      <x v="1"/>
      <x v="26"/>
      <x v="41"/>
      <x v="169"/>
      <x v="18"/>
    </i>
    <i r="2">
      <x v="3"/>
      <x v="25"/>
      <x v="274"/>
      <x v="169"/>
      <x v="34"/>
    </i>
    <i r="4">
      <x v="277"/>
      <x v="169"/>
      <x v="23"/>
    </i>
    <i r="4">
      <x v="278"/>
      <x v="169"/>
      <x v="26"/>
    </i>
    <i r="4">
      <x v="279"/>
      <x v="169"/>
      <x v="31"/>
    </i>
    <i>
      <x v="162"/>
      <x v="92"/>
      <x v="1"/>
      <x v="4"/>
      <x v="41"/>
      <x v="267"/>
      <x v="35"/>
    </i>
    <i r="2">
      <x v="3"/>
      <x v="7"/>
      <x v="264"/>
      <x v="267"/>
      <x v="37"/>
    </i>
    <i r="4">
      <x v="265"/>
      <x v="267"/>
      <x v="50"/>
    </i>
    <i r="4">
      <x v="266"/>
      <x v="267"/>
      <x v="38"/>
    </i>
    <i r="4">
      <x v="267"/>
      <x v="267"/>
      <x v="46"/>
    </i>
    <i r="4">
      <x v="268"/>
      <x v="267"/>
      <x v="39"/>
    </i>
    <i r="4">
      <x v="269"/>
      <x v="267"/>
      <x v="44"/>
    </i>
    <i r="4">
      <x v="270"/>
      <x v="267"/>
      <x v="45"/>
    </i>
    <i r="4">
      <x v="271"/>
      <x v="267"/>
      <x v="49"/>
    </i>
    <i r="4">
      <x v="272"/>
      <x v="267"/>
      <x v="47"/>
    </i>
    <i r="4">
      <x v="273"/>
      <x v="267"/>
      <x v="42"/>
    </i>
    <i r="4">
      <x v="274"/>
      <x v="267"/>
      <x v="51"/>
    </i>
    <i r="4">
      <x v="275"/>
      <x v="267"/>
      <x v="41"/>
    </i>
    <i r="4">
      <x v="276"/>
      <x v="267"/>
      <x v="36"/>
    </i>
    <i r="4">
      <x v="277"/>
      <x v="267"/>
      <x v="40"/>
    </i>
    <i r="4">
      <x v="278"/>
      <x v="267"/>
      <x v="43"/>
    </i>
    <i r="4">
      <x v="279"/>
      <x v="267"/>
      <x v="48"/>
    </i>
    <i>
      <x v="163"/>
      <x v="93"/>
      <x v="1"/>
      <x v="7"/>
      <x v="41"/>
      <x v="268"/>
      <x v="52"/>
    </i>
    <i r="3">
      <x v="29"/>
      <x v="41"/>
      <x v="268"/>
      <x v="52"/>
    </i>
    <i>
      <x v="164"/>
      <x v="57"/>
      <x v="3"/>
      <x v="7"/>
      <x v="270"/>
      <x v="271"/>
      <x v="52"/>
    </i>
    <i r="5">
      <x v="272"/>
      <x v="52"/>
    </i>
    <i r="5">
      <x v="273"/>
      <x v="52"/>
    </i>
    <i>
      <x v="165"/>
      <x v="57"/>
      <x v="3"/>
      <x v="7"/>
      <x v="270"/>
      <x v="271"/>
      <x v="52"/>
    </i>
    <i r="5">
      <x v="272"/>
      <x v="52"/>
    </i>
    <i r="5">
      <x v="273"/>
      <x v="52"/>
    </i>
    <i>
      <x v="166"/>
      <x v="57"/>
      <x v="3"/>
      <x v="30"/>
      <x v="270"/>
      <x v="271"/>
      <x v="52"/>
    </i>
    <i r="5">
      <x v="272"/>
      <x v="52"/>
    </i>
    <i r="5">
      <x v="273"/>
      <x v="52"/>
    </i>
    <i>
      <x v="167"/>
      <x v="57"/>
      <x v="3"/>
      <x v="7"/>
      <x v="270"/>
      <x v="271"/>
      <x v="52"/>
    </i>
    <i r="5">
      <x v="272"/>
      <x v="52"/>
    </i>
    <i r="5">
      <x v="273"/>
      <x v="52"/>
    </i>
    <i r="3">
      <x v="30"/>
      <x v="270"/>
      <x v="271"/>
      <x v="52"/>
    </i>
    <i r="5">
      <x v="272"/>
      <x v="52"/>
    </i>
    <i r="5">
      <x v="273"/>
      <x v="5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C6230A0F-918C-4547-A74B-CF379BA64D3B}" sourceName="sector">
  <pivotTables>
    <pivotTable tabId="10" name="TablaDinámica7"/>
  </pivotTables>
  <data>
    <tabular pivotCacheId="577902720">
      <items count="17">
        <i x="5" s="1"/>
        <i x="7" s="1"/>
        <i x="9" s="1"/>
        <i x="1" s="1"/>
        <i x="10" s="1"/>
        <i x="3" s="1"/>
        <i x="11" s="1"/>
        <i x="2" s="1"/>
        <i x="13" s="1"/>
        <i x="4" s="1"/>
        <i x="6" s="1"/>
        <i x="0" s="1"/>
        <i x="14" s="1"/>
        <i x="12" s="1"/>
        <i x="15" s="1"/>
        <i x="8" s="1"/>
        <i x="1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E5D197E2-7AC7-43BE-B16C-61367C45FE13}" sourceName="tema">
  <pivotTables>
    <pivotTable tabId="10" name="TablaDinámica7"/>
  </pivotTables>
  <data>
    <tabular pivotCacheId="577902720">
      <items count="174">
        <i x="46" s="1"/>
        <i x="8" s="1"/>
        <i x="19" s="1"/>
        <i x="83" s="1"/>
        <i x="69" s="1"/>
        <i x="59" s="1"/>
        <i x="66" s="1"/>
        <i x="49" s="1"/>
        <i x="63" s="1"/>
        <i x="22" s="1"/>
        <i x="89" s="1"/>
        <i x="6" s="1"/>
        <i x="64" s="1"/>
        <i x="71" s="1"/>
        <i x="50" s="1"/>
        <i x="28" s="1"/>
        <i x="14" s="1"/>
        <i x="77" s="1"/>
        <i x="38" s="1"/>
        <i x="104" s="1"/>
        <i x="103" s="1"/>
        <i x="102" s="1"/>
        <i x="94" s="1"/>
        <i x="95" s="1"/>
        <i x="93" s="1"/>
        <i x="31" s="1"/>
        <i x="47" s="1"/>
        <i x="44" s="1"/>
        <i x="51" s="1"/>
        <i x="53" s="1"/>
        <i x="21" s="1"/>
        <i x="58" s="1"/>
        <i x="9" s="1"/>
        <i x="55" s="1"/>
        <i x="7" s="1"/>
        <i x="39" s="1"/>
        <i x="65" s="1"/>
        <i x="36" s="1"/>
        <i x="54" s="1"/>
        <i x="76" s="1"/>
        <i x="80" s="1"/>
        <i x="23" s="1"/>
        <i x="84" s="1"/>
        <i x="11" s="1"/>
        <i x="5" s="1"/>
        <i x="40" s="1"/>
        <i x="35" s="1"/>
        <i x="26" s="1"/>
        <i x="4" s="1"/>
        <i x="3" s="1"/>
        <i x="0" s="1"/>
        <i x="99" s="1"/>
        <i x="18" s="1"/>
        <i x="61" s="1"/>
        <i x="60" s="1"/>
        <i x="29" s="1"/>
        <i x="37" s="1"/>
        <i x="88" s="1"/>
        <i x="67" s="1"/>
        <i x="30" s="1"/>
        <i x="79" s="1"/>
        <i x="82" s="1"/>
        <i x="81" s="1"/>
        <i x="17" s="1"/>
        <i x="68" s="1"/>
        <i x="73" s="1"/>
        <i x="74" s="1"/>
        <i x="27" s="1"/>
        <i x="98" s="1"/>
        <i x="97" s="1"/>
        <i x="96" s="1"/>
        <i x="87" s="1"/>
        <i x="12" s="1"/>
        <i x="57" s="1"/>
        <i x="100" s="1"/>
        <i x="16" s="1"/>
        <i x="85" s="1"/>
        <i x="78" s="1"/>
        <i x="24" s="1"/>
        <i x="45" s="1"/>
        <i x="25" s="1"/>
        <i x="101" s="1"/>
        <i x="62" s="1"/>
        <i x="1" s="1"/>
        <i x="43" s="1"/>
        <i x="10" s="1"/>
        <i x="70" s="1"/>
        <i x="34" s="1"/>
        <i x="41" s="1"/>
        <i x="90" s="1"/>
        <i x="92" s="1"/>
        <i x="105" s="1"/>
        <i x="86" s="1"/>
        <i x="75" s="1"/>
        <i x="72" s="1"/>
        <i x="13" s="1"/>
        <i x="52" s="1"/>
        <i x="32" s="1"/>
        <i x="33" s="1"/>
        <i x="42" s="1"/>
        <i x="56" s="1"/>
        <i x="20" s="1"/>
        <i x="48" s="1"/>
        <i x="2" s="1"/>
        <i x="15" s="1"/>
        <i x="91" s="1"/>
        <i x="168" s="1" nd="1"/>
        <i x="126" s="1" nd="1"/>
        <i x="150" s="1" nd="1"/>
        <i x="110" s="1" nd="1"/>
        <i x="166" s="1" nd="1"/>
        <i x="127" s="1" nd="1"/>
        <i x="114" s="1" nd="1"/>
        <i x="137" s="1" nd="1"/>
        <i x="144" s="1" nd="1"/>
        <i x="123" s="1" nd="1"/>
        <i x="153" s="1" nd="1"/>
        <i x="151" s="1" nd="1"/>
        <i x="136" s="1" nd="1"/>
        <i x="156" s="1" nd="1"/>
        <i x="170" s="1" nd="1"/>
        <i x="118" s="1" nd="1"/>
        <i x="154" s="1" nd="1"/>
        <i x="108" s="1" nd="1"/>
        <i x="169" s="1" nd="1"/>
        <i x="158" s="1" nd="1"/>
        <i x="132" s="1" nd="1"/>
        <i x="146" s="1" nd="1"/>
        <i x="147" s="1" nd="1"/>
        <i x="106" s="1" nd="1"/>
        <i x="149" s="1" nd="1"/>
        <i x="141" s="1" nd="1"/>
        <i x="125" s="1" nd="1"/>
        <i x="120" s="1" nd="1"/>
        <i x="159" s="1" nd="1"/>
        <i x="124" s="1" nd="1"/>
        <i x="155" s="1" nd="1"/>
        <i x="116" s="1" nd="1"/>
        <i x="128" s="1" nd="1"/>
        <i x="162" s="1" nd="1"/>
        <i x="109" s="1" nd="1"/>
        <i x="148" s="1" nd="1"/>
        <i x="129" s="1" nd="1"/>
        <i x="113" s="1" nd="1"/>
        <i x="122" s="1" nd="1"/>
        <i x="112" s="1" nd="1"/>
        <i x="115" s="1" nd="1"/>
        <i x="152" s="1" nd="1"/>
        <i x="142" s="1" nd="1"/>
        <i x="143" s="1" nd="1"/>
        <i x="134" s="1" nd="1"/>
        <i x="157" s="1" nd="1"/>
        <i x="117" s="1" nd="1"/>
        <i x="163" s="1" nd="1"/>
        <i x="171" s="1" nd="1"/>
        <i x="140" s="1" nd="1"/>
        <i x="133" s="1" nd="1"/>
        <i x="173" s="1" nd="1"/>
        <i x="167" s="1" nd="1"/>
        <i x="161" s="1" nd="1"/>
        <i x="130" s="1" nd="1"/>
        <i x="131" s="1" nd="1"/>
        <i x="160" s="1" nd="1"/>
        <i x="121" s="1" nd="1"/>
        <i x="135" s="1" nd="1"/>
        <i x="145" s="1" nd="1"/>
        <i x="164" s="1" nd="1"/>
        <i x="111" s="1" nd="1"/>
        <i x="165" s="1" nd="1"/>
        <i x="172" s="1" nd="1"/>
        <i x="119" s="1" nd="1"/>
        <i x="138" s="1" nd="1"/>
        <i x="139"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490F0355-88C7-47FB-8B4E-23EA849CA4B2}" sourceName="contenido">
  <pivotTables>
    <pivotTable tabId="10" name="TablaDinámica7"/>
  </pivotTables>
  <data>
    <tabular pivotCacheId="577902720">
      <items count="97">
        <i x="5" s="1"/>
        <i x="26" s="1"/>
        <i x="4" s="1"/>
        <i x="9" s="1"/>
        <i x="10" s="1"/>
        <i x="18" s="1"/>
        <i x="34" s="1"/>
        <i x="23" s="1"/>
        <i x="12" s="1"/>
        <i x="13" s="1"/>
        <i x="25" s="1"/>
        <i x="27" s="1"/>
        <i x="7" s="1"/>
        <i x="8" s="1"/>
        <i x="3" s="1"/>
        <i x="24" s="1"/>
        <i x="37" s="1"/>
        <i x="0" s="1"/>
        <i x="28" s="1"/>
        <i x="20" s="1"/>
        <i x="1" s="1"/>
        <i x="31" s="1"/>
        <i x="14" s="1"/>
        <i x="33" s="1"/>
        <i x="35" s="1"/>
        <i x="15" s="1"/>
        <i x="6" s="1"/>
        <i x="36" s="1"/>
        <i x="17" s="1"/>
        <i x="29" s="1"/>
        <i x="11" s="1"/>
        <i x="30" s="1"/>
        <i x="19" s="1"/>
        <i x="21" s="1"/>
        <i x="32" s="1"/>
        <i x="2" s="1"/>
        <i x="22" s="1"/>
        <i x="16" s="1"/>
        <i x="83" s="1" nd="1"/>
        <i x="93" s="1" nd="1"/>
        <i x="90" s="1" nd="1"/>
        <i x="68" s="1" nd="1"/>
        <i x="53" s="1" nd="1"/>
        <i x="60" s="1" nd="1"/>
        <i x="57" s="1" nd="1"/>
        <i x="77" s="1" nd="1"/>
        <i x="88" s="1" nd="1"/>
        <i x="76" s="1" nd="1"/>
        <i x="49" s="1" nd="1"/>
        <i x="73" s="1" nd="1"/>
        <i x="61" s="1" nd="1"/>
        <i x="71" s="1" nd="1"/>
        <i x="70" s="1" nd="1"/>
        <i x="67" s="1" nd="1"/>
        <i x="51" s="1" nd="1"/>
        <i x="38" s="1" nd="1"/>
        <i x="48" s="1" nd="1"/>
        <i x="59" s="1" nd="1"/>
        <i x="87" s="1" nd="1"/>
        <i x="43" s="1" nd="1"/>
        <i x="50" s="1" nd="1"/>
        <i x="46" s="1" nd="1"/>
        <i x="58" s="1" nd="1"/>
        <i x="81" s="1" nd="1"/>
        <i x="56" s="1" nd="1"/>
        <i x="75" s="1" nd="1"/>
        <i x="89" s="1" nd="1"/>
        <i x="41" s="1" nd="1"/>
        <i x="62" s="1" nd="1"/>
        <i x="63" s="1" nd="1"/>
        <i x="42" s="1" nd="1"/>
        <i x="65" s="1" nd="1"/>
        <i x="39" s="1" nd="1"/>
        <i x="84" s="1" nd="1"/>
        <i x="95" s="1" nd="1"/>
        <i x="82" s="1" nd="1"/>
        <i x="54" s="1" nd="1"/>
        <i x="92" s="1" nd="1"/>
        <i x="91" s="1" nd="1"/>
        <i x="45" s="1" nd="1"/>
        <i x="66" s="1" nd="1"/>
        <i x="94" s="1" nd="1"/>
        <i x="72" s="1" nd="1"/>
        <i x="55" s="1" nd="1"/>
        <i x="80" s="1" nd="1"/>
        <i x="64" s="1" nd="1"/>
        <i x="85" s="1" nd="1"/>
        <i x="44" s="1" nd="1"/>
        <i x="47" s="1" nd="1"/>
        <i x="96" s="1" nd="1"/>
        <i x="79" s="1" nd="1"/>
        <i x="69" s="1" nd="1"/>
        <i x="86" s="1" nd="1"/>
        <i x="74" s="1" nd="1"/>
        <i x="52" s="1" nd="1"/>
        <i x="78" s="1" nd="1"/>
        <i x="4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1" xr10:uid="{DFFF3EEA-53C3-49A1-B0D4-9A676E7AE077}" sourceName="escala">
  <pivotTables>
    <pivotTable tabId="10" name="TablaDinámica7"/>
  </pivotTables>
  <data>
    <tabular pivotCacheId="577902720">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1" xr10:uid="{5E91E34B-B860-4D56-80FE-B79C99058CEF}" sourceName="territorio">
  <pivotTables>
    <pivotTable tabId="10" name="TablaDinámica7"/>
  </pivotTables>
  <data>
    <tabular pivotCacheId="577902720">
      <items count="18">
        <i x="0" s="1"/>
        <i x="2" s="1"/>
        <i x="15" s="1"/>
        <i x="3" s="1"/>
        <i x="11" s="1"/>
        <i x="4" s="1"/>
        <i x="9" s="1"/>
        <i x="10" s="1"/>
        <i x="14" s="1"/>
        <i x="12" s="1"/>
        <i x="7" s="1"/>
        <i x="16" s="1"/>
        <i x="6" s="1"/>
        <i x="1" s="1"/>
        <i x="5" s="1"/>
        <i x="8" s="1"/>
        <i x="13" s="1"/>
        <i x="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C1317F89-E6C4-4B2C-A0F0-76612842406E}" sourceName="tema">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142742DA-E046-4880-9200-6317F33EA905}" sourceName="contenido">
  <extLst>
    <x:ext xmlns:x15="http://schemas.microsoft.com/office/spreadsheetml/2010/11/main" uri="{2F2917AC-EB37-4324-AD4E-5DD8C200BD13}">
      <x15:tableSlicerCache tableId="1" column="7"/>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E246E760-8647-4B4A-A285-C7DC64582B5D}" sourceName="escala">
  <extLst>
    <x:ext xmlns:x15="http://schemas.microsoft.com/office/spreadsheetml/2010/11/main" uri="{2F2917AC-EB37-4324-AD4E-5DD8C200BD13}">
      <x15:tableSlicerCache tableId="1" column="8"/>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 xr10:uid="{E6AB4ECB-40B9-475D-967A-FC59730B985F}" sourceName="territorio">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iltro_Integrado" xr10:uid="{F4F13A1A-9086-411A-BB6E-0584B8BC9B99}" sourceName="Filtro Integrado">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6D4738C2-6399-4133-976A-25258C43D7D1}" sourceName="Muestra">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poralidad" xr10:uid="{A2188DD6-C83F-4D3F-9886-1C8E4B56665D}" sourceName="temporalidad">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42CD1738-9910-4A28-B7E3-E718F5036730}" sourceName="sector">
  <extLst>
    <x:ext xmlns:x15="http://schemas.microsoft.com/office/spreadsheetml/2010/11/main" uri="{2F2917AC-EB37-4324-AD4E-5DD8C200BD13}">
      <x15:tableSlicerCache tableId="1"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isualizacion" xr10:uid="{DAA3D3C4-693D-4277-8BF2-0D53A817B68F}" sourceName="visualizacion">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C1CFA7A2-0ED5-4544-B48B-FB84913746E9}" cache="SegmentaciónDeDatos_sector1" caption="sector" columnCount="2" style="SlicerStyleDark4" rowHeight="241300"/>
  <slicer name="tema 1" xr10:uid="{DFAEA40F-DD73-4440-B52A-41ECEDAB8489}" cache="SegmentaciónDeDatos_tema1" caption="tema" columnCount="3" style="SlicerStyleDark6" rowHeight="241300"/>
  <slicer name="contenido 1" xr10:uid="{CED21F93-0D36-4BD4-8717-8AD116EADB2A}" cache="SegmentaciónDeDatos_contenido1" caption="contenido" startItem="12" columnCount="2" style="SlicerStyleDark3" rowHeight="241300"/>
  <slicer name="escala 1" xr10:uid="{C4C5CBDC-3822-42D0-B92C-81DB6AC004D6}" cache="SegmentaciónDeDatos_escala1" caption="escala" style="SlicerStyleDark5" rowHeight="241300"/>
  <slicer name="territorio 1" xr10:uid="{A4B59AC4-BCFB-4AE8-B55A-FED0D4B0C7C9}" cache="SegmentaciónDeDatos_territorio1" caption="territorio"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xr10:uid="{99CFEB31-C7BB-4FF4-8185-D1EBFFBA3956}" cache="SegmentaciónDeDatos_tema" caption="tema" style="SlicerStyleDark4" rowHeight="234950"/>
  <slicer name="contenido" xr10:uid="{DBC81D61-C3B3-4BF8-B2CB-836AC9042B95}" cache="SegmentaciónDeDatos_contenido" caption="contenido" columnCount="2" style="SlicerStyleDark2" rowHeight="234950"/>
  <slicer name="escala" xr10:uid="{09B6986D-B155-4FA1-80EC-78DE7C69CAC2}" cache="SegmentaciónDeDatos_escala" caption="escala" style="SlicerStyleDark2" rowHeight="234950"/>
  <slicer name="territorio" xr10:uid="{F9140827-EC92-409C-AAE4-F8FFCFB266E1}" cache="SegmentaciónDeDatos_territorio" caption="territorio" columnCount="2" style="SlicerStyleDark2" rowHeight="234950"/>
  <slicer name="Filtro Integrado" xr10:uid="{81A1F6C1-BBAA-4C81-8C38-CBC6D827DDDE}" cache="SegmentaciónDeDatos_Filtro_Integrado" caption="Filtro Integrado" columnCount="2" style="SlicerStyleDark5" rowHeight="234950"/>
  <slicer name="Muestra" xr10:uid="{DD928895-A466-415C-A0B2-3F7A20478584}" cache="SegmentaciónDeDatos_Muestra" caption="Muestra" style="SlicerStyleDark6" rowHeight="234950"/>
  <slicer name="temporalidad" xr10:uid="{008C4BAC-DF79-47E2-93F4-95905B8711F5}" cache="SegmentaciónDeDatos_temporalidad" caption="temporalidad" style="SlicerStyleDark2" rowHeight="234950"/>
  <slicer name="sector" xr10:uid="{DDC5333A-0421-4952-9D91-195229B4AF71}" cache="SegmentaciónDeDatos_sector" caption="sector" startItem="3" style="SlicerStyleDark1" rowHeight="241300"/>
  <slicer name="visualizacion" xr10:uid="{671132B6-E01A-4EB2-A5B1-0515F48FE7F2}" cache="SegmentaciónDeDatos_visualizacion" caption="visualizaci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C5EF3-2C70-4D90-B5E1-D528231814D8}" name="Agencia" displayName="Agencia" ref="A11:AA2002" totalsRowShown="0" headerRowDxfId="30">
  <autoFilter ref="A11:AA2002" xr:uid="{97B5C476-3F9F-4197-BB18-4AEB96A9D3D7}"/>
  <tableColumns count="27">
    <tableColumn id="1" xr3:uid="{3D431003-FED6-4551-A9A5-C20BDD800BF5}" name="id" dataDxfId="29"/>
    <tableColumn id="2" xr3:uid="{69EBE614-7415-4758-84D1-70A8BB5AD412}" name="idcoleccion" dataDxfId="28"/>
    <tableColumn id="3" xr3:uid="{00067312-1731-4475-9E54-D88AF9927A57}" name="coleccion" dataDxfId="27"/>
    <tableColumn id="4" xr3:uid="{2D5FA4E0-31EC-4F24-BE99-607D3D813655}" name="sector" dataDxfId="26"/>
    <tableColumn id="5" xr3:uid="{DAA5ABD7-005E-4726-9D0E-964ABFE6C124}" name="Filtro URL" dataDxfId="25"/>
    <tableColumn id="6" xr3:uid="{3EE64D21-CEE3-4F56-9BDB-E86405583F0C}" name="tema" dataDxfId="24"/>
    <tableColumn id="7" xr3:uid="{B18CD19C-51DC-46C2-871C-6BE101FACFEB}" name="contenido" dataDxfId="23"/>
    <tableColumn id="8" xr3:uid="{23D5C1AF-BDE4-4009-AB41-531D544CB052}" name="escala" dataDxfId="22"/>
    <tableColumn id="9" xr3:uid="{DA849DF4-1E4F-43E4-98F9-07CF968F8068}" name="territorio" dataDxfId="21"/>
    <tableColumn id="10" xr3:uid="{4CCEC976-24A6-484D-A3BB-EBEF50210414}" name="Filtro Integrado" dataDxfId="20"/>
    <tableColumn id="11" xr3:uid="{633CF37C-9475-458F-93BD-3E6C829259FE}" name="Muestra" dataDxfId="19"/>
    <tableColumn id="12" xr3:uid="{C9AD2F62-6D59-441D-86A3-D657475A5048}" name="temporalidad" dataDxfId="18"/>
    <tableColumn id="13" xr3:uid="{9C90CF92-D46C-45CC-A515-665BEFD59FD0}" name="unidad_medida" dataDxfId="17"/>
    <tableColumn id="14" xr3:uid="{A535AC73-D5CA-471D-961D-840916F57BFB}" name="fuente" dataDxfId="16"/>
    <tableColumn id="15" xr3:uid="{CE821007-F8A2-469B-90CB-A97B34EA0E0D}" name="titulo" dataDxfId="15">
      <calculatedColumnFormula>+"Resumen Indicadores de Desarrollo Personal y Social por Establecimiento para la "&amp;I12</calculatedColumnFormula>
    </tableColumn>
    <tableColumn id="16" xr3:uid="{ACF065FA-53DF-42A2-AB76-F382DF0507E9}" name="descripcion_larga" dataDxfId="14"/>
    <tableColumn id="17" xr3:uid="{B3241B34-1F28-488E-962D-702279B7FC29}" name="visualizacion" dataDxfId="13">
      <calculatedColumnFormula>+Q11</calculatedColumnFormula>
    </tableColumn>
    <tableColumn id="18" xr3:uid="{36E18FB8-B090-4513-8878-F34530369C6B}" name="tag" dataDxfId="12"/>
    <tableColumn id="19" xr3:uid="{34EAE68C-0B4D-4751-9FD6-9A20417E489D}" name="url" dataDxfId="11" dataCellStyle="Hipervínculo"/>
    <tableColumn id="20" xr3:uid="{B53287BC-B50E-4BCC-BB6C-DE60B70DC3AF}" name="Suscripcion" dataDxfId="10"/>
    <tableColumn id="21" xr3:uid="{6658E20A-9C4E-46D0-829C-CD31924B1376}" name="Color" dataDxfId="9">
      <calculatedColumnFormula>+U11</calculatedColumnFormula>
    </tableColumn>
    <tableColumn id="22" xr3:uid="{21DBE239-F721-4DEC-9312-D9E30988F7A8}" name="id_grafico" dataDxfId="8">
      <calculatedColumnFormula>+Agencia[[#This Row],[idcoleccion]]&amp;"-"&amp;Agencia[[#This Row],[id]]</calculatedColumnFormula>
    </tableColumn>
    <tableColumn id="23" xr3:uid="{51BFA0BA-A1A2-4D6D-9A13-0B82C3B88C4E}" name="idterritorio" dataDxfId="7">
      <calculatedColumnFormula>+VLOOKUP(Agencia[[#This Row],[Filtro URL]],Estructura!$X$4:$Y$500,2,0)</calculatedColumnFormula>
    </tableColumn>
    <tableColumn id="24" xr3:uid="{223E2DD3-A78B-40CF-935F-BB4012C57299}" name="id_tema" dataDxfId="6">
      <calculatedColumnFormula>+VLOOKUP(Agencia[[#This Row],[tema]],Estructura!$A$4:$C$500,3,0)</calculatedColumnFormula>
    </tableColumn>
    <tableColumn id="25" xr3:uid="{75573ACC-C413-46F3-8534-404C576ECE29}" name="id_contenido" dataDxfId="5">
      <calculatedColumnFormula>+VLOOKUP(Agencia[[#This Row],[contenido]],Estructura!$E$4:$G$500,3,0)</calculatedColumnFormula>
    </tableColumn>
    <tableColumn id="26" xr3:uid="{B4A1188A-2AFB-4C47-96CE-A097012C4C72}" name="idfiltro" dataDxfId="4">
      <calculatedColumnFormula>+VLOOKUP(Agencia[[#This Row],[Filtro Integrado]],Estructura!$I$4:$K$500,3,0)</calculatedColumnFormula>
    </tableColumn>
    <tableColumn id="27" xr3:uid="{B70F5663-983D-46E9-A27F-F0856A7F11DA}" name="id_muestra" dataDxfId="3">
      <calculatedColumnFormula>+VLOOKUP(Agencia[[#This Row],[Muestra]],Estructura!$M$4:$O$500,3,0)</calculatedColumnFormula>
    </tableColumn>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08435500?ZOHO_CRITERIA=%22Conexi%C3%B3n_Internet_fija%22.%22Codreg%22%3D10" TargetMode="External"/><Relationship Id="rId21" Type="http://schemas.openxmlformats.org/officeDocument/2006/relationships/hyperlink" Target="https://app.powerbi.com/view?r=eyJrIjoiNDExYTM1N2EtYTNiYi00OGNkLThhMjMtMDVjNGQ5NzNjZTU1IiwidCI6IjhmYmFhNWJmLTJlY2MtNGRjOC1iNTZiLThmOTJlMzA3ZjA3NiIsImMiOjR9" TargetMode="External"/><Relationship Id="rId324" Type="http://schemas.openxmlformats.org/officeDocument/2006/relationships/hyperlink" Target="https://app.powerbi.com/view?r=eyJrIjoiOWNlNjk3Y2MtMGNiNS00OTEyLTkxZmUtODM4MDI5MDNlMTdiIiwidCI6IjhmYmFhNWJmLTJlY2MtNGRjOC1iNTZiLThmOTJlMzA3ZjA3NiIsImMiOjR9&amp;pageName=ReportSection4dc3b620a637a46619e6" TargetMode="External"/><Relationship Id="rId531" Type="http://schemas.openxmlformats.org/officeDocument/2006/relationships/hyperlink" Target="https://analytics.zoho.com/open-view/2395394000009042786" TargetMode="External"/><Relationship Id="rId170" Type="http://schemas.openxmlformats.org/officeDocument/2006/relationships/hyperlink" Target="https://analytics.zoho.com/open-view/2395394000008503207?ZOHO_CRITERIA=%22Pueblos%20Ind%C3%ADgenas%20Edad%22.%22id_Region%22%20%3D%2010" TargetMode="External"/><Relationship Id="rId268" Type="http://schemas.openxmlformats.org/officeDocument/2006/relationships/hyperlink" Target="https://analytics.zoho.com/open-view/2395394000008478183?ZOHO_CRITERIA=%22Localiza%20CL%22.%22Codreg%22%20%3D%208" TargetMode="External"/><Relationship Id="rId475" Type="http://schemas.openxmlformats.org/officeDocument/2006/relationships/hyperlink" Target="https://analytics.zoho.com/open-view/2395394000008478582?ZOHO_CRITERIA=%2216%20Energ%C3%ADas%20Renovables%20y%20No%20Renovables%22.%22Cod_Regi%C3%B3n%22%20%3D%207" TargetMode="External"/><Relationship Id="rId32" Type="http://schemas.openxmlformats.org/officeDocument/2006/relationships/hyperlink" Target="https://analytics.zoho.com/open-view/2395394000008056226" TargetMode="External"/><Relationship Id="rId128" Type="http://schemas.openxmlformats.org/officeDocument/2006/relationships/hyperlink" Target="https://analytics.zoho.com/open-view/2395394000008511008?ZOHO_CRITERIA=%22Televisi%C3%B3n_Pago%22.%22CodRegi%C3%B3n%22%3D3" TargetMode="External"/><Relationship Id="rId335" Type="http://schemas.openxmlformats.org/officeDocument/2006/relationships/hyperlink" Target="https://app.powerbi.com/view?r=eyJrIjoiMmRlZmU2MWMtYmU1Zi00MGYzLThhYTUtZmRiYjczOTNjN2ZjIiwidCI6IjhmYmFhNWJmLTJlY2MtNGRjOC1iNTZiLThmOTJlMzA3ZjA3NiIsImMiOjR9" TargetMode="External"/><Relationship Id="rId542" Type="http://schemas.openxmlformats.org/officeDocument/2006/relationships/hyperlink" Target="https://analytics.zoho.com/open-view/2395394000008516725?ZOHO_CRITERIA=%22Localiza%20CL%22.%22Codreg%22%20%3D%203" TargetMode="External"/><Relationship Id="rId181" Type="http://schemas.openxmlformats.org/officeDocument/2006/relationships/hyperlink" Target="https://analytics.zoho.com/open-view/2395394000008503341?ZOHO_CRITERIA=%22Pueblos%20Ind%C3%ADgenas%20Edad%22.%22id_Region%22%20%3D%203" TargetMode="External"/><Relationship Id="rId402" Type="http://schemas.openxmlformats.org/officeDocument/2006/relationships/hyperlink" Target="https://public.flourish.studio/visualisation/7125190/" TargetMode="External"/><Relationship Id="rId279" Type="http://schemas.openxmlformats.org/officeDocument/2006/relationships/hyperlink" Target="https://analytics.zoho.com/open-view/2395394000008193221" TargetMode="External"/><Relationship Id="rId486" Type="http://schemas.openxmlformats.org/officeDocument/2006/relationships/hyperlink" Target="https://analytics.zoho.com/open-view/2395394000008744885?ZOHO_CRITERIA=%22Consolidado_Estadisticas_Regionales_New%22.%22C%C3%B3digo%20regi%C3%B3n%22%20%3D%203" TargetMode="External"/><Relationship Id="rId43" Type="http://schemas.openxmlformats.org/officeDocument/2006/relationships/hyperlink" Target="https://analytics.zoho.com/open-view/2395394000007777311" TargetMode="External"/><Relationship Id="rId139" Type="http://schemas.openxmlformats.org/officeDocument/2006/relationships/hyperlink" Target="https://analytics.zoho.com/open-view/2395394000008511008?ZOHO_CRITERIA=%22Televisi%C3%B3n_Pago%22.%22CodRegi%C3%B3n%22%3D14" TargetMode="External"/><Relationship Id="rId346" Type="http://schemas.openxmlformats.org/officeDocument/2006/relationships/hyperlink" Target="https://app.powerbi.com/view?r=eyJrIjoiYWE4MGYxNmYtZTJmNi00OGE4LWFiMjItYzMwZjA5ZWI2MmQzIiwidCI6IjhmYmFhNWJmLTJlY2MtNGRjOC1iNTZiLThmOTJlMzA3ZjA3NiIsImMiOjR9" TargetMode="External"/><Relationship Id="rId553" Type="http://schemas.openxmlformats.org/officeDocument/2006/relationships/hyperlink" Target="https://analytics.zoho.com/open-view/2395394000008771662?ZOHO_CRITERIA=%22Localiza%20CL%22.%22Codreg%22%20%3D%209" TargetMode="External"/><Relationship Id="rId192" Type="http://schemas.openxmlformats.org/officeDocument/2006/relationships/hyperlink" Target="https://analytics.zoho.com/open-view/2395394000008503341?ZOHO_CRITERIA=%22Pueblos%20Ind%C3%ADgenas%20Edad%22.%22id_Region%22%20%3D%2014" TargetMode="External"/><Relationship Id="rId206" Type="http://schemas.openxmlformats.org/officeDocument/2006/relationships/hyperlink" Target="https://analytics.zoho.com/open-view/2395394000008503554?ZOHO_CRITERIA=%22Pueblos%20Ind%C3%ADgenas%20Sexo%22.%22id_Region%22%20%3D%2011" TargetMode="External"/><Relationship Id="rId413" Type="http://schemas.openxmlformats.org/officeDocument/2006/relationships/hyperlink" Target="https://analytics.zoho.com/open-view/2395394000008496266?ZOHO_CRITERIA=%22Localiza%20CL%22.%22Codreg%22%3D11" TargetMode="External"/><Relationship Id="rId497" Type="http://schemas.openxmlformats.org/officeDocument/2006/relationships/hyperlink" Target="https://analytics.zoho.com/open-view/2395394000008744885?ZOHO_CRITERIA=%22Consolidado_Estadisticas_Regionales_New%22.%22C%C3%B3digo%20regi%C3%B3n%22%20%3D%2014" TargetMode="External"/><Relationship Id="rId620" Type="http://schemas.openxmlformats.org/officeDocument/2006/relationships/hyperlink" Target="https://sud-austral.github.io/Pdf2/Layout_Q2_19_20_Dinamica_R10/3104.pdf" TargetMode="External"/><Relationship Id="rId357" Type="http://schemas.openxmlformats.org/officeDocument/2006/relationships/hyperlink" Target="https://app.powerbi.com/view?r=eyJrIjoiZGVkN2YxMjctMGZhZC00MGE1LTgzZWMtMjBlYjQxN2UzNTY0IiwidCI6IjhmYmFhNWJmLTJlY2MtNGRjOC1iNTZiLThmOTJlMzA3ZjA3NiIsImMiOjR9" TargetMode="External"/><Relationship Id="rId54" Type="http://schemas.openxmlformats.org/officeDocument/2006/relationships/hyperlink" Target="https://analytics.zoho.com/open-view/2395394000007849686" TargetMode="External"/><Relationship Id="rId217" Type="http://schemas.openxmlformats.org/officeDocument/2006/relationships/hyperlink" Target="https://analytics.zoho.com/open-view/2395394000008086867" TargetMode="External"/><Relationship Id="rId564" Type="http://schemas.openxmlformats.org/officeDocument/2006/relationships/hyperlink" Target="https://analytics.zoho.com/open-view/2395394000008532260?ZOHO_CRITERIA=%221.1%20Lugar_Salida_Entrada%22.%22C%C3%B3digo%20Regi%C3%B3n%22%3D7" TargetMode="External"/><Relationship Id="rId424" Type="http://schemas.openxmlformats.org/officeDocument/2006/relationships/hyperlink" Target="https://analytics.zoho.com/open-view/2395394000009355924?ZOHO_CRITERIA=%22Consolidado_Estadisticas_Regionales_New%22.%22C%C3%B3digo%20regi%C3%B3n%22%3D1" TargetMode="External"/><Relationship Id="rId270" Type="http://schemas.openxmlformats.org/officeDocument/2006/relationships/hyperlink" Target="https://analytics.zoho.com/open-view/2395394000008478183?ZOHO_CRITERIA=%22Localiza%20CL%22.%22Codreg%22%20%3D%2010" TargetMode="External"/><Relationship Id="rId65" Type="http://schemas.openxmlformats.org/officeDocument/2006/relationships/hyperlink" Target="https://analytics.zoho.com/open-view/2395394000008034444" TargetMode="External"/><Relationship Id="rId130" Type="http://schemas.openxmlformats.org/officeDocument/2006/relationships/hyperlink" Target="https://analytics.zoho.com/open-view/2395394000008511008?ZOHO_CRITERIA=%22Televisi%C3%B3n_Pago%22.%22CodRegi%C3%B3n%22%3D5" TargetMode="External"/><Relationship Id="rId368" Type="http://schemas.openxmlformats.org/officeDocument/2006/relationships/hyperlink" Target="https://app.powerbi.com/view?r=eyJrIjoiMmY5MGUzNWMtM2Q3Zi00YmRmLTg1MWQtNTMyNjkyYjIzZDIzIiwidCI6IjhmYmFhNWJmLTJlY2MtNGRjOC1iNTZiLThmOTJlMzA3ZjA3NiIsImMiOjR9" TargetMode="External"/><Relationship Id="rId575" Type="http://schemas.openxmlformats.org/officeDocument/2006/relationships/hyperlink" Target="https://analytics.zoho.com/open-view/2395394000008475578?ZOHO_CRITERIA=%228.3%20Licencias_conducir%22.%22Codreg%22%3D12" TargetMode="External"/><Relationship Id="rId228" Type="http://schemas.openxmlformats.org/officeDocument/2006/relationships/hyperlink" Target="https://analytics.zoho.com/open-view/2395394000008434853?ZOHO_CRITERIA=%22Televisi%C3%B3n_Pago%22.%22CodRegi%C3%B3n%22%3D6" TargetMode="External"/><Relationship Id="rId435" Type="http://schemas.openxmlformats.org/officeDocument/2006/relationships/hyperlink" Target="https://analytics.zoho.com/open-view/2395394000008741045" TargetMode="External"/><Relationship Id="rId281" Type="http://schemas.openxmlformats.org/officeDocument/2006/relationships/hyperlink" Target="https://analytics.zoho.com/open-view/2395394000008410521?ZOHO_CRITERIA=%22Pa%C3%ADs_Todo%22.%22id_TipoProducto%22%3D4" TargetMode="External"/><Relationship Id="rId502" Type="http://schemas.openxmlformats.org/officeDocument/2006/relationships/hyperlink" Target="https://analytics.zoho.com/open-view/2395394000008745260?ZOHO_CRITERIA=%22Consolidado_Estadisticas_Regionales_New%22.%22C%C3%B3digo%20regi%C3%B3n%22%20%3D%206" TargetMode="External"/><Relationship Id="rId76" Type="http://schemas.openxmlformats.org/officeDocument/2006/relationships/hyperlink" Target="https://app.powerbi.com/view?r=eyJrIjoiYmM4NDNmZGQtNDEzMS00MzRkLWJiZWUtYjljYWE2MGU5NzgwIiwidCI6IjhmYmFhNWJmLTJlY2MtNGRjOC1iNTZiLThmOTJlMzA3ZjA3NiIsImMiOjR9" TargetMode="External"/><Relationship Id="rId141" Type="http://schemas.openxmlformats.org/officeDocument/2006/relationships/hyperlink" Target="https://analytics.zoho.com/open-view/2395394000008511008?ZOHO_CRITERIA=%22Televisi%C3%B3n_Pago%22.%22CodRegi%C3%B3n%22%3D16" TargetMode="External"/><Relationship Id="rId379" Type="http://schemas.openxmlformats.org/officeDocument/2006/relationships/hyperlink" Target="https://app.powerbi.com/view?r=eyJrIjoiZTE0YzU4OWUtOTBlOC00MzUzLTg4NDQtZDg2Y2FlMDg4ZGIzIiwidCI6IjhmYmFhNWJmLTJlY2MtNGRjOC1iNTZiLThmOTJlMzA3ZjA3NiIsImMiOjR9" TargetMode="External"/><Relationship Id="rId586" Type="http://schemas.openxmlformats.org/officeDocument/2006/relationships/hyperlink" Target="https://analytics.zoho.com/open-view/2395394000008742160?ZOHO_CRITERIA=%22Consolidado_Estadisticas_Regionales_New%22.%22C%C3%B3digo%20regi%C3%B3n%22%20%3D%205" TargetMode="External"/><Relationship Id="rId7" Type="http://schemas.openxmlformats.org/officeDocument/2006/relationships/hyperlink" Target="https://analytics.zoho.com/open-view/2395394000007782157" TargetMode="External"/><Relationship Id="rId239" Type="http://schemas.openxmlformats.org/officeDocument/2006/relationships/hyperlink" Target="https://analytics.zoho.com/open-view/2395394000009355612?ZOHO_CRITERIA=%22Consolidado_Estadisticas_Regionales_New%22.%22C%C3%B3digo%20regi%C3%B3n%22%20%3D%201" TargetMode="External"/><Relationship Id="rId446" Type="http://schemas.openxmlformats.org/officeDocument/2006/relationships/hyperlink" Target="https://analytics.zoho.com/open-view/2395394000008744885?ZOHO_CRITERIA=%22Consolidado_Estadisticas_Regionales_New%22.%22C%C3%B3digo%20regi%C3%B3n%22%20%3D%201" TargetMode="External"/><Relationship Id="rId292" Type="http://schemas.openxmlformats.org/officeDocument/2006/relationships/hyperlink" Target="https://analytics.zoho.com/open-view/2395394000008516593?ZOHO_CRITERIA=%222.1%22.%22C%C3%B3digo%20Regi%C3%B3n%22%20%3D%201" TargetMode="External"/><Relationship Id="rId306" Type="http://schemas.openxmlformats.org/officeDocument/2006/relationships/hyperlink" Target="https://analytics.zoho.com/open-view/2395394000008532260?ZOHO_CRITERIA=%221.1%20Lugar_Salida_Entrada%22.%22C%C3%B3digo%20Regi%C3%B3n%22%3D1" TargetMode="External"/><Relationship Id="rId87" Type="http://schemas.openxmlformats.org/officeDocument/2006/relationships/hyperlink" Target="https://analytics.zoho.com/open-view/2395394000008255577" TargetMode="External"/><Relationship Id="rId513" Type="http://schemas.openxmlformats.org/officeDocument/2006/relationships/hyperlink" Target="https://analytics.zoho.com/open-view/2395394000008745666?ZOHO_CRITERIA=%22Consolidado_Estadisticas_Regionales_New%22.%22C%C3%B3digo%20regi%C3%B3n%22%20%3D%202" TargetMode="External"/><Relationship Id="rId597" Type="http://schemas.openxmlformats.org/officeDocument/2006/relationships/hyperlink" Target="https://analytics.zoho.com/open-view/2395394000008464607?ZOHO_CRITERIA=%22Localiza%20CL%22.%22Codreg%22%20%3D%204" TargetMode="External"/><Relationship Id="rId152" Type="http://schemas.openxmlformats.org/officeDocument/2006/relationships/hyperlink" Target="https://analytics.zoho.com/open-view/2395394000008503085?ZOHO_CRITERIA=%22Pueblos%20Ind%C3%ADgenas%20Edad%22.%22id_Region%22%20%3D%2010" TargetMode="External"/><Relationship Id="rId457" Type="http://schemas.openxmlformats.org/officeDocument/2006/relationships/hyperlink" Target="https://analytics.zoho.com/open-view/2395394000008492075?ZOHO_CRITERIA=%2216%20Energ%C3%ADas%20Renovables%20y%20No%20Renovables%22.%22Cod_Regi%C3%B3n%22%20%3D%203" TargetMode="External"/><Relationship Id="rId14" Type="http://schemas.openxmlformats.org/officeDocument/2006/relationships/hyperlink" Target="https://analytics.zoho.com/open-view/2395394000007777114" TargetMode="External"/><Relationship Id="rId317" Type="http://schemas.openxmlformats.org/officeDocument/2006/relationships/hyperlink" Target="https://analytics.zoho.com/open-view/2395394000008532437" TargetMode="External"/><Relationship Id="rId524" Type="http://schemas.openxmlformats.org/officeDocument/2006/relationships/hyperlink" Target="https://analytics.zoho.com/open-view/2395394000008745666?ZOHO_CRITERIA=%22Consolidado_Estadisticas_Regionales_New%22.%22C%C3%B3digo%20regi%C3%B3n%22%20%3D%2013" TargetMode="External"/><Relationship Id="rId98" Type="http://schemas.openxmlformats.org/officeDocument/2006/relationships/hyperlink" Target="https://analytics.zoho.com/open-view/2395394000008189214" TargetMode="External"/><Relationship Id="rId163" Type="http://schemas.openxmlformats.org/officeDocument/2006/relationships/hyperlink" Target="https://analytics.zoho.com/open-view/2395394000008503207?ZOHO_CRITERIA=%22Pueblos%20Ind%C3%ADgenas%20Edad%22.%22id_Region%22%20%3D%203" TargetMode="External"/><Relationship Id="rId370" Type="http://schemas.openxmlformats.org/officeDocument/2006/relationships/hyperlink" Target="https://app.powerbi.com/view?r=eyJrIjoiYzY4N2NhZDQtZmZhMC00ODc3LTg3YWQtYmViY2NkMmUxZGE3IiwidCI6IjhmYmFhNWJmLTJlY2MtNGRjOC1iNTZiLThmOTJlMzA3ZjA3NiIsImMiOjR9" TargetMode="External"/><Relationship Id="rId230" Type="http://schemas.openxmlformats.org/officeDocument/2006/relationships/hyperlink" Target="https://analytics.zoho.com/open-view/2395394000008434853?ZOHO_CRITERIA=%22Televisi%C3%B3n_Pago%22.%22CodRegi%C3%B3n%22%3D8" TargetMode="External"/><Relationship Id="rId468" Type="http://schemas.openxmlformats.org/officeDocument/2006/relationships/hyperlink" Target="https://analytics.zoho.com/open-view/2395394000008492075?ZOHO_CRITERIA=%2216%20Energ%C3%ADas%20Renovables%20y%20No%20Renovables%22.%22Cod_Regi%C3%B3n%22%20%3D%2015" TargetMode="External"/><Relationship Id="rId25" Type="http://schemas.openxmlformats.org/officeDocument/2006/relationships/hyperlink" Target="https://app.powerbi.com/view?r=eyJrIjoiNWYxNzdhNGItMDA0OC00ZjY5LWI0YTUtMDUwYzk1M2JmZGVhIiwidCI6IjhmYmFhNWJmLTJlY2MtNGRjOC1iNTZiLThmOTJlMzA3ZjA3NiIsImMiOjR9" TargetMode="External"/><Relationship Id="rId328" Type="http://schemas.openxmlformats.org/officeDocument/2006/relationships/hyperlink" Target="https://app.powerbi.com/view?r=eyJrIjoiYmEwNjFkOGUtMTAyNC00ZTM3LWI3OTItNTdhMjIzNzc5ODdkIiwidCI6IjhmYmFhNWJmLTJlY2MtNGRjOC1iNTZiLThmOTJlMzA3ZjA3NiIsImMiOjR9" TargetMode="External"/><Relationship Id="rId535" Type="http://schemas.openxmlformats.org/officeDocument/2006/relationships/hyperlink" Target="https://analytics.zoho.com/open-view/2395394000008516065?ZOHO_CRITERIA=%222.1%22.%22C%C3%B3digo%20Regi%C3%B3n%22%20%3D%205" TargetMode="External"/><Relationship Id="rId174" Type="http://schemas.openxmlformats.org/officeDocument/2006/relationships/hyperlink" Target="https://analytics.zoho.com/open-view/2395394000008503207?ZOHO_CRITERIA=%22Pueblos%20Ind%C3%ADgenas%20Edad%22.%22id_Region%22%20%3D%2014" TargetMode="External"/><Relationship Id="rId381" Type="http://schemas.openxmlformats.org/officeDocument/2006/relationships/hyperlink" Target="https://app.powerbi.com/view?r=eyJrIjoiNjBmZmYzZGEtMmFiZC00YTU2LTg5Y2UtMTIxMDc4NGIwZDFhIiwidCI6IjhmYmFhNWJmLTJlY2MtNGRjOC1iNTZiLThmOTJlMzA3ZjA3NiIsImMiOjR9" TargetMode="External"/><Relationship Id="rId602" Type="http://schemas.openxmlformats.org/officeDocument/2006/relationships/hyperlink" Target="https://sud-austral.github.io/Pdf2/Layout_Q1_19_20_Dinamica_R10/2923.pdf" TargetMode="External"/><Relationship Id="rId241" Type="http://schemas.openxmlformats.org/officeDocument/2006/relationships/hyperlink" Target="https://analytics.zoho.com/open-view/2395394000008183442" TargetMode="External"/><Relationship Id="rId479" Type="http://schemas.openxmlformats.org/officeDocument/2006/relationships/hyperlink" Target="https://analytics.zoho.com/open-view/2395394000008478582?ZOHO_CRITERIA=%2216%20Energ%C3%ADas%20Renovables%20y%20No%20Renovables%22.%22Cod_Regi%C3%B3n%22%20%3D%2011" TargetMode="External"/><Relationship Id="rId36" Type="http://schemas.openxmlformats.org/officeDocument/2006/relationships/hyperlink" Target="https://app.powerbi.com/view?r=eyJrIjoiZWFlZTlkOTMtZjVmMS00ZTNjLWIwYjctMWQ3YTI0ZDIwMjlmIiwidCI6IjhmYmFhNWJmLTJlY2MtNGRjOC1iNTZiLThmOTJlMzA3ZjA3NiIsImMiOjR9" TargetMode="External"/><Relationship Id="rId283" Type="http://schemas.openxmlformats.org/officeDocument/2006/relationships/hyperlink" Target="https://analytics.zoho.com/open-view/2395394000008083407" TargetMode="External"/><Relationship Id="rId339" Type="http://schemas.openxmlformats.org/officeDocument/2006/relationships/hyperlink" Target="https://app.powerbi.com/view?r=eyJrIjoiOTJkNmVmNzYtM2MxMy00NzkwLWIzMDEtMmUyMmE3Zjg3MTkxIiwidCI6IjhmYmFhNWJmLTJlY2MtNGRjOC1iNTZiLThmOTJlMzA3ZjA3NiIsImMiOjR9" TargetMode="External"/><Relationship Id="rId490" Type="http://schemas.openxmlformats.org/officeDocument/2006/relationships/hyperlink" Target="https://analytics.zoho.com/open-view/2395394000008744885?ZOHO_CRITERIA=%22Consolidado_Estadisticas_Regionales_New%22.%22C%C3%B3digo%20regi%C3%B3n%22%20%3D%207" TargetMode="External"/><Relationship Id="rId504" Type="http://schemas.openxmlformats.org/officeDocument/2006/relationships/hyperlink" Target="https://analytics.zoho.com/open-view/2395394000008745260?ZOHO_CRITERIA=%22Consolidado_Estadisticas_Regionales_New%22.%22C%C3%B3digo%20regi%C3%B3n%22%20%3D%208" TargetMode="External"/><Relationship Id="rId546" Type="http://schemas.openxmlformats.org/officeDocument/2006/relationships/hyperlink" Target="https://analytics.zoho.com/open-view/2395394000008771662?ZOHO_CRITERIA=%22Localiza%20CL%22.%22Codreg%22%20%3D%202" TargetMode="External"/><Relationship Id="rId78" Type="http://schemas.openxmlformats.org/officeDocument/2006/relationships/hyperlink" Target="https://app.powerbi.com/view?r=eyJrIjoiNDJiYjBiMTgtMDI3MC00MTYzLWIyNjctOWY3YWI3MzQ5OTZmIiwidCI6IjhmYmFhNWJmLTJlY2MtNGRjOC1iNTZiLThmOTJlMzA3ZjA3NiIsImMiOjR9" TargetMode="External"/><Relationship Id="rId101" Type="http://schemas.openxmlformats.org/officeDocument/2006/relationships/hyperlink" Target="https://analytics.zoho.com/open-view/2395394000008183410" TargetMode="External"/><Relationship Id="rId143" Type="http://schemas.openxmlformats.org/officeDocument/2006/relationships/hyperlink" Target="https://analytics.zoho.com/open-view/2395394000008503085?ZOHO_CRITERIA=%22Pueblos%20Ind%C3%ADgenas%20Edad%22.%22id_Region%22%20%3D%201" TargetMode="External"/><Relationship Id="rId185" Type="http://schemas.openxmlformats.org/officeDocument/2006/relationships/hyperlink" Target="https://analytics.zoho.com/open-view/2395394000008503341?ZOHO_CRITERIA=%22Pueblos%20Ind%C3%ADgenas%20Edad%22.%22id_Region%22%20%3D%207" TargetMode="External"/><Relationship Id="rId350" Type="http://schemas.openxmlformats.org/officeDocument/2006/relationships/hyperlink" Target="https://app.powerbi.com/view?r=eyJrIjoiYWE4ODdhYzAtNTFmMS00YWQ5LTk5N2EtMTRkNWRmMjgyMjk5IiwidCI6IjhmYmFhNWJmLTJlY2MtNGRjOC1iNTZiLThmOTJlMzA3ZjA3NiIsImMiOjR9" TargetMode="External"/><Relationship Id="rId406" Type="http://schemas.openxmlformats.org/officeDocument/2006/relationships/hyperlink" Target="https://public.flourish.studio/visualisation/7125051/" TargetMode="External"/><Relationship Id="rId588" Type="http://schemas.openxmlformats.org/officeDocument/2006/relationships/hyperlink" Target="https://analytics.zoho.com/open-view/2395394000008744325?ZOHO_CRITERIA=%22Consolidado_Estadisticas_Regionales_New%22.%22C%C3%B3digo%20regi%C3%B3n%22%20%3D%201" TargetMode="External"/><Relationship Id="rId9" Type="http://schemas.openxmlformats.org/officeDocument/2006/relationships/hyperlink" Target="https://analytics.zoho.com/open-view/2395394000007782340" TargetMode="External"/><Relationship Id="rId210" Type="http://schemas.openxmlformats.org/officeDocument/2006/relationships/hyperlink" Target="https://analytics.zoho.com/open-view/2395394000008503554?ZOHO_CRITERIA=%22Pueblos%20Ind%C3%ADgenas%20Sexo%22.%22id_Region%22%20%3D%2015" TargetMode="External"/><Relationship Id="rId392" Type="http://schemas.openxmlformats.org/officeDocument/2006/relationships/hyperlink" Target="https://analytics.zoho.com/open-view/2395394000008443177" TargetMode="External"/><Relationship Id="rId448" Type="http://schemas.openxmlformats.org/officeDocument/2006/relationships/hyperlink" Target="https://analytics.zoho.com/open-view/2395394000008745666?ZOHO_CRITERIA=%22Consolidado_Estadisticas_Regionales_New%22.%22C%C3%B3digo%20regi%C3%B3n%22%20%3D%201" TargetMode="External"/><Relationship Id="rId613" Type="http://schemas.openxmlformats.org/officeDocument/2006/relationships/hyperlink" Target="https://sud-austral.github.io/Pdf2/Layout_Q2_19_20_Dinamica_R10/3074.pdf" TargetMode="External"/><Relationship Id="rId252" Type="http://schemas.openxmlformats.org/officeDocument/2006/relationships/hyperlink" Target="https://analytics.zoho.com/open-view/2395394000008478071?ZOHO_CRITERIA=%22Localiza%20CL%22.%22Codreg%22%20%3D%2010" TargetMode="External"/><Relationship Id="rId294" Type="http://schemas.openxmlformats.org/officeDocument/2006/relationships/hyperlink" Target="https://app.powerbi.com/view?r=eyJrIjoiYWFlYWExNTItZDc4YS00MmVlLThjYmQtZDE0Mjg4MDI4ZTZiIiwidCI6IjhmYmFhNWJmLTJlY2MtNGRjOC1iNTZiLThmOTJlMzA3ZjA3NiIsImMiOjR9" TargetMode="External"/><Relationship Id="rId308" Type="http://schemas.openxmlformats.org/officeDocument/2006/relationships/hyperlink" Target="https://analytics.zoho.com/open-view/2395394000008532260?ZOHO_CRITERIA=%221.1%20Lugar_Salida_Entrada%22.%22C%C3%B3digo%20Regi%C3%B3n%22%3D15" TargetMode="External"/><Relationship Id="rId515" Type="http://schemas.openxmlformats.org/officeDocument/2006/relationships/hyperlink" Target="https://analytics.zoho.com/open-view/2395394000008745666?ZOHO_CRITERIA=%22Consolidado_Estadisticas_Regionales_New%22.%22C%C3%B3digo%20regi%C3%B3n%22%20%3D%204" TargetMode="External"/><Relationship Id="rId47" Type="http://schemas.openxmlformats.org/officeDocument/2006/relationships/hyperlink" Target="https://analytics.zoho.com/open-view/2395394000007777467" TargetMode="External"/><Relationship Id="rId89" Type="http://schemas.openxmlformats.org/officeDocument/2006/relationships/hyperlink" Target="https://analytics.zoho.com/open-view/2395394000008257880" TargetMode="External"/><Relationship Id="rId112" Type="http://schemas.openxmlformats.org/officeDocument/2006/relationships/hyperlink" Target="https://analytics.zoho.com/open-view/2395394000008435500?ZOHO_CRITERIA=%22Conexi%C3%B3n_Internet_fija%22.%22Codreg%22%3D5" TargetMode="External"/><Relationship Id="rId154" Type="http://schemas.openxmlformats.org/officeDocument/2006/relationships/hyperlink" Target="https://analytics.zoho.com/open-view/2395394000008503085?ZOHO_CRITERIA=%22Pueblos%20Ind%C3%ADgenas%20Edad%22.%22id_Region%22%20%3D%2012" TargetMode="External"/><Relationship Id="rId361" Type="http://schemas.openxmlformats.org/officeDocument/2006/relationships/hyperlink" Target="https://app.powerbi.com/view?r=eyJrIjoiZWY4Y2NjYWQtYmY5Zi00MjlhLWE3MTEtNTQ1NjYwZjkzNzgyIiwidCI6IjhmYmFhNWJmLTJlY2MtNGRjOC1iNTZiLThmOTJlMzA3ZjA3NiIsImMiOjR9" TargetMode="External"/><Relationship Id="rId557" Type="http://schemas.openxmlformats.org/officeDocument/2006/relationships/hyperlink" Target="https://analytics.zoho.com/open-view/2395394000008771662?ZOHO_CRITERIA=%22Localiza%20CL%22.%22Codreg%22%20%3D%2013" TargetMode="External"/><Relationship Id="rId599" Type="http://schemas.openxmlformats.org/officeDocument/2006/relationships/hyperlink" Target="https://analytics.zoho.com/open-view/2395394000008478003?ZOHO_CRITERIA=%22Localiza%20CL%22.%22Codreg%22%20%3D%204" TargetMode="External"/><Relationship Id="rId196" Type="http://schemas.openxmlformats.org/officeDocument/2006/relationships/hyperlink" Target="https://analytics.zoho.com/open-view/2395394000008503554?ZOHO_CRITERIA=%22Pueblos%20Ind%C3%ADgenas%20Sexo%22.%22id_Region%22%20%3D%202" TargetMode="External"/><Relationship Id="rId417" Type="http://schemas.openxmlformats.org/officeDocument/2006/relationships/hyperlink" Target="https://analytics.zoho.com/open-view/2395394000009355612?ZOHO_CRITERIA=%22Consolidado_Estadisticas_Regionales_New%22.%22C%C3%B3digo%20regi%C3%B3n%22%20%3D%203" TargetMode="External"/><Relationship Id="rId459" Type="http://schemas.openxmlformats.org/officeDocument/2006/relationships/hyperlink" Target="https://analytics.zoho.com/open-view/2395394000008492075?ZOHO_CRITERIA=%2216%20Energ%C3%ADas%20Renovables%20y%20No%20Renovables%22.%22Cod_Regi%C3%B3n%22%20%3D%205" TargetMode="External"/><Relationship Id="rId624" Type="http://schemas.openxmlformats.org/officeDocument/2006/relationships/table" Target="../tables/table1.xml"/><Relationship Id="rId16" Type="http://schemas.openxmlformats.org/officeDocument/2006/relationships/hyperlink" Target="https://app.powerbi.com/view?r=eyJrIjoiYzgzMTI1M2UtNmViNS00YTA0LTk2NGYtMTFmYmExYTczNWRhIiwidCI6IjhmYmFhNWJmLTJlY2MtNGRjOC1iNTZiLThmOTJlMzA3ZjA3NiIsImMiOjR9" TargetMode="External"/><Relationship Id="rId221" Type="http://schemas.openxmlformats.org/officeDocument/2006/relationships/hyperlink" Target="https://analytics.zoho.com/open-view/2395394000009369252?ZOHO_CRITERIA=%22Consolidado_Estadisticas_Regionales_New%22.%22C%C3%B3digo%20regi%C3%B3n%22%3D1" TargetMode="External"/><Relationship Id="rId263" Type="http://schemas.openxmlformats.org/officeDocument/2006/relationships/hyperlink" Target="https://analytics.zoho.com/open-view/2395394000008478183?ZOHO_CRITERIA=%22Localiza%20CL%22.%22Codreg%22%20%3D%203" TargetMode="External"/><Relationship Id="rId319" Type="http://schemas.openxmlformats.org/officeDocument/2006/relationships/hyperlink" Target="https://analytics.zoho.com/open-view/2395394000009077375" TargetMode="External"/><Relationship Id="rId470" Type="http://schemas.openxmlformats.org/officeDocument/2006/relationships/hyperlink" Target="https://analytics.zoho.com/open-view/2395394000008478582?ZOHO_CRITERIA=%2216%20Energ%C3%ADas%20Renovables%20y%20No%20Renovables%22.%22Cod_Regi%C3%B3n%22%20%3D%202" TargetMode="External"/><Relationship Id="rId526" Type="http://schemas.openxmlformats.org/officeDocument/2006/relationships/hyperlink" Target="https://analytics.zoho.com/open-view/2395394000008745666?ZOHO_CRITERIA=%22Consolidado_Estadisticas_Regionales_New%22.%22C%C3%B3digo%20regi%C3%B3n%22%20%3D%2015" TargetMode="External"/><Relationship Id="rId58" Type="http://schemas.openxmlformats.org/officeDocument/2006/relationships/hyperlink" Target="https://analytics.zoho.com/open-view/2395394000007946692" TargetMode="External"/><Relationship Id="rId123" Type="http://schemas.openxmlformats.org/officeDocument/2006/relationships/hyperlink" Target="https://analytics.zoho.com/open-view/2395394000008435500?ZOHO_CRITERIA=%22Conexi%C3%B3n_Internet_fija%22.%22Codreg%22%3D16" TargetMode="External"/><Relationship Id="rId330" Type="http://schemas.openxmlformats.org/officeDocument/2006/relationships/hyperlink" Target="https://app.powerbi.com/view?r=eyJrIjoiOGI2NDMyOTYtMzdmNi00ZjNiLTliNTMtYWU2OTQ4ZDkxMDA3IiwidCI6IjhmYmFhNWJmLTJlY2MtNGRjOC1iNTZiLThmOTJlMzA3ZjA3NiIsImMiOjR9" TargetMode="External"/><Relationship Id="rId568" Type="http://schemas.openxmlformats.org/officeDocument/2006/relationships/hyperlink" Target="https://analytics.zoho.com/open-view/2395394000008188130?ZOHO_CRITERIA=%22Uni%C3%B3n%202.11-2.12%22.%22C%C3%B3digo%20Regi%C3%B3n%22%20%3D%201" TargetMode="External"/><Relationship Id="rId165" Type="http://schemas.openxmlformats.org/officeDocument/2006/relationships/hyperlink" Target="https://analytics.zoho.com/open-view/2395394000008503207?ZOHO_CRITERIA=%22Pueblos%20Ind%C3%ADgenas%20Edad%22.%22id_Region%22%20%3D%205" TargetMode="External"/><Relationship Id="rId372" Type="http://schemas.openxmlformats.org/officeDocument/2006/relationships/hyperlink" Target="https://app.powerbi.com/view?r=eyJrIjoiOWQwMzQ4NmUtMTRiOS00MWE5LWFiZDUtM2JlZTg5OGY3Njc3IiwidCI6IjhmYmFhNWJmLTJlY2MtNGRjOC1iNTZiLThmOTJlMzA3ZjA3NiIsImMiOjR9" TargetMode="External"/><Relationship Id="rId428" Type="http://schemas.openxmlformats.org/officeDocument/2006/relationships/hyperlink" Target="https://app.powerbi.com/view?r=eyJrIjoiODdiNDkxMDAtN2FhMC00YWU3LTg5NDEtOTU2ODRhN2E0ZjI3IiwidCI6IjhmYmFhNWJmLTJlY2MtNGRjOC1iNTZiLThmOTJlMzA3ZjA3NiIsImMiOjR9" TargetMode="External"/><Relationship Id="rId232" Type="http://schemas.openxmlformats.org/officeDocument/2006/relationships/hyperlink" Target="https://analytics.zoho.com/open-view/2395394000008434853?ZOHO_CRITERIA=%22Televisi%C3%B3n_Pago%22.%22CodRegi%C3%B3n%22%3D10" TargetMode="External"/><Relationship Id="rId274" Type="http://schemas.openxmlformats.org/officeDocument/2006/relationships/hyperlink" Target="https://analytics.zoho.com/open-view/2395394000008478183?ZOHO_CRITERIA=%22Localiza%20CL%22.%22Codreg%22%20%3D%2014" TargetMode="External"/><Relationship Id="rId481" Type="http://schemas.openxmlformats.org/officeDocument/2006/relationships/hyperlink" Target="https://analytics.zoho.com/open-view/2395394000008478582?ZOHO_CRITERIA=%2216%20Energ%C3%ADas%20Renovables%20y%20No%20Renovables%22.%22Cod_Regi%C3%B3n%22%20%3D%2013" TargetMode="External"/><Relationship Id="rId27" Type="http://schemas.openxmlformats.org/officeDocument/2006/relationships/hyperlink" Target="https://app.powerbi.com/view?r=eyJrIjoiODk3Zjc3ZTItZTdlNi00NGRlLTljYzktZTM5OTQ1YzI1MDYxIiwidCI6IjhmYmFhNWJmLTJlY2MtNGRjOC1iNTZiLThmOTJlMzA3ZjA3NiIsImMiOjR9" TargetMode="External"/><Relationship Id="rId69" Type="http://schemas.openxmlformats.org/officeDocument/2006/relationships/hyperlink" Target="https://analytics.zoho.com/open-view/2395394000008046482" TargetMode="External"/><Relationship Id="rId134" Type="http://schemas.openxmlformats.org/officeDocument/2006/relationships/hyperlink" Target="https://analytics.zoho.com/open-view/2395394000008511008?ZOHO_CRITERIA=%22Televisi%C3%B3n_Pago%22.%22CodRegi%C3%B3n%22%3D9" TargetMode="External"/><Relationship Id="rId537" Type="http://schemas.openxmlformats.org/officeDocument/2006/relationships/hyperlink" Target="https://analytics.zoho.com/open-view/2395394000008516065?ZOHO_CRITERIA=%222.1%22.%22C%C3%B3digo%20Regi%C3%B3n%22%20%3D%207" TargetMode="External"/><Relationship Id="rId579" Type="http://schemas.openxmlformats.org/officeDocument/2006/relationships/hyperlink" Target="https://analytics.zoho.com/open-view/2395394000008741527?ZOHO_CRITERIA=%22Consolidado_Estadisticas_Regionales_New%22.%22C%C3%B3digo%20regi%C3%B3n%22%20%3D%2013" TargetMode="External"/><Relationship Id="rId80" Type="http://schemas.openxmlformats.org/officeDocument/2006/relationships/hyperlink" Target="https://analytics.zoho.com/open-view/2395394000008099175" TargetMode="External"/><Relationship Id="rId176" Type="http://schemas.openxmlformats.org/officeDocument/2006/relationships/hyperlink" Target="https://analytics.zoho.com/open-view/2395394000008503207?ZOHO_CRITERIA=%22Pueblos%20Ind%C3%ADgenas%20Edad%22.%22id_Region%22%20%3D%2016" TargetMode="External"/><Relationship Id="rId341" Type="http://schemas.openxmlformats.org/officeDocument/2006/relationships/hyperlink" Target="https://app.powerbi.com/view?r=eyJrIjoiNzljMWVjMDMtY2VmMS00ZmE2LTkzMDgtOGFiMDljOTQ0NGY0IiwidCI6IjhmYmFhNWJmLTJlY2MtNGRjOC1iNTZiLThmOTJlMzA3ZjA3NiIsImMiOjR9" TargetMode="External"/><Relationship Id="rId383" Type="http://schemas.openxmlformats.org/officeDocument/2006/relationships/hyperlink" Target="https://app.powerbi.com/view?r=eyJrIjoiMmVmMTNjNzUtYzUxZi00ZWVjLWExYzctZTgyNTJmNWZjMWI3IiwidCI6IjhmYmFhNWJmLTJlY2MtNGRjOC1iNTZiLThmOTJlMzA3ZjA3NiIsImMiOjR9" TargetMode="External"/><Relationship Id="rId439" Type="http://schemas.openxmlformats.org/officeDocument/2006/relationships/hyperlink" Target="https://analytics.zoho.com/open-view/2395394000008189059?ZOHO_CRITERIA=%221.1%20Lugar_Salida_Entrada%22.%22C%C3%B3digo%20Regi%C3%B3n%22%3D3" TargetMode="External"/><Relationship Id="rId590" Type="http://schemas.openxmlformats.org/officeDocument/2006/relationships/hyperlink" Target="https://analytics.zoho.com/open-view/2395394000008744325?ZOHO_CRITERIA=%22Consolidado_Estadisticas_Regionales_New%22.%22C%C3%B3digo%20regi%C3%B3n%22%20%3D%208" TargetMode="External"/><Relationship Id="rId604" Type="http://schemas.openxmlformats.org/officeDocument/2006/relationships/hyperlink" Target="https://sud-austral.github.io/Pdf2/Layout_Q2_17_18_Dinamica_R10/2923.pdf" TargetMode="External"/><Relationship Id="rId201" Type="http://schemas.openxmlformats.org/officeDocument/2006/relationships/hyperlink" Target="https://analytics.zoho.com/open-view/2395394000008503554?ZOHO_CRITERIA=%22Pueblos%20Ind%C3%ADgenas%20Sexo%22.%22id_Region%22%20%3D%206" TargetMode="External"/><Relationship Id="rId243" Type="http://schemas.openxmlformats.org/officeDocument/2006/relationships/hyperlink" Target="https://analytics.zoho.com/open-view/2395394000008478071?ZOHO_CRITERIA=%22Localiza%20CL%22.%22Codreg%22%20%3D%201" TargetMode="External"/><Relationship Id="rId285" Type="http://schemas.openxmlformats.org/officeDocument/2006/relationships/hyperlink" Target="https://analytics.zoho.com/open-view/2395394000008643867" TargetMode="External"/><Relationship Id="rId450" Type="http://schemas.openxmlformats.org/officeDocument/2006/relationships/hyperlink" Target="https://analytics.zoho.com/open-view/2395394000008413090?ZOHO_CRITERIA=%228.3%20Licencias_conducir%22.%22Codreg%22%3D1" TargetMode="External"/><Relationship Id="rId506" Type="http://schemas.openxmlformats.org/officeDocument/2006/relationships/hyperlink" Target="https://analytics.zoho.com/open-view/2395394000008745260?ZOHO_CRITERIA=%22Consolidado_Estadisticas_Regionales_New%22.%22C%C3%B3digo%20regi%C3%B3n%22%20%3D%2010" TargetMode="External"/><Relationship Id="rId38" Type="http://schemas.openxmlformats.org/officeDocument/2006/relationships/hyperlink" Target="https://analytics.zoho.com/open-view/2395394000007837327" TargetMode="External"/><Relationship Id="rId103" Type="http://schemas.openxmlformats.org/officeDocument/2006/relationships/hyperlink" Target="https://analytics.zoho.com/open-view/2395394000007274123" TargetMode="External"/><Relationship Id="rId310" Type="http://schemas.openxmlformats.org/officeDocument/2006/relationships/hyperlink" Target="https://analytics.zoho.com/open-view/2395394000008413167?ZOHO_CRITERIA=%228.3%20Licencias_conducir%22.%22Codreg%22%3D1" TargetMode="External"/><Relationship Id="rId492" Type="http://schemas.openxmlformats.org/officeDocument/2006/relationships/hyperlink" Target="https://analytics.zoho.com/open-view/2395394000008744885?ZOHO_CRITERIA=%22Consolidado_Estadisticas_Regionales_New%22.%22C%C3%B3digo%20regi%C3%B3n%22%20%3D%209" TargetMode="External"/><Relationship Id="rId548" Type="http://schemas.openxmlformats.org/officeDocument/2006/relationships/hyperlink" Target="https://analytics.zoho.com/open-view/2395394000008771662?ZOHO_CRITERIA=%22Localiza%20CL%22.%22Codreg%22%20%3D%204" TargetMode="External"/><Relationship Id="rId91" Type="http://schemas.openxmlformats.org/officeDocument/2006/relationships/hyperlink" Target="https://analytics.zoho.com/open-view/2395394000008280544" TargetMode="External"/><Relationship Id="rId145" Type="http://schemas.openxmlformats.org/officeDocument/2006/relationships/hyperlink" Target="https://analytics.zoho.com/open-view/2395394000008503085?ZOHO_CRITERIA=%22Pueblos%20Ind%C3%ADgenas%20Edad%22.%22id_Region%22%20%3D%203" TargetMode="External"/><Relationship Id="rId187" Type="http://schemas.openxmlformats.org/officeDocument/2006/relationships/hyperlink" Target="https://analytics.zoho.com/open-view/2395394000008503341?ZOHO_CRITERIA=%22Pueblos%20Ind%C3%ADgenas%20Edad%22.%22id_Region%22%20%3D%209" TargetMode="External"/><Relationship Id="rId352" Type="http://schemas.openxmlformats.org/officeDocument/2006/relationships/hyperlink" Target="https://app.powerbi.com/view?r=eyJrIjoiNGQzMWI4MTEtNDM5MC00NzBhLTlmOGItY2VkYWVmNjYzMGNhIiwidCI6IjhmYmFhNWJmLTJlY2MtNGRjOC1iNTZiLThmOTJlMzA3ZjA3NiIsImMiOjR9" TargetMode="External"/><Relationship Id="rId394" Type="http://schemas.openxmlformats.org/officeDocument/2006/relationships/hyperlink" Target="https://analytics.zoho.com/open-view/2395394000008467312?ZOHO_CRITERIA=%22Localiza%20Chile%22.%22Codreg%22%3D12" TargetMode="External"/><Relationship Id="rId408" Type="http://schemas.openxmlformats.org/officeDocument/2006/relationships/hyperlink" Target="https://public.flourish.studio/visualisation/7125004/" TargetMode="External"/><Relationship Id="rId615" Type="http://schemas.openxmlformats.org/officeDocument/2006/relationships/hyperlink" Target="https://sud-austral.github.io/Pdf2/Layout_Q1_18_19_Dinamica_R10/3104.pdf" TargetMode="External"/><Relationship Id="rId212" Type="http://schemas.openxmlformats.org/officeDocument/2006/relationships/hyperlink" Target="https://analytics.zoho.com/open-view/2395394000008503554?ZOHO_CRITERIA=%22Pueblos%20Ind%C3%ADgenas%20Sexo%22.%22id_Region%22%20%3D%201" TargetMode="External"/><Relationship Id="rId254" Type="http://schemas.openxmlformats.org/officeDocument/2006/relationships/hyperlink" Target="https://analytics.zoho.com/open-view/2395394000008478071?ZOHO_CRITERIA=%22Localiza%20CL%22.%22Codreg%22%20%3D%2012" TargetMode="External"/><Relationship Id="rId49" Type="http://schemas.openxmlformats.org/officeDocument/2006/relationships/hyperlink" Target="https://app.powerbi.com/view?r=eyJrIjoiZjJhYWRiZjAtNTRkMC00ZmZhLWFmZmUtMjljYjc5MzRiMTZjIiwidCI6IjhmYmFhNWJmLTJlY2MtNGRjOC1iNTZiLThmOTJlMzA3ZjA3NiIsImMiOjR9" TargetMode="External"/><Relationship Id="rId114" Type="http://schemas.openxmlformats.org/officeDocument/2006/relationships/hyperlink" Target="https://analytics.zoho.com/open-view/2395394000008435500?ZOHO_CRITERIA=%22Conexi%C3%B3n_Internet_fija%22.%22Codreg%22%3D7" TargetMode="External"/><Relationship Id="rId296" Type="http://schemas.openxmlformats.org/officeDocument/2006/relationships/hyperlink" Target="https://app.powerbi.com/view?r=eyJrIjoiNTk3NjE1MDYtZDViMS00M2YzLTkyZDAtNTY5ZDk5OTA3ZTM3IiwidCI6IjhmYmFhNWJmLTJlY2MtNGRjOC1iNTZiLThmOTJlMzA3ZjA3NiIsImMiOjR9" TargetMode="External"/><Relationship Id="rId461" Type="http://schemas.openxmlformats.org/officeDocument/2006/relationships/hyperlink" Target="https://analytics.zoho.com/open-view/2395394000008492075?ZOHO_CRITERIA=%2216%20Energ%C3%ADas%20Renovables%20y%20No%20Renovables%22.%22Cod_Regi%C3%B3n%22%20%3D%207" TargetMode="External"/><Relationship Id="rId517" Type="http://schemas.openxmlformats.org/officeDocument/2006/relationships/hyperlink" Target="https://analytics.zoho.com/open-view/2395394000008745666?ZOHO_CRITERIA=%22Consolidado_Estadisticas_Regionales_New%22.%22C%C3%B3digo%20regi%C3%B3n%22%20%3D%206" TargetMode="External"/><Relationship Id="rId559" Type="http://schemas.openxmlformats.org/officeDocument/2006/relationships/hyperlink" Target="https://analytics.zoho.com/open-view/2395394000008771662?ZOHO_CRITERIA=%22Localiza%20CL%22.%22Codreg%22%20%3D%2015" TargetMode="External"/><Relationship Id="rId60" Type="http://schemas.openxmlformats.org/officeDocument/2006/relationships/hyperlink" Target="https://analytics.zoho.com/open-view/2395394000007959800" TargetMode="External"/><Relationship Id="rId156" Type="http://schemas.openxmlformats.org/officeDocument/2006/relationships/hyperlink" Target="https://analytics.zoho.com/open-view/2395394000008503085?ZOHO_CRITERIA=%22Pueblos%20Ind%C3%ADgenas%20Edad%22.%22id_Region%22%20%3D%2014" TargetMode="External"/><Relationship Id="rId198" Type="http://schemas.openxmlformats.org/officeDocument/2006/relationships/hyperlink" Target="https://analytics.zoho.com/open-view/2395394000008503554?ZOHO_CRITERIA=%22Pueblos%20Ind%C3%ADgenas%20Sexo%22.%22id_Region%22%20%3D%203" TargetMode="External"/><Relationship Id="rId321" Type="http://schemas.openxmlformats.org/officeDocument/2006/relationships/hyperlink" Target="https://infogram.com/evaluacion-programas-2-1h7z2l8xdmzyg6o?live" TargetMode="External"/><Relationship Id="rId363" Type="http://schemas.openxmlformats.org/officeDocument/2006/relationships/hyperlink" Target="https://app.powerbi.com/view?r=eyJrIjoiZTlhNjA2YzQtOTI5Ny00MDAxLWI0YzEtNzViYzgwNDZhY2ZlIiwidCI6IjhmYmFhNWJmLTJlY2MtNGRjOC1iNTZiLThmOTJlMzA3ZjA3NiIsImMiOjR9" TargetMode="External"/><Relationship Id="rId419" Type="http://schemas.openxmlformats.org/officeDocument/2006/relationships/hyperlink" Target="https://analytics.zoho.com/open-view/2395394000009355686?ZOHO_CRITERIA=%22Consolidado_Estadisticas_Regionales_New%22.%22C%C3%B3digo%20regi%C3%B3n%22%20%3D%201" TargetMode="External"/><Relationship Id="rId570" Type="http://schemas.openxmlformats.org/officeDocument/2006/relationships/hyperlink" Target="https://analytics.zoho.com/open-view/2395394000008188130" TargetMode="External"/><Relationship Id="rId223" Type="http://schemas.openxmlformats.org/officeDocument/2006/relationships/hyperlink" Target="https://analytics.zoho.com/open-view/2395394000008435500?ZOHO_CRITERIA=%22Conexi%C3%B3n_Internet_fija%22.%22Codreg%22%3D1" TargetMode="External"/><Relationship Id="rId430" Type="http://schemas.openxmlformats.org/officeDocument/2006/relationships/hyperlink" Target="https://analytics.zoho.com/open-view/2395394000008025748" TargetMode="External"/><Relationship Id="rId18" Type="http://schemas.openxmlformats.org/officeDocument/2006/relationships/hyperlink" Target="https://app.powerbi.com/view?r=eyJrIjoiYTRjMTJkZmEtNzNlMC00ODRlLWIxMzYtNzAzYWVlMGQ2YTU0IiwidCI6IjhmYmFhNWJmLTJlY2MtNGRjOC1iNTZiLThmOTJlMzA3ZjA3NiIsImMiOjR9" TargetMode="External"/><Relationship Id="rId265" Type="http://schemas.openxmlformats.org/officeDocument/2006/relationships/hyperlink" Target="https://analytics.zoho.com/open-view/2395394000008478183?ZOHO_CRITERIA=%22Localiza%20CL%22.%22Codreg%22%20%3D%205" TargetMode="External"/><Relationship Id="rId472" Type="http://schemas.openxmlformats.org/officeDocument/2006/relationships/hyperlink" Target="https://analytics.zoho.com/open-view/2395394000008478582?ZOHO_CRITERIA=%2216%20Energ%C3%ADas%20Renovables%20y%20No%20Renovables%22.%22Cod_Regi%C3%B3n%22%20%3D%204" TargetMode="External"/><Relationship Id="rId528" Type="http://schemas.openxmlformats.org/officeDocument/2006/relationships/hyperlink" Target="https://analytics.zoho.com/open-view/2395394000008745431" TargetMode="External"/><Relationship Id="rId125" Type="http://schemas.openxmlformats.org/officeDocument/2006/relationships/hyperlink" Target="https://analytics.zoho.com/open-view/2395394000008435117" TargetMode="External"/><Relationship Id="rId167" Type="http://schemas.openxmlformats.org/officeDocument/2006/relationships/hyperlink" Target="https://analytics.zoho.com/open-view/2395394000008503207?ZOHO_CRITERIA=%22Pueblos%20Ind%C3%ADgenas%20Edad%22.%22id_Region%22%20%3D%207" TargetMode="External"/><Relationship Id="rId332" Type="http://schemas.openxmlformats.org/officeDocument/2006/relationships/hyperlink" Target="https://app.powerbi.com/view?r=eyJrIjoiYzIxYmRlNzctOWNlNy00YWEzLWIyOWUtZDRmYzY5MjA1MmZlIiwidCI6IjhmYmFhNWJmLTJlY2MtNGRjOC1iNTZiLThmOTJlMzA3ZjA3NiIsImMiOjR9" TargetMode="External"/><Relationship Id="rId374" Type="http://schemas.openxmlformats.org/officeDocument/2006/relationships/hyperlink" Target="https://app.powerbi.com/view?r=eyJrIjoiZmFhNDBiZTktN2FmMC00YjI4LTgyN2MtZGQ5YjFlNGM2ZTRmIiwidCI6IjhmYmFhNWJmLTJlY2MtNGRjOC1iNTZiLThmOTJlMzA3ZjA3NiIsImMiOjR9" TargetMode="External"/><Relationship Id="rId581" Type="http://schemas.openxmlformats.org/officeDocument/2006/relationships/hyperlink" Target="https://app.powerbi.com/view?r=eyJrIjoiYjE4Yzc3NGQtYjM2NS00ZDMwLTg0NDYtOTRjYzQ4MzU0MWI1IiwidCI6IjhmYmFhNWJmLTJlY2MtNGRjOC1iNTZiLThmOTJlMzA3ZjA3NiIsImMiOjR9" TargetMode="External"/><Relationship Id="rId71" Type="http://schemas.openxmlformats.org/officeDocument/2006/relationships/hyperlink" Target="https://analytics.zoho.com/open-view/2395394000008056334" TargetMode="External"/><Relationship Id="rId234" Type="http://schemas.openxmlformats.org/officeDocument/2006/relationships/hyperlink" Target="https://analytics.zoho.com/open-view/2395394000008434853?ZOHO_CRITERIA=%22Televisi%C3%B3n_Pago%22.%22CodRegi%C3%B3n%22%3D12" TargetMode="External"/><Relationship Id="rId2" Type="http://schemas.openxmlformats.org/officeDocument/2006/relationships/hyperlink" Target="https://analytics.zoho.com/open-view/2395394000007782028" TargetMode="External"/><Relationship Id="rId29" Type="http://schemas.openxmlformats.org/officeDocument/2006/relationships/hyperlink" Target="https://app.powerbi.com/view?r=eyJrIjoiNWIxNzRiOTctMWUyMi00YjkzLWJmMDUtN2UzODhlZWFlZjA1IiwidCI6IjhmYmFhNWJmLTJlY2MtNGRjOC1iNTZiLThmOTJlMzA3ZjA3NiIsImMiOjR9" TargetMode="External"/><Relationship Id="rId276" Type="http://schemas.openxmlformats.org/officeDocument/2006/relationships/hyperlink" Target="https://analytics.zoho.com/open-view/2395394000008478183?ZOHO_CRITERIA=%22Localiza%20CL%22.%22Codreg%22%20%3D%2016" TargetMode="External"/><Relationship Id="rId441" Type="http://schemas.openxmlformats.org/officeDocument/2006/relationships/hyperlink" Target="https://analytics.zoho.com/open-view/2395394000008189059?ZOHO_CRITERIA=%221.1%20Lugar_Salida_Entrada%22.%22C%C3%B3digo%20Regi%C3%B3n%22%3D14" TargetMode="External"/><Relationship Id="rId483" Type="http://schemas.openxmlformats.org/officeDocument/2006/relationships/hyperlink" Target="https://analytics.zoho.com/open-view/2395394000008478582?ZOHO_CRITERIA=%2216%20Energ%C3%ADas%20Renovables%20y%20No%20Renovables%22.%22Cod_Regi%C3%B3n%22%20%3D%2015" TargetMode="External"/><Relationship Id="rId539" Type="http://schemas.openxmlformats.org/officeDocument/2006/relationships/hyperlink" Target="https://analytics.zoho.com/open-view/2395394000008516645?ZOHO_CRITERIA=%222.1%22.%22C%C3%B3digo%20Regi%C3%B3n%22%20%3D%202" TargetMode="External"/><Relationship Id="rId40" Type="http://schemas.openxmlformats.org/officeDocument/2006/relationships/hyperlink" Target="https://analytics.zoho.com/open-view/2395394000007891846" TargetMode="External"/><Relationship Id="rId136" Type="http://schemas.openxmlformats.org/officeDocument/2006/relationships/hyperlink" Target="https://analytics.zoho.com/open-view/2395394000008511008?ZOHO_CRITERIA=%22Televisi%C3%B3n_Pago%22.%22CodRegi%C3%B3n%22%3D11" TargetMode="External"/><Relationship Id="rId178" Type="http://schemas.openxmlformats.org/officeDocument/2006/relationships/hyperlink" Target="https://analytics.zoho.com/open-view/2395394000008436989" TargetMode="External"/><Relationship Id="rId301" Type="http://schemas.openxmlformats.org/officeDocument/2006/relationships/hyperlink" Target="https://analytics.zoho.com/open-view/2395394000008464571?ZOHO_CRITERIA=%22Localiza%20CL%22.%22Codreg%22%20%3D%201" TargetMode="External"/><Relationship Id="rId343" Type="http://schemas.openxmlformats.org/officeDocument/2006/relationships/hyperlink" Target="https://app.powerbi.com/view?r=eyJrIjoiMTQ5YjMxMmItNDYyYS00NDIxLWEwNzktYTlmZGZiODhjMWViIiwidCI6IjhmYmFhNWJmLTJlY2MtNGRjOC1iNTZiLThmOTJlMzA3ZjA3NiIsImMiOjR9" TargetMode="External"/><Relationship Id="rId550" Type="http://schemas.openxmlformats.org/officeDocument/2006/relationships/hyperlink" Target="https://analytics.zoho.com/open-view/2395394000008771662?ZOHO_CRITERIA=%22Localiza%20CL%22.%22Codreg%22%20%3D%206" TargetMode="External"/><Relationship Id="rId82" Type="http://schemas.openxmlformats.org/officeDocument/2006/relationships/hyperlink" Target="https://analytics.zoho.com/open-view/2395394000008069848" TargetMode="External"/><Relationship Id="rId203" Type="http://schemas.openxmlformats.org/officeDocument/2006/relationships/hyperlink" Target="https://analytics.zoho.com/open-view/2395394000008503554?ZOHO_CRITERIA=%22Pueblos%20Ind%C3%ADgenas%20Sexo%22.%22id_Region%22%20%3D%208" TargetMode="External"/><Relationship Id="rId385" Type="http://schemas.openxmlformats.org/officeDocument/2006/relationships/hyperlink" Target="https://app.powerbi.com/view?r=eyJrIjoiNTkzNTNiZTgtZmFiNy00OGM4LTllNjQtNGNlYWE4YjY5NTc1IiwidCI6IjhmYmFhNWJmLTJlY2MtNGRjOC1iNTZiLThmOTJlMzA3ZjA3NiIsImMiOjR9" TargetMode="External"/><Relationship Id="rId592" Type="http://schemas.openxmlformats.org/officeDocument/2006/relationships/hyperlink" Target="https://app.powerbi.com/view?r=eyJrIjoiMTZjZmZhZjQtN2I5ZS00ZWFmLWFkZWMtMDlkMGYzOGZmNzk2IiwidCI6IjhmYmFhNWJmLTJlY2MtNGRjOC1iNTZiLThmOTJlMzA3ZjA3NiIsImMiOjR9" TargetMode="External"/><Relationship Id="rId606" Type="http://schemas.openxmlformats.org/officeDocument/2006/relationships/hyperlink" Target="https://sud-austral.github.io/Pdf2/Layout_Q2_19_20_Dinamica_R10/2923.pdf" TargetMode="External"/><Relationship Id="rId245" Type="http://schemas.openxmlformats.org/officeDocument/2006/relationships/hyperlink" Target="https://analytics.zoho.com/open-view/2395394000008478071?ZOHO_CRITERIA=%22Localiza%20CL%22.%22Codreg%22%20%3D%203" TargetMode="External"/><Relationship Id="rId287" Type="http://schemas.openxmlformats.org/officeDocument/2006/relationships/hyperlink" Target="https://analytics.zoho.com/open-view/2395394000008745083" TargetMode="External"/><Relationship Id="rId410" Type="http://schemas.openxmlformats.org/officeDocument/2006/relationships/hyperlink" Target="https://public.flourish.studio/visualisation/7124803/" TargetMode="External"/><Relationship Id="rId452" Type="http://schemas.openxmlformats.org/officeDocument/2006/relationships/hyperlink" Target="https://analytics.zoho.com/open-view/2395394000008475578?ZOHO_CRITERIA=%228.3%20Licencias_conducir%22.%22Codreg%22%3D1" TargetMode="External"/><Relationship Id="rId494" Type="http://schemas.openxmlformats.org/officeDocument/2006/relationships/hyperlink" Target="https://analytics.zoho.com/open-view/2395394000008744885?ZOHO_CRITERIA=%22Consolidado_Estadisticas_Regionales_New%22.%22C%C3%B3digo%20regi%C3%B3n%22%20%3D%2011" TargetMode="External"/><Relationship Id="rId508" Type="http://schemas.openxmlformats.org/officeDocument/2006/relationships/hyperlink" Target="https://analytics.zoho.com/open-view/2395394000008745260?ZOHO_CRITERIA=%22Consolidado_Estadisticas_Regionales_New%22.%22C%C3%B3digo%20regi%C3%B3n%22%20%3D%2012" TargetMode="External"/><Relationship Id="rId105" Type="http://schemas.openxmlformats.org/officeDocument/2006/relationships/hyperlink" Target="https://analytics.zoho.com/open-view/2395394000008496666" TargetMode="External"/><Relationship Id="rId147" Type="http://schemas.openxmlformats.org/officeDocument/2006/relationships/hyperlink" Target="https://analytics.zoho.com/open-view/2395394000008503085?ZOHO_CRITERIA=%22Pueblos%20Ind%C3%ADgenas%20Edad%22.%22id_Region%22%20%3D%205" TargetMode="External"/><Relationship Id="rId312" Type="http://schemas.openxmlformats.org/officeDocument/2006/relationships/hyperlink" Target="https://analytics.zoho.com/open-view/2395394000008516645?ZOHO_CRITERIA=%222.1%22.%22C%C3%B3digo%20Regi%C3%B3n%22%20%3D%201" TargetMode="External"/><Relationship Id="rId354" Type="http://schemas.openxmlformats.org/officeDocument/2006/relationships/hyperlink" Target="https://app.powerbi.com/view?r=eyJrIjoiMWMxZmIxNDQtMTIzYi00NWQ5LThmN2QtNzJkNTVhZWZkYTIzIiwidCI6IjhmYmFhNWJmLTJlY2MtNGRjOC1iNTZiLThmOTJlMzA3ZjA3NiIsImMiOjR9" TargetMode="External"/><Relationship Id="rId51" Type="http://schemas.openxmlformats.org/officeDocument/2006/relationships/hyperlink" Target="https://analytics.zoho.com/open-view/2395394000008435674" TargetMode="External"/><Relationship Id="rId93" Type="http://schemas.openxmlformats.org/officeDocument/2006/relationships/hyperlink" Target="https://analytics.zoho.com/open-view/2395394000008280219" TargetMode="External"/><Relationship Id="rId189" Type="http://schemas.openxmlformats.org/officeDocument/2006/relationships/hyperlink" Target="https://analytics.zoho.com/open-view/2395394000008503341?ZOHO_CRITERIA=%22Pueblos%20Ind%C3%ADgenas%20Edad%22.%22id_Region%22%20%3D%2011" TargetMode="External"/><Relationship Id="rId396" Type="http://schemas.openxmlformats.org/officeDocument/2006/relationships/hyperlink" Target="https://public.flourish.studio/visualisation/7125265/" TargetMode="External"/><Relationship Id="rId561" Type="http://schemas.openxmlformats.org/officeDocument/2006/relationships/hyperlink" Target="https://analytics.zoho.com/open-view/2395394000008532260?ZOHO_CRITERIA=%221.1%20Lugar_Salida_Entrada%22.%22C%C3%B3digo%20Regi%C3%B3n%22%3D14" TargetMode="External"/><Relationship Id="rId617" Type="http://schemas.openxmlformats.org/officeDocument/2006/relationships/hyperlink" Target="https://sud-austral.github.io/Pdf2/Layout_Q1_20_21_Dinamica_R10/3104.pdf" TargetMode="External"/><Relationship Id="rId214" Type="http://schemas.openxmlformats.org/officeDocument/2006/relationships/hyperlink" Target="https://analytics.zoho.com/open-view/2395394000008199603" TargetMode="External"/><Relationship Id="rId256" Type="http://schemas.openxmlformats.org/officeDocument/2006/relationships/hyperlink" Target="https://analytics.zoho.com/open-view/2395394000008478071?ZOHO_CRITERIA=%22Localiza%20CL%22.%22Codreg%22%20%3D%2014" TargetMode="External"/><Relationship Id="rId298" Type="http://schemas.openxmlformats.org/officeDocument/2006/relationships/hyperlink" Target="https://analytics.zoho.com/open-view/2395394000008043046" TargetMode="External"/><Relationship Id="rId421" Type="http://schemas.openxmlformats.org/officeDocument/2006/relationships/hyperlink" Target="https://analytics.zoho.com/open-view/2395394000009355686?ZOHO_CRITERIA=%22Consolidado_Estadisticas_Regionales_New%22.%22C%C3%B3digo%20regi%C3%B3n%22%20%3D%203" TargetMode="External"/><Relationship Id="rId463" Type="http://schemas.openxmlformats.org/officeDocument/2006/relationships/hyperlink" Target="https://analytics.zoho.com/open-view/2395394000008492075?ZOHO_CRITERIA=%2216%20Energ%C3%ADas%20Renovables%20y%20No%20Renovables%22.%22Cod_Regi%C3%B3n%22%20%3D%2010" TargetMode="External"/><Relationship Id="rId519" Type="http://schemas.openxmlformats.org/officeDocument/2006/relationships/hyperlink" Target="https://analytics.zoho.com/open-view/2395394000008745666?ZOHO_CRITERIA=%22Consolidado_Estadisticas_Regionales_New%22.%22C%C3%B3digo%20regi%C3%B3n%22%20%3D%208" TargetMode="External"/><Relationship Id="rId116" Type="http://schemas.openxmlformats.org/officeDocument/2006/relationships/hyperlink" Target="https://analytics.zoho.com/open-view/2395394000008435500?ZOHO_CRITERIA=%22Conexi%C3%B3n_Internet_fija%22.%22Codreg%22%3D9" TargetMode="External"/><Relationship Id="rId158" Type="http://schemas.openxmlformats.org/officeDocument/2006/relationships/hyperlink" Target="https://analytics.zoho.com/open-view/2395394000008503085?ZOHO_CRITERIA=%22Pueblos%20Ind%C3%ADgenas%20Edad%22.%22id_Region%22%20%3D%2016" TargetMode="External"/><Relationship Id="rId323" Type="http://schemas.openxmlformats.org/officeDocument/2006/relationships/hyperlink" Target="https://analytics.zoho.com/open-view/2395394000008744684" TargetMode="External"/><Relationship Id="rId530" Type="http://schemas.openxmlformats.org/officeDocument/2006/relationships/hyperlink" Target="https://analytics.zoho.com/open-view/2395394000008539404?ZOHO_CRITERIA=%22Uni%C3%B3n%202.11-2.12%22.%22C%C3%B3digo%20Regi%C3%B3n%22%20%3D%204" TargetMode="External"/><Relationship Id="rId20" Type="http://schemas.openxmlformats.org/officeDocument/2006/relationships/hyperlink" Target="https://app.powerbi.com/view?r=eyJrIjoiZmVjZWI5N2YtMjVhMS00Zjc1LWFmN2YtZDM4NDA1ODMzMGNiIiwidCI6IjhmYmFhNWJmLTJlY2MtNGRjOC1iNTZiLThmOTJlMzA3ZjA3NiIsImMiOjR9" TargetMode="External"/><Relationship Id="rId62" Type="http://schemas.openxmlformats.org/officeDocument/2006/relationships/hyperlink" Target="https://public.flourish.studio/visualisation/6691988/" TargetMode="External"/><Relationship Id="rId365" Type="http://schemas.openxmlformats.org/officeDocument/2006/relationships/hyperlink" Target="https://app.powerbi.com/view?r=eyJrIjoiNzNjY2RiYmMtMjViYy00YjI3LTllYzktZmQwM2E0ZjkyOTI0IiwidCI6IjhmYmFhNWJmLTJlY2MtNGRjOC1iNTZiLThmOTJlMzA3ZjA3NiIsImMiOjR9" TargetMode="External"/><Relationship Id="rId572" Type="http://schemas.openxmlformats.org/officeDocument/2006/relationships/hyperlink" Target="https://analytics.zoho.com/open-view/2395394000008188229" TargetMode="External"/><Relationship Id="rId225" Type="http://schemas.openxmlformats.org/officeDocument/2006/relationships/hyperlink" Target="https://analytics.zoho.com/open-view/2395394000008434853?ZOHO_CRITERIA=%22Televisi%C3%B3n_Pago%22.%22CodRegi%C3%B3n%22%3D3" TargetMode="External"/><Relationship Id="rId267" Type="http://schemas.openxmlformats.org/officeDocument/2006/relationships/hyperlink" Target="https://analytics.zoho.com/open-view/2395394000008478183?ZOHO_CRITERIA=%22Localiza%20CL%22.%22Codreg%22%20%3D%207" TargetMode="External"/><Relationship Id="rId432" Type="http://schemas.openxmlformats.org/officeDocument/2006/relationships/hyperlink" Target="https://analytics.zoho.com/open-view/2395394000008467312?ZOHO_CRITERIA=%22Localiza%20Chile%22.%22Codreg%22%3D2" TargetMode="External"/><Relationship Id="rId474" Type="http://schemas.openxmlformats.org/officeDocument/2006/relationships/hyperlink" Target="https://analytics.zoho.com/open-view/2395394000008478582?ZOHO_CRITERIA=%2216%20Energ%C3%ADas%20Renovables%20y%20No%20Renovables%22.%22Cod_Regi%C3%B3n%22%20%3D%206" TargetMode="External"/><Relationship Id="rId127" Type="http://schemas.openxmlformats.org/officeDocument/2006/relationships/hyperlink" Target="https://analytics.zoho.com/open-view/2395394000008511008?ZOHO_CRITERIA=%22Televisi%C3%B3n_Pago%22.%22CodRegi%C3%B3n%22%3D2" TargetMode="External"/><Relationship Id="rId31" Type="http://schemas.openxmlformats.org/officeDocument/2006/relationships/hyperlink" Target="https://analytics.zoho.com/open-view/2395394000007801200" TargetMode="External"/><Relationship Id="rId73" Type="http://schemas.openxmlformats.org/officeDocument/2006/relationships/hyperlink" Target="https://analytics.zoho.com/open-view/2395394000008645674" TargetMode="External"/><Relationship Id="rId169" Type="http://schemas.openxmlformats.org/officeDocument/2006/relationships/hyperlink" Target="https://analytics.zoho.com/open-view/2395394000008503207?ZOHO_CRITERIA=%22Pueblos%20Ind%C3%ADgenas%20Edad%22.%22id_Region%22%20%3D%209" TargetMode="External"/><Relationship Id="rId334" Type="http://schemas.openxmlformats.org/officeDocument/2006/relationships/hyperlink" Target="https://app.powerbi.com/view?r=eyJrIjoiZDRiOGFmYTAtOWIyYy00NDcyLWI0Y2ItNWYwMzczMjdhYTgwIiwidCI6IjhmYmFhNWJmLTJlY2MtNGRjOC1iNTZiLThmOTJlMzA3ZjA3NiIsImMiOjR9" TargetMode="External"/><Relationship Id="rId376" Type="http://schemas.openxmlformats.org/officeDocument/2006/relationships/hyperlink" Target="https://app.powerbi.com/view?r=eyJrIjoiMzZjYWQwMDktMzUxNS00MTJlLThmYzUtNzFjMzA3MWM1Y2E5IiwidCI6IjhmYmFhNWJmLTJlY2MtNGRjOC1iNTZiLThmOTJlMzA3ZjA3NiIsImMiOjR9" TargetMode="External"/><Relationship Id="rId541" Type="http://schemas.openxmlformats.org/officeDocument/2006/relationships/hyperlink" Target="https://analytics.zoho.com/open-view/2395394000008516725?ZOHO_CRITERIA=%22Localiza%20CL%22.%22Codreg%22%20%3D%201" TargetMode="External"/><Relationship Id="rId583" Type="http://schemas.openxmlformats.org/officeDocument/2006/relationships/hyperlink" Target="https://analytics.zoho.com/open-view/2395394000008742319?ZOHO_CRITERIA=%22Consolidado_Estadisticas_Regionales_New%22.%22C%C3%B3digo%20regi%C3%B3n%22%20%3D%205" TargetMode="External"/><Relationship Id="rId4" Type="http://schemas.openxmlformats.org/officeDocument/2006/relationships/hyperlink" Target="https://analytics.zoho.com/open-view/2395394000005948862" TargetMode="External"/><Relationship Id="rId180" Type="http://schemas.openxmlformats.org/officeDocument/2006/relationships/hyperlink" Target="https://analytics.zoho.com/open-view/2395394000008503341?ZOHO_CRITERIA=%22Pueblos%20Ind%C3%ADgenas%20Edad%22.%22id_Region%22%20%3D%202" TargetMode="External"/><Relationship Id="rId236" Type="http://schemas.openxmlformats.org/officeDocument/2006/relationships/hyperlink" Target="https://analytics.zoho.com/open-view/2395394000008434853?ZOHO_CRITERIA=%22Televisi%C3%B3n_Pago%22.%22CodRegi%C3%B3n%22%3D14" TargetMode="External"/><Relationship Id="rId278" Type="http://schemas.openxmlformats.org/officeDocument/2006/relationships/hyperlink" Target="https://analytics.zoho.com/open-view/2395394000008205248" TargetMode="External"/><Relationship Id="rId401" Type="http://schemas.openxmlformats.org/officeDocument/2006/relationships/hyperlink" Target="https://public.flourish.studio/visualisation/7125199/" TargetMode="External"/><Relationship Id="rId443" Type="http://schemas.openxmlformats.org/officeDocument/2006/relationships/hyperlink" Target="https://analytics.zoho.com/open-view/2395394000008189059?ZOHO_CRITERIA=%221.1%20Lugar_Salida_Entrada%22.%22C%C3%B3digo%20Regi%C3%B3n%22%3D13" TargetMode="External"/><Relationship Id="rId303" Type="http://schemas.openxmlformats.org/officeDocument/2006/relationships/hyperlink" Target="https://analytics.zoho.com/open-view/2395394000008463254?ZOHO_CRITERIA=%22Uni%C3%B3n%202.11-2.12%22.%22C%C3%B3digo%20Regi%C3%B3n%22%20%3D%201" TargetMode="External"/><Relationship Id="rId485" Type="http://schemas.openxmlformats.org/officeDocument/2006/relationships/hyperlink" Target="https://analytics.zoho.com/open-view/2395394000008744885?ZOHO_CRITERIA=%22Consolidado_Estadisticas_Regionales_New%22.%22C%C3%B3digo%20regi%C3%B3n%22%20%3D%202" TargetMode="External"/><Relationship Id="rId42" Type="http://schemas.openxmlformats.org/officeDocument/2006/relationships/hyperlink" Target="https://analytics.zoho.com/open-view/2395394000007777591?ZOHO_CRITERIA=%22Trasposicion_4.3%22.%22Id_Producto%22%20%3D%20100108" TargetMode="External"/><Relationship Id="rId84" Type="http://schemas.openxmlformats.org/officeDocument/2006/relationships/hyperlink" Target="https://analytics.zoho.com/open-view/2395394000008214286" TargetMode="External"/><Relationship Id="rId138" Type="http://schemas.openxmlformats.org/officeDocument/2006/relationships/hyperlink" Target="https://analytics.zoho.com/open-view/2395394000008511008?ZOHO_CRITERIA=%22Televisi%C3%B3n_Pago%22.%22CodRegi%C3%B3n%22%3D13" TargetMode="External"/><Relationship Id="rId345" Type="http://schemas.openxmlformats.org/officeDocument/2006/relationships/hyperlink" Target="https://app.powerbi.com/view?r=eyJrIjoiYjJhMDkxMjEtODNmNS00N2Y4LWE5ODctZWMzMWI1ODM2ZmQ4IiwidCI6IjhmYmFhNWJmLTJlY2MtNGRjOC1iNTZiLThmOTJlMzA3ZjA3NiIsImMiOjR9" TargetMode="External"/><Relationship Id="rId387" Type="http://schemas.openxmlformats.org/officeDocument/2006/relationships/hyperlink" Target="https://app.powerbi.com/view?r=eyJrIjoiZGYzYWVjYzYtNmZiOC00MTBlLTkxODUtNjJjNTQ5OWRiYmY4IiwidCI6IjhmYmFhNWJmLTJlY2MtNGRjOC1iNTZiLThmOTJlMzA3ZjA3NiIsImMiOjR9" TargetMode="External"/><Relationship Id="rId510" Type="http://schemas.openxmlformats.org/officeDocument/2006/relationships/hyperlink" Target="https://analytics.zoho.com/open-view/2395394000008745260?ZOHO_CRITERIA=%22Consolidado_Estadisticas_Regionales_New%22.%22C%C3%B3digo%20regi%C3%B3n%22%20%3D%2014" TargetMode="External"/><Relationship Id="rId552" Type="http://schemas.openxmlformats.org/officeDocument/2006/relationships/hyperlink" Target="https://analytics.zoho.com/open-view/2395394000008771662?ZOHO_CRITERIA=%22Localiza%20CL%22.%22Codreg%22%20%3D%208" TargetMode="External"/><Relationship Id="rId594" Type="http://schemas.openxmlformats.org/officeDocument/2006/relationships/hyperlink" Target="https://app.powerbi.com/view?r=eyJrIjoiNjg0OGI5NjEtNGNmMy00OGE4LWFlYzEtY2FmYWMxMjRhZmU5IiwidCI6IjhmYmFhNWJmLTJlY2MtNGRjOC1iNTZiLThmOTJlMzA3ZjA3NiIsImMiOjR9" TargetMode="External"/><Relationship Id="rId608" Type="http://schemas.openxmlformats.org/officeDocument/2006/relationships/hyperlink" Target="https://sud-austral.github.io/Pdf2/Layout_Q1_18_19_Dinamica_R10/3074.pdf" TargetMode="External"/><Relationship Id="rId191" Type="http://schemas.openxmlformats.org/officeDocument/2006/relationships/hyperlink" Target="https://analytics.zoho.com/open-view/2395394000008503341?ZOHO_CRITERIA=%22Pueblos%20Ind%C3%ADgenas%20Edad%22.%22id_Region%22%20%3D%2013" TargetMode="External"/><Relationship Id="rId205" Type="http://schemas.openxmlformats.org/officeDocument/2006/relationships/hyperlink" Target="https://analytics.zoho.com/open-view/2395394000008503554?ZOHO_CRITERIA=%22Pueblos%20Ind%C3%ADgenas%20Sexo%22.%22id_Region%22%20%3D%2010" TargetMode="External"/><Relationship Id="rId247" Type="http://schemas.openxmlformats.org/officeDocument/2006/relationships/hyperlink" Target="https://analytics.zoho.com/open-view/2395394000008478071?ZOHO_CRITERIA=%22Localiza%20CL%22.%22Codreg%22%20%3D%205" TargetMode="External"/><Relationship Id="rId412" Type="http://schemas.openxmlformats.org/officeDocument/2006/relationships/hyperlink" Target="https://analytics.zoho.com/open-view/2395394000009315415" TargetMode="External"/><Relationship Id="rId107" Type="http://schemas.openxmlformats.org/officeDocument/2006/relationships/hyperlink" Target="https://analytics.zoho.com/open-view/2395394000008516451?ZOHO_CRITERIA=%222.1%22.%22C%C3%B3digo%20Regi%C3%B3n%22%20%3D%201" TargetMode="External"/><Relationship Id="rId289" Type="http://schemas.openxmlformats.org/officeDocument/2006/relationships/hyperlink" Target="https://analytics.zoho.com/open-view/2395394000008230301" TargetMode="External"/><Relationship Id="rId454" Type="http://schemas.openxmlformats.org/officeDocument/2006/relationships/hyperlink" Target="https://analytics.zoho.com/open-view/2395394000008464727?ZOHO_CRITERIA=%22Localiza%20CL%22.%22Codreg%22%20%3D%201" TargetMode="External"/><Relationship Id="rId496" Type="http://schemas.openxmlformats.org/officeDocument/2006/relationships/hyperlink" Target="https://analytics.zoho.com/open-view/2395394000008744885?ZOHO_CRITERIA=%22Consolidado_Estadisticas_Regionales_New%22.%22C%C3%B3digo%20regi%C3%B3n%22%20%3D%2013" TargetMode="External"/><Relationship Id="rId11" Type="http://schemas.openxmlformats.org/officeDocument/2006/relationships/hyperlink" Target="https://analytics.zoho.com/open-view/2395394000008056138" TargetMode="External"/><Relationship Id="rId53" Type="http://schemas.openxmlformats.org/officeDocument/2006/relationships/hyperlink" Target="https://analytics.zoho.com/open-view/2395394000007832763" TargetMode="External"/><Relationship Id="rId149" Type="http://schemas.openxmlformats.org/officeDocument/2006/relationships/hyperlink" Target="https://analytics.zoho.com/open-view/2395394000008503085?ZOHO_CRITERIA=%22Pueblos%20Ind%C3%ADgenas%20Edad%22.%22id_Region%22%20%3D%207" TargetMode="External"/><Relationship Id="rId314" Type="http://schemas.openxmlformats.org/officeDocument/2006/relationships/hyperlink" Target="https://analytics.zoho.com/open-view/2395394000008516725?ZOHO_CRITERIA=%22Localiza%20CL%22.%22Codreg%22%20%3D%202" TargetMode="External"/><Relationship Id="rId356" Type="http://schemas.openxmlformats.org/officeDocument/2006/relationships/hyperlink" Target="https://app.powerbi.com/view?r=eyJrIjoiMTJlNjA5ZjktMGIyMC00ZDc5LThjZDctN2Y4NDA5NTExMDY1IiwidCI6IjhmYmFhNWJmLTJlY2MtNGRjOC1iNTZiLThmOTJlMzA3ZjA3NiIsImMiOjR9" TargetMode="External"/><Relationship Id="rId398" Type="http://schemas.openxmlformats.org/officeDocument/2006/relationships/hyperlink" Target="https://public.flourish.studio/visualisation/7125250/" TargetMode="External"/><Relationship Id="rId521" Type="http://schemas.openxmlformats.org/officeDocument/2006/relationships/hyperlink" Target="https://analytics.zoho.com/open-view/2395394000008745666?ZOHO_CRITERIA=%22Consolidado_Estadisticas_Regionales_New%22.%22C%C3%B3digo%20regi%C3%B3n%22%20%3D%2010" TargetMode="External"/><Relationship Id="rId563" Type="http://schemas.openxmlformats.org/officeDocument/2006/relationships/hyperlink" Target="https://analytics.zoho.com/open-view/2395394000008189310" TargetMode="External"/><Relationship Id="rId619" Type="http://schemas.openxmlformats.org/officeDocument/2006/relationships/hyperlink" Target="https://sud-austral.github.io/Pdf2/Layout_Q2_18_19_Dinamica_R10/3104.pdf" TargetMode="External"/><Relationship Id="rId95" Type="http://schemas.openxmlformats.org/officeDocument/2006/relationships/hyperlink" Target="https://analytics.zoho.com/open-view/2395394000008421914" TargetMode="External"/><Relationship Id="rId160" Type="http://schemas.openxmlformats.org/officeDocument/2006/relationships/hyperlink" Target="https://analytics.zoho.com/open-view/2395394000008436580" TargetMode="External"/><Relationship Id="rId216" Type="http://schemas.openxmlformats.org/officeDocument/2006/relationships/hyperlink" Target="https://analytics.zoho.com/open-view/2395394000008086091" TargetMode="External"/><Relationship Id="rId423" Type="http://schemas.openxmlformats.org/officeDocument/2006/relationships/hyperlink" Target="https://analytics.zoho.com/open-view/2395394000009355686?ZOHO_CRITERIA=%22Consolidado_Estadisticas_Regionales_New%22.%22C%C3%B3digo%20regi%C3%B3n%22%20%3D%205" TargetMode="External"/><Relationship Id="rId258" Type="http://schemas.openxmlformats.org/officeDocument/2006/relationships/hyperlink" Target="https://analytics.zoho.com/open-view/2395394000008478071?ZOHO_CRITERIA=%22Localiza%20CL%22.%22Codreg%22%20%3D%2016" TargetMode="External"/><Relationship Id="rId465" Type="http://schemas.openxmlformats.org/officeDocument/2006/relationships/hyperlink" Target="https://analytics.zoho.com/open-view/2395394000008492075?ZOHO_CRITERIA=%2216%20Energ%C3%ADas%20Renovables%20y%20No%20Renovables%22.%22Cod_Regi%C3%B3n%22%20%3D%2012" TargetMode="External"/><Relationship Id="rId22" Type="http://schemas.openxmlformats.org/officeDocument/2006/relationships/hyperlink" Target="https://app.powerbi.com/view?r=eyJrIjoiMzlhNGFhN2QtNjRlZi00YjY1LTlmNzctMmRmZDZkNWUwNmIzIiwidCI6IjhmYmFhNWJmLTJlY2MtNGRjOC1iNTZiLThmOTJlMzA3ZjA3NiIsImMiOjR9" TargetMode="External"/><Relationship Id="rId64" Type="http://schemas.openxmlformats.org/officeDocument/2006/relationships/hyperlink" Target="https://analytics.zoho.com/open-view/2395394000008438077" TargetMode="External"/><Relationship Id="rId118" Type="http://schemas.openxmlformats.org/officeDocument/2006/relationships/hyperlink" Target="https://analytics.zoho.com/open-view/2395394000008435500?ZOHO_CRITERIA=%22Conexi%C3%B3n_Internet_fija%22.%22Codreg%22%3D11" TargetMode="External"/><Relationship Id="rId325" Type="http://schemas.openxmlformats.org/officeDocument/2006/relationships/hyperlink" Target="https://public.flourish.studio/visualisation/6936641/" TargetMode="External"/><Relationship Id="rId367" Type="http://schemas.openxmlformats.org/officeDocument/2006/relationships/hyperlink" Target="https://app.powerbi.com/view?r=eyJrIjoiYjI5YmYzYjAtYTk0Zi00MmFlLWFhM2MtNDljNTBlYjA5NWZiIiwidCI6IjhmYmFhNWJmLTJlY2MtNGRjOC1iNTZiLThmOTJlMzA3ZjA3NiIsImMiOjR9" TargetMode="External"/><Relationship Id="rId532" Type="http://schemas.openxmlformats.org/officeDocument/2006/relationships/hyperlink" Target="https://analytics.zoho.com/open-view/2395394000008502284?ZOHO_CRITERIA=%22Localiza%20Chile%22.%22Codreg%22%3D3" TargetMode="External"/><Relationship Id="rId574" Type="http://schemas.openxmlformats.org/officeDocument/2006/relationships/hyperlink" Target="https://analytics.zoho.com/open-view/2395394000008413090?ZOHO_CRITERIA=%228.3%20Licencias_conducir%22.%22Codreg%22%3D15" TargetMode="External"/><Relationship Id="rId171" Type="http://schemas.openxmlformats.org/officeDocument/2006/relationships/hyperlink" Target="https://analytics.zoho.com/open-view/2395394000008503207?ZOHO_CRITERIA=%22Pueblos%20Ind%C3%ADgenas%20Edad%22.%22id_Region%22%20%3D%2011" TargetMode="External"/><Relationship Id="rId227" Type="http://schemas.openxmlformats.org/officeDocument/2006/relationships/hyperlink" Target="https://analytics.zoho.com/open-view/2395394000008434853?ZOHO_CRITERIA=%22Televisi%C3%B3n_Pago%22.%22CodRegi%C3%B3n%22%3D5" TargetMode="External"/><Relationship Id="rId269" Type="http://schemas.openxmlformats.org/officeDocument/2006/relationships/hyperlink" Target="https://analytics.zoho.com/open-view/2395394000008478183?ZOHO_CRITERIA=%22Localiza%20CL%22.%22Codreg%22%20%3D%209" TargetMode="External"/><Relationship Id="rId434" Type="http://schemas.openxmlformats.org/officeDocument/2006/relationships/hyperlink" Target="https://analytics.zoho.com/open-view/2395394000008467312?ZOHO_CRITERIA=%22Localiza%20Chile%22.%22Codreg%22%3D1" TargetMode="External"/><Relationship Id="rId476" Type="http://schemas.openxmlformats.org/officeDocument/2006/relationships/hyperlink" Target="https://analytics.zoho.com/open-view/2395394000008478582?ZOHO_CRITERIA=%2216%20Energ%C3%ADas%20Renovables%20y%20No%20Renovables%22.%22Cod_Regi%C3%B3n%22%20%3D%208" TargetMode="External"/><Relationship Id="rId33" Type="http://schemas.openxmlformats.org/officeDocument/2006/relationships/hyperlink" Target="https://analytics.zoho.com/open-view/2395394000006789672" TargetMode="External"/><Relationship Id="rId129" Type="http://schemas.openxmlformats.org/officeDocument/2006/relationships/hyperlink" Target="https://analytics.zoho.com/open-view/2395394000008511008?ZOHO_CRITERIA=%22Televisi%C3%B3n_Pago%22.%22CodRegi%C3%B3n%22%3D4" TargetMode="External"/><Relationship Id="rId280" Type="http://schemas.openxmlformats.org/officeDocument/2006/relationships/hyperlink" Target="https://analytics.zoho.com/open-view/2395394000008193416" TargetMode="External"/><Relationship Id="rId336" Type="http://schemas.openxmlformats.org/officeDocument/2006/relationships/hyperlink" Target="https://app.powerbi.com/view?r=eyJrIjoiNzcwNDhlNTgtODUxMy00OTAwLWE4N2YtYzUzNjNlYTRhZmQ0IiwidCI6IjhmYmFhNWJmLTJlY2MtNGRjOC1iNTZiLThmOTJlMzA3ZjA3NiIsImMiOjR9" TargetMode="External"/><Relationship Id="rId501" Type="http://schemas.openxmlformats.org/officeDocument/2006/relationships/hyperlink" Target="https://analytics.zoho.com/open-view/2395394000008745260?ZOHO_CRITERIA=%22Consolidado_Estadisticas_Regionales_New%22.%22C%C3%B3digo%20regi%C3%B3n%22%20%3D%204" TargetMode="External"/><Relationship Id="rId543" Type="http://schemas.openxmlformats.org/officeDocument/2006/relationships/hyperlink" Target="https://analytics.zoho.com/open-view/2395394000008516725?ZOHO_CRITERIA=%22Localiza%20CL%22.%22Codreg%22%20%3D%205" TargetMode="External"/><Relationship Id="rId75" Type="http://schemas.openxmlformats.org/officeDocument/2006/relationships/hyperlink" Target="https://app.powerbi.com/view?r=eyJrIjoiOWVmOWU0YTYtZWY0NS00ZTZlLWJlMDMtYTMwNWVjOTU5YTNhIiwidCI6IjhmYmFhNWJmLTJlY2MtNGRjOC1iNTZiLThmOTJlMzA3ZjA3NiIsImMiOjR9" TargetMode="External"/><Relationship Id="rId140" Type="http://schemas.openxmlformats.org/officeDocument/2006/relationships/hyperlink" Target="https://analytics.zoho.com/open-view/2395394000008511008?ZOHO_CRITERIA=%22Televisi%C3%B3n_Pago%22.%22CodRegi%C3%B3n%22%3D15" TargetMode="External"/><Relationship Id="rId182" Type="http://schemas.openxmlformats.org/officeDocument/2006/relationships/hyperlink" Target="https://analytics.zoho.com/open-view/2395394000008503341?ZOHO_CRITERIA=%22Pueblos%20Ind%C3%ADgenas%20Edad%22.%22id_Region%22%20%3D%204" TargetMode="External"/><Relationship Id="rId378" Type="http://schemas.openxmlformats.org/officeDocument/2006/relationships/hyperlink" Target="https://app.powerbi.com/view?r=eyJrIjoiYWRhNTI4ZmQtYWJhMS00MzllLWIxYWMtOGZlYmI5NjBiODBiIiwidCI6IjhmYmFhNWJmLTJlY2MtNGRjOC1iNTZiLThmOTJlMzA3ZjA3NiIsImMiOjR9" TargetMode="External"/><Relationship Id="rId403" Type="http://schemas.openxmlformats.org/officeDocument/2006/relationships/hyperlink" Target="https://public.flourish.studio/visualisation/7125138/" TargetMode="External"/><Relationship Id="rId585" Type="http://schemas.openxmlformats.org/officeDocument/2006/relationships/hyperlink" Target="https://analytics.zoho.com/open-view/2395394000008715905?ZOHO_CRITERIA=%22Consolidado_Estadisticas_Regionales_New%22.%22C%C3%B3digo%20regi%C3%B3n%22%20%3D%2014" TargetMode="External"/><Relationship Id="rId6" Type="http://schemas.openxmlformats.org/officeDocument/2006/relationships/hyperlink" Target="https://analytics.zoho.com/open-view/2395394000008206985" TargetMode="External"/><Relationship Id="rId238" Type="http://schemas.openxmlformats.org/officeDocument/2006/relationships/hyperlink" Target="https://analytics.zoho.com/open-view/2395394000008434853?ZOHO_CRITERIA=%22Televisi%C3%B3n_Pago%22.%22CodRegi%C3%B3n%22%3D16" TargetMode="External"/><Relationship Id="rId445" Type="http://schemas.openxmlformats.org/officeDocument/2006/relationships/hyperlink" Target="https://analytics.zoho.com/open-view/2395394000008492075?ZOHO_CRITERIA=%2216%20Energ%C3%ADas%20Renovables%20y%20No%20Renovables%22.%22Cod_Regi%C3%B3n%22%20%3D%208" TargetMode="External"/><Relationship Id="rId487" Type="http://schemas.openxmlformats.org/officeDocument/2006/relationships/hyperlink" Target="https://analytics.zoho.com/open-view/2395394000008744885?ZOHO_CRITERIA=%22Consolidado_Estadisticas_Regionales_New%22.%22C%C3%B3digo%20regi%C3%B3n%22%20%3D%204" TargetMode="External"/><Relationship Id="rId610" Type="http://schemas.openxmlformats.org/officeDocument/2006/relationships/hyperlink" Target="https://sud-austral.github.io/Pdf2/Layout_Q1_20_21_Dinamica_R10/3074.pdf" TargetMode="External"/><Relationship Id="rId291" Type="http://schemas.openxmlformats.org/officeDocument/2006/relationships/hyperlink" Target="https://analytics.zoho.com/open-view/2395394000008214357" TargetMode="External"/><Relationship Id="rId305" Type="http://schemas.openxmlformats.org/officeDocument/2006/relationships/hyperlink" Target="https://analytics.zoho.com/open-view/2395394000008463071?ZOHO_CRITERIA=%22Uni%C3%B3n%202.11-2.12%22.%22C%C3%B3digo%20Regi%C3%B3n%22%20%3D%201" TargetMode="External"/><Relationship Id="rId347" Type="http://schemas.openxmlformats.org/officeDocument/2006/relationships/hyperlink" Target="https://app.powerbi.com/view?r=eyJrIjoiNzM3N2E2MTYtMDAyMS00OGE4LWI4MDMtMDYwMjI5MzNkYjhiIiwidCI6IjhmYmFhNWJmLTJlY2MtNGRjOC1iNTZiLThmOTJlMzA3ZjA3NiIsImMiOjR9" TargetMode="External"/><Relationship Id="rId512" Type="http://schemas.openxmlformats.org/officeDocument/2006/relationships/hyperlink" Target="https://analytics.zoho.com/open-view/2395394000008745260?ZOHO_CRITERIA=%22Consolidado_Estadisticas_Regionales_New%22.%22C%C3%B3digo%20regi%C3%B3n%22%20%3D%2016" TargetMode="External"/><Relationship Id="rId44" Type="http://schemas.openxmlformats.org/officeDocument/2006/relationships/hyperlink" Target="https://analytics.zoho.com/open-view/2395394000008047165" TargetMode="External"/><Relationship Id="rId86" Type="http://schemas.openxmlformats.org/officeDocument/2006/relationships/hyperlink" Target="https://analytics.zoho.com/open-view/2395394000008277863" TargetMode="External"/><Relationship Id="rId151" Type="http://schemas.openxmlformats.org/officeDocument/2006/relationships/hyperlink" Target="https://analytics.zoho.com/open-view/2395394000008503085?ZOHO_CRITERIA=%22Pueblos%20Ind%C3%ADgenas%20Edad%22.%22id_Region%22%20%3D%209" TargetMode="External"/><Relationship Id="rId389" Type="http://schemas.openxmlformats.org/officeDocument/2006/relationships/hyperlink" Target="https://app.powerbi.com/view?r=eyJrIjoiODU0Y2U2NGYtYzQzOS00ZmJhLWE0MWQtNWM0MmU4ODBmZjRmIiwidCI6IjhmYmFhNWJmLTJlY2MtNGRjOC1iNTZiLThmOTJlMzA3ZjA3NiIsImMiOjR9" TargetMode="External"/><Relationship Id="rId554" Type="http://schemas.openxmlformats.org/officeDocument/2006/relationships/hyperlink" Target="https://analytics.zoho.com/open-view/2395394000008771662?ZOHO_CRITERIA=%22Localiza%20CL%22.%22Codreg%22%20%3D%2010" TargetMode="External"/><Relationship Id="rId596" Type="http://schemas.openxmlformats.org/officeDocument/2006/relationships/hyperlink" Target="https://mapaglaciares.herokuapp.com/periodo?q=Q1&amp;p=18-19&amp;id=2922" TargetMode="External"/><Relationship Id="rId193" Type="http://schemas.openxmlformats.org/officeDocument/2006/relationships/hyperlink" Target="https://analytics.zoho.com/open-view/2395394000008503341?ZOHO_CRITERIA=%22Pueblos%20Ind%C3%ADgenas%20Edad%22.%22id_Region%22%20%3D%2015" TargetMode="External"/><Relationship Id="rId207" Type="http://schemas.openxmlformats.org/officeDocument/2006/relationships/hyperlink" Target="https://analytics.zoho.com/open-view/2395394000008503554?ZOHO_CRITERIA=%22Pueblos%20Ind%C3%ADgenas%20Sexo%22.%22id_Region%22%20%3D%2012" TargetMode="External"/><Relationship Id="rId249" Type="http://schemas.openxmlformats.org/officeDocument/2006/relationships/hyperlink" Target="https://analytics.zoho.com/open-view/2395394000008478071?ZOHO_CRITERIA=%22Localiza%20CL%22.%22Codreg%22%20%3D%207" TargetMode="External"/><Relationship Id="rId414" Type="http://schemas.openxmlformats.org/officeDocument/2006/relationships/hyperlink" Target="https://analytics.zoho.com/open-view/2395394000008493571?ZOHO_CRITERIA=%22Localiza%20CL%22.%22Codreg%22%3D10" TargetMode="External"/><Relationship Id="rId456" Type="http://schemas.openxmlformats.org/officeDocument/2006/relationships/hyperlink" Target="https://analytics.zoho.com/open-view/2395394000008492075?ZOHO_CRITERIA=%2216%20Energ%C3%ADas%20Renovables%20y%20No%20Renovables%22.%22Cod_Regi%C3%B3n%22%20%3D%202" TargetMode="External"/><Relationship Id="rId498" Type="http://schemas.openxmlformats.org/officeDocument/2006/relationships/hyperlink" Target="https://analytics.zoho.com/open-view/2395394000008744885?ZOHO_CRITERIA=%22Consolidado_Estadisticas_Regionales_New%22.%22C%C3%B3digo%20regi%C3%B3n%22%20%3D%2015" TargetMode="External"/><Relationship Id="rId621" Type="http://schemas.openxmlformats.org/officeDocument/2006/relationships/hyperlink" Target="https://infogram.com/eleam-2021-1h7g6k0mjdj5o2o" TargetMode="External"/><Relationship Id="rId13" Type="http://schemas.openxmlformats.org/officeDocument/2006/relationships/hyperlink" Target="https://analytics.zoho.com/open-view/2395394000007777075" TargetMode="External"/><Relationship Id="rId109" Type="http://schemas.openxmlformats.org/officeDocument/2006/relationships/hyperlink" Target="https://analytics.zoho.com/open-view/2395394000008516001?ZOHO_CRITERIA=%2227.10%22.%22Id_Regi%C3%B3n%22%20%3D%201" TargetMode="External"/><Relationship Id="rId260" Type="http://schemas.openxmlformats.org/officeDocument/2006/relationships/hyperlink" Target="https://analytics.zoho.com/open-view/2395394000008478183?ZOHO_CRITERIA=%22Localiza%20CL%22.%22Codreg%22%20%3D%201" TargetMode="External"/><Relationship Id="rId316" Type="http://schemas.openxmlformats.org/officeDocument/2006/relationships/hyperlink" Target="https://analytics.zoho.com/open-view/2395394000007909646" TargetMode="External"/><Relationship Id="rId523" Type="http://schemas.openxmlformats.org/officeDocument/2006/relationships/hyperlink" Target="https://analytics.zoho.com/open-view/2395394000008745666?ZOHO_CRITERIA=%22Consolidado_Estadisticas_Regionales_New%22.%22C%C3%B3digo%20regi%C3%B3n%22%20%3D%2012" TargetMode="External"/><Relationship Id="rId55" Type="http://schemas.openxmlformats.org/officeDocument/2006/relationships/hyperlink" Target="https://analytics.zoho.com/open-view/2395394000007849604" TargetMode="External"/><Relationship Id="rId97" Type="http://schemas.openxmlformats.org/officeDocument/2006/relationships/hyperlink" Target="https://analytics.zoho.com/open-view/2395394000008172059" TargetMode="External"/><Relationship Id="rId120" Type="http://schemas.openxmlformats.org/officeDocument/2006/relationships/hyperlink" Target="https://analytics.zoho.com/open-view/2395394000008435500?ZOHO_CRITERIA=%22Conexi%C3%B3n_Internet_fija%22.%22Codreg%22%3D13" TargetMode="External"/><Relationship Id="rId358" Type="http://schemas.openxmlformats.org/officeDocument/2006/relationships/hyperlink" Target="https://app.powerbi.com/view?r=eyJrIjoiNGJjZDhiMWUtMzk3ZS00M2Y4LTk3ZDMtNzJiNTAxN2U4ZDk2IiwidCI6IjhmYmFhNWJmLTJlY2MtNGRjOC1iNTZiLThmOTJlMzA3ZjA3NiIsImMiOjR9" TargetMode="External"/><Relationship Id="rId565" Type="http://schemas.openxmlformats.org/officeDocument/2006/relationships/hyperlink" Target="https://analytics.zoho.com/open-view/2395394000008646336" TargetMode="External"/><Relationship Id="rId162" Type="http://schemas.openxmlformats.org/officeDocument/2006/relationships/hyperlink" Target="https://analytics.zoho.com/open-view/2395394000008503207?ZOHO_CRITERIA=%22Pueblos%20Ind%C3%ADgenas%20Edad%22.%22id_Region%22%20%3D%202" TargetMode="External"/><Relationship Id="rId218" Type="http://schemas.openxmlformats.org/officeDocument/2006/relationships/hyperlink" Target="https://analytics.zoho.com/open-view/2395394000008087059" TargetMode="External"/><Relationship Id="rId425" Type="http://schemas.openxmlformats.org/officeDocument/2006/relationships/hyperlink" Target="https://analytics.zoho.com/open-view/2395394000009369072" TargetMode="External"/><Relationship Id="rId467" Type="http://schemas.openxmlformats.org/officeDocument/2006/relationships/hyperlink" Target="https://analytics.zoho.com/open-view/2395394000008492075?ZOHO_CRITERIA=%2216%20Energ%C3%ADas%20Renovables%20y%20No%20Renovables%22.%22Cod_Regi%C3%B3n%22%20%3D%2014" TargetMode="External"/><Relationship Id="rId271" Type="http://schemas.openxmlformats.org/officeDocument/2006/relationships/hyperlink" Target="https://analytics.zoho.com/open-view/2395394000008478183?ZOHO_CRITERIA=%22Localiza%20CL%22.%22Codreg%22%20%3D%2011" TargetMode="External"/><Relationship Id="rId24" Type="http://schemas.openxmlformats.org/officeDocument/2006/relationships/hyperlink" Target="https://app.powerbi.com/view?r=eyJrIjoiOWIxNDkwMzUtMGQyNi00ZGEzLWE1OGItYTI1OGM4Njk1NjlhIiwidCI6IjhmYmFhNWJmLTJlY2MtNGRjOC1iNTZiLThmOTJlMzA3ZjA3NiIsImMiOjR9" TargetMode="External"/><Relationship Id="rId66" Type="http://schemas.openxmlformats.org/officeDocument/2006/relationships/hyperlink" Target="https://analytics.zoho.com/open-view/2395394000008461061" TargetMode="External"/><Relationship Id="rId131" Type="http://schemas.openxmlformats.org/officeDocument/2006/relationships/hyperlink" Target="https://analytics.zoho.com/open-view/2395394000008511008?ZOHO_CRITERIA=%22Televisi%C3%B3n_Pago%22.%22CodRegi%C3%B3n%22%3D6" TargetMode="External"/><Relationship Id="rId327" Type="http://schemas.openxmlformats.org/officeDocument/2006/relationships/hyperlink" Target="https://app.powerbi.com/view?r=eyJrIjoiZDA2MGUzOWItMzM3Yi00NmUwLThlYzctZmI2YzdmYzBmNDA2IiwidCI6IjhmYmFhNWJmLTJlY2MtNGRjOC1iNTZiLThmOTJlMzA3ZjA3NiIsImMiOjR9" TargetMode="External"/><Relationship Id="rId369" Type="http://schemas.openxmlformats.org/officeDocument/2006/relationships/hyperlink" Target="https://app.powerbi.com/view?r=eyJrIjoiOGViZjM0NDEtNzBjZC00YTUyLTk4N2EtYzZkM2NiNDRhNGRkIiwidCI6IjhmYmFhNWJmLTJlY2MtNGRjOC1iNTZiLThmOTJlMzA3ZjA3NiIsImMiOjR9" TargetMode="External"/><Relationship Id="rId534" Type="http://schemas.openxmlformats.org/officeDocument/2006/relationships/hyperlink" Target="https://analytics.zoho.com/open-view/2395394000008516065?ZOHO_CRITERIA=%222.1%22.%22C%C3%B3digo%20Regi%C3%B3n%22%20%3D%208" TargetMode="External"/><Relationship Id="rId576" Type="http://schemas.openxmlformats.org/officeDocument/2006/relationships/hyperlink" Target="https://analytics.zoho.com/open-view/2395394000008741354" TargetMode="External"/><Relationship Id="rId173" Type="http://schemas.openxmlformats.org/officeDocument/2006/relationships/hyperlink" Target="https://analytics.zoho.com/open-view/2395394000008503207?ZOHO_CRITERIA=%22Pueblos%20Ind%C3%ADgenas%20Edad%22.%22id_Region%22%20%3D%2013" TargetMode="External"/><Relationship Id="rId229" Type="http://schemas.openxmlformats.org/officeDocument/2006/relationships/hyperlink" Target="https://analytics.zoho.com/open-view/2395394000008434853?ZOHO_CRITERIA=%22Televisi%C3%B3n_Pago%22.%22CodRegi%C3%B3n%22%3D7" TargetMode="External"/><Relationship Id="rId380" Type="http://schemas.openxmlformats.org/officeDocument/2006/relationships/hyperlink" Target="https://app.powerbi.com/view?r=eyJrIjoiYWU1Mzg4NDItYTcxMy00M2Y4LTkzNjgtZTY2Y2FlOGEwZTNhIiwidCI6IjhmYmFhNWJmLTJlY2MtNGRjOC1iNTZiLThmOTJlMzA3ZjA3NiIsImMiOjR9" TargetMode="External"/><Relationship Id="rId436" Type="http://schemas.openxmlformats.org/officeDocument/2006/relationships/hyperlink" Target="https://analytics.zoho.com/open-view/2395394000008532260?ZOHO_CRITERIA=%221.1%20Lugar_Salida_Entrada%22.%22C%C3%B3digo%20Regi%C3%B3n%22%3D13" TargetMode="External"/><Relationship Id="rId601" Type="http://schemas.openxmlformats.org/officeDocument/2006/relationships/hyperlink" Target="https://sud-austral.github.io/Pdf2/Layout_Q1_18_19_Dinamica_R10/2923.pdf" TargetMode="External"/><Relationship Id="rId240" Type="http://schemas.openxmlformats.org/officeDocument/2006/relationships/hyperlink" Target="https://analytics.zoho.com/open-view/2395394000009355686?ZOHO_CRITERIA=%22Consolidado_Estadisticas_Regionales_New%22.%22C%C3%B3digo%20regi%C3%B3n%22%20%3D%201" TargetMode="External"/><Relationship Id="rId478" Type="http://schemas.openxmlformats.org/officeDocument/2006/relationships/hyperlink" Target="https://analytics.zoho.com/open-view/2395394000008478582?ZOHO_CRITERIA=%2216%20Energ%C3%ADas%20Renovables%20y%20No%20Renovables%22.%22Cod_Regi%C3%B3n%22%20%3D%2010" TargetMode="External"/><Relationship Id="rId35" Type="http://schemas.openxmlformats.org/officeDocument/2006/relationships/hyperlink" Target="https://analytics.zoho.com/open-view/2395394000008231525" TargetMode="External"/><Relationship Id="rId77" Type="http://schemas.openxmlformats.org/officeDocument/2006/relationships/hyperlink" Target="https://app.powerbi.com/view?r=eyJrIjoiODUwZTBkYWItOTg4OC00NTY4LThmOGYtNmY1Yjg4ZTBiYThlIiwidCI6IjhmYmFhNWJmLTJlY2MtNGRjOC1iNTZiLThmOTJlMzA3ZjA3NiIsImMiOjR9" TargetMode="External"/><Relationship Id="rId100" Type="http://schemas.openxmlformats.org/officeDocument/2006/relationships/hyperlink" Target="https://analytics.zoho.com/open-view/2395394000008189846" TargetMode="External"/><Relationship Id="rId282" Type="http://schemas.openxmlformats.org/officeDocument/2006/relationships/hyperlink" Target="https://analytics.zoho.com/open-view/2395394000008056877" TargetMode="External"/><Relationship Id="rId338" Type="http://schemas.openxmlformats.org/officeDocument/2006/relationships/hyperlink" Target="https://app.powerbi.com/view?r=eyJrIjoiMGZhOWI5YTctNzI5Mi00YTRlLTlhOTctNjdiOTk0NTQ5OGRiIiwidCI6IjhmYmFhNWJmLTJlY2MtNGRjOC1iNTZiLThmOTJlMzA3ZjA3NiIsImMiOjR9" TargetMode="External"/><Relationship Id="rId503" Type="http://schemas.openxmlformats.org/officeDocument/2006/relationships/hyperlink" Target="https://analytics.zoho.com/open-view/2395394000008745260?ZOHO_CRITERIA=%22Consolidado_Estadisticas_Regionales_New%22.%22C%C3%B3digo%20regi%C3%B3n%22%20%3D%207" TargetMode="External"/><Relationship Id="rId545" Type="http://schemas.openxmlformats.org/officeDocument/2006/relationships/hyperlink" Target="https://analytics.zoho.com/open-view/2395394000008464571?ZOHO_CRITERIA=%22Localiza%20CL%22.%22Codreg%22%20%3D%205" TargetMode="External"/><Relationship Id="rId587" Type="http://schemas.openxmlformats.org/officeDocument/2006/relationships/hyperlink" Target="https://analytics.zoho.com/open-view/2395394000008741947" TargetMode="External"/><Relationship Id="rId8" Type="http://schemas.openxmlformats.org/officeDocument/2006/relationships/hyperlink" Target="https://analytics.zoho.com/open-view/2395394000008207372" TargetMode="External"/><Relationship Id="rId142" Type="http://schemas.openxmlformats.org/officeDocument/2006/relationships/hyperlink" Target="https://analytics.zoho.com/open-view/2395394000008436309" TargetMode="External"/><Relationship Id="rId184" Type="http://schemas.openxmlformats.org/officeDocument/2006/relationships/hyperlink" Target="https://analytics.zoho.com/open-view/2395394000008503341?ZOHO_CRITERIA=%22Pueblos%20Ind%C3%ADgenas%20Edad%22.%22id_Region%22%20%3D%206" TargetMode="External"/><Relationship Id="rId391" Type="http://schemas.openxmlformats.org/officeDocument/2006/relationships/hyperlink" Target="https://analytics.zoho.com/open-view/2395394000008449873" TargetMode="External"/><Relationship Id="rId405" Type="http://schemas.openxmlformats.org/officeDocument/2006/relationships/hyperlink" Target="https://public.flourish.studio/visualisation/7125092/" TargetMode="External"/><Relationship Id="rId447" Type="http://schemas.openxmlformats.org/officeDocument/2006/relationships/hyperlink" Target="https://analytics.zoho.com/open-view/2395394000008745260?ZOHO_CRITERIA=%22Consolidado_Estadisticas_Regionales_New%22.%22C%C3%B3digo%20regi%C3%B3n%22%20%3D%201" TargetMode="External"/><Relationship Id="rId612" Type="http://schemas.openxmlformats.org/officeDocument/2006/relationships/hyperlink" Target="https://sud-austral.github.io/Pdf2/Layout_Q2_18_19_Dinamica_R10/3074.pdf" TargetMode="External"/><Relationship Id="rId251" Type="http://schemas.openxmlformats.org/officeDocument/2006/relationships/hyperlink" Target="https://analytics.zoho.com/open-view/2395394000008478071?ZOHO_CRITERIA=%22Localiza%20CL%22.%22Codreg%22%20%3D%209" TargetMode="External"/><Relationship Id="rId489" Type="http://schemas.openxmlformats.org/officeDocument/2006/relationships/hyperlink" Target="https://analytics.zoho.com/open-view/2395394000008744885?ZOHO_CRITERIA=%22Consolidado_Estadisticas_Regionales_New%22.%22C%C3%B3digo%20regi%C3%B3n%22%20%3D%206" TargetMode="External"/><Relationship Id="rId46" Type="http://schemas.openxmlformats.org/officeDocument/2006/relationships/hyperlink" Target="https://analytics.zoho.com/open-view/2395394000008181172" TargetMode="External"/><Relationship Id="rId293" Type="http://schemas.openxmlformats.org/officeDocument/2006/relationships/hyperlink" Target="https://analytics.zoho.com/open-view/2395394000008378144" TargetMode="External"/><Relationship Id="rId307" Type="http://schemas.openxmlformats.org/officeDocument/2006/relationships/hyperlink" Target="https://analytics.zoho.com/open-view/2395394000008464607?ZOHO_CRITERIA=%22Localiza%20CL%22.%22Codreg%22%20%3D%201" TargetMode="External"/><Relationship Id="rId349" Type="http://schemas.openxmlformats.org/officeDocument/2006/relationships/hyperlink" Target="https://app.powerbi.com/view?r=eyJrIjoiZWYwNWIxNWUtYjQ0Ny00ZmE5LWE1M2UtNzIxNTFkZDMyYTVjIiwidCI6IjhmYmFhNWJmLTJlY2MtNGRjOC1iNTZiLThmOTJlMzA3ZjA3NiIsImMiOjR9" TargetMode="External"/><Relationship Id="rId514" Type="http://schemas.openxmlformats.org/officeDocument/2006/relationships/hyperlink" Target="https://analytics.zoho.com/open-view/2395394000008745666?ZOHO_CRITERIA=%22Consolidado_Estadisticas_Regionales_New%22.%22C%C3%B3digo%20regi%C3%B3n%22%20%3D%203" TargetMode="External"/><Relationship Id="rId556" Type="http://schemas.openxmlformats.org/officeDocument/2006/relationships/hyperlink" Target="https://analytics.zoho.com/open-view/2395394000008771662?ZOHO_CRITERIA=%22Localiza%20CL%22.%22Codreg%22%20%3D%2012" TargetMode="External"/><Relationship Id="rId88" Type="http://schemas.openxmlformats.org/officeDocument/2006/relationships/hyperlink" Target="https://analytics.zoho.com/open-view/2395394000008475464" TargetMode="External"/><Relationship Id="rId111" Type="http://schemas.openxmlformats.org/officeDocument/2006/relationships/hyperlink" Target="https://analytics.zoho.com/open-view/2395394000008435500?ZOHO_CRITERIA=%22Conexi%C3%B3n_Internet_fija%22.%22Codreg%22%3D3" TargetMode="External"/><Relationship Id="rId153" Type="http://schemas.openxmlformats.org/officeDocument/2006/relationships/hyperlink" Target="https://analytics.zoho.com/open-view/2395394000008503085?ZOHO_CRITERIA=%22Pueblos%20Ind%C3%ADgenas%20Edad%22.%22id_Region%22%20%3D%2011" TargetMode="External"/><Relationship Id="rId195" Type="http://schemas.openxmlformats.org/officeDocument/2006/relationships/hyperlink" Target="https://analytics.zoho.com/open-view/2395394000008439092" TargetMode="External"/><Relationship Id="rId209" Type="http://schemas.openxmlformats.org/officeDocument/2006/relationships/hyperlink" Target="https://analytics.zoho.com/open-view/2395394000008503554?ZOHO_CRITERIA=%22Pueblos%20Ind%C3%ADgenas%20Sexo%22.%22id_Region%22%20%3D%2014" TargetMode="External"/><Relationship Id="rId360" Type="http://schemas.openxmlformats.org/officeDocument/2006/relationships/hyperlink" Target="https://app.powerbi.com/view?r=eyJrIjoiYzkwYmY4NTMtYTBlMS00ODM5LThhYTktZjZmYWNmMzc1ODQxIiwidCI6IjhmYmFhNWJmLTJlY2MtNGRjOC1iNTZiLThmOTJlMzA3ZjA3NiIsImMiOjR9" TargetMode="External"/><Relationship Id="rId416" Type="http://schemas.openxmlformats.org/officeDocument/2006/relationships/hyperlink" Target="https://analytics.zoho.com/open-view/2395394000009355612?ZOHO_CRITERIA=%22Consolidado_Estadisticas_Regionales_New%22.%22C%C3%B3digo%20regi%C3%B3n%22%20%3D%202" TargetMode="External"/><Relationship Id="rId598" Type="http://schemas.openxmlformats.org/officeDocument/2006/relationships/hyperlink" Target="https://analytics.zoho.com/open-view/2395394000008464727?ZOHO_CRITERIA=%22Localiza%20CL%22.%22Codreg%22%20%3D%205" TargetMode="External"/><Relationship Id="rId220" Type="http://schemas.openxmlformats.org/officeDocument/2006/relationships/hyperlink" Target="https://analytics.zoho.com/open-view/2395394000009355924?ZOHO_CRITERIA=%22Consolidado_Estadisticas_Regionales_New%22.%22C%C3%B3digo%20regi%C3%B3n%22%3D1" TargetMode="External"/><Relationship Id="rId458" Type="http://schemas.openxmlformats.org/officeDocument/2006/relationships/hyperlink" Target="https://analytics.zoho.com/open-view/2395394000008492075?ZOHO_CRITERIA=%2216%20Energ%C3%ADas%20Renovables%20y%20No%20Renovables%22.%22Cod_Regi%C3%B3n%22%20%3D%204" TargetMode="External"/><Relationship Id="rId623" Type="http://schemas.openxmlformats.org/officeDocument/2006/relationships/drawing" Target="../drawings/drawing2.xml"/><Relationship Id="rId15" Type="http://schemas.openxmlformats.org/officeDocument/2006/relationships/hyperlink" Target="https://analytics.zoho.com/open-view/2395394000007777153" TargetMode="External"/><Relationship Id="rId57" Type="http://schemas.openxmlformats.org/officeDocument/2006/relationships/hyperlink" Target="https://public.flourish.studio/visualisation/6688416/" TargetMode="External"/><Relationship Id="rId262" Type="http://schemas.openxmlformats.org/officeDocument/2006/relationships/hyperlink" Target="https://analytics.zoho.com/open-view/2395394000008478183?ZOHO_CRITERIA=%22Localiza%20CL%22.%22Codreg%22%20%3D%202" TargetMode="External"/><Relationship Id="rId318" Type="http://schemas.openxmlformats.org/officeDocument/2006/relationships/hyperlink" Target="https://analytics.zoho.com/open-view/2395394000008056535" TargetMode="External"/><Relationship Id="rId525" Type="http://schemas.openxmlformats.org/officeDocument/2006/relationships/hyperlink" Target="https://analytics.zoho.com/open-view/2395394000008745666?ZOHO_CRITERIA=%22Consolidado_Estadisticas_Regionales_New%22.%22C%C3%B3digo%20regi%C3%B3n%22%20%3D%2014" TargetMode="External"/><Relationship Id="rId567" Type="http://schemas.openxmlformats.org/officeDocument/2006/relationships/hyperlink" Target="https://analytics.zoho.com/open-view/2395394000008539404?ZOHO_CRITERIA=%22Uni%C3%B3n%202.11-2.12%22.%22C%C3%B3digo%20Regi%C3%B3n%22%20%3D%201" TargetMode="External"/><Relationship Id="rId99" Type="http://schemas.openxmlformats.org/officeDocument/2006/relationships/hyperlink" Target="https://analytics.zoho.com/open-view/2395394000008554040" TargetMode="External"/><Relationship Id="rId122" Type="http://schemas.openxmlformats.org/officeDocument/2006/relationships/hyperlink" Target="https://analytics.zoho.com/open-view/2395394000008435500?ZOHO_CRITERIA=%22Conexi%C3%B3n_Internet_fija%22.%22Codreg%22%3D15" TargetMode="External"/><Relationship Id="rId164" Type="http://schemas.openxmlformats.org/officeDocument/2006/relationships/hyperlink" Target="https://analytics.zoho.com/open-view/2395394000008503207?ZOHO_CRITERIA=%22Pueblos%20Ind%C3%ADgenas%20Edad%22.%22id_Region%22%20%3D%204" TargetMode="External"/><Relationship Id="rId371" Type="http://schemas.openxmlformats.org/officeDocument/2006/relationships/hyperlink" Target="https://app.powerbi.com/view?r=eyJrIjoiNmRhZWE4NzktZThmMi00MjcyLThlZTYtMzIxODQzM2FlMWYxIiwidCI6IjhmYmFhNWJmLTJlY2MtNGRjOC1iNTZiLThmOTJlMzA3ZjA3NiIsImMiOjR9" TargetMode="External"/><Relationship Id="rId427" Type="http://schemas.openxmlformats.org/officeDocument/2006/relationships/hyperlink" Target="https://analytics.zoho.com/open-view/2395394000008493398?ZOHO_CRITERIA=%22Localiza%20CL%22.%22Codreg%22%3D14" TargetMode="External"/><Relationship Id="rId469" Type="http://schemas.openxmlformats.org/officeDocument/2006/relationships/hyperlink" Target="https://analytics.zoho.com/open-view/2395394000008492075?ZOHO_CRITERIA=%2216%20Energ%C3%ADas%20Renovables%20y%20No%20Renovables%22.%22Cod_Regi%C3%B3n%22%20%3D%2016" TargetMode="External"/><Relationship Id="rId26" Type="http://schemas.openxmlformats.org/officeDocument/2006/relationships/hyperlink" Target="https://app.powerbi.com/view?r=eyJrIjoiZDZiYjg2ODAtOGYwZS00MGNlLTkwZWEtZTU3NDMwOTZjZGYxIiwidCI6IjhmYmFhNWJmLTJlY2MtNGRjOC1iNTZiLThmOTJlMzA3ZjA3NiIsImMiOjR9" TargetMode="External"/><Relationship Id="rId231" Type="http://schemas.openxmlformats.org/officeDocument/2006/relationships/hyperlink" Target="https://analytics.zoho.com/open-view/2395394000008434853?ZOHO_CRITERIA=%22Televisi%C3%B3n_Pago%22.%22CodRegi%C3%B3n%22%3D9" TargetMode="External"/><Relationship Id="rId273" Type="http://schemas.openxmlformats.org/officeDocument/2006/relationships/hyperlink" Target="https://analytics.zoho.com/open-view/2395394000008478183?ZOHO_CRITERIA=%22Localiza%20CL%22.%22Codreg%22%20%3D%2013" TargetMode="External"/><Relationship Id="rId329" Type="http://schemas.openxmlformats.org/officeDocument/2006/relationships/hyperlink" Target="https://app.powerbi.com/view?r=eyJrIjoiNmJkNDVkNTAtYjZlZC00M2EyLWIxYjEtY2I4YTAxYWYwNmRkIiwidCI6IjhmYmFhNWJmLTJlY2MtNGRjOC1iNTZiLThmOTJlMzA3ZjA3NiIsImMiOjR9" TargetMode="External"/><Relationship Id="rId480" Type="http://schemas.openxmlformats.org/officeDocument/2006/relationships/hyperlink" Target="https://analytics.zoho.com/open-view/2395394000008478582?ZOHO_CRITERIA=%2216%20Energ%C3%ADas%20Renovables%20y%20No%20Renovables%22.%22Cod_Regi%C3%B3n%22%20%3D%2012" TargetMode="External"/><Relationship Id="rId536" Type="http://schemas.openxmlformats.org/officeDocument/2006/relationships/hyperlink" Target="https://analytics.zoho.com/open-view/2395394000008516065?ZOHO_CRITERIA=%222.1%22.%22C%C3%B3digo%20Regi%C3%B3n%22%20%3D%206" TargetMode="External"/><Relationship Id="rId68" Type="http://schemas.openxmlformats.org/officeDocument/2006/relationships/hyperlink" Target="https://analytics.zoho.com/open-view/2395394000008049343" TargetMode="External"/><Relationship Id="rId133" Type="http://schemas.openxmlformats.org/officeDocument/2006/relationships/hyperlink" Target="https://analytics.zoho.com/open-view/2395394000008511008?ZOHO_CRITERIA=%22Televisi%C3%B3n_Pago%22.%22CodRegi%C3%B3n%22%3D8" TargetMode="External"/><Relationship Id="rId175" Type="http://schemas.openxmlformats.org/officeDocument/2006/relationships/hyperlink" Target="https://analytics.zoho.com/open-view/2395394000008503207?ZOHO_CRITERIA=%22Pueblos%20Ind%C3%ADgenas%20Edad%22.%22id_Region%22%20%3D%2015" TargetMode="External"/><Relationship Id="rId340" Type="http://schemas.openxmlformats.org/officeDocument/2006/relationships/hyperlink" Target="https://app.powerbi.com/view?r=eyJrIjoiYzRmMGQzMTMtYTU4ZS00MzEwLTk2ZjUtZDZmNDc2MDMzNmZjIiwidCI6IjhmYmFhNWJmLTJlY2MtNGRjOC1iNTZiLThmOTJlMzA3ZjA3NiIsImMiOjR9" TargetMode="External"/><Relationship Id="rId578" Type="http://schemas.openxmlformats.org/officeDocument/2006/relationships/hyperlink" Target="https://analytics.zoho.com/open-view/2395394000008741527?ZOHO_CRITERIA=%22Consolidado_Estadisticas_Regionales_New%22.%22C%C3%B3digo%20regi%C3%B3n%22%20%3D%208" TargetMode="External"/><Relationship Id="rId200" Type="http://schemas.openxmlformats.org/officeDocument/2006/relationships/hyperlink" Target="https://analytics.zoho.com/open-view/2395394000008503554?ZOHO_CRITERIA=%22Pueblos%20Ind%C3%ADgenas%20Sexo%22.%22id_Region%22%20%3D%205" TargetMode="External"/><Relationship Id="rId382" Type="http://schemas.openxmlformats.org/officeDocument/2006/relationships/hyperlink" Target="https://app.powerbi.com/view?r=eyJrIjoiYzAyMzExM2EtMGNjZi00ZmYxLThjYmUtYWViOWMyZmM3ZjI3IiwidCI6IjhmYmFhNWJmLTJlY2MtNGRjOC1iNTZiLThmOTJlMzA3ZjA3NiIsImMiOjR9" TargetMode="External"/><Relationship Id="rId438" Type="http://schemas.openxmlformats.org/officeDocument/2006/relationships/hyperlink" Target="https://analytics.zoho.com/open-view/2395394000008189059?ZOHO_CRITERIA=%221.1%20Lugar_Salida_Entrada%22.%22C%C3%B3digo%20Regi%C3%B3n%22%3D2" TargetMode="External"/><Relationship Id="rId603" Type="http://schemas.openxmlformats.org/officeDocument/2006/relationships/hyperlink" Target="https://sud-austral.github.io/Pdf2/Layout_Q1_20_21_Dinamica_R10/2923.pdf" TargetMode="External"/><Relationship Id="rId242" Type="http://schemas.openxmlformats.org/officeDocument/2006/relationships/hyperlink" Target="https://analytics.zoho.com/open-view/2395394000008478071?ZOHO_CRITERIA=%22Localiza%20CL%22.%22Codreg%22%20%3D%201" TargetMode="External"/><Relationship Id="rId284" Type="http://schemas.openxmlformats.org/officeDocument/2006/relationships/hyperlink" Target="https://analytics.zoho.com/open-view/2395394000008744153" TargetMode="External"/><Relationship Id="rId491" Type="http://schemas.openxmlformats.org/officeDocument/2006/relationships/hyperlink" Target="https://analytics.zoho.com/open-view/2395394000008744885?ZOHO_CRITERIA=%22Consolidado_Estadisticas_Regionales_New%22.%22C%C3%B3digo%20regi%C3%B3n%22%20%3D%208" TargetMode="External"/><Relationship Id="rId505" Type="http://schemas.openxmlformats.org/officeDocument/2006/relationships/hyperlink" Target="https://analytics.zoho.com/open-view/2395394000008745260?ZOHO_CRITERIA=%22Consolidado_Estadisticas_Regionales_New%22.%22C%C3%B3digo%20regi%C3%B3n%22%20%3D%209" TargetMode="External"/><Relationship Id="rId37" Type="http://schemas.openxmlformats.org/officeDocument/2006/relationships/hyperlink" Target="https://analytics.zoho.com/open-view/2395394000007837543" TargetMode="External"/><Relationship Id="rId79" Type="http://schemas.openxmlformats.org/officeDocument/2006/relationships/hyperlink" Target="https://app.powerbi.com/view?r=eyJrIjoiYTkxMWQzMWItYjVkZC00MDM1LWI1N2YtODI3ZTcwMjZlMTJhIiwidCI6IjhmYmFhNWJmLTJlY2MtNGRjOC1iNTZiLThmOTJlMzA3ZjA3NiIsImMiOjR9" TargetMode="External"/><Relationship Id="rId102" Type="http://schemas.openxmlformats.org/officeDocument/2006/relationships/hyperlink" Target="https://analytics.zoho.com/open-view/2395394000008069731" TargetMode="External"/><Relationship Id="rId144" Type="http://schemas.openxmlformats.org/officeDocument/2006/relationships/hyperlink" Target="https://analytics.zoho.com/open-view/2395394000008503085?ZOHO_CRITERIA=%22Pueblos%20Ind%C3%ADgenas%20Edad%22.%22id_Region%22%20%3D%202" TargetMode="External"/><Relationship Id="rId547" Type="http://schemas.openxmlformats.org/officeDocument/2006/relationships/hyperlink" Target="https://analytics.zoho.com/open-view/2395394000008771662?ZOHO_CRITERIA=%22Localiza%20CL%22.%22Codreg%22%20%3D%203" TargetMode="External"/><Relationship Id="rId589" Type="http://schemas.openxmlformats.org/officeDocument/2006/relationships/hyperlink" Target="https://analytics.zoho.com/open-view/2395394000008744325?ZOHO_CRITERIA=%22Consolidado_Estadisticas_Regionales_New%22.%22C%C3%B3digo%20regi%C3%B3n%22%20%3D%205" TargetMode="External"/><Relationship Id="rId90" Type="http://schemas.openxmlformats.org/officeDocument/2006/relationships/hyperlink" Target="https://analytics.zoho.com/open-view/2395394000008421956" TargetMode="External"/><Relationship Id="rId186" Type="http://schemas.openxmlformats.org/officeDocument/2006/relationships/hyperlink" Target="https://analytics.zoho.com/open-view/2395394000008503341?ZOHO_CRITERIA=%22Pueblos%20Ind%C3%ADgenas%20Edad%22.%22id_Region%22%20%3D%208" TargetMode="External"/><Relationship Id="rId351" Type="http://schemas.openxmlformats.org/officeDocument/2006/relationships/hyperlink" Target="https://app.powerbi.com/view?r=eyJrIjoiNDkxZDIzOTctMGFjYi00NTI0LWI3MWEtNTcyOTgxZmZjMjhlIiwidCI6IjhmYmFhNWJmLTJlY2MtNGRjOC1iNTZiLThmOTJlMzA3ZjA3NiIsImMiOjR9" TargetMode="External"/><Relationship Id="rId393" Type="http://schemas.openxmlformats.org/officeDocument/2006/relationships/hyperlink" Target="https://analytics.zoho.com/open-view/2395394000009214303" TargetMode="External"/><Relationship Id="rId407" Type="http://schemas.openxmlformats.org/officeDocument/2006/relationships/hyperlink" Target="https://public.flourish.studio/visualisation/7125030/" TargetMode="External"/><Relationship Id="rId449" Type="http://schemas.openxmlformats.org/officeDocument/2006/relationships/hyperlink" Target="https://infogram.com/permisos-de-circulacion-1hxr4zxode8lo6y" TargetMode="External"/><Relationship Id="rId614" Type="http://schemas.openxmlformats.org/officeDocument/2006/relationships/hyperlink" Target="https://sud-austral.github.io/Pdf2/Layout_Q1_17_18_Dinamica_R10/3104.pdf" TargetMode="External"/><Relationship Id="rId211" Type="http://schemas.openxmlformats.org/officeDocument/2006/relationships/hyperlink" Target="https://analytics.zoho.com/open-view/2395394000008503554?ZOHO_CRITERIA=%22Pueblos%20Ind%C3%ADgenas%20Sexo%22.%22id_Region%22%20%3D%2016" TargetMode="External"/><Relationship Id="rId253" Type="http://schemas.openxmlformats.org/officeDocument/2006/relationships/hyperlink" Target="https://analytics.zoho.com/open-view/2395394000008478071?ZOHO_CRITERIA=%22Localiza%20CL%22.%22Codreg%22%20%3D%2011" TargetMode="External"/><Relationship Id="rId295" Type="http://schemas.openxmlformats.org/officeDocument/2006/relationships/hyperlink" Target="https://app.powerbi.com/view?r=eyJrIjoiNzUwZmFjMGEtMTIyYy00YzZiLWFmYzEtZTc5N2IyNGYxZjEyIiwidCI6IjhmYmFhNWJmLTJlY2MtNGRjOC1iNTZiLThmOTJlMzA3ZjA3NiIsImMiOjR9" TargetMode="External"/><Relationship Id="rId309" Type="http://schemas.openxmlformats.org/officeDocument/2006/relationships/hyperlink" Target="https://analytics.zoho.com/open-view/2395394000008277077" TargetMode="External"/><Relationship Id="rId460" Type="http://schemas.openxmlformats.org/officeDocument/2006/relationships/hyperlink" Target="https://analytics.zoho.com/open-view/2395394000008492075?ZOHO_CRITERIA=%2216%20Energ%C3%ADas%20Renovables%20y%20No%20Renovables%22.%22Cod_Regi%C3%B3n%22%20%3D%206" TargetMode="External"/><Relationship Id="rId516" Type="http://schemas.openxmlformats.org/officeDocument/2006/relationships/hyperlink" Target="https://analytics.zoho.com/open-view/2395394000008745666?ZOHO_CRITERIA=%22Consolidado_Estadisticas_Regionales_New%22.%22C%C3%B3digo%20regi%C3%B3n%22%20%3D%205" TargetMode="External"/><Relationship Id="rId48" Type="http://schemas.openxmlformats.org/officeDocument/2006/relationships/hyperlink" Target="https://analytics.zoho.com/open-view/2395394000008231718" TargetMode="External"/><Relationship Id="rId113" Type="http://schemas.openxmlformats.org/officeDocument/2006/relationships/hyperlink" Target="https://analytics.zoho.com/open-view/2395394000008435500?ZOHO_CRITERIA=%22Conexi%C3%B3n_Internet_fija%22.%22Codreg%22%3D6" TargetMode="External"/><Relationship Id="rId320" Type="http://schemas.openxmlformats.org/officeDocument/2006/relationships/hyperlink" Target="https://infogram.com/evaluacion-programas-1h7g6k0mrr7302o?live" TargetMode="External"/><Relationship Id="rId558" Type="http://schemas.openxmlformats.org/officeDocument/2006/relationships/hyperlink" Target="https://analytics.zoho.com/open-view/2395394000008771662?ZOHO_CRITERIA=%22Localiza%20CL%22.%22Codreg%22%20%3D%2014" TargetMode="External"/><Relationship Id="rId155" Type="http://schemas.openxmlformats.org/officeDocument/2006/relationships/hyperlink" Target="https://analytics.zoho.com/open-view/2395394000008503085?ZOHO_CRITERIA=%22Pueblos%20Ind%C3%ADgenas%20Edad%22.%22id_Region%22%20%3D%2013" TargetMode="External"/><Relationship Id="rId197" Type="http://schemas.openxmlformats.org/officeDocument/2006/relationships/hyperlink" Target="https://analytics.zoho.com/open-view/2395394000008503554?ZOHO_CRITERIA=%22Pueblos%20Ind%C3%ADgenas%20Sexo%22.%22id_Region%22%20%3D%201" TargetMode="External"/><Relationship Id="rId362" Type="http://schemas.openxmlformats.org/officeDocument/2006/relationships/hyperlink" Target="https://app.powerbi.com/view?r=eyJrIjoiMWQ2ZGU5ZjMtZWIwZS00MDVjLWJmYmYtZWQxNWYwMWI3YjMxIiwidCI6IjhmYmFhNWJmLTJlY2MtNGRjOC1iNTZiLThmOTJlMzA3ZjA3NiIsImMiOjR9" TargetMode="External"/><Relationship Id="rId418" Type="http://schemas.openxmlformats.org/officeDocument/2006/relationships/hyperlink" Target="https://analytics.zoho.com/open-view/2395394000009355612?ZOHO_CRITERIA=%22Consolidado_Estadisticas_Regionales_New%22.%22C%C3%B3digo%20regi%C3%B3n%22%20%3D%204" TargetMode="External"/><Relationship Id="rId625" Type="http://schemas.microsoft.com/office/2007/relationships/slicer" Target="../slicers/slicer2.xml"/><Relationship Id="rId222" Type="http://schemas.openxmlformats.org/officeDocument/2006/relationships/hyperlink" Target="https://analytics.zoho.com/open-view/2395394000008435350" TargetMode="External"/><Relationship Id="rId264" Type="http://schemas.openxmlformats.org/officeDocument/2006/relationships/hyperlink" Target="https://analytics.zoho.com/open-view/2395394000008478183?ZOHO_CRITERIA=%22Localiza%20CL%22.%22Codreg%22%20%3D%204" TargetMode="External"/><Relationship Id="rId471" Type="http://schemas.openxmlformats.org/officeDocument/2006/relationships/hyperlink" Target="https://analytics.zoho.com/open-view/2395394000008478582?ZOHO_CRITERIA=%2216%20Energ%C3%ADas%20Renovables%20y%20No%20Renovables%22.%22Cod_Regi%C3%B3n%22%20%3D%203" TargetMode="External"/><Relationship Id="rId17" Type="http://schemas.openxmlformats.org/officeDocument/2006/relationships/hyperlink" Target="https://app.powerbi.com/view?r=eyJrIjoiMzk2YjAzMGUtYTE2Zi00ZGU3LTg1ZjAtN2IxNzExMjg3N2E1IiwidCI6IjhmYmFhNWJmLTJlY2MtNGRjOC1iNTZiLThmOTJlMzA3ZjA3NiIsImMiOjR9" TargetMode="External"/><Relationship Id="rId59" Type="http://schemas.openxmlformats.org/officeDocument/2006/relationships/hyperlink" Target="https://analytics.zoho.com/open-view/2395394000007908748" TargetMode="External"/><Relationship Id="rId124" Type="http://schemas.openxmlformats.org/officeDocument/2006/relationships/hyperlink" Target="https://analytics.zoho.com/open-view/2395394000008461424" TargetMode="External"/><Relationship Id="rId527" Type="http://schemas.openxmlformats.org/officeDocument/2006/relationships/hyperlink" Target="https://analytics.zoho.com/open-view/2395394000008745666?ZOHO_CRITERIA=%22Consolidado_Estadisticas_Regionales_New%22.%22C%C3%B3digo%20regi%C3%B3n%22%20%3D%2016" TargetMode="External"/><Relationship Id="rId569" Type="http://schemas.openxmlformats.org/officeDocument/2006/relationships/hyperlink" Target="https://analytics.zoho.com/open-view/2395394000008188039" TargetMode="External"/><Relationship Id="rId70" Type="http://schemas.openxmlformats.org/officeDocument/2006/relationships/hyperlink" Target="https://analytics.zoho.com/open-view/2395394000008056809" TargetMode="External"/><Relationship Id="rId166" Type="http://schemas.openxmlformats.org/officeDocument/2006/relationships/hyperlink" Target="https://analytics.zoho.com/open-view/2395394000008503207?ZOHO_CRITERIA=%22Pueblos%20Ind%C3%ADgenas%20Edad%22.%22id_Region%22%20%3D%206" TargetMode="External"/><Relationship Id="rId331" Type="http://schemas.openxmlformats.org/officeDocument/2006/relationships/hyperlink" Target="https://app.powerbi.com/view?r=eyJrIjoiZTZjMGE0MjAtZjg0OS00MmU0LWI4ODItOTc4ZTYyYTQ0OGJjIiwidCI6IjhmYmFhNWJmLTJlY2MtNGRjOC1iNTZiLThmOTJlMzA3ZjA3NiIsImMiOjR9" TargetMode="External"/><Relationship Id="rId373" Type="http://schemas.openxmlformats.org/officeDocument/2006/relationships/hyperlink" Target="https://app.powerbi.com/view?r=eyJrIjoiYmVmYjJhOWUtNTM1Mi00NTUwLWE1OGYtZjY0MTdlNzBmZjNjIiwidCI6IjhmYmFhNWJmLTJlY2MtNGRjOC1iNTZiLThmOTJlMzA3ZjA3NiIsImMiOjR9" TargetMode="External"/><Relationship Id="rId429" Type="http://schemas.openxmlformats.org/officeDocument/2006/relationships/hyperlink" Target="https://analytics.zoho.com/open-view/2395394000008435942" TargetMode="External"/><Relationship Id="rId580" Type="http://schemas.openxmlformats.org/officeDocument/2006/relationships/hyperlink" Target="https://analytics.zoho.com/open-view/2395394000008741527?ZOHO_CRITERIA=%22Consolidado_Estadisticas_Regionales_New%22.%22C%C3%B3digo%20regi%C3%B3n%22%20%3D%2016" TargetMode="External"/><Relationship Id="rId1" Type="http://schemas.openxmlformats.org/officeDocument/2006/relationships/hyperlink" Target="https://analytics.zoho.com/open-view/2395394000007756457" TargetMode="External"/><Relationship Id="rId233" Type="http://schemas.openxmlformats.org/officeDocument/2006/relationships/hyperlink" Target="https://analytics.zoho.com/open-view/2395394000008434853?ZOHO_CRITERIA=%22Televisi%C3%B3n_Pago%22.%22CodRegi%C3%B3n%22%3D11" TargetMode="External"/><Relationship Id="rId440" Type="http://schemas.openxmlformats.org/officeDocument/2006/relationships/hyperlink" Target="https://analytics.zoho.com/open-view/2395394000008461828" TargetMode="External"/><Relationship Id="rId28" Type="http://schemas.openxmlformats.org/officeDocument/2006/relationships/hyperlink" Target="https://app.powerbi.com/view?r=eyJrIjoiNDQzYmFiMjctODc3Ny00N2ZlLTgyNTctMzBmMmY3NTdhNmQ3IiwidCI6IjhmYmFhNWJmLTJlY2MtNGRjOC1iNTZiLThmOTJlMzA3ZjA3NiIsImMiOjR9" TargetMode="External"/><Relationship Id="rId275" Type="http://schemas.openxmlformats.org/officeDocument/2006/relationships/hyperlink" Target="https://analytics.zoho.com/open-view/2395394000008478183?ZOHO_CRITERIA=%22Localiza%20CL%22.%22Codreg%22%20%3D%2015%7d" TargetMode="External"/><Relationship Id="rId300" Type="http://schemas.openxmlformats.org/officeDocument/2006/relationships/hyperlink" Target="https://analytics.zoho.com/open-view/2395394000008083041" TargetMode="External"/><Relationship Id="rId482" Type="http://schemas.openxmlformats.org/officeDocument/2006/relationships/hyperlink" Target="https://analytics.zoho.com/open-view/2395394000008478582?ZOHO_CRITERIA=%2216%20Energ%C3%ADas%20Renovables%20y%20No%20Renovables%22.%22Cod_Regi%C3%B3n%22%20%3D%2014" TargetMode="External"/><Relationship Id="rId538" Type="http://schemas.openxmlformats.org/officeDocument/2006/relationships/hyperlink" Target="https://analytics.zoho.com/open-view/2395394000008516065?ZOHO_CRITERIA=%222.1%22.%22C%C3%B3digo%20Regi%C3%B3n%22%20%3D%2011" TargetMode="External"/><Relationship Id="rId81" Type="http://schemas.openxmlformats.org/officeDocument/2006/relationships/hyperlink" Target="https://analytics.zoho.com/open-view/2395394000008099475" TargetMode="External"/><Relationship Id="rId135" Type="http://schemas.openxmlformats.org/officeDocument/2006/relationships/hyperlink" Target="https://analytics.zoho.com/open-view/2395394000008511008?ZOHO_CRITERIA=%22Televisi%C3%B3n_Pago%22.%22CodRegi%C3%B3n%22%3D10" TargetMode="External"/><Relationship Id="rId177" Type="http://schemas.openxmlformats.org/officeDocument/2006/relationships/hyperlink" Target="https://analytics.zoho.com/open-view/2395394000008436794" TargetMode="External"/><Relationship Id="rId342" Type="http://schemas.openxmlformats.org/officeDocument/2006/relationships/hyperlink" Target="https://app.powerbi.com/view?r=eyJrIjoiNGI4NDk4MDQtMTIyZC00MDEzLWE1YjAtYzRhNDNlZWQwYWU0IiwidCI6IjhmYmFhNWJmLTJlY2MtNGRjOC1iNTZiLThmOTJlMzA3ZjA3NiIsImMiOjR9" TargetMode="External"/><Relationship Id="rId384" Type="http://schemas.openxmlformats.org/officeDocument/2006/relationships/hyperlink" Target="https://app.powerbi.com/view?r=eyJrIjoiOWU5N2QxMDgtYTcyZC00OTNkLThlNTctOWExYmZhYTRkOTM0IiwidCI6IjhmYmFhNWJmLTJlY2MtNGRjOC1iNTZiLThmOTJlMzA3ZjA3NiIsImMiOjR9" TargetMode="External"/><Relationship Id="rId591" Type="http://schemas.openxmlformats.org/officeDocument/2006/relationships/hyperlink" Target="https://analytics.zoho.com/open-view/2395394000009355045" TargetMode="External"/><Relationship Id="rId605" Type="http://schemas.openxmlformats.org/officeDocument/2006/relationships/hyperlink" Target="https://sud-austral.github.io/Pdf2/Layout_Q2_18_19_Dinamica_R10/2923.pdf" TargetMode="External"/><Relationship Id="rId202" Type="http://schemas.openxmlformats.org/officeDocument/2006/relationships/hyperlink" Target="https://analytics.zoho.com/open-view/2395394000008503554?ZOHO_CRITERIA=%22Pueblos%20Ind%C3%ADgenas%20Sexo%22.%22id_Region%22%20%3D%207" TargetMode="External"/><Relationship Id="rId244" Type="http://schemas.openxmlformats.org/officeDocument/2006/relationships/hyperlink" Target="https://analytics.zoho.com/open-view/2395394000008478071?ZOHO_CRITERIA=%22Localiza%20CL%22.%22Codreg%22%20%3D%202" TargetMode="External"/><Relationship Id="rId39" Type="http://schemas.openxmlformats.org/officeDocument/2006/relationships/hyperlink" Target="https://analytics.zoho.com/open-view/2395394000007837090" TargetMode="External"/><Relationship Id="rId286" Type="http://schemas.openxmlformats.org/officeDocument/2006/relationships/hyperlink" Target="https://analytics.zoho.com/open-view/2395394000008771662?ZOHO_CRITERIA=%22Localiza%20CL%22.%22Codreg%22%20%3D%201" TargetMode="External"/><Relationship Id="rId451" Type="http://schemas.openxmlformats.org/officeDocument/2006/relationships/hyperlink" Target="https://analytics.zoho.com/open-view/2395394000008413133?ZOHO_CRITERIA=%228.1%20Permiso_circulaci%C3%B3n%22.%22Codreg%22%3D1" TargetMode="External"/><Relationship Id="rId493" Type="http://schemas.openxmlformats.org/officeDocument/2006/relationships/hyperlink" Target="https://analytics.zoho.com/open-view/2395394000008744885?ZOHO_CRITERIA=%22Consolidado_Estadisticas_Regionales_New%22.%22C%C3%B3digo%20regi%C3%B3n%22%20%3D%2010" TargetMode="External"/><Relationship Id="rId507" Type="http://schemas.openxmlformats.org/officeDocument/2006/relationships/hyperlink" Target="https://analytics.zoho.com/open-view/2395394000008745260?ZOHO_CRITERIA=%22Consolidado_Estadisticas_Regionales_New%22.%22C%C3%B3digo%20regi%C3%B3n%22%20%3D%2011" TargetMode="External"/><Relationship Id="rId549" Type="http://schemas.openxmlformats.org/officeDocument/2006/relationships/hyperlink" Target="https://analytics.zoho.com/open-view/2395394000008771662?ZOHO_CRITERIA=%22Localiza%20CL%22.%22Codreg%22%20%3D%205" TargetMode="External"/><Relationship Id="rId50" Type="http://schemas.openxmlformats.org/officeDocument/2006/relationships/hyperlink" Target="https://analytics.zoho.com/open-view/2395394000008439156" TargetMode="External"/><Relationship Id="rId104" Type="http://schemas.openxmlformats.org/officeDocument/2006/relationships/hyperlink" Target="https://analytics.zoho.com/open-view/2395394000007277131" TargetMode="External"/><Relationship Id="rId146" Type="http://schemas.openxmlformats.org/officeDocument/2006/relationships/hyperlink" Target="https://analytics.zoho.com/open-view/2395394000008503085?ZOHO_CRITERIA=%22Pueblos%20Ind%C3%ADgenas%20Edad%22.%22id_Region%22%20%3D%204" TargetMode="External"/><Relationship Id="rId188" Type="http://schemas.openxmlformats.org/officeDocument/2006/relationships/hyperlink" Target="https://analytics.zoho.com/open-view/2395394000008503341?ZOHO_CRITERIA=%22Pueblos%20Ind%C3%ADgenas%20Edad%22.%22id_Region%22%20%3D%2010" TargetMode="External"/><Relationship Id="rId311" Type="http://schemas.openxmlformats.org/officeDocument/2006/relationships/hyperlink" Target="https://analytics.zoho.com/open-view/2395394000008478582?ZOHO_CRITERIA=%2216%20Energ%C3%ADas%20Renovables%20y%20No%20Renovables%22.%22Cod_Regi%C3%B3n%22%20%3D%201" TargetMode="External"/><Relationship Id="rId353" Type="http://schemas.openxmlformats.org/officeDocument/2006/relationships/hyperlink" Target="https://app.powerbi.com/view?r=eyJrIjoiMjcyYzIwZGYtZmUwMy00OGJiLWEwODktZjczYTY3NjE3ODM4IiwidCI6IjhmYmFhNWJmLTJlY2MtNGRjOC1iNTZiLThmOTJlMzA3ZjA3NiIsImMiOjR9" TargetMode="External"/><Relationship Id="rId395" Type="http://schemas.openxmlformats.org/officeDocument/2006/relationships/hyperlink" Target="https://public.flourish.studio/visualisation/7125302/" TargetMode="External"/><Relationship Id="rId409" Type="http://schemas.openxmlformats.org/officeDocument/2006/relationships/hyperlink" Target="https://public.flourish.studio/visualisation/7124958/" TargetMode="External"/><Relationship Id="rId560" Type="http://schemas.openxmlformats.org/officeDocument/2006/relationships/hyperlink" Target="https://analytics.zoho.com/open-view/2395394000008771662?ZOHO_CRITERIA=%22Localiza%20CL%22.%22Codreg%22%20%3D%2016" TargetMode="External"/><Relationship Id="rId92" Type="http://schemas.openxmlformats.org/officeDocument/2006/relationships/hyperlink" Target="https://analytics.zoho.com/open-view/2395394000008280397" TargetMode="External"/><Relationship Id="rId213" Type="http://schemas.openxmlformats.org/officeDocument/2006/relationships/hyperlink" Target="https://analytics.zoho.com/open-view/2395394000008196724" TargetMode="External"/><Relationship Id="rId420" Type="http://schemas.openxmlformats.org/officeDocument/2006/relationships/hyperlink" Target="https://analytics.zoho.com/open-view/2395394000009355686?ZOHO_CRITERIA=%22Consolidado_Estadisticas_Regionales_New%22.%22C%C3%B3digo%20regi%C3%B3n%22%20%3D%202" TargetMode="External"/><Relationship Id="rId616" Type="http://schemas.openxmlformats.org/officeDocument/2006/relationships/hyperlink" Target="https://sud-austral.github.io/Pdf2/Layout_Q1_19_20_Dinamica_R10/3104.pdf" TargetMode="External"/><Relationship Id="rId255" Type="http://schemas.openxmlformats.org/officeDocument/2006/relationships/hyperlink" Target="https://analytics.zoho.com/open-view/2395394000008478071?ZOHO_CRITERIA=%22Localiza%20CL%22.%22Codreg%22%20%3D%2013" TargetMode="External"/><Relationship Id="rId297" Type="http://schemas.openxmlformats.org/officeDocument/2006/relationships/hyperlink" Target="https://app.powerbi.com/view?r=eyJrIjoiMjc0Mjg5ODMtZmYzMy00OWJhLWJiYWQtZjQ3ZWIzMjQwNzMxIiwidCI6IjhmYmFhNWJmLTJlY2MtNGRjOC1iNTZiLThmOTJlMzA3ZjA3NiIsImMiOjR9" TargetMode="External"/><Relationship Id="rId462" Type="http://schemas.openxmlformats.org/officeDocument/2006/relationships/hyperlink" Target="https://analytics.zoho.com/open-view/2395394000008492075?ZOHO_CRITERIA=%2216%20Energ%C3%ADas%20Renovables%20y%20No%20Renovables%22.%22Cod_Regi%C3%B3n%22%20%3D%209" TargetMode="External"/><Relationship Id="rId518" Type="http://schemas.openxmlformats.org/officeDocument/2006/relationships/hyperlink" Target="https://analytics.zoho.com/open-view/2395394000008745666?ZOHO_CRITERIA=%22Consolidado_Estadisticas_Regionales_New%22.%22C%C3%B3digo%20regi%C3%B3n%22%20%3D%207" TargetMode="External"/><Relationship Id="rId115" Type="http://schemas.openxmlformats.org/officeDocument/2006/relationships/hyperlink" Target="https://analytics.zoho.com/open-view/2395394000008435500?ZOHO_CRITERIA=%22Conexi%C3%B3n_Internet_fija%22.%22Codreg%22%3D8" TargetMode="External"/><Relationship Id="rId157" Type="http://schemas.openxmlformats.org/officeDocument/2006/relationships/hyperlink" Target="https://analytics.zoho.com/open-view/2395394000008503085?ZOHO_CRITERIA=%22Pueblos%20Ind%C3%ADgenas%20Edad%22.%22id_Region%22%20%3D%2015" TargetMode="External"/><Relationship Id="rId322" Type="http://schemas.openxmlformats.org/officeDocument/2006/relationships/hyperlink" Target="https://analytics.zoho.com/open-view/2395394000009080022" TargetMode="External"/><Relationship Id="rId364" Type="http://schemas.openxmlformats.org/officeDocument/2006/relationships/hyperlink" Target="https://app.powerbi.com/view?r=eyJrIjoiZmI4YzUwZWUtOTIyZi00ZDdkLTkyZDMtNDc5NzY3NDdlMzgzIiwidCI6IjhmYmFhNWJmLTJlY2MtNGRjOC1iNTZiLThmOTJlMzA3ZjA3NiIsImMiOjR9" TargetMode="External"/><Relationship Id="rId61" Type="http://schemas.openxmlformats.org/officeDocument/2006/relationships/hyperlink" Target="https://analytics.zoho.com/open-view/2395394000007946934" TargetMode="External"/><Relationship Id="rId199" Type="http://schemas.openxmlformats.org/officeDocument/2006/relationships/hyperlink" Target="https://analytics.zoho.com/open-view/2395394000008503554?ZOHO_CRITERIA=%22Pueblos%20Ind%C3%ADgenas%20Sexo%22.%22id_Region%22%20%3D%204" TargetMode="External"/><Relationship Id="rId571" Type="http://schemas.openxmlformats.org/officeDocument/2006/relationships/hyperlink" Target="https://analytics.zoho.com/open-view/2395394000008463332?ZOHO_CRITERIA=%22Uni%C3%B3n%202.11-2.12%22.%22C%C3%B3digo%20Regi%C3%B3n%22%20%3D%2015" TargetMode="External"/><Relationship Id="rId19" Type="http://schemas.openxmlformats.org/officeDocument/2006/relationships/hyperlink" Target="https://app.powerbi.com/view?r=eyJrIjoiNzYyYzA1MTQtYjU4ZC00YmIyLTgxMTMtODQ1MzE1OTdkZTU5IiwidCI6IjhmYmFhNWJmLTJlY2MtNGRjOC1iNTZiLThmOTJlMzA3ZjA3NiIsImMiOjR9" TargetMode="External"/><Relationship Id="rId224" Type="http://schemas.openxmlformats.org/officeDocument/2006/relationships/hyperlink" Target="https://analytics.zoho.com/open-view/2395394000008434853?ZOHO_CRITERIA=%22Televisi%C3%B3n_Pago%22.%22CodRegi%C3%B3n%22%3D2" TargetMode="External"/><Relationship Id="rId266" Type="http://schemas.openxmlformats.org/officeDocument/2006/relationships/hyperlink" Target="https://analytics.zoho.com/open-view/2395394000008478183?ZOHO_CRITERIA=%22Localiza%20CL%22.%22Codreg%22%20%3D%206" TargetMode="External"/><Relationship Id="rId431" Type="http://schemas.openxmlformats.org/officeDocument/2006/relationships/hyperlink" Target="https://analytics.zoho.com/open-view/2395394000008467312?ZOHO_CRITERIA=%22Localiza%20Chile%22.%22Codreg%22%3D10" TargetMode="External"/><Relationship Id="rId473" Type="http://schemas.openxmlformats.org/officeDocument/2006/relationships/hyperlink" Target="https://analytics.zoho.com/open-view/2395394000008478582?ZOHO_CRITERIA=%2216%20Energ%C3%ADas%20Renovables%20y%20No%20Renovables%22.%22Cod_Regi%C3%B3n%22%20%3D%205" TargetMode="External"/><Relationship Id="rId529" Type="http://schemas.openxmlformats.org/officeDocument/2006/relationships/hyperlink" Target="https://analytics.zoho.com/open-view/2395394000008049492" TargetMode="External"/><Relationship Id="rId30" Type="http://schemas.openxmlformats.org/officeDocument/2006/relationships/hyperlink" Target="https://app.powerbi.com/view?r=eyJrIjoiZThkYzY0YTItNWE2NS00MjE5LTgzNTItOWFmNjE2NWE5NTIwIiwidCI6IjhmYmFhNWJmLTJlY2MtNGRjOC1iNTZiLThmOTJlMzA3ZjA3NiIsImMiOjR9" TargetMode="External"/><Relationship Id="rId126" Type="http://schemas.openxmlformats.org/officeDocument/2006/relationships/hyperlink" Target="https://analytics.zoho.com/open-view/2395394000008511008?ZOHO_CRITERIA=%22Televisi%C3%B3n_Pago%22.%22CodRegi%C3%B3n%22%3D1" TargetMode="External"/><Relationship Id="rId168" Type="http://schemas.openxmlformats.org/officeDocument/2006/relationships/hyperlink" Target="https://analytics.zoho.com/open-view/2395394000008503207?ZOHO_CRITERIA=%22Pueblos%20Ind%C3%ADgenas%20Edad%22.%22id_Region%22%20%3D%208" TargetMode="External"/><Relationship Id="rId333" Type="http://schemas.openxmlformats.org/officeDocument/2006/relationships/hyperlink" Target="https://app.powerbi.com/view?r=eyJrIjoiMGU1NjM0MjEtODEzMi00OWQ3LTg5NzgtMzRiMGVkYjJiYzgxIiwidCI6IjhmYmFhNWJmLTJlY2MtNGRjOC1iNTZiLThmOTJlMzA3ZjA3NiIsImMiOjR9" TargetMode="External"/><Relationship Id="rId540" Type="http://schemas.openxmlformats.org/officeDocument/2006/relationships/hyperlink" Target="https://analytics.zoho.com/open-view/2395394000008421316" TargetMode="External"/><Relationship Id="rId72" Type="http://schemas.openxmlformats.org/officeDocument/2006/relationships/hyperlink" Target="https://analytics.zoho.com/open-view/2395394000008645520" TargetMode="External"/><Relationship Id="rId375" Type="http://schemas.openxmlformats.org/officeDocument/2006/relationships/hyperlink" Target="https://app.powerbi.com/view?r=eyJrIjoiN2JkNmMxYTYtMDE0ZC00NDM0LWIxZjctMWJhYmZhYTM0NmRjIiwidCI6IjhmYmFhNWJmLTJlY2MtNGRjOC1iNTZiLThmOTJlMzA3ZjA3NiIsImMiOjR9" TargetMode="External"/><Relationship Id="rId582" Type="http://schemas.openxmlformats.org/officeDocument/2006/relationships/hyperlink" Target="https://analytics.zoho.com/open-view/2395394000008516001?ZOHO_CRITERIA=%2227.10%22.%22Id_Regi%C3%B3n%22%20%3D%2015" TargetMode="External"/><Relationship Id="rId3" Type="http://schemas.openxmlformats.org/officeDocument/2006/relationships/hyperlink" Target="https://analytics.zoho.com/open-view/2395394000005950690" TargetMode="External"/><Relationship Id="rId235" Type="http://schemas.openxmlformats.org/officeDocument/2006/relationships/hyperlink" Target="https://analytics.zoho.com/open-view/2395394000008434853?ZOHO_CRITERIA=%22Televisi%C3%B3n_Pago%22.%22CodRegi%C3%B3n%22%3D13" TargetMode="External"/><Relationship Id="rId277" Type="http://schemas.openxmlformats.org/officeDocument/2006/relationships/hyperlink" Target="https://analytics.zoho.com/open-view/2395394000008193854" TargetMode="External"/><Relationship Id="rId400" Type="http://schemas.openxmlformats.org/officeDocument/2006/relationships/hyperlink" Target="https://public.flourish.studio/visualisation/7125220/" TargetMode="External"/><Relationship Id="rId442" Type="http://schemas.openxmlformats.org/officeDocument/2006/relationships/hyperlink" Target="https://analytics.zoho.com/open-view/2395394000008461682?ZOHO_CRITERIA=%221.1%20Lugar_Salida_Entrada%22.%22C%C3%B3digo%20Regi%C3%B3n%22%3D1" TargetMode="External"/><Relationship Id="rId484" Type="http://schemas.openxmlformats.org/officeDocument/2006/relationships/hyperlink" Target="https://analytics.zoho.com/open-view/2395394000008478582?ZOHO_CRITERIA=%2216%20Energ%C3%ADas%20Renovables%20y%20No%20Renovables%22.%22Cod_Regi%C3%B3n%22%20%3D%2016" TargetMode="External"/><Relationship Id="rId137" Type="http://schemas.openxmlformats.org/officeDocument/2006/relationships/hyperlink" Target="https://analytics.zoho.com/open-view/2395394000008511008?ZOHO_CRITERIA=%22Televisi%C3%B3n_Pago%22.%22CodRegi%C3%B3n%22%3D12" TargetMode="External"/><Relationship Id="rId302" Type="http://schemas.openxmlformats.org/officeDocument/2006/relationships/hyperlink" Target="https://analytics.zoho.com/open-view/2395394000008188953" TargetMode="External"/><Relationship Id="rId344" Type="http://schemas.openxmlformats.org/officeDocument/2006/relationships/hyperlink" Target="https://app.powerbi.com/view?r=eyJrIjoiY2Q1ZjQxOTItNjU0MS00NDlmLWE1YmUtMGFlNWY5ZTA5ZWM2IiwidCI6IjhmYmFhNWJmLTJlY2MtNGRjOC1iNTZiLThmOTJlMzA3ZjA3NiIsImMiOjR9" TargetMode="External"/><Relationship Id="rId41" Type="http://schemas.openxmlformats.org/officeDocument/2006/relationships/hyperlink" Target="https://analytics.zoho.com/open-view/2395394000008038511" TargetMode="External"/><Relationship Id="rId83" Type="http://schemas.openxmlformats.org/officeDocument/2006/relationships/hyperlink" Target="https://analytics.zoho.com/open-view/2395394000008195644" TargetMode="External"/><Relationship Id="rId179" Type="http://schemas.openxmlformats.org/officeDocument/2006/relationships/hyperlink" Target="https://analytics.zoho.com/open-view/2395394000008503341?ZOHO_CRITERIA=%22Pueblos%20Ind%C3%ADgenas%20Edad%22.%22id_Region%22%20%3D%201" TargetMode="External"/><Relationship Id="rId386" Type="http://schemas.openxmlformats.org/officeDocument/2006/relationships/hyperlink" Target="https://app.powerbi.com/view?r=eyJrIjoiY2FmMzQ5ZmMtY2ZiZC00ZGNiLWFjNjEtOTk2ZTY3NGI4OTAyIiwidCI6IjhmYmFhNWJmLTJlY2MtNGRjOC1iNTZiLThmOTJlMzA3ZjA3NiIsImMiOjR9" TargetMode="External"/><Relationship Id="rId551" Type="http://schemas.openxmlformats.org/officeDocument/2006/relationships/hyperlink" Target="https://analytics.zoho.com/open-view/2395394000008771662?ZOHO_CRITERIA=%22Localiza%20CL%22.%22Codreg%22%20%3D%207" TargetMode="External"/><Relationship Id="rId593" Type="http://schemas.openxmlformats.org/officeDocument/2006/relationships/hyperlink" Target="https://app.powerbi.com/view?r=eyJrIjoiMTFiMTI5YmQtYTU1Ni00MzI4LTk1NDUtMDRlYTM0NDAwYmJlIiwidCI6IjhmYmFhNWJmLTJlY2MtNGRjOC1iNTZiLThmOTJlMzA3ZjA3NiIsImMiOjR9" TargetMode="External"/><Relationship Id="rId607" Type="http://schemas.openxmlformats.org/officeDocument/2006/relationships/hyperlink" Target="https://sud-austral.github.io/Pdf2/Layout_Q1_17_18_Dinamica_R10/3074.pdf" TargetMode="External"/><Relationship Id="rId190" Type="http://schemas.openxmlformats.org/officeDocument/2006/relationships/hyperlink" Target="https://analytics.zoho.com/open-view/2395394000008503341?ZOHO_CRITERIA=%22Pueblos%20Ind%C3%ADgenas%20Edad%22.%22id_Region%22%20%3D%2012" TargetMode="External"/><Relationship Id="rId204" Type="http://schemas.openxmlformats.org/officeDocument/2006/relationships/hyperlink" Target="https://analytics.zoho.com/open-view/2395394000008503554?ZOHO_CRITERIA=%22Pueblos%20Ind%C3%ADgenas%20Sexo%22.%22id_Region%22%20%3D%209" TargetMode="External"/><Relationship Id="rId246" Type="http://schemas.openxmlformats.org/officeDocument/2006/relationships/hyperlink" Target="https://analytics.zoho.com/open-view/2395394000008478071?ZOHO_CRITERIA=%22Localiza%20CL%22.%22Codreg%22%20%3D%204" TargetMode="External"/><Relationship Id="rId288" Type="http://schemas.openxmlformats.org/officeDocument/2006/relationships/hyperlink" Target="https://analytics.zoho.com/open-view/2395394000008745260?ZOHO_CRITERIA=%22Consolidado_Estadisticas_Regionales_New%22.%22C%C3%B3digo%20regi%C3%B3n%22%20%3D%203" TargetMode="External"/><Relationship Id="rId411" Type="http://schemas.openxmlformats.org/officeDocument/2006/relationships/hyperlink" Target="https://public.flourish.studio/visualisation/7122409/" TargetMode="External"/><Relationship Id="rId453" Type="http://schemas.openxmlformats.org/officeDocument/2006/relationships/hyperlink" Target="https://analytics.zoho.com/open-view/2395394000008475310?ZOHO_CRITERIA=%228.1%20Permiso_circulaci%C3%B3n%22.%22Codreg%22%3D1" TargetMode="External"/><Relationship Id="rId509" Type="http://schemas.openxmlformats.org/officeDocument/2006/relationships/hyperlink" Target="https://analytics.zoho.com/open-view/2395394000008745260?ZOHO_CRITERIA=%22Consolidado_Estadisticas_Regionales_New%22.%22C%C3%B3digo%20regi%C3%B3n%22%20%3D%2013" TargetMode="External"/><Relationship Id="rId106" Type="http://schemas.openxmlformats.org/officeDocument/2006/relationships/hyperlink" Target="https://analytics.zoho.com/open-view/2395394000008214196" TargetMode="External"/><Relationship Id="rId313" Type="http://schemas.openxmlformats.org/officeDocument/2006/relationships/hyperlink" Target="https://analytics.zoho.com/open-view/2395394000008478954" TargetMode="External"/><Relationship Id="rId495" Type="http://schemas.openxmlformats.org/officeDocument/2006/relationships/hyperlink" Target="https://analytics.zoho.com/open-view/2395394000008744885?ZOHO_CRITERIA=%22Consolidado_Estadisticas_Regionales_New%22.%22C%C3%B3digo%20regi%C3%B3n%22%20%3D%2012" TargetMode="External"/><Relationship Id="rId10" Type="http://schemas.openxmlformats.org/officeDocument/2006/relationships/hyperlink" Target="https://app.powerbi.com/view?r=eyJrIjoiYzhiZDQ3N2YtMmRkOS00NzAyLThjNjItNzk0NWM1NWE1YjE0IiwidCI6IjhmYmFhNWJmLTJlY2MtNGRjOC1iNTZiLThmOTJlMzA3ZjA3NiIsImMiOjR9" TargetMode="External"/><Relationship Id="rId52" Type="http://schemas.openxmlformats.org/officeDocument/2006/relationships/hyperlink" Target="https://analytics.zoho.com/open-view/2395394000007908947" TargetMode="External"/><Relationship Id="rId94" Type="http://schemas.openxmlformats.org/officeDocument/2006/relationships/hyperlink" Target="https://analytics.zoho.com/open-view/2395394000008421106" TargetMode="External"/><Relationship Id="rId148" Type="http://schemas.openxmlformats.org/officeDocument/2006/relationships/hyperlink" Target="https://analytics.zoho.com/open-view/2395394000008503085?ZOHO_CRITERIA=%22Pueblos%20Ind%C3%ADgenas%20Edad%22.%22id_Region%22%20%3D%206" TargetMode="External"/><Relationship Id="rId355" Type="http://schemas.openxmlformats.org/officeDocument/2006/relationships/hyperlink" Target="https://app.powerbi.com/view?r=eyJrIjoiYjdhYzkzMmItZmM2Yi00NzczLWE0ZDYtMzY3YmYyNWY4ZjM4IiwidCI6IjhmYmFhNWJmLTJlY2MtNGRjOC1iNTZiLThmOTJlMzA3ZjA3NiIsImMiOjR9" TargetMode="External"/><Relationship Id="rId397" Type="http://schemas.openxmlformats.org/officeDocument/2006/relationships/hyperlink" Target="https://public.flourish.studio/visualisation/7125253/" TargetMode="External"/><Relationship Id="rId520" Type="http://schemas.openxmlformats.org/officeDocument/2006/relationships/hyperlink" Target="https://analytics.zoho.com/open-view/2395394000008745666?ZOHO_CRITERIA=%22Consolidado_Estadisticas_Regionales_New%22.%22C%C3%B3digo%20regi%C3%B3n%22%20%3D%209" TargetMode="External"/><Relationship Id="rId562" Type="http://schemas.openxmlformats.org/officeDocument/2006/relationships/hyperlink" Target="https://analytics.zoho.com/open-view/2395394000008189059?ZOHO_CRITERIA=%221.1%20Lugar_Salida_Entrada%22.%22C%C3%B3digo%20Regi%C3%B3n%22%3D5" TargetMode="External"/><Relationship Id="rId618" Type="http://schemas.openxmlformats.org/officeDocument/2006/relationships/hyperlink" Target="https://sud-austral.github.io/Pdf2/Layout_Q2_17_18_Dinamica_R10/3104.pdf" TargetMode="External"/><Relationship Id="rId215" Type="http://schemas.openxmlformats.org/officeDocument/2006/relationships/hyperlink" Target="https://analytics.zoho.com/open-view/2395394000008199783" TargetMode="External"/><Relationship Id="rId257" Type="http://schemas.openxmlformats.org/officeDocument/2006/relationships/hyperlink" Target="https://analytics.zoho.com/open-view/2395394000008478071?ZOHO_CRITERIA=%22Localiza%20CL%22.%22Codreg%22%20%3D%2015" TargetMode="External"/><Relationship Id="rId422" Type="http://schemas.openxmlformats.org/officeDocument/2006/relationships/hyperlink" Target="https://analytics.zoho.com/open-view/2395394000009355686?ZOHO_CRITERIA=%22Consolidado_Estadisticas_Regionales_New%22.%22C%C3%B3digo%20regi%C3%B3n%22%20%3D%204" TargetMode="External"/><Relationship Id="rId464" Type="http://schemas.openxmlformats.org/officeDocument/2006/relationships/hyperlink" Target="https://analytics.zoho.com/open-view/2395394000008492075?ZOHO_CRITERIA=%2216%20Energ%C3%ADas%20Renovables%20y%20No%20Renovables%22.%22Cod_Regi%C3%B3n%22%20%3D%2011" TargetMode="External"/><Relationship Id="rId299" Type="http://schemas.openxmlformats.org/officeDocument/2006/relationships/hyperlink" Target="https://analytics.zoho.com/open-view/2395394000007900622" TargetMode="External"/><Relationship Id="rId63" Type="http://schemas.openxmlformats.org/officeDocument/2006/relationships/hyperlink" Target="https://analytics.zoho.com/open-view/2395394000008038558" TargetMode="External"/><Relationship Id="rId159" Type="http://schemas.openxmlformats.org/officeDocument/2006/relationships/hyperlink" Target="https://analytics.zoho.com/open-view/2395394000008438417" TargetMode="External"/><Relationship Id="rId366" Type="http://schemas.openxmlformats.org/officeDocument/2006/relationships/hyperlink" Target="https://app.powerbi.com/view?r=eyJrIjoiNzdiMGUxMTAtMWEyZi00NzVkLTg5N2ItYzhkYTQzZWJjMWQ0IiwidCI6IjhmYmFhNWJmLTJlY2MtNGRjOC1iNTZiLThmOTJlMzA3ZjA3NiIsImMiOjR9" TargetMode="External"/><Relationship Id="rId573" Type="http://schemas.openxmlformats.org/officeDocument/2006/relationships/hyperlink" Target="https://analytics.zoho.com/open-view/2395394000008188448" TargetMode="External"/><Relationship Id="rId226" Type="http://schemas.openxmlformats.org/officeDocument/2006/relationships/hyperlink" Target="https://analytics.zoho.com/open-view/2395394000008434853?ZOHO_CRITERIA=%22Televisi%C3%B3n_Pago%22.%22CodRegi%C3%B3n%22%3D4" TargetMode="External"/><Relationship Id="rId433" Type="http://schemas.openxmlformats.org/officeDocument/2006/relationships/hyperlink" Target="https://analytics.zoho.com/open-view/2395394000008741200?ZOHO_CRITERIA=%22Consolidado_Estadisticas_Regionales_New%22.%22C%C3%B3digo%20regi%C3%B3n%22%20%3D%202" TargetMode="External"/><Relationship Id="rId74" Type="http://schemas.openxmlformats.org/officeDocument/2006/relationships/hyperlink" Target="https://app.powerbi.com/view?r=eyJrIjoiZjg1YTE4MDktYzFmNi00YjcyLWFlMWMtM2I5ZjhlOGZiNjM1IiwidCI6IjhmYmFhNWJmLTJlY2MtNGRjOC1iNTZiLThmOTJlMzA3ZjA3NiIsImMiOjR9" TargetMode="External"/><Relationship Id="rId377" Type="http://schemas.openxmlformats.org/officeDocument/2006/relationships/hyperlink" Target="https://app.powerbi.com/view?r=eyJrIjoiZjRhOTM0ODctZjQ3ZS00OTA2LTliZjctNmM3ZWJjODJlNDliIiwidCI6IjhmYmFhNWJmLTJlY2MtNGRjOC1iNTZiLThmOTJlMzA3ZjA3NiIsImMiOjR9" TargetMode="External"/><Relationship Id="rId500" Type="http://schemas.openxmlformats.org/officeDocument/2006/relationships/hyperlink" Target="https://analytics.zoho.com/open-view/2395394000008745260?ZOHO_CRITERIA=%22Consolidado_Estadisticas_Regionales_New%22.%22C%C3%B3digo%20regi%C3%B3n%22%20%3D%202" TargetMode="External"/><Relationship Id="rId584" Type="http://schemas.openxmlformats.org/officeDocument/2006/relationships/hyperlink" Target="https://analytics.zoho.com/open-view/2395394000008742241" TargetMode="External"/><Relationship Id="rId5" Type="http://schemas.openxmlformats.org/officeDocument/2006/relationships/hyperlink" Target="https://analytics.zoho.com/open-view/2395394000008210549" TargetMode="External"/><Relationship Id="rId237" Type="http://schemas.openxmlformats.org/officeDocument/2006/relationships/hyperlink" Target="https://analytics.zoho.com/open-view/2395394000008434853?ZOHO_CRITERIA=%22Televisi%C3%B3n_Pago%22.%22CodRegi%C3%B3n%22%3D15" TargetMode="External"/><Relationship Id="rId444" Type="http://schemas.openxmlformats.org/officeDocument/2006/relationships/hyperlink" Target="https://analytics.zoho.com/open-view/2395394000008492075?ZOHO_CRITERIA=%2216%20Energ%C3%ADas%20Renovables%20y%20No%20Renovables%22.%22Cod_Regi%C3%B3n%22%20%3D%201" TargetMode="External"/><Relationship Id="rId290" Type="http://schemas.openxmlformats.org/officeDocument/2006/relationships/hyperlink" Target="https://analytics.zoho.com/open-view/2395394000008516065?ZOHO_CRITERIA=%222.1%22.%22C%C3%B3digo%20Regi%C3%B3n%22%20%3D%2013" TargetMode="External"/><Relationship Id="rId304" Type="http://schemas.openxmlformats.org/officeDocument/2006/relationships/hyperlink" Target="https://analytics.zoho.com/open-view/2395394000008463332?ZOHO_CRITERIA=%22Uni%C3%B3n%202.11-2.12%22.%22C%C3%B3digo%20Regi%C3%B3n%22%20%3D%209" TargetMode="External"/><Relationship Id="rId388" Type="http://schemas.openxmlformats.org/officeDocument/2006/relationships/hyperlink" Target="https://app.powerbi.com/view?r=eyJrIjoiYzZjMjQ3MWYtNDBjNC00MGU0LThiZjAtZTdhOGFiOWRmY2MyIiwidCI6IjhmYmFhNWJmLTJlY2MtNGRjOC1iNTZiLThmOTJlMzA3ZjA3NiIsImMiOjR9" TargetMode="External"/><Relationship Id="rId511" Type="http://schemas.openxmlformats.org/officeDocument/2006/relationships/hyperlink" Target="https://analytics.zoho.com/open-view/2395394000008745260?ZOHO_CRITERIA=%22Consolidado_Estadisticas_Regionales_New%22.%22C%C3%B3digo%20regi%C3%B3n%22%20%3D%2015" TargetMode="External"/><Relationship Id="rId609" Type="http://schemas.openxmlformats.org/officeDocument/2006/relationships/hyperlink" Target="https://sud-austral.github.io/Pdf2/Layout_Q1_19_20_Dinamica_R10/3074.pdf" TargetMode="External"/><Relationship Id="rId85" Type="http://schemas.openxmlformats.org/officeDocument/2006/relationships/hyperlink" Target="https://analytics.zoho.com/open-view/2395394000008278466" TargetMode="External"/><Relationship Id="rId150" Type="http://schemas.openxmlformats.org/officeDocument/2006/relationships/hyperlink" Target="https://analytics.zoho.com/open-view/2395394000008503085?ZOHO_CRITERIA=%22Pueblos%20Ind%C3%ADgenas%20Edad%22.%22id_Region%22%20%3D%208" TargetMode="External"/><Relationship Id="rId595" Type="http://schemas.openxmlformats.org/officeDocument/2006/relationships/hyperlink" Target="https://mapaglaciares.herokuapp.com/periodo?q=Q1&amp;p=17-18&amp;id=2921" TargetMode="External"/><Relationship Id="rId248" Type="http://schemas.openxmlformats.org/officeDocument/2006/relationships/hyperlink" Target="https://analytics.zoho.com/open-view/2395394000008478071?ZOHO_CRITERIA=%22Localiza%20CL%22.%22Codreg%22%20%3D%206" TargetMode="External"/><Relationship Id="rId455" Type="http://schemas.openxmlformats.org/officeDocument/2006/relationships/hyperlink" Target="https://analytics.zoho.com/open-view/2395394000008478003?ZOHO_CRITERIA=%22Localiza%20CL%22.%22Codreg%22%20%3D%201" TargetMode="External"/><Relationship Id="rId12" Type="http://schemas.openxmlformats.org/officeDocument/2006/relationships/hyperlink" Target="https://analytics.zoho.com/open-view/2395394000007777048" TargetMode="External"/><Relationship Id="rId108" Type="http://schemas.openxmlformats.org/officeDocument/2006/relationships/hyperlink" Target="https://analytics.zoho.com/open-view/2395394000008516593?ZOHO_CRITERIA=%222.1%22.%22C%C3%B3digo%20Regi%C3%B3n%22%20%3D%2012" TargetMode="External"/><Relationship Id="rId315" Type="http://schemas.openxmlformats.org/officeDocument/2006/relationships/hyperlink" Target="https://analytics.zoho.com/open-view/2395394000009046875" TargetMode="External"/><Relationship Id="rId522" Type="http://schemas.openxmlformats.org/officeDocument/2006/relationships/hyperlink" Target="https://analytics.zoho.com/open-view/2395394000008745666?ZOHO_CRITERIA=%22Consolidado_Estadisticas_Regionales_New%22.%22C%C3%B3digo%20regi%C3%B3n%22%20%3D%2011" TargetMode="External"/><Relationship Id="rId96" Type="http://schemas.openxmlformats.org/officeDocument/2006/relationships/hyperlink" Target="https://analytics.zoho.com/open-view/2395394000008410521?ZOHO_CRITERIA=%22Pa%C3%ADs_Todo%22.%22id_TipoProducto%22%3D7" TargetMode="External"/><Relationship Id="rId161" Type="http://schemas.openxmlformats.org/officeDocument/2006/relationships/hyperlink" Target="https://analytics.zoho.com/open-view/2395394000008503207?ZOHO_CRITERIA=%22Pueblos%20Ind%C3%ADgenas%20Edad%22.%22id_Region%22%20%3D%201" TargetMode="External"/><Relationship Id="rId399" Type="http://schemas.openxmlformats.org/officeDocument/2006/relationships/hyperlink" Target="https://public.flourish.studio/visualisation/7125239/" TargetMode="External"/><Relationship Id="rId259" Type="http://schemas.openxmlformats.org/officeDocument/2006/relationships/hyperlink" Target="https://analytics.zoho.com/open-view/2395394000008183474" TargetMode="External"/><Relationship Id="rId466" Type="http://schemas.openxmlformats.org/officeDocument/2006/relationships/hyperlink" Target="https://analytics.zoho.com/open-view/2395394000008492075?ZOHO_CRITERIA=%2216%20Energ%C3%ADas%20Renovables%20y%20No%20Renovables%22.%22Cod_Regi%C3%B3n%22%20%3D%2013" TargetMode="External"/><Relationship Id="rId23" Type="http://schemas.openxmlformats.org/officeDocument/2006/relationships/hyperlink" Target="https://app.powerbi.com/view?r=eyJrIjoiZWNmYzYxNjQtMTQ1OC00MTkwLWFkYTUtYzUwZmM0NWVjN2U2IiwidCI6IjhmYmFhNWJmLTJlY2MtNGRjOC1iNTZiLThmOTJlMzA3ZjA3NiIsImMiOjR9" TargetMode="External"/><Relationship Id="rId119" Type="http://schemas.openxmlformats.org/officeDocument/2006/relationships/hyperlink" Target="https://analytics.zoho.com/open-view/2395394000008435500?ZOHO_CRITERIA=%22Conexi%C3%B3n_Internet_fija%22.%22Codreg%22%3D12" TargetMode="External"/><Relationship Id="rId326" Type="http://schemas.openxmlformats.org/officeDocument/2006/relationships/hyperlink" Target="https://app.powerbi.com/view?r=eyJrIjoiYTU4N2U3YjktZjQ5OS00OGU4LThmYzItNDY4NGYxMzAyNjk2IiwidCI6IjhmYmFhNWJmLTJlY2MtNGRjOC1iNTZiLThmOTJlMzA3ZjA3NiIsImMiOjR9" TargetMode="External"/><Relationship Id="rId533" Type="http://schemas.openxmlformats.org/officeDocument/2006/relationships/hyperlink" Target="https://analytics.zoho.com/open-view/2395394000008516451?ZOHO_CRITERIA=%222.1%22.%22C%C3%B3digo%20Regi%C3%B3n%22%20%3D%2012" TargetMode="External"/><Relationship Id="rId172" Type="http://schemas.openxmlformats.org/officeDocument/2006/relationships/hyperlink" Target="https://analytics.zoho.com/open-view/2395394000008503207?ZOHO_CRITERIA=%22Pueblos%20Ind%C3%ADgenas%20Edad%22.%22id_Region%22%20%3D%2012" TargetMode="External"/><Relationship Id="rId477" Type="http://schemas.openxmlformats.org/officeDocument/2006/relationships/hyperlink" Target="https://analytics.zoho.com/open-view/2395394000008478582?ZOHO_CRITERIA=%2216%20Energ%C3%ADas%20Renovables%20y%20No%20Renovables%22.%22Cod_Regi%C3%B3n%22%20%3D%209" TargetMode="External"/><Relationship Id="rId600" Type="http://schemas.openxmlformats.org/officeDocument/2006/relationships/hyperlink" Target="https://sud-austral.github.io/Pdf2/Layout_Q1_17_18_Dinamica_R10/2923.pdf" TargetMode="External"/><Relationship Id="rId337" Type="http://schemas.openxmlformats.org/officeDocument/2006/relationships/hyperlink" Target="https://app.powerbi.com/view?r=eyJrIjoiNmMzM2ViNTctYzkwMy00MDAwLTg3OGQtM2VhNTkxNmJhNjVjIiwidCI6IjhmYmFhNWJmLTJlY2MtNGRjOC1iNTZiLThmOTJlMzA3ZjA3NiIsImMiOjR9" TargetMode="External"/><Relationship Id="rId34" Type="http://schemas.openxmlformats.org/officeDocument/2006/relationships/hyperlink" Target="https://analytics.zoho.com/open-view/2395394000008229874" TargetMode="External"/><Relationship Id="rId544" Type="http://schemas.openxmlformats.org/officeDocument/2006/relationships/hyperlink" Target="https://analytics.zoho.com/open-view/2395394000009355244" TargetMode="External"/><Relationship Id="rId183" Type="http://schemas.openxmlformats.org/officeDocument/2006/relationships/hyperlink" Target="https://analytics.zoho.com/open-view/2395394000008503341?ZOHO_CRITERIA=%22Pueblos%20Ind%C3%ADgenas%20Edad%22.%22id_Region%22%20%3D%205" TargetMode="External"/><Relationship Id="rId390" Type="http://schemas.openxmlformats.org/officeDocument/2006/relationships/hyperlink" Target="https://app.powerbi.com/view?r=eyJrIjoiM2UzOWE3YjAtYTk5NC00N2FlLTk2YWUtY2VmMGYzMmQxYjdlIiwidCI6IjhmYmFhNWJmLTJlY2MtNGRjOC1iNTZiLThmOTJlMzA3ZjA3NiIsImMiOjR9" TargetMode="External"/><Relationship Id="rId404" Type="http://schemas.openxmlformats.org/officeDocument/2006/relationships/hyperlink" Target="https://public.flourish.studio/visualisation/7125115/" TargetMode="External"/><Relationship Id="rId611" Type="http://schemas.openxmlformats.org/officeDocument/2006/relationships/hyperlink" Target="https://sud-austral.github.io/Pdf2/Layout_Q2_17_18_Dinamica_R10/3074.pdf" TargetMode="External"/><Relationship Id="rId250" Type="http://schemas.openxmlformats.org/officeDocument/2006/relationships/hyperlink" Target="https://analytics.zoho.com/open-view/2395394000008478071?ZOHO_CRITERIA=%22Localiza%20CL%22.%22Codreg%22%20%3D%208" TargetMode="External"/><Relationship Id="rId488" Type="http://schemas.openxmlformats.org/officeDocument/2006/relationships/hyperlink" Target="https://analytics.zoho.com/open-view/2395394000008744885?ZOHO_CRITERIA=%22Consolidado_Estadisticas_Regionales_New%22.%22C%C3%B3digo%20regi%C3%B3n%22%20%3D%205" TargetMode="External"/><Relationship Id="rId45" Type="http://schemas.openxmlformats.org/officeDocument/2006/relationships/hyperlink" Target="https://analytics.zoho.com/open-view/2395394000008195941" TargetMode="External"/><Relationship Id="rId110" Type="http://schemas.openxmlformats.org/officeDocument/2006/relationships/hyperlink" Target="https://analytics.zoho.com/open-view/2395394000008435500?ZOHO_CRITERIA=%22Conexi%C3%B3n_Internet_fija%22.%22Codreg%22%3D2" TargetMode="External"/><Relationship Id="rId348" Type="http://schemas.openxmlformats.org/officeDocument/2006/relationships/hyperlink" Target="https://app.powerbi.com/view?r=eyJrIjoiNjViZWFiZDctY2Y3OC00ZmNlLTliNWEtZGVhYmMxZDJmN2E4IiwidCI6IjhmYmFhNWJmLTJlY2MtNGRjOC1iNTZiLThmOTJlMzA3ZjA3NiIsImMiOjR9" TargetMode="External"/><Relationship Id="rId555" Type="http://schemas.openxmlformats.org/officeDocument/2006/relationships/hyperlink" Target="https://analytics.zoho.com/open-view/2395394000008771662?ZOHO_CRITERIA=%22Localiza%20CL%22.%22Codreg%22%20%3D%2011" TargetMode="External"/><Relationship Id="rId194" Type="http://schemas.openxmlformats.org/officeDocument/2006/relationships/hyperlink" Target="https://analytics.zoho.com/open-view/2395394000008503341?ZOHO_CRITERIA=%22Pueblos%20Ind%C3%ADgenas%20Edad%22.%22id_Region%22%20%3D%2016" TargetMode="External"/><Relationship Id="rId208" Type="http://schemas.openxmlformats.org/officeDocument/2006/relationships/hyperlink" Target="https://analytics.zoho.com/open-view/2395394000008503554?ZOHO_CRITERIA=%22Pueblos%20Ind%C3%ADgenas%20Sexo%22.%22id_Region%22%20%3D%2013" TargetMode="External"/><Relationship Id="rId415" Type="http://schemas.openxmlformats.org/officeDocument/2006/relationships/hyperlink" Target="https://analytics.zoho.com/open-view/2395394000009355612?ZOHO_CRITERIA=%22Consolidado_Estadisticas_Regionales_New%22.%22C%C3%B3digo%20regi%C3%B3n%22%20%3D%201" TargetMode="External"/><Relationship Id="rId622" Type="http://schemas.openxmlformats.org/officeDocument/2006/relationships/printerSettings" Target="../printerSettings/printerSettings1.bin"/><Relationship Id="rId261" Type="http://schemas.openxmlformats.org/officeDocument/2006/relationships/hyperlink" Target="https://analytics.zoho.com/open-view/2395394000008478183?ZOHO_CRITERIA=%22Localiza%20CL%22.%22Codreg%22%20%3D%201" TargetMode="External"/><Relationship Id="rId499" Type="http://schemas.openxmlformats.org/officeDocument/2006/relationships/hyperlink" Target="https://analytics.zoho.com/open-view/2395394000008744885?ZOHO_CRITERIA=%22Consolidado_Estadisticas_Regionales_New%22.%22C%C3%B3digo%20regi%C3%B3n%22%20%3D%2016" TargetMode="External"/><Relationship Id="rId56" Type="http://schemas.openxmlformats.org/officeDocument/2006/relationships/hyperlink" Target="https://analytics.zoho.com/open-view/2395394000007774595" TargetMode="External"/><Relationship Id="rId359" Type="http://schemas.openxmlformats.org/officeDocument/2006/relationships/hyperlink" Target="https://app.powerbi.com/view?r=eyJrIjoiNWEzMTMyZmYtMjA0MS00YjQxLTlhODAtNjY3MTBlOWJiNjg0IiwidCI6IjhmYmFhNWJmLTJlY2MtNGRjOC1iNTZiLThmOTJlMzA3ZjA3NiIsImMiOjR9" TargetMode="External"/><Relationship Id="rId566" Type="http://schemas.openxmlformats.org/officeDocument/2006/relationships/hyperlink" Target="https://analytics.zoho.com/open-view/2395394000008188638" TargetMode="External"/><Relationship Id="rId121" Type="http://schemas.openxmlformats.org/officeDocument/2006/relationships/hyperlink" Target="https://analytics.zoho.com/open-view/2395394000008435500?ZOHO_CRITERIA=%22Conexi%C3%B3n_Internet_fija%22.%22Codreg%22%3D14" TargetMode="External"/><Relationship Id="rId219" Type="http://schemas.openxmlformats.org/officeDocument/2006/relationships/hyperlink" Target="https://analytics.zoho.com/open-view/2395394000008087414" TargetMode="External"/><Relationship Id="rId426" Type="http://schemas.openxmlformats.org/officeDocument/2006/relationships/hyperlink" Target="https://analytics.zoho.com/open-view/2395394000009369252?ZOHO_CRITERIA=%22Consolidado_Estadisticas_Regionales_New%22.%22C%C3%B3digo%20regi%C3%B3n%22%3D1" TargetMode="External"/><Relationship Id="rId67" Type="http://schemas.openxmlformats.org/officeDocument/2006/relationships/hyperlink" Target="https://analytics.zoho.com/open-view/2395394000008049248" TargetMode="External"/><Relationship Id="rId272" Type="http://schemas.openxmlformats.org/officeDocument/2006/relationships/hyperlink" Target="https://analytics.zoho.com/open-view/2395394000008478183?ZOHO_CRITERIA=%22Localiza%20CL%22.%22Codreg%22%20%3D%2012" TargetMode="External"/><Relationship Id="rId577" Type="http://schemas.openxmlformats.org/officeDocument/2006/relationships/hyperlink" Target="https://analytics.zoho.com/open-view/2395394000008741527?ZOHO_CRITERIA=%22Consolidado_Estadisticas_Regionales_New%22.%22C%C3%B3digo%20regi%C3%B3n%22%20%3D%205" TargetMode="External"/><Relationship Id="rId132" Type="http://schemas.openxmlformats.org/officeDocument/2006/relationships/hyperlink" Target="https://analytics.zoho.com/open-view/2395394000008511008?ZOHO_CRITERIA=%22Televisi%C3%B3n_Pago%22.%22CodRegi%C3%B3n%22%3D7" TargetMode="External"/><Relationship Id="rId437" Type="http://schemas.openxmlformats.org/officeDocument/2006/relationships/hyperlink" Target="https://analytics.zoho.com/open-view/2395394000008189059?ZOHO_CRITERIA=%221.1%20Lugar_Salida_Entrada%22.%22C%C3%B3digo%20Regi%C3%B3n%22%3D1"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1128-897E-471D-BA93-5C8CC8936DE1}">
  <dimension ref="A3:E230"/>
  <sheetViews>
    <sheetView showGridLines="0" topLeftCell="A55" workbookViewId="0">
      <selection activeCell="B216" sqref="B216"/>
    </sheetView>
  </sheetViews>
  <sheetFormatPr baseColWidth="10" defaultRowHeight="14.4" x14ac:dyDescent="0.3"/>
  <cols>
    <col min="1" max="1" width="30.88671875" customWidth="1"/>
    <col min="2" max="2" width="46.44140625" bestFit="1" customWidth="1"/>
    <col min="3" max="3" width="45" bestFit="1" customWidth="1"/>
    <col min="4" max="4" width="8.109375" bestFit="1" customWidth="1"/>
    <col min="5" max="5" width="18" bestFit="1" customWidth="1"/>
    <col min="6" max="6" width="18.109375" bestFit="1" customWidth="1"/>
  </cols>
  <sheetData>
    <row r="3" spans="1:5" x14ac:dyDescent="0.3">
      <c r="A3" s="65" t="s">
        <v>1</v>
      </c>
      <c r="B3" s="65" t="s">
        <v>4</v>
      </c>
      <c r="C3" s="65" t="s">
        <v>3</v>
      </c>
      <c r="D3" s="65" t="s">
        <v>5</v>
      </c>
      <c r="E3" t="s">
        <v>583</v>
      </c>
    </row>
    <row r="4" spans="1:5" x14ac:dyDescent="0.3">
      <c r="A4" s="64" t="s">
        <v>400</v>
      </c>
      <c r="B4" s="64" t="s">
        <v>569</v>
      </c>
      <c r="C4" s="64" t="s">
        <v>5164</v>
      </c>
      <c r="D4" s="64" t="s">
        <v>20</v>
      </c>
      <c r="E4" s="82">
        <v>1</v>
      </c>
    </row>
    <row r="5" spans="1:5" x14ac:dyDescent="0.3">
      <c r="A5" s="64" t="s">
        <v>400</v>
      </c>
      <c r="B5" s="64" t="s">
        <v>569</v>
      </c>
      <c r="C5" s="64" t="s">
        <v>5164</v>
      </c>
      <c r="D5" s="64" t="s">
        <v>16</v>
      </c>
      <c r="E5" s="82">
        <v>16</v>
      </c>
    </row>
    <row r="6" spans="1:5" x14ac:dyDescent="0.3">
      <c r="A6" s="64" t="s">
        <v>400</v>
      </c>
      <c r="B6" s="64" t="s">
        <v>569</v>
      </c>
      <c r="C6" s="64" t="s">
        <v>5163</v>
      </c>
      <c r="D6" s="64" t="s">
        <v>20</v>
      </c>
      <c r="E6" s="82">
        <v>1</v>
      </c>
    </row>
    <row r="7" spans="1:5" x14ac:dyDescent="0.3">
      <c r="A7" s="64" t="s">
        <v>400</v>
      </c>
      <c r="B7" s="64" t="s">
        <v>569</v>
      </c>
      <c r="C7" s="64" t="s">
        <v>5163</v>
      </c>
      <c r="D7" s="64" t="s">
        <v>16</v>
      </c>
      <c r="E7" s="82">
        <v>16</v>
      </c>
    </row>
    <row r="8" spans="1:5" x14ac:dyDescent="0.3">
      <c r="A8" s="64" t="s">
        <v>400</v>
      </c>
      <c r="B8" s="64" t="s">
        <v>1840</v>
      </c>
      <c r="C8" s="64"/>
      <c r="D8" s="64"/>
      <c r="E8" s="82">
        <v>34</v>
      </c>
    </row>
    <row r="9" spans="1:5" x14ac:dyDescent="0.3">
      <c r="A9" s="64" t="s">
        <v>400</v>
      </c>
      <c r="B9" s="64" t="s">
        <v>953</v>
      </c>
      <c r="C9" s="64" t="s">
        <v>952</v>
      </c>
      <c r="D9" s="64" t="s">
        <v>20</v>
      </c>
      <c r="E9" s="82">
        <v>3</v>
      </c>
    </row>
    <row r="10" spans="1:5" x14ac:dyDescent="0.3">
      <c r="A10" s="64" t="s">
        <v>400</v>
      </c>
      <c r="B10" s="64" t="s">
        <v>953</v>
      </c>
      <c r="C10" s="64" t="s">
        <v>952</v>
      </c>
      <c r="D10" s="64" t="s">
        <v>16</v>
      </c>
      <c r="E10" s="82">
        <v>16</v>
      </c>
    </row>
    <row r="11" spans="1:5" x14ac:dyDescent="0.3">
      <c r="A11" s="64" t="s">
        <v>400</v>
      </c>
      <c r="B11" s="64" t="s">
        <v>1841</v>
      </c>
      <c r="C11" s="64"/>
      <c r="D11" s="64"/>
      <c r="E11" s="82">
        <v>19</v>
      </c>
    </row>
    <row r="12" spans="1:5" x14ac:dyDescent="0.3">
      <c r="A12" s="64" t="s">
        <v>400</v>
      </c>
      <c r="B12" s="64" t="s">
        <v>1470</v>
      </c>
      <c r="C12" s="64" t="s">
        <v>825</v>
      </c>
      <c r="D12" s="64" t="s">
        <v>20</v>
      </c>
      <c r="E12" s="82">
        <v>1</v>
      </c>
    </row>
    <row r="13" spans="1:5" x14ac:dyDescent="0.3">
      <c r="A13" s="64" t="s">
        <v>400</v>
      </c>
      <c r="B13" s="64" t="s">
        <v>1470</v>
      </c>
      <c r="C13" s="64" t="s">
        <v>1394</v>
      </c>
      <c r="D13" s="64" t="s">
        <v>20</v>
      </c>
      <c r="E13" s="82">
        <v>1</v>
      </c>
    </row>
    <row r="14" spans="1:5" x14ac:dyDescent="0.3">
      <c r="A14" s="64" t="s">
        <v>400</v>
      </c>
      <c r="B14" s="64" t="s">
        <v>1470</v>
      </c>
      <c r="C14" s="64" t="s">
        <v>1396</v>
      </c>
      <c r="D14" s="64" t="s">
        <v>20</v>
      </c>
      <c r="E14" s="82">
        <v>1</v>
      </c>
    </row>
    <row r="15" spans="1:5" x14ac:dyDescent="0.3">
      <c r="A15" s="64" t="s">
        <v>400</v>
      </c>
      <c r="B15" s="64" t="s">
        <v>1470</v>
      </c>
      <c r="C15" s="64" t="s">
        <v>1396</v>
      </c>
      <c r="D15" s="64" t="s">
        <v>16</v>
      </c>
      <c r="E15" s="82">
        <v>16</v>
      </c>
    </row>
    <row r="16" spans="1:5" x14ac:dyDescent="0.3">
      <c r="A16" s="64" t="s">
        <v>400</v>
      </c>
      <c r="B16" s="64" t="s">
        <v>1470</v>
      </c>
      <c r="C16" s="64" t="s">
        <v>1462</v>
      </c>
      <c r="D16" s="64" t="s">
        <v>20</v>
      </c>
      <c r="E16" s="82">
        <v>2</v>
      </c>
    </row>
    <row r="17" spans="1:5" x14ac:dyDescent="0.3">
      <c r="A17" s="64" t="s">
        <v>400</v>
      </c>
      <c r="B17" s="64" t="s">
        <v>1470</v>
      </c>
      <c r="C17" s="64" t="s">
        <v>1462</v>
      </c>
      <c r="D17" s="64" t="s">
        <v>16</v>
      </c>
      <c r="E17" s="82">
        <v>32</v>
      </c>
    </row>
    <row r="18" spans="1:5" x14ac:dyDescent="0.3">
      <c r="A18" s="64" t="s">
        <v>400</v>
      </c>
      <c r="B18" s="64" t="s">
        <v>1470</v>
      </c>
      <c r="C18" s="64" t="s">
        <v>1466</v>
      </c>
      <c r="D18" s="64" t="s">
        <v>20</v>
      </c>
      <c r="E18" s="82">
        <v>1</v>
      </c>
    </row>
    <row r="19" spans="1:5" x14ac:dyDescent="0.3">
      <c r="A19" s="64" t="s">
        <v>400</v>
      </c>
      <c r="B19" s="64" t="s">
        <v>1470</v>
      </c>
      <c r="C19" s="64" t="s">
        <v>1466</v>
      </c>
      <c r="D19" s="64" t="s">
        <v>16</v>
      </c>
      <c r="E19" s="82">
        <v>16</v>
      </c>
    </row>
    <row r="20" spans="1:5" x14ac:dyDescent="0.3">
      <c r="A20" s="64" t="s">
        <v>400</v>
      </c>
      <c r="B20" s="64" t="s">
        <v>1470</v>
      </c>
      <c r="C20" s="64" t="s">
        <v>1471</v>
      </c>
      <c r="D20" s="64" t="s">
        <v>20</v>
      </c>
      <c r="E20" s="82">
        <v>1</v>
      </c>
    </row>
    <row r="21" spans="1:5" x14ac:dyDescent="0.3">
      <c r="A21" s="64" t="s">
        <v>400</v>
      </c>
      <c r="B21" s="64" t="s">
        <v>1470</v>
      </c>
      <c r="C21" s="64" t="s">
        <v>1471</v>
      </c>
      <c r="D21" s="64" t="s">
        <v>16</v>
      </c>
      <c r="E21" s="82">
        <v>16</v>
      </c>
    </row>
    <row r="22" spans="1:5" x14ac:dyDescent="0.3">
      <c r="A22" s="64" t="s">
        <v>400</v>
      </c>
      <c r="B22" s="64" t="s">
        <v>1470</v>
      </c>
      <c r="C22" s="64" t="s">
        <v>1508</v>
      </c>
      <c r="D22" s="64" t="s">
        <v>20</v>
      </c>
      <c r="E22" s="82">
        <v>1</v>
      </c>
    </row>
    <row r="23" spans="1:5" x14ac:dyDescent="0.3">
      <c r="A23" s="64" t="s">
        <v>400</v>
      </c>
      <c r="B23" s="64" t="s">
        <v>1470</v>
      </c>
      <c r="C23" s="64" t="s">
        <v>1508</v>
      </c>
      <c r="D23" s="64" t="s">
        <v>16</v>
      </c>
      <c r="E23" s="82">
        <v>16</v>
      </c>
    </row>
    <row r="24" spans="1:5" x14ac:dyDescent="0.3">
      <c r="A24" s="64" t="s">
        <v>400</v>
      </c>
      <c r="B24" s="64" t="s">
        <v>1470</v>
      </c>
      <c r="C24" s="64" t="s">
        <v>1509</v>
      </c>
      <c r="D24" s="64" t="s">
        <v>20</v>
      </c>
      <c r="E24" s="82">
        <v>1</v>
      </c>
    </row>
    <row r="25" spans="1:5" x14ac:dyDescent="0.3">
      <c r="A25" s="64" t="s">
        <v>400</v>
      </c>
      <c r="B25" s="64" t="s">
        <v>1470</v>
      </c>
      <c r="C25" s="64" t="s">
        <v>1509</v>
      </c>
      <c r="D25" s="64" t="s">
        <v>16</v>
      </c>
      <c r="E25" s="82">
        <v>16</v>
      </c>
    </row>
    <row r="26" spans="1:5" x14ac:dyDescent="0.3">
      <c r="A26" s="64" t="s">
        <v>400</v>
      </c>
      <c r="B26" s="64" t="s">
        <v>1470</v>
      </c>
      <c r="C26" s="64" t="s">
        <v>824</v>
      </c>
      <c r="D26" s="64" t="s">
        <v>20</v>
      </c>
      <c r="E26" s="82">
        <v>1</v>
      </c>
    </row>
    <row r="27" spans="1:5" x14ac:dyDescent="0.3">
      <c r="A27" s="64" t="s">
        <v>400</v>
      </c>
      <c r="B27" s="64" t="s">
        <v>1470</v>
      </c>
      <c r="C27" s="64" t="s">
        <v>824</v>
      </c>
      <c r="D27" s="64" t="s">
        <v>16</v>
      </c>
      <c r="E27" s="82">
        <v>16</v>
      </c>
    </row>
    <row r="28" spans="1:5" x14ac:dyDescent="0.3">
      <c r="A28" s="64" t="s">
        <v>400</v>
      </c>
      <c r="B28" s="64" t="s">
        <v>1842</v>
      </c>
      <c r="C28" s="64"/>
      <c r="D28" s="64"/>
      <c r="E28" s="82">
        <v>138</v>
      </c>
    </row>
    <row r="29" spans="1:5" x14ac:dyDescent="0.3">
      <c r="A29" s="64" t="s">
        <v>400</v>
      </c>
      <c r="B29" s="64" t="s">
        <v>1500</v>
      </c>
      <c r="C29" s="64" t="s">
        <v>1504</v>
      </c>
      <c r="D29" s="64" t="s">
        <v>20</v>
      </c>
      <c r="E29" s="82">
        <v>1</v>
      </c>
    </row>
    <row r="30" spans="1:5" x14ac:dyDescent="0.3">
      <c r="A30" s="64" t="s">
        <v>400</v>
      </c>
      <c r="B30" s="64" t="s">
        <v>1500</v>
      </c>
      <c r="C30" s="64" t="s">
        <v>1504</v>
      </c>
      <c r="D30" s="64" t="s">
        <v>16</v>
      </c>
      <c r="E30" s="82">
        <v>16</v>
      </c>
    </row>
    <row r="31" spans="1:5" x14ac:dyDescent="0.3">
      <c r="A31" s="64" t="s">
        <v>400</v>
      </c>
      <c r="B31" s="64" t="s">
        <v>1500</v>
      </c>
      <c r="C31" s="64" t="s">
        <v>1505</v>
      </c>
      <c r="D31" s="64" t="s">
        <v>20</v>
      </c>
      <c r="E31" s="82">
        <v>1</v>
      </c>
    </row>
    <row r="32" spans="1:5" x14ac:dyDescent="0.3">
      <c r="A32" s="64" t="s">
        <v>400</v>
      </c>
      <c r="B32" s="64" t="s">
        <v>1500</v>
      </c>
      <c r="C32" s="64" t="s">
        <v>1505</v>
      </c>
      <c r="D32" s="64" t="s">
        <v>16</v>
      </c>
      <c r="E32" s="82">
        <v>16</v>
      </c>
    </row>
    <row r="33" spans="1:5" x14ac:dyDescent="0.3">
      <c r="A33" s="64" t="s">
        <v>400</v>
      </c>
      <c r="B33" s="64" t="s">
        <v>1843</v>
      </c>
      <c r="C33" s="64"/>
      <c r="D33" s="64"/>
      <c r="E33" s="82">
        <v>34</v>
      </c>
    </row>
    <row r="34" spans="1:5" x14ac:dyDescent="0.3">
      <c r="A34" s="64" t="s">
        <v>400</v>
      </c>
      <c r="B34" s="64" t="s">
        <v>1876</v>
      </c>
      <c r="C34" s="64" t="s">
        <v>1838</v>
      </c>
      <c r="D34" s="64" t="s">
        <v>20</v>
      </c>
      <c r="E34" s="82">
        <v>1</v>
      </c>
    </row>
    <row r="35" spans="1:5" x14ac:dyDescent="0.3">
      <c r="A35" s="64" t="s">
        <v>400</v>
      </c>
      <c r="B35" s="64" t="s">
        <v>1876</v>
      </c>
      <c r="C35" s="64" t="s">
        <v>1838</v>
      </c>
      <c r="D35" s="64" t="s">
        <v>16</v>
      </c>
      <c r="E35" s="82">
        <v>16</v>
      </c>
    </row>
    <row r="36" spans="1:5" x14ac:dyDescent="0.3">
      <c r="A36" s="64" t="s">
        <v>400</v>
      </c>
      <c r="B36" s="64" t="s">
        <v>1876</v>
      </c>
      <c r="C36" s="64" t="s">
        <v>1839</v>
      </c>
      <c r="D36" s="64" t="s">
        <v>20</v>
      </c>
      <c r="E36" s="82">
        <v>1</v>
      </c>
    </row>
    <row r="37" spans="1:5" x14ac:dyDescent="0.3">
      <c r="A37" s="64" t="s">
        <v>400</v>
      </c>
      <c r="B37" s="64" t="s">
        <v>1876</v>
      </c>
      <c r="C37" s="64" t="s">
        <v>1837</v>
      </c>
      <c r="D37" s="64" t="s">
        <v>20</v>
      </c>
      <c r="E37" s="82">
        <v>1</v>
      </c>
    </row>
    <row r="38" spans="1:5" x14ac:dyDescent="0.3">
      <c r="A38" s="64" t="s">
        <v>400</v>
      </c>
      <c r="B38" s="64" t="s">
        <v>1876</v>
      </c>
      <c r="C38" s="64" t="s">
        <v>1837</v>
      </c>
      <c r="D38" s="64" t="s">
        <v>16</v>
      </c>
      <c r="E38" s="82">
        <v>16</v>
      </c>
    </row>
    <row r="39" spans="1:5" x14ac:dyDescent="0.3">
      <c r="A39" s="64" t="s">
        <v>400</v>
      </c>
      <c r="B39" s="64" t="s">
        <v>1886</v>
      </c>
      <c r="C39" s="64"/>
      <c r="D39" s="64"/>
      <c r="E39" s="82">
        <v>35</v>
      </c>
    </row>
    <row r="40" spans="1:5" x14ac:dyDescent="0.3">
      <c r="A40" s="64" t="s">
        <v>400</v>
      </c>
      <c r="B40" s="64" t="s">
        <v>1877</v>
      </c>
      <c r="C40" s="64" t="s">
        <v>460</v>
      </c>
      <c r="D40" s="64" t="s">
        <v>20</v>
      </c>
      <c r="E40" s="82">
        <v>1</v>
      </c>
    </row>
    <row r="41" spans="1:5" x14ac:dyDescent="0.3">
      <c r="A41" s="64" t="s">
        <v>400</v>
      </c>
      <c r="B41" s="64" t="s">
        <v>1877</v>
      </c>
      <c r="C41" s="64" t="s">
        <v>460</v>
      </c>
      <c r="D41" s="64" t="s">
        <v>16</v>
      </c>
      <c r="E41" s="82">
        <v>16</v>
      </c>
    </row>
    <row r="42" spans="1:5" x14ac:dyDescent="0.3">
      <c r="A42" s="64" t="s">
        <v>400</v>
      </c>
      <c r="B42" s="64" t="s">
        <v>1877</v>
      </c>
      <c r="C42" s="64" t="s">
        <v>577</v>
      </c>
      <c r="D42" s="64" t="s">
        <v>20</v>
      </c>
      <c r="E42" s="82">
        <v>1</v>
      </c>
    </row>
    <row r="43" spans="1:5" x14ac:dyDescent="0.3">
      <c r="A43" s="64" t="s">
        <v>400</v>
      </c>
      <c r="B43" s="64" t="s">
        <v>1877</v>
      </c>
      <c r="C43" s="64" t="s">
        <v>577</v>
      </c>
      <c r="D43" s="64" t="s">
        <v>16</v>
      </c>
      <c r="E43" s="82">
        <v>16</v>
      </c>
    </row>
    <row r="44" spans="1:5" x14ac:dyDescent="0.3">
      <c r="A44" s="64" t="s">
        <v>400</v>
      </c>
      <c r="B44" s="64" t="s">
        <v>1877</v>
      </c>
      <c r="C44" s="64" t="s">
        <v>786</v>
      </c>
      <c r="D44" s="64" t="s">
        <v>20</v>
      </c>
      <c r="E44" s="82">
        <v>3</v>
      </c>
    </row>
    <row r="45" spans="1:5" x14ac:dyDescent="0.3">
      <c r="A45" s="64" t="s">
        <v>400</v>
      </c>
      <c r="B45" s="64" t="s">
        <v>1877</v>
      </c>
      <c r="C45" s="64" t="s">
        <v>786</v>
      </c>
      <c r="D45" s="64" t="s">
        <v>16</v>
      </c>
      <c r="E45" s="82">
        <v>32</v>
      </c>
    </row>
    <row r="46" spans="1:5" x14ac:dyDescent="0.3">
      <c r="A46" s="64" t="s">
        <v>400</v>
      </c>
      <c r="B46" s="64" t="s">
        <v>1877</v>
      </c>
      <c r="C46" s="64" t="s">
        <v>829</v>
      </c>
      <c r="D46" s="64" t="s">
        <v>20</v>
      </c>
      <c r="E46" s="82">
        <v>4</v>
      </c>
    </row>
    <row r="47" spans="1:5" x14ac:dyDescent="0.3">
      <c r="A47" s="64" t="s">
        <v>400</v>
      </c>
      <c r="B47" s="64" t="s">
        <v>1877</v>
      </c>
      <c r="C47" s="64" t="s">
        <v>845</v>
      </c>
      <c r="D47" s="64" t="s">
        <v>20</v>
      </c>
      <c r="E47" s="82">
        <v>1</v>
      </c>
    </row>
    <row r="48" spans="1:5" x14ac:dyDescent="0.3">
      <c r="A48" s="64" t="s">
        <v>400</v>
      </c>
      <c r="B48" s="64" t="s">
        <v>1877</v>
      </c>
      <c r="C48" s="64" t="s">
        <v>845</v>
      </c>
      <c r="D48" s="64" t="s">
        <v>16</v>
      </c>
      <c r="E48" s="82">
        <v>16</v>
      </c>
    </row>
    <row r="49" spans="1:5" x14ac:dyDescent="0.3">
      <c r="A49" s="64" t="s">
        <v>400</v>
      </c>
      <c r="B49" s="64" t="s">
        <v>1877</v>
      </c>
      <c r="C49" s="64" t="s">
        <v>1431</v>
      </c>
      <c r="D49" s="64" t="s">
        <v>20</v>
      </c>
      <c r="E49" s="82">
        <v>4</v>
      </c>
    </row>
    <row r="50" spans="1:5" x14ac:dyDescent="0.3">
      <c r="A50" s="64" t="s">
        <v>400</v>
      </c>
      <c r="B50" s="64" t="s">
        <v>1877</v>
      </c>
      <c r="C50" s="64" t="s">
        <v>1431</v>
      </c>
      <c r="D50" s="64" t="s">
        <v>16</v>
      </c>
      <c r="E50" s="82">
        <v>32</v>
      </c>
    </row>
    <row r="51" spans="1:5" x14ac:dyDescent="0.3">
      <c r="A51" s="64" t="s">
        <v>400</v>
      </c>
      <c r="B51" s="64" t="s">
        <v>1887</v>
      </c>
      <c r="C51" s="64"/>
      <c r="D51" s="64"/>
      <c r="E51" s="82">
        <v>126</v>
      </c>
    </row>
    <row r="52" spans="1:5" x14ac:dyDescent="0.3">
      <c r="A52" s="64" t="s">
        <v>400</v>
      </c>
      <c r="B52" s="64" t="s">
        <v>1878</v>
      </c>
      <c r="C52" s="64" t="s">
        <v>572</v>
      </c>
      <c r="D52" s="64" t="s">
        <v>20</v>
      </c>
      <c r="E52" s="82">
        <v>5</v>
      </c>
    </row>
    <row r="53" spans="1:5" x14ac:dyDescent="0.3">
      <c r="A53" s="64" t="s">
        <v>400</v>
      </c>
      <c r="B53" s="64" t="s">
        <v>1878</v>
      </c>
      <c r="C53" s="64" t="s">
        <v>572</v>
      </c>
      <c r="D53" s="64" t="s">
        <v>16</v>
      </c>
      <c r="E53" s="82">
        <v>29</v>
      </c>
    </row>
    <row r="54" spans="1:5" x14ac:dyDescent="0.3">
      <c r="A54" s="64" t="s">
        <v>400</v>
      </c>
      <c r="B54" s="64" t="s">
        <v>1878</v>
      </c>
      <c r="C54" s="64" t="s">
        <v>598</v>
      </c>
      <c r="D54" s="64" t="s">
        <v>20</v>
      </c>
      <c r="E54" s="82">
        <v>2</v>
      </c>
    </row>
    <row r="55" spans="1:5" x14ac:dyDescent="0.3">
      <c r="A55" s="64" t="s">
        <v>400</v>
      </c>
      <c r="B55" s="64" t="s">
        <v>1878</v>
      </c>
      <c r="C55" s="64" t="s">
        <v>598</v>
      </c>
      <c r="D55" s="64" t="s">
        <v>16</v>
      </c>
      <c r="E55" s="82">
        <v>18</v>
      </c>
    </row>
    <row r="56" spans="1:5" x14ac:dyDescent="0.3">
      <c r="A56" s="64" t="s">
        <v>400</v>
      </c>
      <c r="B56" s="64" t="s">
        <v>1878</v>
      </c>
      <c r="C56" s="64" t="s">
        <v>795</v>
      </c>
      <c r="D56" s="64" t="s">
        <v>20</v>
      </c>
      <c r="E56" s="82">
        <v>2</v>
      </c>
    </row>
    <row r="57" spans="1:5" x14ac:dyDescent="0.3">
      <c r="A57" s="64" t="s">
        <v>400</v>
      </c>
      <c r="B57" s="64" t="s">
        <v>1878</v>
      </c>
      <c r="C57" s="64" t="s">
        <v>795</v>
      </c>
      <c r="D57" s="64" t="s">
        <v>16</v>
      </c>
      <c r="E57" s="82">
        <v>10</v>
      </c>
    </row>
    <row r="58" spans="1:5" x14ac:dyDescent="0.3">
      <c r="A58" s="64" t="s">
        <v>400</v>
      </c>
      <c r="B58" s="64" t="s">
        <v>1878</v>
      </c>
      <c r="C58" s="64" t="s">
        <v>813</v>
      </c>
      <c r="D58" s="64" t="s">
        <v>20</v>
      </c>
      <c r="E58" s="82">
        <v>1</v>
      </c>
    </row>
    <row r="59" spans="1:5" x14ac:dyDescent="0.3">
      <c r="A59" s="64" t="s">
        <v>400</v>
      </c>
      <c r="B59" s="64" t="s">
        <v>1878</v>
      </c>
      <c r="C59" s="64" t="s">
        <v>813</v>
      </c>
      <c r="D59" s="64" t="s">
        <v>16</v>
      </c>
      <c r="E59" s="82">
        <v>10</v>
      </c>
    </row>
    <row r="60" spans="1:5" x14ac:dyDescent="0.3">
      <c r="A60" s="64" t="s">
        <v>400</v>
      </c>
      <c r="B60" s="64" t="s">
        <v>1878</v>
      </c>
      <c r="C60" s="64" t="s">
        <v>940</v>
      </c>
      <c r="D60" s="64" t="s">
        <v>20</v>
      </c>
      <c r="E60" s="82">
        <v>2</v>
      </c>
    </row>
    <row r="61" spans="1:5" x14ac:dyDescent="0.3">
      <c r="A61" s="64" t="s">
        <v>400</v>
      </c>
      <c r="B61" s="64" t="s">
        <v>1888</v>
      </c>
      <c r="C61" s="64"/>
      <c r="D61" s="64"/>
      <c r="E61" s="82">
        <v>79</v>
      </c>
    </row>
    <row r="62" spans="1:5" x14ac:dyDescent="0.3">
      <c r="A62" s="64" t="s">
        <v>400</v>
      </c>
      <c r="B62" s="64" t="s">
        <v>1879</v>
      </c>
      <c r="C62" s="64" t="s">
        <v>4288</v>
      </c>
      <c r="D62" s="64" t="s">
        <v>20</v>
      </c>
      <c r="E62" s="82">
        <v>1</v>
      </c>
    </row>
    <row r="63" spans="1:5" x14ac:dyDescent="0.3">
      <c r="A63" s="64" t="s">
        <v>400</v>
      </c>
      <c r="B63" s="64" t="s">
        <v>1879</v>
      </c>
      <c r="C63" s="64" t="s">
        <v>4288</v>
      </c>
      <c r="D63" s="64" t="s">
        <v>16</v>
      </c>
      <c r="E63" s="82">
        <v>16</v>
      </c>
    </row>
    <row r="64" spans="1:5" x14ac:dyDescent="0.3">
      <c r="A64" s="64" t="s">
        <v>400</v>
      </c>
      <c r="B64" s="64" t="s">
        <v>1879</v>
      </c>
      <c r="C64" s="64" t="s">
        <v>4284</v>
      </c>
      <c r="D64" s="64" t="s">
        <v>20</v>
      </c>
      <c r="E64" s="82">
        <v>1</v>
      </c>
    </row>
    <row r="65" spans="1:5" x14ac:dyDescent="0.3">
      <c r="A65" s="64" t="s">
        <v>400</v>
      </c>
      <c r="B65" s="64" t="s">
        <v>1879</v>
      </c>
      <c r="C65" s="64" t="s">
        <v>4284</v>
      </c>
      <c r="D65" s="64" t="s">
        <v>16</v>
      </c>
      <c r="E65" s="82">
        <v>16</v>
      </c>
    </row>
    <row r="66" spans="1:5" x14ac:dyDescent="0.3">
      <c r="A66" s="64" t="s">
        <v>400</v>
      </c>
      <c r="B66" s="64" t="s">
        <v>1879</v>
      </c>
      <c r="C66" s="64" t="s">
        <v>4285</v>
      </c>
      <c r="D66" s="64" t="s">
        <v>20</v>
      </c>
      <c r="E66" s="82">
        <v>1</v>
      </c>
    </row>
    <row r="67" spans="1:5" x14ac:dyDescent="0.3">
      <c r="A67" s="64" t="s">
        <v>400</v>
      </c>
      <c r="B67" s="64" t="s">
        <v>1879</v>
      </c>
      <c r="C67" s="64" t="s">
        <v>4285</v>
      </c>
      <c r="D67" s="64" t="s">
        <v>16</v>
      </c>
      <c r="E67" s="82">
        <v>16</v>
      </c>
    </row>
    <row r="68" spans="1:5" x14ac:dyDescent="0.3">
      <c r="A68" s="64" t="s">
        <v>400</v>
      </c>
      <c r="B68" s="64" t="s">
        <v>1879</v>
      </c>
      <c r="C68" s="64" t="s">
        <v>4286</v>
      </c>
      <c r="D68" s="64" t="s">
        <v>20</v>
      </c>
      <c r="E68" s="82">
        <v>1</v>
      </c>
    </row>
    <row r="69" spans="1:5" x14ac:dyDescent="0.3">
      <c r="A69" s="64" t="s">
        <v>400</v>
      </c>
      <c r="B69" s="64" t="s">
        <v>1879</v>
      </c>
      <c r="C69" s="64" t="s">
        <v>4286</v>
      </c>
      <c r="D69" s="64" t="s">
        <v>16</v>
      </c>
      <c r="E69" s="82">
        <v>16</v>
      </c>
    </row>
    <row r="70" spans="1:5" x14ac:dyDescent="0.3">
      <c r="A70" s="64" t="s">
        <v>400</v>
      </c>
      <c r="B70" s="64" t="s">
        <v>1889</v>
      </c>
      <c r="C70" s="64"/>
      <c r="D70" s="64"/>
      <c r="E70" s="82">
        <v>68</v>
      </c>
    </row>
    <row r="71" spans="1:5" x14ac:dyDescent="0.3">
      <c r="A71" s="64" t="s">
        <v>400</v>
      </c>
      <c r="B71" s="64" t="s">
        <v>1880</v>
      </c>
      <c r="C71" s="64" t="s">
        <v>815</v>
      </c>
      <c r="D71" s="64" t="s">
        <v>20</v>
      </c>
      <c r="E71" s="82">
        <v>2</v>
      </c>
    </row>
    <row r="72" spans="1:5" x14ac:dyDescent="0.3">
      <c r="A72" s="64" t="s">
        <v>400</v>
      </c>
      <c r="B72" s="64" t="s">
        <v>1890</v>
      </c>
      <c r="C72" s="64"/>
      <c r="D72" s="64"/>
      <c r="E72" s="82">
        <v>2</v>
      </c>
    </row>
    <row r="73" spans="1:5" x14ac:dyDescent="0.3">
      <c r="A73" s="64" t="s">
        <v>400</v>
      </c>
      <c r="B73" s="64" t="s">
        <v>866</v>
      </c>
      <c r="C73" s="64" t="s">
        <v>1418</v>
      </c>
      <c r="D73" s="64" t="s">
        <v>20</v>
      </c>
      <c r="E73" s="82">
        <v>3</v>
      </c>
    </row>
    <row r="74" spans="1:5" x14ac:dyDescent="0.3">
      <c r="A74" s="64" t="s">
        <v>400</v>
      </c>
      <c r="B74" s="64" t="s">
        <v>866</v>
      </c>
      <c r="C74" s="64" t="s">
        <v>1418</v>
      </c>
      <c r="D74" s="64" t="s">
        <v>16</v>
      </c>
      <c r="E74" s="82">
        <v>32</v>
      </c>
    </row>
    <row r="75" spans="1:5" x14ac:dyDescent="0.3">
      <c r="A75" s="64" t="s">
        <v>400</v>
      </c>
      <c r="B75" s="64" t="s">
        <v>866</v>
      </c>
      <c r="C75" s="64" t="s">
        <v>2135</v>
      </c>
      <c r="D75" s="64" t="s">
        <v>20</v>
      </c>
      <c r="E75" s="82">
        <v>1</v>
      </c>
    </row>
    <row r="76" spans="1:5" x14ac:dyDescent="0.3">
      <c r="A76" s="64" t="s">
        <v>400</v>
      </c>
      <c r="B76" s="64" t="s">
        <v>866</v>
      </c>
      <c r="C76" s="64" t="s">
        <v>2135</v>
      </c>
      <c r="D76" s="64" t="s">
        <v>16</v>
      </c>
      <c r="E76" s="82">
        <v>16</v>
      </c>
    </row>
    <row r="77" spans="1:5" x14ac:dyDescent="0.3">
      <c r="A77" s="64" t="s">
        <v>400</v>
      </c>
      <c r="B77" s="64" t="s">
        <v>866</v>
      </c>
      <c r="C77" s="64" t="s">
        <v>2987</v>
      </c>
      <c r="D77" s="64" t="s">
        <v>20</v>
      </c>
      <c r="E77" s="82">
        <v>1</v>
      </c>
    </row>
    <row r="78" spans="1:5" x14ac:dyDescent="0.3">
      <c r="A78" s="64" t="s">
        <v>400</v>
      </c>
      <c r="B78" s="64" t="s">
        <v>866</v>
      </c>
      <c r="C78" s="64" t="s">
        <v>2986</v>
      </c>
      <c r="D78" s="64" t="s">
        <v>20</v>
      </c>
      <c r="E78" s="82">
        <v>1</v>
      </c>
    </row>
    <row r="79" spans="1:5" x14ac:dyDescent="0.3">
      <c r="A79" s="64" t="s">
        <v>400</v>
      </c>
      <c r="B79" s="64" t="s">
        <v>1891</v>
      </c>
      <c r="C79" s="64"/>
      <c r="D79" s="64"/>
      <c r="E79" s="82">
        <v>54</v>
      </c>
    </row>
    <row r="80" spans="1:5" x14ac:dyDescent="0.3">
      <c r="A80" s="64" t="s">
        <v>400</v>
      </c>
      <c r="B80" s="64" t="s">
        <v>1881</v>
      </c>
      <c r="C80" s="64" t="s">
        <v>6969</v>
      </c>
      <c r="D80" s="64" t="s">
        <v>16</v>
      </c>
      <c r="E80" s="82">
        <v>24</v>
      </c>
    </row>
    <row r="81" spans="1:5" x14ac:dyDescent="0.3">
      <c r="A81" s="64" t="s">
        <v>400</v>
      </c>
      <c r="B81" s="64" t="s">
        <v>1881</v>
      </c>
      <c r="C81" s="64" t="s">
        <v>7001</v>
      </c>
      <c r="D81" s="64" t="s">
        <v>16</v>
      </c>
      <c r="E81" s="82">
        <v>3</v>
      </c>
    </row>
    <row r="82" spans="1:5" x14ac:dyDescent="0.3">
      <c r="A82" s="64" t="s">
        <v>400</v>
      </c>
      <c r="B82" s="64" t="s">
        <v>1881</v>
      </c>
      <c r="C82" s="64" t="s">
        <v>7009</v>
      </c>
      <c r="D82" s="64" t="s">
        <v>16</v>
      </c>
      <c r="E82" s="82">
        <v>18</v>
      </c>
    </row>
    <row r="83" spans="1:5" x14ac:dyDescent="0.3">
      <c r="A83" s="64" t="s">
        <v>400</v>
      </c>
      <c r="B83" s="64" t="s">
        <v>1881</v>
      </c>
      <c r="C83" s="64" t="s">
        <v>7016</v>
      </c>
      <c r="D83" s="64" t="s">
        <v>16</v>
      </c>
      <c r="E83" s="82">
        <v>9</v>
      </c>
    </row>
    <row r="84" spans="1:5" x14ac:dyDescent="0.3">
      <c r="A84" s="64" t="s">
        <v>400</v>
      </c>
      <c r="B84" s="64" t="s">
        <v>1892</v>
      </c>
      <c r="C84" s="64"/>
      <c r="D84" s="64"/>
      <c r="E84" s="82">
        <v>54</v>
      </c>
    </row>
    <row r="85" spans="1:5" x14ac:dyDescent="0.3">
      <c r="A85" s="64" t="s">
        <v>400</v>
      </c>
      <c r="B85" s="64" t="s">
        <v>1882</v>
      </c>
      <c r="C85" s="64" t="s">
        <v>1371</v>
      </c>
      <c r="D85" s="64" t="s">
        <v>20</v>
      </c>
      <c r="E85" s="82">
        <v>1</v>
      </c>
    </row>
    <row r="86" spans="1:5" x14ac:dyDescent="0.3">
      <c r="A86" s="64" t="s">
        <v>400</v>
      </c>
      <c r="B86" s="64" t="s">
        <v>1882</v>
      </c>
      <c r="C86" s="64" t="s">
        <v>1371</v>
      </c>
      <c r="D86" s="64" t="s">
        <v>16</v>
      </c>
      <c r="E86" s="82">
        <v>16</v>
      </c>
    </row>
    <row r="87" spans="1:5" x14ac:dyDescent="0.3">
      <c r="A87" s="64" t="s">
        <v>400</v>
      </c>
      <c r="B87" s="64" t="s">
        <v>1882</v>
      </c>
      <c r="C87" s="64" t="s">
        <v>1374</v>
      </c>
      <c r="D87" s="64" t="s">
        <v>20</v>
      </c>
      <c r="E87" s="82">
        <v>1</v>
      </c>
    </row>
    <row r="88" spans="1:5" x14ac:dyDescent="0.3">
      <c r="A88" s="64" t="s">
        <v>400</v>
      </c>
      <c r="B88" s="64" t="s">
        <v>1882</v>
      </c>
      <c r="C88" s="64" t="s">
        <v>1374</v>
      </c>
      <c r="D88" s="64" t="s">
        <v>16</v>
      </c>
      <c r="E88" s="82">
        <v>16</v>
      </c>
    </row>
    <row r="89" spans="1:5" x14ac:dyDescent="0.3">
      <c r="A89" s="64" t="s">
        <v>400</v>
      </c>
      <c r="B89" s="64" t="s">
        <v>1893</v>
      </c>
      <c r="C89" s="64"/>
      <c r="D89" s="64"/>
      <c r="E89" s="82">
        <v>34</v>
      </c>
    </row>
    <row r="90" spans="1:5" x14ac:dyDescent="0.3">
      <c r="A90" s="64" t="s">
        <v>400</v>
      </c>
      <c r="B90" s="64" t="s">
        <v>1885</v>
      </c>
      <c r="C90" s="64" t="s">
        <v>5151</v>
      </c>
      <c r="D90" s="64" t="s">
        <v>20</v>
      </c>
      <c r="E90" s="82">
        <v>1</v>
      </c>
    </row>
    <row r="91" spans="1:5" x14ac:dyDescent="0.3">
      <c r="A91" s="64" t="s">
        <v>400</v>
      </c>
      <c r="B91" s="64" t="s">
        <v>1885</v>
      </c>
      <c r="C91" s="64" t="s">
        <v>4287</v>
      </c>
      <c r="D91" s="64" t="s">
        <v>20</v>
      </c>
      <c r="E91" s="82">
        <v>1</v>
      </c>
    </row>
    <row r="92" spans="1:5" x14ac:dyDescent="0.3">
      <c r="A92" s="64" t="s">
        <v>400</v>
      </c>
      <c r="B92" s="64" t="s">
        <v>1885</v>
      </c>
      <c r="C92" s="64" t="s">
        <v>4287</v>
      </c>
      <c r="D92" s="64" t="s">
        <v>16</v>
      </c>
      <c r="E92" s="82">
        <v>16</v>
      </c>
    </row>
    <row r="93" spans="1:5" x14ac:dyDescent="0.3">
      <c r="A93" s="64" t="s">
        <v>400</v>
      </c>
      <c r="B93" s="64" t="s">
        <v>1894</v>
      </c>
      <c r="C93" s="64"/>
      <c r="D93" s="64"/>
      <c r="E93" s="82">
        <v>18</v>
      </c>
    </row>
    <row r="94" spans="1:5" x14ac:dyDescent="0.3">
      <c r="A94" s="64" t="s">
        <v>400</v>
      </c>
      <c r="B94" s="64" t="s">
        <v>1883</v>
      </c>
      <c r="C94" s="64" t="s">
        <v>5152</v>
      </c>
      <c r="D94" s="64" t="s">
        <v>20</v>
      </c>
      <c r="E94" s="82">
        <v>7</v>
      </c>
    </row>
    <row r="95" spans="1:5" x14ac:dyDescent="0.3">
      <c r="A95" s="64" t="s">
        <v>400</v>
      </c>
      <c r="B95" s="64" t="s">
        <v>1883</v>
      </c>
      <c r="C95" s="64" t="s">
        <v>5153</v>
      </c>
      <c r="D95" s="64" t="s">
        <v>20</v>
      </c>
      <c r="E95" s="82">
        <v>1</v>
      </c>
    </row>
    <row r="96" spans="1:5" x14ac:dyDescent="0.3">
      <c r="A96" s="64" t="s">
        <v>400</v>
      </c>
      <c r="B96" s="64" t="s">
        <v>1883</v>
      </c>
      <c r="C96" s="64" t="s">
        <v>5154</v>
      </c>
      <c r="D96" s="64" t="s">
        <v>20</v>
      </c>
      <c r="E96" s="82">
        <v>1</v>
      </c>
    </row>
    <row r="97" spans="1:5" x14ac:dyDescent="0.3">
      <c r="A97" s="64" t="s">
        <v>400</v>
      </c>
      <c r="B97" s="64" t="s">
        <v>1895</v>
      </c>
      <c r="C97" s="64"/>
      <c r="D97" s="64"/>
      <c r="E97" s="82">
        <v>9</v>
      </c>
    </row>
    <row r="98" spans="1:5" x14ac:dyDescent="0.3">
      <c r="A98" s="64" t="s">
        <v>400</v>
      </c>
      <c r="B98" s="64" t="s">
        <v>1884</v>
      </c>
      <c r="C98" s="64" t="s">
        <v>3179</v>
      </c>
      <c r="D98" s="64" t="s">
        <v>20</v>
      </c>
      <c r="E98" s="82">
        <v>1</v>
      </c>
    </row>
    <row r="99" spans="1:5" x14ac:dyDescent="0.3">
      <c r="A99" s="64" t="s">
        <v>400</v>
      </c>
      <c r="B99" s="64" t="s">
        <v>1884</v>
      </c>
      <c r="C99" s="64" t="s">
        <v>3186</v>
      </c>
      <c r="D99" s="64" t="s">
        <v>20</v>
      </c>
      <c r="E99" s="82">
        <v>1</v>
      </c>
    </row>
    <row r="100" spans="1:5" x14ac:dyDescent="0.3">
      <c r="A100" s="64" t="s">
        <v>400</v>
      </c>
      <c r="B100" s="64" t="s">
        <v>1884</v>
      </c>
      <c r="C100" s="64" t="s">
        <v>3189</v>
      </c>
      <c r="D100" s="64" t="s">
        <v>20</v>
      </c>
      <c r="E100" s="82">
        <v>1</v>
      </c>
    </row>
    <row r="101" spans="1:5" x14ac:dyDescent="0.3">
      <c r="A101" s="64" t="s">
        <v>400</v>
      </c>
      <c r="B101" s="64" t="s">
        <v>4280</v>
      </c>
      <c r="C101" s="64"/>
      <c r="D101" s="64"/>
      <c r="E101" s="82">
        <v>3</v>
      </c>
    </row>
    <row r="102" spans="1:5" x14ac:dyDescent="0.3">
      <c r="A102" s="64" t="s">
        <v>400</v>
      </c>
      <c r="B102" s="64" t="s">
        <v>1900</v>
      </c>
      <c r="C102" s="64" t="s">
        <v>610</v>
      </c>
      <c r="D102" s="64" t="s">
        <v>20</v>
      </c>
      <c r="E102" s="82">
        <v>1</v>
      </c>
    </row>
    <row r="103" spans="1:5" x14ac:dyDescent="0.3">
      <c r="A103" s="64" t="s">
        <v>400</v>
      </c>
      <c r="B103" s="64" t="s">
        <v>1900</v>
      </c>
      <c r="C103" s="64" t="s">
        <v>1449</v>
      </c>
      <c r="D103" s="64" t="s">
        <v>20</v>
      </c>
      <c r="E103" s="82">
        <v>1</v>
      </c>
    </row>
    <row r="104" spans="1:5" x14ac:dyDescent="0.3">
      <c r="A104" s="64" t="s">
        <v>400</v>
      </c>
      <c r="B104" s="64" t="s">
        <v>1901</v>
      </c>
      <c r="C104" s="64"/>
      <c r="D104" s="64"/>
      <c r="E104" s="82">
        <v>2</v>
      </c>
    </row>
    <row r="105" spans="1:5" x14ac:dyDescent="0.3">
      <c r="A105" s="64" t="s">
        <v>400</v>
      </c>
      <c r="B105" s="64" t="s">
        <v>1899</v>
      </c>
      <c r="C105" s="64" t="s">
        <v>1498</v>
      </c>
      <c r="D105" s="64" t="s">
        <v>20</v>
      </c>
      <c r="E105" s="82">
        <v>4</v>
      </c>
    </row>
    <row r="106" spans="1:5" x14ac:dyDescent="0.3">
      <c r="A106" s="64" t="s">
        <v>400</v>
      </c>
      <c r="B106" s="64" t="s">
        <v>1899</v>
      </c>
      <c r="C106" s="64" t="s">
        <v>1498</v>
      </c>
      <c r="D106" s="64" t="s">
        <v>16</v>
      </c>
      <c r="E106" s="82">
        <v>45</v>
      </c>
    </row>
    <row r="107" spans="1:5" x14ac:dyDescent="0.3">
      <c r="A107" s="64" t="s">
        <v>400</v>
      </c>
      <c r="B107" s="64" t="s">
        <v>1902</v>
      </c>
      <c r="C107" s="64"/>
      <c r="D107" s="64"/>
      <c r="E107" s="82">
        <v>49</v>
      </c>
    </row>
    <row r="108" spans="1:5" x14ac:dyDescent="0.3">
      <c r="A108" s="64" t="s">
        <v>400</v>
      </c>
      <c r="B108" s="64" t="s">
        <v>1896</v>
      </c>
      <c r="C108" s="64" t="s">
        <v>605</v>
      </c>
      <c r="D108" s="64" t="s">
        <v>20</v>
      </c>
      <c r="E108" s="82">
        <v>1</v>
      </c>
    </row>
    <row r="109" spans="1:5" x14ac:dyDescent="0.3">
      <c r="A109" s="64" t="s">
        <v>400</v>
      </c>
      <c r="B109" s="64" t="s">
        <v>1896</v>
      </c>
      <c r="C109" s="64" t="s">
        <v>605</v>
      </c>
      <c r="D109" s="64" t="s">
        <v>16</v>
      </c>
      <c r="E109" s="82">
        <v>16</v>
      </c>
    </row>
    <row r="110" spans="1:5" x14ac:dyDescent="0.3">
      <c r="A110" s="64" t="s">
        <v>400</v>
      </c>
      <c r="B110" s="64" t="s">
        <v>1896</v>
      </c>
      <c r="C110" s="64" t="s">
        <v>5156</v>
      </c>
      <c r="D110" s="64" t="s">
        <v>20</v>
      </c>
      <c r="E110" s="82">
        <v>1</v>
      </c>
    </row>
    <row r="111" spans="1:5" x14ac:dyDescent="0.3">
      <c r="A111" s="64" t="s">
        <v>400</v>
      </c>
      <c r="B111" s="64" t="s">
        <v>1896</v>
      </c>
      <c r="C111" s="64" t="s">
        <v>5156</v>
      </c>
      <c r="D111" s="64" t="s">
        <v>16</v>
      </c>
      <c r="E111" s="82">
        <v>16</v>
      </c>
    </row>
    <row r="112" spans="1:5" x14ac:dyDescent="0.3">
      <c r="A112" s="64" t="s">
        <v>400</v>
      </c>
      <c r="B112" s="64" t="s">
        <v>1896</v>
      </c>
      <c r="C112" s="64" t="s">
        <v>1517</v>
      </c>
      <c r="D112" s="64" t="s">
        <v>20</v>
      </c>
      <c r="E112" s="82">
        <v>2</v>
      </c>
    </row>
    <row r="113" spans="1:5" x14ac:dyDescent="0.3">
      <c r="A113" s="64" t="s">
        <v>400</v>
      </c>
      <c r="B113" s="64" t="s">
        <v>1896</v>
      </c>
      <c r="C113" s="64" t="s">
        <v>1517</v>
      </c>
      <c r="D113" s="64" t="s">
        <v>16</v>
      </c>
      <c r="E113" s="82">
        <v>32</v>
      </c>
    </row>
    <row r="114" spans="1:5" x14ac:dyDescent="0.3">
      <c r="A114" s="64" t="s">
        <v>400</v>
      </c>
      <c r="B114" s="64" t="s">
        <v>1896</v>
      </c>
      <c r="C114" s="64" t="s">
        <v>5157</v>
      </c>
      <c r="D114" s="64" t="s">
        <v>20</v>
      </c>
      <c r="E114" s="82">
        <v>1</v>
      </c>
    </row>
    <row r="115" spans="1:5" x14ac:dyDescent="0.3">
      <c r="A115" s="64" t="s">
        <v>400</v>
      </c>
      <c r="B115" s="64" t="s">
        <v>1896</v>
      </c>
      <c r="C115" s="64" t="s">
        <v>5157</v>
      </c>
      <c r="D115" s="64" t="s">
        <v>16</v>
      </c>
      <c r="E115" s="82">
        <v>16</v>
      </c>
    </row>
    <row r="116" spans="1:5" x14ac:dyDescent="0.3">
      <c r="A116" s="64" t="s">
        <v>400</v>
      </c>
      <c r="B116" s="64" t="s">
        <v>1896</v>
      </c>
      <c r="C116" s="64" t="s">
        <v>5155</v>
      </c>
      <c r="D116" s="64" t="s">
        <v>20</v>
      </c>
      <c r="E116" s="82">
        <v>1</v>
      </c>
    </row>
    <row r="117" spans="1:5" x14ac:dyDescent="0.3">
      <c r="A117" s="64" t="s">
        <v>400</v>
      </c>
      <c r="B117" s="64" t="s">
        <v>1896</v>
      </c>
      <c r="C117" s="64" t="s">
        <v>5155</v>
      </c>
      <c r="D117" s="64" t="s">
        <v>16</v>
      </c>
      <c r="E117" s="82">
        <v>16</v>
      </c>
    </row>
    <row r="118" spans="1:5" x14ac:dyDescent="0.3">
      <c r="A118" s="64" t="s">
        <v>400</v>
      </c>
      <c r="B118" s="64" t="s">
        <v>1896</v>
      </c>
      <c r="C118" s="64" t="s">
        <v>5158</v>
      </c>
      <c r="D118" s="64" t="s">
        <v>20</v>
      </c>
      <c r="E118" s="82">
        <v>1</v>
      </c>
    </row>
    <row r="119" spans="1:5" x14ac:dyDescent="0.3">
      <c r="A119" s="64" t="s">
        <v>400</v>
      </c>
      <c r="B119" s="64" t="s">
        <v>1896</v>
      </c>
      <c r="C119" s="64" t="s">
        <v>5158</v>
      </c>
      <c r="D119" s="64" t="s">
        <v>16</v>
      </c>
      <c r="E119" s="82">
        <v>16</v>
      </c>
    </row>
    <row r="120" spans="1:5" x14ac:dyDescent="0.3">
      <c r="A120" s="64" t="s">
        <v>400</v>
      </c>
      <c r="B120" s="64" t="s">
        <v>1903</v>
      </c>
      <c r="C120" s="64"/>
      <c r="D120" s="64"/>
      <c r="E120" s="82">
        <v>119</v>
      </c>
    </row>
    <row r="121" spans="1:5" x14ac:dyDescent="0.3">
      <c r="A121" s="64" t="s">
        <v>400</v>
      </c>
      <c r="B121" s="64" t="s">
        <v>1897</v>
      </c>
      <c r="C121" s="64" t="s">
        <v>946</v>
      </c>
      <c r="D121" s="64" t="s">
        <v>20</v>
      </c>
      <c r="E121" s="82">
        <v>4</v>
      </c>
    </row>
    <row r="122" spans="1:5" x14ac:dyDescent="0.3">
      <c r="A122" s="64" t="s">
        <v>400</v>
      </c>
      <c r="B122" s="64" t="s">
        <v>1897</v>
      </c>
      <c r="C122" s="64" t="s">
        <v>946</v>
      </c>
      <c r="D122" s="64" t="s">
        <v>16</v>
      </c>
      <c r="E122" s="82">
        <v>48</v>
      </c>
    </row>
    <row r="123" spans="1:5" x14ac:dyDescent="0.3">
      <c r="A123" s="64" t="s">
        <v>400</v>
      </c>
      <c r="B123" s="64" t="s">
        <v>1904</v>
      </c>
      <c r="C123" s="64"/>
      <c r="D123" s="64"/>
      <c r="E123" s="82">
        <v>52</v>
      </c>
    </row>
    <row r="124" spans="1:5" x14ac:dyDescent="0.3">
      <c r="A124" s="64" t="s">
        <v>400</v>
      </c>
      <c r="B124" s="64" t="s">
        <v>1898</v>
      </c>
      <c r="C124" s="64" t="s">
        <v>948</v>
      </c>
      <c r="D124" s="64" t="s">
        <v>20</v>
      </c>
      <c r="E124" s="82">
        <v>5</v>
      </c>
    </row>
    <row r="125" spans="1:5" x14ac:dyDescent="0.3">
      <c r="A125" s="64" t="s">
        <v>400</v>
      </c>
      <c r="B125" s="64" t="s">
        <v>1898</v>
      </c>
      <c r="C125" s="64" t="s">
        <v>948</v>
      </c>
      <c r="D125" s="64" t="s">
        <v>16</v>
      </c>
      <c r="E125" s="82">
        <v>80</v>
      </c>
    </row>
    <row r="126" spans="1:5" x14ac:dyDescent="0.3">
      <c r="A126" s="64" t="s">
        <v>400</v>
      </c>
      <c r="B126" s="64" t="s">
        <v>1898</v>
      </c>
      <c r="C126" s="64" t="s">
        <v>1473</v>
      </c>
      <c r="D126" s="64" t="s">
        <v>20</v>
      </c>
      <c r="E126" s="82">
        <v>7</v>
      </c>
    </row>
    <row r="127" spans="1:5" x14ac:dyDescent="0.3">
      <c r="A127" s="64" t="s">
        <v>400</v>
      </c>
      <c r="B127" s="64" t="s">
        <v>1898</v>
      </c>
      <c r="C127" s="64" t="s">
        <v>1473</v>
      </c>
      <c r="D127" s="64" t="s">
        <v>16</v>
      </c>
      <c r="E127" s="82">
        <v>80</v>
      </c>
    </row>
    <row r="128" spans="1:5" x14ac:dyDescent="0.3">
      <c r="A128" s="64" t="s">
        <v>400</v>
      </c>
      <c r="B128" s="64" t="s">
        <v>1905</v>
      </c>
      <c r="C128" s="64"/>
      <c r="D128" s="64"/>
      <c r="E128" s="82">
        <v>172</v>
      </c>
    </row>
    <row r="129" spans="1:5" x14ac:dyDescent="0.3">
      <c r="A129" s="64" t="s">
        <v>400</v>
      </c>
      <c r="B129" s="64" t="s">
        <v>814</v>
      </c>
      <c r="C129" s="64" t="s">
        <v>3781</v>
      </c>
      <c r="D129" s="64" t="s">
        <v>20</v>
      </c>
      <c r="E129" s="82">
        <v>1</v>
      </c>
    </row>
    <row r="130" spans="1:5" x14ac:dyDescent="0.3">
      <c r="A130" s="64" t="s">
        <v>400</v>
      </c>
      <c r="B130" s="64" t="s">
        <v>814</v>
      </c>
      <c r="C130" s="64" t="s">
        <v>3781</v>
      </c>
      <c r="D130" s="64" t="s">
        <v>16</v>
      </c>
      <c r="E130" s="82">
        <v>16</v>
      </c>
    </row>
    <row r="131" spans="1:5" x14ac:dyDescent="0.3">
      <c r="A131" s="64" t="s">
        <v>400</v>
      </c>
      <c r="B131" s="64" t="s">
        <v>814</v>
      </c>
      <c r="C131" s="64" t="s">
        <v>3801</v>
      </c>
      <c r="D131" s="64" t="s">
        <v>20</v>
      </c>
      <c r="E131" s="82">
        <v>1</v>
      </c>
    </row>
    <row r="132" spans="1:5" x14ac:dyDescent="0.3">
      <c r="A132" s="64" t="s">
        <v>400</v>
      </c>
      <c r="B132" s="64" t="s">
        <v>814</v>
      </c>
      <c r="C132" s="64" t="s">
        <v>3801</v>
      </c>
      <c r="D132" s="64" t="s">
        <v>16</v>
      </c>
      <c r="E132" s="82">
        <v>15</v>
      </c>
    </row>
    <row r="133" spans="1:5" x14ac:dyDescent="0.3">
      <c r="A133" s="64" t="s">
        <v>400</v>
      </c>
      <c r="B133" s="64" t="s">
        <v>814</v>
      </c>
      <c r="C133" s="64" t="s">
        <v>3821</v>
      </c>
      <c r="D133" s="64" t="s">
        <v>20</v>
      </c>
      <c r="E133" s="82">
        <v>1</v>
      </c>
    </row>
    <row r="134" spans="1:5" x14ac:dyDescent="0.3">
      <c r="A134" s="64" t="s">
        <v>400</v>
      </c>
      <c r="B134" s="64" t="s">
        <v>814</v>
      </c>
      <c r="C134" s="64" t="s">
        <v>3821</v>
      </c>
      <c r="D134" s="64" t="s">
        <v>16</v>
      </c>
      <c r="E134" s="82">
        <v>16</v>
      </c>
    </row>
    <row r="135" spans="1:5" x14ac:dyDescent="0.3">
      <c r="A135" s="64" t="s">
        <v>400</v>
      </c>
      <c r="B135" s="64" t="s">
        <v>814</v>
      </c>
      <c r="C135" s="64" t="s">
        <v>4289</v>
      </c>
      <c r="D135" s="64" t="s">
        <v>20</v>
      </c>
      <c r="E135" s="82">
        <v>1</v>
      </c>
    </row>
    <row r="136" spans="1:5" x14ac:dyDescent="0.3">
      <c r="A136" s="64" t="s">
        <v>400</v>
      </c>
      <c r="B136" s="64" t="s">
        <v>1906</v>
      </c>
      <c r="C136" s="64"/>
      <c r="D136" s="64"/>
      <c r="E136" s="82">
        <v>51</v>
      </c>
    </row>
    <row r="137" spans="1:5" x14ac:dyDescent="0.3">
      <c r="A137" s="64" t="s">
        <v>400</v>
      </c>
      <c r="B137" s="64" t="s">
        <v>1907</v>
      </c>
      <c r="C137" s="64" t="s">
        <v>1369</v>
      </c>
      <c r="D137" s="64" t="s">
        <v>20</v>
      </c>
      <c r="E137" s="82">
        <v>2</v>
      </c>
    </row>
    <row r="138" spans="1:5" x14ac:dyDescent="0.3">
      <c r="A138" s="64" t="s">
        <v>400</v>
      </c>
      <c r="B138" s="64" t="s">
        <v>1907</v>
      </c>
      <c r="C138" s="64" t="s">
        <v>1369</v>
      </c>
      <c r="D138" s="64" t="s">
        <v>16</v>
      </c>
      <c r="E138" s="82">
        <v>16</v>
      </c>
    </row>
    <row r="139" spans="1:5" x14ac:dyDescent="0.3">
      <c r="A139" s="64" t="s">
        <v>400</v>
      </c>
      <c r="B139" s="64" t="s">
        <v>1907</v>
      </c>
      <c r="C139" s="64" t="s">
        <v>3069</v>
      </c>
      <c r="D139" s="64" t="s">
        <v>20</v>
      </c>
      <c r="E139" s="82">
        <v>3</v>
      </c>
    </row>
    <row r="140" spans="1:5" x14ac:dyDescent="0.3">
      <c r="A140" s="64" t="s">
        <v>400</v>
      </c>
      <c r="B140" s="64" t="s">
        <v>1907</v>
      </c>
      <c r="C140" s="64" t="s">
        <v>3069</v>
      </c>
      <c r="D140" s="64" t="s">
        <v>16</v>
      </c>
      <c r="E140" s="82">
        <v>32</v>
      </c>
    </row>
    <row r="141" spans="1:5" x14ac:dyDescent="0.3">
      <c r="A141" s="64" t="s">
        <v>400</v>
      </c>
      <c r="B141" s="64" t="s">
        <v>1907</v>
      </c>
      <c r="C141" s="64" t="s">
        <v>5159</v>
      </c>
      <c r="D141" s="64" t="s">
        <v>20</v>
      </c>
      <c r="E141" s="82">
        <v>1</v>
      </c>
    </row>
    <row r="142" spans="1:5" x14ac:dyDescent="0.3">
      <c r="A142" s="64" t="s">
        <v>400</v>
      </c>
      <c r="B142" s="64" t="s">
        <v>1907</v>
      </c>
      <c r="C142" s="64" t="s">
        <v>5159</v>
      </c>
      <c r="D142" s="64" t="s">
        <v>16</v>
      </c>
      <c r="E142" s="82">
        <v>16</v>
      </c>
    </row>
    <row r="143" spans="1:5" x14ac:dyDescent="0.3">
      <c r="A143" s="64" t="s">
        <v>400</v>
      </c>
      <c r="B143" s="64" t="s">
        <v>1908</v>
      </c>
      <c r="C143" s="64"/>
      <c r="D143" s="64"/>
      <c r="E143" s="82">
        <v>70</v>
      </c>
    </row>
    <row r="144" spans="1:5" x14ac:dyDescent="0.3">
      <c r="A144" s="64" t="s">
        <v>400</v>
      </c>
      <c r="B144" s="64" t="s">
        <v>1914</v>
      </c>
      <c r="C144" s="64" t="s">
        <v>1914</v>
      </c>
      <c r="D144" s="64" t="s">
        <v>20</v>
      </c>
      <c r="E144" s="82">
        <v>4</v>
      </c>
    </row>
    <row r="145" spans="1:5" x14ac:dyDescent="0.3">
      <c r="A145" s="64" t="s">
        <v>400</v>
      </c>
      <c r="B145" s="64" t="s">
        <v>1914</v>
      </c>
      <c r="C145" s="64" t="s">
        <v>1914</v>
      </c>
      <c r="D145" s="64" t="s">
        <v>16</v>
      </c>
      <c r="E145" s="82">
        <v>64</v>
      </c>
    </row>
    <row r="146" spans="1:5" x14ac:dyDescent="0.3">
      <c r="A146" s="64" t="s">
        <v>400</v>
      </c>
      <c r="B146" s="64" t="s">
        <v>1914</v>
      </c>
      <c r="C146" s="64" t="s">
        <v>2156</v>
      </c>
      <c r="D146" s="64" t="s">
        <v>20</v>
      </c>
      <c r="E146" s="82">
        <v>4</v>
      </c>
    </row>
    <row r="147" spans="1:5" x14ac:dyDescent="0.3">
      <c r="A147" s="64" t="s">
        <v>400</v>
      </c>
      <c r="B147" s="64" t="s">
        <v>1914</v>
      </c>
      <c r="C147" s="64" t="s">
        <v>2156</v>
      </c>
      <c r="D147" s="64" t="s">
        <v>16</v>
      </c>
      <c r="E147" s="82">
        <v>15</v>
      </c>
    </row>
    <row r="148" spans="1:5" x14ac:dyDescent="0.3">
      <c r="A148" s="64" t="s">
        <v>400</v>
      </c>
      <c r="B148" s="64" t="s">
        <v>2335</v>
      </c>
      <c r="C148" s="64"/>
      <c r="D148" s="64"/>
      <c r="E148" s="82">
        <v>87</v>
      </c>
    </row>
    <row r="149" spans="1:5" x14ac:dyDescent="0.3">
      <c r="A149" s="64" t="s">
        <v>400</v>
      </c>
      <c r="B149" s="64" t="s">
        <v>2183</v>
      </c>
      <c r="C149" s="64" t="s">
        <v>572</v>
      </c>
      <c r="D149" s="64" t="s">
        <v>20</v>
      </c>
      <c r="E149" s="82">
        <v>6</v>
      </c>
    </row>
    <row r="150" spans="1:5" x14ac:dyDescent="0.3">
      <c r="A150" s="64" t="s">
        <v>400</v>
      </c>
      <c r="B150" s="64" t="s">
        <v>2183</v>
      </c>
      <c r="C150" s="64" t="s">
        <v>572</v>
      </c>
      <c r="D150" s="64" t="s">
        <v>16</v>
      </c>
      <c r="E150" s="82">
        <v>15</v>
      </c>
    </row>
    <row r="151" spans="1:5" x14ac:dyDescent="0.3">
      <c r="A151" s="64" t="s">
        <v>400</v>
      </c>
      <c r="B151" s="64" t="s">
        <v>2183</v>
      </c>
      <c r="C151" s="64" t="s">
        <v>940</v>
      </c>
      <c r="D151" s="64" t="s">
        <v>20</v>
      </c>
      <c r="E151" s="82">
        <v>4</v>
      </c>
    </row>
    <row r="152" spans="1:5" x14ac:dyDescent="0.3">
      <c r="A152" s="64" t="s">
        <v>400</v>
      </c>
      <c r="B152" s="64" t="s">
        <v>2183</v>
      </c>
      <c r="C152" s="64" t="s">
        <v>940</v>
      </c>
      <c r="D152" s="64" t="s">
        <v>16</v>
      </c>
      <c r="E152" s="82">
        <v>15</v>
      </c>
    </row>
    <row r="153" spans="1:5" x14ac:dyDescent="0.3">
      <c r="A153" s="64" t="s">
        <v>400</v>
      </c>
      <c r="B153" s="64" t="s">
        <v>2183</v>
      </c>
      <c r="C153" s="64" t="s">
        <v>2231</v>
      </c>
      <c r="D153" s="64" t="s">
        <v>20</v>
      </c>
      <c r="E153" s="82">
        <v>1</v>
      </c>
    </row>
    <row r="154" spans="1:5" x14ac:dyDescent="0.3">
      <c r="A154" s="64" t="s">
        <v>400</v>
      </c>
      <c r="B154" s="64" t="s">
        <v>2183</v>
      </c>
      <c r="C154" s="64" t="s">
        <v>2231</v>
      </c>
      <c r="D154" s="64" t="s">
        <v>16</v>
      </c>
      <c r="E154" s="82">
        <v>15</v>
      </c>
    </row>
    <row r="155" spans="1:5" x14ac:dyDescent="0.3">
      <c r="A155" s="64" t="s">
        <v>400</v>
      </c>
      <c r="B155" s="64" t="s">
        <v>2183</v>
      </c>
      <c r="C155" s="64" t="s">
        <v>3261</v>
      </c>
      <c r="D155" s="64" t="s">
        <v>20</v>
      </c>
      <c r="E155" s="82">
        <v>1</v>
      </c>
    </row>
    <row r="156" spans="1:5" x14ac:dyDescent="0.3">
      <c r="A156" s="64" t="s">
        <v>400</v>
      </c>
      <c r="B156" s="64" t="s">
        <v>2336</v>
      </c>
      <c r="C156" s="64"/>
      <c r="D156" s="64"/>
      <c r="E156" s="82">
        <v>57</v>
      </c>
    </row>
    <row r="157" spans="1:5" x14ac:dyDescent="0.3">
      <c r="A157" s="64" t="s">
        <v>400</v>
      </c>
      <c r="B157" s="64" t="s">
        <v>1909</v>
      </c>
      <c r="C157" s="64" t="s">
        <v>2251</v>
      </c>
      <c r="D157" s="64" t="s">
        <v>20</v>
      </c>
      <c r="E157" s="82">
        <v>2</v>
      </c>
    </row>
    <row r="158" spans="1:5" x14ac:dyDescent="0.3">
      <c r="A158" s="64" t="s">
        <v>400</v>
      </c>
      <c r="B158" s="64" t="s">
        <v>1909</v>
      </c>
      <c r="C158" s="64" t="s">
        <v>2251</v>
      </c>
      <c r="D158" s="64" t="s">
        <v>16</v>
      </c>
      <c r="E158" s="82">
        <v>32</v>
      </c>
    </row>
    <row r="159" spans="1:5" x14ac:dyDescent="0.3">
      <c r="A159" s="64" t="s">
        <v>400</v>
      </c>
      <c r="B159" s="64" t="s">
        <v>1909</v>
      </c>
      <c r="C159" s="64" t="s">
        <v>2271</v>
      </c>
      <c r="D159" s="64" t="s">
        <v>20</v>
      </c>
      <c r="E159" s="82">
        <v>2</v>
      </c>
    </row>
    <row r="160" spans="1:5" x14ac:dyDescent="0.3">
      <c r="A160" s="64" t="s">
        <v>400</v>
      </c>
      <c r="B160" s="64" t="s">
        <v>1909</v>
      </c>
      <c r="C160" s="64" t="s">
        <v>2271</v>
      </c>
      <c r="D160" s="64" t="s">
        <v>16</v>
      </c>
      <c r="E160" s="82">
        <v>32</v>
      </c>
    </row>
    <row r="161" spans="1:5" x14ac:dyDescent="0.3">
      <c r="A161" s="64" t="s">
        <v>400</v>
      </c>
      <c r="B161" s="64" t="s">
        <v>1909</v>
      </c>
      <c r="C161" s="64" t="s">
        <v>2989</v>
      </c>
      <c r="D161" s="64" t="s">
        <v>20</v>
      </c>
      <c r="E161" s="82">
        <v>1</v>
      </c>
    </row>
    <row r="162" spans="1:5" x14ac:dyDescent="0.3">
      <c r="A162" s="64" t="s">
        <v>400</v>
      </c>
      <c r="B162" s="64" t="s">
        <v>1909</v>
      </c>
      <c r="C162" s="64" t="s">
        <v>2989</v>
      </c>
      <c r="D162" s="64" t="s">
        <v>16</v>
      </c>
      <c r="E162" s="82">
        <v>16</v>
      </c>
    </row>
    <row r="163" spans="1:5" x14ac:dyDescent="0.3">
      <c r="A163" s="64" t="s">
        <v>400</v>
      </c>
      <c r="B163" s="64" t="s">
        <v>1909</v>
      </c>
      <c r="C163" s="64" t="s">
        <v>2988</v>
      </c>
      <c r="D163" s="64" t="s">
        <v>20</v>
      </c>
      <c r="E163" s="82">
        <v>1</v>
      </c>
    </row>
    <row r="164" spans="1:5" x14ac:dyDescent="0.3">
      <c r="A164" s="64" t="s">
        <v>400</v>
      </c>
      <c r="B164" s="64" t="s">
        <v>1909</v>
      </c>
      <c r="C164" s="64" t="s">
        <v>2988</v>
      </c>
      <c r="D164" s="64" t="s">
        <v>16</v>
      </c>
      <c r="E164" s="82">
        <v>16</v>
      </c>
    </row>
    <row r="165" spans="1:5" x14ac:dyDescent="0.3">
      <c r="A165" s="64" t="s">
        <v>400</v>
      </c>
      <c r="B165" s="64" t="s">
        <v>1909</v>
      </c>
      <c r="C165" s="64" t="s">
        <v>4031</v>
      </c>
      <c r="D165" s="64" t="s">
        <v>20</v>
      </c>
      <c r="E165" s="82">
        <v>1</v>
      </c>
    </row>
    <row r="166" spans="1:5" x14ac:dyDescent="0.3">
      <c r="A166" s="64" t="s">
        <v>400</v>
      </c>
      <c r="B166" s="64" t="s">
        <v>1909</v>
      </c>
      <c r="C166" s="64" t="s">
        <v>4031</v>
      </c>
      <c r="D166" s="64" t="s">
        <v>16</v>
      </c>
      <c r="E166" s="82">
        <v>16</v>
      </c>
    </row>
    <row r="167" spans="1:5" x14ac:dyDescent="0.3">
      <c r="A167" s="64" t="s">
        <v>400</v>
      </c>
      <c r="B167" s="64" t="s">
        <v>1909</v>
      </c>
      <c r="C167" s="64" t="s">
        <v>4068</v>
      </c>
      <c r="D167" s="64" t="s">
        <v>20</v>
      </c>
      <c r="E167" s="82">
        <v>1</v>
      </c>
    </row>
    <row r="168" spans="1:5" x14ac:dyDescent="0.3">
      <c r="A168" s="64" t="s">
        <v>400</v>
      </c>
      <c r="B168" s="64" t="s">
        <v>1909</v>
      </c>
      <c r="C168" s="64" t="s">
        <v>4068</v>
      </c>
      <c r="D168" s="64" t="s">
        <v>16</v>
      </c>
      <c r="E168" s="82">
        <v>16</v>
      </c>
    </row>
    <row r="169" spans="1:5" x14ac:dyDescent="0.3">
      <c r="A169" s="64" t="s">
        <v>400</v>
      </c>
      <c r="B169" s="64" t="s">
        <v>2337</v>
      </c>
      <c r="C169" s="64"/>
      <c r="D169" s="64"/>
      <c r="E169" s="82">
        <v>136</v>
      </c>
    </row>
    <row r="170" spans="1:5" x14ac:dyDescent="0.3">
      <c r="A170" s="64" t="s">
        <v>400</v>
      </c>
      <c r="B170" s="64" t="s">
        <v>2700</v>
      </c>
      <c r="C170" s="64" t="s">
        <v>1376</v>
      </c>
      <c r="D170" s="64" t="s">
        <v>20</v>
      </c>
      <c r="E170" s="82">
        <v>3</v>
      </c>
    </row>
    <row r="171" spans="1:5" x14ac:dyDescent="0.3">
      <c r="A171" s="64" t="s">
        <v>400</v>
      </c>
      <c r="B171" s="64" t="s">
        <v>2700</v>
      </c>
      <c r="C171" s="64" t="s">
        <v>1376</v>
      </c>
      <c r="D171" s="64" t="s">
        <v>16</v>
      </c>
      <c r="E171" s="82">
        <v>32</v>
      </c>
    </row>
    <row r="172" spans="1:5" x14ac:dyDescent="0.3">
      <c r="A172" s="64" t="s">
        <v>400</v>
      </c>
      <c r="B172" s="64" t="s">
        <v>2700</v>
      </c>
      <c r="C172" s="64" t="s">
        <v>2011</v>
      </c>
      <c r="D172" s="64" t="s">
        <v>20</v>
      </c>
      <c r="E172" s="82">
        <v>1</v>
      </c>
    </row>
    <row r="173" spans="1:5" x14ac:dyDescent="0.3">
      <c r="A173" s="64" t="s">
        <v>400</v>
      </c>
      <c r="B173" s="64" t="s">
        <v>2700</v>
      </c>
      <c r="C173" s="64" t="s">
        <v>2011</v>
      </c>
      <c r="D173" s="64" t="s">
        <v>16</v>
      </c>
      <c r="E173" s="82">
        <v>16</v>
      </c>
    </row>
    <row r="174" spans="1:5" x14ac:dyDescent="0.3">
      <c r="A174" s="64" t="s">
        <v>400</v>
      </c>
      <c r="B174" s="64" t="s">
        <v>2700</v>
      </c>
      <c r="C174" s="64" t="s">
        <v>2012</v>
      </c>
      <c r="D174" s="64" t="s">
        <v>20</v>
      </c>
      <c r="E174" s="82">
        <v>2</v>
      </c>
    </row>
    <row r="175" spans="1:5" x14ac:dyDescent="0.3">
      <c r="A175" s="64" t="s">
        <v>400</v>
      </c>
      <c r="B175" s="64" t="s">
        <v>2700</v>
      </c>
      <c r="C175" s="64" t="s">
        <v>2012</v>
      </c>
      <c r="D175" s="64" t="s">
        <v>16</v>
      </c>
      <c r="E175" s="82">
        <v>32</v>
      </c>
    </row>
    <row r="176" spans="1:5" x14ac:dyDescent="0.3">
      <c r="A176" s="64" t="s">
        <v>400</v>
      </c>
      <c r="B176" s="64" t="s">
        <v>2700</v>
      </c>
      <c r="C176" s="64" t="s">
        <v>3718</v>
      </c>
      <c r="D176" s="64" t="s">
        <v>20</v>
      </c>
      <c r="E176" s="82">
        <v>1</v>
      </c>
    </row>
    <row r="177" spans="1:5" x14ac:dyDescent="0.3">
      <c r="A177" s="64" t="s">
        <v>400</v>
      </c>
      <c r="B177" s="64" t="s">
        <v>2700</v>
      </c>
      <c r="C177" s="64" t="s">
        <v>3718</v>
      </c>
      <c r="D177" s="64" t="s">
        <v>16</v>
      </c>
      <c r="E177" s="82">
        <v>4</v>
      </c>
    </row>
    <row r="178" spans="1:5" x14ac:dyDescent="0.3">
      <c r="A178" s="64" t="s">
        <v>400</v>
      </c>
      <c r="B178" s="64" t="s">
        <v>2990</v>
      </c>
      <c r="C178" s="64"/>
      <c r="D178" s="64"/>
      <c r="E178" s="82">
        <v>91</v>
      </c>
    </row>
    <row r="179" spans="1:5" x14ac:dyDescent="0.3">
      <c r="A179" s="64" t="s">
        <v>400</v>
      </c>
      <c r="B179" s="64" t="s">
        <v>2991</v>
      </c>
      <c r="C179" s="64" t="s">
        <v>2310</v>
      </c>
      <c r="D179" s="64" t="s">
        <v>20</v>
      </c>
      <c r="E179" s="82">
        <v>3</v>
      </c>
    </row>
    <row r="180" spans="1:5" x14ac:dyDescent="0.3">
      <c r="A180" s="64" t="s">
        <v>400</v>
      </c>
      <c r="B180" s="64" t="s">
        <v>2991</v>
      </c>
      <c r="C180" s="64" t="s">
        <v>2310</v>
      </c>
      <c r="D180" s="64" t="s">
        <v>16</v>
      </c>
      <c r="E180" s="82">
        <v>16</v>
      </c>
    </row>
    <row r="181" spans="1:5" x14ac:dyDescent="0.3">
      <c r="A181" s="64" t="s">
        <v>400</v>
      </c>
      <c r="B181" s="64" t="s">
        <v>3353</v>
      </c>
      <c r="C181" s="64"/>
      <c r="D181" s="64"/>
      <c r="E181" s="82">
        <v>19</v>
      </c>
    </row>
    <row r="182" spans="1:5" x14ac:dyDescent="0.3">
      <c r="A182" s="64" t="s">
        <v>400</v>
      </c>
      <c r="B182" s="64" t="s">
        <v>2995</v>
      </c>
      <c r="C182" s="64" t="s">
        <v>2994</v>
      </c>
      <c r="D182" s="64" t="s">
        <v>20</v>
      </c>
      <c r="E182" s="82">
        <v>2</v>
      </c>
    </row>
    <row r="183" spans="1:5" x14ac:dyDescent="0.3">
      <c r="A183" s="64" t="s">
        <v>400</v>
      </c>
      <c r="B183" s="64" t="s">
        <v>2995</v>
      </c>
      <c r="C183" s="64" t="s">
        <v>2994</v>
      </c>
      <c r="D183" s="64" t="s">
        <v>16</v>
      </c>
      <c r="E183" s="82">
        <v>16</v>
      </c>
    </row>
    <row r="184" spans="1:5" x14ac:dyDescent="0.3">
      <c r="A184" s="64" t="s">
        <v>400</v>
      </c>
      <c r="B184" s="64" t="s">
        <v>3354</v>
      </c>
      <c r="C184" s="64"/>
      <c r="D184" s="64"/>
      <c r="E184" s="82">
        <v>18</v>
      </c>
    </row>
    <row r="185" spans="1:5" x14ac:dyDescent="0.3">
      <c r="A185" s="64" t="s">
        <v>400</v>
      </c>
      <c r="B185" s="64" t="s">
        <v>3017</v>
      </c>
      <c r="C185" s="64" t="s">
        <v>3016</v>
      </c>
      <c r="D185" s="64" t="s">
        <v>20</v>
      </c>
      <c r="E185" s="82">
        <v>2</v>
      </c>
    </row>
    <row r="186" spans="1:5" x14ac:dyDescent="0.3">
      <c r="A186" s="64" t="s">
        <v>400</v>
      </c>
      <c r="B186" s="64" t="s">
        <v>3017</v>
      </c>
      <c r="C186" s="64" t="s">
        <v>3016</v>
      </c>
      <c r="D186" s="64" t="s">
        <v>16</v>
      </c>
      <c r="E186" s="82">
        <v>32</v>
      </c>
    </row>
    <row r="187" spans="1:5" x14ac:dyDescent="0.3">
      <c r="A187" s="64" t="s">
        <v>400</v>
      </c>
      <c r="B187" s="64" t="s">
        <v>3355</v>
      </c>
      <c r="C187" s="64"/>
      <c r="D187" s="64"/>
      <c r="E187" s="82">
        <v>34</v>
      </c>
    </row>
    <row r="188" spans="1:5" x14ac:dyDescent="0.3">
      <c r="A188" s="64" t="s">
        <v>400</v>
      </c>
      <c r="B188" s="64" t="s">
        <v>3193</v>
      </c>
      <c r="C188" s="64" t="s">
        <v>3192</v>
      </c>
      <c r="D188" s="64" t="s">
        <v>20</v>
      </c>
      <c r="E188" s="82">
        <v>4</v>
      </c>
    </row>
    <row r="189" spans="1:5" x14ac:dyDescent="0.3">
      <c r="A189" s="64" t="s">
        <v>400</v>
      </c>
      <c r="B189" s="64" t="s">
        <v>3193</v>
      </c>
      <c r="C189" s="64" t="s">
        <v>3192</v>
      </c>
      <c r="D189" s="64" t="s">
        <v>16</v>
      </c>
      <c r="E189" s="82">
        <v>9</v>
      </c>
    </row>
    <row r="190" spans="1:5" x14ac:dyDescent="0.3">
      <c r="A190" s="64" t="s">
        <v>400</v>
      </c>
      <c r="B190" s="64" t="s">
        <v>3356</v>
      </c>
      <c r="C190" s="64"/>
      <c r="D190" s="64"/>
      <c r="E190" s="82">
        <v>13</v>
      </c>
    </row>
    <row r="191" spans="1:5" x14ac:dyDescent="0.3">
      <c r="A191" s="64" t="s">
        <v>400</v>
      </c>
      <c r="B191" s="64" t="s">
        <v>3207</v>
      </c>
      <c r="C191" s="64" t="s">
        <v>3208</v>
      </c>
      <c r="D191" s="64" t="s">
        <v>20</v>
      </c>
      <c r="E191" s="82">
        <v>1</v>
      </c>
    </row>
    <row r="192" spans="1:5" x14ac:dyDescent="0.3">
      <c r="A192" s="64" t="s">
        <v>400</v>
      </c>
      <c r="B192" s="64" t="s">
        <v>3207</v>
      </c>
      <c r="C192" s="64" t="s">
        <v>3208</v>
      </c>
      <c r="D192" s="64" t="s">
        <v>16</v>
      </c>
      <c r="E192" s="82">
        <v>16</v>
      </c>
    </row>
    <row r="193" spans="1:5" x14ac:dyDescent="0.3">
      <c r="A193" s="64" t="s">
        <v>400</v>
      </c>
      <c r="B193" s="64" t="s">
        <v>3207</v>
      </c>
      <c r="C193" s="64" t="s">
        <v>3213</v>
      </c>
      <c r="D193" s="64" t="s">
        <v>20</v>
      </c>
      <c r="E193" s="82">
        <v>1</v>
      </c>
    </row>
    <row r="194" spans="1:5" x14ac:dyDescent="0.3">
      <c r="A194" s="64" t="s">
        <v>400</v>
      </c>
      <c r="B194" s="64" t="s">
        <v>3207</v>
      </c>
      <c r="C194" s="64" t="s">
        <v>3213</v>
      </c>
      <c r="D194" s="64" t="s">
        <v>16</v>
      </c>
      <c r="E194" s="82">
        <v>16</v>
      </c>
    </row>
    <row r="195" spans="1:5" x14ac:dyDescent="0.3">
      <c r="A195" s="64" t="s">
        <v>400</v>
      </c>
      <c r="B195" s="64" t="s">
        <v>3357</v>
      </c>
      <c r="C195" s="64"/>
      <c r="D195" s="64"/>
      <c r="E195" s="82">
        <v>34</v>
      </c>
    </row>
    <row r="196" spans="1:5" x14ac:dyDescent="0.3">
      <c r="A196" s="64" t="s">
        <v>400</v>
      </c>
      <c r="B196" s="64" t="s">
        <v>3605</v>
      </c>
      <c r="C196" s="64" t="s">
        <v>421</v>
      </c>
      <c r="D196" s="64" t="s">
        <v>20</v>
      </c>
      <c r="E196" s="82">
        <v>1</v>
      </c>
    </row>
    <row r="197" spans="1:5" x14ac:dyDescent="0.3">
      <c r="A197" s="64" t="s">
        <v>400</v>
      </c>
      <c r="B197" s="64" t="s">
        <v>3605</v>
      </c>
      <c r="C197" s="64" t="s">
        <v>421</v>
      </c>
      <c r="D197" s="64" t="s">
        <v>16</v>
      </c>
      <c r="E197" s="82">
        <v>15</v>
      </c>
    </row>
    <row r="198" spans="1:5" x14ac:dyDescent="0.3">
      <c r="A198" s="64" t="s">
        <v>400</v>
      </c>
      <c r="B198" s="64" t="s">
        <v>4281</v>
      </c>
      <c r="C198" s="64"/>
      <c r="D198" s="64"/>
      <c r="E198" s="82">
        <v>16</v>
      </c>
    </row>
    <row r="199" spans="1:5" x14ac:dyDescent="0.3">
      <c r="A199" s="64" t="s">
        <v>400</v>
      </c>
      <c r="B199" s="64" t="s">
        <v>3911</v>
      </c>
      <c r="C199" s="64" t="s">
        <v>3910</v>
      </c>
      <c r="D199" s="64" t="s">
        <v>20</v>
      </c>
      <c r="E199" s="82">
        <v>1</v>
      </c>
    </row>
    <row r="200" spans="1:5" x14ac:dyDescent="0.3">
      <c r="A200" s="64" t="s">
        <v>400</v>
      </c>
      <c r="B200" s="64" t="s">
        <v>3911</v>
      </c>
      <c r="C200" s="64" t="s">
        <v>3910</v>
      </c>
      <c r="D200" s="64" t="s">
        <v>16</v>
      </c>
      <c r="E200" s="82">
        <v>16</v>
      </c>
    </row>
    <row r="201" spans="1:5" x14ac:dyDescent="0.3">
      <c r="A201" s="64" t="s">
        <v>400</v>
      </c>
      <c r="B201" s="64" t="s">
        <v>3911</v>
      </c>
      <c r="C201" s="64" t="s">
        <v>3983</v>
      </c>
      <c r="D201" s="64" t="s">
        <v>20</v>
      </c>
      <c r="E201" s="82">
        <v>1</v>
      </c>
    </row>
    <row r="202" spans="1:5" x14ac:dyDescent="0.3">
      <c r="A202" s="64" t="s">
        <v>400</v>
      </c>
      <c r="B202" s="64" t="s">
        <v>3911</v>
      </c>
      <c r="C202" s="64" t="s">
        <v>3983</v>
      </c>
      <c r="D202" s="64" t="s">
        <v>16</v>
      </c>
      <c r="E202" s="82">
        <v>16</v>
      </c>
    </row>
    <row r="203" spans="1:5" x14ac:dyDescent="0.3">
      <c r="A203" s="64" t="s">
        <v>400</v>
      </c>
      <c r="B203" s="64" t="s">
        <v>3911</v>
      </c>
      <c r="C203" s="64" t="s">
        <v>5165</v>
      </c>
      <c r="D203" s="64" t="s">
        <v>20</v>
      </c>
      <c r="E203" s="82">
        <v>1</v>
      </c>
    </row>
    <row r="204" spans="1:5" x14ac:dyDescent="0.3">
      <c r="A204" s="64" t="s">
        <v>400</v>
      </c>
      <c r="B204" s="64" t="s">
        <v>3911</v>
      </c>
      <c r="C204" s="64" t="s">
        <v>5165</v>
      </c>
      <c r="D204" s="64" t="s">
        <v>16</v>
      </c>
      <c r="E204" s="82">
        <v>16</v>
      </c>
    </row>
    <row r="205" spans="1:5" x14ac:dyDescent="0.3">
      <c r="A205" s="64" t="s">
        <v>400</v>
      </c>
      <c r="B205" s="64" t="s">
        <v>4282</v>
      </c>
      <c r="C205" s="64"/>
      <c r="D205" s="64"/>
      <c r="E205" s="82">
        <v>51</v>
      </c>
    </row>
    <row r="206" spans="1:5" x14ac:dyDescent="0.3">
      <c r="A206" s="64" t="s">
        <v>400</v>
      </c>
      <c r="B206" s="64" t="s">
        <v>4019</v>
      </c>
      <c r="C206" s="64" t="s">
        <v>5162</v>
      </c>
      <c r="D206" s="64" t="s">
        <v>20</v>
      </c>
      <c r="E206" s="82">
        <v>3</v>
      </c>
    </row>
    <row r="207" spans="1:5" x14ac:dyDescent="0.3">
      <c r="A207" s="64" t="s">
        <v>400</v>
      </c>
      <c r="B207" s="64" t="s">
        <v>4283</v>
      </c>
      <c r="C207" s="64"/>
      <c r="D207" s="64"/>
      <c r="E207" s="82">
        <v>3</v>
      </c>
    </row>
    <row r="208" spans="1:5" x14ac:dyDescent="0.3">
      <c r="A208" s="64" t="s">
        <v>400</v>
      </c>
      <c r="B208" s="64" t="s">
        <v>4290</v>
      </c>
      <c r="C208" s="64" t="s">
        <v>1421</v>
      </c>
      <c r="D208" s="64" t="s">
        <v>20</v>
      </c>
      <c r="E208" s="82">
        <v>5</v>
      </c>
    </row>
    <row r="209" spans="1:5" x14ac:dyDescent="0.3">
      <c r="A209" s="64" t="s">
        <v>400</v>
      </c>
      <c r="B209" s="64" t="s">
        <v>4290</v>
      </c>
      <c r="C209" s="64" t="s">
        <v>1421</v>
      </c>
      <c r="D209" s="64" t="s">
        <v>16</v>
      </c>
      <c r="E209" s="82">
        <v>80</v>
      </c>
    </row>
    <row r="210" spans="1:5" x14ac:dyDescent="0.3">
      <c r="A210" s="64" t="s">
        <v>400</v>
      </c>
      <c r="B210" s="64" t="s">
        <v>4290</v>
      </c>
      <c r="C210" s="64" t="s">
        <v>1429</v>
      </c>
      <c r="D210" s="64" t="s">
        <v>20</v>
      </c>
      <c r="E210" s="82">
        <v>3</v>
      </c>
    </row>
    <row r="211" spans="1:5" x14ac:dyDescent="0.3">
      <c r="A211" s="64" t="s">
        <v>400</v>
      </c>
      <c r="B211" s="64" t="s">
        <v>4290</v>
      </c>
      <c r="C211" s="64" t="s">
        <v>1429</v>
      </c>
      <c r="D211" s="64" t="s">
        <v>16</v>
      </c>
      <c r="E211" s="82">
        <v>48</v>
      </c>
    </row>
    <row r="212" spans="1:5" x14ac:dyDescent="0.3">
      <c r="A212" s="64" t="s">
        <v>400</v>
      </c>
      <c r="B212" s="64" t="s">
        <v>4290</v>
      </c>
      <c r="C212" s="64" t="s">
        <v>3606</v>
      </c>
      <c r="D212" s="64" t="s">
        <v>20</v>
      </c>
      <c r="E212" s="82">
        <v>1</v>
      </c>
    </row>
    <row r="213" spans="1:5" x14ac:dyDescent="0.3">
      <c r="A213" s="64" t="s">
        <v>400</v>
      </c>
      <c r="B213" s="64" t="s">
        <v>4290</v>
      </c>
      <c r="C213" s="64" t="s">
        <v>3606</v>
      </c>
      <c r="D213" s="64" t="s">
        <v>16</v>
      </c>
      <c r="E213" s="82">
        <v>15</v>
      </c>
    </row>
    <row r="214" spans="1:5" x14ac:dyDescent="0.3">
      <c r="A214" s="64" t="s">
        <v>400</v>
      </c>
      <c r="B214" s="64" t="s">
        <v>4290</v>
      </c>
      <c r="C214" s="64" t="s">
        <v>3607</v>
      </c>
      <c r="D214" s="64" t="s">
        <v>20</v>
      </c>
      <c r="E214" s="82">
        <v>1</v>
      </c>
    </row>
    <row r="215" spans="1:5" x14ac:dyDescent="0.3">
      <c r="A215" s="64" t="s">
        <v>400</v>
      </c>
      <c r="B215" s="64" t="s">
        <v>4290</v>
      </c>
      <c r="C215" s="64" t="s">
        <v>3607</v>
      </c>
      <c r="D215" s="64" t="s">
        <v>16</v>
      </c>
      <c r="E215" s="82">
        <v>16</v>
      </c>
    </row>
    <row r="216" spans="1:5" x14ac:dyDescent="0.3">
      <c r="A216" s="64" t="s">
        <v>400</v>
      </c>
      <c r="B216" s="64" t="s">
        <v>4292</v>
      </c>
      <c r="C216" s="64"/>
      <c r="D216" s="64"/>
      <c r="E216" s="82">
        <v>169</v>
      </c>
    </row>
    <row r="217" spans="1:5" x14ac:dyDescent="0.3">
      <c r="A217" s="64" t="s">
        <v>400</v>
      </c>
      <c r="B217" s="64" t="s">
        <v>4291</v>
      </c>
      <c r="C217" s="64" t="s">
        <v>3216</v>
      </c>
      <c r="D217" s="64" t="s">
        <v>20</v>
      </c>
      <c r="E217" s="82">
        <v>1</v>
      </c>
    </row>
    <row r="218" spans="1:5" x14ac:dyDescent="0.3">
      <c r="A218" s="64" t="s">
        <v>400</v>
      </c>
      <c r="B218" s="64" t="s">
        <v>4291</v>
      </c>
      <c r="C218" s="64" t="s">
        <v>3218</v>
      </c>
      <c r="D218" s="64" t="s">
        <v>20</v>
      </c>
      <c r="E218" s="82">
        <v>1</v>
      </c>
    </row>
    <row r="219" spans="1:5" x14ac:dyDescent="0.3">
      <c r="A219" s="64" t="s">
        <v>400</v>
      </c>
      <c r="B219" s="64" t="s">
        <v>4291</v>
      </c>
      <c r="C219" s="64" t="s">
        <v>3219</v>
      </c>
      <c r="D219" s="64" t="s">
        <v>20</v>
      </c>
      <c r="E219" s="82">
        <v>1</v>
      </c>
    </row>
    <row r="220" spans="1:5" x14ac:dyDescent="0.3">
      <c r="A220" s="64" t="s">
        <v>400</v>
      </c>
      <c r="B220" s="64" t="s">
        <v>4293</v>
      </c>
      <c r="C220" s="64"/>
      <c r="D220" s="64"/>
      <c r="E220" s="82">
        <v>3</v>
      </c>
    </row>
    <row r="221" spans="1:5" x14ac:dyDescent="0.3">
      <c r="A221" s="64" t="s">
        <v>400</v>
      </c>
      <c r="B221" s="64" t="s">
        <v>823</v>
      </c>
      <c r="C221" s="64" t="s">
        <v>4279</v>
      </c>
      <c r="D221" s="64" t="s">
        <v>20</v>
      </c>
      <c r="E221" s="82">
        <v>4</v>
      </c>
    </row>
    <row r="222" spans="1:5" x14ac:dyDescent="0.3">
      <c r="A222" s="64" t="s">
        <v>400</v>
      </c>
      <c r="B222" s="64" t="s">
        <v>823</v>
      </c>
      <c r="C222" s="64" t="s">
        <v>4279</v>
      </c>
      <c r="D222" s="64" t="s">
        <v>16</v>
      </c>
      <c r="E222" s="82">
        <v>12</v>
      </c>
    </row>
    <row r="223" spans="1:5" x14ac:dyDescent="0.3">
      <c r="A223" s="64" t="s">
        <v>400</v>
      </c>
      <c r="B223" s="64" t="s">
        <v>823</v>
      </c>
      <c r="C223" s="64" t="s">
        <v>3633</v>
      </c>
      <c r="D223" s="64" t="s">
        <v>20</v>
      </c>
      <c r="E223" s="82">
        <v>1</v>
      </c>
    </row>
    <row r="224" spans="1:5" x14ac:dyDescent="0.3">
      <c r="A224" s="64" t="s">
        <v>400</v>
      </c>
      <c r="B224" s="64" t="s">
        <v>823</v>
      </c>
      <c r="C224" s="64" t="s">
        <v>3633</v>
      </c>
      <c r="D224" s="64" t="s">
        <v>16</v>
      </c>
      <c r="E224" s="82">
        <v>16</v>
      </c>
    </row>
    <row r="225" spans="1:5" x14ac:dyDescent="0.3">
      <c r="A225" s="64" t="s">
        <v>400</v>
      </c>
      <c r="B225" s="64" t="s">
        <v>823</v>
      </c>
      <c r="C225" s="64" t="s">
        <v>3770</v>
      </c>
      <c r="D225" s="64" t="s">
        <v>20</v>
      </c>
      <c r="E225" s="82">
        <v>1</v>
      </c>
    </row>
    <row r="226" spans="1:5" x14ac:dyDescent="0.3">
      <c r="A226" s="64" t="s">
        <v>400</v>
      </c>
      <c r="B226" s="64" t="s">
        <v>823</v>
      </c>
      <c r="C226" s="64" t="s">
        <v>3770</v>
      </c>
      <c r="D226" s="64" t="s">
        <v>16</v>
      </c>
      <c r="E226" s="82">
        <v>3</v>
      </c>
    </row>
    <row r="227" spans="1:5" x14ac:dyDescent="0.3">
      <c r="A227" s="64" t="s">
        <v>400</v>
      </c>
      <c r="B227" s="64" t="s">
        <v>5160</v>
      </c>
      <c r="C227" s="64"/>
      <c r="D227" s="64"/>
      <c r="E227" s="82">
        <v>37</v>
      </c>
    </row>
    <row r="228" spans="1:5" x14ac:dyDescent="0.3">
      <c r="A228" s="64" t="s">
        <v>400</v>
      </c>
      <c r="B228" s="64" t="s">
        <v>5177</v>
      </c>
      <c r="C228" s="64" t="s">
        <v>5178</v>
      </c>
      <c r="D228" s="64" t="s">
        <v>20</v>
      </c>
      <c r="E228" s="82">
        <v>1</v>
      </c>
    </row>
    <row r="229" spans="1:5" x14ac:dyDescent="0.3">
      <c r="A229" s="64" t="s">
        <v>400</v>
      </c>
      <c r="B229" s="64" t="s">
        <v>7271</v>
      </c>
      <c r="C229" s="64"/>
      <c r="D229" s="64"/>
      <c r="E229" s="82">
        <v>1</v>
      </c>
    </row>
    <row r="230" spans="1:5" x14ac:dyDescent="0.3">
      <c r="A230" s="64" t="s">
        <v>584</v>
      </c>
      <c r="B230" s="64"/>
      <c r="C230" s="64"/>
      <c r="D230" s="64"/>
      <c r="E230" s="82">
        <v>1991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BA917-8AB0-4ECB-A398-0E4B2E83046A}">
  <dimension ref="A10:H2001"/>
  <sheetViews>
    <sheetView zoomScale="70" zoomScaleNormal="70" workbookViewId="0">
      <selection activeCell="C13" sqref="C11:C2001"/>
      <pivotSelection pane="bottomRight" showHeader="1" dimension="2" activeRow="12" activeCol="2" click="1" r:id="rId1">
        <pivotArea dataOnly="0" labelOnly="1" outline="0" fieldPosition="0">
          <references count="1">
            <reference field="5" count="0"/>
          </references>
        </pivotArea>
      </pivotSelection>
    </sheetView>
  </sheetViews>
  <sheetFormatPr baseColWidth="10" defaultRowHeight="14.4" x14ac:dyDescent="0.3"/>
  <cols>
    <col min="1" max="1" width="7.44140625" customWidth="1"/>
    <col min="3" max="3" width="26.109375" customWidth="1"/>
    <col min="4" max="4" width="22.88671875" customWidth="1"/>
    <col min="5" max="5" width="23.5546875" customWidth="1"/>
    <col min="6" max="6" width="20.88671875" customWidth="1"/>
    <col min="7" max="7" width="49.5546875" customWidth="1"/>
    <col min="8" max="8" width="201.44140625" bestFit="1" customWidth="1"/>
  </cols>
  <sheetData>
    <row r="10" spans="1:8" x14ac:dyDescent="0.3">
      <c r="A10" s="65" t="s">
        <v>0</v>
      </c>
      <c r="B10" s="65" t="s">
        <v>2</v>
      </c>
      <c r="C10" s="65" t="s">
        <v>3</v>
      </c>
      <c r="D10" s="65" t="s">
        <v>4</v>
      </c>
      <c r="E10" s="65" t="s">
        <v>5</v>
      </c>
      <c r="F10" s="65" t="s">
        <v>6</v>
      </c>
      <c r="G10" s="65" t="s">
        <v>10</v>
      </c>
      <c r="H10" s="65" t="s">
        <v>21</v>
      </c>
    </row>
    <row r="11" spans="1:8" x14ac:dyDescent="0.3">
      <c r="A11" s="64" t="s">
        <v>392</v>
      </c>
      <c r="B11" s="64" t="s">
        <v>404</v>
      </c>
      <c r="C11" s="64" t="s">
        <v>1838</v>
      </c>
      <c r="D11" s="64" t="s">
        <v>1876</v>
      </c>
      <c r="E11" s="64" t="s">
        <v>20</v>
      </c>
      <c r="F11" s="64" t="s">
        <v>15</v>
      </c>
      <c r="G11" s="64" t="s">
        <v>7272</v>
      </c>
      <c r="H11" s="64" t="s">
        <v>982</v>
      </c>
    </row>
    <row r="12" spans="1:8" x14ac:dyDescent="0.3">
      <c r="A12" s="64" t="s">
        <v>393</v>
      </c>
      <c r="B12" s="64" t="s">
        <v>404</v>
      </c>
      <c r="C12" s="64" t="s">
        <v>1838</v>
      </c>
      <c r="D12" s="64" t="s">
        <v>1876</v>
      </c>
      <c r="E12" s="64" t="s">
        <v>16</v>
      </c>
      <c r="F12" s="64" t="s">
        <v>368</v>
      </c>
      <c r="G12" s="64" t="s">
        <v>7273</v>
      </c>
      <c r="H12" s="64" t="s">
        <v>7274</v>
      </c>
    </row>
    <row r="13" spans="1:8" x14ac:dyDescent="0.3">
      <c r="A13" s="64" t="s">
        <v>405</v>
      </c>
      <c r="B13" s="64" t="s">
        <v>404</v>
      </c>
      <c r="C13" s="64" t="s">
        <v>1838</v>
      </c>
      <c r="D13" s="64" t="s">
        <v>1876</v>
      </c>
      <c r="E13" s="64" t="s">
        <v>16</v>
      </c>
      <c r="F13" s="64" t="s">
        <v>369</v>
      </c>
      <c r="G13" s="64" t="s">
        <v>7275</v>
      </c>
      <c r="H13" s="64" t="s">
        <v>7276</v>
      </c>
    </row>
    <row r="14" spans="1:8" x14ac:dyDescent="0.3">
      <c r="A14" s="64" t="s">
        <v>406</v>
      </c>
      <c r="B14" s="64" t="s">
        <v>404</v>
      </c>
      <c r="C14" s="64" t="s">
        <v>1838</v>
      </c>
      <c r="D14" s="64" t="s">
        <v>1876</v>
      </c>
      <c r="E14" s="64" t="s">
        <v>16</v>
      </c>
      <c r="F14" s="64" t="s">
        <v>370</v>
      </c>
      <c r="G14" s="64" t="s">
        <v>7277</v>
      </c>
      <c r="H14" s="64" t="s">
        <v>7278</v>
      </c>
    </row>
    <row r="15" spans="1:8" x14ac:dyDescent="0.3">
      <c r="A15" s="64" t="s">
        <v>407</v>
      </c>
      <c r="B15" s="64" t="s">
        <v>404</v>
      </c>
      <c r="C15" s="64" t="s">
        <v>1838</v>
      </c>
      <c r="D15" s="64" t="s">
        <v>1876</v>
      </c>
      <c r="E15" s="64" t="s">
        <v>16</v>
      </c>
      <c r="F15" s="64" t="s">
        <v>371</v>
      </c>
      <c r="G15" s="64" t="s">
        <v>7279</v>
      </c>
      <c r="H15" s="64" t="s">
        <v>7280</v>
      </c>
    </row>
    <row r="16" spans="1:8" x14ac:dyDescent="0.3">
      <c r="A16" s="64" t="s">
        <v>408</v>
      </c>
      <c r="B16" s="64" t="s">
        <v>404</v>
      </c>
      <c r="C16" s="64" t="s">
        <v>1838</v>
      </c>
      <c r="D16" s="64" t="s">
        <v>1876</v>
      </c>
      <c r="E16" s="64" t="s">
        <v>16</v>
      </c>
      <c r="F16" s="64" t="s">
        <v>372</v>
      </c>
      <c r="G16" s="64" t="s">
        <v>7281</v>
      </c>
      <c r="H16" s="64" t="s">
        <v>7282</v>
      </c>
    </row>
    <row r="17" spans="1:8" x14ac:dyDescent="0.3">
      <c r="A17" s="64" t="s">
        <v>409</v>
      </c>
      <c r="B17" s="64" t="s">
        <v>404</v>
      </c>
      <c r="C17" s="64" t="s">
        <v>1838</v>
      </c>
      <c r="D17" s="64" t="s">
        <v>1876</v>
      </c>
      <c r="E17" s="64" t="s">
        <v>16</v>
      </c>
      <c r="F17" s="64" t="s">
        <v>373</v>
      </c>
      <c r="G17" s="64" t="s">
        <v>7283</v>
      </c>
      <c r="H17" s="64" t="s">
        <v>7284</v>
      </c>
    </row>
    <row r="18" spans="1:8" x14ac:dyDescent="0.3">
      <c r="A18" s="64" t="s">
        <v>410</v>
      </c>
      <c r="B18" s="64" t="s">
        <v>404</v>
      </c>
      <c r="C18" s="64" t="s">
        <v>1838</v>
      </c>
      <c r="D18" s="64" t="s">
        <v>1876</v>
      </c>
      <c r="E18" s="64" t="s">
        <v>16</v>
      </c>
      <c r="F18" s="64" t="s">
        <v>374</v>
      </c>
      <c r="G18" s="64" t="s">
        <v>7285</v>
      </c>
      <c r="H18" s="64" t="s">
        <v>7286</v>
      </c>
    </row>
    <row r="19" spans="1:8" x14ac:dyDescent="0.3">
      <c r="A19" s="64" t="s">
        <v>411</v>
      </c>
      <c r="B19" s="64" t="s">
        <v>404</v>
      </c>
      <c r="C19" s="64" t="s">
        <v>1838</v>
      </c>
      <c r="D19" s="64" t="s">
        <v>1876</v>
      </c>
      <c r="E19" s="64" t="s">
        <v>16</v>
      </c>
      <c r="F19" s="64" t="s">
        <v>375</v>
      </c>
      <c r="G19" s="64" t="s">
        <v>7287</v>
      </c>
      <c r="H19" s="64" t="s">
        <v>7288</v>
      </c>
    </row>
    <row r="20" spans="1:8" x14ac:dyDescent="0.3">
      <c r="A20" s="64" t="s">
        <v>412</v>
      </c>
      <c r="B20" s="64" t="s">
        <v>404</v>
      </c>
      <c r="C20" s="64" t="s">
        <v>1838</v>
      </c>
      <c r="D20" s="64" t="s">
        <v>1876</v>
      </c>
      <c r="E20" s="64" t="s">
        <v>16</v>
      </c>
      <c r="F20" s="64" t="s">
        <v>376</v>
      </c>
      <c r="G20" s="64" t="s">
        <v>7289</v>
      </c>
      <c r="H20" s="64" t="s">
        <v>7290</v>
      </c>
    </row>
    <row r="21" spans="1:8" x14ac:dyDescent="0.3">
      <c r="A21" s="64" t="s">
        <v>413</v>
      </c>
      <c r="B21" s="64" t="s">
        <v>404</v>
      </c>
      <c r="C21" s="64" t="s">
        <v>1838</v>
      </c>
      <c r="D21" s="64" t="s">
        <v>1876</v>
      </c>
      <c r="E21" s="64" t="s">
        <v>16</v>
      </c>
      <c r="F21" s="64" t="s">
        <v>377</v>
      </c>
      <c r="G21" s="64" t="s">
        <v>7291</v>
      </c>
      <c r="H21" s="64" t="s">
        <v>7292</v>
      </c>
    </row>
    <row r="22" spans="1:8" x14ac:dyDescent="0.3">
      <c r="A22" s="64" t="s">
        <v>414</v>
      </c>
      <c r="B22" s="64" t="s">
        <v>404</v>
      </c>
      <c r="C22" s="64" t="s">
        <v>1838</v>
      </c>
      <c r="D22" s="64" t="s">
        <v>1876</v>
      </c>
      <c r="E22" s="64" t="s">
        <v>16</v>
      </c>
      <c r="F22" s="64" t="s">
        <v>378</v>
      </c>
      <c r="G22" s="64" t="s">
        <v>7293</v>
      </c>
      <c r="H22" s="64" t="s">
        <v>7294</v>
      </c>
    </row>
    <row r="23" spans="1:8" x14ac:dyDescent="0.3">
      <c r="A23" s="64" t="s">
        <v>415</v>
      </c>
      <c r="B23" s="64" t="s">
        <v>404</v>
      </c>
      <c r="C23" s="64" t="s">
        <v>1838</v>
      </c>
      <c r="D23" s="64" t="s">
        <v>1876</v>
      </c>
      <c r="E23" s="64" t="s">
        <v>16</v>
      </c>
      <c r="F23" s="64" t="s">
        <v>379</v>
      </c>
      <c r="G23" s="64" t="s">
        <v>7295</v>
      </c>
      <c r="H23" s="64" t="s">
        <v>7296</v>
      </c>
    </row>
    <row r="24" spans="1:8" x14ac:dyDescent="0.3">
      <c r="A24" s="64" t="s">
        <v>416</v>
      </c>
      <c r="B24" s="64" t="s">
        <v>404</v>
      </c>
      <c r="C24" s="64" t="s">
        <v>1838</v>
      </c>
      <c r="D24" s="64" t="s">
        <v>1876</v>
      </c>
      <c r="E24" s="64" t="s">
        <v>16</v>
      </c>
      <c r="F24" s="64" t="s">
        <v>380</v>
      </c>
      <c r="G24" s="64" t="s">
        <v>7297</v>
      </c>
      <c r="H24" s="64" t="s">
        <v>7298</v>
      </c>
    </row>
    <row r="25" spans="1:8" x14ac:dyDescent="0.3">
      <c r="A25" s="64" t="s">
        <v>417</v>
      </c>
      <c r="B25" s="64" t="s">
        <v>404</v>
      </c>
      <c r="C25" s="64" t="s">
        <v>1838</v>
      </c>
      <c r="D25" s="64" t="s">
        <v>1876</v>
      </c>
      <c r="E25" s="64" t="s">
        <v>16</v>
      </c>
      <c r="F25" s="64" t="s">
        <v>381</v>
      </c>
      <c r="G25" s="64" t="s">
        <v>7299</v>
      </c>
      <c r="H25" s="64" t="s">
        <v>7300</v>
      </c>
    </row>
    <row r="26" spans="1:8" x14ac:dyDescent="0.3">
      <c r="A26" s="64" t="s">
        <v>418</v>
      </c>
      <c r="B26" s="64" t="s">
        <v>404</v>
      </c>
      <c r="C26" s="64" t="s">
        <v>1838</v>
      </c>
      <c r="D26" s="64" t="s">
        <v>1876</v>
      </c>
      <c r="E26" s="64" t="s">
        <v>16</v>
      </c>
      <c r="F26" s="64" t="s">
        <v>382</v>
      </c>
      <c r="G26" s="64" t="s">
        <v>7301</v>
      </c>
      <c r="H26" s="64" t="s">
        <v>7302</v>
      </c>
    </row>
    <row r="27" spans="1:8" x14ac:dyDescent="0.3">
      <c r="A27" s="64" t="s">
        <v>419</v>
      </c>
      <c r="B27" s="64" t="s">
        <v>404</v>
      </c>
      <c r="C27" s="64" t="s">
        <v>1838</v>
      </c>
      <c r="D27" s="64" t="s">
        <v>1876</v>
      </c>
      <c r="E27" s="64" t="s">
        <v>16</v>
      </c>
      <c r="F27" s="64" t="s">
        <v>383</v>
      </c>
      <c r="G27" s="64" t="s">
        <v>7303</v>
      </c>
      <c r="H27" s="64" t="s">
        <v>7304</v>
      </c>
    </row>
    <row r="28" spans="1:8" x14ac:dyDescent="0.3">
      <c r="A28" s="64" t="s">
        <v>420</v>
      </c>
      <c r="B28" s="64" t="s">
        <v>14</v>
      </c>
      <c r="C28" s="64" t="s">
        <v>3606</v>
      </c>
      <c r="D28" s="64" t="s">
        <v>4290</v>
      </c>
      <c r="E28" s="64" t="s">
        <v>16</v>
      </c>
      <c r="F28" s="64" t="s">
        <v>368</v>
      </c>
      <c r="G28" s="64" t="s">
        <v>7305</v>
      </c>
      <c r="H28" s="64" t="s">
        <v>7306</v>
      </c>
    </row>
    <row r="29" spans="1:8" x14ac:dyDescent="0.3">
      <c r="A29" s="64" t="s">
        <v>425</v>
      </c>
      <c r="B29" s="64" t="s">
        <v>14</v>
      </c>
      <c r="C29" s="64" t="s">
        <v>3606</v>
      </c>
      <c r="D29" s="64" t="s">
        <v>4290</v>
      </c>
      <c r="E29" s="64" t="s">
        <v>16</v>
      </c>
      <c r="F29" s="64" t="s">
        <v>369</v>
      </c>
      <c r="G29" s="64" t="s">
        <v>7307</v>
      </c>
      <c r="H29" s="64" t="s">
        <v>7308</v>
      </c>
    </row>
    <row r="30" spans="1:8" x14ac:dyDescent="0.3">
      <c r="A30" s="64" t="s">
        <v>426</v>
      </c>
      <c r="B30" s="64" t="s">
        <v>14</v>
      </c>
      <c r="C30" s="64" t="s">
        <v>3606</v>
      </c>
      <c r="D30" s="64" t="s">
        <v>4290</v>
      </c>
      <c r="E30" s="64" t="s">
        <v>16</v>
      </c>
      <c r="F30" s="64" t="s">
        <v>370</v>
      </c>
      <c r="G30" s="64" t="s">
        <v>7309</v>
      </c>
      <c r="H30" s="64" t="s">
        <v>7310</v>
      </c>
    </row>
    <row r="31" spans="1:8" x14ac:dyDescent="0.3">
      <c r="A31" s="64" t="s">
        <v>427</v>
      </c>
      <c r="B31" s="64" t="s">
        <v>14</v>
      </c>
      <c r="C31" s="64" t="s">
        <v>3606</v>
      </c>
      <c r="D31" s="64" t="s">
        <v>4290</v>
      </c>
      <c r="E31" s="64" t="s">
        <v>16</v>
      </c>
      <c r="F31" s="64" t="s">
        <v>371</v>
      </c>
      <c r="G31" s="64" t="s">
        <v>7311</v>
      </c>
      <c r="H31" s="64" t="s">
        <v>7312</v>
      </c>
    </row>
    <row r="32" spans="1:8" x14ac:dyDescent="0.3">
      <c r="A32" s="64" t="s">
        <v>430</v>
      </c>
      <c r="B32" s="64" t="s">
        <v>14</v>
      </c>
      <c r="C32" s="64" t="s">
        <v>3606</v>
      </c>
      <c r="D32" s="64" t="s">
        <v>4290</v>
      </c>
      <c r="E32" s="64" t="s">
        <v>16</v>
      </c>
      <c r="F32" s="64" t="s">
        <v>372</v>
      </c>
      <c r="G32" s="64" t="s">
        <v>7313</v>
      </c>
      <c r="H32" s="64" t="s">
        <v>7314</v>
      </c>
    </row>
    <row r="33" spans="1:8" x14ac:dyDescent="0.3">
      <c r="A33" s="64" t="s">
        <v>431</v>
      </c>
      <c r="B33" s="64" t="s">
        <v>14</v>
      </c>
      <c r="C33" s="64" t="s">
        <v>3606</v>
      </c>
      <c r="D33" s="64" t="s">
        <v>4290</v>
      </c>
      <c r="E33" s="64" t="s">
        <v>16</v>
      </c>
      <c r="F33" s="64" t="s">
        <v>373</v>
      </c>
      <c r="G33" s="64" t="s">
        <v>7315</v>
      </c>
      <c r="H33" s="64" t="s">
        <v>7316</v>
      </c>
    </row>
    <row r="34" spans="1:8" x14ac:dyDescent="0.3">
      <c r="A34" s="64" t="s">
        <v>432</v>
      </c>
      <c r="B34" s="64" t="s">
        <v>14</v>
      </c>
      <c r="C34" s="64" t="s">
        <v>3606</v>
      </c>
      <c r="D34" s="64" t="s">
        <v>4290</v>
      </c>
      <c r="E34" s="64" t="s">
        <v>16</v>
      </c>
      <c r="F34" s="64" t="s">
        <v>374</v>
      </c>
      <c r="G34" s="64" t="s">
        <v>7317</v>
      </c>
      <c r="H34" s="64" t="s">
        <v>7318</v>
      </c>
    </row>
    <row r="35" spans="1:8" x14ac:dyDescent="0.3">
      <c r="A35" s="64" t="s">
        <v>433</v>
      </c>
      <c r="B35" s="64" t="s">
        <v>14</v>
      </c>
      <c r="C35" s="64" t="s">
        <v>3606</v>
      </c>
      <c r="D35" s="64" t="s">
        <v>4290</v>
      </c>
      <c r="E35" s="64" t="s">
        <v>16</v>
      </c>
      <c r="F35" s="64" t="s">
        <v>375</v>
      </c>
      <c r="G35" s="64" t="s">
        <v>7319</v>
      </c>
      <c r="H35" s="64" t="s">
        <v>7320</v>
      </c>
    </row>
    <row r="36" spans="1:8" x14ac:dyDescent="0.3">
      <c r="A36" s="64" t="s">
        <v>434</v>
      </c>
      <c r="B36" s="64" t="s">
        <v>14</v>
      </c>
      <c r="C36" s="64" t="s">
        <v>3606</v>
      </c>
      <c r="D36" s="64" t="s">
        <v>4290</v>
      </c>
      <c r="E36" s="64" t="s">
        <v>16</v>
      </c>
      <c r="F36" s="64" t="s">
        <v>376</v>
      </c>
      <c r="G36" s="64" t="s">
        <v>7321</v>
      </c>
      <c r="H36" s="64" t="s">
        <v>7322</v>
      </c>
    </row>
    <row r="37" spans="1:8" x14ac:dyDescent="0.3">
      <c r="A37" s="64" t="s">
        <v>435</v>
      </c>
      <c r="B37" s="64" t="s">
        <v>14</v>
      </c>
      <c r="C37" s="64" t="s">
        <v>3606</v>
      </c>
      <c r="D37" s="64" t="s">
        <v>4290</v>
      </c>
      <c r="E37" s="64" t="s">
        <v>16</v>
      </c>
      <c r="F37" s="64" t="s">
        <v>377</v>
      </c>
      <c r="G37" s="64" t="s">
        <v>7323</v>
      </c>
      <c r="H37" s="64" t="s">
        <v>7324</v>
      </c>
    </row>
    <row r="38" spans="1:8" x14ac:dyDescent="0.3">
      <c r="A38" s="64" t="s">
        <v>436</v>
      </c>
      <c r="B38" s="64" t="s">
        <v>14</v>
      </c>
      <c r="C38" s="64" t="s">
        <v>3606</v>
      </c>
      <c r="D38" s="64" t="s">
        <v>4290</v>
      </c>
      <c r="E38" s="64" t="s">
        <v>16</v>
      </c>
      <c r="F38" s="64" t="s">
        <v>379</v>
      </c>
      <c r="G38" s="64" t="s">
        <v>7325</v>
      </c>
      <c r="H38" s="64" t="s">
        <v>7326</v>
      </c>
    </row>
    <row r="39" spans="1:8" x14ac:dyDescent="0.3">
      <c r="A39" s="64" t="s">
        <v>437</v>
      </c>
      <c r="B39" s="64" t="s">
        <v>14</v>
      </c>
      <c r="C39" s="64" t="s">
        <v>3606</v>
      </c>
      <c r="D39" s="64" t="s">
        <v>4290</v>
      </c>
      <c r="E39" s="64" t="s">
        <v>16</v>
      </c>
      <c r="F39" s="64" t="s">
        <v>380</v>
      </c>
      <c r="G39" s="64" t="s">
        <v>7327</v>
      </c>
      <c r="H39" s="64" t="s">
        <v>7328</v>
      </c>
    </row>
    <row r="40" spans="1:8" x14ac:dyDescent="0.3">
      <c r="A40" s="64" t="s">
        <v>438</v>
      </c>
      <c r="B40" s="64" t="s">
        <v>14</v>
      </c>
      <c r="C40" s="64" t="s">
        <v>3606</v>
      </c>
      <c r="D40" s="64" t="s">
        <v>4290</v>
      </c>
      <c r="E40" s="64" t="s">
        <v>16</v>
      </c>
      <c r="F40" s="64" t="s">
        <v>381</v>
      </c>
      <c r="G40" s="64" t="s">
        <v>7329</v>
      </c>
      <c r="H40" s="64" t="s">
        <v>7330</v>
      </c>
    </row>
    <row r="41" spans="1:8" x14ac:dyDescent="0.3">
      <c r="A41" s="64" t="s">
        <v>439</v>
      </c>
      <c r="B41" s="64" t="s">
        <v>14</v>
      </c>
      <c r="C41" s="64" t="s">
        <v>3606</v>
      </c>
      <c r="D41" s="64" t="s">
        <v>4290</v>
      </c>
      <c r="E41" s="64" t="s">
        <v>16</v>
      </c>
      <c r="F41" s="64" t="s">
        <v>382</v>
      </c>
      <c r="G41" s="64" t="s">
        <v>7331</v>
      </c>
      <c r="H41" s="64" t="s">
        <v>7332</v>
      </c>
    </row>
    <row r="42" spans="1:8" x14ac:dyDescent="0.3">
      <c r="A42" s="64" t="s">
        <v>440</v>
      </c>
      <c r="B42" s="64" t="s">
        <v>14</v>
      </c>
      <c r="C42" s="64" t="s">
        <v>3606</v>
      </c>
      <c r="D42" s="64" t="s">
        <v>4290</v>
      </c>
      <c r="E42" s="64" t="s">
        <v>16</v>
      </c>
      <c r="F42" s="64" t="s">
        <v>383</v>
      </c>
      <c r="G42" s="64" t="s">
        <v>7333</v>
      </c>
      <c r="H42" s="64" t="s">
        <v>7334</v>
      </c>
    </row>
    <row r="43" spans="1:8" x14ac:dyDescent="0.3">
      <c r="A43" s="64" t="s">
        <v>441</v>
      </c>
      <c r="B43" s="64" t="s">
        <v>459</v>
      </c>
      <c r="C43" s="64" t="s">
        <v>460</v>
      </c>
      <c r="D43" s="64" t="s">
        <v>1877</v>
      </c>
      <c r="E43" s="64" t="s">
        <v>20</v>
      </c>
      <c r="F43" s="64" t="s">
        <v>15</v>
      </c>
      <c r="G43" s="64" t="s">
        <v>7335</v>
      </c>
      <c r="H43" s="64" t="s">
        <v>983</v>
      </c>
    </row>
    <row r="44" spans="1:8" x14ac:dyDescent="0.3">
      <c r="A44" s="64" t="s">
        <v>442</v>
      </c>
      <c r="B44" s="64" t="s">
        <v>459</v>
      </c>
      <c r="C44" s="64" t="s">
        <v>460</v>
      </c>
      <c r="D44" s="64" t="s">
        <v>1877</v>
      </c>
      <c r="E44" s="64" t="s">
        <v>16</v>
      </c>
      <c r="F44" s="64" t="s">
        <v>368</v>
      </c>
      <c r="G44" s="64" t="s">
        <v>7336</v>
      </c>
      <c r="H44" s="64" t="s">
        <v>7337</v>
      </c>
    </row>
    <row r="45" spans="1:8" x14ac:dyDescent="0.3">
      <c r="A45" s="64" t="s">
        <v>443</v>
      </c>
      <c r="B45" s="64" t="s">
        <v>459</v>
      </c>
      <c r="C45" s="64" t="s">
        <v>460</v>
      </c>
      <c r="D45" s="64" t="s">
        <v>1877</v>
      </c>
      <c r="E45" s="64" t="s">
        <v>16</v>
      </c>
      <c r="F45" s="64" t="s">
        <v>369</v>
      </c>
      <c r="G45" s="64" t="s">
        <v>7338</v>
      </c>
      <c r="H45" s="64" t="s">
        <v>7339</v>
      </c>
    </row>
    <row r="46" spans="1:8" x14ac:dyDescent="0.3">
      <c r="A46" s="64" t="s">
        <v>444</v>
      </c>
      <c r="B46" s="64" t="s">
        <v>459</v>
      </c>
      <c r="C46" s="64" t="s">
        <v>460</v>
      </c>
      <c r="D46" s="64" t="s">
        <v>1877</v>
      </c>
      <c r="E46" s="64" t="s">
        <v>16</v>
      </c>
      <c r="F46" s="64" t="s">
        <v>370</v>
      </c>
      <c r="G46" s="64" t="s">
        <v>7340</v>
      </c>
      <c r="H46" s="64" t="s">
        <v>7341</v>
      </c>
    </row>
    <row r="47" spans="1:8" x14ac:dyDescent="0.3">
      <c r="A47" s="64" t="s">
        <v>445</v>
      </c>
      <c r="B47" s="64" t="s">
        <v>459</v>
      </c>
      <c r="C47" s="64" t="s">
        <v>460</v>
      </c>
      <c r="D47" s="64" t="s">
        <v>1877</v>
      </c>
      <c r="E47" s="64" t="s">
        <v>16</v>
      </c>
      <c r="F47" s="64" t="s">
        <v>371</v>
      </c>
      <c r="G47" s="64" t="s">
        <v>7342</v>
      </c>
      <c r="H47" s="64" t="s">
        <v>7343</v>
      </c>
    </row>
    <row r="48" spans="1:8" x14ac:dyDescent="0.3">
      <c r="A48" s="64" t="s">
        <v>446</v>
      </c>
      <c r="B48" s="64" t="s">
        <v>459</v>
      </c>
      <c r="C48" s="64" t="s">
        <v>460</v>
      </c>
      <c r="D48" s="64" t="s">
        <v>1877</v>
      </c>
      <c r="E48" s="64" t="s">
        <v>16</v>
      </c>
      <c r="F48" s="64" t="s">
        <v>372</v>
      </c>
      <c r="G48" s="64" t="s">
        <v>7344</v>
      </c>
      <c r="H48" s="64" t="s">
        <v>7345</v>
      </c>
    </row>
    <row r="49" spans="1:8" x14ac:dyDescent="0.3">
      <c r="A49" s="64" t="s">
        <v>447</v>
      </c>
      <c r="B49" s="64" t="s">
        <v>459</v>
      </c>
      <c r="C49" s="64" t="s">
        <v>460</v>
      </c>
      <c r="D49" s="64" t="s">
        <v>1877</v>
      </c>
      <c r="E49" s="64" t="s">
        <v>16</v>
      </c>
      <c r="F49" s="64" t="s">
        <v>373</v>
      </c>
      <c r="G49" s="64" t="s">
        <v>7346</v>
      </c>
      <c r="H49" s="64" t="s">
        <v>7347</v>
      </c>
    </row>
    <row r="50" spans="1:8" x14ac:dyDescent="0.3">
      <c r="A50" s="64" t="s">
        <v>448</v>
      </c>
      <c r="B50" s="64" t="s">
        <v>459</v>
      </c>
      <c r="C50" s="64" t="s">
        <v>460</v>
      </c>
      <c r="D50" s="64" t="s">
        <v>1877</v>
      </c>
      <c r="E50" s="64" t="s">
        <v>16</v>
      </c>
      <c r="F50" s="64" t="s">
        <v>374</v>
      </c>
      <c r="G50" s="64" t="s">
        <v>7348</v>
      </c>
      <c r="H50" s="64" t="s">
        <v>7349</v>
      </c>
    </row>
    <row r="51" spans="1:8" x14ac:dyDescent="0.3">
      <c r="A51" s="64" t="s">
        <v>449</v>
      </c>
      <c r="B51" s="64" t="s">
        <v>459</v>
      </c>
      <c r="C51" s="64" t="s">
        <v>460</v>
      </c>
      <c r="D51" s="64" t="s">
        <v>1877</v>
      </c>
      <c r="E51" s="64" t="s">
        <v>16</v>
      </c>
      <c r="F51" s="64" t="s">
        <v>375</v>
      </c>
      <c r="G51" s="64" t="s">
        <v>7350</v>
      </c>
      <c r="H51" s="64" t="s">
        <v>7351</v>
      </c>
    </row>
    <row r="52" spans="1:8" x14ac:dyDescent="0.3">
      <c r="A52" s="64" t="s">
        <v>450</v>
      </c>
      <c r="B52" s="64" t="s">
        <v>459</v>
      </c>
      <c r="C52" s="64" t="s">
        <v>460</v>
      </c>
      <c r="D52" s="64" t="s">
        <v>1877</v>
      </c>
      <c r="E52" s="64" t="s">
        <v>16</v>
      </c>
      <c r="F52" s="64" t="s">
        <v>376</v>
      </c>
      <c r="G52" s="64" t="s">
        <v>7352</v>
      </c>
      <c r="H52" s="64" t="s">
        <v>7353</v>
      </c>
    </row>
    <row r="53" spans="1:8" x14ac:dyDescent="0.3">
      <c r="A53" s="64" t="s">
        <v>451</v>
      </c>
      <c r="B53" s="64" t="s">
        <v>459</v>
      </c>
      <c r="C53" s="64" t="s">
        <v>460</v>
      </c>
      <c r="D53" s="64" t="s">
        <v>1877</v>
      </c>
      <c r="E53" s="64" t="s">
        <v>16</v>
      </c>
      <c r="F53" s="64" t="s">
        <v>377</v>
      </c>
      <c r="G53" s="64" t="s">
        <v>7354</v>
      </c>
      <c r="H53" s="64" t="s">
        <v>7355</v>
      </c>
    </row>
    <row r="54" spans="1:8" x14ac:dyDescent="0.3">
      <c r="A54" s="64" t="s">
        <v>452</v>
      </c>
      <c r="B54" s="64" t="s">
        <v>459</v>
      </c>
      <c r="C54" s="64" t="s">
        <v>460</v>
      </c>
      <c r="D54" s="64" t="s">
        <v>1877</v>
      </c>
      <c r="E54" s="64" t="s">
        <v>16</v>
      </c>
      <c r="F54" s="64" t="s">
        <v>378</v>
      </c>
      <c r="G54" s="64" t="s">
        <v>7356</v>
      </c>
      <c r="H54" s="64" t="s">
        <v>7357</v>
      </c>
    </row>
    <row r="55" spans="1:8" x14ac:dyDescent="0.3">
      <c r="A55" s="64" t="s">
        <v>453</v>
      </c>
      <c r="B55" s="64" t="s">
        <v>459</v>
      </c>
      <c r="C55" s="64" t="s">
        <v>460</v>
      </c>
      <c r="D55" s="64" t="s">
        <v>1877</v>
      </c>
      <c r="E55" s="64" t="s">
        <v>16</v>
      </c>
      <c r="F55" s="64" t="s">
        <v>379</v>
      </c>
      <c r="G55" s="64" t="s">
        <v>7358</v>
      </c>
      <c r="H55" s="64" t="s">
        <v>7359</v>
      </c>
    </row>
    <row r="56" spans="1:8" x14ac:dyDescent="0.3">
      <c r="A56" s="64" t="s">
        <v>454</v>
      </c>
      <c r="B56" s="64" t="s">
        <v>459</v>
      </c>
      <c r="C56" s="64" t="s">
        <v>460</v>
      </c>
      <c r="D56" s="64" t="s">
        <v>1877</v>
      </c>
      <c r="E56" s="64" t="s">
        <v>16</v>
      </c>
      <c r="F56" s="64" t="s">
        <v>380</v>
      </c>
      <c r="G56" s="64" t="s">
        <v>7360</v>
      </c>
      <c r="H56" s="64" t="s">
        <v>7361</v>
      </c>
    </row>
    <row r="57" spans="1:8" x14ac:dyDescent="0.3">
      <c r="A57" s="64" t="s">
        <v>455</v>
      </c>
      <c r="B57" s="64" t="s">
        <v>459</v>
      </c>
      <c r="C57" s="64" t="s">
        <v>460</v>
      </c>
      <c r="D57" s="64" t="s">
        <v>1877</v>
      </c>
      <c r="E57" s="64" t="s">
        <v>16</v>
      </c>
      <c r="F57" s="64" t="s">
        <v>381</v>
      </c>
      <c r="G57" s="64" t="s">
        <v>7362</v>
      </c>
      <c r="H57" s="64" t="s">
        <v>7363</v>
      </c>
    </row>
    <row r="58" spans="1:8" x14ac:dyDescent="0.3">
      <c r="A58" s="64" t="s">
        <v>461</v>
      </c>
      <c r="B58" s="64" t="s">
        <v>459</v>
      </c>
      <c r="C58" s="64" t="s">
        <v>460</v>
      </c>
      <c r="D58" s="64" t="s">
        <v>1877</v>
      </c>
      <c r="E58" s="64" t="s">
        <v>16</v>
      </c>
      <c r="F58" s="64" t="s">
        <v>382</v>
      </c>
      <c r="G58" s="64" t="s">
        <v>7364</v>
      </c>
      <c r="H58" s="64" t="s">
        <v>7365</v>
      </c>
    </row>
    <row r="59" spans="1:8" x14ac:dyDescent="0.3">
      <c r="A59" s="64" t="s">
        <v>462</v>
      </c>
      <c r="B59" s="64" t="s">
        <v>459</v>
      </c>
      <c r="C59" s="64" t="s">
        <v>460</v>
      </c>
      <c r="D59" s="64" t="s">
        <v>1877</v>
      </c>
      <c r="E59" s="64" t="s">
        <v>16</v>
      </c>
      <c r="F59" s="64" t="s">
        <v>383</v>
      </c>
      <c r="G59" s="64" t="s">
        <v>7366</v>
      </c>
      <c r="H59" s="64" t="s">
        <v>7367</v>
      </c>
    </row>
    <row r="60" spans="1:8" x14ac:dyDescent="0.3">
      <c r="A60" s="64" t="s">
        <v>463</v>
      </c>
      <c r="B60" s="64" t="s">
        <v>404</v>
      </c>
      <c r="C60" s="64" t="s">
        <v>1839</v>
      </c>
      <c r="D60" s="64" t="s">
        <v>1876</v>
      </c>
      <c r="E60" s="64" t="s">
        <v>20</v>
      </c>
      <c r="F60" s="64" t="s">
        <v>15</v>
      </c>
      <c r="G60" s="64" t="s">
        <v>986</v>
      </c>
      <c r="H60" s="64" t="s">
        <v>985</v>
      </c>
    </row>
    <row r="61" spans="1:8" x14ac:dyDescent="0.3">
      <c r="A61" s="64" t="s">
        <v>464</v>
      </c>
      <c r="B61" s="64" t="s">
        <v>404</v>
      </c>
      <c r="C61" s="64" t="s">
        <v>1837</v>
      </c>
      <c r="D61" s="64" t="s">
        <v>1876</v>
      </c>
      <c r="E61" s="64" t="s">
        <v>20</v>
      </c>
      <c r="F61" s="64" t="s">
        <v>15</v>
      </c>
      <c r="G61" s="64" t="s">
        <v>7368</v>
      </c>
      <c r="H61" s="64" t="s">
        <v>984</v>
      </c>
    </row>
    <row r="62" spans="1:8" x14ac:dyDescent="0.3">
      <c r="A62" s="64" t="s">
        <v>465</v>
      </c>
      <c r="B62" s="64" t="s">
        <v>404</v>
      </c>
      <c r="C62" s="64" t="s">
        <v>1837</v>
      </c>
      <c r="D62" s="64" t="s">
        <v>1876</v>
      </c>
      <c r="E62" s="64" t="s">
        <v>16</v>
      </c>
      <c r="F62" s="64" t="s">
        <v>368</v>
      </c>
      <c r="G62" s="64" t="s">
        <v>7369</v>
      </c>
      <c r="H62" s="64" t="s">
        <v>7370</v>
      </c>
    </row>
    <row r="63" spans="1:8" x14ac:dyDescent="0.3">
      <c r="A63" s="64" t="s">
        <v>1400</v>
      </c>
      <c r="B63" s="64" t="s">
        <v>404</v>
      </c>
      <c r="C63" s="64" t="s">
        <v>1837</v>
      </c>
      <c r="D63" s="64" t="s">
        <v>1876</v>
      </c>
      <c r="E63" s="64" t="s">
        <v>16</v>
      </c>
      <c r="F63" s="64" t="s">
        <v>369</v>
      </c>
      <c r="G63" s="64" t="s">
        <v>7371</v>
      </c>
      <c r="H63" s="64" t="s">
        <v>7372</v>
      </c>
    </row>
    <row r="64" spans="1:8" x14ac:dyDescent="0.3">
      <c r="A64" s="64" t="s">
        <v>1401</v>
      </c>
      <c r="B64" s="64" t="s">
        <v>404</v>
      </c>
      <c r="C64" s="64" t="s">
        <v>1837</v>
      </c>
      <c r="D64" s="64" t="s">
        <v>1876</v>
      </c>
      <c r="E64" s="64" t="s">
        <v>16</v>
      </c>
      <c r="F64" s="64" t="s">
        <v>370</v>
      </c>
      <c r="G64" s="64" t="s">
        <v>7373</v>
      </c>
      <c r="H64" s="64" t="s">
        <v>7374</v>
      </c>
    </row>
    <row r="65" spans="1:8" x14ac:dyDescent="0.3">
      <c r="A65" s="64" t="s">
        <v>1402</v>
      </c>
      <c r="B65" s="64" t="s">
        <v>404</v>
      </c>
      <c r="C65" s="64" t="s">
        <v>1837</v>
      </c>
      <c r="D65" s="64" t="s">
        <v>1876</v>
      </c>
      <c r="E65" s="64" t="s">
        <v>16</v>
      </c>
      <c r="F65" s="64" t="s">
        <v>371</v>
      </c>
      <c r="G65" s="64" t="s">
        <v>7375</v>
      </c>
      <c r="H65" s="64" t="s">
        <v>7376</v>
      </c>
    </row>
    <row r="66" spans="1:8" x14ac:dyDescent="0.3">
      <c r="A66" s="64" t="s">
        <v>1403</v>
      </c>
      <c r="B66" s="64" t="s">
        <v>404</v>
      </c>
      <c r="C66" s="64" t="s">
        <v>1837</v>
      </c>
      <c r="D66" s="64" t="s">
        <v>1876</v>
      </c>
      <c r="E66" s="64" t="s">
        <v>16</v>
      </c>
      <c r="F66" s="64" t="s">
        <v>372</v>
      </c>
      <c r="G66" s="64" t="s">
        <v>7377</v>
      </c>
      <c r="H66" s="64" t="s">
        <v>7378</v>
      </c>
    </row>
    <row r="67" spans="1:8" x14ac:dyDescent="0.3">
      <c r="A67" s="64" t="s">
        <v>1404</v>
      </c>
      <c r="B67" s="64" t="s">
        <v>404</v>
      </c>
      <c r="C67" s="64" t="s">
        <v>1837</v>
      </c>
      <c r="D67" s="64" t="s">
        <v>1876</v>
      </c>
      <c r="E67" s="64" t="s">
        <v>16</v>
      </c>
      <c r="F67" s="64" t="s">
        <v>373</v>
      </c>
      <c r="G67" s="64" t="s">
        <v>7379</v>
      </c>
      <c r="H67" s="64" t="s">
        <v>7380</v>
      </c>
    </row>
    <row r="68" spans="1:8" x14ac:dyDescent="0.3">
      <c r="A68" s="64" t="s">
        <v>1405</v>
      </c>
      <c r="B68" s="64" t="s">
        <v>404</v>
      </c>
      <c r="C68" s="64" t="s">
        <v>1837</v>
      </c>
      <c r="D68" s="64" t="s">
        <v>1876</v>
      </c>
      <c r="E68" s="64" t="s">
        <v>16</v>
      </c>
      <c r="F68" s="64" t="s">
        <v>374</v>
      </c>
      <c r="G68" s="64" t="s">
        <v>7381</v>
      </c>
      <c r="H68" s="64" t="s">
        <v>7382</v>
      </c>
    </row>
    <row r="69" spans="1:8" x14ac:dyDescent="0.3">
      <c r="A69" s="64" t="s">
        <v>1406</v>
      </c>
      <c r="B69" s="64" t="s">
        <v>404</v>
      </c>
      <c r="C69" s="64" t="s">
        <v>1837</v>
      </c>
      <c r="D69" s="64" t="s">
        <v>1876</v>
      </c>
      <c r="E69" s="64" t="s">
        <v>16</v>
      </c>
      <c r="F69" s="64" t="s">
        <v>375</v>
      </c>
      <c r="G69" s="64" t="s">
        <v>7383</v>
      </c>
      <c r="H69" s="64" t="s">
        <v>7384</v>
      </c>
    </row>
    <row r="70" spans="1:8" x14ac:dyDescent="0.3">
      <c r="A70" s="64" t="s">
        <v>1407</v>
      </c>
      <c r="B70" s="64" t="s">
        <v>404</v>
      </c>
      <c r="C70" s="64" t="s">
        <v>1837</v>
      </c>
      <c r="D70" s="64" t="s">
        <v>1876</v>
      </c>
      <c r="E70" s="64" t="s">
        <v>16</v>
      </c>
      <c r="F70" s="64" t="s">
        <v>376</v>
      </c>
      <c r="G70" s="64" t="s">
        <v>7385</v>
      </c>
      <c r="H70" s="64" t="s">
        <v>7386</v>
      </c>
    </row>
    <row r="71" spans="1:8" x14ac:dyDescent="0.3">
      <c r="A71" s="64" t="s">
        <v>1408</v>
      </c>
      <c r="B71" s="64" t="s">
        <v>404</v>
      </c>
      <c r="C71" s="64" t="s">
        <v>1837</v>
      </c>
      <c r="D71" s="64" t="s">
        <v>1876</v>
      </c>
      <c r="E71" s="64" t="s">
        <v>16</v>
      </c>
      <c r="F71" s="64" t="s">
        <v>377</v>
      </c>
      <c r="G71" s="64" t="s">
        <v>7387</v>
      </c>
      <c r="H71" s="64" t="s">
        <v>7388</v>
      </c>
    </row>
    <row r="72" spans="1:8" x14ac:dyDescent="0.3">
      <c r="A72" s="64" t="s">
        <v>1409</v>
      </c>
      <c r="B72" s="64" t="s">
        <v>404</v>
      </c>
      <c r="C72" s="64" t="s">
        <v>1837</v>
      </c>
      <c r="D72" s="64" t="s">
        <v>1876</v>
      </c>
      <c r="E72" s="64" t="s">
        <v>16</v>
      </c>
      <c r="F72" s="64" t="s">
        <v>378</v>
      </c>
      <c r="G72" s="64" t="s">
        <v>7389</v>
      </c>
      <c r="H72" s="64" t="s">
        <v>7390</v>
      </c>
    </row>
    <row r="73" spans="1:8" x14ac:dyDescent="0.3">
      <c r="A73" s="64" t="s">
        <v>1410</v>
      </c>
      <c r="B73" s="64" t="s">
        <v>404</v>
      </c>
      <c r="C73" s="64" t="s">
        <v>1837</v>
      </c>
      <c r="D73" s="64" t="s">
        <v>1876</v>
      </c>
      <c r="E73" s="64" t="s">
        <v>16</v>
      </c>
      <c r="F73" s="64" t="s">
        <v>379</v>
      </c>
      <c r="G73" s="64" t="s">
        <v>7391</v>
      </c>
      <c r="H73" s="64" t="s">
        <v>7392</v>
      </c>
    </row>
    <row r="74" spans="1:8" x14ac:dyDescent="0.3">
      <c r="A74" s="64" t="s">
        <v>1411</v>
      </c>
      <c r="B74" s="64" t="s">
        <v>404</v>
      </c>
      <c r="C74" s="64" t="s">
        <v>1837</v>
      </c>
      <c r="D74" s="64" t="s">
        <v>1876</v>
      </c>
      <c r="E74" s="64" t="s">
        <v>16</v>
      </c>
      <c r="F74" s="64" t="s">
        <v>380</v>
      </c>
      <c r="G74" s="64" t="s">
        <v>7393</v>
      </c>
      <c r="H74" s="64" t="s">
        <v>7394</v>
      </c>
    </row>
    <row r="75" spans="1:8" x14ac:dyDescent="0.3">
      <c r="A75" s="64" t="s">
        <v>1412</v>
      </c>
      <c r="B75" s="64" t="s">
        <v>404</v>
      </c>
      <c r="C75" s="64" t="s">
        <v>1837</v>
      </c>
      <c r="D75" s="64" t="s">
        <v>1876</v>
      </c>
      <c r="E75" s="64" t="s">
        <v>16</v>
      </c>
      <c r="F75" s="64" t="s">
        <v>381</v>
      </c>
      <c r="G75" s="64" t="s">
        <v>7395</v>
      </c>
      <c r="H75" s="64" t="s">
        <v>7396</v>
      </c>
    </row>
    <row r="76" spans="1:8" x14ac:dyDescent="0.3">
      <c r="A76" s="64" t="s">
        <v>1413</v>
      </c>
      <c r="B76" s="64" t="s">
        <v>404</v>
      </c>
      <c r="C76" s="64" t="s">
        <v>1837</v>
      </c>
      <c r="D76" s="64" t="s">
        <v>1876</v>
      </c>
      <c r="E76" s="64" t="s">
        <v>16</v>
      </c>
      <c r="F76" s="64" t="s">
        <v>382</v>
      </c>
      <c r="G76" s="64" t="s">
        <v>7397</v>
      </c>
      <c r="H76" s="64" t="s">
        <v>7398</v>
      </c>
    </row>
    <row r="77" spans="1:8" x14ac:dyDescent="0.3">
      <c r="A77" s="64" t="s">
        <v>1414</v>
      </c>
      <c r="B77" s="64" t="s">
        <v>404</v>
      </c>
      <c r="C77" s="64" t="s">
        <v>1837</v>
      </c>
      <c r="D77" s="64" t="s">
        <v>1876</v>
      </c>
      <c r="E77" s="64" t="s">
        <v>16</v>
      </c>
      <c r="F77" s="64" t="s">
        <v>383</v>
      </c>
      <c r="G77" s="64" t="s">
        <v>7399</v>
      </c>
      <c r="H77" s="64" t="s">
        <v>7400</v>
      </c>
    </row>
    <row r="78" spans="1:8" x14ac:dyDescent="0.3">
      <c r="A78" s="64" t="s">
        <v>1415</v>
      </c>
      <c r="B78" s="64" t="s">
        <v>502</v>
      </c>
      <c r="C78" s="64" t="s">
        <v>421</v>
      </c>
      <c r="D78" s="64" t="s">
        <v>3605</v>
      </c>
      <c r="E78" s="64" t="s">
        <v>20</v>
      </c>
      <c r="F78" s="64" t="s">
        <v>15</v>
      </c>
      <c r="G78" s="64" t="s">
        <v>7401</v>
      </c>
      <c r="H78" s="64" t="s">
        <v>503</v>
      </c>
    </row>
    <row r="79" spans="1:8" x14ac:dyDescent="0.3">
      <c r="A79" s="64" t="s">
        <v>466</v>
      </c>
      <c r="B79" s="64" t="s">
        <v>502</v>
      </c>
      <c r="C79" s="64" t="s">
        <v>421</v>
      </c>
      <c r="D79" s="64" t="s">
        <v>3605</v>
      </c>
      <c r="E79" s="64" t="s">
        <v>16</v>
      </c>
      <c r="F79" s="64" t="s">
        <v>368</v>
      </c>
      <c r="G79" s="64" t="s">
        <v>7402</v>
      </c>
      <c r="H79" s="64" t="s">
        <v>7403</v>
      </c>
    </row>
    <row r="80" spans="1:8" x14ac:dyDescent="0.3">
      <c r="A80" s="64" t="s">
        <v>467</v>
      </c>
      <c r="B80" s="64" t="s">
        <v>502</v>
      </c>
      <c r="C80" s="64" t="s">
        <v>421</v>
      </c>
      <c r="D80" s="64" t="s">
        <v>3605</v>
      </c>
      <c r="E80" s="64" t="s">
        <v>16</v>
      </c>
      <c r="F80" s="64" t="s">
        <v>369</v>
      </c>
      <c r="G80" s="64" t="s">
        <v>7404</v>
      </c>
      <c r="H80" s="64" t="s">
        <v>7405</v>
      </c>
    </row>
    <row r="81" spans="1:8" x14ac:dyDescent="0.3">
      <c r="A81" s="64" t="s">
        <v>468</v>
      </c>
      <c r="B81" s="64" t="s">
        <v>502</v>
      </c>
      <c r="C81" s="64" t="s">
        <v>421</v>
      </c>
      <c r="D81" s="64" t="s">
        <v>3605</v>
      </c>
      <c r="E81" s="64" t="s">
        <v>16</v>
      </c>
      <c r="F81" s="64" t="s">
        <v>370</v>
      </c>
      <c r="G81" s="64" t="s">
        <v>7406</v>
      </c>
      <c r="H81" s="64" t="s">
        <v>7407</v>
      </c>
    </row>
    <row r="82" spans="1:8" x14ac:dyDescent="0.3">
      <c r="A82" s="64" t="s">
        <v>469</v>
      </c>
      <c r="B82" s="64" t="s">
        <v>502</v>
      </c>
      <c r="C82" s="64" t="s">
        <v>421</v>
      </c>
      <c r="D82" s="64" t="s">
        <v>3605</v>
      </c>
      <c r="E82" s="64" t="s">
        <v>16</v>
      </c>
      <c r="F82" s="64" t="s">
        <v>371</v>
      </c>
      <c r="G82" s="64" t="s">
        <v>7408</v>
      </c>
      <c r="H82" s="64" t="s">
        <v>7409</v>
      </c>
    </row>
    <row r="83" spans="1:8" x14ac:dyDescent="0.3">
      <c r="A83" s="64" t="s">
        <v>470</v>
      </c>
      <c r="B83" s="64" t="s">
        <v>502</v>
      </c>
      <c r="C83" s="64" t="s">
        <v>421</v>
      </c>
      <c r="D83" s="64" t="s">
        <v>3605</v>
      </c>
      <c r="E83" s="64" t="s">
        <v>16</v>
      </c>
      <c r="F83" s="64" t="s">
        <v>372</v>
      </c>
      <c r="G83" s="64" t="s">
        <v>7410</v>
      </c>
      <c r="H83" s="64" t="s">
        <v>7411</v>
      </c>
    </row>
    <row r="84" spans="1:8" x14ac:dyDescent="0.3">
      <c r="A84" s="64" t="s">
        <v>471</v>
      </c>
      <c r="B84" s="64" t="s">
        <v>502</v>
      </c>
      <c r="C84" s="64" t="s">
        <v>421</v>
      </c>
      <c r="D84" s="64" t="s">
        <v>3605</v>
      </c>
      <c r="E84" s="64" t="s">
        <v>16</v>
      </c>
      <c r="F84" s="64" t="s">
        <v>373</v>
      </c>
      <c r="G84" s="64" t="s">
        <v>7412</v>
      </c>
      <c r="H84" s="64" t="s">
        <v>7413</v>
      </c>
    </row>
    <row r="85" spans="1:8" x14ac:dyDescent="0.3">
      <c r="A85" s="64" t="s">
        <v>472</v>
      </c>
      <c r="B85" s="64" t="s">
        <v>502</v>
      </c>
      <c r="C85" s="64" t="s">
        <v>421</v>
      </c>
      <c r="D85" s="64" t="s">
        <v>3605</v>
      </c>
      <c r="E85" s="64" t="s">
        <v>16</v>
      </c>
      <c r="F85" s="64" t="s">
        <v>374</v>
      </c>
      <c r="G85" s="64" t="s">
        <v>7414</v>
      </c>
      <c r="H85" s="64" t="s">
        <v>7415</v>
      </c>
    </row>
    <row r="86" spans="1:8" x14ac:dyDescent="0.3">
      <c r="A86" s="64" t="s">
        <v>473</v>
      </c>
      <c r="B86" s="64" t="s">
        <v>502</v>
      </c>
      <c r="C86" s="64" t="s">
        <v>421</v>
      </c>
      <c r="D86" s="64" t="s">
        <v>3605</v>
      </c>
      <c r="E86" s="64" t="s">
        <v>16</v>
      </c>
      <c r="F86" s="64" t="s">
        <v>375</v>
      </c>
      <c r="G86" s="64" t="s">
        <v>7416</v>
      </c>
      <c r="H86" s="64" t="s">
        <v>7417</v>
      </c>
    </row>
    <row r="87" spans="1:8" x14ac:dyDescent="0.3">
      <c r="A87" s="64" t="s">
        <v>474</v>
      </c>
      <c r="B87" s="64" t="s">
        <v>502</v>
      </c>
      <c r="C87" s="64" t="s">
        <v>421</v>
      </c>
      <c r="D87" s="64" t="s">
        <v>3605</v>
      </c>
      <c r="E87" s="64" t="s">
        <v>16</v>
      </c>
      <c r="F87" s="64" t="s">
        <v>376</v>
      </c>
      <c r="G87" s="64" t="s">
        <v>7418</v>
      </c>
      <c r="H87" s="64" t="s">
        <v>7419</v>
      </c>
    </row>
    <row r="88" spans="1:8" x14ac:dyDescent="0.3">
      <c r="A88" s="64" t="s">
        <v>475</v>
      </c>
      <c r="B88" s="64" t="s">
        <v>502</v>
      </c>
      <c r="C88" s="64" t="s">
        <v>421</v>
      </c>
      <c r="D88" s="64" t="s">
        <v>3605</v>
      </c>
      <c r="E88" s="64" t="s">
        <v>16</v>
      </c>
      <c r="F88" s="64" t="s">
        <v>377</v>
      </c>
      <c r="G88" s="64" t="s">
        <v>7420</v>
      </c>
      <c r="H88" s="64" t="s">
        <v>7421</v>
      </c>
    </row>
    <row r="89" spans="1:8" x14ac:dyDescent="0.3">
      <c r="A89" s="64" t="s">
        <v>476</v>
      </c>
      <c r="B89" s="64" t="s">
        <v>502</v>
      </c>
      <c r="C89" s="64" t="s">
        <v>421</v>
      </c>
      <c r="D89" s="64" t="s">
        <v>3605</v>
      </c>
      <c r="E89" s="64" t="s">
        <v>16</v>
      </c>
      <c r="F89" s="64" t="s">
        <v>378</v>
      </c>
      <c r="G89" s="64" t="s">
        <v>7422</v>
      </c>
      <c r="H89" s="64" t="s">
        <v>7423</v>
      </c>
    </row>
    <row r="90" spans="1:8" x14ac:dyDescent="0.3">
      <c r="A90" s="64" t="s">
        <v>477</v>
      </c>
      <c r="B90" s="64" t="s">
        <v>502</v>
      </c>
      <c r="C90" s="64" t="s">
        <v>421</v>
      </c>
      <c r="D90" s="64" t="s">
        <v>3605</v>
      </c>
      <c r="E90" s="64" t="s">
        <v>16</v>
      </c>
      <c r="F90" s="64" t="s">
        <v>379</v>
      </c>
      <c r="G90" s="64" t="s">
        <v>7424</v>
      </c>
      <c r="H90" s="64" t="s">
        <v>7425</v>
      </c>
    </row>
    <row r="91" spans="1:8" x14ac:dyDescent="0.3">
      <c r="A91" s="64" t="s">
        <v>478</v>
      </c>
      <c r="B91" s="64" t="s">
        <v>502</v>
      </c>
      <c r="C91" s="64" t="s">
        <v>421</v>
      </c>
      <c r="D91" s="64" t="s">
        <v>3605</v>
      </c>
      <c r="E91" s="64" t="s">
        <v>16</v>
      </c>
      <c r="F91" s="64" t="s">
        <v>380</v>
      </c>
      <c r="G91" s="64" t="s">
        <v>7426</v>
      </c>
      <c r="H91" s="64" t="s">
        <v>7427</v>
      </c>
    </row>
    <row r="92" spans="1:8" x14ac:dyDescent="0.3">
      <c r="A92" s="64" t="s">
        <v>479</v>
      </c>
      <c r="B92" s="64" t="s">
        <v>502</v>
      </c>
      <c r="C92" s="64" t="s">
        <v>421</v>
      </c>
      <c r="D92" s="64" t="s">
        <v>3605</v>
      </c>
      <c r="E92" s="64" t="s">
        <v>16</v>
      </c>
      <c r="F92" s="64" t="s">
        <v>381</v>
      </c>
      <c r="G92" s="64" t="s">
        <v>7428</v>
      </c>
      <c r="H92" s="64" t="s">
        <v>7429</v>
      </c>
    </row>
    <row r="93" spans="1:8" x14ac:dyDescent="0.3">
      <c r="A93" s="64" t="s">
        <v>480</v>
      </c>
      <c r="B93" s="64" t="s">
        <v>502</v>
      </c>
      <c r="C93" s="64" t="s">
        <v>421</v>
      </c>
      <c r="D93" s="64" t="s">
        <v>3605</v>
      </c>
      <c r="E93" s="64" t="s">
        <v>16</v>
      </c>
      <c r="F93" s="64" t="s">
        <v>383</v>
      </c>
      <c r="G93" s="64" t="s">
        <v>7430</v>
      </c>
      <c r="H93" s="64" t="s">
        <v>7431</v>
      </c>
    </row>
    <row r="94" spans="1:8" x14ac:dyDescent="0.3">
      <c r="A94" s="64" t="s">
        <v>481</v>
      </c>
      <c r="B94" s="64" t="s">
        <v>568</v>
      </c>
      <c r="C94" s="64" t="s">
        <v>5163</v>
      </c>
      <c r="D94" s="64" t="s">
        <v>569</v>
      </c>
      <c r="E94" s="64" t="s">
        <v>20</v>
      </c>
      <c r="F94" s="64" t="s">
        <v>15</v>
      </c>
      <c r="G94" s="64" t="s">
        <v>7432</v>
      </c>
      <c r="H94" s="64" t="s">
        <v>1526</v>
      </c>
    </row>
    <row r="95" spans="1:8" x14ac:dyDescent="0.3">
      <c r="A95" s="64" t="s">
        <v>482</v>
      </c>
      <c r="B95" s="64" t="s">
        <v>568</v>
      </c>
      <c r="C95" s="64" t="s">
        <v>5163</v>
      </c>
      <c r="D95" s="64" t="s">
        <v>569</v>
      </c>
      <c r="E95" s="64" t="s">
        <v>16</v>
      </c>
      <c r="F95" s="64" t="s">
        <v>368</v>
      </c>
      <c r="G95" s="64" t="s">
        <v>7433</v>
      </c>
      <c r="H95" s="64" t="s">
        <v>7434</v>
      </c>
    </row>
    <row r="96" spans="1:8" x14ac:dyDescent="0.3">
      <c r="A96" s="64" t="s">
        <v>483</v>
      </c>
      <c r="B96" s="64" t="s">
        <v>568</v>
      </c>
      <c r="C96" s="64" t="s">
        <v>5163</v>
      </c>
      <c r="D96" s="64" t="s">
        <v>569</v>
      </c>
      <c r="E96" s="64" t="s">
        <v>16</v>
      </c>
      <c r="F96" s="64" t="s">
        <v>369</v>
      </c>
      <c r="G96" s="64" t="s">
        <v>7435</v>
      </c>
      <c r="H96" s="64" t="s">
        <v>7436</v>
      </c>
    </row>
    <row r="97" spans="1:8" x14ac:dyDescent="0.3">
      <c r="A97" s="64" t="s">
        <v>484</v>
      </c>
      <c r="B97" s="64" t="s">
        <v>568</v>
      </c>
      <c r="C97" s="64" t="s">
        <v>5163</v>
      </c>
      <c r="D97" s="64" t="s">
        <v>569</v>
      </c>
      <c r="E97" s="64" t="s">
        <v>16</v>
      </c>
      <c r="F97" s="64" t="s">
        <v>370</v>
      </c>
      <c r="G97" s="64" t="s">
        <v>7437</v>
      </c>
      <c r="H97" s="64" t="s">
        <v>7438</v>
      </c>
    </row>
    <row r="98" spans="1:8" x14ac:dyDescent="0.3">
      <c r="A98" s="64" t="s">
        <v>485</v>
      </c>
      <c r="B98" s="64" t="s">
        <v>568</v>
      </c>
      <c r="C98" s="64" t="s">
        <v>5163</v>
      </c>
      <c r="D98" s="64" t="s">
        <v>569</v>
      </c>
      <c r="E98" s="64" t="s">
        <v>16</v>
      </c>
      <c r="F98" s="64" t="s">
        <v>371</v>
      </c>
      <c r="G98" s="64" t="s">
        <v>7439</v>
      </c>
      <c r="H98" s="64" t="s">
        <v>7440</v>
      </c>
    </row>
    <row r="99" spans="1:8" x14ac:dyDescent="0.3">
      <c r="A99" s="64" t="s">
        <v>486</v>
      </c>
      <c r="B99" s="64" t="s">
        <v>568</v>
      </c>
      <c r="C99" s="64" t="s">
        <v>5163</v>
      </c>
      <c r="D99" s="64" t="s">
        <v>569</v>
      </c>
      <c r="E99" s="64" t="s">
        <v>16</v>
      </c>
      <c r="F99" s="64" t="s">
        <v>372</v>
      </c>
      <c r="G99" s="64" t="s">
        <v>7441</v>
      </c>
      <c r="H99" s="64" t="s">
        <v>7442</v>
      </c>
    </row>
    <row r="100" spans="1:8" x14ac:dyDescent="0.3">
      <c r="A100" s="64" t="s">
        <v>487</v>
      </c>
      <c r="B100" s="64" t="s">
        <v>568</v>
      </c>
      <c r="C100" s="64" t="s">
        <v>5163</v>
      </c>
      <c r="D100" s="64" t="s">
        <v>569</v>
      </c>
      <c r="E100" s="64" t="s">
        <v>16</v>
      </c>
      <c r="F100" s="64" t="s">
        <v>373</v>
      </c>
      <c r="G100" s="64" t="s">
        <v>7443</v>
      </c>
      <c r="H100" s="64" t="s">
        <v>7444</v>
      </c>
    </row>
    <row r="101" spans="1:8" x14ac:dyDescent="0.3">
      <c r="A101" s="64" t="s">
        <v>488</v>
      </c>
      <c r="B101" s="64" t="s">
        <v>568</v>
      </c>
      <c r="C101" s="64" t="s">
        <v>5163</v>
      </c>
      <c r="D101" s="64" t="s">
        <v>569</v>
      </c>
      <c r="E101" s="64" t="s">
        <v>16</v>
      </c>
      <c r="F101" s="64" t="s">
        <v>374</v>
      </c>
      <c r="G101" s="64" t="s">
        <v>7445</v>
      </c>
      <c r="H101" s="64" t="s">
        <v>7446</v>
      </c>
    </row>
    <row r="102" spans="1:8" x14ac:dyDescent="0.3">
      <c r="A102" s="64" t="s">
        <v>489</v>
      </c>
      <c r="B102" s="64" t="s">
        <v>568</v>
      </c>
      <c r="C102" s="64" t="s">
        <v>5163</v>
      </c>
      <c r="D102" s="64" t="s">
        <v>569</v>
      </c>
      <c r="E102" s="64" t="s">
        <v>16</v>
      </c>
      <c r="F102" s="64" t="s">
        <v>375</v>
      </c>
      <c r="G102" s="64" t="s">
        <v>7447</v>
      </c>
      <c r="H102" s="64" t="s">
        <v>7448</v>
      </c>
    </row>
    <row r="103" spans="1:8" x14ac:dyDescent="0.3">
      <c r="A103" s="64" t="s">
        <v>490</v>
      </c>
      <c r="B103" s="64" t="s">
        <v>568</v>
      </c>
      <c r="C103" s="64" t="s">
        <v>5163</v>
      </c>
      <c r="D103" s="64" t="s">
        <v>569</v>
      </c>
      <c r="E103" s="64" t="s">
        <v>16</v>
      </c>
      <c r="F103" s="64" t="s">
        <v>376</v>
      </c>
      <c r="G103" s="64" t="s">
        <v>7449</v>
      </c>
      <c r="H103" s="64" t="s">
        <v>7450</v>
      </c>
    </row>
    <row r="104" spans="1:8" x14ac:dyDescent="0.3">
      <c r="A104" s="64" t="s">
        <v>491</v>
      </c>
      <c r="B104" s="64" t="s">
        <v>568</v>
      </c>
      <c r="C104" s="64" t="s">
        <v>5163</v>
      </c>
      <c r="D104" s="64" t="s">
        <v>569</v>
      </c>
      <c r="E104" s="64" t="s">
        <v>16</v>
      </c>
      <c r="F104" s="64" t="s">
        <v>377</v>
      </c>
      <c r="G104" s="64" t="s">
        <v>7451</v>
      </c>
      <c r="H104" s="64" t="s">
        <v>7452</v>
      </c>
    </row>
    <row r="105" spans="1:8" x14ac:dyDescent="0.3">
      <c r="A105" s="64" t="s">
        <v>492</v>
      </c>
      <c r="B105" s="64" t="s">
        <v>568</v>
      </c>
      <c r="C105" s="64" t="s">
        <v>5163</v>
      </c>
      <c r="D105" s="64" t="s">
        <v>569</v>
      </c>
      <c r="E105" s="64" t="s">
        <v>16</v>
      </c>
      <c r="F105" s="64" t="s">
        <v>378</v>
      </c>
      <c r="G105" s="64" t="s">
        <v>7453</v>
      </c>
      <c r="H105" s="64" t="s">
        <v>7454</v>
      </c>
    </row>
    <row r="106" spans="1:8" x14ac:dyDescent="0.3">
      <c r="A106" s="64" t="s">
        <v>493</v>
      </c>
      <c r="B106" s="64" t="s">
        <v>568</v>
      </c>
      <c r="C106" s="64" t="s">
        <v>5163</v>
      </c>
      <c r="D106" s="64" t="s">
        <v>569</v>
      </c>
      <c r="E106" s="64" t="s">
        <v>16</v>
      </c>
      <c r="F106" s="64" t="s">
        <v>379</v>
      </c>
      <c r="G106" s="64" t="s">
        <v>7455</v>
      </c>
      <c r="H106" s="64" t="s">
        <v>7456</v>
      </c>
    </row>
    <row r="107" spans="1:8" x14ac:dyDescent="0.3">
      <c r="A107" s="64" t="s">
        <v>494</v>
      </c>
      <c r="B107" s="64" t="s">
        <v>568</v>
      </c>
      <c r="C107" s="64" t="s">
        <v>5163</v>
      </c>
      <c r="D107" s="64" t="s">
        <v>569</v>
      </c>
      <c r="E107" s="64" t="s">
        <v>16</v>
      </c>
      <c r="F107" s="64" t="s">
        <v>380</v>
      </c>
      <c r="G107" s="64" t="s">
        <v>7457</v>
      </c>
      <c r="H107" s="64" t="s">
        <v>7458</v>
      </c>
    </row>
    <row r="108" spans="1:8" x14ac:dyDescent="0.3">
      <c r="A108" s="64" t="s">
        <v>495</v>
      </c>
      <c r="B108" s="64" t="s">
        <v>568</v>
      </c>
      <c r="C108" s="64" t="s">
        <v>5163</v>
      </c>
      <c r="D108" s="64" t="s">
        <v>569</v>
      </c>
      <c r="E108" s="64" t="s">
        <v>16</v>
      </c>
      <c r="F108" s="64" t="s">
        <v>381</v>
      </c>
      <c r="G108" s="64" t="s">
        <v>7459</v>
      </c>
      <c r="H108" s="64" t="s">
        <v>7460</v>
      </c>
    </row>
    <row r="109" spans="1:8" x14ac:dyDescent="0.3">
      <c r="A109" s="64" t="s">
        <v>496</v>
      </c>
      <c r="B109" s="64" t="s">
        <v>568</v>
      </c>
      <c r="C109" s="64" t="s">
        <v>5163</v>
      </c>
      <c r="D109" s="64" t="s">
        <v>569</v>
      </c>
      <c r="E109" s="64" t="s">
        <v>16</v>
      </c>
      <c r="F109" s="64" t="s">
        <v>382</v>
      </c>
      <c r="G109" s="64" t="s">
        <v>7461</v>
      </c>
      <c r="H109" s="64" t="s">
        <v>7462</v>
      </c>
    </row>
    <row r="110" spans="1:8" x14ac:dyDescent="0.3">
      <c r="A110" s="64" t="s">
        <v>497</v>
      </c>
      <c r="B110" s="64" t="s">
        <v>568</v>
      </c>
      <c r="C110" s="64" t="s">
        <v>5163</v>
      </c>
      <c r="D110" s="64" t="s">
        <v>569</v>
      </c>
      <c r="E110" s="64" t="s">
        <v>16</v>
      </c>
      <c r="F110" s="64" t="s">
        <v>383</v>
      </c>
      <c r="G110" s="64" t="s">
        <v>7463</v>
      </c>
      <c r="H110" s="64" t="s">
        <v>7464</v>
      </c>
    </row>
    <row r="111" spans="1:8" x14ac:dyDescent="0.3">
      <c r="A111" s="64" t="s">
        <v>498</v>
      </c>
      <c r="B111" s="64" t="s">
        <v>571</v>
      </c>
      <c r="C111" s="64" t="s">
        <v>572</v>
      </c>
      <c r="D111" s="64" t="s">
        <v>1878</v>
      </c>
      <c r="E111" s="64" t="s">
        <v>20</v>
      </c>
      <c r="F111" s="64" t="s">
        <v>15</v>
      </c>
      <c r="G111" s="64" t="s">
        <v>7465</v>
      </c>
      <c r="H111" s="64" t="s">
        <v>783</v>
      </c>
    </row>
    <row r="112" spans="1:8" x14ac:dyDescent="0.3">
      <c r="A112" s="64" t="s">
        <v>499</v>
      </c>
      <c r="B112" s="64" t="s">
        <v>571</v>
      </c>
      <c r="C112" s="64" t="s">
        <v>572</v>
      </c>
      <c r="D112" s="64" t="s">
        <v>1878</v>
      </c>
      <c r="E112" s="64" t="s">
        <v>20</v>
      </c>
      <c r="F112" s="64" t="s">
        <v>15</v>
      </c>
      <c r="G112" s="64" t="s">
        <v>7466</v>
      </c>
      <c r="H112" s="64" t="s">
        <v>797</v>
      </c>
    </row>
    <row r="113" spans="1:8" x14ac:dyDescent="0.3">
      <c r="A113" s="64" t="s">
        <v>505</v>
      </c>
      <c r="B113" s="64" t="s">
        <v>459</v>
      </c>
      <c r="C113" s="64" t="s">
        <v>577</v>
      </c>
      <c r="D113" s="64" t="s">
        <v>1877</v>
      </c>
      <c r="E113" s="64" t="s">
        <v>20</v>
      </c>
      <c r="F113" s="64" t="s">
        <v>15</v>
      </c>
      <c r="G113" s="64" t="s">
        <v>7467</v>
      </c>
      <c r="H113" s="64" t="s">
        <v>1527</v>
      </c>
    </row>
    <row r="114" spans="1:8" x14ac:dyDescent="0.3">
      <c r="A114" s="64" t="s">
        <v>506</v>
      </c>
      <c r="B114" s="64" t="s">
        <v>459</v>
      </c>
      <c r="C114" s="64" t="s">
        <v>577</v>
      </c>
      <c r="D114" s="64" t="s">
        <v>1877</v>
      </c>
      <c r="E114" s="64" t="s">
        <v>16</v>
      </c>
      <c r="F114" s="64" t="s">
        <v>368</v>
      </c>
      <c r="G114" s="64" t="s">
        <v>7468</v>
      </c>
      <c r="H114" s="64" t="s">
        <v>7469</v>
      </c>
    </row>
    <row r="115" spans="1:8" x14ac:dyDescent="0.3">
      <c r="A115" s="64" t="s">
        <v>507</v>
      </c>
      <c r="B115" s="64" t="s">
        <v>459</v>
      </c>
      <c r="C115" s="64" t="s">
        <v>577</v>
      </c>
      <c r="D115" s="64" t="s">
        <v>1877</v>
      </c>
      <c r="E115" s="64" t="s">
        <v>16</v>
      </c>
      <c r="F115" s="64" t="s">
        <v>369</v>
      </c>
      <c r="G115" s="64" t="s">
        <v>7470</v>
      </c>
      <c r="H115" s="64" t="s">
        <v>7471</v>
      </c>
    </row>
    <row r="116" spans="1:8" x14ac:dyDescent="0.3">
      <c r="A116" s="64" t="s">
        <v>508</v>
      </c>
      <c r="B116" s="64" t="s">
        <v>459</v>
      </c>
      <c r="C116" s="64" t="s">
        <v>577</v>
      </c>
      <c r="D116" s="64" t="s">
        <v>1877</v>
      </c>
      <c r="E116" s="64" t="s">
        <v>16</v>
      </c>
      <c r="F116" s="64" t="s">
        <v>370</v>
      </c>
      <c r="G116" s="64" t="s">
        <v>7472</v>
      </c>
      <c r="H116" s="64" t="s">
        <v>7473</v>
      </c>
    </row>
    <row r="117" spans="1:8" x14ac:dyDescent="0.3">
      <c r="A117" s="64" t="s">
        <v>509</v>
      </c>
      <c r="B117" s="64" t="s">
        <v>459</v>
      </c>
      <c r="C117" s="64" t="s">
        <v>577</v>
      </c>
      <c r="D117" s="64" t="s">
        <v>1877</v>
      </c>
      <c r="E117" s="64" t="s">
        <v>16</v>
      </c>
      <c r="F117" s="64" t="s">
        <v>371</v>
      </c>
      <c r="G117" s="64" t="s">
        <v>7474</v>
      </c>
      <c r="H117" s="64" t="s">
        <v>7475</v>
      </c>
    </row>
    <row r="118" spans="1:8" x14ac:dyDescent="0.3">
      <c r="A118" s="64" t="s">
        <v>510</v>
      </c>
      <c r="B118" s="64" t="s">
        <v>459</v>
      </c>
      <c r="C118" s="64" t="s">
        <v>577</v>
      </c>
      <c r="D118" s="64" t="s">
        <v>1877</v>
      </c>
      <c r="E118" s="64" t="s">
        <v>16</v>
      </c>
      <c r="F118" s="64" t="s">
        <v>372</v>
      </c>
      <c r="G118" s="64" t="s">
        <v>7476</v>
      </c>
      <c r="H118" s="64" t="s">
        <v>7477</v>
      </c>
    </row>
    <row r="119" spans="1:8" x14ac:dyDescent="0.3">
      <c r="A119" s="64" t="s">
        <v>511</v>
      </c>
      <c r="B119" s="64" t="s">
        <v>459</v>
      </c>
      <c r="C119" s="64" t="s">
        <v>577</v>
      </c>
      <c r="D119" s="64" t="s">
        <v>1877</v>
      </c>
      <c r="E119" s="64" t="s">
        <v>16</v>
      </c>
      <c r="F119" s="64" t="s">
        <v>373</v>
      </c>
      <c r="G119" s="64" t="s">
        <v>7478</v>
      </c>
      <c r="H119" s="64" t="s">
        <v>7479</v>
      </c>
    </row>
    <row r="120" spans="1:8" x14ac:dyDescent="0.3">
      <c r="A120" s="64" t="s">
        <v>512</v>
      </c>
      <c r="B120" s="64" t="s">
        <v>459</v>
      </c>
      <c r="C120" s="64" t="s">
        <v>577</v>
      </c>
      <c r="D120" s="64" t="s">
        <v>1877</v>
      </c>
      <c r="E120" s="64" t="s">
        <v>16</v>
      </c>
      <c r="F120" s="64" t="s">
        <v>374</v>
      </c>
      <c r="G120" s="64" t="s">
        <v>7480</v>
      </c>
      <c r="H120" s="64" t="s">
        <v>7481</v>
      </c>
    </row>
    <row r="121" spans="1:8" x14ac:dyDescent="0.3">
      <c r="A121" s="64" t="s">
        <v>513</v>
      </c>
      <c r="B121" s="64" t="s">
        <v>459</v>
      </c>
      <c r="C121" s="64" t="s">
        <v>577</v>
      </c>
      <c r="D121" s="64" t="s">
        <v>1877</v>
      </c>
      <c r="E121" s="64" t="s">
        <v>16</v>
      </c>
      <c r="F121" s="64" t="s">
        <v>375</v>
      </c>
      <c r="G121" s="64" t="s">
        <v>7482</v>
      </c>
      <c r="H121" s="64" t="s">
        <v>7483</v>
      </c>
    </row>
    <row r="122" spans="1:8" x14ac:dyDescent="0.3">
      <c r="A122" s="64" t="s">
        <v>514</v>
      </c>
      <c r="B122" s="64" t="s">
        <v>459</v>
      </c>
      <c r="C122" s="64" t="s">
        <v>577</v>
      </c>
      <c r="D122" s="64" t="s">
        <v>1877</v>
      </c>
      <c r="E122" s="64" t="s">
        <v>16</v>
      </c>
      <c r="F122" s="64" t="s">
        <v>376</v>
      </c>
      <c r="G122" s="64" t="s">
        <v>7484</v>
      </c>
      <c r="H122" s="64" t="s">
        <v>7485</v>
      </c>
    </row>
    <row r="123" spans="1:8" x14ac:dyDescent="0.3">
      <c r="A123" s="64" t="s">
        <v>515</v>
      </c>
      <c r="B123" s="64" t="s">
        <v>459</v>
      </c>
      <c r="C123" s="64" t="s">
        <v>577</v>
      </c>
      <c r="D123" s="64" t="s">
        <v>1877</v>
      </c>
      <c r="E123" s="64" t="s">
        <v>16</v>
      </c>
      <c r="F123" s="64" t="s">
        <v>377</v>
      </c>
      <c r="G123" s="64" t="s">
        <v>7486</v>
      </c>
      <c r="H123" s="64" t="s">
        <v>7487</v>
      </c>
    </row>
    <row r="124" spans="1:8" x14ac:dyDescent="0.3">
      <c r="A124" s="64" t="s">
        <v>516</v>
      </c>
      <c r="B124" s="64" t="s">
        <v>459</v>
      </c>
      <c r="C124" s="64" t="s">
        <v>577</v>
      </c>
      <c r="D124" s="64" t="s">
        <v>1877</v>
      </c>
      <c r="E124" s="64" t="s">
        <v>16</v>
      </c>
      <c r="F124" s="64" t="s">
        <v>378</v>
      </c>
      <c r="G124" s="64" t="s">
        <v>7488</v>
      </c>
      <c r="H124" s="64" t="s">
        <v>7489</v>
      </c>
    </row>
    <row r="125" spans="1:8" x14ac:dyDescent="0.3">
      <c r="A125" s="64" t="s">
        <v>517</v>
      </c>
      <c r="B125" s="64" t="s">
        <v>459</v>
      </c>
      <c r="C125" s="64" t="s">
        <v>577</v>
      </c>
      <c r="D125" s="64" t="s">
        <v>1877</v>
      </c>
      <c r="E125" s="64" t="s">
        <v>16</v>
      </c>
      <c r="F125" s="64" t="s">
        <v>379</v>
      </c>
      <c r="G125" s="64" t="s">
        <v>7490</v>
      </c>
      <c r="H125" s="64" t="s">
        <v>7491</v>
      </c>
    </row>
    <row r="126" spans="1:8" x14ac:dyDescent="0.3">
      <c r="A126" s="64" t="s">
        <v>518</v>
      </c>
      <c r="B126" s="64" t="s">
        <v>459</v>
      </c>
      <c r="C126" s="64" t="s">
        <v>577</v>
      </c>
      <c r="D126" s="64" t="s">
        <v>1877</v>
      </c>
      <c r="E126" s="64" t="s">
        <v>16</v>
      </c>
      <c r="F126" s="64" t="s">
        <v>380</v>
      </c>
      <c r="G126" s="64" t="s">
        <v>7492</v>
      </c>
      <c r="H126" s="64" t="s">
        <v>7493</v>
      </c>
    </row>
    <row r="127" spans="1:8" x14ac:dyDescent="0.3">
      <c r="A127" s="64" t="s">
        <v>519</v>
      </c>
      <c r="B127" s="64" t="s">
        <v>459</v>
      </c>
      <c r="C127" s="64" t="s">
        <v>577</v>
      </c>
      <c r="D127" s="64" t="s">
        <v>1877</v>
      </c>
      <c r="E127" s="64" t="s">
        <v>16</v>
      </c>
      <c r="F127" s="64" t="s">
        <v>381</v>
      </c>
      <c r="G127" s="64" t="s">
        <v>7494</v>
      </c>
      <c r="H127" s="64" t="s">
        <v>7495</v>
      </c>
    </row>
    <row r="128" spans="1:8" x14ac:dyDescent="0.3">
      <c r="A128" s="64" t="s">
        <v>520</v>
      </c>
      <c r="B128" s="64" t="s">
        <v>459</v>
      </c>
      <c r="C128" s="64" t="s">
        <v>577</v>
      </c>
      <c r="D128" s="64" t="s">
        <v>1877</v>
      </c>
      <c r="E128" s="64" t="s">
        <v>16</v>
      </c>
      <c r="F128" s="64" t="s">
        <v>382</v>
      </c>
      <c r="G128" s="64" t="s">
        <v>7496</v>
      </c>
      <c r="H128" s="64" t="s">
        <v>7497</v>
      </c>
    </row>
    <row r="129" spans="1:8" x14ac:dyDescent="0.3">
      <c r="A129" s="64" t="s">
        <v>521</v>
      </c>
      <c r="B129" s="64" t="s">
        <v>459</v>
      </c>
      <c r="C129" s="64" t="s">
        <v>577</v>
      </c>
      <c r="D129" s="64" t="s">
        <v>1877</v>
      </c>
      <c r="E129" s="64" t="s">
        <v>16</v>
      </c>
      <c r="F129" s="64" t="s">
        <v>383</v>
      </c>
      <c r="G129" s="64" t="s">
        <v>7498</v>
      </c>
      <c r="H129" s="64" t="s">
        <v>7499</v>
      </c>
    </row>
    <row r="130" spans="1:8" x14ac:dyDescent="0.3">
      <c r="A130" s="64" t="s">
        <v>522</v>
      </c>
      <c r="B130" s="64" t="s">
        <v>785</v>
      </c>
      <c r="C130" s="64" t="s">
        <v>5178</v>
      </c>
      <c r="D130" s="64" t="s">
        <v>5177</v>
      </c>
      <c r="E130" s="64" t="s">
        <v>20</v>
      </c>
      <c r="F130" s="64" t="s">
        <v>15</v>
      </c>
      <c r="G130" s="64" t="s">
        <v>5182</v>
      </c>
      <c r="H130" s="64" t="s">
        <v>5183</v>
      </c>
    </row>
    <row r="131" spans="1:8" x14ac:dyDescent="0.3">
      <c r="A131" s="64" t="s">
        <v>523</v>
      </c>
      <c r="B131" s="64" t="s">
        <v>785</v>
      </c>
      <c r="C131" s="64" t="s">
        <v>610</v>
      </c>
      <c r="D131" s="64" t="s">
        <v>1900</v>
      </c>
      <c r="E131" s="64" t="s">
        <v>20</v>
      </c>
      <c r="F131" s="64" t="s">
        <v>15</v>
      </c>
      <c r="G131" s="64" t="s">
        <v>589</v>
      </c>
      <c r="H131" s="64" t="s">
        <v>5171</v>
      </c>
    </row>
    <row r="132" spans="1:8" x14ac:dyDescent="0.3">
      <c r="A132" s="64" t="s">
        <v>524</v>
      </c>
      <c r="B132" s="64" t="s">
        <v>571</v>
      </c>
      <c r="C132" s="64" t="s">
        <v>1498</v>
      </c>
      <c r="D132" s="64" t="s">
        <v>1899</v>
      </c>
      <c r="E132" s="64" t="s">
        <v>20</v>
      </c>
      <c r="F132" s="64" t="s">
        <v>15</v>
      </c>
      <c r="G132" s="64" t="s">
        <v>595</v>
      </c>
      <c r="H132" s="64" t="s">
        <v>1528</v>
      </c>
    </row>
    <row r="133" spans="1:8" x14ac:dyDescent="0.3">
      <c r="A133" s="64" t="s">
        <v>525</v>
      </c>
      <c r="B133" s="64" t="s">
        <v>571</v>
      </c>
      <c r="C133" s="64" t="s">
        <v>598</v>
      </c>
      <c r="D133" s="64" t="s">
        <v>1878</v>
      </c>
      <c r="E133" s="64" t="s">
        <v>20</v>
      </c>
      <c r="F133" s="64" t="s">
        <v>15</v>
      </c>
      <c r="G133" s="64" t="s">
        <v>7500</v>
      </c>
      <c r="H133" s="64" t="s">
        <v>1529</v>
      </c>
    </row>
    <row r="134" spans="1:8" x14ac:dyDescent="0.3">
      <c r="A134" s="64" t="s">
        <v>526</v>
      </c>
      <c r="B134" s="64" t="s">
        <v>571</v>
      </c>
      <c r="C134" s="64" t="s">
        <v>598</v>
      </c>
      <c r="D134" s="64" t="s">
        <v>1878</v>
      </c>
      <c r="E134" s="64" t="s">
        <v>16</v>
      </c>
      <c r="F134" s="64" t="s">
        <v>371</v>
      </c>
      <c r="G134" s="64" t="s">
        <v>7501</v>
      </c>
      <c r="H134" s="64" t="s">
        <v>7502</v>
      </c>
    </row>
    <row r="135" spans="1:8" x14ac:dyDescent="0.3">
      <c r="A135" s="64" t="s">
        <v>527</v>
      </c>
      <c r="B135" s="64" t="s">
        <v>571</v>
      </c>
      <c r="C135" s="64" t="s">
        <v>598</v>
      </c>
      <c r="D135" s="64" t="s">
        <v>1878</v>
      </c>
      <c r="E135" s="64" t="s">
        <v>16</v>
      </c>
      <c r="F135" s="64" t="s">
        <v>372</v>
      </c>
      <c r="G135" s="64" t="s">
        <v>7503</v>
      </c>
      <c r="H135" s="64" t="s">
        <v>7504</v>
      </c>
    </row>
    <row r="136" spans="1:8" x14ac:dyDescent="0.3">
      <c r="A136" s="64" t="s">
        <v>1549</v>
      </c>
      <c r="B136" s="64" t="s">
        <v>571</v>
      </c>
      <c r="C136" s="64" t="s">
        <v>598</v>
      </c>
      <c r="D136" s="64" t="s">
        <v>1878</v>
      </c>
      <c r="E136" s="64" t="s">
        <v>16</v>
      </c>
      <c r="F136" s="64" t="s">
        <v>374</v>
      </c>
      <c r="G136" s="64" t="s">
        <v>7505</v>
      </c>
      <c r="H136" s="64" t="s">
        <v>7506</v>
      </c>
    </row>
    <row r="137" spans="1:8" x14ac:dyDescent="0.3">
      <c r="A137" s="64" t="s">
        <v>1550</v>
      </c>
      <c r="B137" s="64" t="s">
        <v>571</v>
      </c>
      <c r="C137" s="64" t="s">
        <v>598</v>
      </c>
      <c r="D137" s="64" t="s">
        <v>1878</v>
      </c>
      <c r="E137" s="64" t="s">
        <v>16</v>
      </c>
      <c r="F137" s="64" t="s">
        <v>375</v>
      </c>
      <c r="G137" s="64" t="s">
        <v>7507</v>
      </c>
      <c r="H137" s="64" t="s">
        <v>7508</v>
      </c>
    </row>
    <row r="138" spans="1:8" x14ac:dyDescent="0.3">
      <c r="A138" s="64" t="s">
        <v>1551</v>
      </c>
      <c r="B138" s="64" t="s">
        <v>571</v>
      </c>
      <c r="C138" s="64" t="s">
        <v>598</v>
      </c>
      <c r="D138" s="64" t="s">
        <v>1878</v>
      </c>
      <c r="E138" s="64" t="s">
        <v>16</v>
      </c>
      <c r="F138" s="64" t="s">
        <v>376</v>
      </c>
      <c r="G138" s="64" t="s">
        <v>7509</v>
      </c>
      <c r="H138" s="64" t="s">
        <v>7510</v>
      </c>
    </row>
    <row r="139" spans="1:8" x14ac:dyDescent="0.3">
      <c r="A139" s="64" t="s">
        <v>528</v>
      </c>
      <c r="B139" s="64" t="s">
        <v>571</v>
      </c>
      <c r="C139" s="64" t="s">
        <v>598</v>
      </c>
      <c r="D139" s="64" t="s">
        <v>1878</v>
      </c>
      <c r="E139" s="64" t="s">
        <v>16</v>
      </c>
      <c r="F139" s="64" t="s">
        <v>377</v>
      </c>
      <c r="G139" s="64" t="s">
        <v>7511</v>
      </c>
      <c r="H139" s="64" t="s">
        <v>7512</v>
      </c>
    </row>
    <row r="140" spans="1:8" x14ac:dyDescent="0.3">
      <c r="A140" s="64" t="s">
        <v>529</v>
      </c>
      <c r="B140" s="64" t="s">
        <v>571</v>
      </c>
      <c r="C140" s="64" t="s">
        <v>598</v>
      </c>
      <c r="D140" s="64" t="s">
        <v>1878</v>
      </c>
      <c r="E140" s="64" t="s">
        <v>16</v>
      </c>
      <c r="F140" s="64" t="s">
        <v>380</v>
      </c>
      <c r="G140" s="64" t="s">
        <v>7513</v>
      </c>
      <c r="H140" s="64" t="s">
        <v>7514</v>
      </c>
    </row>
    <row r="141" spans="1:8" x14ac:dyDescent="0.3">
      <c r="A141" s="64" t="s">
        <v>1552</v>
      </c>
      <c r="B141" s="64" t="s">
        <v>571</v>
      </c>
      <c r="C141" s="64" t="s">
        <v>598</v>
      </c>
      <c r="D141" s="64" t="s">
        <v>1878</v>
      </c>
      <c r="E141" s="64" t="s">
        <v>16</v>
      </c>
      <c r="F141" s="64" t="s">
        <v>382</v>
      </c>
      <c r="G141" s="64" t="s">
        <v>7515</v>
      </c>
      <c r="H141" s="64" t="s">
        <v>7516</v>
      </c>
    </row>
    <row r="142" spans="1:8" x14ac:dyDescent="0.3">
      <c r="A142" s="64" t="s">
        <v>530</v>
      </c>
      <c r="B142" s="64" t="s">
        <v>571</v>
      </c>
      <c r="C142" s="64" t="s">
        <v>598</v>
      </c>
      <c r="D142" s="64" t="s">
        <v>1878</v>
      </c>
      <c r="E142" s="64" t="s">
        <v>16</v>
      </c>
      <c r="F142" s="64" t="s">
        <v>383</v>
      </c>
      <c r="G142" s="64" t="s">
        <v>7517</v>
      </c>
      <c r="H142" s="64" t="s">
        <v>7518</v>
      </c>
    </row>
    <row r="143" spans="1:8" x14ac:dyDescent="0.3">
      <c r="A143" s="64" t="s">
        <v>531</v>
      </c>
      <c r="B143" s="64" t="s">
        <v>571</v>
      </c>
      <c r="C143" s="64" t="s">
        <v>598</v>
      </c>
      <c r="D143" s="64" t="s">
        <v>1878</v>
      </c>
      <c r="E143" s="64" t="s">
        <v>20</v>
      </c>
      <c r="F143" s="64" t="s">
        <v>15</v>
      </c>
      <c r="G143" s="64" t="s">
        <v>7519</v>
      </c>
      <c r="H143" s="64" t="s">
        <v>1530</v>
      </c>
    </row>
    <row r="144" spans="1:8" x14ac:dyDescent="0.3">
      <c r="A144" s="64" t="s">
        <v>532</v>
      </c>
      <c r="B144" s="64" t="s">
        <v>571</v>
      </c>
      <c r="C144" s="64" t="s">
        <v>598</v>
      </c>
      <c r="D144" s="64" t="s">
        <v>1878</v>
      </c>
      <c r="E144" s="64" t="s">
        <v>16</v>
      </c>
      <c r="F144" s="64" t="s">
        <v>371</v>
      </c>
      <c r="G144" s="64" t="s">
        <v>7520</v>
      </c>
      <c r="H144" s="64" t="s">
        <v>7521</v>
      </c>
    </row>
    <row r="145" spans="1:8" x14ac:dyDescent="0.3">
      <c r="A145" s="64" t="s">
        <v>533</v>
      </c>
      <c r="B145" s="64" t="s">
        <v>571</v>
      </c>
      <c r="C145" s="64" t="s">
        <v>598</v>
      </c>
      <c r="D145" s="64" t="s">
        <v>1878</v>
      </c>
      <c r="E145" s="64" t="s">
        <v>16</v>
      </c>
      <c r="F145" s="64" t="s">
        <v>372</v>
      </c>
      <c r="G145" s="64" t="s">
        <v>7522</v>
      </c>
      <c r="H145" s="64" t="s">
        <v>7523</v>
      </c>
    </row>
    <row r="146" spans="1:8" x14ac:dyDescent="0.3">
      <c r="A146" s="64" t="s">
        <v>1553</v>
      </c>
      <c r="B146" s="64" t="s">
        <v>571</v>
      </c>
      <c r="C146" s="64" t="s">
        <v>598</v>
      </c>
      <c r="D146" s="64" t="s">
        <v>1878</v>
      </c>
      <c r="E146" s="64" t="s">
        <v>16</v>
      </c>
      <c r="F146" s="64" t="s">
        <v>374</v>
      </c>
      <c r="G146" s="64" t="s">
        <v>7524</v>
      </c>
      <c r="H146" s="64" t="s">
        <v>7525</v>
      </c>
    </row>
    <row r="147" spans="1:8" x14ac:dyDescent="0.3">
      <c r="A147" s="64" t="s">
        <v>1554</v>
      </c>
      <c r="B147" s="64" t="s">
        <v>571</v>
      </c>
      <c r="C147" s="64" t="s">
        <v>598</v>
      </c>
      <c r="D147" s="64" t="s">
        <v>1878</v>
      </c>
      <c r="E147" s="64" t="s">
        <v>16</v>
      </c>
      <c r="F147" s="64" t="s">
        <v>375</v>
      </c>
      <c r="G147" s="64" t="s">
        <v>7526</v>
      </c>
      <c r="H147" s="64" t="s">
        <v>7527</v>
      </c>
    </row>
    <row r="148" spans="1:8" x14ac:dyDescent="0.3">
      <c r="A148" s="64" t="s">
        <v>534</v>
      </c>
      <c r="B148" s="64" t="s">
        <v>571</v>
      </c>
      <c r="C148" s="64" t="s">
        <v>598</v>
      </c>
      <c r="D148" s="64" t="s">
        <v>1878</v>
      </c>
      <c r="E148" s="64" t="s">
        <v>16</v>
      </c>
      <c r="F148" s="64" t="s">
        <v>376</v>
      </c>
      <c r="G148" s="64" t="s">
        <v>7528</v>
      </c>
      <c r="H148" s="64" t="s">
        <v>7529</v>
      </c>
    </row>
    <row r="149" spans="1:8" x14ac:dyDescent="0.3">
      <c r="A149" s="64" t="s">
        <v>1555</v>
      </c>
      <c r="B149" s="64" t="s">
        <v>571</v>
      </c>
      <c r="C149" s="64" t="s">
        <v>598</v>
      </c>
      <c r="D149" s="64" t="s">
        <v>1878</v>
      </c>
      <c r="E149" s="64" t="s">
        <v>16</v>
      </c>
      <c r="F149" s="64" t="s">
        <v>377</v>
      </c>
      <c r="G149" s="64" t="s">
        <v>7530</v>
      </c>
      <c r="H149" s="64" t="s">
        <v>7531</v>
      </c>
    </row>
    <row r="150" spans="1:8" x14ac:dyDescent="0.3">
      <c r="A150" s="64" t="s">
        <v>535</v>
      </c>
      <c r="B150" s="64" t="s">
        <v>571</v>
      </c>
      <c r="C150" s="64" t="s">
        <v>598</v>
      </c>
      <c r="D150" s="64" t="s">
        <v>1878</v>
      </c>
      <c r="E150" s="64" t="s">
        <v>16</v>
      </c>
      <c r="F150" s="64" t="s">
        <v>380</v>
      </c>
      <c r="G150" s="64" t="s">
        <v>7532</v>
      </c>
      <c r="H150" s="64" t="s">
        <v>7533</v>
      </c>
    </row>
    <row r="151" spans="1:8" x14ac:dyDescent="0.3">
      <c r="A151" s="64" t="s">
        <v>536</v>
      </c>
      <c r="B151" s="64" t="s">
        <v>571</v>
      </c>
      <c r="C151" s="64" t="s">
        <v>598</v>
      </c>
      <c r="D151" s="64" t="s">
        <v>1878</v>
      </c>
      <c r="E151" s="64" t="s">
        <v>16</v>
      </c>
      <c r="F151" s="64" t="s">
        <v>382</v>
      </c>
      <c r="G151" s="64" t="s">
        <v>7534</v>
      </c>
      <c r="H151" s="64" t="s">
        <v>7535</v>
      </c>
    </row>
    <row r="152" spans="1:8" x14ac:dyDescent="0.3">
      <c r="A152" s="64" t="s">
        <v>537</v>
      </c>
      <c r="B152" s="64" t="s">
        <v>571</v>
      </c>
      <c r="C152" s="64" t="s">
        <v>598</v>
      </c>
      <c r="D152" s="64" t="s">
        <v>1878</v>
      </c>
      <c r="E152" s="64" t="s">
        <v>16</v>
      </c>
      <c r="F152" s="64" t="s">
        <v>383</v>
      </c>
      <c r="G152" s="64" t="s">
        <v>7536</v>
      </c>
      <c r="H152" s="64" t="s">
        <v>7537</v>
      </c>
    </row>
    <row r="153" spans="1:8" x14ac:dyDescent="0.3">
      <c r="A153" s="64" t="s">
        <v>1556</v>
      </c>
      <c r="B153" s="64" t="s">
        <v>603</v>
      </c>
      <c r="C153" s="64" t="s">
        <v>605</v>
      </c>
      <c r="D153" s="64" t="s">
        <v>1896</v>
      </c>
      <c r="E153" s="64" t="s">
        <v>20</v>
      </c>
      <c r="F153" s="64" t="s">
        <v>15</v>
      </c>
      <c r="G153" s="64" t="s">
        <v>608</v>
      </c>
      <c r="H153" s="64" t="s">
        <v>609</v>
      </c>
    </row>
    <row r="154" spans="1:8" x14ac:dyDescent="0.3">
      <c r="A154" s="64" t="s">
        <v>1557</v>
      </c>
      <c r="B154" s="64" t="s">
        <v>603</v>
      </c>
      <c r="C154" s="64" t="s">
        <v>605</v>
      </c>
      <c r="D154" s="64" t="s">
        <v>1896</v>
      </c>
      <c r="E154" s="64" t="s">
        <v>16</v>
      </c>
      <c r="F154" s="64" t="s">
        <v>368</v>
      </c>
      <c r="G154" s="64" t="s">
        <v>7538</v>
      </c>
      <c r="H154" s="64" t="s">
        <v>7539</v>
      </c>
    </row>
    <row r="155" spans="1:8" x14ac:dyDescent="0.3">
      <c r="A155" s="64" t="s">
        <v>1558</v>
      </c>
      <c r="B155" s="64" t="s">
        <v>603</v>
      </c>
      <c r="C155" s="64" t="s">
        <v>605</v>
      </c>
      <c r="D155" s="64" t="s">
        <v>1896</v>
      </c>
      <c r="E155" s="64" t="s">
        <v>16</v>
      </c>
      <c r="F155" s="64" t="s">
        <v>369</v>
      </c>
      <c r="G155" s="64" t="s">
        <v>7540</v>
      </c>
      <c r="H155" s="64" t="s">
        <v>7541</v>
      </c>
    </row>
    <row r="156" spans="1:8" x14ac:dyDescent="0.3">
      <c r="A156" s="64" t="s">
        <v>538</v>
      </c>
      <c r="B156" s="64" t="s">
        <v>603</v>
      </c>
      <c r="C156" s="64" t="s">
        <v>605</v>
      </c>
      <c r="D156" s="64" t="s">
        <v>1896</v>
      </c>
      <c r="E156" s="64" t="s">
        <v>16</v>
      </c>
      <c r="F156" s="64" t="s">
        <v>370</v>
      </c>
      <c r="G156" s="64" t="s">
        <v>7542</v>
      </c>
      <c r="H156" s="64" t="s">
        <v>7543</v>
      </c>
    </row>
    <row r="157" spans="1:8" x14ac:dyDescent="0.3">
      <c r="A157" s="64" t="s">
        <v>539</v>
      </c>
      <c r="B157" s="64" t="s">
        <v>603</v>
      </c>
      <c r="C157" s="64" t="s">
        <v>605</v>
      </c>
      <c r="D157" s="64" t="s">
        <v>1896</v>
      </c>
      <c r="E157" s="64" t="s">
        <v>16</v>
      </c>
      <c r="F157" s="64" t="s">
        <v>371</v>
      </c>
      <c r="G157" s="64" t="s">
        <v>7544</v>
      </c>
      <c r="H157" s="64" t="s">
        <v>7545</v>
      </c>
    </row>
    <row r="158" spans="1:8" x14ac:dyDescent="0.3">
      <c r="A158" s="64" t="s">
        <v>1559</v>
      </c>
      <c r="B158" s="64" t="s">
        <v>603</v>
      </c>
      <c r="C158" s="64" t="s">
        <v>605</v>
      </c>
      <c r="D158" s="64" t="s">
        <v>1896</v>
      </c>
      <c r="E158" s="64" t="s">
        <v>16</v>
      </c>
      <c r="F158" s="64" t="s">
        <v>372</v>
      </c>
      <c r="G158" s="64" t="s">
        <v>7546</v>
      </c>
      <c r="H158" s="64" t="s">
        <v>7547</v>
      </c>
    </row>
    <row r="159" spans="1:8" x14ac:dyDescent="0.3">
      <c r="A159" s="64" t="s">
        <v>540</v>
      </c>
      <c r="B159" s="64" t="s">
        <v>603</v>
      </c>
      <c r="C159" s="64" t="s">
        <v>605</v>
      </c>
      <c r="D159" s="64" t="s">
        <v>1896</v>
      </c>
      <c r="E159" s="64" t="s">
        <v>16</v>
      </c>
      <c r="F159" s="64" t="s">
        <v>373</v>
      </c>
      <c r="G159" s="64" t="s">
        <v>7548</v>
      </c>
      <c r="H159" s="64" t="s">
        <v>7549</v>
      </c>
    </row>
    <row r="160" spans="1:8" x14ac:dyDescent="0.3">
      <c r="A160" s="64" t="s">
        <v>541</v>
      </c>
      <c r="B160" s="64" t="s">
        <v>603</v>
      </c>
      <c r="C160" s="64" t="s">
        <v>605</v>
      </c>
      <c r="D160" s="64" t="s">
        <v>1896</v>
      </c>
      <c r="E160" s="64" t="s">
        <v>16</v>
      </c>
      <c r="F160" s="64" t="s">
        <v>374</v>
      </c>
      <c r="G160" s="64" t="s">
        <v>7550</v>
      </c>
      <c r="H160" s="64" t="s">
        <v>7551</v>
      </c>
    </row>
    <row r="161" spans="1:8" x14ac:dyDescent="0.3">
      <c r="A161" s="64" t="s">
        <v>542</v>
      </c>
      <c r="B161" s="64" t="s">
        <v>603</v>
      </c>
      <c r="C161" s="64" t="s">
        <v>605</v>
      </c>
      <c r="D161" s="64" t="s">
        <v>1896</v>
      </c>
      <c r="E161" s="64" t="s">
        <v>16</v>
      </c>
      <c r="F161" s="64" t="s">
        <v>375</v>
      </c>
      <c r="G161" s="64" t="s">
        <v>7552</v>
      </c>
      <c r="H161" s="64" t="s">
        <v>7553</v>
      </c>
    </row>
    <row r="162" spans="1:8" x14ac:dyDescent="0.3">
      <c r="A162" s="64" t="s">
        <v>543</v>
      </c>
      <c r="B162" s="64" t="s">
        <v>603</v>
      </c>
      <c r="C162" s="64" t="s">
        <v>605</v>
      </c>
      <c r="D162" s="64" t="s">
        <v>1896</v>
      </c>
      <c r="E162" s="64" t="s">
        <v>16</v>
      </c>
      <c r="F162" s="64" t="s">
        <v>376</v>
      </c>
      <c r="G162" s="64" t="s">
        <v>7554</v>
      </c>
      <c r="H162" s="64" t="s">
        <v>7555</v>
      </c>
    </row>
    <row r="163" spans="1:8" x14ac:dyDescent="0.3">
      <c r="A163" s="64" t="s">
        <v>1560</v>
      </c>
      <c r="B163" s="64" t="s">
        <v>603</v>
      </c>
      <c r="C163" s="64" t="s">
        <v>605</v>
      </c>
      <c r="D163" s="64" t="s">
        <v>1896</v>
      </c>
      <c r="E163" s="64" t="s">
        <v>16</v>
      </c>
      <c r="F163" s="64" t="s">
        <v>377</v>
      </c>
      <c r="G163" s="64" t="s">
        <v>7556</v>
      </c>
      <c r="H163" s="64" t="s">
        <v>7557</v>
      </c>
    </row>
    <row r="164" spans="1:8" x14ac:dyDescent="0.3">
      <c r="A164" s="64" t="s">
        <v>1561</v>
      </c>
      <c r="B164" s="64" t="s">
        <v>603</v>
      </c>
      <c r="C164" s="64" t="s">
        <v>605</v>
      </c>
      <c r="D164" s="64" t="s">
        <v>1896</v>
      </c>
      <c r="E164" s="64" t="s">
        <v>16</v>
      </c>
      <c r="F164" s="64" t="s">
        <v>378</v>
      </c>
      <c r="G164" s="64" t="s">
        <v>7558</v>
      </c>
      <c r="H164" s="64" t="s">
        <v>7559</v>
      </c>
    </row>
    <row r="165" spans="1:8" x14ac:dyDescent="0.3">
      <c r="A165" s="64" t="s">
        <v>544</v>
      </c>
      <c r="B165" s="64" t="s">
        <v>603</v>
      </c>
      <c r="C165" s="64" t="s">
        <v>605</v>
      </c>
      <c r="D165" s="64" t="s">
        <v>1896</v>
      </c>
      <c r="E165" s="64" t="s">
        <v>16</v>
      </c>
      <c r="F165" s="64" t="s">
        <v>379</v>
      </c>
      <c r="G165" s="64" t="s">
        <v>7560</v>
      </c>
      <c r="H165" s="64" t="s">
        <v>7561</v>
      </c>
    </row>
    <row r="166" spans="1:8" x14ac:dyDescent="0.3">
      <c r="A166" s="64" t="s">
        <v>1562</v>
      </c>
      <c r="B166" s="64" t="s">
        <v>603</v>
      </c>
      <c r="C166" s="64" t="s">
        <v>605</v>
      </c>
      <c r="D166" s="64" t="s">
        <v>1896</v>
      </c>
      <c r="E166" s="64" t="s">
        <v>16</v>
      </c>
      <c r="F166" s="64" t="s">
        <v>380</v>
      </c>
      <c r="G166" s="64" t="s">
        <v>7562</v>
      </c>
      <c r="H166" s="64" t="s">
        <v>7563</v>
      </c>
    </row>
    <row r="167" spans="1:8" x14ac:dyDescent="0.3">
      <c r="A167" s="64" t="s">
        <v>545</v>
      </c>
      <c r="B167" s="64" t="s">
        <v>603</v>
      </c>
      <c r="C167" s="64" t="s">
        <v>605</v>
      </c>
      <c r="D167" s="64" t="s">
        <v>1896</v>
      </c>
      <c r="E167" s="64" t="s">
        <v>16</v>
      </c>
      <c r="F167" s="64" t="s">
        <v>381</v>
      </c>
      <c r="G167" s="64" t="s">
        <v>7564</v>
      </c>
      <c r="H167" s="64" t="s">
        <v>7565</v>
      </c>
    </row>
    <row r="168" spans="1:8" x14ac:dyDescent="0.3">
      <c r="A168" s="64" t="s">
        <v>546</v>
      </c>
      <c r="B168" s="64" t="s">
        <v>603</v>
      </c>
      <c r="C168" s="64" t="s">
        <v>605</v>
      </c>
      <c r="D168" s="64" t="s">
        <v>1896</v>
      </c>
      <c r="E168" s="64" t="s">
        <v>16</v>
      </c>
      <c r="F168" s="64" t="s">
        <v>382</v>
      </c>
      <c r="G168" s="64" t="s">
        <v>7566</v>
      </c>
      <c r="H168" s="64" t="s">
        <v>7567</v>
      </c>
    </row>
    <row r="169" spans="1:8" x14ac:dyDescent="0.3">
      <c r="A169" s="64" t="s">
        <v>547</v>
      </c>
      <c r="B169" s="64" t="s">
        <v>603</v>
      </c>
      <c r="C169" s="64" t="s">
        <v>605</v>
      </c>
      <c r="D169" s="64" t="s">
        <v>1896</v>
      </c>
      <c r="E169" s="64" t="s">
        <v>16</v>
      </c>
      <c r="F169" s="64" t="s">
        <v>383</v>
      </c>
      <c r="G169" s="64" t="s">
        <v>7568</v>
      </c>
      <c r="H169" s="64" t="s">
        <v>7569</v>
      </c>
    </row>
    <row r="170" spans="1:8" x14ac:dyDescent="0.3">
      <c r="A170" s="64" t="s">
        <v>548</v>
      </c>
      <c r="B170" s="64" t="s">
        <v>785</v>
      </c>
      <c r="C170" s="64" t="s">
        <v>4288</v>
      </c>
      <c r="D170" s="64" t="s">
        <v>1879</v>
      </c>
      <c r="E170" s="64" t="s">
        <v>20</v>
      </c>
      <c r="F170" s="64" t="s">
        <v>15</v>
      </c>
      <c r="G170" s="64" t="s">
        <v>7570</v>
      </c>
      <c r="H170" s="64" t="s">
        <v>819</v>
      </c>
    </row>
    <row r="171" spans="1:8" x14ac:dyDescent="0.3">
      <c r="A171" s="64" t="s">
        <v>549</v>
      </c>
      <c r="B171" s="64" t="s">
        <v>785</v>
      </c>
      <c r="C171" s="64" t="s">
        <v>4288</v>
      </c>
      <c r="D171" s="64" t="s">
        <v>1879</v>
      </c>
      <c r="E171" s="64" t="s">
        <v>16</v>
      </c>
      <c r="F171" s="64" t="s">
        <v>368</v>
      </c>
      <c r="G171" s="64" t="s">
        <v>7571</v>
      </c>
      <c r="H171" s="64" t="s">
        <v>861</v>
      </c>
    </row>
    <row r="172" spans="1:8" x14ac:dyDescent="0.3">
      <c r="A172" s="64" t="s">
        <v>550</v>
      </c>
      <c r="B172" s="64" t="s">
        <v>785</v>
      </c>
      <c r="C172" s="64" t="s">
        <v>4288</v>
      </c>
      <c r="D172" s="64" t="s">
        <v>1879</v>
      </c>
      <c r="E172" s="64" t="s">
        <v>16</v>
      </c>
      <c r="F172" s="64" t="s">
        <v>369</v>
      </c>
      <c r="G172" s="64" t="s">
        <v>7572</v>
      </c>
      <c r="H172" s="64" t="s">
        <v>5176</v>
      </c>
    </row>
    <row r="173" spans="1:8" x14ac:dyDescent="0.3">
      <c r="A173" s="64" t="s">
        <v>551</v>
      </c>
      <c r="B173" s="64" t="s">
        <v>785</v>
      </c>
      <c r="C173" s="64" t="s">
        <v>4288</v>
      </c>
      <c r="D173" s="64" t="s">
        <v>1879</v>
      </c>
      <c r="E173" s="64" t="s">
        <v>16</v>
      </c>
      <c r="F173" s="64" t="s">
        <v>370</v>
      </c>
      <c r="G173" s="64" t="s">
        <v>7573</v>
      </c>
      <c r="H173" s="64" t="s">
        <v>850</v>
      </c>
    </row>
    <row r="174" spans="1:8" x14ac:dyDescent="0.3">
      <c r="A174" s="64" t="s">
        <v>552</v>
      </c>
      <c r="B174" s="64" t="s">
        <v>785</v>
      </c>
      <c r="C174" s="64" t="s">
        <v>4288</v>
      </c>
      <c r="D174" s="64" t="s">
        <v>1879</v>
      </c>
      <c r="E174" s="64" t="s">
        <v>16</v>
      </c>
      <c r="F174" s="64" t="s">
        <v>371</v>
      </c>
      <c r="G174" s="64" t="s">
        <v>7574</v>
      </c>
      <c r="H174" s="64" t="s">
        <v>853</v>
      </c>
    </row>
    <row r="175" spans="1:8" x14ac:dyDescent="0.3">
      <c r="A175" s="64" t="s">
        <v>553</v>
      </c>
      <c r="B175" s="64" t="s">
        <v>785</v>
      </c>
      <c r="C175" s="64" t="s">
        <v>4288</v>
      </c>
      <c r="D175" s="64" t="s">
        <v>1879</v>
      </c>
      <c r="E175" s="64" t="s">
        <v>16</v>
      </c>
      <c r="F175" s="64" t="s">
        <v>372</v>
      </c>
      <c r="G175" s="64" t="s">
        <v>7575</v>
      </c>
      <c r="H175" s="64" t="s">
        <v>863</v>
      </c>
    </row>
    <row r="176" spans="1:8" x14ac:dyDescent="0.3">
      <c r="A176" s="64" t="s">
        <v>554</v>
      </c>
      <c r="B176" s="64" t="s">
        <v>785</v>
      </c>
      <c r="C176" s="64" t="s">
        <v>4288</v>
      </c>
      <c r="D176" s="64" t="s">
        <v>1879</v>
      </c>
      <c r="E176" s="64" t="s">
        <v>16</v>
      </c>
      <c r="F176" s="64" t="s">
        <v>373</v>
      </c>
      <c r="G176" s="64" t="s">
        <v>7576</v>
      </c>
      <c r="H176" s="64" t="s">
        <v>862</v>
      </c>
    </row>
    <row r="177" spans="1:8" x14ac:dyDescent="0.3">
      <c r="A177" s="64" t="s">
        <v>555</v>
      </c>
      <c r="B177" s="64" t="s">
        <v>785</v>
      </c>
      <c r="C177" s="64" t="s">
        <v>4288</v>
      </c>
      <c r="D177" s="64" t="s">
        <v>1879</v>
      </c>
      <c r="E177" s="64" t="s">
        <v>16</v>
      </c>
      <c r="F177" s="64" t="s">
        <v>374</v>
      </c>
      <c r="G177" s="64" t="s">
        <v>7577</v>
      </c>
      <c r="H177" s="64" t="s">
        <v>858</v>
      </c>
    </row>
    <row r="178" spans="1:8" x14ac:dyDescent="0.3">
      <c r="A178" s="64" t="s">
        <v>556</v>
      </c>
      <c r="B178" s="64" t="s">
        <v>785</v>
      </c>
      <c r="C178" s="64" t="s">
        <v>4288</v>
      </c>
      <c r="D178" s="64" t="s">
        <v>1879</v>
      </c>
      <c r="E178" s="64" t="s">
        <v>16</v>
      </c>
      <c r="F178" s="64" t="s">
        <v>375</v>
      </c>
      <c r="G178" s="64" t="s">
        <v>7578</v>
      </c>
      <c r="H178" s="64" t="s">
        <v>852</v>
      </c>
    </row>
    <row r="179" spans="1:8" x14ac:dyDescent="0.3">
      <c r="A179" s="64" t="s">
        <v>557</v>
      </c>
      <c r="B179" s="64" t="s">
        <v>785</v>
      </c>
      <c r="C179" s="64" t="s">
        <v>4288</v>
      </c>
      <c r="D179" s="64" t="s">
        <v>1879</v>
      </c>
      <c r="E179" s="64" t="s">
        <v>16</v>
      </c>
      <c r="F179" s="64" t="s">
        <v>376</v>
      </c>
      <c r="G179" s="64" t="s">
        <v>7579</v>
      </c>
      <c r="H179" s="64" t="s">
        <v>854</v>
      </c>
    </row>
    <row r="180" spans="1:8" x14ac:dyDescent="0.3">
      <c r="A180" s="64" t="s">
        <v>558</v>
      </c>
      <c r="B180" s="64" t="s">
        <v>785</v>
      </c>
      <c r="C180" s="64" t="s">
        <v>4288</v>
      </c>
      <c r="D180" s="64" t="s">
        <v>1879</v>
      </c>
      <c r="E180" s="64" t="s">
        <v>16</v>
      </c>
      <c r="F180" s="64" t="s">
        <v>377</v>
      </c>
      <c r="G180" s="64" t="s">
        <v>7580</v>
      </c>
      <c r="H180" s="64" t="s">
        <v>855</v>
      </c>
    </row>
    <row r="181" spans="1:8" x14ac:dyDescent="0.3">
      <c r="A181" s="64" t="s">
        <v>559</v>
      </c>
      <c r="B181" s="64" t="s">
        <v>785</v>
      </c>
      <c r="C181" s="64" t="s">
        <v>4288</v>
      </c>
      <c r="D181" s="64" t="s">
        <v>1879</v>
      </c>
      <c r="E181" s="64" t="s">
        <v>16</v>
      </c>
      <c r="F181" s="64" t="s">
        <v>378</v>
      </c>
      <c r="G181" s="64" t="s">
        <v>7581</v>
      </c>
      <c r="H181" s="64" t="s">
        <v>851</v>
      </c>
    </row>
    <row r="182" spans="1:8" x14ac:dyDescent="0.3">
      <c r="A182" s="64" t="s">
        <v>560</v>
      </c>
      <c r="B182" s="64" t="s">
        <v>785</v>
      </c>
      <c r="C182" s="64" t="s">
        <v>4288</v>
      </c>
      <c r="D182" s="64" t="s">
        <v>1879</v>
      </c>
      <c r="E182" s="64" t="s">
        <v>16</v>
      </c>
      <c r="F182" s="64" t="s">
        <v>379</v>
      </c>
      <c r="G182" s="64" t="s">
        <v>7582</v>
      </c>
      <c r="H182" s="64" t="s">
        <v>857</v>
      </c>
    </row>
    <row r="183" spans="1:8" x14ac:dyDescent="0.3">
      <c r="A183" s="64" t="s">
        <v>561</v>
      </c>
      <c r="B183" s="64" t="s">
        <v>785</v>
      </c>
      <c r="C183" s="64" t="s">
        <v>4288</v>
      </c>
      <c r="D183" s="64" t="s">
        <v>1879</v>
      </c>
      <c r="E183" s="64" t="s">
        <v>16</v>
      </c>
      <c r="F183" s="64" t="s">
        <v>380</v>
      </c>
      <c r="G183" s="64" t="s">
        <v>7583</v>
      </c>
      <c r="H183" s="64" t="s">
        <v>859</v>
      </c>
    </row>
    <row r="184" spans="1:8" x14ac:dyDescent="0.3">
      <c r="A184" s="64" t="s">
        <v>562</v>
      </c>
      <c r="B184" s="64" t="s">
        <v>785</v>
      </c>
      <c r="C184" s="64" t="s">
        <v>4288</v>
      </c>
      <c r="D184" s="64" t="s">
        <v>1879</v>
      </c>
      <c r="E184" s="64" t="s">
        <v>16</v>
      </c>
      <c r="F184" s="64" t="s">
        <v>381</v>
      </c>
      <c r="G184" s="64" t="s">
        <v>7584</v>
      </c>
      <c r="H184" s="64" t="s">
        <v>856</v>
      </c>
    </row>
    <row r="185" spans="1:8" x14ac:dyDescent="0.3">
      <c r="A185" s="64" t="s">
        <v>563</v>
      </c>
      <c r="B185" s="64" t="s">
        <v>785</v>
      </c>
      <c r="C185" s="64" t="s">
        <v>4288</v>
      </c>
      <c r="D185" s="64" t="s">
        <v>1879</v>
      </c>
      <c r="E185" s="64" t="s">
        <v>16</v>
      </c>
      <c r="F185" s="64" t="s">
        <v>382</v>
      </c>
      <c r="G185" s="64" t="s">
        <v>7585</v>
      </c>
      <c r="H185" s="64" t="s">
        <v>849</v>
      </c>
    </row>
    <row r="186" spans="1:8" x14ac:dyDescent="0.3">
      <c r="A186" s="64" t="s">
        <v>564</v>
      </c>
      <c r="B186" s="64" t="s">
        <v>785</v>
      </c>
      <c r="C186" s="64" t="s">
        <v>4288</v>
      </c>
      <c r="D186" s="64" t="s">
        <v>1879</v>
      </c>
      <c r="E186" s="64" t="s">
        <v>16</v>
      </c>
      <c r="F186" s="64" t="s">
        <v>383</v>
      </c>
      <c r="G186" s="64" t="s">
        <v>7586</v>
      </c>
      <c r="H186" s="64" t="s">
        <v>860</v>
      </c>
    </row>
    <row r="187" spans="1:8" x14ac:dyDescent="0.3">
      <c r="A187" s="64" t="s">
        <v>565</v>
      </c>
      <c r="B187" s="64" t="s">
        <v>459</v>
      </c>
      <c r="C187" s="64" t="s">
        <v>786</v>
      </c>
      <c r="D187" s="64" t="s">
        <v>1877</v>
      </c>
      <c r="E187" s="64" t="s">
        <v>20</v>
      </c>
      <c r="F187" s="64" t="s">
        <v>15</v>
      </c>
      <c r="G187" s="64" t="s">
        <v>787</v>
      </c>
      <c r="H187" s="64" t="s">
        <v>789</v>
      </c>
    </row>
    <row r="188" spans="1:8" x14ac:dyDescent="0.3">
      <c r="A188" s="64" t="s">
        <v>566</v>
      </c>
      <c r="B188" s="64" t="s">
        <v>459</v>
      </c>
      <c r="C188" s="64" t="s">
        <v>786</v>
      </c>
      <c r="D188" s="64" t="s">
        <v>1877</v>
      </c>
      <c r="E188" s="64" t="s">
        <v>20</v>
      </c>
      <c r="F188" s="64" t="s">
        <v>15</v>
      </c>
      <c r="G188" s="64" t="s">
        <v>7587</v>
      </c>
      <c r="H188" s="64" t="s">
        <v>799</v>
      </c>
    </row>
    <row r="189" spans="1:8" x14ac:dyDescent="0.3">
      <c r="A189" s="64" t="s">
        <v>567</v>
      </c>
      <c r="B189" s="64" t="s">
        <v>459</v>
      </c>
      <c r="C189" s="64" t="s">
        <v>786</v>
      </c>
      <c r="D189" s="64" t="s">
        <v>1877</v>
      </c>
      <c r="E189" s="64" t="s">
        <v>16</v>
      </c>
      <c r="F189" s="64" t="s">
        <v>368</v>
      </c>
      <c r="G189" s="64" t="s">
        <v>7588</v>
      </c>
      <c r="H189" s="64" t="s">
        <v>7589</v>
      </c>
    </row>
    <row r="190" spans="1:8" x14ac:dyDescent="0.3">
      <c r="A190" s="64" t="s">
        <v>611</v>
      </c>
      <c r="B190" s="64" t="s">
        <v>459</v>
      </c>
      <c r="C190" s="64" t="s">
        <v>786</v>
      </c>
      <c r="D190" s="64" t="s">
        <v>1877</v>
      </c>
      <c r="E190" s="64" t="s">
        <v>16</v>
      </c>
      <c r="F190" s="64" t="s">
        <v>369</v>
      </c>
      <c r="G190" s="64" t="s">
        <v>7590</v>
      </c>
      <c r="H190" s="64" t="s">
        <v>7591</v>
      </c>
    </row>
    <row r="191" spans="1:8" x14ac:dyDescent="0.3">
      <c r="A191" s="64" t="s">
        <v>612</v>
      </c>
      <c r="B191" s="64" t="s">
        <v>459</v>
      </c>
      <c r="C191" s="64" t="s">
        <v>786</v>
      </c>
      <c r="D191" s="64" t="s">
        <v>1877</v>
      </c>
      <c r="E191" s="64" t="s">
        <v>16</v>
      </c>
      <c r="F191" s="64" t="s">
        <v>370</v>
      </c>
      <c r="G191" s="64" t="s">
        <v>7592</v>
      </c>
      <c r="H191" s="64" t="s">
        <v>7593</v>
      </c>
    </row>
    <row r="192" spans="1:8" x14ac:dyDescent="0.3">
      <c r="A192" s="64" t="s">
        <v>613</v>
      </c>
      <c r="B192" s="64" t="s">
        <v>459</v>
      </c>
      <c r="C192" s="64" t="s">
        <v>786</v>
      </c>
      <c r="D192" s="64" t="s">
        <v>1877</v>
      </c>
      <c r="E192" s="64" t="s">
        <v>16</v>
      </c>
      <c r="F192" s="64" t="s">
        <v>371</v>
      </c>
      <c r="G192" s="64" t="s">
        <v>7594</v>
      </c>
      <c r="H192" s="64" t="s">
        <v>7595</v>
      </c>
    </row>
    <row r="193" spans="1:8" x14ac:dyDescent="0.3">
      <c r="A193" s="64" t="s">
        <v>614</v>
      </c>
      <c r="B193" s="64" t="s">
        <v>459</v>
      </c>
      <c r="C193" s="64" t="s">
        <v>786</v>
      </c>
      <c r="D193" s="64" t="s">
        <v>1877</v>
      </c>
      <c r="E193" s="64" t="s">
        <v>16</v>
      </c>
      <c r="F193" s="64" t="s">
        <v>372</v>
      </c>
      <c r="G193" s="64" t="s">
        <v>7596</v>
      </c>
      <c r="H193" s="64" t="s">
        <v>7597</v>
      </c>
    </row>
    <row r="194" spans="1:8" x14ac:dyDescent="0.3">
      <c r="A194" s="64" t="s">
        <v>615</v>
      </c>
      <c r="B194" s="64" t="s">
        <v>459</v>
      </c>
      <c r="C194" s="64" t="s">
        <v>786</v>
      </c>
      <c r="D194" s="64" t="s">
        <v>1877</v>
      </c>
      <c r="E194" s="64" t="s">
        <v>16</v>
      </c>
      <c r="F194" s="64" t="s">
        <v>373</v>
      </c>
      <c r="G194" s="64" t="s">
        <v>7598</v>
      </c>
      <c r="H194" s="64" t="s">
        <v>7599</v>
      </c>
    </row>
    <row r="195" spans="1:8" x14ac:dyDescent="0.3">
      <c r="A195" s="64" t="s">
        <v>616</v>
      </c>
      <c r="B195" s="64" t="s">
        <v>459</v>
      </c>
      <c r="C195" s="64" t="s">
        <v>786</v>
      </c>
      <c r="D195" s="64" t="s">
        <v>1877</v>
      </c>
      <c r="E195" s="64" t="s">
        <v>16</v>
      </c>
      <c r="F195" s="64" t="s">
        <v>374</v>
      </c>
      <c r="G195" s="64" t="s">
        <v>7600</v>
      </c>
      <c r="H195" s="64" t="s">
        <v>7601</v>
      </c>
    </row>
    <row r="196" spans="1:8" x14ac:dyDescent="0.3">
      <c r="A196" s="64" t="s">
        <v>617</v>
      </c>
      <c r="B196" s="64" t="s">
        <v>459</v>
      </c>
      <c r="C196" s="64" t="s">
        <v>786</v>
      </c>
      <c r="D196" s="64" t="s">
        <v>1877</v>
      </c>
      <c r="E196" s="64" t="s">
        <v>16</v>
      </c>
      <c r="F196" s="64" t="s">
        <v>375</v>
      </c>
      <c r="G196" s="64" t="s">
        <v>7602</v>
      </c>
      <c r="H196" s="64" t="s">
        <v>7603</v>
      </c>
    </row>
    <row r="197" spans="1:8" x14ac:dyDescent="0.3">
      <c r="A197" s="64" t="s">
        <v>618</v>
      </c>
      <c r="B197" s="64" t="s">
        <v>459</v>
      </c>
      <c r="C197" s="64" t="s">
        <v>786</v>
      </c>
      <c r="D197" s="64" t="s">
        <v>1877</v>
      </c>
      <c r="E197" s="64" t="s">
        <v>16</v>
      </c>
      <c r="F197" s="64" t="s">
        <v>376</v>
      </c>
      <c r="G197" s="64" t="s">
        <v>7604</v>
      </c>
      <c r="H197" s="64" t="s">
        <v>7605</v>
      </c>
    </row>
    <row r="198" spans="1:8" x14ac:dyDescent="0.3">
      <c r="A198" s="64" t="s">
        <v>619</v>
      </c>
      <c r="B198" s="64" t="s">
        <v>459</v>
      </c>
      <c r="C198" s="64" t="s">
        <v>786</v>
      </c>
      <c r="D198" s="64" t="s">
        <v>1877</v>
      </c>
      <c r="E198" s="64" t="s">
        <v>16</v>
      </c>
      <c r="F198" s="64" t="s">
        <v>377</v>
      </c>
      <c r="G198" s="64" t="s">
        <v>7606</v>
      </c>
      <c r="H198" s="64" t="s">
        <v>7607</v>
      </c>
    </row>
    <row r="199" spans="1:8" x14ac:dyDescent="0.3">
      <c r="A199" s="64" t="s">
        <v>620</v>
      </c>
      <c r="B199" s="64" t="s">
        <v>459</v>
      </c>
      <c r="C199" s="64" t="s">
        <v>786</v>
      </c>
      <c r="D199" s="64" t="s">
        <v>1877</v>
      </c>
      <c r="E199" s="64" t="s">
        <v>16</v>
      </c>
      <c r="F199" s="64" t="s">
        <v>378</v>
      </c>
      <c r="G199" s="64" t="s">
        <v>7608</v>
      </c>
      <c r="H199" s="64" t="s">
        <v>7609</v>
      </c>
    </row>
    <row r="200" spans="1:8" x14ac:dyDescent="0.3">
      <c r="A200" s="64" t="s">
        <v>621</v>
      </c>
      <c r="B200" s="64" t="s">
        <v>459</v>
      </c>
      <c r="C200" s="64" t="s">
        <v>786</v>
      </c>
      <c r="D200" s="64" t="s">
        <v>1877</v>
      </c>
      <c r="E200" s="64" t="s">
        <v>16</v>
      </c>
      <c r="F200" s="64" t="s">
        <v>379</v>
      </c>
      <c r="G200" s="64" t="s">
        <v>7610</v>
      </c>
      <c r="H200" s="64" t="s">
        <v>7611</v>
      </c>
    </row>
    <row r="201" spans="1:8" x14ac:dyDescent="0.3">
      <c r="A201" s="64" t="s">
        <v>622</v>
      </c>
      <c r="B201" s="64" t="s">
        <v>459</v>
      </c>
      <c r="C201" s="64" t="s">
        <v>786</v>
      </c>
      <c r="D201" s="64" t="s">
        <v>1877</v>
      </c>
      <c r="E201" s="64" t="s">
        <v>16</v>
      </c>
      <c r="F201" s="64" t="s">
        <v>380</v>
      </c>
      <c r="G201" s="64" t="s">
        <v>7612</v>
      </c>
      <c r="H201" s="64" t="s">
        <v>7613</v>
      </c>
    </row>
    <row r="202" spans="1:8" x14ac:dyDescent="0.3">
      <c r="A202" s="64" t="s">
        <v>623</v>
      </c>
      <c r="B202" s="64" t="s">
        <v>459</v>
      </c>
      <c r="C202" s="64" t="s">
        <v>786</v>
      </c>
      <c r="D202" s="64" t="s">
        <v>1877</v>
      </c>
      <c r="E202" s="64" t="s">
        <v>16</v>
      </c>
      <c r="F202" s="64" t="s">
        <v>381</v>
      </c>
      <c r="G202" s="64" t="s">
        <v>7614</v>
      </c>
      <c r="H202" s="64" t="s">
        <v>7615</v>
      </c>
    </row>
    <row r="203" spans="1:8" x14ac:dyDescent="0.3">
      <c r="A203" s="64" t="s">
        <v>624</v>
      </c>
      <c r="B203" s="64" t="s">
        <v>459</v>
      </c>
      <c r="C203" s="64" t="s">
        <v>786</v>
      </c>
      <c r="D203" s="64" t="s">
        <v>1877</v>
      </c>
      <c r="E203" s="64" t="s">
        <v>16</v>
      </c>
      <c r="F203" s="64" t="s">
        <v>382</v>
      </c>
      <c r="G203" s="64" t="s">
        <v>7616</v>
      </c>
      <c r="H203" s="64" t="s">
        <v>7617</v>
      </c>
    </row>
    <row r="204" spans="1:8" x14ac:dyDescent="0.3">
      <c r="A204" s="64" t="s">
        <v>625</v>
      </c>
      <c r="B204" s="64" t="s">
        <v>459</v>
      </c>
      <c r="C204" s="64" t="s">
        <v>786</v>
      </c>
      <c r="D204" s="64" t="s">
        <v>1877</v>
      </c>
      <c r="E204" s="64" t="s">
        <v>16</v>
      </c>
      <c r="F204" s="64" t="s">
        <v>383</v>
      </c>
      <c r="G204" s="64" t="s">
        <v>7618</v>
      </c>
      <c r="H204" s="64" t="s">
        <v>7619</v>
      </c>
    </row>
    <row r="205" spans="1:8" x14ac:dyDescent="0.3">
      <c r="A205" s="64" t="s">
        <v>626</v>
      </c>
      <c r="B205" s="64" t="s">
        <v>459</v>
      </c>
      <c r="C205" s="64" t="s">
        <v>786</v>
      </c>
      <c r="D205" s="64" t="s">
        <v>1877</v>
      </c>
      <c r="E205" s="64" t="s">
        <v>20</v>
      </c>
      <c r="F205" s="64" t="s">
        <v>15</v>
      </c>
      <c r="G205" s="64" t="s">
        <v>7620</v>
      </c>
      <c r="H205" s="64" t="s">
        <v>798</v>
      </c>
    </row>
    <row r="206" spans="1:8" x14ac:dyDescent="0.3">
      <c r="A206" s="64" t="s">
        <v>627</v>
      </c>
      <c r="B206" s="64" t="s">
        <v>459</v>
      </c>
      <c r="C206" s="64" t="s">
        <v>786</v>
      </c>
      <c r="D206" s="64" t="s">
        <v>1877</v>
      </c>
      <c r="E206" s="64" t="s">
        <v>16</v>
      </c>
      <c r="F206" s="64" t="s">
        <v>368</v>
      </c>
      <c r="G206" s="64" t="s">
        <v>7621</v>
      </c>
      <c r="H206" s="64" t="s">
        <v>7622</v>
      </c>
    </row>
    <row r="207" spans="1:8" x14ac:dyDescent="0.3">
      <c r="A207" s="64" t="s">
        <v>628</v>
      </c>
      <c r="B207" s="64" t="s">
        <v>459</v>
      </c>
      <c r="C207" s="64" t="s">
        <v>786</v>
      </c>
      <c r="D207" s="64" t="s">
        <v>1877</v>
      </c>
      <c r="E207" s="64" t="s">
        <v>16</v>
      </c>
      <c r="F207" s="64" t="s">
        <v>369</v>
      </c>
      <c r="G207" s="64" t="s">
        <v>7623</v>
      </c>
      <c r="H207" s="64" t="s">
        <v>7624</v>
      </c>
    </row>
    <row r="208" spans="1:8" x14ac:dyDescent="0.3">
      <c r="A208" s="64" t="s">
        <v>629</v>
      </c>
      <c r="B208" s="64" t="s">
        <v>459</v>
      </c>
      <c r="C208" s="64" t="s">
        <v>786</v>
      </c>
      <c r="D208" s="64" t="s">
        <v>1877</v>
      </c>
      <c r="E208" s="64" t="s">
        <v>16</v>
      </c>
      <c r="F208" s="64" t="s">
        <v>370</v>
      </c>
      <c r="G208" s="64" t="s">
        <v>7625</v>
      </c>
      <c r="H208" s="64" t="s">
        <v>7626</v>
      </c>
    </row>
    <row r="209" spans="1:8" x14ac:dyDescent="0.3">
      <c r="A209" s="64" t="s">
        <v>630</v>
      </c>
      <c r="B209" s="64" t="s">
        <v>459</v>
      </c>
      <c r="C209" s="64" t="s">
        <v>786</v>
      </c>
      <c r="D209" s="64" t="s">
        <v>1877</v>
      </c>
      <c r="E209" s="64" t="s">
        <v>16</v>
      </c>
      <c r="F209" s="64" t="s">
        <v>371</v>
      </c>
      <c r="G209" s="64" t="s">
        <v>7627</v>
      </c>
      <c r="H209" s="64" t="s">
        <v>7628</v>
      </c>
    </row>
    <row r="210" spans="1:8" x14ac:dyDescent="0.3">
      <c r="A210" s="64" t="s">
        <v>631</v>
      </c>
      <c r="B210" s="64" t="s">
        <v>459</v>
      </c>
      <c r="C210" s="64" t="s">
        <v>786</v>
      </c>
      <c r="D210" s="64" t="s">
        <v>1877</v>
      </c>
      <c r="E210" s="64" t="s">
        <v>16</v>
      </c>
      <c r="F210" s="64" t="s">
        <v>372</v>
      </c>
      <c r="G210" s="64" t="s">
        <v>7629</v>
      </c>
      <c r="H210" s="64" t="s">
        <v>7630</v>
      </c>
    </row>
    <row r="211" spans="1:8" x14ac:dyDescent="0.3">
      <c r="A211" s="64" t="s">
        <v>632</v>
      </c>
      <c r="B211" s="64" t="s">
        <v>459</v>
      </c>
      <c r="C211" s="64" t="s">
        <v>786</v>
      </c>
      <c r="D211" s="64" t="s">
        <v>1877</v>
      </c>
      <c r="E211" s="64" t="s">
        <v>16</v>
      </c>
      <c r="F211" s="64" t="s">
        <v>373</v>
      </c>
      <c r="G211" s="64" t="s">
        <v>7631</v>
      </c>
      <c r="H211" s="64" t="s">
        <v>7632</v>
      </c>
    </row>
    <row r="212" spans="1:8" x14ac:dyDescent="0.3">
      <c r="A212" s="64" t="s">
        <v>633</v>
      </c>
      <c r="B212" s="64" t="s">
        <v>459</v>
      </c>
      <c r="C212" s="64" t="s">
        <v>786</v>
      </c>
      <c r="D212" s="64" t="s">
        <v>1877</v>
      </c>
      <c r="E212" s="64" t="s">
        <v>16</v>
      </c>
      <c r="F212" s="64" t="s">
        <v>374</v>
      </c>
      <c r="G212" s="64" t="s">
        <v>7633</v>
      </c>
      <c r="H212" s="64" t="s">
        <v>7634</v>
      </c>
    </row>
    <row r="213" spans="1:8" x14ac:dyDescent="0.3">
      <c r="A213" s="64" t="s">
        <v>634</v>
      </c>
      <c r="B213" s="64" t="s">
        <v>459</v>
      </c>
      <c r="C213" s="64" t="s">
        <v>786</v>
      </c>
      <c r="D213" s="64" t="s">
        <v>1877</v>
      </c>
      <c r="E213" s="64" t="s">
        <v>16</v>
      </c>
      <c r="F213" s="64" t="s">
        <v>375</v>
      </c>
      <c r="G213" s="64" t="s">
        <v>7635</v>
      </c>
      <c r="H213" s="64" t="s">
        <v>7636</v>
      </c>
    </row>
    <row r="214" spans="1:8" x14ac:dyDescent="0.3">
      <c r="A214" s="64" t="s">
        <v>635</v>
      </c>
      <c r="B214" s="64" t="s">
        <v>459</v>
      </c>
      <c r="C214" s="64" t="s">
        <v>786</v>
      </c>
      <c r="D214" s="64" t="s">
        <v>1877</v>
      </c>
      <c r="E214" s="64" t="s">
        <v>16</v>
      </c>
      <c r="F214" s="64" t="s">
        <v>376</v>
      </c>
      <c r="G214" s="64" t="s">
        <v>7637</v>
      </c>
      <c r="H214" s="64" t="s">
        <v>7638</v>
      </c>
    </row>
    <row r="215" spans="1:8" x14ac:dyDescent="0.3">
      <c r="A215" s="64" t="s">
        <v>636</v>
      </c>
      <c r="B215" s="64" t="s">
        <v>459</v>
      </c>
      <c r="C215" s="64" t="s">
        <v>786</v>
      </c>
      <c r="D215" s="64" t="s">
        <v>1877</v>
      </c>
      <c r="E215" s="64" t="s">
        <v>16</v>
      </c>
      <c r="F215" s="64" t="s">
        <v>377</v>
      </c>
      <c r="G215" s="64" t="s">
        <v>7639</v>
      </c>
      <c r="H215" s="64" t="s">
        <v>7640</v>
      </c>
    </row>
    <row r="216" spans="1:8" x14ac:dyDescent="0.3">
      <c r="A216" s="64" t="s">
        <v>637</v>
      </c>
      <c r="B216" s="64" t="s">
        <v>459</v>
      </c>
      <c r="C216" s="64" t="s">
        <v>786</v>
      </c>
      <c r="D216" s="64" t="s">
        <v>1877</v>
      </c>
      <c r="E216" s="64" t="s">
        <v>16</v>
      </c>
      <c r="F216" s="64" t="s">
        <v>378</v>
      </c>
      <c r="G216" s="64" t="s">
        <v>7641</v>
      </c>
      <c r="H216" s="64" t="s">
        <v>7642</v>
      </c>
    </row>
    <row r="217" spans="1:8" x14ac:dyDescent="0.3">
      <c r="A217" s="64" t="s">
        <v>638</v>
      </c>
      <c r="B217" s="64" t="s">
        <v>459</v>
      </c>
      <c r="C217" s="64" t="s">
        <v>786</v>
      </c>
      <c r="D217" s="64" t="s">
        <v>1877</v>
      </c>
      <c r="E217" s="64" t="s">
        <v>16</v>
      </c>
      <c r="F217" s="64" t="s">
        <v>379</v>
      </c>
      <c r="G217" s="64" t="s">
        <v>7643</v>
      </c>
      <c r="H217" s="64" t="s">
        <v>7644</v>
      </c>
    </row>
    <row r="218" spans="1:8" x14ac:dyDescent="0.3">
      <c r="A218" s="64" t="s">
        <v>639</v>
      </c>
      <c r="B218" s="64" t="s">
        <v>459</v>
      </c>
      <c r="C218" s="64" t="s">
        <v>786</v>
      </c>
      <c r="D218" s="64" t="s">
        <v>1877</v>
      </c>
      <c r="E218" s="64" t="s">
        <v>16</v>
      </c>
      <c r="F218" s="64" t="s">
        <v>380</v>
      </c>
      <c r="G218" s="64" t="s">
        <v>7645</v>
      </c>
      <c r="H218" s="64" t="s">
        <v>7646</v>
      </c>
    </row>
    <row r="219" spans="1:8" x14ac:dyDescent="0.3">
      <c r="A219" s="64" t="s">
        <v>640</v>
      </c>
      <c r="B219" s="64" t="s">
        <v>459</v>
      </c>
      <c r="C219" s="64" t="s">
        <v>786</v>
      </c>
      <c r="D219" s="64" t="s">
        <v>1877</v>
      </c>
      <c r="E219" s="64" t="s">
        <v>16</v>
      </c>
      <c r="F219" s="64" t="s">
        <v>381</v>
      </c>
      <c r="G219" s="64" t="s">
        <v>7647</v>
      </c>
      <c r="H219" s="64" t="s">
        <v>7648</v>
      </c>
    </row>
    <row r="220" spans="1:8" x14ac:dyDescent="0.3">
      <c r="A220" s="64" t="s">
        <v>641</v>
      </c>
      <c r="B220" s="64" t="s">
        <v>459</v>
      </c>
      <c r="C220" s="64" t="s">
        <v>786</v>
      </c>
      <c r="D220" s="64" t="s">
        <v>1877</v>
      </c>
      <c r="E220" s="64" t="s">
        <v>16</v>
      </c>
      <c r="F220" s="64" t="s">
        <v>382</v>
      </c>
      <c r="G220" s="64" t="s">
        <v>7649</v>
      </c>
      <c r="H220" s="64" t="s">
        <v>7650</v>
      </c>
    </row>
    <row r="221" spans="1:8" x14ac:dyDescent="0.3">
      <c r="A221" s="64" t="s">
        <v>642</v>
      </c>
      <c r="B221" s="64" t="s">
        <v>459</v>
      </c>
      <c r="C221" s="64" t="s">
        <v>786</v>
      </c>
      <c r="D221" s="64" t="s">
        <v>1877</v>
      </c>
      <c r="E221" s="64" t="s">
        <v>16</v>
      </c>
      <c r="F221" s="64" t="s">
        <v>383</v>
      </c>
      <c r="G221" s="64" t="s">
        <v>7651</v>
      </c>
      <c r="H221" s="64" t="s">
        <v>7652</v>
      </c>
    </row>
    <row r="222" spans="1:8" x14ac:dyDescent="0.3">
      <c r="A222" s="64" t="s">
        <v>643</v>
      </c>
      <c r="B222" s="64" t="s">
        <v>571</v>
      </c>
      <c r="C222" s="64" t="s">
        <v>795</v>
      </c>
      <c r="D222" s="64" t="s">
        <v>1878</v>
      </c>
      <c r="E222" s="64" t="s">
        <v>20</v>
      </c>
      <c r="F222" s="64" t="s">
        <v>15</v>
      </c>
      <c r="G222" s="64" t="s">
        <v>7653</v>
      </c>
      <c r="H222" s="64" t="s">
        <v>808</v>
      </c>
    </row>
    <row r="223" spans="1:8" x14ac:dyDescent="0.3">
      <c r="A223" s="64" t="s">
        <v>644</v>
      </c>
      <c r="B223" s="64" t="s">
        <v>571</v>
      </c>
      <c r="C223" s="64" t="s">
        <v>572</v>
      </c>
      <c r="D223" s="64" t="s">
        <v>1878</v>
      </c>
      <c r="E223" s="64" t="s">
        <v>20</v>
      </c>
      <c r="F223" s="64" t="s">
        <v>15</v>
      </c>
      <c r="G223" s="64" t="s">
        <v>7654</v>
      </c>
      <c r="H223" s="64" t="s">
        <v>809</v>
      </c>
    </row>
    <row r="224" spans="1:8" x14ac:dyDescent="0.3">
      <c r="A224" s="64" t="s">
        <v>645</v>
      </c>
      <c r="B224" s="64" t="s">
        <v>571</v>
      </c>
      <c r="C224" s="64" t="s">
        <v>572</v>
      </c>
      <c r="D224" s="64" t="s">
        <v>1878</v>
      </c>
      <c r="E224" s="64" t="s">
        <v>16</v>
      </c>
      <c r="F224" s="64" t="s">
        <v>368</v>
      </c>
      <c r="G224" s="64" t="s">
        <v>7655</v>
      </c>
      <c r="H224" s="64" t="s">
        <v>7656</v>
      </c>
    </row>
    <row r="225" spans="1:8" x14ac:dyDescent="0.3">
      <c r="A225" s="64" t="s">
        <v>646</v>
      </c>
      <c r="B225" s="64" t="s">
        <v>571</v>
      </c>
      <c r="C225" s="64" t="s">
        <v>572</v>
      </c>
      <c r="D225" s="64" t="s">
        <v>1878</v>
      </c>
      <c r="E225" s="64" t="s">
        <v>16</v>
      </c>
      <c r="F225" s="64" t="s">
        <v>370</v>
      </c>
      <c r="G225" s="64" t="s">
        <v>7657</v>
      </c>
      <c r="H225" s="64" t="s">
        <v>7658</v>
      </c>
    </row>
    <row r="226" spans="1:8" x14ac:dyDescent="0.3">
      <c r="A226" s="64" t="s">
        <v>647</v>
      </c>
      <c r="B226" s="64" t="s">
        <v>571</v>
      </c>
      <c r="C226" s="64" t="s">
        <v>572</v>
      </c>
      <c r="D226" s="64" t="s">
        <v>1878</v>
      </c>
      <c r="E226" s="64" t="s">
        <v>16</v>
      </c>
      <c r="F226" s="64" t="s">
        <v>371</v>
      </c>
      <c r="G226" s="64" t="s">
        <v>7659</v>
      </c>
      <c r="H226" s="64" t="s">
        <v>7660</v>
      </c>
    </row>
    <row r="227" spans="1:8" x14ac:dyDescent="0.3">
      <c r="A227" s="64" t="s">
        <v>648</v>
      </c>
      <c r="B227" s="64" t="s">
        <v>571</v>
      </c>
      <c r="C227" s="64" t="s">
        <v>572</v>
      </c>
      <c r="D227" s="64" t="s">
        <v>1878</v>
      </c>
      <c r="E227" s="64" t="s">
        <v>16</v>
      </c>
      <c r="F227" s="64" t="s">
        <v>372</v>
      </c>
      <c r="G227" s="64" t="s">
        <v>7661</v>
      </c>
      <c r="H227" s="64" t="s">
        <v>7662</v>
      </c>
    </row>
    <row r="228" spans="1:8" x14ac:dyDescent="0.3">
      <c r="A228" s="64" t="s">
        <v>649</v>
      </c>
      <c r="B228" s="64" t="s">
        <v>571</v>
      </c>
      <c r="C228" s="64" t="s">
        <v>572</v>
      </c>
      <c r="D228" s="64" t="s">
        <v>1878</v>
      </c>
      <c r="E228" s="64" t="s">
        <v>16</v>
      </c>
      <c r="F228" s="64" t="s">
        <v>373</v>
      </c>
      <c r="G228" s="64" t="s">
        <v>7663</v>
      </c>
      <c r="H228" s="64" t="s">
        <v>7664</v>
      </c>
    </row>
    <row r="229" spans="1:8" x14ac:dyDescent="0.3">
      <c r="A229" s="64" t="s">
        <v>650</v>
      </c>
      <c r="B229" s="64" t="s">
        <v>571</v>
      </c>
      <c r="C229" s="64" t="s">
        <v>572</v>
      </c>
      <c r="D229" s="64" t="s">
        <v>1878</v>
      </c>
      <c r="E229" s="64" t="s">
        <v>16</v>
      </c>
      <c r="F229" s="64" t="s">
        <v>374</v>
      </c>
      <c r="G229" s="64" t="s">
        <v>7665</v>
      </c>
      <c r="H229" s="64" t="s">
        <v>7666</v>
      </c>
    </row>
    <row r="230" spans="1:8" x14ac:dyDescent="0.3">
      <c r="A230" s="64" t="s">
        <v>651</v>
      </c>
      <c r="B230" s="64" t="s">
        <v>571</v>
      </c>
      <c r="C230" s="64" t="s">
        <v>572</v>
      </c>
      <c r="D230" s="64" t="s">
        <v>1878</v>
      </c>
      <c r="E230" s="64" t="s">
        <v>16</v>
      </c>
      <c r="F230" s="64" t="s">
        <v>375</v>
      </c>
      <c r="G230" s="64" t="s">
        <v>7667</v>
      </c>
      <c r="H230" s="64" t="s">
        <v>7668</v>
      </c>
    </row>
    <row r="231" spans="1:8" x14ac:dyDescent="0.3">
      <c r="A231" s="64" t="s">
        <v>652</v>
      </c>
      <c r="B231" s="64" t="s">
        <v>571</v>
      </c>
      <c r="C231" s="64" t="s">
        <v>572</v>
      </c>
      <c r="D231" s="64" t="s">
        <v>1878</v>
      </c>
      <c r="E231" s="64" t="s">
        <v>16</v>
      </c>
      <c r="F231" s="64" t="s">
        <v>376</v>
      </c>
      <c r="G231" s="64" t="s">
        <v>7669</v>
      </c>
      <c r="H231" s="64" t="s">
        <v>7670</v>
      </c>
    </row>
    <row r="232" spans="1:8" x14ac:dyDescent="0.3">
      <c r="A232" s="64" t="s">
        <v>653</v>
      </c>
      <c r="B232" s="64" t="s">
        <v>571</v>
      </c>
      <c r="C232" s="64" t="s">
        <v>572</v>
      </c>
      <c r="D232" s="64" t="s">
        <v>1878</v>
      </c>
      <c r="E232" s="64" t="s">
        <v>16</v>
      </c>
      <c r="F232" s="64" t="s">
        <v>377</v>
      </c>
      <c r="G232" s="64" t="s">
        <v>7671</v>
      </c>
      <c r="H232" s="64" t="s">
        <v>7672</v>
      </c>
    </row>
    <row r="233" spans="1:8" x14ac:dyDescent="0.3">
      <c r="A233" s="64" t="s">
        <v>654</v>
      </c>
      <c r="B233" s="64" t="s">
        <v>571</v>
      </c>
      <c r="C233" s="64" t="s">
        <v>572</v>
      </c>
      <c r="D233" s="64" t="s">
        <v>1878</v>
      </c>
      <c r="E233" s="64" t="s">
        <v>16</v>
      </c>
      <c r="F233" s="64" t="s">
        <v>380</v>
      </c>
      <c r="G233" s="64" t="s">
        <v>7673</v>
      </c>
      <c r="H233" s="64" t="s">
        <v>7674</v>
      </c>
    </row>
    <row r="234" spans="1:8" x14ac:dyDescent="0.3">
      <c r="A234" s="64" t="s">
        <v>655</v>
      </c>
      <c r="B234" s="64" t="s">
        <v>571</v>
      </c>
      <c r="C234" s="64" t="s">
        <v>572</v>
      </c>
      <c r="D234" s="64" t="s">
        <v>1878</v>
      </c>
      <c r="E234" s="64" t="s">
        <v>16</v>
      </c>
      <c r="F234" s="64" t="s">
        <v>381</v>
      </c>
      <c r="G234" s="64" t="s">
        <v>7675</v>
      </c>
      <c r="H234" s="64" t="s">
        <v>7676</v>
      </c>
    </row>
    <row r="235" spans="1:8" x14ac:dyDescent="0.3">
      <c r="A235" s="64" t="s">
        <v>656</v>
      </c>
      <c r="B235" s="64" t="s">
        <v>571</v>
      </c>
      <c r="C235" s="64" t="s">
        <v>572</v>
      </c>
      <c r="D235" s="64" t="s">
        <v>1878</v>
      </c>
      <c r="E235" s="64" t="s">
        <v>16</v>
      </c>
      <c r="F235" s="64" t="s">
        <v>382</v>
      </c>
      <c r="G235" s="64" t="s">
        <v>7677</v>
      </c>
      <c r="H235" s="64" t="s">
        <v>7678</v>
      </c>
    </row>
    <row r="236" spans="1:8" x14ac:dyDescent="0.3">
      <c r="A236" s="64" t="s">
        <v>657</v>
      </c>
      <c r="B236" s="64" t="s">
        <v>571</v>
      </c>
      <c r="C236" s="64" t="s">
        <v>572</v>
      </c>
      <c r="D236" s="64" t="s">
        <v>1878</v>
      </c>
      <c r="E236" s="64" t="s">
        <v>16</v>
      </c>
      <c r="F236" s="64" t="s">
        <v>383</v>
      </c>
      <c r="G236" s="64" t="s">
        <v>7679</v>
      </c>
      <c r="H236" s="64" t="s">
        <v>7680</v>
      </c>
    </row>
    <row r="237" spans="1:8" x14ac:dyDescent="0.3">
      <c r="A237" s="64" t="s">
        <v>658</v>
      </c>
      <c r="B237" s="64" t="s">
        <v>571</v>
      </c>
      <c r="C237" s="64" t="s">
        <v>813</v>
      </c>
      <c r="D237" s="64" t="s">
        <v>1878</v>
      </c>
      <c r="E237" s="64" t="s">
        <v>20</v>
      </c>
      <c r="F237" s="64" t="s">
        <v>15</v>
      </c>
      <c r="G237" s="64" t="s">
        <v>810</v>
      </c>
      <c r="H237" s="64" t="s">
        <v>812</v>
      </c>
    </row>
    <row r="238" spans="1:8" x14ac:dyDescent="0.3">
      <c r="A238" s="64" t="s">
        <v>659</v>
      </c>
      <c r="B238" s="64" t="s">
        <v>571</v>
      </c>
      <c r="C238" s="64" t="s">
        <v>813</v>
      </c>
      <c r="D238" s="64" t="s">
        <v>1878</v>
      </c>
      <c r="E238" s="64" t="s">
        <v>16</v>
      </c>
      <c r="F238" s="64" t="s">
        <v>370</v>
      </c>
      <c r="G238" s="64" t="s">
        <v>7681</v>
      </c>
      <c r="H238" s="64" t="s">
        <v>7682</v>
      </c>
    </row>
    <row r="239" spans="1:8" x14ac:dyDescent="0.3">
      <c r="A239" s="64" t="s">
        <v>660</v>
      </c>
      <c r="B239" s="64" t="s">
        <v>571</v>
      </c>
      <c r="C239" s="64" t="s">
        <v>813</v>
      </c>
      <c r="D239" s="64" t="s">
        <v>1878</v>
      </c>
      <c r="E239" s="64" t="s">
        <v>16</v>
      </c>
      <c r="F239" s="64" t="s">
        <v>371</v>
      </c>
      <c r="G239" s="64" t="s">
        <v>7683</v>
      </c>
      <c r="H239" s="64" t="s">
        <v>7684</v>
      </c>
    </row>
    <row r="240" spans="1:8" x14ac:dyDescent="0.3">
      <c r="A240" s="64" t="s">
        <v>661</v>
      </c>
      <c r="B240" s="64" t="s">
        <v>571</v>
      </c>
      <c r="C240" s="64" t="s">
        <v>813</v>
      </c>
      <c r="D240" s="64" t="s">
        <v>1878</v>
      </c>
      <c r="E240" s="64" t="s">
        <v>16</v>
      </c>
      <c r="F240" s="64" t="s">
        <v>372</v>
      </c>
      <c r="G240" s="64" t="s">
        <v>7685</v>
      </c>
      <c r="H240" s="64" t="s">
        <v>7686</v>
      </c>
    </row>
    <row r="241" spans="1:8" x14ac:dyDescent="0.3">
      <c r="A241" s="64" t="s">
        <v>662</v>
      </c>
      <c r="B241" s="64" t="s">
        <v>571</v>
      </c>
      <c r="C241" s="64" t="s">
        <v>813</v>
      </c>
      <c r="D241" s="64" t="s">
        <v>1878</v>
      </c>
      <c r="E241" s="64" t="s">
        <v>16</v>
      </c>
      <c r="F241" s="64" t="s">
        <v>373</v>
      </c>
      <c r="G241" s="64" t="s">
        <v>7687</v>
      </c>
      <c r="H241" s="64" t="s">
        <v>7688</v>
      </c>
    </row>
    <row r="242" spans="1:8" x14ac:dyDescent="0.3">
      <c r="A242" s="64" t="s">
        <v>663</v>
      </c>
      <c r="B242" s="64" t="s">
        <v>571</v>
      </c>
      <c r="C242" s="64" t="s">
        <v>813</v>
      </c>
      <c r="D242" s="64" t="s">
        <v>1878</v>
      </c>
      <c r="E242" s="64" t="s">
        <v>16</v>
      </c>
      <c r="F242" s="64" t="s">
        <v>374</v>
      </c>
      <c r="G242" s="64" t="s">
        <v>7689</v>
      </c>
      <c r="H242" s="64" t="s">
        <v>7690</v>
      </c>
    </row>
    <row r="243" spans="1:8" x14ac:dyDescent="0.3">
      <c r="A243" s="64" t="s">
        <v>664</v>
      </c>
      <c r="B243" s="64" t="s">
        <v>571</v>
      </c>
      <c r="C243" s="64" t="s">
        <v>813</v>
      </c>
      <c r="D243" s="64" t="s">
        <v>1878</v>
      </c>
      <c r="E243" s="64" t="s">
        <v>16</v>
      </c>
      <c r="F243" s="64" t="s">
        <v>375</v>
      </c>
      <c r="G243" s="64" t="s">
        <v>7691</v>
      </c>
      <c r="H243" s="64" t="s">
        <v>7692</v>
      </c>
    </row>
    <row r="244" spans="1:8" x14ac:dyDescent="0.3">
      <c r="A244" s="64" t="s">
        <v>665</v>
      </c>
      <c r="B244" s="64" t="s">
        <v>571</v>
      </c>
      <c r="C244" s="64" t="s">
        <v>813</v>
      </c>
      <c r="D244" s="64" t="s">
        <v>1878</v>
      </c>
      <c r="E244" s="64" t="s">
        <v>16</v>
      </c>
      <c r="F244" s="64" t="s">
        <v>376</v>
      </c>
      <c r="G244" s="64" t="s">
        <v>7693</v>
      </c>
      <c r="H244" s="64" t="s">
        <v>7694</v>
      </c>
    </row>
    <row r="245" spans="1:8" x14ac:dyDescent="0.3">
      <c r="A245" s="64" t="s">
        <v>666</v>
      </c>
      <c r="B245" s="64" t="s">
        <v>571</v>
      </c>
      <c r="C245" s="64" t="s">
        <v>813</v>
      </c>
      <c r="D245" s="64" t="s">
        <v>1878</v>
      </c>
      <c r="E245" s="64" t="s">
        <v>16</v>
      </c>
      <c r="F245" s="64" t="s">
        <v>380</v>
      </c>
      <c r="G245" s="64" t="s">
        <v>7695</v>
      </c>
      <c r="H245" s="64" t="s">
        <v>7696</v>
      </c>
    </row>
    <row r="246" spans="1:8" x14ac:dyDescent="0.3">
      <c r="A246" s="64" t="s">
        <v>667</v>
      </c>
      <c r="B246" s="64" t="s">
        <v>571</v>
      </c>
      <c r="C246" s="64" t="s">
        <v>813</v>
      </c>
      <c r="D246" s="64" t="s">
        <v>1878</v>
      </c>
      <c r="E246" s="64" t="s">
        <v>16</v>
      </c>
      <c r="F246" s="64" t="s">
        <v>382</v>
      </c>
      <c r="G246" s="64" t="s">
        <v>7697</v>
      </c>
      <c r="H246" s="64" t="s">
        <v>7698</v>
      </c>
    </row>
    <row r="247" spans="1:8" x14ac:dyDescent="0.3">
      <c r="A247" s="64" t="s">
        <v>668</v>
      </c>
      <c r="B247" s="64" t="s">
        <v>571</v>
      </c>
      <c r="C247" s="64" t="s">
        <v>813</v>
      </c>
      <c r="D247" s="64" t="s">
        <v>1878</v>
      </c>
      <c r="E247" s="64" t="s">
        <v>16</v>
      </c>
      <c r="F247" s="64" t="s">
        <v>383</v>
      </c>
      <c r="G247" s="64" t="s">
        <v>7699</v>
      </c>
      <c r="H247" s="64" t="s">
        <v>7700</v>
      </c>
    </row>
    <row r="248" spans="1:8" x14ac:dyDescent="0.3">
      <c r="A248" s="64" t="s">
        <v>669</v>
      </c>
      <c r="B248" s="64" t="s">
        <v>814</v>
      </c>
      <c r="C248" s="64" t="s">
        <v>815</v>
      </c>
      <c r="D248" s="64" t="s">
        <v>1880</v>
      </c>
      <c r="E248" s="64" t="s">
        <v>20</v>
      </c>
      <c r="F248" s="64" t="s">
        <v>15</v>
      </c>
      <c r="G248" s="64" t="s">
        <v>818</v>
      </c>
      <c r="H248" s="64" t="s">
        <v>993</v>
      </c>
    </row>
    <row r="249" spans="1:8" x14ac:dyDescent="0.3">
      <c r="A249" s="64" t="s">
        <v>670</v>
      </c>
      <c r="B249" s="64" t="s">
        <v>603</v>
      </c>
      <c r="C249" s="64" t="s">
        <v>5156</v>
      </c>
      <c r="D249" s="64" t="s">
        <v>1896</v>
      </c>
      <c r="E249" s="64" t="s">
        <v>20</v>
      </c>
      <c r="F249" s="64" t="s">
        <v>15</v>
      </c>
      <c r="G249" s="64" t="s">
        <v>7701</v>
      </c>
      <c r="H249" s="64" t="s">
        <v>820</v>
      </c>
    </row>
    <row r="250" spans="1:8" x14ac:dyDescent="0.3">
      <c r="A250" s="64" t="s">
        <v>671</v>
      </c>
      <c r="B250" s="64" t="s">
        <v>603</v>
      </c>
      <c r="C250" s="64" t="s">
        <v>5156</v>
      </c>
      <c r="D250" s="64" t="s">
        <v>1896</v>
      </c>
      <c r="E250" s="64" t="s">
        <v>16</v>
      </c>
      <c r="F250" s="64" t="s">
        <v>368</v>
      </c>
      <c r="G250" s="64" t="s">
        <v>7702</v>
      </c>
      <c r="H250" s="64" t="s">
        <v>7703</v>
      </c>
    </row>
    <row r="251" spans="1:8" x14ac:dyDescent="0.3">
      <c r="A251" s="64" t="s">
        <v>672</v>
      </c>
      <c r="B251" s="64" t="s">
        <v>603</v>
      </c>
      <c r="C251" s="64" t="s">
        <v>5156</v>
      </c>
      <c r="D251" s="64" t="s">
        <v>1896</v>
      </c>
      <c r="E251" s="64" t="s">
        <v>16</v>
      </c>
      <c r="F251" s="64" t="s">
        <v>369</v>
      </c>
      <c r="G251" s="64" t="s">
        <v>7704</v>
      </c>
      <c r="H251" s="64" t="s">
        <v>7705</v>
      </c>
    </row>
    <row r="252" spans="1:8" x14ac:dyDescent="0.3">
      <c r="A252" s="64" t="s">
        <v>673</v>
      </c>
      <c r="B252" s="64" t="s">
        <v>603</v>
      </c>
      <c r="C252" s="64" t="s">
        <v>5156</v>
      </c>
      <c r="D252" s="64" t="s">
        <v>1896</v>
      </c>
      <c r="E252" s="64" t="s">
        <v>16</v>
      </c>
      <c r="F252" s="64" t="s">
        <v>370</v>
      </c>
      <c r="G252" s="64" t="s">
        <v>7706</v>
      </c>
      <c r="H252" s="64" t="s">
        <v>7707</v>
      </c>
    </row>
    <row r="253" spans="1:8" x14ac:dyDescent="0.3">
      <c r="A253" s="64" t="s">
        <v>674</v>
      </c>
      <c r="B253" s="64" t="s">
        <v>603</v>
      </c>
      <c r="C253" s="64" t="s">
        <v>5156</v>
      </c>
      <c r="D253" s="64" t="s">
        <v>1896</v>
      </c>
      <c r="E253" s="64" t="s">
        <v>16</v>
      </c>
      <c r="F253" s="64" t="s">
        <v>371</v>
      </c>
      <c r="G253" s="64" t="s">
        <v>7708</v>
      </c>
      <c r="H253" s="64" t="s">
        <v>7709</v>
      </c>
    </row>
    <row r="254" spans="1:8" x14ac:dyDescent="0.3">
      <c r="A254" s="64" t="s">
        <v>675</v>
      </c>
      <c r="B254" s="64" t="s">
        <v>603</v>
      </c>
      <c r="C254" s="64" t="s">
        <v>5156</v>
      </c>
      <c r="D254" s="64" t="s">
        <v>1896</v>
      </c>
      <c r="E254" s="64" t="s">
        <v>16</v>
      </c>
      <c r="F254" s="64" t="s">
        <v>372</v>
      </c>
      <c r="G254" s="64" t="s">
        <v>7710</v>
      </c>
      <c r="H254" s="64" t="s">
        <v>7711</v>
      </c>
    </row>
    <row r="255" spans="1:8" x14ac:dyDescent="0.3">
      <c r="A255" s="64" t="s">
        <v>676</v>
      </c>
      <c r="B255" s="64" t="s">
        <v>603</v>
      </c>
      <c r="C255" s="64" t="s">
        <v>5156</v>
      </c>
      <c r="D255" s="64" t="s">
        <v>1896</v>
      </c>
      <c r="E255" s="64" t="s">
        <v>16</v>
      </c>
      <c r="F255" s="64" t="s">
        <v>373</v>
      </c>
      <c r="G255" s="64" t="s">
        <v>7712</v>
      </c>
      <c r="H255" s="64" t="s">
        <v>7713</v>
      </c>
    </row>
    <row r="256" spans="1:8" x14ac:dyDescent="0.3">
      <c r="A256" s="64" t="s">
        <v>677</v>
      </c>
      <c r="B256" s="64" t="s">
        <v>603</v>
      </c>
      <c r="C256" s="64" t="s">
        <v>5156</v>
      </c>
      <c r="D256" s="64" t="s">
        <v>1896</v>
      </c>
      <c r="E256" s="64" t="s">
        <v>16</v>
      </c>
      <c r="F256" s="64" t="s">
        <v>374</v>
      </c>
      <c r="G256" s="64" t="s">
        <v>7714</v>
      </c>
      <c r="H256" s="64" t="s">
        <v>7715</v>
      </c>
    </row>
    <row r="257" spans="1:8" x14ac:dyDescent="0.3">
      <c r="A257" s="64" t="s">
        <v>678</v>
      </c>
      <c r="B257" s="64" t="s">
        <v>603</v>
      </c>
      <c r="C257" s="64" t="s">
        <v>5156</v>
      </c>
      <c r="D257" s="64" t="s">
        <v>1896</v>
      </c>
      <c r="E257" s="64" t="s">
        <v>16</v>
      </c>
      <c r="F257" s="64" t="s">
        <v>375</v>
      </c>
      <c r="G257" s="64" t="s">
        <v>7716</v>
      </c>
      <c r="H257" s="64" t="s">
        <v>7717</v>
      </c>
    </row>
    <row r="258" spans="1:8" x14ac:dyDescent="0.3">
      <c r="A258" s="64" t="s">
        <v>679</v>
      </c>
      <c r="B258" s="64" t="s">
        <v>603</v>
      </c>
      <c r="C258" s="64" t="s">
        <v>5156</v>
      </c>
      <c r="D258" s="64" t="s">
        <v>1896</v>
      </c>
      <c r="E258" s="64" t="s">
        <v>16</v>
      </c>
      <c r="F258" s="64" t="s">
        <v>376</v>
      </c>
      <c r="G258" s="64" t="s">
        <v>7718</v>
      </c>
      <c r="H258" s="64" t="s">
        <v>7719</v>
      </c>
    </row>
    <row r="259" spans="1:8" x14ac:dyDescent="0.3">
      <c r="A259" s="64" t="s">
        <v>680</v>
      </c>
      <c r="B259" s="64" t="s">
        <v>603</v>
      </c>
      <c r="C259" s="64" t="s">
        <v>5156</v>
      </c>
      <c r="D259" s="64" t="s">
        <v>1896</v>
      </c>
      <c r="E259" s="64" t="s">
        <v>16</v>
      </c>
      <c r="F259" s="64" t="s">
        <v>377</v>
      </c>
      <c r="G259" s="64" t="s">
        <v>7720</v>
      </c>
      <c r="H259" s="64" t="s">
        <v>7721</v>
      </c>
    </row>
    <row r="260" spans="1:8" x14ac:dyDescent="0.3">
      <c r="A260" s="64" t="s">
        <v>681</v>
      </c>
      <c r="B260" s="64" t="s">
        <v>603</v>
      </c>
      <c r="C260" s="64" t="s">
        <v>5156</v>
      </c>
      <c r="D260" s="64" t="s">
        <v>1896</v>
      </c>
      <c r="E260" s="64" t="s">
        <v>16</v>
      </c>
      <c r="F260" s="64" t="s">
        <v>378</v>
      </c>
      <c r="G260" s="64" t="s">
        <v>7722</v>
      </c>
      <c r="H260" s="64" t="s">
        <v>7723</v>
      </c>
    </row>
    <row r="261" spans="1:8" x14ac:dyDescent="0.3">
      <c r="A261" s="64" t="s">
        <v>682</v>
      </c>
      <c r="B261" s="64" t="s">
        <v>603</v>
      </c>
      <c r="C261" s="64" t="s">
        <v>5156</v>
      </c>
      <c r="D261" s="64" t="s">
        <v>1896</v>
      </c>
      <c r="E261" s="64" t="s">
        <v>16</v>
      </c>
      <c r="F261" s="64" t="s">
        <v>379</v>
      </c>
      <c r="G261" s="64" t="s">
        <v>7724</v>
      </c>
      <c r="H261" s="64" t="s">
        <v>7725</v>
      </c>
    </row>
    <row r="262" spans="1:8" x14ac:dyDescent="0.3">
      <c r="A262" s="64" t="s">
        <v>683</v>
      </c>
      <c r="B262" s="64" t="s">
        <v>603</v>
      </c>
      <c r="C262" s="64" t="s">
        <v>5156</v>
      </c>
      <c r="D262" s="64" t="s">
        <v>1896</v>
      </c>
      <c r="E262" s="64" t="s">
        <v>16</v>
      </c>
      <c r="F262" s="64" t="s">
        <v>380</v>
      </c>
      <c r="G262" s="64" t="s">
        <v>7726</v>
      </c>
      <c r="H262" s="64" t="s">
        <v>7727</v>
      </c>
    </row>
    <row r="263" spans="1:8" x14ac:dyDescent="0.3">
      <c r="A263" s="64" t="s">
        <v>684</v>
      </c>
      <c r="B263" s="64" t="s">
        <v>603</v>
      </c>
      <c r="C263" s="64" t="s">
        <v>5156</v>
      </c>
      <c r="D263" s="64" t="s">
        <v>1896</v>
      </c>
      <c r="E263" s="64" t="s">
        <v>16</v>
      </c>
      <c r="F263" s="64" t="s">
        <v>381</v>
      </c>
      <c r="G263" s="64" t="s">
        <v>7728</v>
      </c>
      <c r="H263" s="64" t="s">
        <v>7729</v>
      </c>
    </row>
    <row r="264" spans="1:8" x14ac:dyDescent="0.3">
      <c r="A264" s="64" t="s">
        <v>685</v>
      </c>
      <c r="B264" s="64" t="s">
        <v>603</v>
      </c>
      <c r="C264" s="64" t="s">
        <v>5156</v>
      </c>
      <c r="D264" s="64" t="s">
        <v>1896</v>
      </c>
      <c r="E264" s="64" t="s">
        <v>16</v>
      </c>
      <c r="F264" s="64" t="s">
        <v>382</v>
      </c>
      <c r="G264" s="64" t="s">
        <v>7730</v>
      </c>
      <c r="H264" s="64" t="s">
        <v>7731</v>
      </c>
    </row>
    <row r="265" spans="1:8" x14ac:dyDescent="0.3">
      <c r="A265" s="64" t="s">
        <v>686</v>
      </c>
      <c r="B265" s="64" t="s">
        <v>603</v>
      </c>
      <c r="C265" s="64" t="s">
        <v>5156</v>
      </c>
      <c r="D265" s="64" t="s">
        <v>1896</v>
      </c>
      <c r="E265" s="64" t="s">
        <v>16</v>
      </c>
      <c r="F265" s="64" t="s">
        <v>383</v>
      </c>
      <c r="G265" s="64" t="s">
        <v>7732</v>
      </c>
      <c r="H265" s="64" t="s">
        <v>7733</v>
      </c>
    </row>
    <row r="266" spans="1:8" x14ac:dyDescent="0.3">
      <c r="A266" s="64" t="s">
        <v>687</v>
      </c>
      <c r="B266" s="64" t="s">
        <v>823</v>
      </c>
      <c r="C266" s="64" t="s">
        <v>824</v>
      </c>
      <c r="D266" s="64" t="s">
        <v>1470</v>
      </c>
      <c r="E266" s="64" t="s">
        <v>20</v>
      </c>
      <c r="F266" s="64" t="s">
        <v>15</v>
      </c>
      <c r="G266" s="64" t="s">
        <v>7734</v>
      </c>
      <c r="H266" s="64" t="s">
        <v>1416</v>
      </c>
    </row>
    <row r="267" spans="1:8" x14ac:dyDescent="0.3">
      <c r="A267" s="64" t="s">
        <v>688</v>
      </c>
      <c r="B267" s="64" t="s">
        <v>823</v>
      </c>
      <c r="C267" s="64" t="s">
        <v>824</v>
      </c>
      <c r="D267" s="64" t="s">
        <v>1470</v>
      </c>
      <c r="E267" s="64" t="s">
        <v>16</v>
      </c>
      <c r="F267" s="64" t="s">
        <v>368</v>
      </c>
      <c r="G267" s="64" t="s">
        <v>7735</v>
      </c>
      <c r="H267" s="64" t="s">
        <v>7736</v>
      </c>
    </row>
    <row r="268" spans="1:8" x14ac:dyDescent="0.3">
      <c r="A268" s="64" t="s">
        <v>689</v>
      </c>
      <c r="B268" s="64" t="s">
        <v>823</v>
      </c>
      <c r="C268" s="64" t="s">
        <v>824</v>
      </c>
      <c r="D268" s="64" t="s">
        <v>1470</v>
      </c>
      <c r="E268" s="64" t="s">
        <v>16</v>
      </c>
      <c r="F268" s="64" t="s">
        <v>369</v>
      </c>
      <c r="G268" s="64" t="s">
        <v>7737</v>
      </c>
      <c r="H268" s="64" t="s">
        <v>7738</v>
      </c>
    </row>
    <row r="269" spans="1:8" x14ac:dyDescent="0.3">
      <c r="A269" s="64" t="s">
        <v>690</v>
      </c>
      <c r="B269" s="64" t="s">
        <v>823</v>
      </c>
      <c r="C269" s="64" t="s">
        <v>824</v>
      </c>
      <c r="D269" s="64" t="s">
        <v>1470</v>
      </c>
      <c r="E269" s="64" t="s">
        <v>16</v>
      </c>
      <c r="F269" s="64" t="s">
        <v>370</v>
      </c>
      <c r="G269" s="64" t="s">
        <v>7739</v>
      </c>
      <c r="H269" s="64" t="s">
        <v>7740</v>
      </c>
    </row>
    <row r="270" spans="1:8" x14ac:dyDescent="0.3">
      <c r="A270" s="64" t="s">
        <v>691</v>
      </c>
      <c r="B270" s="64" t="s">
        <v>823</v>
      </c>
      <c r="C270" s="64" t="s">
        <v>824</v>
      </c>
      <c r="D270" s="64" t="s">
        <v>1470</v>
      </c>
      <c r="E270" s="64" t="s">
        <v>16</v>
      </c>
      <c r="F270" s="64" t="s">
        <v>371</v>
      </c>
      <c r="G270" s="64" t="s">
        <v>7741</v>
      </c>
      <c r="H270" s="64" t="s">
        <v>7742</v>
      </c>
    </row>
    <row r="271" spans="1:8" x14ac:dyDescent="0.3">
      <c r="A271" s="64" t="s">
        <v>692</v>
      </c>
      <c r="B271" s="64" t="s">
        <v>823</v>
      </c>
      <c r="C271" s="64" t="s">
        <v>824</v>
      </c>
      <c r="D271" s="64" t="s">
        <v>1470</v>
      </c>
      <c r="E271" s="64" t="s">
        <v>16</v>
      </c>
      <c r="F271" s="64" t="s">
        <v>372</v>
      </c>
      <c r="G271" s="64" t="s">
        <v>7743</v>
      </c>
      <c r="H271" s="64" t="s">
        <v>7744</v>
      </c>
    </row>
    <row r="272" spans="1:8" x14ac:dyDescent="0.3">
      <c r="A272" s="64" t="s">
        <v>693</v>
      </c>
      <c r="B272" s="64" t="s">
        <v>823</v>
      </c>
      <c r="C272" s="64" t="s">
        <v>824</v>
      </c>
      <c r="D272" s="64" t="s">
        <v>1470</v>
      </c>
      <c r="E272" s="64" t="s">
        <v>16</v>
      </c>
      <c r="F272" s="64" t="s">
        <v>373</v>
      </c>
      <c r="G272" s="64" t="s">
        <v>7745</v>
      </c>
      <c r="H272" s="64" t="s">
        <v>7746</v>
      </c>
    </row>
    <row r="273" spans="1:8" x14ac:dyDescent="0.3">
      <c r="A273" s="64" t="s">
        <v>694</v>
      </c>
      <c r="B273" s="64" t="s">
        <v>823</v>
      </c>
      <c r="C273" s="64" t="s">
        <v>824</v>
      </c>
      <c r="D273" s="64" t="s">
        <v>1470</v>
      </c>
      <c r="E273" s="64" t="s">
        <v>16</v>
      </c>
      <c r="F273" s="64" t="s">
        <v>374</v>
      </c>
      <c r="G273" s="64" t="s">
        <v>7747</v>
      </c>
      <c r="H273" s="64" t="s">
        <v>7748</v>
      </c>
    </row>
    <row r="274" spans="1:8" x14ac:dyDescent="0.3">
      <c r="A274" s="64" t="s">
        <v>695</v>
      </c>
      <c r="B274" s="64" t="s">
        <v>823</v>
      </c>
      <c r="C274" s="64" t="s">
        <v>824</v>
      </c>
      <c r="D274" s="64" t="s">
        <v>1470</v>
      </c>
      <c r="E274" s="64" t="s">
        <v>16</v>
      </c>
      <c r="F274" s="64" t="s">
        <v>375</v>
      </c>
      <c r="G274" s="64" t="s">
        <v>7749</v>
      </c>
      <c r="H274" s="64" t="s">
        <v>7750</v>
      </c>
    </row>
    <row r="275" spans="1:8" x14ac:dyDescent="0.3">
      <c r="A275" s="64" t="s">
        <v>696</v>
      </c>
      <c r="B275" s="64" t="s">
        <v>823</v>
      </c>
      <c r="C275" s="64" t="s">
        <v>824</v>
      </c>
      <c r="D275" s="64" t="s">
        <v>1470</v>
      </c>
      <c r="E275" s="64" t="s">
        <v>16</v>
      </c>
      <c r="F275" s="64" t="s">
        <v>376</v>
      </c>
      <c r="G275" s="64" t="s">
        <v>7751</v>
      </c>
      <c r="H275" s="64" t="s">
        <v>7752</v>
      </c>
    </row>
    <row r="276" spans="1:8" x14ac:dyDescent="0.3">
      <c r="A276" s="64" t="s">
        <v>697</v>
      </c>
      <c r="B276" s="64" t="s">
        <v>823</v>
      </c>
      <c r="C276" s="64" t="s">
        <v>824</v>
      </c>
      <c r="D276" s="64" t="s">
        <v>1470</v>
      </c>
      <c r="E276" s="64" t="s">
        <v>16</v>
      </c>
      <c r="F276" s="64" t="s">
        <v>377</v>
      </c>
      <c r="G276" s="64" t="s">
        <v>7753</v>
      </c>
      <c r="H276" s="64" t="s">
        <v>7754</v>
      </c>
    </row>
    <row r="277" spans="1:8" x14ac:dyDescent="0.3">
      <c r="A277" s="64" t="s">
        <v>698</v>
      </c>
      <c r="B277" s="64" t="s">
        <v>823</v>
      </c>
      <c r="C277" s="64" t="s">
        <v>824</v>
      </c>
      <c r="D277" s="64" t="s">
        <v>1470</v>
      </c>
      <c r="E277" s="64" t="s">
        <v>16</v>
      </c>
      <c r="F277" s="64" t="s">
        <v>378</v>
      </c>
      <c r="G277" s="64" t="s">
        <v>7755</v>
      </c>
      <c r="H277" s="64" t="s">
        <v>7756</v>
      </c>
    </row>
    <row r="278" spans="1:8" x14ac:dyDescent="0.3">
      <c r="A278" s="64" t="s">
        <v>699</v>
      </c>
      <c r="B278" s="64" t="s">
        <v>823</v>
      </c>
      <c r="C278" s="64" t="s">
        <v>824</v>
      </c>
      <c r="D278" s="64" t="s">
        <v>1470</v>
      </c>
      <c r="E278" s="64" t="s">
        <v>16</v>
      </c>
      <c r="F278" s="64" t="s">
        <v>379</v>
      </c>
      <c r="G278" s="64" t="s">
        <v>7757</v>
      </c>
      <c r="H278" s="64" t="s">
        <v>7758</v>
      </c>
    </row>
    <row r="279" spans="1:8" x14ac:dyDescent="0.3">
      <c r="A279" s="64" t="s">
        <v>700</v>
      </c>
      <c r="B279" s="64" t="s">
        <v>823</v>
      </c>
      <c r="C279" s="64" t="s">
        <v>824</v>
      </c>
      <c r="D279" s="64" t="s">
        <v>1470</v>
      </c>
      <c r="E279" s="64" t="s">
        <v>16</v>
      </c>
      <c r="F279" s="64" t="s">
        <v>380</v>
      </c>
      <c r="G279" s="64" t="s">
        <v>7759</v>
      </c>
      <c r="H279" s="64" t="s">
        <v>7760</v>
      </c>
    </row>
    <row r="280" spans="1:8" x14ac:dyDescent="0.3">
      <c r="A280" s="64" t="s">
        <v>701</v>
      </c>
      <c r="B280" s="64" t="s">
        <v>823</v>
      </c>
      <c r="C280" s="64" t="s">
        <v>824</v>
      </c>
      <c r="D280" s="64" t="s">
        <v>1470</v>
      </c>
      <c r="E280" s="64" t="s">
        <v>16</v>
      </c>
      <c r="F280" s="64" t="s">
        <v>381</v>
      </c>
      <c r="G280" s="64" t="s">
        <v>7761</v>
      </c>
      <c r="H280" s="64" t="s">
        <v>7762</v>
      </c>
    </row>
    <row r="281" spans="1:8" x14ac:dyDescent="0.3">
      <c r="A281" s="64" t="s">
        <v>702</v>
      </c>
      <c r="B281" s="64" t="s">
        <v>823</v>
      </c>
      <c r="C281" s="64" t="s">
        <v>824</v>
      </c>
      <c r="D281" s="64" t="s">
        <v>1470</v>
      </c>
      <c r="E281" s="64" t="s">
        <v>16</v>
      </c>
      <c r="F281" s="64" t="s">
        <v>382</v>
      </c>
      <c r="G281" s="64" t="s">
        <v>7763</v>
      </c>
      <c r="H281" s="64" t="s">
        <v>7764</v>
      </c>
    </row>
    <row r="282" spans="1:8" x14ac:dyDescent="0.3">
      <c r="A282" s="64" t="s">
        <v>703</v>
      </c>
      <c r="B282" s="64" t="s">
        <v>823</v>
      </c>
      <c r="C282" s="64" t="s">
        <v>824</v>
      </c>
      <c r="D282" s="64" t="s">
        <v>1470</v>
      </c>
      <c r="E282" s="64" t="s">
        <v>16</v>
      </c>
      <c r="F282" s="64" t="s">
        <v>383</v>
      </c>
      <c r="G282" s="64" t="s">
        <v>7765</v>
      </c>
      <c r="H282" s="64" t="s">
        <v>7766</v>
      </c>
    </row>
    <row r="283" spans="1:8" x14ac:dyDescent="0.3">
      <c r="A283" s="64" t="s">
        <v>704</v>
      </c>
      <c r="B283" s="64" t="s">
        <v>459</v>
      </c>
      <c r="C283" s="64" t="s">
        <v>829</v>
      </c>
      <c r="D283" s="64" t="s">
        <v>1877</v>
      </c>
      <c r="E283" s="64" t="s">
        <v>20</v>
      </c>
      <c r="F283" s="64" t="s">
        <v>15</v>
      </c>
      <c r="G283" s="64" t="s">
        <v>7767</v>
      </c>
      <c r="H283" s="64" t="s">
        <v>831</v>
      </c>
    </row>
    <row r="284" spans="1:8" x14ac:dyDescent="0.3">
      <c r="A284" s="64" t="s">
        <v>705</v>
      </c>
      <c r="B284" s="64" t="s">
        <v>459</v>
      </c>
      <c r="C284" s="64" t="s">
        <v>829</v>
      </c>
      <c r="D284" s="64" t="s">
        <v>1877</v>
      </c>
      <c r="E284" s="64" t="s">
        <v>20</v>
      </c>
      <c r="F284" s="64" t="s">
        <v>15</v>
      </c>
      <c r="G284" s="64" t="s">
        <v>7768</v>
      </c>
      <c r="H284" s="64" t="s">
        <v>837</v>
      </c>
    </row>
    <row r="285" spans="1:8" x14ac:dyDescent="0.3">
      <c r="A285" s="64" t="s">
        <v>706</v>
      </c>
      <c r="B285" s="64" t="s">
        <v>459</v>
      </c>
      <c r="C285" s="64" t="s">
        <v>829</v>
      </c>
      <c r="D285" s="64" t="s">
        <v>1877</v>
      </c>
      <c r="E285" s="64" t="s">
        <v>20</v>
      </c>
      <c r="F285" s="64" t="s">
        <v>15</v>
      </c>
      <c r="G285" s="64" t="s">
        <v>7769</v>
      </c>
      <c r="H285" s="64" t="s">
        <v>841</v>
      </c>
    </row>
    <row r="286" spans="1:8" x14ac:dyDescent="0.3">
      <c r="A286" s="64" t="s">
        <v>707</v>
      </c>
      <c r="B286" s="64" t="s">
        <v>459</v>
      </c>
      <c r="C286" s="64" t="s">
        <v>829</v>
      </c>
      <c r="D286" s="64" t="s">
        <v>1877</v>
      </c>
      <c r="E286" s="64" t="s">
        <v>20</v>
      </c>
      <c r="F286" s="64" t="s">
        <v>15</v>
      </c>
      <c r="G286" s="64" t="s">
        <v>7770</v>
      </c>
      <c r="H286" s="64" t="s">
        <v>843</v>
      </c>
    </row>
    <row r="287" spans="1:8" x14ac:dyDescent="0.3">
      <c r="A287" s="64" t="s">
        <v>708</v>
      </c>
      <c r="B287" s="64" t="s">
        <v>571</v>
      </c>
      <c r="C287" s="64" t="s">
        <v>572</v>
      </c>
      <c r="D287" s="64" t="s">
        <v>1878</v>
      </c>
      <c r="E287" s="64" t="s">
        <v>20</v>
      </c>
      <c r="F287" s="64" t="s">
        <v>15</v>
      </c>
      <c r="G287" s="64" t="s">
        <v>7771</v>
      </c>
      <c r="H287" s="64" t="s">
        <v>1398</v>
      </c>
    </row>
    <row r="288" spans="1:8" x14ac:dyDescent="0.3">
      <c r="A288" s="64" t="s">
        <v>709</v>
      </c>
      <c r="B288" s="64" t="s">
        <v>571</v>
      </c>
      <c r="C288" s="64" t="s">
        <v>572</v>
      </c>
      <c r="D288" s="64" t="s">
        <v>1878</v>
      </c>
      <c r="E288" s="64" t="s">
        <v>16</v>
      </c>
      <c r="F288" s="64" t="s">
        <v>368</v>
      </c>
      <c r="G288" s="64" t="s">
        <v>7772</v>
      </c>
      <c r="H288" s="64" t="s">
        <v>7773</v>
      </c>
    </row>
    <row r="289" spans="1:8" x14ac:dyDescent="0.3">
      <c r="A289" s="64" t="s">
        <v>710</v>
      </c>
      <c r="B289" s="64" t="s">
        <v>571</v>
      </c>
      <c r="C289" s="64" t="s">
        <v>572</v>
      </c>
      <c r="D289" s="64" t="s">
        <v>1878</v>
      </c>
      <c r="E289" s="64" t="s">
        <v>16</v>
      </c>
      <c r="F289" s="64" t="s">
        <v>369</v>
      </c>
      <c r="G289" s="64" t="s">
        <v>7774</v>
      </c>
      <c r="H289" s="64" t="s">
        <v>7775</v>
      </c>
    </row>
    <row r="290" spans="1:8" x14ac:dyDescent="0.3">
      <c r="A290" s="64" t="s">
        <v>711</v>
      </c>
      <c r="B290" s="64" t="s">
        <v>571</v>
      </c>
      <c r="C290" s="64" t="s">
        <v>572</v>
      </c>
      <c r="D290" s="64" t="s">
        <v>1878</v>
      </c>
      <c r="E290" s="64" t="s">
        <v>16</v>
      </c>
      <c r="F290" s="64" t="s">
        <v>370</v>
      </c>
      <c r="G290" s="64" t="s">
        <v>7776</v>
      </c>
      <c r="H290" s="64" t="s">
        <v>7777</v>
      </c>
    </row>
    <row r="291" spans="1:8" x14ac:dyDescent="0.3">
      <c r="A291" s="64" t="s">
        <v>712</v>
      </c>
      <c r="B291" s="64" t="s">
        <v>571</v>
      </c>
      <c r="C291" s="64" t="s">
        <v>572</v>
      </c>
      <c r="D291" s="64" t="s">
        <v>1878</v>
      </c>
      <c r="E291" s="64" t="s">
        <v>16</v>
      </c>
      <c r="F291" s="64" t="s">
        <v>371</v>
      </c>
      <c r="G291" s="64" t="s">
        <v>7778</v>
      </c>
      <c r="H291" s="64" t="s">
        <v>7779</v>
      </c>
    </row>
    <row r="292" spans="1:8" x14ac:dyDescent="0.3">
      <c r="A292" s="64" t="s">
        <v>7097</v>
      </c>
      <c r="B292" s="64" t="s">
        <v>571</v>
      </c>
      <c r="C292" s="64" t="s">
        <v>572</v>
      </c>
      <c r="D292" s="64" t="s">
        <v>1878</v>
      </c>
      <c r="E292" s="64" t="s">
        <v>16</v>
      </c>
      <c r="F292" s="64" t="s">
        <v>372</v>
      </c>
      <c r="G292" s="64" t="s">
        <v>7780</v>
      </c>
      <c r="H292" s="64" t="s">
        <v>7781</v>
      </c>
    </row>
    <row r="293" spans="1:8" x14ac:dyDescent="0.3">
      <c r="A293" s="64" t="s">
        <v>7098</v>
      </c>
      <c r="B293" s="64" t="s">
        <v>571</v>
      </c>
      <c r="C293" s="64" t="s">
        <v>572</v>
      </c>
      <c r="D293" s="64" t="s">
        <v>1878</v>
      </c>
      <c r="E293" s="64" t="s">
        <v>16</v>
      </c>
      <c r="F293" s="64" t="s">
        <v>373</v>
      </c>
      <c r="G293" s="64" t="s">
        <v>7782</v>
      </c>
      <c r="H293" s="64" t="s">
        <v>7783</v>
      </c>
    </row>
    <row r="294" spans="1:8" x14ac:dyDescent="0.3">
      <c r="A294" s="64" t="s">
        <v>7099</v>
      </c>
      <c r="B294" s="64" t="s">
        <v>571</v>
      </c>
      <c r="C294" s="64" t="s">
        <v>572</v>
      </c>
      <c r="D294" s="64" t="s">
        <v>1878</v>
      </c>
      <c r="E294" s="64" t="s">
        <v>16</v>
      </c>
      <c r="F294" s="64" t="s">
        <v>374</v>
      </c>
      <c r="G294" s="64" t="s">
        <v>7784</v>
      </c>
      <c r="H294" s="64" t="s">
        <v>7785</v>
      </c>
    </row>
    <row r="295" spans="1:8" x14ac:dyDescent="0.3">
      <c r="A295" s="64" t="s">
        <v>7100</v>
      </c>
      <c r="B295" s="64" t="s">
        <v>571</v>
      </c>
      <c r="C295" s="64" t="s">
        <v>572</v>
      </c>
      <c r="D295" s="64" t="s">
        <v>1878</v>
      </c>
      <c r="E295" s="64" t="s">
        <v>16</v>
      </c>
      <c r="F295" s="64" t="s">
        <v>375</v>
      </c>
      <c r="G295" s="64" t="s">
        <v>7786</v>
      </c>
      <c r="H295" s="64" t="s">
        <v>7787</v>
      </c>
    </row>
    <row r="296" spans="1:8" x14ac:dyDescent="0.3">
      <c r="A296" s="64" t="s">
        <v>7101</v>
      </c>
      <c r="B296" s="64" t="s">
        <v>571</v>
      </c>
      <c r="C296" s="64" t="s">
        <v>572</v>
      </c>
      <c r="D296" s="64" t="s">
        <v>1878</v>
      </c>
      <c r="E296" s="64" t="s">
        <v>16</v>
      </c>
      <c r="F296" s="64" t="s">
        <v>376</v>
      </c>
      <c r="G296" s="64" t="s">
        <v>7788</v>
      </c>
      <c r="H296" s="64" t="s">
        <v>7789</v>
      </c>
    </row>
    <row r="297" spans="1:8" x14ac:dyDescent="0.3">
      <c r="A297" s="64" t="s">
        <v>7102</v>
      </c>
      <c r="B297" s="64" t="s">
        <v>571</v>
      </c>
      <c r="C297" s="64" t="s">
        <v>572</v>
      </c>
      <c r="D297" s="64" t="s">
        <v>1878</v>
      </c>
      <c r="E297" s="64" t="s">
        <v>16</v>
      </c>
      <c r="F297" s="64" t="s">
        <v>377</v>
      </c>
      <c r="G297" s="64" t="s">
        <v>7790</v>
      </c>
      <c r="H297" s="64" t="s">
        <v>7791</v>
      </c>
    </row>
    <row r="298" spans="1:8" x14ac:dyDescent="0.3">
      <c r="A298" s="64" t="s">
        <v>7103</v>
      </c>
      <c r="B298" s="64" t="s">
        <v>571</v>
      </c>
      <c r="C298" s="64" t="s">
        <v>572</v>
      </c>
      <c r="D298" s="64" t="s">
        <v>1878</v>
      </c>
      <c r="E298" s="64" t="s">
        <v>16</v>
      </c>
      <c r="F298" s="64" t="s">
        <v>378</v>
      </c>
      <c r="G298" s="64" t="s">
        <v>7792</v>
      </c>
      <c r="H298" s="64" t="s">
        <v>7793</v>
      </c>
    </row>
    <row r="299" spans="1:8" x14ac:dyDescent="0.3">
      <c r="A299" s="64" t="s">
        <v>7104</v>
      </c>
      <c r="B299" s="64" t="s">
        <v>571</v>
      </c>
      <c r="C299" s="64" t="s">
        <v>572</v>
      </c>
      <c r="D299" s="64" t="s">
        <v>1878</v>
      </c>
      <c r="E299" s="64" t="s">
        <v>16</v>
      </c>
      <c r="F299" s="64" t="s">
        <v>379</v>
      </c>
      <c r="G299" s="64" t="s">
        <v>7794</v>
      </c>
      <c r="H299" s="64" t="s">
        <v>7795</v>
      </c>
    </row>
    <row r="300" spans="1:8" x14ac:dyDescent="0.3">
      <c r="A300" s="64" t="s">
        <v>7105</v>
      </c>
      <c r="B300" s="64" t="s">
        <v>571</v>
      </c>
      <c r="C300" s="64" t="s">
        <v>572</v>
      </c>
      <c r="D300" s="64" t="s">
        <v>1878</v>
      </c>
      <c r="E300" s="64" t="s">
        <v>16</v>
      </c>
      <c r="F300" s="64" t="s">
        <v>380</v>
      </c>
      <c r="G300" s="64" t="s">
        <v>7796</v>
      </c>
      <c r="H300" s="64" t="s">
        <v>7797</v>
      </c>
    </row>
    <row r="301" spans="1:8" x14ac:dyDescent="0.3">
      <c r="A301" s="64" t="s">
        <v>7106</v>
      </c>
      <c r="B301" s="64" t="s">
        <v>571</v>
      </c>
      <c r="C301" s="64" t="s">
        <v>572</v>
      </c>
      <c r="D301" s="64" t="s">
        <v>1878</v>
      </c>
      <c r="E301" s="64" t="s">
        <v>16</v>
      </c>
      <c r="F301" s="64" t="s">
        <v>381</v>
      </c>
      <c r="G301" s="64" t="s">
        <v>7798</v>
      </c>
      <c r="H301" s="64" t="s">
        <v>7799</v>
      </c>
    </row>
    <row r="302" spans="1:8" x14ac:dyDescent="0.3">
      <c r="A302" s="64" t="s">
        <v>7107</v>
      </c>
      <c r="B302" s="64" t="s">
        <v>571</v>
      </c>
      <c r="C302" s="64" t="s">
        <v>572</v>
      </c>
      <c r="D302" s="64" t="s">
        <v>1878</v>
      </c>
      <c r="E302" s="64" t="s">
        <v>16</v>
      </c>
      <c r="F302" s="64" t="s">
        <v>382</v>
      </c>
      <c r="G302" s="64" t="s">
        <v>7800</v>
      </c>
      <c r="H302" s="64" t="s">
        <v>7801</v>
      </c>
    </row>
    <row r="303" spans="1:8" x14ac:dyDescent="0.3">
      <c r="A303" s="64" t="s">
        <v>7108</v>
      </c>
      <c r="B303" s="64" t="s">
        <v>571</v>
      </c>
      <c r="C303" s="64" t="s">
        <v>572</v>
      </c>
      <c r="D303" s="64" t="s">
        <v>1878</v>
      </c>
      <c r="E303" s="64" t="s">
        <v>16</v>
      </c>
      <c r="F303" s="64" t="s">
        <v>383</v>
      </c>
      <c r="G303" s="64" t="s">
        <v>7802</v>
      </c>
      <c r="H303" s="64" t="s">
        <v>7803</v>
      </c>
    </row>
    <row r="304" spans="1:8" x14ac:dyDescent="0.3">
      <c r="A304" s="64" t="s">
        <v>7109</v>
      </c>
      <c r="B304" s="64" t="s">
        <v>571</v>
      </c>
      <c r="C304" s="64" t="s">
        <v>572</v>
      </c>
      <c r="D304" s="64" t="s">
        <v>1878</v>
      </c>
      <c r="E304" s="64" t="s">
        <v>20</v>
      </c>
      <c r="F304" s="64" t="s">
        <v>15</v>
      </c>
      <c r="G304" s="64" t="s">
        <v>7804</v>
      </c>
      <c r="H304" s="64" t="s">
        <v>865</v>
      </c>
    </row>
    <row r="305" spans="1:8" x14ac:dyDescent="0.3">
      <c r="A305" s="64" t="s">
        <v>7110</v>
      </c>
      <c r="B305" s="64" t="s">
        <v>866</v>
      </c>
      <c r="C305" s="64" t="s">
        <v>1418</v>
      </c>
      <c r="D305" s="64" t="s">
        <v>866</v>
      </c>
      <c r="E305" s="64" t="s">
        <v>20</v>
      </c>
      <c r="F305" s="64" t="s">
        <v>15</v>
      </c>
      <c r="G305" s="64" t="s">
        <v>7805</v>
      </c>
      <c r="H305" s="64" t="s">
        <v>5132</v>
      </c>
    </row>
    <row r="306" spans="1:8" x14ac:dyDescent="0.3">
      <c r="A306" s="64" t="s">
        <v>7111</v>
      </c>
      <c r="B306" s="64" t="s">
        <v>866</v>
      </c>
      <c r="C306" s="64" t="s">
        <v>1418</v>
      </c>
      <c r="D306" s="64" t="s">
        <v>866</v>
      </c>
      <c r="E306" s="64" t="s">
        <v>16</v>
      </c>
      <c r="F306" s="64" t="s">
        <v>368</v>
      </c>
      <c r="G306" s="64" t="s">
        <v>7806</v>
      </c>
      <c r="H306" s="64" t="s">
        <v>7807</v>
      </c>
    </row>
    <row r="307" spans="1:8" x14ac:dyDescent="0.3">
      <c r="A307" s="64" t="s">
        <v>7112</v>
      </c>
      <c r="B307" s="64" t="s">
        <v>866</v>
      </c>
      <c r="C307" s="64" t="s">
        <v>1418</v>
      </c>
      <c r="D307" s="64" t="s">
        <v>866</v>
      </c>
      <c r="E307" s="64" t="s">
        <v>16</v>
      </c>
      <c r="F307" s="64" t="s">
        <v>369</v>
      </c>
      <c r="G307" s="64" t="s">
        <v>7808</v>
      </c>
      <c r="H307" s="64" t="s">
        <v>7809</v>
      </c>
    </row>
    <row r="308" spans="1:8" x14ac:dyDescent="0.3">
      <c r="A308" s="64" t="s">
        <v>7113</v>
      </c>
      <c r="B308" s="64" t="s">
        <v>866</v>
      </c>
      <c r="C308" s="64" t="s">
        <v>1418</v>
      </c>
      <c r="D308" s="64" t="s">
        <v>866</v>
      </c>
      <c r="E308" s="64" t="s">
        <v>16</v>
      </c>
      <c r="F308" s="64" t="s">
        <v>370</v>
      </c>
      <c r="G308" s="64" t="s">
        <v>7810</v>
      </c>
      <c r="H308" s="64" t="s">
        <v>7811</v>
      </c>
    </row>
    <row r="309" spans="1:8" x14ac:dyDescent="0.3">
      <c r="A309" s="64" t="s">
        <v>713</v>
      </c>
      <c r="B309" s="64" t="s">
        <v>866</v>
      </c>
      <c r="C309" s="64" t="s">
        <v>1418</v>
      </c>
      <c r="D309" s="64" t="s">
        <v>866</v>
      </c>
      <c r="E309" s="64" t="s">
        <v>16</v>
      </c>
      <c r="F309" s="64" t="s">
        <v>371</v>
      </c>
      <c r="G309" s="64" t="s">
        <v>7812</v>
      </c>
      <c r="H309" s="64" t="s">
        <v>7813</v>
      </c>
    </row>
    <row r="310" spans="1:8" x14ac:dyDescent="0.3">
      <c r="A310" s="64" t="s">
        <v>714</v>
      </c>
      <c r="B310" s="64" t="s">
        <v>866</v>
      </c>
      <c r="C310" s="64" t="s">
        <v>1418</v>
      </c>
      <c r="D310" s="64" t="s">
        <v>866</v>
      </c>
      <c r="E310" s="64" t="s">
        <v>16</v>
      </c>
      <c r="F310" s="64" t="s">
        <v>372</v>
      </c>
      <c r="G310" s="64" t="s">
        <v>7814</v>
      </c>
      <c r="H310" s="64" t="s">
        <v>7815</v>
      </c>
    </row>
    <row r="311" spans="1:8" x14ac:dyDescent="0.3">
      <c r="A311" s="64" t="s">
        <v>715</v>
      </c>
      <c r="B311" s="64" t="s">
        <v>866</v>
      </c>
      <c r="C311" s="64" t="s">
        <v>1418</v>
      </c>
      <c r="D311" s="64" t="s">
        <v>866</v>
      </c>
      <c r="E311" s="64" t="s">
        <v>16</v>
      </c>
      <c r="F311" s="64" t="s">
        <v>373</v>
      </c>
      <c r="G311" s="64" t="s">
        <v>7816</v>
      </c>
      <c r="H311" s="64" t="s">
        <v>7817</v>
      </c>
    </row>
    <row r="312" spans="1:8" x14ac:dyDescent="0.3">
      <c r="A312" s="64" t="s">
        <v>716</v>
      </c>
      <c r="B312" s="64" t="s">
        <v>866</v>
      </c>
      <c r="C312" s="64" t="s">
        <v>1418</v>
      </c>
      <c r="D312" s="64" t="s">
        <v>866</v>
      </c>
      <c r="E312" s="64" t="s">
        <v>16</v>
      </c>
      <c r="F312" s="64" t="s">
        <v>374</v>
      </c>
      <c r="G312" s="64" t="s">
        <v>7818</v>
      </c>
      <c r="H312" s="64" t="s">
        <v>7819</v>
      </c>
    </row>
    <row r="313" spans="1:8" x14ac:dyDescent="0.3">
      <c r="A313" s="64" t="s">
        <v>717</v>
      </c>
      <c r="B313" s="64" t="s">
        <v>866</v>
      </c>
      <c r="C313" s="64" t="s">
        <v>1418</v>
      </c>
      <c r="D313" s="64" t="s">
        <v>866</v>
      </c>
      <c r="E313" s="64" t="s">
        <v>16</v>
      </c>
      <c r="F313" s="64" t="s">
        <v>375</v>
      </c>
      <c r="G313" s="64" t="s">
        <v>7820</v>
      </c>
      <c r="H313" s="64" t="s">
        <v>7821</v>
      </c>
    </row>
    <row r="314" spans="1:8" x14ac:dyDescent="0.3">
      <c r="A314" s="64" t="s">
        <v>718</v>
      </c>
      <c r="B314" s="64" t="s">
        <v>866</v>
      </c>
      <c r="C314" s="64" t="s">
        <v>1418</v>
      </c>
      <c r="D314" s="64" t="s">
        <v>866</v>
      </c>
      <c r="E314" s="64" t="s">
        <v>16</v>
      </c>
      <c r="F314" s="64" t="s">
        <v>376</v>
      </c>
      <c r="G314" s="64" t="s">
        <v>7822</v>
      </c>
      <c r="H314" s="64" t="s">
        <v>7823</v>
      </c>
    </row>
    <row r="315" spans="1:8" x14ac:dyDescent="0.3">
      <c r="A315" s="64" t="s">
        <v>719</v>
      </c>
      <c r="B315" s="64" t="s">
        <v>866</v>
      </c>
      <c r="C315" s="64" t="s">
        <v>1418</v>
      </c>
      <c r="D315" s="64" t="s">
        <v>866</v>
      </c>
      <c r="E315" s="64" t="s">
        <v>16</v>
      </c>
      <c r="F315" s="64" t="s">
        <v>377</v>
      </c>
      <c r="G315" s="64" t="s">
        <v>7824</v>
      </c>
      <c r="H315" s="64" t="s">
        <v>7825</v>
      </c>
    </row>
    <row r="316" spans="1:8" x14ac:dyDescent="0.3">
      <c r="A316" s="64" t="s">
        <v>720</v>
      </c>
      <c r="B316" s="64" t="s">
        <v>866</v>
      </c>
      <c r="C316" s="64" t="s">
        <v>1418</v>
      </c>
      <c r="D316" s="64" t="s">
        <v>866</v>
      </c>
      <c r="E316" s="64" t="s">
        <v>16</v>
      </c>
      <c r="F316" s="64" t="s">
        <v>378</v>
      </c>
      <c r="G316" s="64" t="s">
        <v>7826</v>
      </c>
      <c r="H316" s="64" t="s">
        <v>7827</v>
      </c>
    </row>
    <row r="317" spans="1:8" x14ac:dyDescent="0.3">
      <c r="A317" s="64" t="s">
        <v>721</v>
      </c>
      <c r="B317" s="64" t="s">
        <v>866</v>
      </c>
      <c r="C317" s="64" t="s">
        <v>1418</v>
      </c>
      <c r="D317" s="64" t="s">
        <v>866</v>
      </c>
      <c r="E317" s="64" t="s">
        <v>16</v>
      </c>
      <c r="F317" s="64" t="s">
        <v>379</v>
      </c>
      <c r="G317" s="64" t="s">
        <v>7828</v>
      </c>
      <c r="H317" s="64" t="s">
        <v>7829</v>
      </c>
    </row>
    <row r="318" spans="1:8" x14ac:dyDescent="0.3">
      <c r="A318" s="64" t="s">
        <v>722</v>
      </c>
      <c r="B318" s="64" t="s">
        <v>866</v>
      </c>
      <c r="C318" s="64" t="s">
        <v>1418</v>
      </c>
      <c r="D318" s="64" t="s">
        <v>866</v>
      </c>
      <c r="E318" s="64" t="s">
        <v>16</v>
      </c>
      <c r="F318" s="64" t="s">
        <v>380</v>
      </c>
      <c r="G318" s="64" t="s">
        <v>7830</v>
      </c>
      <c r="H318" s="64" t="s">
        <v>7831</v>
      </c>
    </row>
    <row r="319" spans="1:8" x14ac:dyDescent="0.3">
      <c r="A319" s="64" t="s">
        <v>723</v>
      </c>
      <c r="B319" s="64" t="s">
        <v>866</v>
      </c>
      <c r="C319" s="64" t="s">
        <v>1418</v>
      </c>
      <c r="D319" s="64" t="s">
        <v>866</v>
      </c>
      <c r="E319" s="64" t="s">
        <v>16</v>
      </c>
      <c r="F319" s="64" t="s">
        <v>381</v>
      </c>
      <c r="G319" s="64" t="s">
        <v>7832</v>
      </c>
      <c r="H319" s="64" t="s">
        <v>7833</v>
      </c>
    </row>
    <row r="320" spans="1:8" x14ac:dyDescent="0.3">
      <c r="A320" s="64" t="s">
        <v>724</v>
      </c>
      <c r="B320" s="64" t="s">
        <v>866</v>
      </c>
      <c r="C320" s="64" t="s">
        <v>1418</v>
      </c>
      <c r="D320" s="64" t="s">
        <v>866</v>
      </c>
      <c r="E320" s="64" t="s">
        <v>16</v>
      </c>
      <c r="F320" s="64" t="s">
        <v>382</v>
      </c>
      <c r="G320" s="64" t="s">
        <v>7834</v>
      </c>
      <c r="H320" s="64" t="s">
        <v>7835</v>
      </c>
    </row>
    <row r="321" spans="1:8" x14ac:dyDescent="0.3">
      <c r="A321" s="64" t="s">
        <v>725</v>
      </c>
      <c r="B321" s="64" t="s">
        <v>866</v>
      </c>
      <c r="C321" s="64" t="s">
        <v>1418</v>
      </c>
      <c r="D321" s="64" t="s">
        <v>866</v>
      </c>
      <c r="E321" s="64" t="s">
        <v>16</v>
      </c>
      <c r="F321" s="64" t="s">
        <v>383</v>
      </c>
      <c r="G321" s="64" t="s">
        <v>7836</v>
      </c>
      <c r="H321" s="64" t="s">
        <v>7837</v>
      </c>
    </row>
    <row r="322" spans="1:8" x14ac:dyDescent="0.3">
      <c r="A322" s="64" t="s">
        <v>726</v>
      </c>
      <c r="B322" s="64" t="s">
        <v>571</v>
      </c>
      <c r="C322" s="64" t="s">
        <v>795</v>
      </c>
      <c r="D322" s="64" t="s">
        <v>1878</v>
      </c>
      <c r="E322" s="64" t="s">
        <v>20</v>
      </c>
      <c r="F322" s="64" t="s">
        <v>15</v>
      </c>
      <c r="G322" s="64" t="s">
        <v>7838</v>
      </c>
      <c r="H322" s="64" t="s">
        <v>1417</v>
      </c>
    </row>
    <row r="323" spans="1:8" x14ac:dyDescent="0.3">
      <c r="A323" s="64" t="s">
        <v>727</v>
      </c>
      <c r="B323" s="64" t="s">
        <v>571</v>
      </c>
      <c r="C323" s="64" t="s">
        <v>795</v>
      </c>
      <c r="D323" s="64" t="s">
        <v>1878</v>
      </c>
      <c r="E323" s="64" t="s">
        <v>16</v>
      </c>
      <c r="F323" s="64" t="s">
        <v>371</v>
      </c>
      <c r="G323" s="64" t="s">
        <v>7839</v>
      </c>
      <c r="H323" s="64" t="s">
        <v>7840</v>
      </c>
    </row>
    <row r="324" spans="1:8" x14ac:dyDescent="0.3">
      <c r="A324" s="64" t="s">
        <v>728</v>
      </c>
      <c r="B324" s="64" t="s">
        <v>571</v>
      </c>
      <c r="C324" s="64" t="s">
        <v>795</v>
      </c>
      <c r="D324" s="64" t="s">
        <v>1878</v>
      </c>
      <c r="E324" s="64" t="s">
        <v>16</v>
      </c>
      <c r="F324" s="64" t="s">
        <v>372</v>
      </c>
      <c r="G324" s="64" t="s">
        <v>7841</v>
      </c>
      <c r="H324" s="64" t="s">
        <v>7842</v>
      </c>
    </row>
    <row r="325" spans="1:8" x14ac:dyDescent="0.3">
      <c r="A325" s="64" t="s">
        <v>729</v>
      </c>
      <c r="B325" s="64" t="s">
        <v>571</v>
      </c>
      <c r="C325" s="64" t="s">
        <v>795</v>
      </c>
      <c r="D325" s="64" t="s">
        <v>1878</v>
      </c>
      <c r="E325" s="64" t="s">
        <v>16</v>
      </c>
      <c r="F325" s="64" t="s">
        <v>373</v>
      </c>
      <c r="G325" s="64" t="s">
        <v>7843</v>
      </c>
      <c r="H325" s="64" t="s">
        <v>7844</v>
      </c>
    </row>
    <row r="326" spans="1:8" x14ac:dyDescent="0.3">
      <c r="A326" s="64" t="s">
        <v>730</v>
      </c>
      <c r="B326" s="64" t="s">
        <v>571</v>
      </c>
      <c r="C326" s="64" t="s">
        <v>795</v>
      </c>
      <c r="D326" s="64" t="s">
        <v>1878</v>
      </c>
      <c r="E326" s="64" t="s">
        <v>16</v>
      </c>
      <c r="F326" s="64" t="s">
        <v>374</v>
      </c>
      <c r="G326" s="64" t="s">
        <v>7845</v>
      </c>
      <c r="H326" s="64" t="s">
        <v>7846</v>
      </c>
    </row>
    <row r="327" spans="1:8" x14ac:dyDescent="0.3">
      <c r="A327" s="64" t="s">
        <v>731</v>
      </c>
      <c r="B327" s="64" t="s">
        <v>571</v>
      </c>
      <c r="C327" s="64" t="s">
        <v>795</v>
      </c>
      <c r="D327" s="64" t="s">
        <v>1878</v>
      </c>
      <c r="E327" s="64" t="s">
        <v>16</v>
      </c>
      <c r="F327" s="64" t="s">
        <v>375</v>
      </c>
      <c r="G327" s="64" t="s">
        <v>7847</v>
      </c>
      <c r="H327" s="64" t="s">
        <v>7848</v>
      </c>
    </row>
    <row r="328" spans="1:8" x14ac:dyDescent="0.3">
      <c r="A328" s="64" t="s">
        <v>732</v>
      </c>
      <c r="B328" s="64" t="s">
        <v>571</v>
      </c>
      <c r="C328" s="64" t="s">
        <v>795</v>
      </c>
      <c r="D328" s="64" t="s">
        <v>1878</v>
      </c>
      <c r="E328" s="64" t="s">
        <v>16</v>
      </c>
      <c r="F328" s="64" t="s">
        <v>376</v>
      </c>
      <c r="G328" s="64" t="s">
        <v>7849</v>
      </c>
      <c r="H328" s="64" t="s">
        <v>7850</v>
      </c>
    </row>
    <row r="329" spans="1:8" x14ac:dyDescent="0.3">
      <c r="A329" s="64" t="s">
        <v>733</v>
      </c>
      <c r="B329" s="64" t="s">
        <v>571</v>
      </c>
      <c r="C329" s="64" t="s">
        <v>795</v>
      </c>
      <c r="D329" s="64" t="s">
        <v>1878</v>
      </c>
      <c r="E329" s="64" t="s">
        <v>16</v>
      </c>
      <c r="F329" s="64" t="s">
        <v>377</v>
      </c>
      <c r="G329" s="64" t="s">
        <v>7851</v>
      </c>
      <c r="H329" s="64" t="s">
        <v>7852</v>
      </c>
    </row>
    <row r="330" spans="1:8" x14ac:dyDescent="0.3">
      <c r="A330" s="64" t="s">
        <v>734</v>
      </c>
      <c r="B330" s="64" t="s">
        <v>571</v>
      </c>
      <c r="C330" s="64" t="s">
        <v>795</v>
      </c>
      <c r="D330" s="64" t="s">
        <v>1878</v>
      </c>
      <c r="E330" s="64" t="s">
        <v>16</v>
      </c>
      <c r="F330" s="64" t="s">
        <v>380</v>
      </c>
      <c r="G330" s="64" t="s">
        <v>7853</v>
      </c>
      <c r="H330" s="64" t="s">
        <v>7854</v>
      </c>
    </row>
    <row r="331" spans="1:8" x14ac:dyDescent="0.3">
      <c r="A331" s="64" t="s">
        <v>735</v>
      </c>
      <c r="B331" s="64" t="s">
        <v>571</v>
      </c>
      <c r="C331" s="64" t="s">
        <v>795</v>
      </c>
      <c r="D331" s="64" t="s">
        <v>1878</v>
      </c>
      <c r="E331" s="64" t="s">
        <v>16</v>
      </c>
      <c r="F331" s="64" t="s">
        <v>381</v>
      </c>
      <c r="G331" s="64" t="s">
        <v>7855</v>
      </c>
      <c r="H331" s="64" t="s">
        <v>7856</v>
      </c>
    </row>
    <row r="332" spans="1:8" x14ac:dyDescent="0.3">
      <c r="A332" s="64" t="s">
        <v>736</v>
      </c>
      <c r="B332" s="64" t="s">
        <v>571</v>
      </c>
      <c r="C332" s="64" t="s">
        <v>795</v>
      </c>
      <c r="D332" s="64" t="s">
        <v>1878</v>
      </c>
      <c r="E332" s="64" t="s">
        <v>16</v>
      </c>
      <c r="F332" s="64" t="s">
        <v>383</v>
      </c>
      <c r="G332" s="64" t="s">
        <v>7857</v>
      </c>
      <c r="H332" s="64" t="s">
        <v>7858</v>
      </c>
    </row>
    <row r="333" spans="1:8" x14ac:dyDescent="0.3">
      <c r="A333" s="64" t="s">
        <v>737</v>
      </c>
      <c r="B333" s="64" t="s">
        <v>571</v>
      </c>
      <c r="C333" s="64" t="s">
        <v>940</v>
      </c>
      <c r="D333" s="64" t="s">
        <v>1878</v>
      </c>
      <c r="E333" s="64" t="s">
        <v>20</v>
      </c>
      <c r="F333" s="64" t="s">
        <v>15</v>
      </c>
      <c r="G333" s="64" t="s">
        <v>7859</v>
      </c>
      <c r="H333" s="64" t="s">
        <v>942</v>
      </c>
    </row>
    <row r="334" spans="1:8" x14ac:dyDescent="0.3">
      <c r="A334" s="64" t="s">
        <v>738</v>
      </c>
      <c r="B334" s="64" t="s">
        <v>571</v>
      </c>
      <c r="C334" s="64" t="s">
        <v>940</v>
      </c>
      <c r="D334" s="64" t="s">
        <v>1878</v>
      </c>
      <c r="E334" s="64" t="s">
        <v>20</v>
      </c>
      <c r="F334" s="64" t="s">
        <v>15</v>
      </c>
      <c r="G334" s="64" t="s">
        <v>7860</v>
      </c>
      <c r="H334" s="64" t="s">
        <v>944</v>
      </c>
    </row>
    <row r="335" spans="1:8" x14ac:dyDescent="0.3">
      <c r="A335" s="64" t="s">
        <v>739</v>
      </c>
      <c r="B335" s="64" t="s">
        <v>459</v>
      </c>
      <c r="C335" s="64" t="s">
        <v>946</v>
      </c>
      <c r="D335" s="64" t="s">
        <v>1897</v>
      </c>
      <c r="E335" s="64" t="s">
        <v>20</v>
      </c>
      <c r="F335" s="64" t="s">
        <v>15</v>
      </c>
      <c r="G335" s="64" t="s">
        <v>7861</v>
      </c>
      <c r="H335" s="64" t="s">
        <v>947</v>
      </c>
    </row>
    <row r="336" spans="1:8" x14ac:dyDescent="0.3">
      <c r="A336" s="64" t="s">
        <v>740</v>
      </c>
      <c r="B336" s="64" t="s">
        <v>568</v>
      </c>
      <c r="C336" s="64" t="s">
        <v>948</v>
      </c>
      <c r="D336" s="64" t="s">
        <v>1898</v>
      </c>
      <c r="E336" s="64" t="s">
        <v>20</v>
      </c>
      <c r="F336" s="64" t="s">
        <v>15</v>
      </c>
      <c r="G336" s="64" t="s">
        <v>7862</v>
      </c>
      <c r="H336" s="64" t="s">
        <v>5170</v>
      </c>
    </row>
    <row r="337" spans="1:8" x14ac:dyDescent="0.3">
      <c r="A337" s="64" t="s">
        <v>741</v>
      </c>
      <c r="B337" s="64" t="s">
        <v>568</v>
      </c>
      <c r="C337" s="64" t="s">
        <v>948</v>
      </c>
      <c r="D337" s="64" t="s">
        <v>1898</v>
      </c>
      <c r="E337" s="64" t="s">
        <v>16</v>
      </c>
      <c r="F337" s="64" t="s">
        <v>368</v>
      </c>
      <c r="G337" s="64" t="s">
        <v>7863</v>
      </c>
      <c r="H337" s="64" t="s">
        <v>7864</v>
      </c>
    </row>
    <row r="338" spans="1:8" x14ac:dyDescent="0.3">
      <c r="A338" s="64" t="s">
        <v>742</v>
      </c>
      <c r="B338" s="64" t="s">
        <v>568</v>
      </c>
      <c r="C338" s="64" t="s">
        <v>948</v>
      </c>
      <c r="D338" s="64" t="s">
        <v>1898</v>
      </c>
      <c r="E338" s="64" t="s">
        <v>16</v>
      </c>
      <c r="F338" s="64" t="s">
        <v>369</v>
      </c>
      <c r="G338" s="64" t="s">
        <v>7865</v>
      </c>
      <c r="H338" s="64" t="s">
        <v>7866</v>
      </c>
    </row>
    <row r="339" spans="1:8" x14ac:dyDescent="0.3">
      <c r="A339" s="64" t="s">
        <v>743</v>
      </c>
      <c r="B339" s="64" t="s">
        <v>568</v>
      </c>
      <c r="C339" s="64" t="s">
        <v>948</v>
      </c>
      <c r="D339" s="64" t="s">
        <v>1898</v>
      </c>
      <c r="E339" s="64" t="s">
        <v>16</v>
      </c>
      <c r="F339" s="64" t="s">
        <v>370</v>
      </c>
      <c r="G339" s="64" t="s">
        <v>7867</v>
      </c>
      <c r="H339" s="64" t="s">
        <v>7868</v>
      </c>
    </row>
    <row r="340" spans="1:8" x14ac:dyDescent="0.3">
      <c r="A340" s="64" t="s">
        <v>744</v>
      </c>
      <c r="B340" s="64" t="s">
        <v>568</v>
      </c>
      <c r="C340" s="64" t="s">
        <v>948</v>
      </c>
      <c r="D340" s="64" t="s">
        <v>1898</v>
      </c>
      <c r="E340" s="64" t="s">
        <v>16</v>
      </c>
      <c r="F340" s="64" t="s">
        <v>371</v>
      </c>
      <c r="G340" s="64" t="s">
        <v>7869</v>
      </c>
      <c r="H340" s="64" t="s">
        <v>7870</v>
      </c>
    </row>
    <row r="341" spans="1:8" x14ac:dyDescent="0.3">
      <c r="A341" s="64" t="s">
        <v>745</v>
      </c>
      <c r="B341" s="64" t="s">
        <v>568</v>
      </c>
      <c r="C341" s="64" t="s">
        <v>948</v>
      </c>
      <c r="D341" s="64" t="s">
        <v>1898</v>
      </c>
      <c r="E341" s="64" t="s">
        <v>16</v>
      </c>
      <c r="F341" s="64" t="s">
        <v>372</v>
      </c>
      <c r="G341" s="64" t="s">
        <v>7871</v>
      </c>
      <c r="H341" s="64" t="s">
        <v>7872</v>
      </c>
    </row>
    <row r="342" spans="1:8" x14ac:dyDescent="0.3">
      <c r="A342" s="64" t="s">
        <v>746</v>
      </c>
      <c r="B342" s="64" t="s">
        <v>568</v>
      </c>
      <c r="C342" s="64" t="s">
        <v>948</v>
      </c>
      <c r="D342" s="64" t="s">
        <v>1898</v>
      </c>
      <c r="E342" s="64" t="s">
        <v>16</v>
      </c>
      <c r="F342" s="64" t="s">
        <v>373</v>
      </c>
      <c r="G342" s="64" t="s">
        <v>7873</v>
      </c>
      <c r="H342" s="64" t="s">
        <v>7874</v>
      </c>
    </row>
    <row r="343" spans="1:8" x14ac:dyDescent="0.3">
      <c r="A343" s="64" t="s">
        <v>747</v>
      </c>
      <c r="B343" s="64" t="s">
        <v>568</v>
      </c>
      <c r="C343" s="64" t="s">
        <v>948</v>
      </c>
      <c r="D343" s="64" t="s">
        <v>1898</v>
      </c>
      <c r="E343" s="64" t="s">
        <v>16</v>
      </c>
      <c r="F343" s="64" t="s">
        <v>374</v>
      </c>
      <c r="G343" s="64" t="s">
        <v>7875</v>
      </c>
      <c r="H343" s="64" t="s">
        <v>7876</v>
      </c>
    </row>
    <row r="344" spans="1:8" x14ac:dyDescent="0.3">
      <c r="A344" s="64" t="s">
        <v>748</v>
      </c>
      <c r="B344" s="64" t="s">
        <v>568</v>
      </c>
      <c r="C344" s="64" t="s">
        <v>948</v>
      </c>
      <c r="D344" s="64" t="s">
        <v>1898</v>
      </c>
      <c r="E344" s="64" t="s">
        <v>16</v>
      </c>
      <c r="F344" s="64" t="s">
        <v>375</v>
      </c>
      <c r="G344" s="64" t="s">
        <v>7877</v>
      </c>
      <c r="H344" s="64" t="s">
        <v>7878</v>
      </c>
    </row>
    <row r="345" spans="1:8" x14ac:dyDescent="0.3">
      <c r="A345" s="64" t="s">
        <v>749</v>
      </c>
      <c r="B345" s="64" t="s">
        <v>568</v>
      </c>
      <c r="C345" s="64" t="s">
        <v>948</v>
      </c>
      <c r="D345" s="64" t="s">
        <v>1898</v>
      </c>
      <c r="E345" s="64" t="s">
        <v>16</v>
      </c>
      <c r="F345" s="64" t="s">
        <v>376</v>
      </c>
      <c r="G345" s="64" t="s">
        <v>7879</v>
      </c>
      <c r="H345" s="64" t="s">
        <v>7880</v>
      </c>
    </row>
    <row r="346" spans="1:8" x14ac:dyDescent="0.3">
      <c r="A346" s="64" t="s">
        <v>750</v>
      </c>
      <c r="B346" s="64" t="s">
        <v>568</v>
      </c>
      <c r="C346" s="64" t="s">
        <v>948</v>
      </c>
      <c r="D346" s="64" t="s">
        <v>1898</v>
      </c>
      <c r="E346" s="64" t="s">
        <v>16</v>
      </c>
      <c r="F346" s="64" t="s">
        <v>377</v>
      </c>
      <c r="G346" s="64" t="s">
        <v>7881</v>
      </c>
      <c r="H346" s="64" t="s">
        <v>7882</v>
      </c>
    </row>
    <row r="347" spans="1:8" x14ac:dyDescent="0.3">
      <c r="A347" s="64" t="s">
        <v>751</v>
      </c>
      <c r="B347" s="64" t="s">
        <v>568</v>
      </c>
      <c r="C347" s="64" t="s">
        <v>948</v>
      </c>
      <c r="D347" s="64" t="s">
        <v>1898</v>
      </c>
      <c r="E347" s="64" t="s">
        <v>16</v>
      </c>
      <c r="F347" s="64" t="s">
        <v>378</v>
      </c>
      <c r="G347" s="64" t="s">
        <v>7883</v>
      </c>
      <c r="H347" s="64" t="s">
        <v>7884</v>
      </c>
    </row>
    <row r="348" spans="1:8" x14ac:dyDescent="0.3">
      <c r="A348" s="64" t="s">
        <v>752</v>
      </c>
      <c r="B348" s="64" t="s">
        <v>568</v>
      </c>
      <c r="C348" s="64" t="s">
        <v>948</v>
      </c>
      <c r="D348" s="64" t="s">
        <v>1898</v>
      </c>
      <c r="E348" s="64" t="s">
        <v>16</v>
      </c>
      <c r="F348" s="64" t="s">
        <v>379</v>
      </c>
      <c r="G348" s="64" t="s">
        <v>7885</v>
      </c>
      <c r="H348" s="64" t="s">
        <v>7886</v>
      </c>
    </row>
    <row r="349" spans="1:8" x14ac:dyDescent="0.3">
      <c r="A349" s="64" t="s">
        <v>753</v>
      </c>
      <c r="B349" s="64" t="s">
        <v>568</v>
      </c>
      <c r="C349" s="64" t="s">
        <v>948</v>
      </c>
      <c r="D349" s="64" t="s">
        <v>1898</v>
      </c>
      <c r="E349" s="64" t="s">
        <v>16</v>
      </c>
      <c r="F349" s="64" t="s">
        <v>380</v>
      </c>
      <c r="G349" s="64" t="s">
        <v>7887</v>
      </c>
      <c r="H349" s="64" t="s">
        <v>7888</v>
      </c>
    </row>
    <row r="350" spans="1:8" x14ac:dyDescent="0.3">
      <c r="A350" s="64" t="s">
        <v>754</v>
      </c>
      <c r="B350" s="64" t="s">
        <v>568</v>
      </c>
      <c r="C350" s="64" t="s">
        <v>948</v>
      </c>
      <c r="D350" s="64" t="s">
        <v>1898</v>
      </c>
      <c r="E350" s="64" t="s">
        <v>16</v>
      </c>
      <c r="F350" s="64" t="s">
        <v>381</v>
      </c>
      <c r="G350" s="64" t="s">
        <v>7889</v>
      </c>
      <c r="H350" s="64" t="s">
        <v>7890</v>
      </c>
    </row>
    <row r="351" spans="1:8" x14ac:dyDescent="0.3">
      <c r="A351" s="64" t="s">
        <v>755</v>
      </c>
      <c r="B351" s="64" t="s">
        <v>568</v>
      </c>
      <c r="C351" s="64" t="s">
        <v>948</v>
      </c>
      <c r="D351" s="64" t="s">
        <v>1898</v>
      </c>
      <c r="E351" s="64" t="s">
        <v>16</v>
      </c>
      <c r="F351" s="64" t="s">
        <v>382</v>
      </c>
      <c r="G351" s="64" t="s">
        <v>7891</v>
      </c>
      <c r="H351" s="64" t="s">
        <v>7892</v>
      </c>
    </row>
    <row r="352" spans="1:8" x14ac:dyDescent="0.3">
      <c r="A352" s="64" t="s">
        <v>756</v>
      </c>
      <c r="B352" s="64" t="s">
        <v>568</v>
      </c>
      <c r="C352" s="64" t="s">
        <v>948</v>
      </c>
      <c r="D352" s="64" t="s">
        <v>1898</v>
      </c>
      <c r="E352" s="64" t="s">
        <v>16</v>
      </c>
      <c r="F352" s="64" t="s">
        <v>383</v>
      </c>
      <c r="G352" s="64" t="s">
        <v>7893</v>
      </c>
      <c r="H352" s="64" t="s">
        <v>7894</v>
      </c>
    </row>
    <row r="353" spans="1:8" x14ac:dyDescent="0.3">
      <c r="A353" s="64" t="s">
        <v>757</v>
      </c>
      <c r="B353" s="64" t="s">
        <v>954</v>
      </c>
      <c r="C353" s="64" t="s">
        <v>952</v>
      </c>
      <c r="D353" s="64" t="s">
        <v>953</v>
      </c>
      <c r="E353" s="64" t="s">
        <v>20</v>
      </c>
      <c r="F353" s="64" t="s">
        <v>15</v>
      </c>
      <c r="G353" s="64" t="s">
        <v>7895</v>
      </c>
      <c r="H353" s="64" t="s">
        <v>5694</v>
      </c>
    </row>
    <row r="354" spans="1:8" x14ac:dyDescent="0.3">
      <c r="A354" s="64" t="s">
        <v>758</v>
      </c>
      <c r="B354" s="64" t="s">
        <v>954</v>
      </c>
      <c r="C354" s="64" t="s">
        <v>952</v>
      </c>
      <c r="D354" s="64" t="s">
        <v>953</v>
      </c>
      <c r="E354" s="64" t="s">
        <v>16</v>
      </c>
      <c r="F354" s="64" t="s">
        <v>368</v>
      </c>
      <c r="G354" s="64" t="s">
        <v>7896</v>
      </c>
      <c r="H354" s="64" t="s">
        <v>7897</v>
      </c>
    </row>
    <row r="355" spans="1:8" x14ac:dyDescent="0.3">
      <c r="A355" s="64" t="s">
        <v>759</v>
      </c>
      <c r="B355" s="64" t="s">
        <v>954</v>
      </c>
      <c r="C355" s="64" t="s">
        <v>952</v>
      </c>
      <c r="D355" s="64" t="s">
        <v>953</v>
      </c>
      <c r="E355" s="64" t="s">
        <v>16</v>
      </c>
      <c r="F355" s="64" t="s">
        <v>369</v>
      </c>
      <c r="G355" s="64" t="s">
        <v>7898</v>
      </c>
      <c r="H355" s="64" t="s">
        <v>7899</v>
      </c>
    </row>
    <row r="356" spans="1:8" x14ac:dyDescent="0.3">
      <c r="A356" s="64" t="s">
        <v>760</v>
      </c>
      <c r="B356" s="64" t="s">
        <v>954</v>
      </c>
      <c r="C356" s="64" t="s">
        <v>952</v>
      </c>
      <c r="D356" s="64" t="s">
        <v>953</v>
      </c>
      <c r="E356" s="64" t="s">
        <v>16</v>
      </c>
      <c r="F356" s="64" t="s">
        <v>370</v>
      </c>
      <c r="G356" s="64" t="s">
        <v>7900</v>
      </c>
      <c r="H356" s="64" t="s">
        <v>7901</v>
      </c>
    </row>
    <row r="357" spans="1:8" x14ac:dyDescent="0.3">
      <c r="A357" s="64" t="s">
        <v>761</v>
      </c>
      <c r="B357" s="64" t="s">
        <v>954</v>
      </c>
      <c r="C357" s="64" t="s">
        <v>952</v>
      </c>
      <c r="D357" s="64" t="s">
        <v>953</v>
      </c>
      <c r="E357" s="64" t="s">
        <v>16</v>
      </c>
      <c r="F357" s="64" t="s">
        <v>371</v>
      </c>
      <c r="G357" s="64" t="s">
        <v>7902</v>
      </c>
      <c r="H357" s="64" t="s">
        <v>7903</v>
      </c>
    </row>
    <row r="358" spans="1:8" x14ac:dyDescent="0.3">
      <c r="A358" s="64" t="s">
        <v>762</v>
      </c>
      <c r="B358" s="64" t="s">
        <v>954</v>
      </c>
      <c r="C358" s="64" t="s">
        <v>952</v>
      </c>
      <c r="D358" s="64" t="s">
        <v>953</v>
      </c>
      <c r="E358" s="64" t="s">
        <v>16</v>
      </c>
      <c r="F358" s="64" t="s">
        <v>372</v>
      </c>
      <c r="G358" s="64" t="s">
        <v>7904</v>
      </c>
      <c r="H358" s="64" t="s">
        <v>7905</v>
      </c>
    </row>
    <row r="359" spans="1:8" x14ac:dyDescent="0.3">
      <c r="A359" s="64" t="s">
        <v>763</v>
      </c>
      <c r="B359" s="64" t="s">
        <v>954</v>
      </c>
      <c r="C359" s="64" t="s">
        <v>952</v>
      </c>
      <c r="D359" s="64" t="s">
        <v>953</v>
      </c>
      <c r="E359" s="64" t="s">
        <v>16</v>
      </c>
      <c r="F359" s="64" t="s">
        <v>373</v>
      </c>
      <c r="G359" s="64" t="s">
        <v>7906</v>
      </c>
      <c r="H359" s="64" t="s">
        <v>7907</v>
      </c>
    </row>
    <row r="360" spans="1:8" x14ac:dyDescent="0.3">
      <c r="A360" s="64" t="s">
        <v>764</v>
      </c>
      <c r="B360" s="64" t="s">
        <v>954</v>
      </c>
      <c r="C360" s="64" t="s">
        <v>952</v>
      </c>
      <c r="D360" s="64" t="s">
        <v>953</v>
      </c>
      <c r="E360" s="64" t="s">
        <v>16</v>
      </c>
      <c r="F360" s="64" t="s">
        <v>374</v>
      </c>
      <c r="G360" s="64" t="s">
        <v>7908</v>
      </c>
      <c r="H360" s="64" t="s">
        <v>7909</v>
      </c>
    </row>
    <row r="361" spans="1:8" x14ac:dyDescent="0.3">
      <c r="A361" s="64" t="s">
        <v>765</v>
      </c>
      <c r="B361" s="64" t="s">
        <v>954</v>
      </c>
      <c r="C361" s="64" t="s">
        <v>952</v>
      </c>
      <c r="D361" s="64" t="s">
        <v>953</v>
      </c>
      <c r="E361" s="64" t="s">
        <v>16</v>
      </c>
      <c r="F361" s="64" t="s">
        <v>375</v>
      </c>
      <c r="G361" s="64" t="s">
        <v>7910</v>
      </c>
      <c r="H361" s="64" t="s">
        <v>7911</v>
      </c>
    </row>
    <row r="362" spans="1:8" x14ac:dyDescent="0.3">
      <c r="A362" s="64" t="s">
        <v>766</v>
      </c>
      <c r="B362" s="64" t="s">
        <v>954</v>
      </c>
      <c r="C362" s="64" t="s">
        <v>952</v>
      </c>
      <c r="D362" s="64" t="s">
        <v>953</v>
      </c>
      <c r="E362" s="64" t="s">
        <v>16</v>
      </c>
      <c r="F362" s="64" t="s">
        <v>376</v>
      </c>
      <c r="G362" s="64" t="s">
        <v>7912</v>
      </c>
      <c r="H362" s="64" t="s">
        <v>7913</v>
      </c>
    </row>
    <row r="363" spans="1:8" x14ac:dyDescent="0.3">
      <c r="A363" s="64" t="s">
        <v>767</v>
      </c>
      <c r="B363" s="64" t="s">
        <v>954</v>
      </c>
      <c r="C363" s="64" t="s">
        <v>952</v>
      </c>
      <c r="D363" s="64" t="s">
        <v>953</v>
      </c>
      <c r="E363" s="64" t="s">
        <v>16</v>
      </c>
      <c r="F363" s="64" t="s">
        <v>377</v>
      </c>
      <c r="G363" s="64" t="s">
        <v>7914</v>
      </c>
      <c r="H363" s="64" t="s">
        <v>7915</v>
      </c>
    </row>
    <row r="364" spans="1:8" x14ac:dyDescent="0.3">
      <c r="A364" s="64" t="s">
        <v>768</v>
      </c>
      <c r="B364" s="64" t="s">
        <v>954</v>
      </c>
      <c r="C364" s="64" t="s">
        <v>952</v>
      </c>
      <c r="D364" s="64" t="s">
        <v>953</v>
      </c>
      <c r="E364" s="64" t="s">
        <v>16</v>
      </c>
      <c r="F364" s="64" t="s">
        <v>378</v>
      </c>
      <c r="G364" s="64" t="s">
        <v>7916</v>
      </c>
      <c r="H364" s="64" t="s">
        <v>7917</v>
      </c>
    </row>
    <row r="365" spans="1:8" x14ac:dyDescent="0.3">
      <c r="A365" s="64" t="s">
        <v>769</v>
      </c>
      <c r="B365" s="64" t="s">
        <v>954</v>
      </c>
      <c r="C365" s="64" t="s">
        <v>952</v>
      </c>
      <c r="D365" s="64" t="s">
        <v>953</v>
      </c>
      <c r="E365" s="64" t="s">
        <v>16</v>
      </c>
      <c r="F365" s="64" t="s">
        <v>379</v>
      </c>
      <c r="G365" s="64" t="s">
        <v>7918</v>
      </c>
      <c r="H365" s="64" t="s">
        <v>7919</v>
      </c>
    </row>
    <row r="366" spans="1:8" x14ac:dyDescent="0.3">
      <c r="A366" s="64" t="s">
        <v>770</v>
      </c>
      <c r="B366" s="64" t="s">
        <v>954</v>
      </c>
      <c r="C366" s="64" t="s">
        <v>952</v>
      </c>
      <c r="D366" s="64" t="s">
        <v>953</v>
      </c>
      <c r="E366" s="64" t="s">
        <v>16</v>
      </c>
      <c r="F366" s="64" t="s">
        <v>380</v>
      </c>
      <c r="G366" s="64" t="s">
        <v>7920</v>
      </c>
      <c r="H366" s="64" t="s">
        <v>7921</v>
      </c>
    </row>
    <row r="367" spans="1:8" x14ac:dyDescent="0.3">
      <c r="A367" s="64" t="s">
        <v>771</v>
      </c>
      <c r="B367" s="64" t="s">
        <v>954</v>
      </c>
      <c r="C367" s="64" t="s">
        <v>952</v>
      </c>
      <c r="D367" s="64" t="s">
        <v>953</v>
      </c>
      <c r="E367" s="64" t="s">
        <v>16</v>
      </c>
      <c r="F367" s="64" t="s">
        <v>381</v>
      </c>
      <c r="G367" s="64" t="s">
        <v>7922</v>
      </c>
      <c r="H367" s="64" t="s">
        <v>7923</v>
      </c>
    </row>
    <row r="368" spans="1:8" x14ac:dyDescent="0.3">
      <c r="A368" s="64" t="s">
        <v>772</v>
      </c>
      <c r="B368" s="64" t="s">
        <v>954</v>
      </c>
      <c r="C368" s="64" t="s">
        <v>952</v>
      </c>
      <c r="D368" s="64" t="s">
        <v>953</v>
      </c>
      <c r="E368" s="64" t="s">
        <v>16</v>
      </c>
      <c r="F368" s="64" t="s">
        <v>382</v>
      </c>
      <c r="G368" s="64" t="s">
        <v>7924</v>
      </c>
      <c r="H368" s="64" t="s">
        <v>7925</v>
      </c>
    </row>
    <row r="369" spans="1:8" x14ac:dyDescent="0.3">
      <c r="A369" s="64" t="s">
        <v>773</v>
      </c>
      <c r="B369" s="64" t="s">
        <v>954</v>
      </c>
      <c r="C369" s="64" t="s">
        <v>952</v>
      </c>
      <c r="D369" s="64" t="s">
        <v>953</v>
      </c>
      <c r="E369" s="64" t="s">
        <v>16</v>
      </c>
      <c r="F369" s="64" t="s">
        <v>383</v>
      </c>
      <c r="G369" s="64" t="s">
        <v>7926</v>
      </c>
      <c r="H369" s="64" t="s">
        <v>7927</v>
      </c>
    </row>
    <row r="370" spans="1:8" x14ac:dyDescent="0.3">
      <c r="A370" s="64" t="s">
        <v>774</v>
      </c>
      <c r="B370" s="64" t="s">
        <v>954</v>
      </c>
      <c r="C370" s="64" t="s">
        <v>952</v>
      </c>
      <c r="D370" s="64" t="s">
        <v>953</v>
      </c>
      <c r="E370" s="64" t="s">
        <v>20</v>
      </c>
      <c r="F370" s="64" t="s">
        <v>15</v>
      </c>
      <c r="G370" s="64" t="s">
        <v>7928</v>
      </c>
      <c r="H370" s="64" t="s">
        <v>5696</v>
      </c>
    </row>
    <row r="371" spans="1:8" x14ac:dyDescent="0.3">
      <c r="A371" s="64" t="s">
        <v>775</v>
      </c>
      <c r="B371" s="64" t="s">
        <v>954</v>
      </c>
      <c r="C371" s="64" t="s">
        <v>952</v>
      </c>
      <c r="D371" s="64" t="s">
        <v>953</v>
      </c>
      <c r="E371" s="64" t="s">
        <v>20</v>
      </c>
      <c r="F371" s="64" t="s">
        <v>15</v>
      </c>
      <c r="G371" s="64" t="s">
        <v>7929</v>
      </c>
      <c r="H371" s="64" t="s">
        <v>5695</v>
      </c>
    </row>
    <row r="372" spans="1:8" x14ac:dyDescent="0.3">
      <c r="A372" s="64" t="s">
        <v>776</v>
      </c>
      <c r="B372" s="64" t="s">
        <v>814</v>
      </c>
      <c r="C372" s="64" t="s">
        <v>815</v>
      </c>
      <c r="D372" s="64" t="s">
        <v>1880</v>
      </c>
      <c r="E372" s="64" t="s">
        <v>20</v>
      </c>
      <c r="F372" s="64" t="s">
        <v>15</v>
      </c>
      <c r="G372" s="64" t="s">
        <v>7930</v>
      </c>
      <c r="H372" s="64" t="s">
        <v>992</v>
      </c>
    </row>
    <row r="373" spans="1:8" x14ac:dyDescent="0.3">
      <c r="A373" s="64" t="s">
        <v>777</v>
      </c>
      <c r="B373" s="64" t="s">
        <v>785</v>
      </c>
      <c r="C373" s="64" t="s">
        <v>1369</v>
      </c>
      <c r="D373" s="64" t="s">
        <v>1907</v>
      </c>
      <c r="E373" s="64" t="s">
        <v>20</v>
      </c>
      <c r="F373" s="64" t="s">
        <v>15</v>
      </c>
      <c r="G373" s="64" t="s">
        <v>5474</v>
      </c>
      <c r="H373" s="64" t="s">
        <v>1419</v>
      </c>
    </row>
    <row r="374" spans="1:8" x14ac:dyDescent="0.3">
      <c r="A374" s="64" t="s">
        <v>778</v>
      </c>
      <c r="B374" s="64" t="s">
        <v>785</v>
      </c>
      <c r="C374" s="64" t="s">
        <v>1371</v>
      </c>
      <c r="D374" s="64" t="s">
        <v>1882</v>
      </c>
      <c r="E374" s="64" t="s">
        <v>20</v>
      </c>
      <c r="F374" s="64" t="s">
        <v>15</v>
      </c>
      <c r="G374" s="64" t="s">
        <v>7931</v>
      </c>
      <c r="H374" s="64" t="s">
        <v>1372</v>
      </c>
    </row>
    <row r="375" spans="1:8" x14ac:dyDescent="0.3">
      <c r="A375" s="64" t="s">
        <v>779</v>
      </c>
      <c r="B375" s="64" t="s">
        <v>785</v>
      </c>
      <c r="C375" s="64" t="s">
        <v>1371</v>
      </c>
      <c r="D375" s="64" t="s">
        <v>1882</v>
      </c>
      <c r="E375" s="64" t="s">
        <v>16</v>
      </c>
      <c r="F375" s="64" t="s">
        <v>368</v>
      </c>
      <c r="G375" s="64" t="s">
        <v>7932</v>
      </c>
      <c r="H375" s="64" t="s">
        <v>1531</v>
      </c>
    </row>
    <row r="376" spans="1:8" x14ac:dyDescent="0.3">
      <c r="A376" s="64" t="s">
        <v>780</v>
      </c>
      <c r="B376" s="64" t="s">
        <v>785</v>
      </c>
      <c r="C376" s="64" t="s">
        <v>1371</v>
      </c>
      <c r="D376" s="64" t="s">
        <v>1882</v>
      </c>
      <c r="E376" s="64" t="s">
        <v>16</v>
      </c>
      <c r="F376" s="64" t="s">
        <v>369</v>
      </c>
      <c r="G376" s="64" t="s">
        <v>7933</v>
      </c>
      <c r="H376" s="64" t="s">
        <v>1532</v>
      </c>
    </row>
    <row r="377" spans="1:8" x14ac:dyDescent="0.3">
      <c r="A377" s="64" t="s">
        <v>781</v>
      </c>
      <c r="B377" s="64" t="s">
        <v>785</v>
      </c>
      <c r="C377" s="64" t="s">
        <v>1371</v>
      </c>
      <c r="D377" s="64" t="s">
        <v>1882</v>
      </c>
      <c r="E377" s="64" t="s">
        <v>16</v>
      </c>
      <c r="F377" s="64" t="s">
        <v>370</v>
      </c>
      <c r="G377" s="64" t="s">
        <v>7934</v>
      </c>
      <c r="H377" s="64" t="s">
        <v>1533</v>
      </c>
    </row>
    <row r="378" spans="1:8" x14ac:dyDescent="0.3">
      <c r="A378" s="64" t="s">
        <v>782</v>
      </c>
      <c r="B378" s="64" t="s">
        <v>785</v>
      </c>
      <c r="C378" s="64" t="s">
        <v>1371</v>
      </c>
      <c r="D378" s="64" t="s">
        <v>1882</v>
      </c>
      <c r="E378" s="64" t="s">
        <v>16</v>
      </c>
      <c r="F378" s="64" t="s">
        <v>371</v>
      </c>
      <c r="G378" s="64" t="s">
        <v>7935</v>
      </c>
      <c r="H378" s="64" t="s">
        <v>1534</v>
      </c>
    </row>
    <row r="379" spans="1:8" x14ac:dyDescent="0.3">
      <c r="A379" s="64" t="s">
        <v>802</v>
      </c>
      <c r="B379" s="64" t="s">
        <v>785</v>
      </c>
      <c r="C379" s="64" t="s">
        <v>1371</v>
      </c>
      <c r="D379" s="64" t="s">
        <v>1882</v>
      </c>
      <c r="E379" s="64" t="s">
        <v>16</v>
      </c>
      <c r="F379" s="64" t="s">
        <v>372</v>
      </c>
      <c r="G379" s="64" t="s">
        <v>7936</v>
      </c>
      <c r="H379" s="64" t="s">
        <v>1535</v>
      </c>
    </row>
    <row r="380" spans="1:8" x14ac:dyDescent="0.3">
      <c r="A380" s="64" t="s">
        <v>869</v>
      </c>
      <c r="B380" s="64" t="s">
        <v>785</v>
      </c>
      <c r="C380" s="64" t="s">
        <v>1371</v>
      </c>
      <c r="D380" s="64" t="s">
        <v>1882</v>
      </c>
      <c r="E380" s="64" t="s">
        <v>16</v>
      </c>
      <c r="F380" s="64" t="s">
        <v>373</v>
      </c>
      <c r="G380" s="64" t="s">
        <v>7937</v>
      </c>
      <c r="H380" s="64" t="s">
        <v>1536</v>
      </c>
    </row>
    <row r="381" spans="1:8" x14ac:dyDescent="0.3">
      <c r="A381" s="64" t="s">
        <v>870</v>
      </c>
      <c r="B381" s="64" t="s">
        <v>785</v>
      </c>
      <c r="C381" s="64" t="s">
        <v>1371</v>
      </c>
      <c r="D381" s="64" t="s">
        <v>1882</v>
      </c>
      <c r="E381" s="64" t="s">
        <v>16</v>
      </c>
      <c r="F381" s="64" t="s">
        <v>374</v>
      </c>
      <c r="G381" s="64" t="s">
        <v>7938</v>
      </c>
      <c r="H381" s="64" t="s">
        <v>1537</v>
      </c>
    </row>
    <row r="382" spans="1:8" x14ac:dyDescent="0.3">
      <c r="A382" s="64" t="s">
        <v>871</v>
      </c>
      <c r="B382" s="64" t="s">
        <v>785</v>
      </c>
      <c r="C382" s="64" t="s">
        <v>1371</v>
      </c>
      <c r="D382" s="64" t="s">
        <v>1882</v>
      </c>
      <c r="E382" s="64" t="s">
        <v>16</v>
      </c>
      <c r="F382" s="64" t="s">
        <v>375</v>
      </c>
      <c r="G382" s="64" t="s">
        <v>7939</v>
      </c>
      <c r="H382" s="64" t="s">
        <v>1538</v>
      </c>
    </row>
    <row r="383" spans="1:8" x14ac:dyDescent="0.3">
      <c r="A383" s="64" t="s">
        <v>872</v>
      </c>
      <c r="B383" s="64" t="s">
        <v>785</v>
      </c>
      <c r="C383" s="64" t="s">
        <v>1371</v>
      </c>
      <c r="D383" s="64" t="s">
        <v>1882</v>
      </c>
      <c r="E383" s="64" t="s">
        <v>16</v>
      </c>
      <c r="F383" s="64" t="s">
        <v>376</v>
      </c>
      <c r="G383" s="64" t="s">
        <v>7940</v>
      </c>
      <c r="H383" s="64" t="s">
        <v>1539</v>
      </c>
    </row>
    <row r="384" spans="1:8" x14ac:dyDescent="0.3">
      <c r="A384" s="64" t="s">
        <v>873</v>
      </c>
      <c r="B384" s="64" t="s">
        <v>785</v>
      </c>
      <c r="C384" s="64" t="s">
        <v>1371</v>
      </c>
      <c r="D384" s="64" t="s">
        <v>1882</v>
      </c>
      <c r="E384" s="64" t="s">
        <v>16</v>
      </c>
      <c r="F384" s="64" t="s">
        <v>377</v>
      </c>
      <c r="G384" s="64" t="s">
        <v>7941</v>
      </c>
      <c r="H384" s="64" t="s">
        <v>1540</v>
      </c>
    </row>
    <row r="385" spans="1:8" x14ac:dyDescent="0.3">
      <c r="A385" s="64" t="s">
        <v>874</v>
      </c>
      <c r="B385" s="64" t="s">
        <v>785</v>
      </c>
      <c r="C385" s="64" t="s">
        <v>1371</v>
      </c>
      <c r="D385" s="64" t="s">
        <v>1882</v>
      </c>
      <c r="E385" s="64" t="s">
        <v>16</v>
      </c>
      <c r="F385" s="64" t="s">
        <v>378</v>
      </c>
      <c r="G385" s="64" t="s">
        <v>7942</v>
      </c>
      <c r="H385" s="64" t="s">
        <v>1541</v>
      </c>
    </row>
    <row r="386" spans="1:8" x14ac:dyDescent="0.3">
      <c r="A386" s="64" t="s">
        <v>875</v>
      </c>
      <c r="B386" s="64" t="s">
        <v>785</v>
      </c>
      <c r="C386" s="64" t="s">
        <v>1371</v>
      </c>
      <c r="D386" s="64" t="s">
        <v>1882</v>
      </c>
      <c r="E386" s="64" t="s">
        <v>16</v>
      </c>
      <c r="F386" s="64" t="s">
        <v>379</v>
      </c>
      <c r="G386" s="64" t="s">
        <v>7943</v>
      </c>
      <c r="H386" s="64" t="s">
        <v>1542</v>
      </c>
    </row>
    <row r="387" spans="1:8" x14ac:dyDescent="0.3">
      <c r="A387" s="64" t="s">
        <v>876</v>
      </c>
      <c r="B387" s="64" t="s">
        <v>785</v>
      </c>
      <c r="C387" s="64" t="s">
        <v>1371</v>
      </c>
      <c r="D387" s="64" t="s">
        <v>1882</v>
      </c>
      <c r="E387" s="64" t="s">
        <v>16</v>
      </c>
      <c r="F387" s="64" t="s">
        <v>380</v>
      </c>
      <c r="G387" s="64" t="s">
        <v>7944</v>
      </c>
      <c r="H387" s="64" t="s">
        <v>1543</v>
      </c>
    </row>
    <row r="388" spans="1:8" x14ac:dyDescent="0.3">
      <c r="A388" s="64" t="s">
        <v>877</v>
      </c>
      <c r="B388" s="64" t="s">
        <v>785</v>
      </c>
      <c r="C388" s="64" t="s">
        <v>1371</v>
      </c>
      <c r="D388" s="64" t="s">
        <v>1882</v>
      </c>
      <c r="E388" s="64" t="s">
        <v>16</v>
      </c>
      <c r="F388" s="64" t="s">
        <v>381</v>
      </c>
      <c r="G388" s="64" t="s">
        <v>7945</v>
      </c>
      <c r="H388" s="64" t="s">
        <v>1544</v>
      </c>
    </row>
    <row r="389" spans="1:8" x14ac:dyDescent="0.3">
      <c r="A389" s="64" t="s">
        <v>878</v>
      </c>
      <c r="B389" s="64" t="s">
        <v>785</v>
      </c>
      <c r="C389" s="64" t="s">
        <v>1371</v>
      </c>
      <c r="D389" s="64" t="s">
        <v>1882</v>
      </c>
      <c r="E389" s="64" t="s">
        <v>16</v>
      </c>
      <c r="F389" s="64" t="s">
        <v>382</v>
      </c>
      <c r="G389" s="64" t="s">
        <v>7946</v>
      </c>
      <c r="H389" s="64" t="s">
        <v>1545</v>
      </c>
    </row>
    <row r="390" spans="1:8" x14ac:dyDescent="0.3">
      <c r="A390" s="64" t="s">
        <v>879</v>
      </c>
      <c r="B390" s="64" t="s">
        <v>785</v>
      </c>
      <c r="C390" s="64" t="s">
        <v>1371</v>
      </c>
      <c r="D390" s="64" t="s">
        <v>1882</v>
      </c>
      <c r="E390" s="64" t="s">
        <v>16</v>
      </c>
      <c r="F390" s="64" t="s">
        <v>383</v>
      </c>
      <c r="G390" s="64" t="s">
        <v>7947</v>
      </c>
      <c r="H390" s="64" t="s">
        <v>1546</v>
      </c>
    </row>
    <row r="391" spans="1:8" x14ac:dyDescent="0.3">
      <c r="A391" s="64" t="s">
        <v>880</v>
      </c>
      <c r="B391" s="64" t="s">
        <v>785</v>
      </c>
      <c r="C391" s="64" t="s">
        <v>1374</v>
      </c>
      <c r="D391" s="64" t="s">
        <v>1882</v>
      </c>
      <c r="E391" s="64" t="s">
        <v>20</v>
      </c>
      <c r="F391" s="64" t="s">
        <v>15</v>
      </c>
      <c r="G391" s="64" t="s">
        <v>7948</v>
      </c>
      <c r="H391" s="64" t="s">
        <v>5133</v>
      </c>
    </row>
    <row r="392" spans="1:8" x14ac:dyDescent="0.3">
      <c r="A392" s="64" t="s">
        <v>881</v>
      </c>
      <c r="B392" s="64" t="s">
        <v>785</v>
      </c>
      <c r="C392" s="64" t="s">
        <v>1374</v>
      </c>
      <c r="D392" s="64" t="s">
        <v>1882</v>
      </c>
      <c r="E392" s="64" t="s">
        <v>16</v>
      </c>
      <c r="F392" s="64" t="s">
        <v>368</v>
      </c>
      <c r="G392" s="64" t="s">
        <v>7949</v>
      </c>
      <c r="H392" s="64" t="s">
        <v>5134</v>
      </c>
    </row>
    <row r="393" spans="1:8" x14ac:dyDescent="0.3">
      <c r="A393" s="64" t="s">
        <v>882</v>
      </c>
      <c r="B393" s="64" t="s">
        <v>785</v>
      </c>
      <c r="C393" s="64" t="s">
        <v>1374</v>
      </c>
      <c r="D393" s="64" t="s">
        <v>1882</v>
      </c>
      <c r="E393" s="64" t="s">
        <v>16</v>
      </c>
      <c r="F393" s="64" t="s">
        <v>369</v>
      </c>
      <c r="G393" s="64" t="s">
        <v>7950</v>
      </c>
      <c r="H393" s="64" t="s">
        <v>5135</v>
      </c>
    </row>
    <row r="394" spans="1:8" x14ac:dyDescent="0.3">
      <c r="A394" s="64" t="s">
        <v>883</v>
      </c>
      <c r="B394" s="64" t="s">
        <v>785</v>
      </c>
      <c r="C394" s="64" t="s">
        <v>1374</v>
      </c>
      <c r="D394" s="64" t="s">
        <v>1882</v>
      </c>
      <c r="E394" s="64" t="s">
        <v>16</v>
      </c>
      <c r="F394" s="64" t="s">
        <v>370</v>
      </c>
      <c r="G394" s="64" t="s">
        <v>7951</v>
      </c>
      <c r="H394" s="64" t="s">
        <v>5136</v>
      </c>
    </row>
    <row r="395" spans="1:8" x14ac:dyDescent="0.3">
      <c r="A395" s="64" t="s">
        <v>884</v>
      </c>
      <c r="B395" s="64" t="s">
        <v>785</v>
      </c>
      <c r="C395" s="64" t="s">
        <v>1374</v>
      </c>
      <c r="D395" s="64" t="s">
        <v>1882</v>
      </c>
      <c r="E395" s="64" t="s">
        <v>16</v>
      </c>
      <c r="F395" s="64" t="s">
        <v>371</v>
      </c>
      <c r="G395" s="64" t="s">
        <v>7952</v>
      </c>
      <c r="H395" s="64" t="s">
        <v>5137</v>
      </c>
    </row>
    <row r="396" spans="1:8" x14ac:dyDescent="0.3">
      <c r="A396" s="64" t="s">
        <v>885</v>
      </c>
      <c r="B396" s="64" t="s">
        <v>785</v>
      </c>
      <c r="C396" s="64" t="s">
        <v>1374</v>
      </c>
      <c r="D396" s="64" t="s">
        <v>1882</v>
      </c>
      <c r="E396" s="64" t="s">
        <v>16</v>
      </c>
      <c r="F396" s="64" t="s">
        <v>372</v>
      </c>
      <c r="G396" s="64" t="s">
        <v>7953</v>
      </c>
      <c r="H396" s="64" t="s">
        <v>5138</v>
      </c>
    </row>
    <row r="397" spans="1:8" x14ac:dyDescent="0.3">
      <c r="A397" s="64" t="s">
        <v>886</v>
      </c>
      <c r="B397" s="64" t="s">
        <v>785</v>
      </c>
      <c r="C397" s="64" t="s">
        <v>1374</v>
      </c>
      <c r="D397" s="64" t="s">
        <v>1882</v>
      </c>
      <c r="E397" s="64" t="s">
        <v>16</v>
      </c>
      <c r="F397" s="64" t="s">
        <v>373</v>
      </c>
      <c r="G397" s="64" t="s">
        <v>7954</v>
      </c>
      <c r="H397" s="64" t="s">
        <v>5139</v>
      </c>
    </row>
    <row r="398" spans="1:8" x14ac:dyDescent="0.3">
      <c r="A398" s="64" t="s">
        <v>887</v>
      </c>
      <c r="B398" s="64" t="s">
        <v>785</v>
      </c>
      <c r="C398" s="64" t="s">
        <v>1374</v>
      </c>
      <c r="D398" s="64" t="s">
        <v>1882</v>
      </c>
      <c r="E398" s="64" t="s">
        <v>16</v>
      </c>
      <c r="F398" s="64" t="s">
        <v>374</v>
      </c>
      <c r="G398" s="64" t="s">
        <v>7955</v>
      </c>
      <c r="H398" s="64" t="s">
        <v>5140</v>
      </c>
    </row>
    <row r="399" spans="1:8" x14ac:dyDescent="0.3">
      <c r="A399" s="64" t="s">
        <v>888</v>
      </c>
      <c r="B399" s="64" t="s">
        <v>785</v>
      </c>
      <c r="C399" s="64" t="s">
        <v>1374</v>
      </c>
      <c r="D399" s="64" t="s">
        <v>1882</v>
      </c>
      <c r="E399" s="64" t="s">
        <v>16</v>
      </c>
      <c r="F399" s="64" t="s">
        <v>375</v>
      </c>
      <c r="G399" s="64" t="s">
        <v>7956</v>
      </c>
      <c r="H399" s="64" t="s">
        <v>5141</v>
      </c>
    </row>
    <row r="400" spans="1:8" x14ac:dyDescent="0.3">
      <c r="A400" s="64" t="s">
        <v>889</v>
      </c>
      <c r="B400" s="64" t="s">
        <v>785</v>
      </c>
      <c r="C400" s="64" t="s">
        <v>1374</v>
      </c>
      <c r="D400" s="64" t="s">
        <v>1882</v>
      </c>
      <c r="E400" s="64" t="s">
        <v>16</v>
      </c>
      <c r="F400" s="64" t="s">
        <v>376</v>
      </c>
      <c r="G400" s="64" t="s">
        <v>7957</v>
      </c>
      <c r="H400" s="64" t="s">
        <v>5142</v>
      </c>
    </row>
    <row r="401" spans="1:8" x14ac:dyDescent="0.3">
      <c r="A401" s="64" t="s">
        <v>890</v>
      </c>
      <c r="B401" s="64" t="s">
        <v>785</v>
      </c>
      <c r="C401" s="64" t="s">
        <v>1374</v>
      </c>
      <c r="D401" s="64" t="s">
        <v>1882</v>
      </c>
      <c r="E401" s="64" t="s">
        <v>16</v>
      </c>
      <c r="F401" s="64" t="s">
        <v>377</v>
      </c>
      <c r="G401" s="64" t="s">
        <v>7958</v>
      </c>
      <c r="H401" s="64" t="s">
        <v>5143</v>
      </c>
    </row>
    <row r="402" spans="1:8" x14ac:dyDescent="0.3">
      <c r="A402" s="64" t="s">
        <v>891</v>
      </c>
      <c r="B402" s="64" t="s">
        <v>785</v>
      </c>
      <c r="C402" s="64" t="s">
        <v>1374</v>
      </c>
      <c r="D402" s="64" t="s">
        <v>1882</v>
      </c>
      <c r="E402" s="64" t="s">
        <v>16</v>
      </c>
      <c r="F402" s="64" t="s">
        <v>378</v>
      </c>
      <c r="G402" s="64" t="s">
        <v>7959</v>
      </c>
      <c r="H402" s="64" t="s">
        <v>5144</v>
      </c>
    </row>
    <row r="403" spans="1:8" x14ac:dyDescent="0.3">
      <c r="A403" s="64" t="s">
        <v>892</v>
      </c>
      <c r="B403" s="64" t="s">
        <v>785</v>
      </c>
      <c r="C403" s="64" t="s">
        <v>1374</v>
      </c>
      <c r="D403" s="64" t="s">
        <v>1882</v>
      </c>
      <c r="E403" s="64" t="s">
        <v>16</v>
      </c>
      <c r="F403" s="64" t="s">
        <v>379</v>
      </c>
      <c r="G403" s="64" t="s">
        <v>7960</v>
      </c>
      <c r="H403" s="64" t="s">
        <v>5145</v>
      </c>
    </row>
    <row r="404" spans="1:8" x14ac:dyDescent="0.3">
      <c r="A404" s="64" t="s">
        <v>893</v>
      </c>
      <c r="B404" s="64" t="s">
        <v>785</v>
      </c>
      <c r="C404" s="64" t="s">
        <v>1374</v>
      </c>
      <c r="D404" s="64" t="s">
        <v>1882</v>
      </c>
      <c r="E404" s="64" t="s">
        <v>16</v>
      </c>
      <c r="F404" s="64" t="s">
        <v>380</v>
      </c>
      <c r="G404" s="64" t="s">
        <v>7961</v>
      </c>
      <c r="H404" s="64" t="s">
        <v>5146</v>
      </c>
    </row>
    <row r="405" spans="1:8" x14ac:dyDescent="0.3">
      <c r="A405" s="64" t="s">
        <v>894</v>
      </c>
      <c r="B405" s="64" t="s">
        <v>785</v>
      </c>
      <c r="C405" s="64" t="s">
        <v>1374</v>
      </c>
      <c r="D405" s="64" t="s">
        <v>1882</v>
      </c>
      <c r="E405" s="64" t="s">
        <v>16</v>
      </c>
      <c r="F405" s="64" t="s">
        <v>381</v>
      </c>
      <c r="G405" s="64" t="s">
        <v>7962</v>
      </c>
      <c r="H405" s="64" t="s">
        <v>5147</v>
      </c>
    </row>
    <row r="406" spans="1:8" x14ac:dyDescent="0.3">
      <c r="A406" s="64" t="s">
        <v>895</v>
      </c>
      <c r="B406" s="64" t="s">
        <v>785</v>
      </c>
      <c r="C406" s="64" t="s">
        <v>1374</v>
      </c>
      <c r="D406" s="64" t="s">
        <v>1882</v>
      </c>
      <c r="E406" s="64" t="s">
        <v>16</v>
      </c>
      <c r="F406" s="64" t="s">
        <v>382</v>
      </c>
      <c r="G406" s="64" t="s">
        <v>7963</v>
      </c>
      <c r="H406" s="64" t="s">
        <v>5148</v>
      </c>
    </row>
    <row r="407" spans="1:8" x14ac:dyDescent="0.3">
      <c r="A407" s="64" t="s">
        <v>896</v>
      </c>
      <c r="B407" s="64" t="s">
        <v>785</v>
      </c>
      <c r="C407" s="64" t="s">
        <v>1374</v>
      </c>
      <c r="D407" s="64" t="s">
        <v>1882</v>
      </c>
      <c r="E407" s="64" t="s">
        <v>16</v>
      </c>
      <c r="F407" s="64" t="s">
        <v>383</v>
      </c>
      <c r="G407" s="64" t="s">
        <v>7964</v>
      </c>
      <c r="H407" s="64" t="s">
        <v>5149</v>
      </c>
    </row>
    <row r="408" spans="1:8" x14ac:dyDescent="0.3">
      <c r="A408" s="64" t="s">
        <v>897</v>
      </c>
      <c r="B408" s="64" t="s">
        <v>1375</v>
      </c>
      <c r="C408" s="64" t="s">
        <v>1376</v>
      </c>
      <c r="D408" s="64" t="s">
        <v>2700</v>
      </c>
      <c r="E408" s="64" t="s">
        <v>20</v>
      </c>
      <c r="F408" s="64" t="s">
        <v>15</v>
      </c>
      <c r="G408" s="64" t="s">
        <v>7965</v>
      </c>
      <c r="H408" s="64" t="s">
        <v>5336</v>
      </c>
    </row>
    <row r="409" spans="1:8" x14ac:dyDescent="0.3">
      <c r="A409" s="64" t="s">
        <v>898</v>
      </c>
      <c r="B409" s="64" t="s">
        <v>954</v>
      </c>
      <c r="C409" s="64" t="s">
        <v>5152</v>
      </c>
      <c r="D409" s="64" t="s">
        <v>1883</v>
      </c>
      <c r="E409" s="64" t="s">
        <v>20</v>
      </c>
      <c r="F409" s="64" t="s">
        <v>15</v>
      </c>
      <c r="G409" s="64" t="s">
        <v>7966</v>
      </c>
      <c r="H409" s="64" t="s">
        <v>1382</v>
      </c>
    </row>
    <row r="410" spans="1:8" x14ac:dyDescent="0.3">
      <c r="A410" s="64" t="s">
        <v>899</v>
      </c>
      <c r="B410" s="64" t="s">
        <v>954</v>
      </c>
      <c r="C410" s="64" t="s">
        <v>5152</v>
      </c>
      <c r="D410" s="64" t="s">
        <v>1883</v>
      </c>
      <c r="E410" s="64" t="s">
        <v>20</v>
      </c>
      <c r="F410" s="64" t="s">
        <v>15</v>
      </c>
      <c r="G410" s="64" t="s">
        <v>7967</v>
      </c>
      <c r="H410" s="64" t="s">
        <v>1383</v>
      </c>
    </row>
    <row r="411" spans="1:8" x14ac:dyDescent="0.3">
      <c r="A411" s="64" t="s">
        <v>900</v>
      </c>
      <c r="B411" s="64" t="s">
        <v>954</v>
      </c>
      <c r="C411" s="64" t="s">
        <v>5152</v>
      </c>
      <c r="D411" s="64" t="s">
        <v>1883</v>
      </c>
      <c r="E411" s="64" t="s">
        <v>20</v>
      </c>
      <c r="F411" s="64" t="s">
        <v>15</v>
      </c>
      <c r="G411" s="64" t="s">
        <v>7968</v>
      </c>
      <c r="H411" s="64" t="s">
        <v>1387</v>
      </c>
    </row>
    <row r="412" spans="1:8" x14ac:dyDescent="0.3">
      <c r="A412" s="64" t="s">
        <v>901</v>
      </c>
      <c r="B412" s="64" t="s">
        <v>954</v>
      </c>
      <c r="C412" s="64" t="s">
        <v>5152</v>
      </c>
      <c r="D412" s="64" t="s">
        <v>1883</v>
      </c>
      <c r="E412" s="64" t="s">
        <v>20</v>
      </c>
      <c r="F412" s="64" t="s">
        <v>15</v>
      </c>
      <c r="G412" s="64" t="s">
        <v>7969</v>
      </c>
      <c r="H412" s="64" t="s">
        <v>1390</v>
      </c>
    </row>
    <row r="413" spans="1:8" x14ac:dyDescent="0.3">
      <c r="A413" s="64" t="s">
        <v>902</v>
      </c>
      <c r="B413" s="64" t="s">
        <v>823</v>
      </c>
      <c r="C413" s="64" t="s">
        <v>1394</v>
      </c>
      <c r="D413" s="64" t="s">
        <v>1470</v>
      </c>
      <c r="E413" s="64" t="s">
        <v>20</v>
      </c>
      <c r="F413" s="64" t="s">
        <v>15</v>
      </c>
      <c r="G413" s="64" t="s">
        <v>7970</v>
      </c>
      <c r="H413" s="64" t="s">
        <v>1393</v>
      </c>
    </row>
    <row r="414" spans="1:8" x14ac:dyDescent="0.3">
      <c r="A414" s="64" t="s">
        <v>903</v>
      </c>
      <c r="B414" s="64" t="s">
        <v>823</v>
      </c>
      <c r="C414" s="64" t="s">
        <v>1396</v>
      </c>
      <c r="D414" s="64" t="s">
        <v>1470</v>
      </c>
      <c r="E414" s="64" t="s">
        <v>20</v>
      </c>
      <c r="F414" s="64" t="s">
        <v>15</v>
      </c>
      <c r="G414" s="64" t="s">
        <v>7971</v>
      </c>
      <c r="H414" s="64" t="s">
        <v>1420</v>
      </c>
    </row>
    <row r="415" spans="1:8" x14ac:dyDescent="0.3">
      <c r="A415" s="64" t="s">
        <v>904</v>
      </c>
      <c r="B415" s="64" t="s">
        <v>823</v>
      </c>
      <c r="C415" s="64" t="s">
        <v>1396</v>
      </c>
      <c r="D415" s="64" t="s">
        <v>1470</v>
      </c>
      <c r="E415" s="64" t="s">
        <v>16</v>
      </c>
      <c r="F415" s="64" t="s">
        <v>368</v>
      </c>
      <c r="G415" s="64" t="s">
        <v>7972</v>
      </c>
      <c r="H415" s="64" t="s">
        <v>7973</v>
      </c>
    </row>
    <row r="416" spans="1:8" x14ac:dyDescent="0.3">
      <c r="A416" s="64" t="s">
        <v>905</v>
      </c>
      <c r="B416" s="64" t="s">
        <v>823</v>
      </c>
      <c r="C416" s="64" t="s">
        <v>1396</v>
      </c>
      <c r="D416" s="64" t="s">
        <v>1470</v>
      </c>
      <c r="E416" s="64" t="s">
        <v>16</v>
      </c>
      <c r="F416" s="64" t="s">
        <v>369</v>
      </c>
      <c r="G416" s="64" t="s">
        <v>7974</v>
      </c>
      <c r="H416" s="64" t="s">
        <v>7975</v>
      </c>
    </row>
    <row r="417" spans="1:8" x14ac:dyDescent="0.3">
      <c r="A417" s="64" t="s">
        <v>906</v>
      </c>
      <c r="B417" s="64" t="s">
        <v>823</v>
      </c>
      <c r="C417" s="64" t="s">
        <v>1396</v>
      </c>
      <c r="D417" s="64" t="s">
        <v>1470</v>
      </c>
      <c r="E417" s="64" t="s">
        <v>16</v>
      </c>
      <c r="F417" s="64" t="s">
        <v>370</v>
      </c>
      <c r="G417" s="64" t="s">
        <v>7976</v>
      </c>
      <c r="H417" s="64" t="s">
        <v>7977</v>
      </c>
    </row>
    <row r="418" spans="1:8" x14ac:dyDescent="0.3">
      <c r="A418" s="64" t="s">
        <v>907</v>
      </c>
      <c r="B418" s="64" t="s">
        <v>823</v>
      </c>
      <c r="C418" s="64" t="s">
        <v>1396</v>
      </c>
      <c r="D418" s="64" t="s">
        <v>1470</v>
      </c>
      <c r="E418" s="64" t="s">
        <v>16</v>
      </c>
      <c r="F418" s="64" t="s">
        <v>371</v>
      </c>
      <c r="G418" s="64" t="s">
        <v>7978</v>
      </c>
      <c r="H418" s="64" t="s">
        <v>7979</v>
      </c>
    </row>
    <row r="419" spans="1:8" x14ac:dyDescent="0.3">
      <c r="A419" s="64" t="s">
        <v>908</v>
      </c>
      <c r="B419" s="64" t="s">
        <v>823</v>
      </c>
      <c r="C419" s="64" t="s">
        <v>1396</v>
      </c>
      <c r="D419" s="64" t="s">
        <v>1470</v>
      </c>
      <c r="E419" s="64" t="s">
        <v>16</v>
      </c>
      <c r="F419" s="64" t="s">
        <v>372</v>
      </c>
      <c r="G419" s="64" t="s">
        <v>7980</v>
      </c>
      <c r="H419" s="64" t="s">
        <v>7981</v>
      </c>
    </row>
    <row r="420" spans="1:8" x14ac:dyDescent="0.3">
      <c r="A420" s="64" t="s">
        <v>909</v>
      </c>
      <c r="B420" s="64" t="s">
        <v>823</v>
      </c>
      <c r="C420" s="64" t="s">
        <v>1396</v>
      </c>
      <c r="D420" s="64" t="s">
        <v>1470</v>
      </c>
      <c r="E420" s="64" t="s">
        <v>16</v>
      </c>
      <c r="F420" s="64" t="s">
        <v>373</v>
      </c>
      <c r="G420" s="64" t="s">
        <v>7982</v>
      </c>
      <c r="H420" s="64" t="s">
        <v>7983</v>
      </c>
    </row>
    <row r="421" spans="1:8" x14ac:dyDescent="0.3">
      <c r="A421" s="64" t="s">
        <v>910</v>
      </c>
      <c r="B421" s="64" t="s">
        <v>823</v>
      </c>
      <c r="C421" s="64" t="s">
        <v>1396</v>
      </c>
      <c r="D421" s="64" t="s">
        <v>1470</v>
      </c>
      <c r="E421" s="64" t="s">
        <v>16</v>
      </c>
      <c r="F421" s="64" t="s">
        <v>374</v>
      </c>
      <c r="G421" s="64" t="s">
        <v>7984</v>
      </c>
      <c r="H421" s="64" t="s">
        <v>7985</v>
      </c>
    </row>
    <row r="422" spans="1:8" x14ac:dyDescent="0.3">
      <c r="A422" s="64" t="s">
        <v>911</v>
      </c>
      <c r="B422" s="64" t="s">
        <v>823</v>
      </c>
      <c r="C422" s="64" t="s">
        <v>1396</v>
      </c>
      <c r="D422" s="64" t="s">
        <v>1470</v>
      </c>
      <c r="E422" s="64" t="s">
        <v>16</v>
      </c>
      <c r="F422" s="64" t="s">
        <v>375</v>
      </c>
      <c r="G422" s="64" t="s">
        <v>7986</v>
      </c>
      <c r="H422" s="64" t="s">
        <v>7987</v>
      </c>
    </row>
    <row r="423" spans="1:8" x14ac:dyDescent="0.3">
      <c r="A423" s="64" t="s">
        <v>912</v>
      </c>
      <c r="B423" s="64" t="s">
        <v>823</v>
      </c>
      <c r="C423" s="64" t="s">
        <v>1396</v>
      </c>
      <c r="D423" s="64" t="s">
        <v>1470</v>
      </c>
      <c r="E423" s="64" t="s">
        <v>16</v>
      </c>
      <c r="F423" s="64" t="s">
        <v>376</v>
      </c>
      <c r="G423" s="64" t="s">
        <v>7988</v>
      </c>
      <c r="H423" s="64" t="s">
        <v>7989</v>
      </c>
    </row>
    <row r="424" spans="1:8" x14ac:dyDescent="0.3">
      <c r="A424" s="64" t="s">
        <v>913</v>
      </c>
      <c r="B424" s="64" t="s">
        <v>823</v>
      </c>
      <c r="C424" s="64" t="s">
        <v>1396</v>
      </c>
      <c r="D424" s="64" t="s">
        <v>1470</v>
      </c>
      <c r="E424" s="64" t="s">
        <v>16</v>
      </c>
      <c r="F424" s="64" t="s">
        <v>377</v>
      </c>
      <c r="G424" s="64" t="s">
        <v>7990</v>
      </c>
      <c r="H424" s="64" t="s">
        <v>7991</v>
      </c>
    </row>
    <row r="425" spans="1:8" x14ac:dyDescent="0.3">
      <c r="A425" s="64" t="s">
        <v>914</v>
      </c>
      <c r="B425" s="64" t="s">
        <v>823</v>
      </c>
      <c r="C425" s="64" t="s">
        <v>1396</v>
      </c>
      <c r="D425" s="64" t="s">
        <v>1470</v>
      </c>
      <c r="E425" s="64" t="s">
        <v>16</v>
      </c>
      <c r="F425" s="64" t="s">
        <v>378</v>
      </c>
      <c r="G425" s="64" t="s">
        <v>7992</v>
      </c>
      <c r="H425" s="64" t="s">
        <v>7993</v>
      </c>
    </row>
    <row r="426" spans="1:8" x14ac:dyDescent="0.3">
      <c r="A426" s="64" t="s">
        <v>915</v>
      </c>
      <c r="B426" s="64" t="s">
        <v>823</v>
      </c>
      <c r="C426" s="64" t="s">
        <v>1396</v>
      </c>
      <c r="D426" s="64" t="s">
        <v>1470</v>
      </c>
      <c r="E426" s="64" t="s">
        <v>16</v>
      </c>
      <c r="F426" s="64" t="s">
        <v>379</v>
      </c>
      <c r="G426" s="64" t="s">
        <v>7994</v>
      </c>
      <c r="H426" s="64" t="s">
        <v>7995</v>
      </c>
    </row>
    <row r="427" spans="1:8" x14ac:dyDescent="0.3">
      <c r="A427" s="64" t="s">
        <v>916</v>
      </c>
      <c r="B427" s="64" t="s">
        <v>823</v>
      </c>
      <c r="C427" s="64" t="s">
        <v>1396</v>
      </c>
      <c r="D427" s="64" t="s">
        <v>1470</v>
      </c>
      <c r="E427" s="64" t="s">
        <v>16</v>
      </c>
      <c r="F427" s="64" t="s">
        <v>380</v>
      </c>
      <c r="G427" s="64" t="s">
        <v>7996</v>
      </c>
      <c r="H427" s="64" t="s">
        <v>7997</v>
      </c>
    </row>
    <row r="428" spans="1:8" x14ac:dyDescent="0.3">
      <c r="A428" s="64" t="s">
        <v>917</v>
      </c>
      <c r="B428" s="64" t="s">
        <v>823</v>
      </c>
      <c r="C428" s="64" t="s">
        <v>1396</v>
      </c>
      <c r="D428" s="64" t="s">
        <v>1470</v>
      </c>
      <c r="E428" s="64" t="s">
        <v>16</v>
      </c>
      <c r="F428" s="64" t="s">
        <v>381</v>
      </c>
      <c r="G428" s="64" t="s">
        <v>7998</v>
      </c>
      <c r="H428" s="64" t="s">
        <v>7999</v>
      </c>
    </row>
    <row r="429" spans="1:8" x14ac:dyDescent="0.3">
      <c r="A429" s="64" t="s">
        <v>918</v>
      </c>
      <c r="B429" s="64" t="s">
        <v>823</v>
      </c>
      <c r="C429" s="64" t="s">
        <v>1396</v>
      </c>
      <c r="D429" s="64" t="s">
        <v>1470</v>
      </c>
      <c r="E429" s="64" t="s">
        <v>16</v>
      </c>
      <c r="F429" s="64" t="s">
        <v>382</v>
      </c>
      <c r="G429" s="64" t="s">
        <v>8000</v>
      </c>
      <c r="H429" s="64" t="s">
        <v>8001</v>
      </c>
    </row>
    <row r="430" spans="1:8" x14ac:dyDescent="0.3">
      <c r="A430" s="64" t="s">
        <v>919</v>
      </c>
      <c r="B430" s="64" t="s">
        <v>823</v>
      </c>
      <c r="C430" s="64" t="s">
        <v>1396</v>
      </c>
      <c r="D430" s="64" t="s">
        <v>1470</v>
      </c>
      <c r="E430" s="64" t="s">
        <v>16</v>
      </c>
      <c r="F430" s="64" t="s">
        <v>383</v>
      </c>
      <c r="G430" s="64" t="s">
        <v>8002</v>
      </c>
      <c r="H430" s="64" t="s">
        <v>8003</v>
      </c>
    </row>
    <row r="431" spans="1:8" x14ac:dyDescent="0.3">
      <c r="A431" s="64" t="s">
        <v>920</v>
      </c>
      <c r="B431" s="64" t="s">
        <v>14</v>
      </c>
      <c r="C431" s="64" t="s">
        <v>1421</v>
      </c>
      <c r="D431" s="64" t="s">
        <v>4290</v>
      </c>
      <c r="E431" s="64" t="s">
        <v>20</v>
      </c>
      <c r="F431" s="64" t="s">
        <v>15</v>
      </c>
      <c r="G431" s="64" t="s">
        <v>8004</v>
      </c>
      <c r="H431" s="64" t="s">
        <v>1424</v>
      </c>
    </row>
    <row r="432" spans="1:8" x14ac:dyDescent="0.3">
      <c r="A432" s="64" t="s">
        <v>921</v>
      </c>
      <c r="B432" s="64" t="s">
        <v>14</v>
      </c>
      <c r="C432" s="64" t="s">
        <v>1421</v>
      </c>
      <c r="D432" s="64" t="s">
        <v>4290</v>
      </c>
      <c r="E432" s="64" t="s">
        <v>16</v>
      </c>
      <c r="F432" s="64" t="s">
        <v>368</v>
      </c>
      <c r="G432" s="64" t="s">
        <v>8005</v>
      </c>
      <c r="H432" s="64" t="s">
        <v>8006</v>
      </c>
    </row>
    <row r="433" spans="1:8" x14ac:dyDescent="0.3">
      <c r="A433" s="64" t="s">
        <v>922</v>
      </c>
      <c r="B433" s="64" t="s">
        <v>14</v>
      </c>
      <c r="C433" s="64" t="s">
        <v>1421</v>
      </c>
      <c r="D433" s="64" t="s">
        <v>4290</v>
      </c>
      <c r="E433" s="64" t="s">
        <v>16</v>
      </c>
      <c r="F433" s="64" t="s">
        <v>369</v>
      </c>
      <c r="G433" s="64" t="s">
        <v>8007</v>
      </c>
      <c r="H433" s="64" t="s">
        <v>8008</v>
      </c>
    </row>
    <row r="434" spans="1:8" x14ac:dyDescent="0.3">
      <c r="A434" s="64" t="s">
        <v>923</v>
      </c>
      <c r="B434" s="64" t="s">
        <v>14</v>
      </c>
      <c r="C434" s="64" t="s">
        <v>1421</v>
      </c>
      <c r="D434" s="64" t="s">
        <v>4290</v>
      </c>
      <c r="E434" s="64" t="s">
        <v>16</v>
      </c>
      <c r="F434" s="64" t="s">
        <v>370</v>
      </c>
      <c r="G434" s="64" t="s">
        <v>8009</v>
      </c>
      <c r="H434" s="64" t="s">
        <v>8010</v>
      </c>
    </row>
    <row r="435" spans="1:8" x14ac:dyDescent="0.3">
      <c r="A435" s="64" t="s">
        <v>924</v>
      </c>
      <c r="B435" s="64" t="s">
        <v>14</v>
      </c>
      <c r="C435" s="64" t="s">
        <v>1421</v>
      </c>
      <c r="D435" s="64" t="s">
        <v>4290</v>
      </c>
      <c r="E435" s="64" t="s">
        <v>16</v>
      </c>
      <c r="F435" s="64" t="s">
        <v>371</v>
      </c>
      <c r="G435" s="64" t="s">
        <v>8011</v>
      </c>
      <c r="H435" s="64" t="s">
        <v>8012</v>
      </c>
    </row>
    <row r="436" spans="1:8" x14ac:dyDescent="0.3">
      <c r="A436" s="64" t="s">
        <v>925</v>
      </c>
      <c r="B436" s="64" t="s">
        <v>14</v>
      </c>
      <c r="C436" s="64" t="s">
        <v>1421</v>
      </c>
      <c r="D436" s="64" t="s">
        <v>4290</v>
      </c>
      <c r="E436" s="64" t="s">
        <v>16</v>
      </c>
      <c r="F436" s="64" t="s">
        <v>372</v>
      </c>
      <c r="G436" s="64" t="s">
        <v>8013</v>
      </c>
      <c r="H436" s="64" t="s">
        <v>8014</v>
      </c>
    </row>
    <row r="437" spans="1:8" x14ac:dyDescent="0.3">
      <c r="A437" s="64" t="s">
        <v>926</v>
      </c>
      <c r="B437" s="64" t="s">
        <v>14</v>
      </c>
      <c r="C437" s="64" t="s">
        <v>1421</v>
      </c>
      <c r="D437" s="64" t="s">
        <v>4290</v>
      </c>
      <c r="E437" s="64" t="s">
        <v>16</v>
      </c>
      <c r="F437" s="64" t="s">
        <v>373</v>
      </c>
      <c r="G437" s="64" t="s">
        <v>8015</v>
      </c>
      <c r="H437" s="64" t="s">
        <v>8016</v>
      </c>
    </row>
    <row r="438" spans="1:8" x14ac:dyDescent="0.3">
      <c r="A438" s="64" t="s">
        <v>927</v>
      </c>
      <c r="B438" s="64" t="s">
        <v>14</v>
      </c>
      <c r="C438" s="64" t="s">
        <v>1421</v>
      </c>
      <c r="D438" s="64" t="s">
        <v>4290</v>
      </c>
      <c r="E438" s="64" t="s">
        <v>16</v>
      </c>
      <c r="F438" s="64" t="s">
        <v>374</v>
      </c>
      <c r="G438" s="64" t="s">
        <v>8017</v>
      </c>
      <c r="H438" s="64" t="s">
        <v>8018</v>
      </c>
    </row>
    <row r="439" spans="1:8" x14ac:dyDescent="0.3">
      <c r="A439" s="64" t="s">
        <v>928</v>
      </c>
      <c r="B439" s="64" t="s">
        <v>14</v>
      </c>
      <c r="C439" s="64" t="s">
        <v>1421</v>
      </c>
      <c r="D439" s="64" t="s">
        <v>4290</v>
      </c>
      <c r="E439" s="64" t="s">
        <v>16</v>
      </c>
      <c r="F439" s="64" t="s">
        <v>375</v>
      </c>
      <c r="G439" s="64" t="s">
        <v>8019</v>
      </c>
      <c r="H439" s="64" t="s">
        <v>8020</v>
      </c>
    </row>
    <row r="440" spans="1:8" x14ac:dyDescent="0.3">
      <c r="A440" s="64" t="s">
        <v>929</v>
      </c>
      <c r="B440" s="64" t="s">
        <v>14</v>
      </c>
      <c r="C440" s="64" t="s">
        <v>1421</v>
      </c>
      <c r="D440" s="64" t="s">
        <v>4290</v>
      </c>
      <c r="E440" s="64" t="s">
        <v>16</v>
      </c>
      <c r="F440" s="64" t="s">
        <v>376</v>
      </c>
      <c r="G440" s="64" t="s">
        <v>8021</v>
      </c>
      <c r="H440" s="64" t="s">
        <v>8022</v>
      </c>
    </row>
    <row r="441" spans="1:8" x14ac:dyDescent="0.3">
      <c r="A441" s="64" t="s">
        <v>930</v>
      </c>
      <c r="B441" s="64" t="s">
        <v>14</v>
      </c>
      <c r="C441" s="64" t="s">
        <v>1421</v>
      </c>
      <c r="D441" s="64" t="s">
        <v>4290</v>
      </c>
      <c r="E441" s="64" t="s">
        <v>16</v>
      </c>
      <c r="F441" s="64" t="s">
        <v>377</v>
      </c>
      <c r="G441" s="64" t="s">
        <v>8023</v>
      </c>
      <c r="H441" s="64" t="s">
        <v>8024</v>
      </c>
    </row>
    <row r="442" spans="1:8" x14ac:dyDescent="0.3">
      <c r="A442" s="64" t="s">
        <v>931</v>
      </c>
      <c r="B442" s="64" t="s">
        <v>14</v>
      </c>
      <c r="C442" s="64" t="s">
        <v>1421</v>
      </c>
      <c r="D442" s="64" t="s">
        <v>4290</v>
      </c>
      <c r="E442" s="64" t="s">
        <v>16</v>
      </c>
      <c r="F442" s="64" t="s">
        <v>378</v>
      </c>
      <c r="G442" s="64" t="s">
        <v>8025</v>
      </c>
      <c r="H442" s="64" t="s">
        <v>8026</v>
      </c>
    </row>
    <row r="443" spans="1:8" x14ac:dyDescent="0.3">
      <c r="A443" s="64" t="s">
        <v>932</v>
      </c>
      <c r="B443" s="64" t="s">
        <v>14</v>
      </c>
      <c r="C443" s="64" t="s">
        <v>1421</v>
      </c>
      <c r="D443" s="64" t="s">
        <v>4290</v>
      </c>
      <c r="E443" s="64" t="s">
        <v>16</v>
      </c>
      <c r="F443" s="64" t="s">
        <v>379</v>
      </c>
      <c r="G443" s="64" t="s">
        <v>8027</v>
      </c>
      <c r="H443" s="64" t="s">
        <v>8028</v>
      </c>
    </row>
    <row r="444" spans="1:8" x14ac:dyDescent="0.3">
      <c r="A444" s="64" t="s">
        <v>933</v>
      </c>
      <c r="B444" s="64" t="s">
        <v>14</v>
      </c>
      <c r="C444" s="64" t="s">
        <v>1421</v>
      </c>
      <c r="D444" s="64" t="s">
        <v>4290</v>
      </c>
      <c r="E444" s="64" t="s">
        <v>16</v>
      </c>
      <c r="F444" s="64" t="s">
        <v>380</v>
      </c>
      <c r="G444" s="64" t="s">
        <v>8029</v>
      </c>
      <c r="H444" s="64" t="s">
        <v>8030</v>
      </c>
    </row>
    <row r="445" spans="1:8" x14ac:dyDescent="0.3">
      <c r="A445" s="64" t="s">
        <v>934</v>
      </c>
      <c r="B445" s="64" t="s">
        <v>14</v>
      </c>
      <c r="C445" s="64" t="s">
        <v>1421</v>
      </c>
      <c r="D445" s="64" t="s">
        <v>4290</v>
      </c>
      <c r="E445" s="64" t="s">
        <v>16</v>
      </c>
      <c r="F445" s="64" t="s">
        <v>381</v>
      </c>
      <c r="G445" s="64" t="s">
        <v>8031</v>
      </c>
      <c r="H445" s="64" t="s">
        <v>8032</v>
      </c>
    </row>
    <row r="446" spans="1:8" x14ac:dyDescent="0.3">
      <c r="A446" s="64" t="s">
        <v>935</v>
      </c>
      <c r="B446" s="64" t="s">
        <v>14</v>
      </c>
      <c r="C446" s="64" t="s">
        <v>1421</v>
      </c>
      <c r="D446" s="64" t="s">
        <v>4290</v>
      </c>
      <c r="E446" s="64" t="s">
        <v>16</v>
      </c>
      <c r="F446" s="64" t="s">
        <v>382</v>
      </c>
      <c r="G446" s="64" t="s">
        <v>8033</v>
      </c>
      <c r="H446" s="64" t="s">
        <v>8034</v>
      </c>
    </row>
    <row r="447" spans="1:8" x14ac:dyDescent="0.3">
      <c r="A447" s="64" t="s">
        <v>936</v>
      </c>
      <c r="B447" s="64" t="s">
        <v>14</v>
      </c>
      <c r="C447" s="64" t="s">
        <v>1421</v>
      </c>
      <c r="D447" s="64" t="s">
        <v>4290</v>
      </c>
      <c r="E447" s="64" t="s">
        <v>16</v>
      </c>
      <c r="F447" s="64" t="s">
        <v>383</v>
      </c>
      <c r="G447" s="64" t="s">
        <v>8035</v>
      </c>
      <c r="H447" s="64" t="s">
        <v>8036</v>
      </c>
    </row>
    <row r="448" spans="1:8" x14ac:dyDescent="0.3">
      <c r="A448" s="64" t="s">
        <v>937</v>
      </c>
      <c r="B448" s="64" t="s">
        <v>14</v>
      </c>
      <c r="C448" s="64" t="s">
        <v>1421</v>
      </c>
      <c r="D448" s="64" t="s">
        <v>4290</v>
      </c>
      <c r="E448" s="64" t="s">
        <v>20</v>
      </c>
      <c r="F448" s="64" t="s">
        <v>15</v>
      </c>
      <c r="G448" s="64" t="s">
        <v>8037</v>
      </c>
      <c r="H448" s="64" t="s">
        <v>5150</v>
      </c>
    </row>
    <row r="449" spans="1:8" x14ac:dyDescent="0.3">
      <c r="A449" s="64" t="s">
        <v>938</v>
      </c>
      <c r="B449" s="64" t="s">
        <v>14</v>
      </c>
      <c r="C449" s="64" t="s">
        <v>1421</v>
      </c>
      <c r="D449" s="64" t="s">
        <v>4290</v>
      </c>
      <c r="E449" s="64" t="s">
        <v>16</v>
      </c>
      <c r="F449" s="64" t="s">
        <v>368</v>
      </c>
      <c r="G449" s="64" t="s">
        <v>8038</v>
      </c>
      <c r="H449" s="64" t="s">
        <v>8039</v>
      </c>
    </row>
    <row r="450" spans="1:8" x14ac:dyDescent="0.3">
      <c r="A450" s="64" t="s">
        <v>1563</v>
      </c>
      <c r="B450" s="64" t="s">
        <v>14</v>
      </c>
      <c r="C450" s="64" t="s">
        <v>1421</v>
      </c>
      <c r="D450" s="64" t="s">
        <v>4290</v>
      </c>
      <c r="E450" s="64" t="s">
        <v>16</v>
      </c>
      <c r="F450" s="64" t="s">
        <v>369</v>
      </c>
      <c r="G450" s="64" t="s">
        <v>8040</v>
      </c>
      <c r="H450" s="64" t="s">
        <v>8041</v>
      </c>
    </row>
    <row r="451" spans="1:8" x14ac:dyDescent="0.3">
      <c r="A451" s="64" t="s">
        <v>1564</v>
      </c>
      <c r="B451" s="64" t="s">
        <v>14</v>
      </c>
      <c r="C451" s="64" t="s">
        <v>1421</v>
      </c>
      <c r="D451" s="64" t="s">
        <v>4290</v>
      </c>
      <c r="E451" s="64" t="s">
        <v>16</v>
      </c>
      <c r="F451" s="64" t="s">
        <v>370</v>
      </c>
      <c r="G451" s="64" t="s">
        <v>8042</v>
      </c>
      <c r="H451" s="64" t="s">
        <v>8043</v>
      </c>
    </row>
    <row r="452" spans="1:8" x14ac:dyDescent="0.3">
      <c r="A452" s="64" t="s">
        <v>1565</v>
      </c>
      <c r="B452" s="64" t="s">
        <v>14</v>
      </c>
      <c r="C452" s="64" t="s">
        <v>1421</v>
      </c>
      <c r="D452" s="64" t="s">
        <v>4290</v>
      </c>
      <c r="E452" s="64" t="s">
        <v>16</v>
      </c>
      <c r="F452" s="64" t="s">
        <v>371</v>
      </c>
      <c r="G452" s="64" t="s">
        <v>8044</v>
      </c>
      <c r="H452" s="64" t="s">
        <v>8045</v>
      </c>
    </row>
    <row r="453" spans="1:8" x14ac:dyDescent="0.3">
      <c r="A453" s="64" t="s">
        <v>1566</v>
      </c>
      <c r="B453" s="64" t="s">
        <v>14</v>
      </c>
      <c r="C453" s="64" t="s">
        <v>1421</v>
      </c>
      <c r="D453" s="64" t="s">
        <v>4290</v>
      </c>
      <c r="E453" s="64" t="s">
        <v>16</v>
      </c>
      <c r="F453" s="64" t="s">
        <v>372</v>
      </c>
      <c r="G453" s="64" t="s">
        <v>8046</v>
      </c>
      <c r="H453" s="64" t="s">
        <v>8047</v>
      </c>
    </row>
    <row r="454" spans="1:8" x14ac:dyDescent="0.3">
      <c r="A454" s="64" t="s">
        <v>1567</v>
      </c>
      <c r="B454" s="64" t="s">
        <v>14</v>
      </c>
      <c r="C454" s="64" t="s">
        <v>1421</v>
      </c>
      <c r="D454" s="64" t="s">
        <v>4290</v>
      </c>
      <c r="E454" s="64" t="s">
        <v>16</v>
      </c>
      <c r="F454" s="64" t="s">
        <v>373</v>
      </c>
      <c r="G454" s="64" t="s">
        <v>8048</v>
      </c>
      <c r="H454" s="64" t="s">
        <v>5174</v>
      </c>
    </row>
    <row r="455" spans="1:8" x14ac:dyDescent="0.3">
      <c r="A455" s="64" t="s">
        <v>1568</v>
      </c>
      <c r="B455" s="64" t="s">
        <v>14</v>
      </c>
      <c r="C455" s="64" t="s">
        <v>1421</v>
      </c>
      <c r="D455" s="64" t="s">
        <v>4290</v>
      </c>
      <c r="E455" s="64" t="s">
        <v>16</v>
      </c>
      <c r="F455" s="64" t="s">
        <v>374</v>
      </c>
      <c r="G455" s="64" t="s">
        <v>8049</v>
      </c>
      <c r="H455" s="64" t="s">
        <v>8050</v>
      </c>
    </row>
    <row r="456" spans="1:8" x14ac:dyDescent="0.3">
      <c r="A456" s="64" t="s">
        <v>1569</v>
      </c>
      <c r="B456" s="64" t="s">
        <v>14</v>
      </c>
      <c r="C456" s="64" t="s">
        <v>1421</v>
      </c>
      <c r="D456" s="64" t="s">
        <v>4290</v>
      </c>
      <c r="E456" s="64" t="s">
        <v>16</v>
      </c>
      <c r="F456" s="64" t="s">
        <v>375</v>
      </c>
      <c r="G456" s="64" t="s">
        <v>8051</v>
      </c>
      <c r="H456" s="64" t="s">
        <v>8052</v>
      </c>
    </row>
    <row r="457" spans="1:8" x14ac:dyDescent="0.3">
      <c r="A457" s="64" t="s">
        <v>1399</v>
      </c>
      <c r="B457" s="64" t="s">
        <v>14</v>
      </c>
      <c r="C457" s="64" t="s">
        <v>3606</v>
      </c>
      <c r="D457" s="64" t="s">
        <v>4290</v>
      </c>
      <c r="E457" s="64" t="s">
        <v>20</v>
      </c>
      <c r="F457" s="64" t="s">
        <v>15</v>
      </c>
      <c r="G457" s="64" t="s">
        <v>424</v>
      </c>
      <c r="H457" s="64" t="s">
        <v>5337</v>
      </c>
    </row>
    <row r="458" spans="1:8" x14ac:dyDescent="0.3">
      <c r="A458" s="64" t="s">
        <v>1570</v>
      </c>
      <c r="B458" s="64" t="s">
        <v>14</v>
      </c>
      <c r="C458" s="64" t="s">
        <v>1421</v>
      </c>
      <c r="D458" s="64" t="s">
        <v>4290</v>
      </c>
      <c r="E458" s="64" t="s">
        <v>16</v>
      </c>
      <c r="F458" s="64" t="s">
        <v>376</v>
      </c>
      <c r="G458" s="64" t="s">
        <v>8053</v>
      </c>
      <c r="H458" s="64" t="s">
        <v>8054</v>
      </c>
    </row>
    <row r="459" spans="1:8" x14ac:dyDescent="0.3">
      <c r="A459" s="64" t="s">
        <v>1571</v>
      </c>
      <c r="B459" s="64" t="s">
        <v>14</v>
      </c>
      <c r="C459" s="64" t="s">
        <v>1421</v>
      </c>
      <c r="D459" s="64" t="s">
        <v>4290</v>
      </c>
      <c r="E459" s="64" t="s">
        <v>16</v>
      </c>
      <c r="F459" s="64" t="s">
        <v>377</v>
      </c>
      <c r="G459" s="64" t="s">
        <v>8055</v>
      </c>
      <c r="H459" s="64" t="s">
        <v>8056</v>
      </c>
    </row>
    <row r="460" spans="1:8" x14ac:dyDescent="0.3">
      <c r="A460" s="64" t="s">
        <v>1572</v>
      </c>
      <c r="B460" s="64" t="s">
        <v>14</v>
      </c>
      <c r="C460" s="64" t="s">
        <v>1421</v>
      </c>
      <c r="D460" s="64" t="s">
        <v>4290</v>
      </c>
      <c r="E460" s="64" t="s">
        <v>16</v>
      </c>
      <c r="F460" s="64" t="s">
        <v>378</v>
      </c>
      <c r="G460" s="64" t="s">
        <v>8057</v>
      </c>
      <c r="H460" s="64" t="s">
        <v>8058</v>
      </c>
    </row>
    <row r="461" spans="1:8" x14ac:dyDescent="0.3">
      <c r="A461" s="64" t="s">
        <v>1573</v>
      </c>
      <c r="B461" s="64" t="s">
        <v>14</v>
      </c>
      <c r="C461" s="64" t="s">
        <v>1421</v>
      </c>
      <c r="D461" s="64" t="s">
        <v>4290</v>
      </c>
      <c r="E461" s="64" t="s">
        <v>16</v>
      </c>
      <c r="F461" s="64" t="s">
        <v>379</v>
      </c>
      <c r="G461" s="64" t="s">
        <v>8059</v>
      </c>
      <c r="H461" s="64" t="s">
        <v>8060</v>
      </c>
    </row>
    <row r="462" spans="1:8" x14ac:dyDescent="0.3">
      <c r="A462" s="64" t="s">
        <v>1574</v>
      </c>
      <c r="B462" s="64" t="s">
        <v>14</v>
      </c>
      <c r="C462" s="64" t="s">
        <v>1421</v>
      </c>
      <c r="D462" s="64" t="s">
        <v>4290</v>
      </c>
      <c r="E462" s="64" t="s">
        <v>16</v>
      </c>
      <c r="F462" s="64" t="s">
        <v>380</v>
      </c>
      <c r="G462" s="64" t="s">
        <v>8061</v>
      </c>
      <c r="H462" s="64" t="s">
        <v>8062</v>
      </c>
    </row>
    <row r="463" spans="1:8" x14ac:dyDescent="0.3">
      <c r="A463" s="64" t="s">
        <v>1575</v>
      </c>
      <c r="B463" s="64" t="s">
        <v>14</v>
      </c>
      <c r="C463" s="64" t="s">
        <v>1421</v>
      </c>
      <c r="D463" s="64" t="s">
        <v>4290</v>
      </c>
      <c r="E463" s="64" t="s">
        <v>16</v>
      </c>
      <c r="F463" s="64" t="s">
        <v>381</v>
      </c>
      <c r="G463" s="64" t="s">
        <v>8063</v>
      </c>
      <c r="H463" s="64" t="s">
        <v>8064</v>
      </c>
    </row>
    <row r="464" spans="1:8" x14ac:dyDescent="0.3">
      <c r="A464" s="64" t="s">
        <v>1576</v>
      </c>
      <c r="B464" s="64" t="s">
        <v>14</v>
      </c>
      <c r="C464" s="64" t="s">
        <v>1421</v>
      </c>
      <c r="D464" s="64" t="s">
        <v>4290</v>
      </c>
      <c r="E464" s="64" t="s">
        <v>16</v>
      </c>
      <c r="F464" s="64" t="s">
        <v>382</v>
      </c>
      <c r="G464" s="64" t="s">
        <v>8065</v>
      </c>
      <c r="H464" s="64" t="s">
        <v>8066</v>
      </c>
    </row>
    <row r="465" spans="1:8" x14ac:dyDescent="0.3">
      <c r="A465" s="64" t="s">
        <v>1577</v>
      </c>
      <c r="B465" s="64" t="s">
        <v>14</v>
      </c>
      <c r="C465" s="64" t="s">
        <v>1421</v>
      </c>
      <c r="D465" s="64" t="s">
        <v>4290</v>
      </c>
      <c r="E465" s="64" t="s">
        <v>16</v>
      </c>
      <c r="F465" s="64" t="s">
        <v>383</v>
      </c>
      <c r="G465" s="64" t="s">
        <v>8067</v>
      </c>
      <c r="H465" s="64" t="s">
        <v>8068</v>
      </c>
    </row>
    <row r="466" spans="1:8" x14ac:dyDescent="0.3">
      <c r="A466" s="64" t="s">
        <v>1578</v>
      </c>
      <c r="B466" s="64" t="s">
        <v>14</v>
      </c>
      <c r="C466" s="64" t="s">
        <v>1421</v>
      </c>
      <c r="D466" s="64" t="s">
        <v>4290</v>
      </c>
      <c r="E466" s="64" t="s">
        <v>20</v>
      </c>
      <c r="F466" s="64" t="s">
        <v>15</v>
      </c>
      <c r="G466" s="64" t="s">
        <v>8069</v>
      </c>
      <c r="H466" s="64" t="s">
        <v>1426</v>
      </c>
    </row>
    <row r="467" spans="1:8" x14ac:dyDescent="0.3">
      <c r="A467" s="64" t="s">
        <v>958</v>
      </c>
      <c r="B467" s="64" t="s">
        <v>14</v>
      </c>
      <c r="C467" s="64" t="s">
        <v>1421</v>
      </c>
      <c r="D467" s="64" t="s">
        <v>4290</v>
      </c>
      <c r="E467" s="64" t="s">
        <v>16</v>
      </c>
      <c r="F467" s="64" t="s">
        <v>368</v>
      </c>
      <c r="G467" s="64" t="s">
        <v>8070</v>
      </c>
      <c r="H467" s="64" t="s">
        <v>8071</v>
      </c>
    </row>
    <row r="468" spans="1:8" x14ac:dyDescent="0.3">
      <c r="A468" s="64" t="s">
        <v>959</v>
      </c>
      <c r="B468" s="64" t="s">
        <v>14</v>
      </c>
      <c r="C468" s="64" t="s">
        <v>1421</v>
      </c>
      <c r="D468" s="64" t="s">
        <v>4290</v>
      </c>
      <c r="E468" s="64" t="s">
        <v>16</v>
      </c>
      <c r="F468" s="64" t="s">
        <v>369</v>
      </c>
      <c r="G468" s="64" t="s">
        <v>8072</v>
      </c>
      <c r="H468" s="64" t="s">
        <v>8073</v>
      </c>
    </row>
    <row r="469" spans="1:8" x14ac:dyDescent="0.3">
      <c r="A469" s="64" t="s">
        <v>960</v>
      </c>
      <c r="B469" s="64" t="s">
        <v>14</v>
      </c>
      <c r="C469" s="64" t="s">
        <v>1421</v>
      </c>
      <c r="D469" s="64" t="s">
        <v>4290</v>
      </c>
      <c r="E469" s="64" t="s">
        <v>16</v>
      </c>
      <c r="F469" s="64" t="s">
        <v>370</v>
      </c>
      <c r="G469" s="64" t="s">
        <v>8074</v>
      </c>
      <c r="H469" s="64" t="s">
        <v>8075</v>
      </c>
    </row>
    <row r="470" spans="1:8" x14ac:dyDescent="0.3">
      <c r="A470" s="64" t="s">
        <v>961</v>
      </c>
      <c r="B470" s="64" t="s">
        <v>14</v>
      </c>
      <c r="C470" s="64" t="s">
        <v>1421</v>
      </c>
      <c r="D470" s="64" t="s">
        <v>4290</v>
      </c>
      <c r="E470" s="64" t="s">
        <v>16</v>
      </c>
      <c r="F470" s="64" t="s">
        <v>371</v>
      </c>
      <c r="G470" s="64" t="s">
        <v>8076</v>
      </c>
      <c r="H470" s="64" t="s">
        <v>8077</v>
      </c>
    </row>
    <row r="471" spans="1:8" x14ac:dyDescent="0.3">
      <c r="A471" s="64" t="s">
        <v>962</v>
      </c>
      <c r="B471" s="64" t="s">
        <v>14</v>
      </c>
      <c r="C471" s="64" t="s">
        <v>1421</v>
      </c>
      <c r="D471" s="64" t="s">
        <v>4290</v>
      </c>
      <c r="E471" s="64" t="s">
        <v>16</v>
      </c>
      <c r="F471" s="64" t="s">
        <v>372</v>
      </c>
      <c r="G471" s="64" t="s">
        <v>8078</v>
      </c>
      <c r="H471" s="64" t="s">
        <v>8079</v>
      </c>
    </row>
    <row r="472" spans="1:8" x14ac:dyDescent="0.3">
      <c r="A472" s="64" t="s">
        <v>963</v>
      </c>
      <c r="B472" s="64" t="s">
        <v>14</v>
      </c>
      <c r="C472" s="64" t="s">
        <v>1421</v>
      </c>
      <c r="D472" s="64" t="s">
        <v>4290</v>
      </c>
      <c r="E472" s="64" t="s">
        <v>16</v>
      </c>
      <c r="F472" s="64" t="s">
        <v>373</v>
      </c>
      <c r="G472" s="64" t="s">
        <v>8080</v>
      </c>
      <c r="H472" s="64" t="s">
        <v>8081</v>
      </c>
    </row>
    <row r="473" spans="1:8" x14ac:dyDescent="0.3">
      <c r="A473" s="64" t="s">
        <v>964</v>
      </c>
      <c r="B473" s="64" t="s">
        <v>14</v>
      </c>
      <c r="C473" s="64" t="s">
        <v>1421</v>
      </c>
      <c r="D473" s="64" t="s">
        <v>4290</v>
      </c>
      <c r="E473" s="64" t="s">
        <v>16</v>
      </c>
      <c r="F473" s="64" t="s">
        <v>374</v>
      </c>
      <c r="G473" s="64" t="s">
        <v>8082</v>
      </c>
      <c r="H473" s="64" t="s">
        <v>8083</v>
      </c>
    </row>
    <row r="474" spans="1:8" x14ac:dyDescent="0.3">
      <c r="A474" s="64" t="s">
        <v>965</v>
      </c>
      <c r="B474" s="64" t="s">
        <v>14</v>
      </c>
      <c r="C474" s="64" t="s">
        <v>1421</v>
      </c>
      <c r="D474" s="64" t="s">
        <v>4290</v>
      </c>
      <c r="E474" s="64" t="s">
        <v>16</v>
      </c>
      <c r="F474" s="64" t="s">
        <v>375</v>
      </c>
      <c r="G474" s="64" t="s">
        <v>8084</v>
      </c>
      <c r="H474" s="64" t="s">
        <v>8085</v>
      </c>
    </row>
    <row r="475" spans="1:8" x14ac:dyDescent="0.3">
      <c r="A475" s="64" t="s">
        <v>966</v>
      </c>
      <c r="B475" s="64" t="s">
        <v>14</v>
      </c>
      <c r="C475" s="64" t="s">
        <v>1421</v>
      </c>
      <c r="D475" s="64" t="s">
        <v>4290</v>
      </c>
      <c r="E475" s="64" t="s">
        <v>16</v>
      </c>
      <c r="F475" s="64" t="s">
        <v>376</v>
      </c>
      <c r="G475" s="64" t="s">
        <v>8086</v>
      </c>
      <c r="H475" s="64" t="s">
        <v>8087</v>
      </c>
    </row>
    <row r="476" spans="1:8" x14ac:dyDescent="0.3">
      <c r="A476" s="64" t="s">
        <v>967</v>
      </c>
      <c r="B476" s="64" t="s">
        <v>14</v>
      </c>
      <c r="C476" s="64" t="s">
        <v>1421</v>
      </c>
      <c r="D476" s="64" t="s">
        <v>4290</v>
      </c>
      <c r="E476" s="64" t="s">
        <v>16</v>
      </c>
      <c r="F476" s="64" t="s">
        <v>377</v>
      </c>
      <c r="G476" s="64" t="s">
        <v>8088</v>
      </c>
      <c r="H476" s="64" t="s">
        <v>8089</v>
      </c>
    </row>
    <row r="477" spans="1:8" x14ac:dyDescent="0.3">
      <c r="A477" s="64" t="s">
        <v>968</v>
      </c>
      <c r="B477" s="64" t="s">
        <v>14</v>
      </c>
      <c r="C477" s="64" t="s">
        <v>1421</v>
      </c>
      <c r="D477" s="64" t="s">
        <v>4290</v>
      </c>
      <c r="E477" s="64" t="s">
        <v>16</v>
      </c>
      <c r="F477" s="64" t="s">
        <v>378</v>
      </c>
      <c r="G477" s="64" t="s">
        <v>8090</v>
      </c>
      <c r="H477" s="64" t="s">
        <v>8091</v>
      </c>
    </row>
    <row r="478" spans="1:8" x14ac:dyDescent="0.3">
      <c r="A478" s="64" t="s">
        <v>969</v>
      </c>
      <c r="B478" s="64" t="s">
        <v>14</v>
      </c>
      <c r="C478" s="64" t="s">
        <v>1421</v>
      </c>
      <c r="D478" s="64" t="s">
        <v>4290</v>
      </c>
      <c r="E478" s="64" t="s">
        <v>16</v>
      </c>
      <c r="F478" s="64" t="s">
        <v>379</v>
      </c>
      <c r="G478" s="64" t="s">
        <v>8092</v>
      </c>
      <c r="H478" s="64" t="s">
        <v>8093</v>
      </c>
    </row>
    <row r="479" spans="1:8" x14ac:dyDescent="0.3">
      <c r="A479" s="64" t="s">
        <v>970</v>
      </c>
      <c r="B479" s="64" t="s">
        <v>14</v>
      </c>
      <c r="C479" s="64" t="s">
        <v>1421</v>
      </c>
      <c r="D479" s="64" t="s">
        <v>4290</v>
      </c>
      <c r="E479" s="64" t="s">
        <v>16</v>
      </c>
      <c r="F479" s="64" t="s">
        <v>380</v>
      </c>
      <c r="G479" s="64" t="s">
        <v>8094</v>
      </c>
      <c r="H479" s="64" t="s">
        <v>8095</v>
      </c>
    </row>
    <row r="480" spans="1:8" x14ac:dyDescent="0.3">
      <c r="A480" s="64" t="s">
        <v>971</v>
      </c>
      <c r="B480" s="64" t="s">
        <v>14</v>
      </c>
      <c r="C480" s="64" t="s">
        <v>1421</v>
      </c>
      <c r="D480" s="64" t="s">
        <v>4290</v>
      </c>
      <c r="E480" s="64" t="s">
        <v>16</v>
      </c>
      <c r="F480" s="64" t="s">
        <v>381</v>
      </c>
      <c r="G480" s="64" t="s">
        <v>8096</v>
      </c>
      <c r="H480" s="64" t="s">
        <v>8097</v>
      </c>
    </row>
    <row r="481" spans="1:8" x14ac:dyDescent="0.3">
      <c r="A481" s="64" t="s">
        <v>972</v>
      </c>
      <c r="B481" s="64" t="s">
        <v>14</v>
      </c>
      <c r="C481" s="64" t="s">
        <v>1421</v>
      </c>
      <c r="D481" s="64" t="s">
        <v>4290</v>
      </c>
      <c r="E481" s="64" t="s">
        <v>16</v>
      </c>
      <c r="F481" s="64" t="s">
        <v>382</v>
      </c>
      <c r="G481" s="64" t="s">
        <v>8098</v>
      </c>
      <c r="H481" s="64" t="s">
        <v>8099</v>
      </c>
    </row>
    <row r="482" spans="1:8" x14ac:dyDescent="0.3">
      <c r="A482" s="64" t="s">
        <v>973</v>
      </c>
      <c r="B482" s="64" t="s">
        <v>14</v>
      </c>
      <c r="C482" s="64" t="s">
        <v>1421</v>
      </c>
      <c r="D482" s="64" t="s">
        <v>4290</v>
      </c>
      <c r="E482" s="64" t="s">
        <v>16</v>
      </c>
      <c r="F482" s="64" t="s">
        <v>383</v>
      </c>
      <c r="G482" s="64" t="s">
        <v>8100</v>
      </c>
      <c r="H482" s="64" t="s">
        <v>8101</v>
      </c>
    </row>
    <row r="483" spans="1:8" x14ac:dyDescent="0.3">
      <c r="A483" s="64" t="s">
        <v>974</v>
      </c>
      <c r="B483" s="64" t="s">
        <v>14</v>
      </c>
      <c r="C483" s="64" t="s">
        <v>3607</v>
      </c>
      <c r="D483" s="64" t="s">
        <v>4290</v>
      </c>
      <c r="E483" s="64" t="s">
        <v>20</v>
      </c>
      <c r="F483" s="64" t="s">
        <v>15</v>
      </c>
      <c r="G483" s="64" t="s">
        <v>8102</v>
      </c>
      <c r="H483" s="64" t="s">
        <v>1430</v>
      </c>
    </row>
    <row r="484" spans="1:8" x14ac:dyDescent="0.3">
      <c r="A484" s="64" t="s">
        <v>975</v>
      </c>
      <c r="B484" s="64" t="s">
        <v>14</v>
      </c>
      <c r="C484" s="64" t="s">
        <v>3607</v>
      </c>
      <c r="D484" s="64" t="s">
        <v>4290</v>
      </c>
      <c r="E484" s="64" t="s">
        <v>16</v>
      </c>
      <c r="F484" s="64" t="s">
        <v>368</v>
      </c>
      <c r="G484" s="64" t="s">
        <v>8103</v>
      </c>
      <c r="H484" s="64" t="s">
        <v>8104</v>
      </c>
    </row>
    <row r="485" spans="1:8" x14ac:dyDescent="0.3">
      <c r="A485" s="64" t="s">
        <v>976</v>
      </c>
      <c r="B485" s="64" t="s">
        <v>14</v>
      </c>
      <c r="C485" s="64" t="s">
        <v>3607</v>
      </c>
      <c r="D485" s="64" t="s">
        <v>4290</v>
      </c>
      <c r="E485" s="64" t="s">
        <v>16</v>
      </c>
      <c r="F485" s="64" t="s">
        <v>369</v>
      </c>
      <c r="G485" s="64" t="s">
        <v>8105</v>
      </c>
      <c r="H485" s="64" t="s">
        <v>8106</v>
      </c>
    </row>
    <row r="486" spans="1:8" x14ac:dyDescent="0.3">
      <c r="A486" s="64" t="s">
        <v>977</v>
      </c>
      <c r="B486" s="64" t="s">
        <v>14</v>
      </c>
      <c r="C486" s="64" t="s">
        <v>3607</v>
      </c>
      <c r="D486" s="64" t="s">
        <v>4290</v>
      </c>
      <c r="E486" s="64" t="s">
        <v>16</v>
      </c>
      <c r="F486" s="64" t="s">
        <v>370</v>
      </c>
      <c r="G486" s="64" t="s">
        <v>8107</v>
      </c>
      <c r="H486" s="64" t="s">
        <v>8108</v>
      </c>
    </row>
    <row r="487" spans="1:8" x14ac:dyDescent="0.3">
      <c r="A487" s="64" t="s">
        <v>978</v>
      </c>
      <c r="B487" s="64" t="s">
        <v>14</v>
      </c>
      <c r="C487" s="64" t="s">
        <v>3607</v>
      </c>
      <c r="D487" s="64" t="s">
        <v>4290</v>
      </c>
      <c r="E487" s="64" t="s">
        <v>16</v>
      </c>
      <c r="F487" s="64" t="s">
        <v>371</v>
      </c>
      <c r="G487" s="64" t="s">
        <v>8109</v>
      </c>
      <c r="H487" s="64" t="s">
        <v>8110</v>
      </c>
    </row>
    <row r="488" spans="1:8" x14ac:dyDescent="0.3">
      <c r="A488" s="64" t="s">
        <v>979</v>
      </c>
      <c r="B488" s="64" t="s">
        <v>14</v>
      </c>
      <c r="C488" s="64" t="s">
        <v>3607</v>
      </c>
      <c r="D488" s="64" t="s">
        <v>4290</v>
      </c>
      <c r="E488" s="64" t="s">
        <v>16</v>
      </c>
      <c r="F488" s="64" t="s">
        <v>372</v>
      </c>
      <c r="G488" s="64" t="s">
        <v>8111</v>
      </c>
      <c r="H488" s="64" t="s">
        <v>8112</v>
      </c>
    </row>
    <row r="489" spans="1:8" x14ac:dyDescent="0.3">
      <c r="A489" s="64" t="s">
        <v>980</v>
      </c>
      <c r="B489" s="64" t="s">
        <v>14</v>
      </c>
      <c r="C489" s="64" t="s">
        <v>3607</v>
      </c>
      <c r="D489" s="64" t="s">
        <v>4290</v>
      </c>
      <c r="E489" s="64" t="s">
        <v>16</v>
      </c>
      <c r="F489" s="64" t="s">
        <v>373</v>
      </c>
      <c r="G489" s="64" t="s">
        <v>8113</v>
      </c>
      <c r="H489" s="64" t="s">
        <v>8114</v>
      </c>
    </row>
    <row r="490" spans="1:8" x14ac:dyDescent="0.3">
      <c r="A490" s="64" t="s">
        <v>995</v>
      </c>
      <c r="B490" s="64" t="s">
        <v>14</v>
      </c>
      <c r="C490" s="64" t="s">
        <v>3607</v>
      </c>
      <c r="D490" s="64" t="s">
        <v>4290</v>
      </c>
      <c r="E490" s="64" t="s">
        <v>16</v>
      </c>
      <c r="F490" s="64" t="s">
        <v>374</v>
      </c>
      <c r="G490" s="64" t="s">
        <v>8115</v>
      </c>
      <c r="H490" s="64" t="s">
        <v>8116</v>
      </c>
    </row>
    <row r="491" spans="1:8" x14ac:dyDescent="0.3">
      <c r="A491" s="64" t="s">
        <v>996</v>
      </c>
      <c r="B491" s="64" t="s">
        <v>14</v>
      </c>
      <c r="C491" s="64" t="s">
        <v>3607</v>
      </c>
      <c r="D491" s="64" t="s">
        <v>4290</v>
      </c>
      <c r="E491" s="64" t="s">
        <v>16</v>
      </c>
      <c r="F491" s="64" t="s">
        <v>375</v>
      </c>
      <c r="G491" s="64" t="s">
        <v>8117</v>
      </c>
      <c r="H491" s="64" t="s">
        <v>8118</v>
      </c>
    </row>
    <row r="492" spans="1:8" x14ac:dyDescent="0.3">
      <c r="A492" s="64" t="s">
        <v>997</v>
      </c>
      <c r="B492" s="64" t="s">
        <v>14</v>
      </c>
      <c r="C492" s="64" t="s">
        <v>3607</v>
      </c>
      <c r="D492" s="64" t="s">
        <v>4290</v>
      </c>
      <c r="E492" s="64" t="s">
        <v>16</v>
      </c>
      <c r="F492" s="64" t="s">
        <v>376</v>
      </c>
      <c r="G492" s="64" t="s">
        <v>8119</v>
      </c>
      <c r="H492" s="64" t="s">
        <v>8120</v>
      </c>
    </row>
    <row r="493" spans="1:8" x14ac:dyDescent="0.3">
      <c r="A493" s="64" t="s">
        <v>998</v>
      </c>
      <c r="B493" s="64" t="s">
        <v>14</v>
      </c>
      <c r="C493" s="64" t="s">
        <v>3607</v>
      </c>
      <c r="D493" s="64" t="s">
        <v>4290</v>
      </c>
      <c r="E493" s="64" t="s">
        <v>16</v>
      </c>
      <c r="F493" s="64" t="s">
        <v>377</v>
      </c>
      <c r="G493" s="64" t="s">
        <v>8121</v>
      </c>
      <c r="H493" s="64" t="s">
        <v>8122</v>
      </c>
    </row>
    <row r="494" spans="1:8" x14ac:dyDescent="0.3">
      <c r="A494" s="64" t="s">
        <v>999</v>
      </c>
      <c r="B494" s="64" t="s">
        <v>14</v>
      </c>
      <c r="C494" s="64" t="s">
        <v>3607</v>
      </c>
      <c r="D494" s="64" t="s">
        <v>4290</v>
      </c>
      <c r="E494" s="64" t="s">
        <v>16</v>
      </c>
      <c r="F494" s="64" t="s">
        <v>378</v>
      </c>
      <c r="G494" s="64" t="s">
        <v>8123</v>
      </c>
      <c r="H494" s="64" t="s">
        <v>8124</v>
      </c>
    </row>
    <row r="495" spans="1:8" x14ac:dyDescent="0.3">
      <c r="A495" s="64" t="s">
        <v>1000</v>
      </c>
      <c r="B495" s="64" t="s">
        <v>14</v>
      </c>
      <c r="C495" s="64" t="s">
        <v>3607</v>
      </c>
      <c r="D495" s="64" t="s">
        <v>4290</v>
      </c>
      <c r="E495" s="64" t="s">
        <v>16</v>
      </c>
      <c r="F495" s="64" t="s">
        <v>379</v>
      </c>
      <c r="G495" s="64" t="s">
        <v>8125</v>
      </c>
      <c r="H495" s="64" t="s">
        <v>8126</v>
      </c>
    </row>
    <row r="496" spans="1:8" x14ac:dyDescent="0.3">
      <c r="A496" s="64" t="s">
        <v>1001</v>
      </c>
      <c r="B496" s="64" t="s">
        <v>14</v>
      </c>
      <c r="C496" s="64" t="s">
        <v>3607</v>
      </c>
      <c r="D496" s="64" t="s">
        <v>4290</v>
      </c>
      <c r="E496" s="64" t="s">
        <v>16</v>
      </c>
      <c r="F496" s="64" t="s">
        <v>380</v>
      </c>
      <c r="G496" s="64" t="s">
        <v>8127</v>
      </c>
      <c r="H496" s="64" t="s">
        <v>8128</v>
      </c>
    </row>
    <row r="497" spans="1:8" x14ac:dyDescent="0.3">
      <c r="A497" s="64" t="s">
        <v>1002</v>
      </c>
      <c r="B497" s="64" t="s">
        <v>14</v>
      </c>
      <c r="C497" s="64" t="s">
        <v>3607</v>
      </c>
      <c r="D497" s="64" t="s">
        <v>4290</v>
      </c>
      <c r="E497" s="64" t="s">
        <v>16</v>
      </c>
      <c r="F497" s="64" t="s">
        <v>381</v>
      </c>
      <c r="G497" s="64" t="s">
        <v>8129</v>
      </c>
      <c r="H497" s="64" t="s">
        <v>8130</v>
      </c>
    </row>
    <row r="498" spans="1:8" x14ac:dyDescent="0.3">
      <c r="A498" s="64" t="s">
        <v>1003</v>
      </c>
      <c r="B498" s="64" t="s">
        <v>14</v>
      </c>
      <c r="C498" s="64" t="s">
        <v>3607</v>
      </c>
      <c r="D498" s="64" t="s">
        <v>4290</v>
      </c>
      <c r="E498" s="64" t="s">
        <v>16</v>
      </c>
      <c r="F498" s="64" t="s">
        <v>382</v>
      </c>
      <c r="G498" s="64" t="s">
        <v>8131</v>
      </c>
      <c r="H498" s="64" t="s">
        <v>8132</v>
      </c>
    </row>
    <row r="499" spans="1:8" x14ac:dyDescent="0.3">
      <c r="A499" s="64" t="s">
        <v>1004</v>
      </c>
      <c r="B499" s="64" t="s">
        <v>14</v>
      </c>
      <c r="C499" s="64" t="s">
        <v>3607</v>
      </c>
      <c r="D499" s="64" t="s">
        <v>4290</v>
      </c>
      <c r="E499" s="64" t="s">
        <v>16</v>
      </c>
      <c r="F499" s="64" t="s">
        <v>383</v>
      </c>
      <c r="G499" s="64" t="s">
        <v>8133</v>
      </c>
      <c r="H499" s="64" t="s">
        <v>8134</v>
      </c>
    </row>
    <row r="500" spans="1:8" x14ac:dyDescent="0.3">
      <c r="A500" s="64" t="s">
        <v>1005</v>
      </c>
      <c r="B500" s="64" t="s">
        <v>459</v>
      </c>
      <c r="C500" s="64" t="s">
        <v>1431</v>
      </c>
      <c r="D500" s="64" t="s">
        <v>1877</v>
      </c>
      <c r="E500" s="64" t="s">
        <v>20</v>
      </c>
      <c r="F500" s="64" t="s">
        <v>15</v>
      </c>
      <c r="G500" s="64" t="s">
        <v>8135</v>
      </c>
      <c r="H500" s="64" t="s">
        <v>1435</v>
      </c>
    </row>
    <row r="501" spans="1:8" x14ac:dyDescent="0.3">
      <c r="A501" s="64" t="s">
        <v>1006</v>
      </c>
      <c r="B501" s="64" t="s">
        <v>459</v>
      </c>
      <c r="C501" s="64" t="s">
        <v>1431</v>
      </c>
      <c r="D501" s="64" t="s">
        <v>1877</v>
      </c>
      <c r="E501" s="64" t="s">
        <v>16</v>
      </c>
      <c r="F501" s="64" t="s">
        <v>368</v>
      </c>
      <c r="G501" s="64" t="s">
        <v>8136</v>
      </c>
      <c r="H501" s="64" t="s">
        <v>8137</v>
      </c>
    </row>
    <row r="502" spans="1:8" x14ac:dyDescent="0.3">
      <c r="A502" s="64" t="s">
        <v>1007</v>
      </c>
      <c r="B502" s="64" t="s">
        <v>459</v>
      </c>
      <c r="C502" s="64" t="s">
        <v>1431</v>
      </c>
      <c r="D502" s="64" t="s">
        <v>1877</v>
      </c>
      <c r="E502" s="64" t="s">
        <v>16</v>
      </c>
      <c r="F502" s="64" t="s">
        <v>369</v>
      </c>
      <c r="G502" s="64" t="s">
        <v>8138</v>
      </c>
      <c r="H502" s="64" t="s">
        <v>8139</v>
      </c>
    </row>
    <row r="503" spans="1:8" x14ac:dyDescent="0.3">
      <c r="A503" s="64" t="s">
        <v>1008</v>
      </c>
      <c r="B503" s="64" t="s">
        <v>459</v>
      </c>
      <c r="C503" s="64" t="s">
        <v>1431</v>
      </c>
      <c r="D503" s="64" t="s">
        <v>1877</v>
      </c>
      <c r="E503" s="64" t="s">
        <v>16</v>
      </c>
      <c r="F503" s="64" t="s">
        <v>370</v>
      </c>
      <c r="G503" s="64" t="s">
        <v>8140</v>
      </c>
      <c r="H503" s="64" t="s">
        <v>8141</v>
      </c>
    </row>
    <row r="504" spans="1:8" x14ac:dyDescent="0.3">
      <c r="A504" s="64" t="s">
        <v>1009</v>
      </c>
      <c r="B504" s="64" t="s">
        <v>459</v>
      </c>
      <c r="C504" s="64" t="s">
        <v>1431</v>
      </c>
      <c r="D504" s="64" t="s">
        <v>1877</v>
      </c>
      <c r="E504" s="64" t="s">
        <v>16</v>
      </c>
      <c r="F504" s="64" t="s">
        <v>371</v>
      </c>
      <c r="G504" s="64" t="s">
        <v>8142</v>
      </c>
      <c r="H504" s="64" t="s">
        <v>8143</v>
      </c>
    </row>
    <row r="505" spans="1:8" x14ac:dyDescent="0.3">
      <c r="A505" s="64" t="s">
        <v>1010</v>
      </c>
      <c r="B505" s="64" t="s">
        <v>459</v>
      </c>
      <c r="C505" s="64" t="s">
        <v>1431</v>
      </c>
      <c r="D505" s="64" t="s">
        <v>1877</v>
      </c>
      <c r="E505" s="64" t="s">
        <v>16</v>
      </c>
      <c r="F505" s="64" t="s">
        <v>372</v>
      </c>
      <c r="G505" s="64" t="s">
        <v>8144</v>
      </c>
      <c r="H505" s="64" t="s">
        <v>8145</v>
      </c>
    </row>
    <row r="506" spans="1:8" x14ac:dyDescent="0.3">
      <c r="A506" s="64" t="s">
        <v>1011</v>
      </c>
      <c r="B506" s="64" t="s">
        <v>459</v>
      </c>
      <c r="C506" s="64" t="s">
        <v>1431</v>
      </c>
      <c r="D506" s="64" t="s">
        <v>1877</v>
      </c>
      <c r="E506" s="64" t="s">
        <v>16</v>
      </c>
      <c r="F506" s="64" t="s">
        <v>373</v>
      </c>
      <c r="G506" s="64" t="s">
        <v>8146</v>
      </c>
      <c r="H506" s="64" t="s">
        <v>8147</v>
      </c>
    </row>
    <row r="507" spans="1:8" x14ac:dyDescent="0.3">
      <c r="A507" s="64" t="s">
        <v>1012</v>
      </c>
      <c r="B507" s="64" t="s">
        <v>459</v>
      </c>
      <c r="C507" s="64" t="s">
        <v>1431</v>
      </c>
      <c r="D507" s="64" t="s">
        <v>1877</v>
      </c>
      <c r="E507" s="64" t="s">
        <v>16</v>
      </c>
      <c r="F507" s="64" t="s">
        <v>374</v>
      </c>
      <c r="G507" s="64" t="s">
        <v>8148</v>
      </c>
      <c r="H507" s="64" t="s">
        <v>8149</v>
      </c>
    </row>
    <row r="508" spans="1:8" x14ac:dyDescent="0.3">
      <c r="A508" s="64" t="s">
        <v>1013</v>
      </c>
      <c r="B508" s="64" t="s">
        <v>459</v>
      </c>
      <c r="C508" s="64" t="s">
        <v>1431</v>
      </c>
      <c r="D508" s="64" t="s">
        <v>1877</v>
      </c>
      <c r="E508" s="64" t="s">
        <v>16</v>
      </c>
      <c r="F508" s="64" t="s">
        <v>375</v>
      </c>
      <c r="G508" s="64" t="s">
        <v>8150</v>
      </c>
      <c r="H508" s="64" t="s">
        <v>8151</v>
      </c>
    </row>
    <row r="509" spans="1:8" x14ac:dyDescent="0.3">
      <c r="A509" s="64" t="s">
        <v>1014</v>
      </c>
      <c r="B509" s="64" t="s">
        <v>459</v>
      </c>
      <c r="C509" s="64" t="s">
        <v>1431</v>
      </c>
      <c r="D509" s="64" t="s">
        <v>1877</v>
      </c>
      <c r="E509" s="64" t="s">
        <v>16</v>
      </c>
      <c r="F509" s="64" t="s">
        <v>376</v>
      </c>
      <c r="G509" s="64" t="s">
        <v>8152</v>
      </c>
      <c r="H509" s="64" t="s">
        <v>8153</v>
      </c>
    </row>
    <row r="510" spans="1:8" x14ac:dyDescent="0.3">
      <c r="A510" s="64" t="s">
        <v>1015</v>
      </c>
      <c r="B510" s="64" t="s">
        <v>459</v>
      </c>
      <c r="C510" s="64" t="s">
        <v>1431</v>
      </c>
      <c r="D510" s="64" t="s">
        <v>1877</v>
      </c>
      <c r="E510" s="64" t="s">
        <v>16</v>
      </c>
      <c r="F510" s="64" t="s">
        <v>377</v>
      </c>
      <c r="G510" s="64" t="s">
        <v>8154</v>
      </c>
      <c r="H510" s="64" t="s">
        <v>8155</v>
      </c>
    </row>
    <row r="511" spans="1:8" x14ac:dyDescent="0.3">
      <c r="A511" s="64" t="s">
        <v>1016</v>
      </c>
      <c r="B511" s="64" t="s">
        <v>459</v>
      </c>
      <c r="C511" s="64" t="s">
        <v>1431</v>
      </c>
      <c r="D511" s="64" t="s">
        <v>1877</v>
      </c>
      <c r="E511" s="64" t="s">
        <v>16</v>
      </c>
      <c r="F511" s="64" t="s">
        <v>378</v>
      </c>
      <c r="G511" s="64" t="s">
        <v>8156</v>
      </c>
      <c r="H511" s="64" t="s">
        <v>8157</v>
      </c>
    </row>
    <row r="512" spans="1:8" x14ac:dyDescent="0.3">
      <c r="A512" s="64" t="s">
        <v>1017</v>
      </c>
      <c r="B512" s="64" t="s">
        <v>459</v>
      </c>
      <c r="C512" s="64" t="s">
        <v>1431</v>
      </c>
      <c r="D512" s="64" t="s">
        <v>1877</v>
      </c>
      <c r="E512" s="64" t="s">
        <v>16</v>
      </c>
      <c r="F512" s="64" t="s">
        <v>379</v>
      </c>
      <c r="G512" s="64" t="s">
        <v>8158</v>
      </c>
      <c r="H512" s="64" t="s">
        <v>8159</v>
      </c>
    </row>
    <row r="513" spans="1:8" x14ac:dyDescent="0.3">
      <c r="A513" s="64" t="s">
        <v>1018</v>
      </c>
      <c r="B513" s="64" t="s">
        <v>459</v>
      </c>
      <c r="C513" s="64" t="s">
        <v>1431</v>
      </c>
      <c r="D513" s="64" t="s">
        <v>1877</v>
      </c>
      <c r="E513" s="64" t="s">
        <v>16</v>
      </c>
      <c r="F513" s="64" t="s">
        <v>380</v>
      </c>
      <c r="G513" s="64" t="s">
        <v>8160</v>
      </c>
      <c r="H513" s="64" t="s">
        <v>8161</v>
      </c>
    </row>
    <row r="514" spans="1:8" x14ac:dyDescent="0.3">
      <c r="A514" s="64" t="s">
        <v>1019</v>
      </c>
      <c r="B514" s="64" t="s">
        <v>459</v>
      </c>
      <c r="C514" s="64" t="s">
        <v>1431</v>
      </c>
      <c r="D514" s="64" t="s">
        <v>1877</v>
      </c>
      <c r="E514" s="64" t="s">
        <v>16</v>
      </c>
      <c r="F514" s="64" t="s">
        <v>381</v>
      </c>
      <c r="G514" s="64" t="s">
        <v>8162</v>
      </c>
      <c r="H514" s="64" t="s">
        <v>8163</v>
      </c>
    </row>
    <row r="515" spans="1:8" x14ac:dyDescent="0.3">
      <c r="A515" s="64" t="s">
        <v>1020</v>
      </c>
      <c r="B515" s="64" t="s">
        <v>459</v>
      </c>
      <c r="C515" s="64" t="s">
        <v>1431</v>
      </c>
      <c r="D515" s="64" t="s">
        <v>1877</v>
      </c>
      <c r="E515" s="64" t="s">
        <v>16</v>
      </c>
      <c r="F515" s="64" t="s">
        <v>382</v>
      </c>
      <c r="G515" s="64" t="s">
        <v>8164</v>
      </c>
      <c r="H515" s="64" t="s">
        <v>8165</v>
      </c>
    </row>
    <row r="516" spans="1:8" x14ac:dyDescent="0.3">
      <c r="A516" s="64" t="s">
        <v>1021</v>
      </c>
      <c r="B516" s="64" t="s">
        <v>459</v>
      </c>
      <c r="C516" s="64" t="s">
        <v>1431</v>
      </c>
      <c r="D516" s="64" t="s">
        <v>1877</v>
      </c>
      <c r="E516" s="64" t="s">
        <v>16</v>
      </c>
      <c r="F516" s="64" t="s">
        <v>383</v>
      </c>
      <c r="G516" s="64" t="s">
        <v>8166</v>
      </c>
      <c r="H516" s="64" t="s">
        <v>8167</v>
      </c>
    </row>
    <row r="517" spans="1:8" x14ac:dyDescent="0.3">
      <c r="A517" s="64" t="s">
        <v>1022</v>
      </c>
      <c r="B517" s="64" t="s">
        <v>459</v>
      </c>
      <c r="C517" s="64" t="s">
        <v>1431</v>
      </c>
      <c r="D517" s="64" t="s">
        <v>1877</v>
      </c>
      <c r="E517" s="64" t="s">
        <v>20</v>
      </c>
      <c r="F517" s="64" t="s">
        <v>15</v>
      </c>
      <c r="G517" s="64" t="s">
        <v>8168</v>
      </c>
      <c r="H517" s="64" t="s">
        <v>1438</v>
      </c>
    </row>
    <row r="518" spans="1:8" x14ac:dyDescent="0.3">
      <c r="A518" s="64" t="s">
        <v>1023</v>
      </c>
      <c r="B518" s="64" t="s">
        <v>459</v>
      </c>
      <c r="C518" s="64" t="s">
        <v>1431</v>
      </c>
      <c r="D518" s="64" t="s">
        <v>1877</v>
      </c>
      <c r="E518" s="64" t="s">
        <v>16</v>
      </c>
      <c r="F518" s="64" t="s">
        <v>368</v>
      </c>
      <c r="G518" s="64" t="s">
        <v>8169</v>
      </c>
      <c r="H518" s="64" t="s">
        <v>8170</v>
      </c>
    </row>
    <row r="519" spans="1:8" x14ac:dyDescent="0.3">
      <c r="A519" s="64" t="s">
        <v>1024</v>
      </c>
      <c r="B519" s="64" t="s">
        <v>459</v>
      </c>
      <c r="C519" s="64" t="s">
        <v>1431</v>
      </c>
      <c r="D519" s="64" t="s">
        <v>1877</v>
      </c>
      <c r="E519" s="64" t="s">
        <v>16</v>
      </c>
      <c r="F519" s="64" t="s">
        <v>369</v>
      </c>
      <c r="G519" s="64" t="s">
        <v>8171</v>
      </c>
      <c r="H519" s="64" t="s">
        <v>8172</v>
      </c>
    </row>
    <row r="520" spans="1:8" x14ac:dyDescent="0.3">
      <c r="A520" s="64" t="s">
        <v>1025</v>
      </c>
      <c r="B520" s="64" t="s">
        <v>459</v>
      </c>
      <c r="C520" s="64" t="s">
        <v>1431</v>
      </c>
      <c r="D520" s="64" t="s">
        <v>1877</v>
      </c>
      <c r="E520" s="64" t="s">
        <v>16</v>
      </c>
      <c r="F520" s="64" t="s">
        <v>370</v>
      </c>
      <c r="G520" s="64" t="s">
        <v>8173</v>
      </c>
      <c r="H520" s="64" t="s">
        <v>8174</v>
      </c>
    </row>
    <row r="521" spans="1:8" x14ac:dyDescent="0.3">
      <c r="A521" s="64" t="s">
        <v>1026</v>
      </c>
      <c r="B521" s="64" t="s">
        <v>459</v>
      </c>
      <c r="C521" s="64" t="s">
        <v>1431</v>
      </c>
      <c r="D521" s="64" t="s">
        <v>1877</v>
      </c>
      <c r="E521" s="64" t="s">
        <v>16</v>
      </c>
      <c r="F521" s="64" t="s">
        <v>371</v>
      </c>
      <c r="G521" s="64" t="s">
        <v>8175</v>
      </c>
      <c r="H521" s="64" t="s">
        <v>8176</v>
      </c>
    </row>
    <row r="522" spans="1:8" x14ac:dyDescent="0.3">
      <c r="A522" s="64" t="s">
        <v>1027</v>
      </c>
      <c r="B522" s="64" t="s">
        <v>459</v>
      </c>
      <c r="C522" s="64" t="s">
        <v>1431</v>
      </c>
      <c r="D522" s="64" t="s">
        <v>1877</v>
      </c>
      <c r="E522" s="64" t="s">
        <v>16</v>
      </c>
      <c r="F522" s="64" t="s">
        <v>372</v>
      </c>
      <c r="G522" s="64" t="s">
        <v>8177</v>
      </c>
      <c r="H522" s="64" t="s">
        <v>8178</v>
      </c>
    </row>
    <row r="523" spans="1:8" x14ac:dyDescent="0.3">
      <c r="A523" s="64" t="s">
        <v>1028</v>
      </c>
      <c r="B523" s="64" t="s">
        <v>459</v>
      </c>
      <c r="C523" s="64" t="s">
        <v>1431</v>
      </c>
      <c r="D523" s="64" t="s">
        <v>1877</v>
      </c>
      <c r="E523" s="64" t="s">
        <v>16</v>
      </c>
      <c r="F523" s="64" t="s">
        <v>373</v>
      </c>
      <c r="G523" s="64" t="s">
        <v>8179</v>
      </c>
      <c r="H523" s="64" t="s">
        <v>8180</v>
      </c>
    </row>
    <row r="524" spans="1:8" x14ac:dyDescent="0.3">
      <c r="A524" s="64" t="s">
        <v>1029</v>
      </c>
      <c r="B524" s="64" t="s">
        <v>459</v>
      </c>
      <c r="C524" s="64" t="s">
        <v>1431</v>
      </c>
      <c r="D524" s="64" t="s">
        <v>1877</v>
      </c>
      <c r="E524" s="64" t="s">
        <v>16</v>
      </c>
      <c r="F524" s="64" t="s">
        <v>374</v>
      </c>
      <c r="G524" s="64" t="s">
        <v>8181</v>
      </c>
      <c r="H524" s="64" t="s">
        <v>8182</v>
      </c>
    </row>
    <row r="525" spans="1:8" x14ac:dyDescent="0.3">
      <c r="A525" s="64" t="s">
        <v>1030</v>
      </c>
      <c r="B525" s="64" t="s">
        <v>459</v>
      </c>
      <c r="C525" s="64" t="s">
        <v>1431</v>
      </c>
      <c r="D525" s="64" t="s">
        <v>1877</v>
      </c>
      <c r="E525" s="64" t="s">
        <v>16</v>
      </c>
      <c r="F525" s="64" t="s">
        <v>375</v>
      </c>
      <c r="G525" s="64" t="s">
        <v>8183</v>
      </c>
      <c r="H525" s="64" t="s">
        <v>8184</v>
      </c>
    </row>
    <row r="526" spans="1:8" x14ac:dyDescent="0.3">
      <c r="A526" s="64" t="s">
        <v>1031</v>
      </c>
      <c r="B526" s="64" t="s">
        <v>459</v>
      </c>
      <c r="C526" s="64" t="s">
        <v>1431</v>
      </c>
      <c r="D526" s="64" t="s">
        <v>1877</v>
      </c>
      <c r="E526" s="64" t="s">
        <v>16</v>
      </c>
      <c r="F526" s="64" t="s">
        <v>376</v>
      </c>
      <c r="G526" s="64" t="s">
        <v>8185</v>
      </c>
      <c r="H526" s="64" t="s">
        <v>8186</v>
      </c>
    </row>
    <row r="527" spans="1:8" x14ac:dyDescent="0.3">
      <c r="A527" s="64" t="s">
        <v>1032</v>
      </c>
      <c r="B527" s="64" t="s">
        <v>459</v>
      </c>
      <c r="C527" s="64" t="s">
        <v>1431</v>
      </c>
      <c r="D527" s="64" t="s">
        <v>1877</v>
      </c>
      <c r="E527" s="64" t="s">
        <v>16</v>
      </c>
      <c r="F527" s="64" t="s">
        <v>377</v>
      </c>
      <c r="G527" s="64" t="s">
        <v>8187</v>
      </c>
      <c r="H527" s="64" t="s">
        <v>8188</v>
      </c>
    </row>
    <row r="528" spans="1:8" x14ac:dyDescent="0.3">
      <c r="A528" s="64" t="s">
        <v>1033</v>
      </c>
      <c r="B528" s="64" t="s">
        <v>459</v>
      </c>
      <c r="C528" s="64" t="s">
        <v>1431</v>
      </c>
      <c r="D528" s="64" t="s">
        <v>1877</v>
      </c>
      <c r="E528" s="64" t="s">
        <v>16</v>
      </c>
      <c r="F528" s="64" t="s">
        <v>378</v>
      </c>
      <c r="G528" s="64" t="s">
        <v>8189</v>
      </c>
      <c r="H528" s="64" t="s">
        <v>8190</v>
      </c>
    </row>
    <row r="529" spans="1:8" x14ac:dyDescent="0.3">
      <c r="A529" s="64" t="s">
        <v>1034</v>
      </c>
      <c r="B529" s="64" t="s">
        <v>459</v>
      </c>
      <c r="C529" s="64" t="s">
        <v>1431</v>
      </c>
      <c r="D529" s="64" t="s">
        <v>1877</v>
      </c>
      <c r="E529" s="64" t="s">
        <v>16</v>
      </c>
      <c r="F529" s="64" t="s">
        <v>379</v>
      </c>
      <c r="G529" s="64" t="s">
        <v>8191</v>
      </c>
      <c r="H529" s="64" t="s">
        <v>8192</v>
      </c>
    </row>
    <row r="530" spans="1:8" x14ac:dyDescent="0.3">
      <c r="A530" s="64" t="s">
        <v>1035</v>
      </c>
      <c r="B530" s="64" t="s">
        <v>459</v>
      </c>
      <c r="C530" s="64" t="s">
        <v>1431</v>
      </c>
      <c r="D530" s="64" t="s">
        <v>1877</v>
      </c>
      <c r="E530" s="64" t="s">
        <v>16</v>
      </c>
      <c r="F530" s="64" t="s">
        <v>380</v>
      </c>
      <c r="G530" s="64" t="s">
        <v>8193</v>
      </c>
      <c r="H530" s="64" t="s">
        <v>8194</v>
      </c>
    </row>
    <row r="531" spans="1:8" x14ac:dyDescent="0.3">
      <c r="A531" s="64" t="s">
        <v>1036</v>
      </c>
      <c r="B531" s="64" t="s">
        <v>459</v>
      </c>
      <c r="C531" s="64" t="s">
        <v>1431</v>
      </c>
      <c r="D531" s="64" t="s">
        <v>1877</v>
      </c>
      <c r="E531" s="64" t="s">
        <v>16</v>
      </c>
      <c r="F531" s="64" t="s">
        <v>381</v>
      </c>
      <c r="G531" s="64" t="s">
        <v>8195</v>
      </c>
      <c r="H531" s="64" t="s">
        <v>8196</v>
      </c>
    </row>
    <row r="532" spans="1:8" x14ac:dyDescent="0.3">
      <c r="A532" s="64" t="s">
        <v>1037</v>
      </c>
      <c r="B532" s="64" t="s">
        <v>459</v>
      </c>
      <c r="C532" s="64" t="s">
        <v>1431</v>
      </c>
      <c r="D532" s="64" t="s">
        <v>1877</v>
      </c>
      <c r="E532" s="64" t="s">
        <v>16</v>
      </c>
      <c r="F532" s="64" t="s">
        <v>382</v>
      </c>
      <c r="G532" s="64" t="s">
        <v>8197</v>
      </c>
      <c r="H532" s="64" t="s">
        <v>8198</v>
      </c>
    </row>
    <row r="533" spans="1:8" x14ac:dyDescent="0.3">
      <c r="A533" s="64" t="s">
        <v>1038</v>
      </c>
      <c r="B533" s="64" t="s">
        <v>459</v>
      </c>
      <c r="C533" s="64" t="s">
        <v>1431</v>
      </c>
      <c r="D533" s="64" t="s">
        <v>1877</v>
      </c>
      <c r="E533" s="64" t="s">
        <v>16</v>
      </c>
      <c r="F533" s="64" t="s">
        <v>383</v>
      </c>
      <c r="G533" s="64" t="s">
        <v>8199</v>
      </c>
      <c r="H533" s="64" t="s">
        <v>8200</v>
      </c>
    </row>
    <row r="534" spans="1:8" x14ac:dyDescent="0.3">
      <c r="A534" s="64" t="s">
        <v>1039</v>
      </c>
      <c r="B534" s="64" t="s">
        <v>459</v>
      </c>
      <c r="C534" s="64" t="s">
        <v>1431</v>
      </c>
      <c r="D534" s="64" t="s">
        <v>1877</v>
      </c>
      <c r="E534" s="64" t="s">
        <v>20</v>
      </c>
      <c r="F534" s="64" t="s">
        <v>15</v>
      </c>
      <c r="G534" s="64" t="s">
        <v>8201</v>
      </c>
      <c r="H534" s="64" t="s">
        <v>1442</v>
      </c>
    </row>
    <row r="535" spans="1:8" x14ac:dyDescent="0.3">
      <c r="A535" s="64" t="s">
        <v>1040</v>
      </c>
      <c r="B535" s="64" t="s">
        <v>459</v>
      </c>
      <c r="C535" s="64" t="s">
        <v>1431</v>
      </c>
      <c r="D535" s="64" t="s">
        <v>1877</v>
      </c>
      <c r="E535" s="64" t="s">
        <v>20</v>
      </c>
      <c r="F535" s="64" t="s">
        <v>15</v>
      </c>
      <c r="G535" s="64" t="s">
        <v>8202</v>
      </c>
      <c r="H535" s="64" t="s">
        <v>5173</v>
      </c>
    </row>
    <row r="536" spans="1:8" x14ac:dyDescent="0.3">
      <c r="A536" s="64" t="s">
        <v>1041</v>
      </c>
      <c r="B536" s="64" t="s">
        <v>1375</v>
      </c>
      <c r="C536" s="64" t="s">
        <v>5151</v>
      </c>
      <c r="D536" s="64" t="s">
        <v>1885</v>
      </c>
      <c r="E536" s="64" t="s">
        <v>20</v>
      </c>
      <c r="F536" s="64" t="s">
        <v>15</v>
      </c>
      <c r="G536" s="64" t="s">
        <v>8203</v>
      </c>
      <c r="H536" s="64" t="s">
        <v>1447</v>
      </c>
    </row>
    <row r="537" spans="1:8" x14ac:dyDescent="0.3">
      <c r="A537" s="64" t="s">
        <v>1042</v>
      </c>
      <c r="B537" s="64" t="s">
        <v>587</v>
      </c>
      <c r="C537" s="64" t="s">
        <v>1449</v>
      </c>
      <c r="D537" s="64" t="s">
        <v>1900</v>
      </c>
      <c r="E537" s="64" t="s">
        <v>20</v>
      </c>
      <c r="F537" s="64" t="s">
        <v>15</v>
      </c>
      <c r="G537" s="64" t="s">
        <v>8204</v>
      </c>
      <c r="H537" s="64" t="s">
        <v>5172</v>
      </c>
    </row>
    <row r="538" spans="1:8" x14ac:dyDescent="0.3">
      <c r="A538" s="64" t="s">
        <v>1043</v>
      </c>
      <c r="B538" s="64" t="s">
        <v>568</v>
      </c>
      <c r="C538" s="64" t="s">
        <v>5164</v>
      </c>
      <c r="D538" s="64" t="s">
        <v>569</v>
      </c>
      <c r="E538" s="64" t="s">
        <v>20</v>
      </c>
      <c r="F538" s="64" t="s">
        <v>15</v>
      </c>
      <c r="G538" s="64" t="s">
        <v>8205</v>
      </c>
      <c r="H538" s="64" t="s">
        <v>5166</v>
      </c>
    </row>
    <row r="539" spans="1:8" x14ac:dyDescent="0.3">
      <c r="A539" s="64" t="s">
        <v>1044</v>
      </c>
      <c r="B539" s="64" t="s">
        <v>568</v>
      </c>
      <c r="C539" s="64" t="s">
        <v>5164</v>
      </c>
      <c r="D539" s="64" t="s">
        <v>569</v>
      </c>
      <c r="E539" s="64" t="s">
        <v>16</v>
      </c>
      <c r="F539" s="64" t="s">
        <v>368</v>
      </c>
      <c r="G539" s="64" t="s">
        <v>8206</v>
      </c>
      <c r="H539" s="64" t="s">
        <v>8207</v>
      </c>
    </row>
    <row r="540" spans="1:8" x14ac:dyDescent="0.3">
      <c r="A540" s="64" t="s">
        <v>1045</v>
      </c>
      <c r="B540" s="64" t="s">
        <v>568</v>
      </c>
      <c r="C540" s="64" t="s">
        <v>5164</v>
      </c>
      <c r="D540" s="64" t="s">
        <v>569</v>
      </c>
      <c r="E540" s="64" t="s">
        <v>16</v>
      </c>
      <c r="F540" s="64" t="s">
        <v>369</v>
      </c>
      <c r="G540" s="64" t="s">
        <v>8208</v>
      </c>
      <c r="H540" s="64" t="s">
        <v>8209</v>
      </c>
    </row>
    <row r="541" spans="1:8" x14ac:dyDescent="0.3">
      <c r="A541" s="64" t="s">
        <v>1046</v>
      </c>
      <c r="B541" s="64" t="s">
        <v>568</v>
      </c>
      <c r="C541" s="64" t="s">
        <v>5164</v>
      </c>
      <c r="D541" s="64" t="s">
        <v>569</v>
      </c>
      <c r="E541" s="64" t="s">
        <v>16</v>
      </c>
      <c r="F541" s="64" t="s">
        <v>370</v>
      </c>
      <c r="G541" s="64" t="s">
        <v>8210</v>
      </c>
      <c r="H541" s="64" t="s">
        <v>8211</v>
      </c>
    </row>
    <row r="542" spans="1:8" x14ac:dyDescent="0.3">
      <c r="A542" s="64" t="s">
        <v>1047</v>
      </c>
      <c r="B542" s="64" t="s">
        <v>568</v>
      </c>
      <c r="C542" s="64" t="s">
        <v>5164</v>
      </c>
      <c r="D542" s="64" t="s">
        <v>569</v>
      </c>
      <c r="E542" s="64" t="s">
        <v>16</v>
      </c>
      <c r="F542" s="64" t="s">
        <v>371</v>
      </c>
      <c r="G542" s="64" t="s">
        <v>8212</v>
      </c>
      <c r="H542" s="64" t="s">
        <v>8213</v>
      </c>
    </row>
    <row r="543" spans="1:8" x14ac:dyDescent="0.3">
      <c r="A543" s="64" t="s">
        <v>1048</v>
      </c>
      <c r="B543" s="64" t="s">
        <v>568</v>
      </c>
      <c r="C543" s="64" t="s">
        <v>5164</v>
      </c>
      <c r="D543" s="64" t="s">
        <v>569</v>
      </c>
      <c r="E543" s="64" t="s">
        <v>16</v>
      </c>
      <c r="F543" s="64" t="s">
        <v>372</v>
      </c>
      <c r="G543" s="64" t="s">
        <v>8214</v>
      </c>
      <c r="H543" s="64" t="s">
        <v>8215</v>
      </c>
    </row>
    <row r="544" spans="1:8" x14ac:dyDescent="0.3">
      <c r="A544" s="64" t="s">
        <v>1049</v>
      </c>
      <c r="B544" s="64" t="s">
        <v>568</v>
      </c>
      <c r="C544" s="64" t="s">
        <v>5164</v>
      </c>
      <c r="D544" s="64" t="s">
        <v>569</v>
      </c>
      <c r="E544" s="64" t="s">
        <v>16</v>
      </c>
      <c r="F544" s="64" t="s">
        <v>373</v>
      </c>
      <c r="G544" s="64" t="s">
        <v>8216</v>
      </c>
      <c r="H544" s="64" t="s">
        <v>8217</v>
      </c>
    </row>
    <row r="545" spans="1:8" x14ac:dyDescent="0.3">
      <c r="A545" s="64" t="s">
        <v>1050</v>
      </c>
      <c r="B545" s="64" t="s">
        <v>568</v>
      </c>
      <c r="C545" s="64" t="s">
        <v>5164</v>
      </c>
      <c r="D545" s="64" t="s">
        <v>569</v>
      </c>
      <c r="E545" s="64" t="s">
        <v>16</v>
      </c>
      <c r="F545" s="64" t="s">
        <v>374</v>
      </c>
      <c r="G545" s="64" t="s">
        <v>8218</v>
      </c>
      <c r="H545" s="64" t="s">
        <v>8219</v>
      </c>
    </row>
    <row r="546" spans="1:8" x14ac:dyDescent="0.3">
      <c r="A546" s="64" t="s">
        <v>1051</v>
      </c>
      <c r="B546" s="64" t="s">
        <v>568</v>
      </c>
      <c r="C546" s="64" t="s">
        <v>5164</v>
      </c>
      <c r="D546" s="64" t="s">
        <v>569</v>
      </c>
      <c r="E546" s="64" t="s">
        <v>16</v>
      </c>
      <c r="F546" s="64" t="s">
        <v>375</v>
      </c>
      <c r="G546" s="64" t="s">
        <v>8220</v>
      </c>
      <c r="H546" s="64" t="s">
        <v>8221</v>
      </c>
    </row>
    <row r="547" spans="1:8" x14ac:dyDescent="0.3">
      <c r="A547" s="64" t="s">
        <v>1052</v>
      </c>
      <c r="B547" s="64" t="s">
        <v>568</v>
      </c>
      <c r="C547" s="64" t="s">
        <v>5164</v>
      </c>
      <c r="D547" s="64" t="s">
        <v>569</v>
      </c>
      <c r="E547" s="64" t="s">
        <v>16</v>
      </c>
      <c r="F547" s="64" t="s">
        <v>376</v>
      </c>
      <c r="G547" s="64" t="s">
        <v>8222</v>
      </c>
      <c r="H547" s="64" t="s">
        <v>8223</v>
      </c>
    </row>
    <row r="548" spans="1:8" x14ac:dyDescent="0.3">
      <c r="A548" s="64" t="s">
        <v>1053</v>
      </c>
      <c r="B548" s="64" t="s">
        <v>568</v>
      </c>
      <c r="C548" s="64" t="s">
        <v>5164</v>
      </c>
      <c r="D548" s="64" t="s">
        <v>569</v>
      </c>
      <c r="E548" s="64" t="s">
        <v>16</v>
      </c>
      <c r="F548" s="64" t="s">
        <v>377</v>
      </c>
      <c r="G548" s="64" t="s">
        <v>8224</v>
      </c>
      <c r="H548" s="64" t="s">
        <v>8225</v>
      </c>
    </row>
    <row r="549" spans="1:8" x14ac:dyDescent="0.3">
      <c r="A549" s="64" t="s">
        <v>1054</v>
      </c>
      <c r="B549" s="64" t="s">
        <v>568</v>
      </c>
      <c r="C549" s="64" t="s">
        <v>5164</v>
      </c>
      <c r="D549" s="64" t="s">
        <v>569</v>
      </c>
      <c r="E549" s="64" t="s">
        <v>16</v>
      </c>
      <c r="F549" s="64" t="s">
        <v>378</v>
      </c>
      <c r="G549" s="64" t="s">
        <v>8226</v>
      </c>
      <c r="H549" s="64" t="s">
        <v>8227</v>
      </c>
    </row>
    <row r="550" spans="1:8" x14ac:dyDescent="0.3">
      <c r="A550" s="64" t="s">
        <v>1055</v>
      </c>
      <c r="B550" s="64" t="s">
        <v>568</v>
      </c>
      <c r="C550" s="64" t="s">
        <v>5164</v>
      </c>
      <c r="D550" s="64" t="s">
        <v>569</v>
      </c>
      <c r="E550" s="64" t="s">
        <v>16</v>
      </c>
      <c r="F550" s="64" t="s">
        <v>379</v>
      </c>
      <c r="G550" s="64" t="s">
        <v>8228</v>
      </c>
      <c r="H550" s="64" t="s">
        <v>8229</v>
      </c>
    </row>
    <row r="551" spans="1:8" x14ac:dyDescent="0.3">
      <c r="A551" s="64" t="s">
        <v>1056</v>
      </c>
      <c r="B551" s="64" t="s">
        <v>568</v>
      </c>
      <c r="C551" s="64" t="s">
        <v>5164</v>
      </c>
      <c r="D551" s="64" t="s">
        <v>569</v>
      </c>
      <c r="E551" s="64" t="s">
        <v>16</v>
      </c>
      <c r="F551" s="64" t="s">
        <v>380</v>
      </c>
      <c r="G551" s="64" t="s">
        <v>8230</v>
      </c>
      <c r="H551" s="64" t="s">
        <v>8231</v>
      </c>
    </row>
    <row r="552" spans="1:8" x14ac:dyDescent="0.3">
      <c r="A552" s="64" t="s">
        <v>1057</v>
      </c>
      <c r="B552" s="64" t="s">
        <v>568</v>
      </c>
      <c r="C552" s="64" t="s">
        <v>5164</v>
      </c>
      <c r="D552" s="64" t="s">
        <v>569</v>
      </c>
      <c r="E552" s="64" t="s">
        <v>16</v>
      </c>
      <c r="F552" s="64" t="s">
        <v>381</v>
      </c>
      <c r="G552" s="64" t="s">
        <v>8232</v>
      </c>
      <c r="H552" s="64" t="s">
        <v>8233</v>
      </c>
    </row>
    <row r="553" spans="1:8" x14ac:dyDescent="0.3">
      <c r="A553" s="64" t="s">
        <v>1058</v>
      </c>
      <c r="B553" s="64" t="s">
        <v>568</v>
      </c>
      <c r="C553" s="64" t="s">
        <v>5164</v>
      </c>
      <c r="D553" s="64" t="s">
        <v>569</v>
      </c>
      <c r="E553" s="64" t="s">
        <v>16</v>
      </c>
      <c r="F553" s="64" t="s">
        <v>382</v>
      </c>
      <c r="G553" s="64" t="s">
        <v>8234</v>
      </c>
      <c r="H553" s="64" t="s">
        <v>8235</v>
      </c>
    </row>
    <row r="554" spans="1:8" x14ac:dyDescent="0.3">
      <c r="A554" s="64" t="s">
        <v>1059</v>
      </c>
      <c r="B554" s="64" t="s">
        <v>568</v>
      </c>
      <c r="C554" s="64" t="s">
        <v>5164</v>
      </c>
      <c r="D554" s="64" t="s">
        <v>569</v>
      </c>
      <c r="E554" s="64" t="s">
        <v>16</v>
      </c>
      <c r="F554" s="64" t="s">
        <v>383</v>
      </c>
      <c r="G554" s="64" t="s">
        <v>8236</v>
      </c>
      <c r="H554" s="64" t="s">
        <v>8237</v>
      </c>
    </row>
    <row r="555" spans="1:8" x14ac:dyDescent="0.3">
      <c r="A555" s="64" t="s">
        <v>1060</v>
      </c>
      <c r="B555" s="64" t="s">
        <v>14</v>
      </c>
      <c r="C555" s="64" t="s">
        <v>1421</v>
      </c>
      <c r="D555" s="64" t="s">
        <v>4290</v>
      </c>
      <c r="E555" s="64" t="s">
        <v>20</v>
      </c>
      <c r="F555" s="64" t="s">
        <v>15</v>
      </c>
      <c r="G555" s="64" t="s">
        <v>8238</v>
      </c>
      <c r="H555" s="64" t="s">
        <v>1454</v>
      </c>
    </row>
    <row r="556" spans="1:8" x14ac:dyDescent="0.3">
      <c r="A556" s="64" t="s">
        <v>1061</v>
      </c>
      <c r="B556" s="64" t="s">
        <v>14</v>
      </c>
      <c r="C556" s="64" t="s">
        <v>1421</v>
      </c>
      <c r="D556" s="64" t="s">
        <v>4290</v>
      </c>
      <c r="E556" s="64" t="s">
        <v>16</v>
      </c>
      <c r="F556" s="64" t="s">
        <v>368</v>
      </c>
      <c r="G556" s="64" t="s">
        <v>8239</v>
      </c>
      <c r="H556" s="64" t="s">
        <v>8240</v>
      </c>
    </row>
    <row r="557" spans="1:8" x14ac:dyDescent="0.3">
      <c r="A557" s="64" t="s">
        <v>1062</v>
      </c>
      <c r="B557" s="64" t="s">
        <v>14</v>
      </c>
      <c r="C557" s="64" t="s">
        <v>1421</v>
      </c>
      <c r="D557" s="64" t="s">
        <v>4290</v>
      </c>
      <c r="E557" s="64" t="s">
        <v>16</v>
      </c>
      <c r="F557" s="64" t="s">
        <v>369</v>
      </c>
      <c r="G557" s="64" t="s">
        <v>8241</v>
      </c>
      <c r="H557" s="64" t="s">
        <v>8242</v>
      </c>
    </row>
    <row r="558" spans="1:8" x14ac:dyDescent="0.3">
      <c r="A558" s="64" t="s">
        <v>1063</v>
      </c>
      <c r="B558" s="64" t="s">
        <v>14</v>
      </c>
      <c r="C558" s="64" t="s">
        <v>1421</v>
      </c>
      <c r="D558" s="64" t="s">
        <v>4290</v>
      </c>
      <c r="E558" s="64" t="s">
        <v>16</v>
      </c>
      <c r="F558" s="64" t="s">
        <v>370</v>
      </c>
      <c r="G558" s="64" t="s">
        <v>8243</v>
      </c>
      <c r="H558" s="64" t="s">
        <v>8244</v>
      </c>
    </row>
    <row r="559" spans="1:8" x14ac:dyDescent="0.3">
      <c r="A559" s="64" t="s">
        <v>1064</v>
      </c>
      <c r="B559" s="64" t="s">
        <v>14</v>
      </c>
      <c r="C559" s="64" t="s">
        <v>1421</v>
      </c>
      <c r="D559" s="64" t="s">
        <v>4290</v>
      </c>
      <c r="E559" s="64" t="s">
        <v>16</v>
      </c>
      <c r="F559" s="64" t="s">
        <v>371</v>
      </c>
      <c r="G559" s="64" t="s">
        <v>8245</v>
      </c>
      <c r="H559" s="64" t="s">
        <v>8246</v>
      </c>
    </row>
    <row r="560" spans="1:8" x14ac:dyDescent="0.3">
      <c r="A560" s="64" t="s">
        <v>1065</v>
      </c>
      <c r="B560" s="64" t="s">
        <v>14</v>
      </c>
      <c r="C560" s="64" t="s">
        <v>1421</v>
      </c>
      <c r="D560" s="64" t="s">
        <v>4290</v>
      </c>
      <c r="E560" s="64" t="s">
        <v>16</v>
      </c>
      <c r="F560" s="64" t="s">
        <v>372</v>
      </c>
      <c r="G560" s="64" t="s">
        <v>8247</v>
      </c>
      <c r="H560" s="64" t="s">
        <v>8248</v>
      </c>
    </row>
    <row r="561" spans="1:8" x14ac:dyDescent="0.3">
      <c r="A561" s="64" t="s">
        <v>1066</v>
      </c>
      <c r="B561" s="64" t="s">
        <v>14</v>
      </c>
      <c r="C561" s="64" t="s">
        <v>1421</v>
      </c>
      <c r="D561" s="64" t="s">
        <v>4290</v>
      </c>
      <c r="E561" s="64" t="s">
        <v>16</v>
      </c>
      <c r="F561" s="64" t="s">
        <v>373</v>
      </c>
      <c r="G561" s="64" t="s">
        <v>8249</v>
      </c>
      <c r="H561" s="64" t="s">
        <v>8250</v>
      </c>
    </row>
    <row r="562" spans="1:8" x14ac:dyDescent="0.3">
      <c r="A562" s="64" t="s">
        <v>1067</v>
      </c>
      <c r="B562" s="64" t="s">
        <v>14</v>
      </c>
      <c r="C562" s="64" t="s">
        <v>1421</v>
      </c>
      <c r="D562" s="64" t="s">
        <v>4290</v>
      </c>
      <c r="E562" s="64" t="s">
        <v>16</v>
      </c>
      <c r="F562" s="64" t="s">
        <v>374</v>
      </c>
      <c r="G562" s="64" t="s">
        <v>8251</v>
      </c>
      <c r="H562" s="64" t="s">
        <v>8252</v>
      </c>
    </row>
    <row r="563" spans="1:8" x14ac:dyDescent="0.3">
      <c r="A563" s="64" t="s">
        <v>1068</v>
      </c>
      <c r="B563" s="64" t="s">
        <v>14</v>
      </c>
      <c r="C563" s="64" t="s">
        <v>1421</v>
      </c>
      <c r="D563" s="64" t="s">
        <v>4290</v>
      </c>
      <c r="E563" s="64" t="s">
        <v>16</v>
      </c>
      <c r="F563" s="64" t="s">
        <v>375</v>
      </c>
      <c r="G563" s="64" t="s">
        <v>8253</v>
      </c>
      <c r="H563" s="64" t="s">
        <v>8254</v>
      </c>
    </row>
    <row r="564" spans="1:8" x14ac:dyDescent="0.3">
      <c r="A564" s="64" t="s">
        <v>1069</v>
      </c>
      <c r="B564" s="64" t="s">
        <v>14</v>
      </c>
      <c r="C564" s="64" t="s">
        <v>1421</v>
      </c>
      <c r="D564" s="64" t="s">
        <v>4290</v>
      </c>
      <c r="E564" s="64" t="s">
        <v>16</v>
      </c>
      <c r="F564" s="64" t="s">
        <v>376</v>
      </c>
      <c r="G564" s="64" t="s">
        <v>8255</v>
      </c>
      <c r="H564" s="64" t="s">
        <v>8256</v>
      </c>
    </row>
    <row r="565" spans="1:8" x14ac:dyDescent="0.3">
      <c r="A565" s="64" t="s">
        <v>1070</v>
      </c>
      <c r="B565" s="64" t="s">
        <v>14</v>
      </c>
      <c r="C565" s="64" t="s">
        <v>1421</v>
      </c>
      <c r="D565" s="64" t="s">
        <v>4290</v>
      </c>
      <c r="E565" s="64" t="s">
        <v>16</v>
      </c>
      <c r="F565" s="64" t="s">
        <v>377</v>
      </c>
      <c r="G565" s="64" t="s">
        <v>8257</v>
      </c>
      <c r="H565" s="64" t="s">
        <v>8258</v>
      </c>
    </row>
    <row r="566" spans="1:8" x14ac:dyDescent="0.3">
      <c r="A566" s="64" t="s">
        <v>1071</v>
      </c>
      <c r="B566" s="64" t="s">
        <v>14</v>
      </c>
      <c r="C566" s="64" t="s">
        <v>1421</v>
      </c>
      <c r="D566" s="64" t="s">
        <v>4290</v>
      </c>
      <c r="E566" s="64" t="s">
        <v>16</v>
      </c>
      <c r="F566" s="64" t="s">
        <v>378</v>
      </c>
      <c r="G566" s="64" t="s">
        <v>8259</v>
      </c>
      <c r="H566" s="64" t="s">
        <v>8260</v>
      </c>
    </row>
    <row r="567" spans="1:8" x14ac:dyDescent="0.3">
      <c r="A567" s="64" t="s">
        <v>1072</v>
      </c>
      <c r="B567" s="64" t="s">
        <v>14</v>
      </c>
      <c r="C567" s="64" t="s">
        <v>1421</v>
      </c>
      <c r="D567" s="64" t="s">
        <v>4290</v>
      </c>
      <c r="E567" s="64" t="s">
        <v>16</v>
      </c>
      <c r="F567" s="64" t="s">
        <v>379</v>
      </c>
      <c r="G567" s="64" t="s">
        <v>8261</v>
      </c>
      <c r="H567" s="64" t="s">
        <v>8262</v>
      </c>
    </row>
    <row r="568" spans="1:8" x14ac:dyDescent="0.3">
      <c r="A568" s="64" t="s">
        <v>1073</v>
      </c>
      <c r="B568" s="64" t="s">
        <v>14</v>
      </c>
      <c r="C568" s="64" t="s">
        <v>1421</v>
      </c>
      <c r="D568" s="64" t="s">
        <v>4290</v>
      </c>
      <c r="E568" s="64" t="s">
        <v>16</v>
      </c>
      <c r="F568" s="64" t="s">
        <v>380</v>
      </c>
      <c r="G568" s="64" t="s">
        <v>8263</v>
      </c>
      <c r="H568" s="64" t="s">
        <v>8264</v>
      </c>
    </row>
    <row r="569" spans="1:8" x14ac:dyDescent="0.3">
      <c r="A569" s="64" t="s">
        <v>1074</v>
      </c>
      <c r="B569" s="64" t="s">
        <v>14</v>
      </c>
      <c r="C569" s="64" t="s">
        <v>1421</v>
      </c>
      <c r="D569" s="64" t="s">
        <v>4290</v>
      </c>
      <c r="E569" s="64" t="s">
        <v>16</v>
      </c>
      <c r="F569" s="64" t="s">
        <v>381</v>
      </c>
      <c r="G569" s="64" t="s">
        <v>8265</v>
      </c>
      <c r="H569" s="64" t="s">
        <v>8266</v>
      </c>
    </row>
    <row r="570" spans="1:8" x14ac:dyDescent="0.3">
      <c r="A570" s="64" t="s">
        <v>1075</v>
      </c>
      <c r="B570" s="64" t="s">
        <v>14</v>
      </c>
      <c r="C570" s="64" t="s">
        <v>1421</v>
      </c>
      <c r="D570" s="64" t="s">
        <v>4290</v>
      </c>
      <c r="E570" s="64" t="s">
        <v>16</v>
      </c>
      <c r="F570" s="64" t="s">
        <v>382</v>
      </c>
      <c r="G570" s="64" t="s">
        <v>8267</v>
      </c>
      <c r="H570" s="64" t="s">
        <v>8268</v>
      </c>
    </row>
    <row r="571" spans="1:8" x14ac:dyDescent="0.3">
      <c r="A571" s="64" t="s">
        <v>1076</v>
      </c>
      <c r="B571" s="64" t="s">
        <v>14</v>
      </c>
      <c r="C571" s="64" t="s">
        <v>1421</v>
      </c>
      <c r="D571" s="64" t="s">
        <v>4290</v>
      </c>
      <c r="E571" s="64" t="s">
        <v>16</v>
      </c>
      <c r="F571" s="64" t="s">
        <v>383</v>
      </c>
      <c r="G571" s="64" t="s">
        <v>8269</v>
      </c>
      <c r="H571" s="64" t="s">
        <v>8270</v>
      </c>
    </row>
    <row r="572" spans="1:8" x14ac:dyDescent="0.3">
      <c r="A572" s="64" t="s">
        <v>1077</v>
      </c>
      <c r="B572" s="64" t="s">
        <v>14</v>
      </c>
      <c r="C572" s="64" t="s">
        <v>1421</v>
      </c>
      <c r="D572" s="64" t="s">
        <v>4290</v>
      </c>
      <c r="E572" s="64" t="s">
        <v>20</v>
      </c>
      <c r="F572" s="64" t="s">
        <v>15</v>
      </c>
      <c r="G572" s="64" t="s">
        <v>8271</v>
      </c>
      <c r="H572" s="64" t="s">
        <v>1453</v>
      </c>
    </row>
    <row r="573" spans="1:8" x14ac:dyDescent="0.3">
      <c r="A573" s="64" t="s">
        <v>1078</v>
      </c>
      <c r="B573" s="64" t="s">
        <v>14</v>
      </c>
      <c r="C573" s="64" t="s">
        <v>1421</v>
      </c>
      <c r="D573" s="64" t="s">
        <v>4290</v>
      </c>
      <c r="E573" s="64" t="s">
        <v>16</v>
      </c>
      <c r="F573" s="64" t="s">
        <v>368</v>
      </c>
      <c r="G573" s="64" t="s">
        <v>8272</v>
      </c>
      <c r="H573" s="64" t="s">
        <v>8273</v>
      </c>
    </row>
    <row r="574" spans="1:8" x14ac:dyDescent="0.3">
      <c r="A574" s="64" t="s">
        <v>1079</v>
      </c>
      <c r="B574" s="64" t="s">
        <v>14</v>
      </c>
      <c r="C574" s="64" t="s">
        <v>1421</v>
      </c>
      <c r="D574" s="64" t="s">
        <v>4290</v>
      </c>
      <c r="E574" s="64" t="s">
        <v>16</v>
      </c>
      <c r="F574" s="64" t="s">
        <v>369</v>
      </c>
      <c r="G574" s="64" t="s">
        <v>8274</v>
      </c>
      <c r="H574" s="64" t="s">
        <v>8275</v>
      </c>
    </row>
    <row r="575" spans="1:8" x14ac:dyDescent="0.3">
      <c r="A575" s="64" t="s">
        <v>1080</v>
      </c>
      <c r="B575" s="64" t="s">
        <v>14</v>
      </c>
      <c r="C575" s="64" t="s">
        <v>1421</v>
      </c>
      <c r="D575" s="64" t="s">
        <v>4290</v>
      </c>
      <c r="E575" s="64" t="s">
        <v>16</v>
      </c>
      <c r="F575" s="64" t="s">
        <v>370</v>
      </c>
      <c r="G575" s="64" t="s">
        <v>8276</v>
      </c>
      <c r="H575" s="64" t="s">
        <v>8277</v>
      </c>
    </row>
    <row r="576" spans="1:8" x14ac:dyDescent="0.3">
      <c r="A576" s="64" t="s">
        <v>1081</v>
      </c>
      <c r="B576" s="64" t="s">
        <v>14</v>
      </c>
      <c r="C576" s="64" t="s">
        <v>1421</v>
      </c>
      <c r="D576" s="64" t="s">
        <v>4290</v>
      </c>
      <c r="E576" s="64" t="s">
        <v>16</v>
      </c>
      <c r="F576" s="64" t="s">
        <v>371</v>
      </c>
      <c r="G576" s="64" t="s">
        <v>8278</v>
      </c>
      <c r="H576" s="64" t="s">
        <v>8279</v>
      </c>
    </row>
    <row r="577" spans="1:8" x14ac:dyDescent="0.3">
      <c r="A577" s="64" t="s">
        <v>1082</v>
      </c>
      <c r="B577" s="64" t="s">
        <v>14</v>
      </c>
      <c r="C577" s="64" t="s">
        <v>1421</v>
      </c>
      <c r="D577" s="64" t="s">
        <v>4290</v>
      </c>
      <c r="E577" s="64" t="s">
        <v>16</v>
      </c>
      <c r="F577" s="64" t="s">
        <v>372</v>
      </c>
      <c r="G577" s="64" t="s">
        <v>8280</v>
      </c>
      <c r="H577" s="64" t="s">
        <v>8281</v>
      </c>
    </row>
    <row r="578" spans="1:8" x14ac:dyDescent="0.3">
      <c r="A578" s="64" t="s">
        <v>1083</v>
      </c>
      <c r="B578" s="64" t="s">
        <v>14</v>
      </c>
      <c r="C578" s="64" t="s">
        <v>1421</v>
      </c>
      <c r="D578" s="64" t="s">
        <v>4290</v>
      </c>
      <c r="E578" s="64" t="s">
        <v>16</v>
      </c>
      <c r="F578" s="64" t="s">
        <v>373</v>
      </c>
      <c r="G578" s="64" t="s">
        <v>8282</v>
      </c>
      <c r="H578" s="64" t="s">
        <v>8283</v>
      </c>
    </row>
    <row r="579" spans="1:8" x14ac:dyDescent="0.3">
      <c r="A579" s="64" t="s">
        <v>1084</v>
      </c>
      <c r="B579" s="64" t="s">
        <v>14</v>
      </c>
      <c r="C579" s="64" t="s">
        <v>1421</v>
      </c>
      <c r="D579" s="64" t="s">
        <v>4290</v>
      </c>
      <c r="E579" s="64" t="s">
        <v>16</v>
      </c>
      <c r="F579" s="64" t="s">
        <v>374</v>
      </c>
      <c r="G579" s="64" t="s">
        <v>8284</v>
      </c>
      <c r="H579" s="64" t="s">
        <v>8285</v>
      </c>
    </row>
    <row r="580" spans="1:8" x14ac:dyDescent="0.3">
      <c r="A580" s="64" t="s">
        <v>1085</v>
      </c>
      <c r="B580" s="64" t="s">
        <v>14</v>
      </c>
      <c r="C580" s="64" t="s">
        <v>1421</v>
      </c>
      <c r="D580" s="64" t="s">
        <v>4290</v>
      </c>
      <c r="E580" s="64" t="s">
        <v>16</v>
      </c>
      <c r="F580" s="64" t="s">
        <v>375</v>
      </c>
      <c r="G580" s="64" t="s">
        <v>8286</v>
      </c>
      <c r="H580" s="64" t="s">
        <v>8287</v>
      </c>
    </row>
    <row r="581" spans="1:8" x14ac:dyDescent="0.3">
      <c r="A581" s="64" t="s">
        <v>1086</v>
      </c>
      <c r="B581" s="64" t="s">
        <v>14</v>
      </c>
      <c r="C581" s="64" t="s">
        <v>1421</v>
      </c>
      <c r="D581" s="64" t="s">
        <v>4290</v>
      </c>
      <c r="E581" s="64" t="s">
        <v>16</v>
      </c>
      <c r="F581" s="64" t="s">
        <v>376</v>
      </c>
      <c r="G581" s="64" t="s">
        <v>8288</v>
      </c>
      <c r="H581" s="64" t="s">
        <v>8289</v>
      </c>
    </row>
    <row r="582" spans="1:8" x14ac:dyDescent="0.3">
      <c r="A582" s="64" t="s">
        <v>1087</v>
      </c>
      <c r="B582" s="64" t="s">
        <v>14</v>
      </c>
      <c r="C582" s="64" t="s">
        <v>1421</v>
      </c>
      <c r="D582" s="64" t="s">
        <v>4290</v>
      </c>
      <c r="E582" s="64" t="s">
        <v>16</v>
      </c>
      <c r="F582" s="64" t="s">
        <v>377</v>
      </c>
      <c r="G582" s="64" t="s">
        <v>8290</v>
      </c>
      <c r="H582" s="64" t="s">
        <v>8291</v>
      </c>
    </row>
    <row r="583" spans="1:8" x14ac:dyDescent="0.3">
      <c r="A583" s="64" t="s">
        <v>1088</v>
      </c>
      <c r="B583" s="64" t="s">
        <v>14</v>
      </c>
      <c r="C583" s="64" t="s">
        <v>1421</v>
      </c>
      <c r="D583" s="64" t="s">
        <v>4290</v>
      </c>
      <c r="E583" s="64" t="s">
        <v>16</v>
      </c>
      <c r="F583" s="64" t="s">
        <v>378</v>
      </c>
      <c r="G583" s="64" t="s">
        <v>8292</v>
      </c>
      <c r="H583" s="64" t="s">
        <v>8293</v>
      </c>
    </row>
    <row r="584" spans="1:8" x14ac:dyDescent="0.3">
      <c r="A584" s="64" t="s">
        <v>1089</v>
      </c>
      <c r="B584" s="64" t="s">
        <v>14</v>
      </c>
      <c r="C584" s="64" t="s">
        <v>1421</v>
      </c>
      <c r="D584" s="64" t="s">
        <v>4290</v>
      </c>
      <c r="E584" s="64" t="s">
        <v>16</v>
      </c>
      <c r="F584" s="64" t="s">
        <v>379</v>
      </c>
      <c r="G584" s="64" t="s">
        <v>8294</v>
      </c>
      <c r="H584" s="64" t="s">
        <v>8295</v>
      </c>
    </row>
    <row r="585" spans="1:8" x14ac:dyDescent="0.3">
      <c r="A585" s="64" t="s">
        <v>1090</v>
      </c>
      <c r="B585" s="64" t="s">
        <v>14</v>
      </c>
      <c r="C585" s="64" t="s">
        <v>1421</v>
      </c>
      <c r="D585" s="64" t="s">
        <v>4290</v>
      </c>
      <c r="E585" s="64" t="s">
        <v>16</v>
      </c>
      <c r="F585" s="64" t="s">
        <v>380</v>
      </c>
      <c r="G585" s="64" t="s">
        <v>8296</v>
      </c>
      <c r="H585" s="64" t="s">
        <v>8297</v>
      </c>
    </row>
    <row r="586" spans="1:8" x14ac:dyDescent="0.3">
      <c r="A586" s="64" t="s">
        <v>1091</v>
      </c>
      <c r="B586" s="64" t="s">
        <v>14</v>
      </c>
      <c r="C586" s="64" t="s">
        <v>1421</v>
      </c>
      <c r="D586" s="64" t="s">
        <v>4290</v>
      </c>
      <c r="E586" s="64" t="s">
        <v>16</v>
      </c>
      <c r="F586" s="64" t="s">
        <v>381</v>
      </c>
      <c r="G586" s="64" t="s">
        <v>8298</v>
      </c>
      <c r="H586" s="64" t="s">
        <v>8299</v>
      </c>
    </row>
    <row r="587" spans="1:8" x14ac:dyDescent="0.3">
      <c r="A587" s="64" t="s">
        <v>1092</v>
      </c>
      <c r="B587" s="64" t="s">
        <v>14</v>
      </c>
      <c r="C587" s="64" t="s">
        <v>1421</v>
      </c>
      <c r="D587" s="64" t="s">
        <v>4290</v>
      </c>
      <c r="E587" s="64" t="s">
        <v>16</v>
      </c>
      <c r="F587" s="64" t="s">
        <v>382</v>
      </c>
      <c r="G587" s="64" t="s">
        <v>8300</v>
      </c>
      <c r="H587" s="64" t="s">
        <v>8301</v>
      </c>
    </row>
    <row r="588" spans="1:8" x14ac:dyDescent="0.3">
      <c r="A588" s="64" t="s">
        <v>1093</v>
      </c>
      <c r="B588" s="64" t="s">
        <v>14</v>
      </c>
      <c r="C588" s="64" t="s">
        <v>1421</v>
      </c>
      <c r="D588" s="64" t="s">
        <v>4290</v>
      </c>
      <c r="E588" s="64" t="s">
        <v>16</v>
      </c>
      <c r="F588" s="64" t="s">
        <v>383</v>
      </c>
      <c r="G588" s="64" t="s">
        <v>8302</v>
      </c>
      <c r="H588" s="64" t="s">
        <v>8303</v>
      </c>
    </row>
    <row r="589" spans="1:8" x14ac:dyDescent="0.3">
      <c r="A589" s="64" t="s">
        <v>1094</v>
      </c>
      <c r="B589" s="64" t="s">
        <v>14</v>
      </c>
      <c r="C589" s="64" t="s">
        <v>1429</v>
      </c>
      <c r="D589" s="64" t="s">
        <v>4290</v>
      </c>
      <c r="E589" s="64" t="s">
        <v>20</v>
      </c>
      <c r="F589" s="64" t="s">
        <v>15</v>
      </c>
      <c r="G589" s="64" t="s">
        <v>8304</v>
      </c>
      <c r="H589" s="64" t="s">
        <v>5167</v>
      </c>
    </row>
    <row r="590" spans="1:8" x14ac:dyDescent="0.3">
      <c r="A590" s="64" t="s">
        <v>1095</v>
      </c>
      <c r="B590" s="64" t="s">
        <v>14</v>
      </c>
      <c r="C590" s="64" t="s">
        <v>1429</v>
      </c>
      <c r="D590" s="64" t="s">
        <v>4290</v>
      </c>
      <c r="E590" s="64" t="s">
        <v>16</v>
      </c>
      <c r="F590" s="64" t="s">
        <v>368</v>
      </c>
      <c r="G590" s="64" t="s">
        <v>8305</v>
      </c>
      <c r="H590" s="64" t="s">
        <v>8306</v>
      </c>
    </row>
    <row r="591" spans="1:8" x14ac:dyDescent="0.3">
      <c r="A591" s="64" t="s">
        <v>1096</v>
      </c>
      <c r="B591" s="64" t="s">
        <v>14</v>
      </c>
      <c r="C591" s="64" t="s">
        <v>1429</v>
      </c>
      <c r="D591" s="64" t="s">
        <v>4290</v>
      </c>
      <c r="E591" s="64" t="s">
        <v>16</v>
      </c>
      <c r="F591" s="64" t="s">
        <v>369</v>
      </c>
      <c r="G591" s="64" t="s">
        <v>8307</v>
      </c>
      <c r="H591" s="64" t="s">
        <v>8308</v>
      </c>
    </row>
    <row r="592" spans="1:8" x14ac:dyDescent="0.3">
      <c r="A592" s="64" t="s">
        <v>1097</v>
      </c>
      <c r="B592" s="64" t="s">
        <v>14</v>
      </c>
      <c r="C592" s="64" t="s">
        <v>1429</v>
      </c>
      <c r="D592" s="64" t="s">
        <v>4290</v>
      </c>
      <c r="E592" s="64" t="s">
        <v>16</v>
      </c>
      <c r="F592" s="64" t="s">
        <v>370</v>
      </c>
      <c r="G592" s="64" t="s">
        <v>8309</v>
      </c>
      <c r="H592" s="64" t="s">
        <v>8310</v>
      </c>
    </row>
    <row r="593" spans="1:8" x14ac:dyDescent="0.3">
      <c r="A593" s="64" t="s">
        <v>1098</v>
      </c>
      <c r="B593" s="64" t="s">
        <v>14</v>
      </c>
      <c r="C593" s="64" t="s">
        <v>1429</v>
      </c>
      <c r="D593" s="64" t="s">
        <v>4290</v>
      </c>
      <c r="E593" s="64" t="s">
        <v>16</v>
      </c>
      <c r="F593" s="64" t="s">
        <v>371</v>
      </c>
      <c r="G593" s="64" t="s">
        <v>8311</v>
      </c>
      <c r="H593" s="64" t="s">
        <v>8312</v>
      </c>
    </row>
    <row r="594" spans="1:8" x14ac:dyDescent="0.3">
      <c r="A594" s="64" t="s">
        <v>1099</v>
      </c>
      <c r="B594" s="64" t="s">
        <v>14</v>
      </c>
      <c r="C594" s="64" t="s">
        <v>1429</v>
      </c>
      <c r="D594" s="64" t="s">
        <v>4290</v>
      </c>
      <c r="E594" s="64" t="s">
        <v>16</v>
      </c>
      <c r="F594" s="64" t="s">
        <v>372</v>
      </c>
      <c r="G594" s="64" t="s">
        <v>8313</v>
      </c>
      <c r="H594" s="64" t="s">
        <v>8314</v>
      </c>
    </row>
    <row r="595" spans="1:8" x14ac:dyDescent="0.3">
      <c r="A595" s="64" t="s">
        <v>1100</v>
      </c>
      <c r="B595" s="64" t="s">
        <v>14</v>
      </c>
      <c r="C595" s="64" t="s">
        <v>1429</v>
      </c>
      <c r="D595" s="64" t="s">
        <v>4290</v>
      </c>
      <c r="E595" s="64" t="s">
        <v>16</v>
      </c>
      <c r="F595" s="64" t="s">
        <v>373</v>
      </c>
      <c r="G595" s="64" t="s">
        <v>8315</v>
      </c>
      <c r="H595" s="64" t="s">
        <v>8316</v>
      </c>
    </row>
    <row r="596" spans="1:8" x14ac:dyDescent="0.3">
      <c r="A596" s="64" t="s">
        <v>1101</v>
      </c>
      <c r="B596" s="64" t="s">
        <v>14</v>
      </c>
      <c r="C596" s="64" t="s">
        <v>1429</v>
      </c>
      <c r="D596" s="64" t="s">
        <v>4290</v>
      </c>
      <c r="E596" s="64" t="s">
        <v>16</v>
      </c>
      <c r="F596" s="64" t="s">
        <v>374</v>
      </c>
      <c r="G596" s="64" t="s">
        <v>8317</v>
      </c>
      <c r="H596" s="64" t="s">
        <v>8318</v>
      </c>
    </row>
    <row r="597" spans="1:8" x14ac:dyDescent="0.3">
      <c r="A597" s="64" t="s">
        <v>1102</v>
      </c>
      <c r="B597" s="64" t="s">
        <v>14</v>
      </c>
      <c r="C597" s="64" t="s">
        <v>1429</v>
      </c>
      <c r="D597" s="64" t="s">
        <v>4290</v>
      </c>
      <c r="E597" s="64" t="s">
        <v>16</v>
      </c>
      <c r="F597" s="64" t="s">
        <v>375</v>
      </c>
      <c r="G597" s="64" t="s">
        <v>8319</v>
      </c>
      <c r="H597" s="64" t="s">
        <v>8320</v>
      </c>
    </row>
    <row r="598" spans="1:8" x14ac:dyDescent="0.3">
      <c r="A598" s="64" t="s">
        <v>1103</v>
      </c>
      <c r="B598" s="64" t="s">
        <v>14</v>
      </c>
      <c r="C598" s="64" t="s">
        <v>1429</v>
      </c>
      <c r="D598" s="64" t="s">
        <v>4290</v>
      </c>
      <c r="E598" s="64" t="s">
        <v>16</v>
      </c>
      <c r="F598" s="64" t="s">
        <v>376</v>
      </c>
      <c r="G598" s="64" t="s">
        <v>8321</v>
      </c>
      <c r="H598" s="64" t="s">
        <v>8322</v>
      </c>
    </row>
    <row r="599" spans="1:8" x14ac:dyDescent="0.3">
      <c r="A599" s="64" t="s">
        <v>1104</v>
      </c>
      <c r="B599" s="64" t="s">
        <v>14</v>
      </c>
      <c r="C599" s="64" t="s">
        <v>1429</v>
      </c>
      <c r="D599" s="64" t="s">
        <v>4290</v>
      </c>
      <c r="E599" s="64" t="s">
        <v>16</v>
      </c>
      <c r="F599" s="64" t="s">
        <v>377</v>
      </c>
      <c r="G599" s="64" t="s">
        <v>8323</v>
      </c>
      <c r="H599" s="64" t="s">
        <v>8324</v>
      </c>
    </row>
    <row r="600" spans="1:8" x14ac:dyDescent="0.3">
      <c r="A600" s="64" t="s">
        <v>1105</v>
      </c>
      <c r="B600" s="64" t="s">
        <v>14</v>
      </c>
      <c r="C600" s="64" t="s">
        <v>1429</v>
      </c>
      <c r="D600" s="64" t="s">
        <v>4290</v>
      </c>
      <c r="E600" s="64" t="s">
        <v>16</v>
      </c>
      <c r="F600" s="64" t="s">
        <v>378</v>
      </c>
      <c r="G600" s="64" t="s">
        <v>8325</v>
      </c>
      <c r="H600" s="64" t="s">
        <v>8326</v>
      </c>
    </row>
    <row r="601" spans="1:8" x14ac:dyDescent="0.3">
      <c r="A601" s="64" t="s">
        <v>1106</v>
      </c>
      <c r="B601" s="64" t="s">
        <v>14</v>
      </c>
      <c r="C601" s="64" t="s">
        <v>1429</v>
      </c>
      <c r="D601" s="64" t="s">
        <v>4290</v>
      </c>
      <c r="E601" s="64" t="s">
        <v>16</v>
      </c>
      <c r="F601" s="64" t="s">
        <v>379</v>
      </c>
      <c r="G601" s="64" t="s">
        <v>8327</v>
      </c>
      <c r="H601" s="64" t="s">
        <v>8328</v>
      </c>
    </row>
    <row r="602" spans="1:8" x14ac:dyDescent="0.3">
      <c r="A602" s="64" t="s">
        <v>1107</v>
      </c>
      <c r="B602" s="64" t="s">
        <v>14</v>
      </c>
      <c r="C602" s="64" t="s">
        <v>1429</v>
      </c>
      <c r="D602" s="64" t="s">
        <v>4290</v>
      </c>
      <c r="E602" s="64" t="s">
        <v>16</v>
      </c>
      <c r="F602" s="64" t="s">
        <v>380</v>
      </c>
      <c r="G602" s="64" t="s">
        <v>8329</v>
      </c>
      <c r="H602" s="64" t="s">
        <v>8330</v>
      </c>
    </row>
    <row r="603" spans="1:8" x14ac:dyDescent="0.3">
      <c r="A603" s="64" t="s">
        <v>1108</v>
      </c>
      <c r="B603" s="64" t="s">
        <v>14</v>
      </c>
      <c r="C603" s="64" t="s">
        <v>1429</v>
      </c>
      <c r="D603" s="64" t="s">
        <v>4290</v>
      </c>
      <c r="E603" s="64" t="s">
        <v>16</v>
      </c>
      <c r="F603" s="64" t="s">
        <v>381</v>
      </c>
      <c r="G603" s="64" t="s">
        <v>8331</v>
      </c>
      <c r="H603" s="64" t="s">
        <v>8332</v>
      </c>
    </row>
    <row r="604" spans="1:8" x14ac:dyDescent="0.3">
      <c r="A604" s="64" t="s">
        <v>1109</v>
      </c>
      <c r="B604" s="64" t="s">
        <v>14</v>
      </c>
      <c r="C604" s="64" t="s">
        <v>1429</v>
      </c>
      <c r="D604" s="64" t="s">
        <v>4290</v>
      </c>
      <c r="E604" s="64" t="s">
        <v>16</v>
      </c>
      <c r="F604" s="64" t="s">
        <v>382</v>
      </c>
      <c r="G604" s="64" t="s">
        <v>8333</v>
      </c>
      <c r="H604" s="64" t="s">
        <v>8334</v>
      </c>
    </row>
    <row r="605" spans="1:8" x14ac:dyDescent="0.3">
      <c r="A605" s="64" t="s">
        <v>1110</v>
      </c>
      <c r="B605" s="64" t="s">
        <v>14</v>
      </c>
      <c r="C605" s="64" t="s">
        <v>1429</v>
      </c>
      <c r="D605" s="64" t="s">
        <v>4290</v>
      </c>
      <c r="E605" s="64" t="s">
        <v>16</v>
      </c>
      <c r="F605" s="64" t="s">
        <v>383</v>
      </c>
      <c r="G605" s="64" t="s">
        <v>8335</v>
      </c>
      <c r="H605" s="64" t="s">
        <v>8336</v>
      </c>
    </row>
    <row r="606" spans="1:8" x14ac:dyDescent="0.3">
      <c r="A606" s="64" t="s">
        <v>1111</v>
      </c>
      <c r="B606" s="64" t="s">
        <v>14</v>
      </c>
      <c r="C606" s="64" t="s">
        <v>1429</v>
      </c>
      <c r="D606" s="64" t="s">
        <v>4290</v>
      </c>
      <c r="E606" s="64" t="s">
        <v>20</v>
      </c>
      <c r="F606" s="64" t="s">
        <v>15</v>
      </c>
      <c r="G606" s="64" t="s">
        <v>8337</v>
      </c>
      <c r="H606" s="64" t="s">
        <v>1455</v>
      </c>
    </row>
    <row r="607" spans="1:8" x14ac:dyDescent="0.3">
      <c r="A607" s="64" t="s">
        <v>1112</v>
      </c>
      <c r="B607" s="64" t="s">
        <v>14</v>
      </c>
      <c r="C607" s="64" t="s">
        <v>1429</v>
      </c>
      <c r="D607" s="64" t="s">
        <v>4290</v>
      </c>
      <c r="E607" s="64" t="s">
        <v>16</v>
      </c>
      <c r="F607" s="64" t="s">
        <v>368</v>
      </c>
      <c r="G607" s="64" t="s">
        <v>8338</v>
      </c>
      <c r="H607" s="64" t="s">
        <v>8339</v>
      </c>
    </row>
    <row r="608" spans="1:8" x14ac:dyDescent="0.3">
      <c r="A608" s="64" t="s">
        <v>1113</v>
      </c>
      <c r="B608" s="64" t="s">
        <v>14</v>
      </c>
      <c r="C608" s="64" t="s">
        <v>1429</v>
      </c>
      <c r="D608" s="64" t="s">
        <v>4290</v>
      </c>
      <c r="E608" s="64" t="s">
        <v>16</v>
      </c>
      <c r="F608" s="64" t="s">
        <v>369</v>
      </c>
      <c r="G608" s="64" t="s">
        <v>8340</v>
      </c>
      <c r="H608" s="64" t="s">
        <v>8341</v>
      </c>
    </row>
    <row r="609" spans="1:8" x14ac:dyDescent="0.3">
      <c r="A609" s="64" t="s">
        <v>1114</v>
      </c>
      <c r="B609" s="64" t="s">
        <v>14</v>
      </c>
      <c r="C609" s="64" t="s">
        <v>1429</v>
      </c>
      <c r="D609" s="64" t="s">
        <v>4290</v>
      </c>
      <c r="E609" s="64" t="s">
        <v>16</v>
      </c>
      <c r="F609" s="64" t="s">
        <v>370</v>
      </c>
      <c r="G609" s="64" t="s">
        <v>8342</v>
      </c>
      <c r="H609" s="64" t="s">
        <v>8343</v>
      </c>
    </row>
    <row r="610" spans="1:8" x14ac:dyDescent="0.3">
      <c r="A610" s="64" t="s">
        <v>1115</v>
      </c>
      <c r="B610" s="64" t="s">
        <v>14</v>
      </c>
      <c r="C610" s="64" t="s">
        <v>1429</v>
      </c>
      <c r="D610" s="64" t="s">
        <v>4290</v>
      </c>
      <c r="E610" s="64" t="s">
        <v>16</v>
      </c>
      <c r="F610" s="64" t="s">
        <v>371</v>
      </c>
      <c r="G610" s="64" t="s">
        <v>8344</v>
      </c>
      <c r="H610" s="64" t="s">
        <v>8345</v>
      </c>
    </row>
    <row r="611" spans="1:8" x14ac:dyDescent="0.3">
      <c r="A611" s="64" t="s">
        <v>1116</v>
      </c>
      <c r="B611" s="64" t="s">
        <v>14</v>
      </c>
      <c r="C611" s="64" t="s">
        <v>1429</v>
      </c>
      <c r="D611" s="64" t="s">
        <v>4290</v>
      </c>
      <c r="E611" s="64" t="s">
        <v>16</v>
      </c>
      <c r="F611" s="64" t="s">
        <v>372</v>
      </c>
      <c r="G611" s="64" t="s">
        <v>8346</v>
      </c>
      <c r="H611" s="64" t="s">
        <v>8347</v>
      </c>
    </row>
    <row r="612" spans="1:8" x14ac:dyDescent="0.3">
      <c r="A612" s="64" t="s">
        <v>1117</v>
      </c>
      <c r="B612" s="64" t="s">
        <v>14</v>
      </c>
      <c r="C612" s="64" t="s">
        <v>1429</v>
      </c>
      <c r="D612" s="64" t="s">
        <v>4290</v>
      </c>
      <c r="E612" s="64" t="s">
        <v>16</v>
      </c>
      <c r="F612" s="64" t="s">
        <v>373</v>
      </c>
      <c r="G612" s="64" t="s">
        <v>8348</v>
      </c>
      <c r="H612" s="64" t="s">
        <v>8349</v>
      </c>
    </row>
    <row r="613" spans="1:8" x14ac:dyDescent="0.3">
      <c r="A613" s="64" t="s">
        <v>1118</v>
      </c>
      <c r="B613" s="64" t="s">
        <v>14</v>
      </c>
      <c r="C613" s="64" t="s">
        <v>1429</v>
      </c>
      <c r="D613" s="64" t="s">
        <v>4290</v>
      </c>
      <c r="E613" s="64" t="s">
        <v>16</v>
      </c>
      <c r="F613" s="64" t="s">
        <v>374</v>
      </c>
      <c r="G613" s="64" t="s">
        <v>8350</v>
      </c>
      <c r="H613" s="64" t="s">
        <v>8351</v>
      </c>
    </row>
    <row r="614" spans="1:8" x14ac:dyDescent="0.3">
      <c r="A614" s="64" t="s">
        <v>1119</v>
      </c>
      <c r="B614" s="64" t="s">
        <v>14</v>
      </c>
      <c r="C614" s="64" t="s">
        <v>1429</v>
      </c>
      <c r="D614" s="64" t="s">
        <v>4290</v>
      </c>
      <c r="E614" s="64" t="s">
        <v>16</v>
      </c>
      <c r="F614" s="64" t="s">
        <v>375</v>
      </c>
      <c r="G614" s="64" t="s">
        <v>8352</v>
      </c>
      <c r="H614" s="64" t="s">
        <v>8353</v>
      </c>
    </row>
    <row r="615" spans="1:8" x14ac:dyDescent="0.3">
      <c r="A615" s="64" t="s">
        <v>1120</v>
      </c>
      <c r="B615" s="64" t="s">
        <v>14</v>
      </c>
      <c r="C615" s="64" t="s">
        <v>1429</v>
      </c>
      <c r="D615" s="64" t="s">
        <v>4290</v>
      </c>
      <c r="E615" s="64" t="s">
        <v>16</v>
      </c>
      <c r="F615" s="64" t="s">
        <v>376</v>
      </c>
      <c r="G615" s="64" t="s">
        <v>8354</v>
      </c>
      <c r="H615" s="64" t="s">
        <v>8355</v>
      </c>
    </row>
    <row r="616" spans="1:8" x14ac:dyDescent="0.3">
      <c r="A616" s="64" t="s">
        <v>1121</v>
      </c>
      <c r="B616" s="64" t="s">
        <v>14</v>
      </c>
      <c r="C616" s="64" t="s">
        <v>1429</v>
      </c>
      <c r="D616" s="64" t="s">
        <v>4290</v>
      </c>
      <c r="E616" s="64" t="s">
        <v>16</v>
      </c>
      <c r="F616" s="64" t="s">
        <v>377</v>
      </c>
      <c r="G616" s="64" t="s">
        <v>8356</v>
      </c>
      <c r="H616" s="64" t="s">
        <v>8357</v>
      </c>
    </row>
    <row r="617" spans="1:8" x14ac:dyDescent="0.3">
      <c r="A617" s="64" t="s">
        <v>1122</v>
      </c>
      <c r="B617" s="64" t="s">
        <v>14</v>
      </c>
      <c r="C617" s="64" t="s">
        <v>1429</v>
      </c>
      <c r="D617" s="64" t="s">
        <v>4290</v>
      </c>
      <c r="E617" s="64" t="s">
        <v>16</v>
      </c>
      <c r="F617" s="64" t="s">
        <v>378</v>
      </c>
      <c r="G617" s="64" t="s">
        <v>8358</v>
      </c>
      <c r="H617" s="64" t="s">
        <v>8359</v>
      </c>
    </row>
    <row r="618" spans="1:8" x14ac:dyDescent="0.3">
      <c r="A618" s="64" t="s">
        <v>1123</v>
      </c>
      <c r="B618" s="64" t="s">
        <v>14</v>
      </c>
      <c r="C618" s="64" t="s">
        <v>1429</v>
      </c>
      <c r="D618" s="64" t="s">
        <v>4290</v>
      </c>
      <c r="E618" s="64" t="s">
        <v>16</v>
      </c>
      <c r="F618" s="64" t="s">
        <v>379</v>
      </c>
      <c r="G618" s="64" t="s">
        <v>8360</v>
      </c>
      <c r="H618" s="64" t="s">
        <v>8361</v>
      </c>
    </row>
    <row r="619" spans="1:8" x14ac:dyDescent="0.3">
      <c r="A619" s="64" t="s">
        <v>1124</v>
      </c>
      <c r="B619" s="64" t="s">
        <v>14</v>
      </c>
      <c r="C619" s="64" t="s">
        <v>1429</v>
      </c>
      <c r="D619" s="64" t="s">
        <v>4290</v>
      </c>
      <c r="E619" s="64" t="s">
        <v>16</v>
      </c>
      <c r="F619" s="64" t="s">
        <v>380</v>
      </c>
      <c r="G619" s="64" t="s">
        <v>8362</v>
      </c>
      <c r="H619" s="64" t="s">
        <v>8363</v>
      </c>
    </row>
    <row r="620" spans="1:8" x14ac:dyDescent="0.3">
      <c r="A620" s="64" t="s">
        <v>1125</v>
      </c>
      <c r="B620" s="64" t="s">
        <v>14</v>
      </c>
      <c r="C620" s="64" t="s">
        <v>1429</v>
      </c>
      <c r="D620" s="64" t="s">
        <v>4290</v>
      </c>
      <c r="E620" s="64" t="s">
        <v>16</v>
      </c>
      <c r="F620" s="64" t="s">
        <v>381</v>
      </c>
      <c r="G620" s="64" t="s">
        <v>8364</v>
      </c>
      <c r="H620" s="64" t="s">
        <v>8365</v>
      </c>
    </row>
    <row r="621" spans="1:8" x14ac:dyDescent="0.3">
      <c r="A621" s="64" t="s">
        <v>1126</v>
      </c>
      <c r="B621" s="64" t="s">
        <v>14</v>
      </c>
      <c r="C621" s="64" t="s">
        <v>1429</v>
      </c>
      <c r="D621" s="64" t="s">
        <v>4290</v>
      </c>
      <c r="E621" s="64" t="s">
        <v>16</v>
      </c>
      <c r="F621" s="64" t="s">
        <v>382</v>
      </c>
      <c r="G621" s="64" t="s">
        <v>8366</v>
      </c>
      <c r="H621" s="64" t="s">
        <v>8367</v>
      </c>
    </row>
    <row r="622" spans="1:8" x14ac:dyDescent="0.3">
      <c r="A622" s="64" t="s">
        <v>1127</v>
      </c>
      <c r="B622" s="64" t="s">
        <v>14</v>
      </c>
      <c r="C622" s="64" t="s">
        <v>1429</v>
      </c>
      <c r="D622" s="64" t="s">
        <v>4290</v>
      </c>
      <c r="E622" s="64" t="s">
        <v>16</v>
      </c>
      <c r="F622" s="64" t="s">
        <v>383</v>
      </c>
      <c r="G622" s="64" t="s">
        <v>8368</v>
      </c>
      <c r="H622" s="64" t="s">
        <v>8369</v>
      </c>
    </row>
    <row r="623" spans="1:8" x14ac:dyDescent="0.3">
      <c r="A623" s="64" t="s">
        <v>1128</v>
      </c>
      <c r="B623" s="64" t="s">
        <v>14</v>
      </c>
      <c r="C623" s="64" t="s">
        <v>1429</v>
      </c>
      <c r="D623" s="64" t="s">
        <v>4290</v>
      </c>
      <c r="E623" s="64" t="s">
        <v>20</v>
      </c>
      <c r="F623" s="64" t="s">
        <v>15</v>
      </c>
      <c r="G623" s="64" t="s">
        <v>8370</v>
      </c>
      <c r="H623" s="64" t="s">
        <v>1456</v>
      </c>
    </row>
    <row r="624" spans="1:8" x14ac:dyDescent="0.3">
      <c r="A624" s="64" t="s">
        <v>1129</v>
      </c>
      <c r="B624" s="64" t="s">
        <v>14</v>
      </c>
      <c r="C624" s="64" t="s">
        <v>1429</v>
      </c>
      <c r="D624" s="64" t="s">
        <v>4290</v>
      </c>
      <c r="E624" s="64" t="s">
        <v>16</v>
      </c>
      <c r="F624" s="64" t="s">
        <v>368</v>
      </c>
      <c r="G624" s="64" t="s">
        <v>8371</v>
      </c>
      <c r="H624" s="64" t="s">
        <v>8372</v>
      </c>
    </row>
    <row r="625" spans="1:8" x14ac:dyDescent="0.3">
      <c r="A625" s="64" t="s">
        <v>1130</v>
      </c>
      <c r="B625" s="64" t="s">
        <v>14</v>
      </c>
      <c r="C625" s="64" t="s">
        <v>1429</v>
      </c>
      <c r="D625" s="64" t="s">
        <v>4290</v>
      </c>
      <c r="E625" s="64" t="s">
        <v>16</v>
      </c>
      <c r="F625" s="64" t="s">
        <v>369</v>
      </c>
      <c r="G625" s="64" t="s">
        <v>8373</v>
      </c>
      <c r="H625" s="64" t="s">
        <v>8374</v>
      </c>
    </row>
    <row r="626" spans="1:8" x14ac:dyDescent="0.3">
      <c r="A626" s="64" t="s">
        <v>1131</v>
      </c>
      <c r="B626" s="64" t="s">
        <v>14</v>
      </c>
      <c r="C626" s="64" t="s">
        <v>1429</v>
      </c>
      <c r="D626" s="64" t="s">
        <v>4290</v>
      </c>
      <c r="E626" s="64" t="s">
        <v>16</v>
      </c>
      <c r="F626" s="64" t="s">
        <v>370</v>
      </c>
      <c r="G626" s="64" t="s">
        <v>8375</v>
      </c>
      <c r="H626" s="64" t="s">
        <v>8376</v>
      </c>
    </row>
    <row r="627" spans="1:8" x14ac:dyDescent="0.3">
      <c r="A627" s="64" t="s">
        <v>1132</v>
      </c>
      <c r="B627" s="64" t="s">
        <v>14</v>
      </c>
      <c r="C627" s="64" t="s">
        <v>1429</v>
      </c>
      <c r="D627" s="64" t="s">
        <v>4290</v>
      </c>
      <c r="E627" s="64" t="s">
        <v>16</v>
      </c>
      <c r="F627" s="64" t="s">
        <v>371</v>
      </c>
      <c r="G627" s="64" t="s">
        <v>8377</v>
      </c>
      <c r="H627" s="64" t="s">
        <v>8378</v>
      </c>
    </row>
    <row r="628" spans="1:8" x14ac:dyDescent="0.3">
      <c r="A628" s="64" t="s">
        <v>1133</v>
      </c>
      <c r="B628" s="64" t="s">
        <v>14</v>
      </c>
      <c r="C628" s="64" t="s">
        <v>1429</v>
      </c>
      <c r="D628" s="64" t="s">
        <v>4290</v>
      </c>
      <c r="E628" s="64" t="s">
        <v>16</v>
      </c>
      <c r="F628" s="64" t="s">
        <v>372</v>
      </c>
      <c r="G628" s="64" t="s">
        <v>8379</v>
      </c>
      <c r="H628" s="64" t="s">
        <v>8380</v>
      </c>
    </row>
    <row r="629" spans="1:8" x14ac:dyDescent="0.3">
      <c r="A629" s="64" t="s">
        <v>1134</v>
      </c>
      <c r="B629" s="64" t="s">
        <v>14</v>
      </c>
      <c r="C629" s="64" t="s">
        <v>1429</v>
      </c>
      <c r="D629" s="64" t="s">
        <v>4290</v>
      </c>
      <c r="E629" s="64" t="s">
        <v>16</v>
      </c>
      <c r="F629" s="64" t="s">
        <v>373</v>
      </c>
      <c r="G629" s="64" t="s">
        <v>8381</v>
      </c>
      <c r="H629" s="64" t="s">
        <v>8382</v>
      </c>
    </row>
    <row r="630" spans="1:8" x14ac:dyDescent="0.3">
      <c r="A630" s="64" t="s">
        <v>1135</v>
      </c>
      <c r="B630" s="64" t="s">
        <v>14</v>
      </c>
      <c r="C630" s="64" t="s">
        <v>1429</v>
      </c>
      <c r="D630" s="64" t="s">
        <v>4290</v>
      </c>
      <c r="E630" s="64" t="s">
        <v>16</v>
      </c>
      <c r="F630" s="64" t="s">
        <v>374</v>
      </c>
      <c r="G630" s="64" t="s">
        <v>8383</v>
      </c>
      <c r="H630" s="64" t="s">
        <v>8384</v>
      </c>
    </row>
    <row r="631" spans="1:8" x14ac:dyDescent="0.3">
      <c r="A631" s="64" t="s">
        <v>1136</v>
      </c>
      <c r="B631" s="64" t="s">
        <v>14</v>
      </c>
      <c r="C631" s="64" t="s">
        <v>1429</v>
      </c>
      <c r="D631" s="64" t="s">
        <v>4290</v>
      </c>
      <c r="E631" s="64" t="s">
        <v>16</v>
      </c>
      <c r="F631" s="64" t="s">
        <v>375</v>
      </c>
      <c r="G631" s="64" t="s">
        <v>8385</v>
      </c>
      <c r="H631" s="64" t="s">
        <v>8386</v>
      </c>
    </row>
    <row r="632" spans="1:8" x14ac:dyDescent="0.3">
      <c r="A632" s="64" t="s">
        <v>1137</v>
      </c>
      <c r="B632" s="64" t="s">
        <v>14</v>
      </c>
      <c r="C632" s="64" t="s">
        <v>1429</v>
      </c>
      <c r="D632" s="64" t="s">
        <v>4290</v>
      </c>
      <c r="E632" s="64" t="s">
        <v>16</v>
      </c>
      <c r="F632" s="64" t="s">
        <v>376</v>
      </c>
      <c r="G632" s="64" t="s">
        <v>8387</v>
      </c>
      <c r="H632" s="64" t="s">
        <v>8388</v>
      </c>
    </row>
    <row r="633" spans="1:8" x14ac:dyDescent="0.3">
      <c r="A633" s="64" t="s">
        <v>1138</v>
      </c>
      <c r="B633" s="64" t="s">
        <v>14</v>
      </c>
      <c r="C633" s="64" t="s">
        <v>1429</v>
      </c>
      <c r="D633" s="64" t="s">
        <v>4290</v>
      </c>
      <c r="E633" s="64" t="s">
        <v>16</v>
      </c>
      <c r="F633" s="64" t="s">
        <v>377</v>
      </c>
      <c r="G633" s="64" t="s">
        <v>8389</v>
      </c>
      <c r="H633" s="64" t="s">
        <v>8390</v>
      </c>
    </row>
    <row r="634" spans="1:8" x14ac:dyDescent="0.3">
      <c r="A634" s="64" t="s">
        <v>1139</v>
      </c>
      <c r="B634" s="64" t="s">
        <v>14</v>
      </c>
      <c r="C634" s="64" t="s">
        <v>1429</v>
      </c>
      <c r="D634" s="64" t="s">
        <v>4290</v>
      </c>
      <c r="E634" s="64" t="s">
        <v>16</v>
      </c>
      <c r="F634" s="64" t="s">
        <v>378</v>
      </c>
      <c r="G634" s="64" t="s">
        <v>8391</v>
      </c>
      <c r="H634" s="64" t="s">
        <v>8392</v>
      </c>
    </row>
    <row r="635" spans="1:8" x14ac:dyDescent="0.3">
      <c r="A635" s="64" t="s">
        <v>1140</v>
      </c>
      <c r="B635" s="64" t="s">
        <v>14</v>
      </c>
      <c r="C635" s="64" t="s">
        <v>1429</v>
      </c>
      <c r="D635" s="64" t="s">
        <v>4290</v>
      </c>
      <c r="E635" s="64" t="s">
        <v>16</v>
      </c>
      <c r="F635" s="64" t="s">
        <v>379</v>
      </c>
      <c r="G635" s="64" t="s">
        <v>8393</v>
      </c>
      <c r="H635" s="64" t="s">
        <v>8394</v>
      </c>
    </row>
    <row r="636" spans="1:8" x14ac:dyDescent="0.3">
      <c r="A636" s="64" t="s">
        <v>1141</v>
      </c>
      <c r="B636" s="64" t="s">
        <v>14</v>
      </c>
      <c r="C636" s="64" t="s">
        <v>1429</v>
      </c>
      <c r="D636" s="64" t="s">
        <v>4290</v>
      </c>
      <c r="E636" s="64" t="s">
        <v>16</v>
      </c>
      <c r="F636" s="64" t="s">
        <v>380</v>
      </c>
      <c r="G636" s="64" t="s">
        <v>8395</v>
      </c>
      <c r="H636" s="64" t="s">
        <v>8396</v>
      </c>
    </row>
    <row r="637" spans="1:8" x14ac:dyDescent="0.3">
      <c r="A637" s="64" t="s">
        <v>1142</v>
      </c>
      <c r="B637" s="64" t="s">
        <v>14</v>
      </c>
      <c r="C637" s="64" t="s">
        <v>1429</v>
      </c>
      <c r="D637" s="64" t="s">
        <v>4290</v>
      </c>
      <c r="E637" s="64" t="s">
        <v>16</v>
      </c>
      <c r="F637" s="64" t="s">
        <v>381</v>
      </c>
      <c r="G637" s="64" t="s">
        <v>8397</v>
      </c>
      <c r="H637" s="64" t="s">
        <v>8398</v>
      </c>
    </row>
    <row r="638" spans="1:8" x14ac:dyDescent="0.3">
      <c r="A638" s="64" t="s">
        <v>1143</v>
      </c>
      <c r="B638" s="64" t="s">
        <v>14</v>
      </c>
      <c r="C638" s="64" t="s">
        <v>1429</v>
      </c>
      <c r="D638" s="64" t="s">
        <v>4290</v>
      </c>
      <c r="E638" s="64" t="s">
        <v>16</v>
      </c>
      <c r="F638" s="64" t="s">
        <v>382</v>
      </c>
      <c r="G638" s="64" t="s">
        <v>8399</v>
      </c>
      <c r="H638" s="64" t="s">
        <v>8400</v>
      </c>
    </row>
    <row r="639" spans="1:8" x14ac:dyDescent="0.3">
      <c r="A639" s="64" t="s">
        <v>1144</v>
      </c>
      <c r="B639" s="64" t="s">
        <v>14</v>
      </c>
      <c r="C639" s="64" t="s">
        <v>1429</v>
      </c>
      <c r="D639" s="64" t="s">
        <v>4290</v>
      </c>
      <c r="E639" s="64" t="s">
        <v>16</v>
      </c>
      <c r="F639" s="64" t="s">
        <v>383</v>
      </c>
      <c r="G639" s="64" t="s">
        <v>8401</v>
      </c>
      <c r="H639" s="64" t="s">
        <v>8402</v>
      </c>
    </row>
    <row r="640" spans="1:8" x14ac:dyDescent="0.3">
      <c r="A640" s="64" t="s">
        <v>1145</v>
      </c>
      <c r="B640" s="64" t="s">
        <v>814</v>
      </c>
      <c r="C640" s="64" t="s">
        <v>4289</v>
      </c>
      <c r="D640" s="64" t="s">
        <v>814</v>
      </c>
      <c r="E640" s="64" t="s">
        <v>20</v>
      </c>
      <c r="F640" s="64" t="s">
        <v>15</v>
      </c>
      <c r="G640" s="64" t="s">
        <v>8403</v>
      </c>
      <c r="H640" s="64" t="s">
        <v>1459</v>
      </c>
    </row>
    <row r="641" spans="1:8" x14ac:dyDescent="0.3">
      <c r="A641" s="64" t="s">
        <v>1146</v>
      </c>
      <c r="B641" s="64" t="s">
        <v>823</v>
      </c>
      <c r="C641" s="64" t="s">
        <v>1462</v>
      </c>
      <c r="D641" s="64" t="s">
        <v>1470</v>
      </c>
      <c r="E641" s="64" t="s">
        <v>20</v>
      </c>
      <c r="F641" s="64" t="s">
        <v>15</v>
      </c>
      <c r="G641" s="64" t="s">
        <v>8404</v>
      </c>
      <c r="H641" s="64" t="s">
        <v>1463</v>
      </c>
    </row>
    <row r="642" spans="1:8" x14ac:dyDescent="0.3">
      <c r="A642" s="64" t="s">
        <v>1147</v>
      </c>
      <c r="B642" s="64" t="s">
        <v>823</v>
      </c>
      <c r="C642" s="64" t="s">
        <v>1462</v>
      </c>
      <c r="D642" s="64" t="s">
        <v>1470</v>
      </c>
      <c r="E642" s="64" t="s">
        <v>16</v>
      </c>
      <c r="F642" s="64" t="s">
        <v>368</v>
      </c>
      <c r="G642" s="64" t="s">
        <v>8405</v>
      </c>
      <c r="H642" s="64" t="s">
        <v>8406</v>
      </c>
    </row>
    <row r="643" spans="1:8" x14ac:dyDescent="0.3">
      <c r="A643" s="64" t="s">
        <v>1148</v>
      </c>
      <c r="B643" s="64" t="s">
        <v>823</v>
      </c>
      <c r="C643" s="64" t="s">
        <v>1462</v>
      </c>
      <c r="D643" s="64" t="s">
        <v>1470</v>
      </c>
      <c r="E643" s="64" t="s">
        <v>16</v>
      </c>
      <c r="F643" s="64" t="s">
        <v>369</v>
      </c>
      <c r="G643" s="64" t="s">
        <v>8407</v>
      </c>
      <c r="H643" s="64" t="s">
        <v>8408</v>
      </c>
    </row>
    <row r="644" spans="1:8" x14ac:dyDescent="0.3">
      <c r="A644" s="64" t="s">
        <v>1149</v>
      </c>
      <c r="B644" s="64" t="s">
        <v>823</v>
      </c>
      <c r="C644" s="64" t="s">
        <v>1462</v>
      </c>
      <c r="D644" s="64" t="s">
        <v>1470</v>
      </c>
      <c r="E644" s="64" t="s">
        <v>16</v>
      </c>
      <c r="F644" s="64" t="s">
        <v>370</v>
      </c>
      <c r="G644" s="64" t="s">
        <v>8409</v>
      </c>
      <c r="H644" s="64" t="s">
        <v>8410</v>
      </c>
    </row>
    <row r="645" spans="1:8" x14ac:dyDescent="0.3">
      <c r="A645" s="64" t="s">
        <v>1150</v>
      </c>
      <c r="B645" s="64" t="s">
        <v>823</v>
      </c>
      <c r="C645" s="64" t="s">
        <v>1462</v>
      </c>
      <c r="D645" s="64" t="s">
        <v>1470</v>
      </c>
      <c r="E645" s="64" t="s">
        <v>16</v>
      </c>
      <c r="F645" s="64" t="s">
        <v>371</v>
      </c>
      <c r="G645" s="64" t="s">
        <v>8411</v>
      </c>
      <c r="H645" s="64" t="s">
        <v>8412</v>
      </c>
    </row>
    <row r="646" spans="1:8" x14ac:dyDescent="0.3">
      <c r="A646" s="64" t="s">
        <v>1151</v>
      </c>
      <c r="B646" s="64" t="s">
        <v>823</v>
      </c>
      <c r="C646" s="64" t="s">
        <v>1462</v>
      </c>
      <c r="D646" s="64" t="s">
        <v>1470</v>
      </c>
      <c r="E646" s="64" t="s">
        <v>16</v>
      </c>
      <c r="F646" s="64" t="s">
        <v>372</v>
      </c>
      <c r="G646" s="64" t="s">
        <v>8413</v>
      </c>
      <c r="H646" s="64" t="s">
        <v>8414</v>
      </c>
    </row>
    <row r="647" spans="1:8" x14ac:dyDescent="0.3">
      <c r="A647" s="64" t="s">
        <v>1152</v>
      </c>
      <c r="B647" s="64" t="s">
        <v>823</v>
      </c>
      <c r="C647" s="64" t="s">
        <v>1462</v>
      </c>
      <c r="D647" s="64" t="s">
        <v>1470</v>
      </c>
      <c r="E647" s="64" t="s">
        <v>16</v>
      </c>
      <c r="F647" s="64" t="s">
        <v>373</v>
      </c>
      <c r="G647" s="64" t="s">
        <v>8415</v>
      </c>
      <c r="H647" s="64" t="s">
        <v>8416</v>
      </c>
    </row>
    <row r="648" spans="1:8" x14ac:dyDescent="0.3">
      <c r="A648" s="64" t="s">
        <v>1153</v>
      </c>
      <c r="B648" s="64" t="s">
        <v>823</v>
      </c>
      <c r="C648" s="64" t="s">
        <v>1462</v>
      </c>
      <c r="D648" s="64" t="s">
        <v>1470</v>
      </c>
      <c r="E648" s="64" t="s">
        <v>16</v>
      </c>
      <c r="F648" s="64" t="s">
        <v>374</v>
      </c>
      <c r="G648" s="64" t="s">
        <v>8417</v>
      </c>
      <c r="H648" s="64" t="s">
        <v>8418</v>
      </c>
    </row>
    <row r="649" spans="1:8" x14ac:dyDescent="0.3">
      <c r="A649" s="64" t="s">
        <v>1154</v>
      </c>
      <c r="B649" s="64" t="s">
        <v>823</v>
      </c>
      <c r="C649" s="64" t="s">
        <v>1462</v>
      </c>
      <c r="D649" s="64" t="s">
        <v>1470</v>
      </c>
      <c r="E649" s="64" t="s">
        <v>16</v>
      </c>
      <c r="F649" s="64" t="s">
        <v>375</v>
      </c>
      <c r="G649" s="64" t="s">
        <v>8419</v>
      </c>
      <c r="H649" s="64" t="s">
        <v>8420</v>
      </c>
    </row>
    <row r="650" spans="1:8" x14ac:dyDescent="0.3">
      <c r="A650" s="64" t="s">
        <v>1155</v>
      </c>
      <c r="B650" s="64" t="s">
        <v>823</v>
      </c>
      <c r="C650" s="64" t="s">
        <v>1462</v>
      </c>
      <c r="D650" s="64" t="s">
        <v>1470</v>
      </c>
      <c r="E650" s="64" t="s">
        <v>16</v>
      </c>
      <c r="F650" s="64" t="s">
        <v>376</v>
      </c>
      <c r="G650" s="64" t="s">
        <v>8421</v>
      </c>
      <c r="H650" s="64" t="s">
        <v>8422</v>
      </c>
    </row>
    <row r="651" spans="1:8" x14ac:dyDescent="0.3">
      <c r="A651" s="64" t="s">
        <v>1156</v>
      </c>
      <c r="B651" s="64" t="s">
        <v>823</v>
      </c>
      <c r="C651" s="64" t="s">
        <v>1462</v>
      </c>
      <c r="D651" s="64" t="s">
        <v>1470</v>
      </c>
      <c r="E651" s="64" t="s">
        <v>16</v>
      </c>
      <c r="F651" s="64" t="s">
        <v>377</v>
      </c>
      <c r="G651" s="64" t="s">
        <v>8423</v>
      </c>
      <c r="H651" s="64" t="s">
        <v>8424</v>
      </c>
    </row>
    <row r="652" spans="1:8" x14ac:dyDescent="0.3">
      <c r="A652" s="64" t="s">
        <v>1157</v>
      </c>
      <c r="B652" s="64" t="s">
        <v>823</v>
      </c>
      <c r="C652" s="64" t="s">
        <v>1462</v>
      </c>
      <c r="D652" s="64" t="s">
        <v>1470</v>
      </c>
      <c r="E652" s="64" t="s">
        <v>16</v>
      </c>
      <c r="F652" s="64" t="s">
        <v>378</v>
      </c>
      <c r="G652" s="64" t="s">
        <v>8425</v>
      </c>
      <c r="H652" s="64" t="s">
        <v>8426</v>
      </c>
    </row>
    <row r="653" spans="1:8" x14ac:dyDescent="0.3">
      <c r="A653" s="64" t="s">
        <v>1158</v>
      </c>
      <c r="B653" s="64" t="s">
        <v>823</v>
      </c>
      <c r="C653" s="64" t="s">
        <v>1462</v>
      </c>
      <c r="D653" s="64" t="s">
        <v>1470</v>
      </c>
      <c r="E653" s="64" t="s">
        <v>16</v>
      </c>
      <c r="F653" s="64" t="s">
        <v>379</v>
      </c>
      <c r="G653" s="64" t="s">
        <v>8427</v>
      </c>
      <c r="H653" s="64" t="s">
        <v>8428</v>
      </c>
    </row>
    <row r="654" spans="1:8" x14ac:dyDescent="0.3">
      <c r="A654" s="64" t="s">
        <v>1159</v>
      </c>
      <c r="B654" s="64" t="s">
        <v>823</v>
      </c>
      <c r="C654" s="64" t="s">
        <v>1462</v>
      </c>
      <c r="D654" s="64" t="s">
        <v>1470</v>
      </c>
      <c r="E654" s="64" t="s">
        <v>16</v>
      </c>
      <c r="F654" s="64" t="s">
        <v>380</v>
      </c>
      <c r="G654" s="64" t="s">
        <v>8429</v>
      </c>
      <c r="H654" s="64" t="s">
        <v>8430</v>
      </c>
    </row>
    <row r="655" spans="1:8" x14ac:dyDescent="0.3">
      <c r="A655" s="64" t="s">
        <v>1160</v>
      </c>
      <c r="B655" s="64" t="s">
        <v>823</v>
      </c>
      <c r="C655" s="64" t="s">
        <v>1462</v>
      </c>
      <c r="D655" s="64" t="s">
        <v>1470</v>
      </c>
      <c r="E655" s="64" t="s">
        <v>16</v>
      </c>
      <c r="F655" s="64" t="s">
        <v>381</v>
      </c>
      <c r="G655" s="64" t="s">
        <v>8431</v>
      </c>
      <c r="H655" s="64" t="s">
        <v>8432</v>
      </c>
    </row>
    <row r="656" spans="1:8" x14ac:dyDescent="0.3">
      <c r="A656" s="64" t="s">
        <v>1161</v>
      </c>
      <c r="B656" s="64" t="s">
        <v>823</v>
      </c>
      <c r="C656" s="64" t="s">
        <v>1462</v>
      </c>
      <c r="D656" s="64" t="s">
        <v>1470</v>
      </c>
      <c r="E656" s="64" t="s">
        <v>16</v>
      </c>
      <c r="F656" s="64" t="s">
        <v>382</v>
      </c>
      <c r="G656" s="64" t="s">
        <v>8433</v>
      </c>
      <c r="H656" s="64" t="s">
        <v>8434</v>
      </c>
    </row>
    <row r="657" spans="1:8" x14ac:dyDescent="0.3">
      <c r="A657" s="64" t="s">
        <v>1162</v>
      </c>
      <c r="B657" s="64" t="s">
        <v>823</v>
      </c>
      <c r="C657" s="64" t="s">
        <v>1462</v>
      </c>
      <c r="D657" s="64" t="s">
        <v>1470</v>
      </c>
      <c r="E657" s="64" t="s">
        <v>16</v>
      </c>
      <c r="F657" s="64" t="s">
        <v>383</v>
      </c>
      <c r="G657" s="64" t="s">
        <v>8435</v>
      </c>
      <c r="H657" s="64" t="s">
        <v>8436</v>
      </c>
    </row>
    <row r="658" spans="1:8" x14ac:dyDescent="0.3">
      <c r="A658" s="64" t="s">
        <v>1163</v>
      </c>
      <c r="B658" s="64" t="s">
        <v>823</v>
      </c>
      <c r="C658" s="64" t="s">
        <v>1466</v>
      </c>
      <c r="D658" s="64" t="s">
        <v>1470</v>
      </c>
      <c r="E658" s="64" t="s">
        <v>20</v>
      </c>
      <c r="F658" s="64" t="s">
        <v>15</v>
      </c>
      <c r="G658" s="64" t="s">
        <v>8437</v>
      </c>
      <c r="H658" s="64" t="s">
        <v>1467</v>
      </c>
    </row>
    <row r="659" spans="1:8" x14ac:dyDescent="0.3">
      <c r="A659" s="64" t="s">
        <v>1164</v>
      </c>
      <c r="B659" s="64" t="s">
        <v>823</v>
      </c>
      <c r="C659" s="64" t="s">
        <v>1466</v>
      </c>
      <c r="D659" s="64" t="s">
        <v>1470</v>
      </c>
      <c r="E659" s="64" t="s">
        <v>16</v>
      </c>
      <c r="F659" s="64" t="s">
        <v>368</v>
      </c>
      <c r="G659" s="64" t="s">
        <v>8438</v>
      </c>
      <c r="H659" s="64" t="s">
        <v>8439</v>
      </c>
    </row>
    <row r="660" spans="1:8" x14ac:dyDescent="0.3">
      <c r="A660" s="64" t="s">
        <v>1165</v>
      </c>
      <c r="B660" s="64" t="s">
        <v>823</v>
      </c>
      <c r="C660" s="64" t="s">
        <v>1466</v>
      </c>
      <c r="D660" s="64" t="s">
        <v>1470</v>
      </c>
      <c r="E660" s="64" t="s">
        <v>16</v>
      </c>
      <c r="F660" s="64" t="s">
        <v>369</v>
      </c>
      <c r="G660" s="64" t="s">
        <v>8440</v>
      </c>
      <c r="H660" s="64" t="s">
        <v>8441</v>
      </c>
    </row>
    <row r="661" spans="1:8" x14ac:dyDescent="0.3">
      <c r="A661" s="64" t="s">
        <v>1166</v>
      </c>
      <c r="B661" s="64" t="s">
        <v>823</v>
      </c>
      <c r="C661" s="64" t="s">
        <v>1466</v>
      </c>
      <c r="D661" s="64" t="s">
        <v>1470</v>
      </c>
      <c r="E661" s="64" t="s">
        <v>16</v>
      </c>
      <c r="F661" s="64" t="s">
        <v>370</v>
      </c>
      <c r="G661" s="64" t="s">
        <v>8442</v>
      </c>
      <c r="H661" s="64" t="s">
        <v>8443</v>
      </c>
    </row>
    <row r="662" spans="1:8" x14ac:dyDescent="0.3">
      <c r="A662" s="64" t="s">
        <v>1167</v>
      </c>
      <c r="B662" s="64" t="s">
        <v>823</v>
      </c>
      <c r="C662" s="64" t="s">
        <v>1466</v>
      </c>
      <c r="D662" s="64" t="s">
        <v>1470</v>
      </c>
      <c r="E662" s="64" t="s">
        <v>16</v>
      </c>
      <c r="F662" s="64" t="s">
        <v>371</v>
      </c>
      <c r="G662" s="64" t="s">
        <v>8444</v>
      </c>
      <c r="H662" s="64" t="s">
        <v>8445</v>
      </c>
    </row>
    <row r="663" spans="1:8" x14ac:dyDescent="0.3">
      <c r="A663" s="64" t="s">
        <v>1168</v>
      </c>
      <c r="B663" s="64" t="s">
        <v>823</v>
      </c>
      <c r="C663" s="64" t="s">
        <v>1466</v>
      </c>
      <c r="D663" s="64" t="s">
        <v>1470</v>
      </c>
      <c r="E663" s="64" t="s">
        <v>16</v>
      </c>
      <c r="F663" s="64" t="s">
        <v>372</v>
      </c>
      <c r="G663" s="64" t="s">
        <v>8446</v>
      </c>
      <c r="H663" s="64" t="s">
        <v>8447</v>
      </c>
    </row>
    <row r="664" spans="1:8" x14ac:dyDescent="0.3">
      <c r="A664" s="64" t="s">
        <v>1169</v>
      </c>
      <c r="B664" s="64" t="s">
        <v>823</v>
      </c>
      <c r="C664" s="64" t="s">
        <v>1466</v>
      </c>
      <c r="D664" s="64" t="s">
        <v>1470</v>
      </c>
      <c r="E664" s="64" t="s">
        <v>16</v>
      </c>
      <c r="F664" s="64" t="s">
        <v>373</v>
      </c>
      <c r="G664" s="64" t="s">
        <v>8448</v>
      </c>
      <c r="H664" s="64" t="s">
        <v>8449</v>
      </c>
    </row>
    <row r="665" spans="1:8" x14ac:dyDescent="0.3">
      <c r="A665" s="64" t="s">
        <v>1170</v>
      </c>
      <c r="B665" s="64" t="s">
        <v>823</v>
      </c>
      <c r="C665" s="64" t="s">
        <v>1466</v>
      </c>
      <c r="D665" s="64" t="s">
        <v>1470</v>
      </c>
      <c r="E665" s="64" t="s">
        <v>16</v>
      </c>
      <c r="F665" s="64" t="s">
        <v>374</v>
      </c>
      <c r="G665" s="64" t="s">
        <v>8450</v>
      </c>
      <c r="H665" s="64" t="s">
        <v>8451</v>
      </c>
    </row>
    <row r="666" spans="1:8" x14ac:dyDescent="0.3">
      <c r="A666" s="64" t="s">
        <v>1171</v>
      </c>
      <c r="B666" s="64" t="s">
        <v>823</v>
      </c>
      <c r="C666" s="64" t="s">
        <v>1466</v>
      </c>
      <c r="D666" s="64" t="s">
        <v>1470</v>
      </c>
      <c r="E666" s="64" t="s">
        <v>16</v>
      </c>
      <c r="F666" s="64" t="s">
        <v>375</v>
      </c>
      <c r="G666" s="64" t="s">
        <v>8452</v>
      </c>
      <c r="H666" s="64" t="s">
        <v>8453</v>
      </c>
    </row>
    <row r="667" spans="1:8" x14ac:dyDescent="0.3">
      <c r="A667" s="64" t="s">
        <v>1172</v>
      </c>
      <c r="B667" s="64" t="s">
        <v>823</v>
      </c>
      <c r="C667" s="64" t="s">
        <v>1466</v>
      </c>
      <c r="D667" s="64" t="s">
        <v>1470</v>
      </c>
      <c r="E667" s="64" t="s">
        <v>16</v>
      </c>
      <c r="F667" s="64" t="s">
        <v>376</v>
      </c>
      <c r="G667" s="64" t="s">
        <v>8454</v>
      </c>
      <c r="H667" s="64" t="s">
        <v>8455</v>
      </c>
    </row>
    <row r="668" spans="1:8" x14ac:dyDescent="0.3">
      <c r="A668" s="64" t="s">
        <v>1173</v>
      </c>
      <c r="B668" s="64" t="s">
        <v>823</v>
      </c>
      <c r="C668" s="64" t="s">
        <v>1466</v>
      </c>
      <c r="D668" s="64" t="s">
        <v>1470</v>
      </c>
      <c r="E668" s="64" t="s">
        <v>16</v>
      </c>
      <c r="F668" s="64" t="s">
        <v>377</v>
      </c>
      <c r="G668" s="64" t="s">
        <v>8456</v>
      </c>
      <c r="H668" s="64" t="s">
        <v>8457</v>
      </c>
    </row>
    <row r="669" spans="1:8" x14ac:dyDescent="0.3">
      <c r="A669" s="64" t="s">
        <v>1174</v>
      </c>
      <c r="B669" s="64" t="s">
        <v>823</v>
      </c>
      <c r="C669" s="64" t="s">
        <v>1466</v>
      </c>
      <c r="D669" s="64" t="s">
        <v>1470</v>
      </c>
      <c r="E669" s="64" t="s">
        <v>16</v>
      </c>
      <c r="F669" s="64" t="s">
        <v>378</v>
      </c>
      <c r="G669" s="64" t="s">
        <v>8458</v>
      </c>
      <c r="H669" s="64" t="s">
        <v>8459</v>
      </c>
    </row>
    <row r="670" spans="1:8" x14ac:dyDescent="0.3">
      <c r="A670" s="64" t="s">
        <v>1175</v>
      </c>
      <c r="B670" s="64" t="s">
        <v>823</v>
      </c>
      <c r="C670" s="64" t="s">
        <v>1466</v>
      </c>
      <c r="D670" s="64" t="s">
        <v>1470</v>
      </c>
      <c r="E670" s="64" t="s">
        <v>16</v>
      </c>
      <c r="F670" s="64" t="s">
        <v>379</v>
      </c>
      <c r="G670" s="64" t="s">
        <v>8460</v>
      </c>
      <c r="H670" s="64" t="s">
        <v>8461</v>
      </c>
    </row>
    <row r="671" spans="1:8" x14ac:dyDescent="0.3">
      <c r="A671" s="64" t="s">
        <v>1176</v>
      </c>
      <c r="B671" s="64" t="s">
        <v>823</v>
      </c>
      <c r="C671" s="64" t="s">
        <v>1466</v>
      </c>
      <c r="D671" s="64" t="s">
        <v>1470</v>
      </c>
      <c r="E671" s="64" t="s">
        <v>16</v>
      </c>
      <c r="F671" s="64" t="s">
        <v>380</v>
      </c>
      <c r="G671" s="64" t="s">
        <v>8462</v>
      </c>
      <c r="H671" s="64" t="s">
        <v>8463</v>
      </c>
    </row>
    <row r="672" spans="1:8" x14ac:dyDescent="0.3">
      <c r="A672" s="64" t="s">
        <v>1177</v>
      </c>
      <c r="B672" s="64" t="s">
        <v>823</v>
      </c>
      <c r="C672" s="64" t="s">
        <v>1466</v>
      </c>
      <c r="D672" s="64" t="s">
        <v>1470</v>
      </c>
      <c r="E672" s="64" t="s">
        <v>16</v>
      </c>
      <c r="F672" s="64" t="s">
        <v>381</v>
      </c>
      <c r="G672" s="64" t="s">
        <v>8464</v>
      </c>
      <c r="H672" s="64" t="s">
        <v>8465</v>
      </c>
    </row>
    <row r="673" spans="1:8" x14ac:dyDescent="0.3">
      <c r="A673" s="64" t="s">
        <v>1178</v>
      </c>
      <c r="B673" s="64" t="s">
        <v>823</v>
      </c>
      <c r="C673" s="64" t="s">
        <v>1466</v>
      </c>
      <c r="D673" s="64" t="s">
        <v>1470</v>
      </c>
      <c r="E673" s="64" t="s">
        <v>16</v>
      </c>
      <c r="F673" s="64" t="s">
        <v>382</v>
      </c>
      <c r="G673" s="64" t="s">
        <v>8466</v>
      </c>
      <c r="H673" s="64" t="s">
        <v>8467</v>
      </c>
    </row>
    <row r="674" spans="1:8" x14ac:dyDescent="0.3">
      <c r="A674" s="64" t="s">
        <v>1179</v>
      </c>
      <c r="B674" s="64" t="s">
        <v>823</v>
      </c>
      <c r="C674" s="64" t="s">
        <v>1466</v>
      </c>
      <c r="D674" s="64" t="s">
        <v>1470</v>
      </c>
      <c r="E674" s="64" t="s">
        <v>16</v>
      </c>
      <c r="F674" s="64" t="s">
        <v>383</v>
      </c>
      <c r="G674" s="64" t="s">
        <v>8468</v>
      </c>
      <c r="H674" s="64" t="s">
        <v>8469</v>
      </c>
    </row>
    <row r="675" spans="1:8" x14ac:dyDescent="0.3">
      <c r="A675" s="64" t="s">
        <v>1180</v>
      </c>
      <c r="B675" s="64" t="s">
        <v>823</v>
      </c>
      <c r="C675" s="64" t="s">
        <v>1471</v>
      </c>
      <c r="D675" s="64" t="s">
        <v>1470</v>
      </c>
      <c r="E675" s="64" t="s">
        <v>20</v>
      </c>
      <c r="F675" s="64" t="s">
        <v>15</v>
      </c>
      <c r="G675" s="64" t="s">
        <v>8470</v>
      </c>
      <c r="H675" s="64" t="s">
        <v>1472</v>
      </c>
    </row>
    <row r="676" spans="1:8" x14ac:dyDescent="0.3">
      <c r="A676" s="64" t="s">
        <v>1181</v>
      </c>
      <c r="B676" s="64" t="s">
        <v>823</v>
      </c>
      <c r="C676" s="64" t="s">
        <v>1471</v>
      </c>
      <c r="D676" s="64" t="s">
        <v>1470</v>
      </c>
      <c r="E676" s="64" t="s">
        <v>16</v>
      </c>
      <c r="F676" s="64" t="s">
        <v>368</v>
      </c>
      <c r="G676" s="64" t="s">
        <v>8471</v>
      </c>
      <c r="H676" s="64" t="s">
        <v>8472</v>
      </c>
    </row>
    <row r="677" spans="1:8" x14ac:dyDescent="0.3">
      <c r="A677" s="64" t="s">
        <v>1182</v>
      </c>
      <c r="B677" s="64" t="s">
        <v>823</v>
      </c>
      <c r="C677" s="64" t="s">
        <v>1471</v>
      </c>
      <c r="D677" s="64" t="s">
        <v>1470</v>
      </c>
      <c r="E677" s="64" t="s">
        <v>16</v>
      </c>
      <c r="F677" s="64" t="s">
        <v>369</v>
      </c>
      <c r="G677" s="64" t="s">
        <v>8473</v>
      </c>
      <c r="H677" s="64" t="s">
        <v>8474</v>
      </c>
    </row>
    <row r="678" spans="1:8" x14ac:dyDescent="0.3">
      <c r="A678" s="64" t="s">
        <v>1183</v>
      </c>
      <c r="B678" s="64" t="s">
        <v>823</v>
      </c>
      <c r="C678" s="64" t="s">
        <v>1471</v>
      </c>
      <c r="D678" s="64" t="s">
        <v>1470</v>
      </c>
      <c r="E678" s="64" t="s">
        <v>16</v>
      </c>
      <c r="F678" s="64" t="s">
        <v>370</v>
      </c>
      <c r="G678" s="64" t="s">
        <v>8475</v>
      </c>
      <c r="H678" s="64" t="s">
        <v>8476</v>
      </c>
    </row>
    <row r="679" spans="1:8" x14ac:dyDescent="0.3">
      <c r="A679" s="64" t="s">
        <v>1184</v>
      </c>
      <c r="B679" s="64" t="s">
        <v>823</v>
      </c>
      <c r="C679" s="64" t="s">
        <v>1471</v>
      </c>
      <c r="D679" s="64" t="s">
        <v>1470</v>
      </c>
      <c r="E679" s="64" t="s">
        <v>16</v>
      </c>
      <c r="F679" s="64" t="s">
        <v>371</v>
      </c>
      <c r="G679" s="64" t="s">
        <v>8477</v>
      </c>
      <c r="H679" s="64" t="s">
        <v>8478</v>
      </c>
    </row>
    <row r="680" spans="1:8" x14ac:dyDescent="0.3">
      <c r="A680" s="64" t="s">
        <v>1185</v>
      </c>
      <c r="B680" s="64" t="s">
        <v>823</v>
      </c>
      <c r="C680" s="64" t="s">
        <v>1471</v>
      </c>
      <c r="D680" s="64" t="s">
        <v>1470</v>
      </c>
      <c r="E680" s="64" t="s">
        <v>16</v>
      </c>
      <c r="F680" s="64" t="s">
        <v>372</v>
      </c>
      <c r="G680" s="64" t="s">
        <v>8479</v>
      </c>
      <c r="H680" s="64" t="s">
        <v>8480</v>
      </c>
    </row>
    <row r="681" spans="1:8" x14ac:dyDescent="0.3">
      <c r="A681" s="64" t="s">
        <v>1186</v>
      </c>
      <c r="B681" s="64" t="s">
        <v>823</v>
      </c>
      <c r="C681" s="64" t="s">
        <v>1471</v>
      </c>
      <c r="D681" s="64" t="s">
        <v>1470</v>
      </c>
      <c r="E681" s="64" t="s">
        <v>16</v>
      </c>
      <c r="F681" s="64" t="s">
        <v>373</v>
      </c>
      <c r="G681" s="64" t="s">
        <v>8481</v>
      </c>
      <c r="H681" s="64" t="s">
        <v>8482</v>
      </c>
    </row>
    <row r="682" spans="1:8" x14ac:dyDescent="0.3">
      <c r="A682" s="64" t="s">
        <v>1187</v>
      </c>
      <c r="B682" s="64" t="s">
        <v>823</v>
      </c>
      <c r="C682" s="64" t="s">
        <v>1471</v>
      </c>
      <c r="D682" s="64" t="s">
        <v>1470</v>
      </c>
      <c r="E682" s="64" t="s">
        <v>16</v>
      </c>
      <c r="F682" s="64" t="s">
        <v>374</v>
      </c>
      <c r="G682" s="64" t="s">
        <v>8483</v>
      </c>
      <c r="H682" s="64" t="s">
        <v>8484</v>
      </c>
    </row>
    <row r="683" spans="1:8" x14ac:dyDescent="0.3">
      <c r="A683" s="64" t="s">
        <v>1188</v>
      </c>
      <c r="B683" s="64" t="s">
        <v>823</v>
      </c>
      <c r="C683" s="64" t="s">
        <v>1471</v>
      </c>
      <c r="D683" s="64" t="s">
        <v>1470</v>
      </c>
      <c r="E683" s="64" t="s">
        <v>16</v>
      </c>
      <c r="F683" s="64" t="s">
        <v>375</v>
      </c>
      <c r="G683" s="64" t="s">
        <v>8485</v>
      </c>
      <c r="H683" s="64" t="s">
        <v>8486</v>
      </c>
    </row>
    <row r="684" spans="1:8" x14ac:dyDescent="0.3">
      <c r="A684" s="64" t="s">
        <v>1189</v>
      </c>
      <c r="B684" s="64" t="s">
        <v>823</v>
      </c>
      <c r="C684" s="64" t="s">
        <v>1471</v>
      </c>
      <c r="D684" s="64" t="s">
        <v>1470</v>
      </c>
      <c r="E684" s="64" t="s">
        <v>16</v>
      </c>
      <c r="F684" s="64" t="s">
        <v>376</v>
      </c>
      <c r="G684" s="64" t="s">
        <v>8487</v>
      </c>
      <c r="H684" s="64" t="s">
        <v>8488</v>
      </c>
    </row>
    <row r="685" spans="1:8" x14ac:dyDescent="0.3">
      <c r="A685" s="64" t="s">
        <v>1190</v>
      </c>
      <c r="B685" s="64" t="s">
        <v>823</v>
      </c>
      <c r="C685" s="64" t="s">
        <v>1471</v>
      </c>
      <c r="D685" s="64" t="s">
        <v>1470</v>
      </c>
      <c r="E685" s="64" t="s">
        <v>16</v>
      </c>
      <c r="F685" s="64" t="s">
        <v>377</v>
      </c>
      <c r="G685" s="64" t="s">
        <v>8489</v>
      </c>
      <c r="H685" s="64" t="s">
        <v>8490</v>
      </c>
    </row>
    <row r="686" spans="1:8" x14ac:dyDescent="0.3">
      <c r="A686" s="64" t="s">
        <v>1191</v>
      </c>
      <c r="B686" s="64" t="s">
        <v>823</v>
      </c>
      <c r="C686" s="64" t="s">
        <v>1471</v>
      </c>
      <c r="D686" s="64" t="s">
        <v>1470</v>
      </c>
      <c r="E686" s="64" t="s">
        <v>16</v>
      </c>
      <c r="F686" s="64" t="s">
        <v>378</v>
      </c>
      <c r="G686" s="64" t="s">
        <v>8491</v>
      </c>
      <c r="H686" s="64" t="s">
        <v>8492</v>
      </c>
    </row>
    <row r="687" spans="1:8" x14ac:dyDescent="0.3">
      <c r="A687" s="64" t="s">
        <v>1192</v>
      </c>
      <c r="B687" s="64" t="s">
        <v>823</v>
      </c>
      <c r="C687" s="64" t="s">
        <v>1471</v>
      </c>
      <c r="D687" s="64" t="s">
        <v>1470</v>
      </c>
      <c r="E687" s="64" t="s">
        <v>16</v>
      </c>
      <c r="F687" s="64" t="s">
        <v>379</v>
      </c>
      <c r="G687" s="64" t="s">
        <v>8493</v>
      </c>
      <c r="H687" s="64" t="s">
        <v>8494</v>
      </c>
    </row>
    <row r="688" spans="1:8" x14ac:dyDescent="0.3">
      <c r="A688" s="64" t="s">
        <v>1193</v>
      </c>
      <c r="B688" s="64" t="s">
        <v>823</v>
      </c>
      <c r="C688" s="64" t="s">
        <v>1471</v>
      </c>
      <c r="D688" s="64" t="s">
        <v>1470</v>
      </c>
      <c r="E688" s="64" t="s">
        <v>16</v>
      </c>
      <c r="F688" s="64" t="s">
        <v>380</v>
      </c>
      <c r="G688" s="64" t="s">
        <v>8495</v>
      </c>
      <c r="H688" s="64" t="s">
        <v>8496</v>
      </c>
    </row>
    <row r="689" spans="1:8" x14ac:dyDescent="0.3">
      <c r="A689" s="64" t="s">
        <v>1194</v>
      </c>
      <c r="B689" s="64" t="s">
        <v>823</v>
      </c>
      <c r="C689" s="64" t="s">
        <v>1471</v>
      </c>
      <c r="D689" s="64" t="s">
        <v>1470</v>
      </c>
      <c r="E689" s="64" t="s">
        <v>16</v>
      </c>
      <c r="F689" s="64" t="s">
        <v>381</v>
      </c>
      <c r="G689" s="64" t="s">
        <v>8497</v>
      </c>
      <c r="H689" s="64" t="s">
        <v>8498</v>
      </c>
    </row>
    <row r="690" spans="1:8" x14ac:dyDescent="0.3">
      <c r="A690" s="64" t="s">
        <v>1195</v>
      </c>
      <c r="B690" s="64" t="s">
        <v>823</v>
      </c>
      <c r="C690" s="64" t="s">
        <v>1471</v>
      </c>
      <c r="D690" s="64" t="s">
        <v>1470</v>
      </c>
      <c r="E690" s="64" t="s">
        <v>16</v>
      </c>
      <c r="F690" s="64" t="s">
        <v>382</v>
      </c>
      <c r="G690" s="64" t="s">
        <v>8499</v>
      </c>
      <c r="H690" s="64" t="s">
        <v>8500</v>
      </c>
    </row>
    <row r="691" spans="1:8" x14ac:dyDescent="0.3">
      <c r="A691" s="64" t="s">
        <v>1196</v>
      </c>
      <c r="B691" s="64" t="s">
        <v>823</v>
      </c>
      <c r="C691" s="64" t="s">
        <v>1471</v>
      </c>
      <c r="D691" s="64" t="s">
        <v>1470</v>
      </c>
      <c r="E691" s="64" t="s">
        <v>16</v>
      </c>
      <c r="F691" s="64" t="s">
        <v>383</v>
      </c>
      <c r="G691" s="64" t="s">
        <v>8501</v>
      </c>
      <c r="H691" s="64" t="s">
        <v>8502</v>
      </c>
    </row>
    <row r="692" spans="1:8" x14ac:dyDescent="0.3">
      <c r="A692" s="64" t="s">
        <v>1197</v>
      </c>
      <c r="B692" s="64" t="s">
        <v>568</v>
      </c>
      <c r="C692" s="64" t="s">
        <v>1473</v>
      </c>
      <c r="D692" s="64" t="s">
        <v>1898</v>
      </c>
      <c r="E692" s="64" t="s">
        <v>20</v>
      </c>
      <c r="F692" s="64" t="s">
        <v>15</v>
      </c>
      <c r="G692" s="64" t="s">
        <v>8503</v>
      </c>
      <c r="H692" s="64" t="s">
        <v>1476</v>
      </c>
    </row>
    <row r="693" spans="1:8" x14ac:dyDescent="0.3">
      <c r="A693" s="64" t="s">
        <v>1198</v>
      </c>
      <c r="B693" s="64" t="s">
        <v>954</v>
      </c>
      <c r="C693" s="64" t="s">
        <v>5153</v>
      </c>
      <c r="D693" s="64" t="s">
        <v>1883</v>
      </c>
      <c r="E693" s="64" t="s">
        <v>20</v>
      </c>
      <c r="F693" s="64" t="s">
        <v>15</v>
      </c>
      <c r="G693" s="64" t="s">
        <v>8504</v>
      </c>
      <c r="H693" s="64" t="s">
        <v>1479</v>
      </c>
    </row>
    <row r="694" spans="1:8" x14ac:dyDescent="0.3">
      <c r="A694" s="64" t="s">
        <v>1199</v>
      </c>
      <c r="B694" s="64" t="s">
        <v>954</v>
      </c>
      <c r="C694" s="64" t="s">
        <v>5152</v>
      </c>
      <c r="D694" s="64" t="s">
        <v>1883</v>
      </c>
      <c r="E694" s="64" t="s">
        <v>20</v>
      </c>
      <c r="F694" s="64" t="s">
        <v>15</v>
      </c>
      <c r="G694" s="64" t="s">
        <v>8505</v>
      </c>
      <c r="H694" s="64" t="s">
        <v>1485</v>
      </c>
    </row>
    <row r="695" spans="1:8" x14ac:dyDescent="0.3">
      <c r="A695" s="64" t="s">
        <v>1200</v>
      </c>
      <c r="B695" s="64" t="s">
        <v>954</v>
      </c>
      <c r="C695" s="64" t="s">
        <v>5152</v>
      </c>
      <c r="D695" s="64" t="s">
        <v>1883</v>
      </c>
      <c r="E695" s="64" t="s">
        <v>20</v>
      </c>
      <c r="F695" s="64" t="s">
        <v>15</v>
      </c>
      <c r="G695" s="64" t="s">
        <v>8506</v>
      </c>
      <c r="H695" s="64" t="s">
        <v>1487</v>
      </c>
    </row>
    <row r="696" spans="1:8" x14ac:dyDescent="0.3">
      <c r="A696" s="64" t="s">
        <v>1201</v>
      </c>
      <c r="B696" s="64" t="s">
        <v>954</v>
      </c>
      <c r="C696" s="64" t="s">
        <v>5154</v>
      </c>
      <c r="D696" s="64" t="s">
        <v>1883</v>
      </c>
      <c r="E696" s="64" t="s">
        <v>20</v>
      </c>
      <c r="F696" s="64" t="s">
        <v>15</v>
      </c>
      <c r="G696" s="64" t="s">
        <v>8507</v>
      </c>
      <c r="H696" s="64" t="s">
        <v>1489</v>
      </c>
    </row>
    <row r="697" spans="1:8" x14ac:dyDescent="0.3">
      <c r="A697" s="64" t="s">
        <v>1202</v>
      </c>
      <c r="B697" s="64" t="s">
        <v>823</v>
      </c>
      <c r="C697" s="64" t="s">
        <v>1462</v>
      </c>
      <c r="D697" s="64" t="s">
        <v>1470</v>
      </c>
      <c r="E697" s="64" t="s">
        <v>20</v>
      </c>
      <c r="F697" s="64" t="s">
        <v>15</v>
      </c>
      <c r="G697" s="64" t="s">
        <v>8508</v>
      </c>
      <c r="H697" s="64" t="s">
        <v>1491</v>
      </c>
    </row>
    <row r="698" spans="1:8" x14ac:dyDescent="0.3">
      <c r="A698" s="64" t="s">
        <v>1203</v>
      </c>
      <c r="B698" s="64" t="s">
        <v>823</v>
      </c>
      <c r="C698" s="64" t="s">
        <v>1462</v>
      </c>
      <c r="D698" s="64" t="s">
        <v>1470</v>
      </c>
      <c r="E698" s="64" t="s">
        <v>16</v>
      </c>
      <c r="F698" s="64" t="s">
        <v>368</v>
      </c>
      <c r="G698" s="64" t="s">
        <v>8509</v>
      </c>
      <c r="H698" s="64" t="s">
        <v>8510</v>
      </c>
    </row>
    <row r="699" spans="1:8" x14ac:dyDescent="0.3">
      <c r="A699" s="64" t="s">
        <v>1204</v>
      </c>
      <c r="B699" s="64" t="s">
        <v>823</v>
      </c>
      <c r="C699" s="64" t="s">
        <v>1462</v>
      </c>
      <c r="D699" s="64" t="s">
        <v>1470</v>
      </c>
      <c r="E699" s="64" t="s">
        <v>16</v>
      </c>
      <c r="F699" s="64" t="s">
        <v>369</v>
      </c>
      <c r="G699" s="64" t="s">
        <v>8511</v>
      </c>
      <c r="H699" s="64" t="s">
        <v>8512</v>
      </c>
    </row>
    <row r="700" spans="1:8" x14ac:dyDescent="0.3">
      <c r="A700" s="64" t="s">
        <v>1205</v>
      </c>
      <c r="B700" s="64" t="s">
        <v>823</v>
      </c>
      <c r="C700" s="64" t="s">
        <v>1462</v>
      </c>
      <c r="D700" s="64" t="s">
        <v>1470</v>
      </c>
      <c r="E700" s="64" t="s">
        <v>16</v>
      </c>
      <c r="F700" s="64" t="s">
        <v>370</v>
      </c>
      <c r="G700" s="64" t="s">
        <v>8513</v>
      </c>
      <c r="H700" s="64" t="s">
        <v>8514</v>
      </c>
    </row>
    <row r="701" spans="1:8" x14ac:dyDescent="0.3">
      <c r="A701" s="64" t="s">
        <v>1206</v>
      </c>
      <c r="B701" s="64" t="s">
        <v>823</v>
      </c>
      <c r="C701" s="64" t="s">
        <v>1462</v>
      </c>
      <c r="D701" s="64" t="s">
        <v>1470</v>
      </c>
      <c r="E701" s="64" t="s">
        <v>16</v>
      </c>
      <c r="F701" s="64" t="s">
        <v>371</v>
      </c>
      <c r="G701" s="64" t="s">
        <v>8515</v>
      </c>
      <c r="H701" s="64" t="s">
        <v>8516</v>
      </c>
    </row>
    <row r="702" spans="1:8" x14ac:dyDescent="0.3">
      <c r="A702" s="64" t="s">
        <v>1207</v>
      </c>
      <c r="B702" s="64" t="s">
        <v>823</v>
      </c>
      <c r="C702" s="64" t="s">
        <v>1462</v>
      </c>
      <c r="D702" s="64" t="s">
        <v>1470</v>
      </c>
      <c r="E702" s="64" t="s">
        <v>16</v>
      </c>
      <c r="F702" s="64" t="s">
        <v>372</v>
      </c>
      <c r="G702" s="64" t="s">
        <v>8517</v>
      </c>
      <c r="H702" s="64" t="s">
        <v>8518</v>
      </c>
    </row>
    <row r="703" spans="1:8" x14ac:dyDescent="0.3">
      <c r="A703" s="64" t="s">
        <v>1208</v>
      </c>
      <c r="B703" s="64" t="s">
        <v>823</v>
      </c>
      <c r="C703" s="64" t="s">
        <v>1462</v>
      </c>
      <c r="D703" s="64" t="s">
        <v>1470</v>
      </c>
      <c r="E703" s="64" t="s">
        <v>16</v>
      </c>
      <c r="F703" s="64" t="s">
        <v>373</v>
      </c>
      <c r="G703" s="64" t="s">
        <v>8519</v>
      </c>
      <c r="H703" s="64" t="s">
        <v>8520</v>
      </c>
    </row>
    <row r="704" spans="1:8" x14ac:dyDescent="0.3">
      <c r="A704" s="64" t="s">
        <v>1209</v>
      </c>
      <c r="B704" s="64" t="s">
        <v>823</v>
      </c>
      <c r="C704" s="64" t="s">
        <v>1462</v>
      </c>
      <c r="D704" s="64" t="s">
        <v>1470</v>
      </c>
      <c r="E704" s="64" t="s">
        <v>16</v>
      </c>
      <c r="F704" s="64" t="s">
        <v>374</v>
      </c>
      <c r="G704" s="64" t="s">
        <v>8521</v>
      </c>
      <c r="H704" s="64" t="s">
        <v>8522</v>
      </c>
    </row>
    <row r="705" spans="1:8" x14ac:dyDescent="0.3">
      <c r="A705" s="64" t="s">
        <v>1210</v>
      </c>
      <c r="B705" s="64" t="s">
        <v>823</v>
      </c>
      <c r="C705" s="64" t="s">
        <v>1462</v>
      </c>
      <c r="D705" s="64" t="s">
        <v>1470</v>
      </c>
      <c r="E705" s="64" t="s">
        <v>16</v>
      </c>
      <c r="F705" s="64" t="s">
        <v>375</v>
      </c>
      <c r="G705" s="64" t="s">
        <v>8523</v>
      </c>
      <c r="H705" s="64" t="s">
        <v>8524</v>
      </c>
    </row>
    <row r="706" spans="1:8" x14ac:dyDescent="0.3">
      <c r="A706" s="64" t="s">
        <v>1211</v>
      </c>
      <c r="B706" s="64" t="s">
        <v>823</v>
      </c>
      <c r="C706" s="64" t="s">
        <v>1462</v>
      </c>
      <c r="D706" s="64" t="s">
        <v>1470</v>
      </c>
      <c r="E706" s="64" t="s">
        <v>16</v>
      </c>
      <c r="F706" s="64" t="s">
        <v>376</v>
      </c>
      <c r="G706" s="64" t="s">
        <v>8525</v>
      </c>
      <c r="H706" s="64" t="s">
        <v>8526</v>
      </c>
    </row>
    <row r="707" spans="1:8" x14ac:dyDescent="0.3">
      <c r="A707" s="64" t="s">
        <v>1212</v>
      </c>
      <c r="B707" s="64" t="s">
        <v>823</v>
      </c>
      <c r="C707" s="64" t="s">
        <v>1462</v>
      </c>
      <c r="D707" s="64" t="s">
        <v>1470</v>
      </c>
      <c r="E707" s="64" t="s">
        <v>16</v>
      </c>
      <c r="F707" s="64" t="s">
        <v>377</v>
      </c>
      <c r="G707" s="64" t="s">
        <v>8527</v>
      </c>
      <c r="H707" s="64" t="s">
        <v>8528</v>
      </c>
    </row>
    <row r="708" spans="1:8" x14ac:dyDescent="0.3">
      <c r="A708" s="64" t="s">
        <v>1213</v>
      </c>
      <c r="B708" s="64" t="s">
        <v>823</v>
      </c>
      <c r="C708" s="64" t="s">
        <v>1462</v>
      </c>
      <c r="D708" s="64" t="s">
        <v>1470</v>
      </c>
      <c r="E708" s="64" t="s">
        <v>16</v>
      </c>
      <c r="F708" s="64" t="s">
        <v>378</v>
      </c>
      <c r="G708" s="64" t="s">
        <v>8529</v>
      </c>
      <c r="H708" s="64" t="s">
        <v>8530</v>
      </c>
    </row>
    <row r="709" spans="1:8" x14ac:dyDescent="0.3">
      <c r="A709" s="64" t="s">
        <v>1214</v>
      </c>
      <c r="B709" s="64" t="s">
        <v>823</v>
      </c>
      <c r="C709" s="64" t="s">
        <v>1462</v>
      </c>
      <c r="D709" s="64" t="s">
        <v>1470</v>
      </c>
      <c r="E709" s="64" t="s">
        <v>16</v>
      </c>
      <c r="F709" s="64" t="s">
        <v>379</v>
      </c>
      <c r="G709" s="64" t="s">
        <v>8531</v>
      </c>
      <c r="H709" s="64" t="s">
        <v>8532</v>
      </c>
    </row>
    <row r="710" spans="1:8" x14ac:dyDescent="0.3">
      <c r="A710" s="64" t="s">
        <v>1215</v>
      </c>
      <c r="B710" s="64" t="s">
        <v>823</v>
      </c>
      <c r="C710" s="64" t="s">
        <v>1462</v>
      </c>
      <c r="D710" s="64" t="s">
        <v>1470</v>
      </c>
      <c r="E710" s="64" t="s">
        <v>16</v>
      </c>
      <c r="F710" s="64" t="s">
        <v>380</v>
      </c>
      <c r="G710" s="64" t="s">
        <v>8533</v>
      </c>
      <c r="H710" s="64" t="s">
        <v>8534</v>
      </c>
    </row>
    <row r="711" spans="1:8" x14ac:dyDescent="0.3">
      <c r="A711" s="64" t="s">
        <v>1216</v>
      </c>
      <c r="B711" s="64" t="s">
        <v>823</v>
      </c>
      <c r="C711" s="64" t="s">
        <v>1462</v>
      </c>
      <c r="D711" s="64" t="s">
        <v>1470</v>
      </c>
      <c r="E711" s="64" t="s">
        <v>16</v>
      </c>
      <c r="F711" s="64" t="s">
        <v>381</v>
      </c>
      <c r="G711" s="64" t="s">
        <v>8535</v>
      </c>
      <c r="H711" s="64" t="s">
        <v>8536</v>
      </c>
    </row>
    <row r="712" spans="1:8" x14ac:dyDescent="0.3">
      <c r="A712" s="64" t="s">
        <v>1217</v>
      </c>
      <c r="B712" s="64" t="s">
        <v>823</v>
      </c>
      <c r="C712" s="64" t="s">
        <v>1462</v>
      </c>
      <c r="D712" s="64" t="s">
        <v>1470</v>
      </c>
      <c r="E712" s="64" t="s">
        <v>16</v>
      </c>
      <c r="F712" s="64" t="s">
        <v>382</v>
      </c>
      <c r="G712" s="64" t="s">
        <v>8537</v>
      </c>
      <c r="H712" s="64" t="s">
        <v>8538</v>
      </c>
    </row>
    <row r="713" spans="1:8" x14ac:dyDescent="0.3">
      <c r="A713" s="64" t="s">
        <v>1218</v>
      </c>
      <c r="B713" s="64" t="s">
        <v>823</v>
      </c>
      <c r="C713" s="64" t="s">
        <v>1462</v>
      </c>
      <c r="D713" s="64" t="s">
        <v>1470</v>
      </c>
      <c r="E713" s="64" t="s">
        <v>16</v>
      </c>
      <c r="F713" s="64" t="s">
        <v>383</v>
      </c>
      <c r="G713" s="64" t="s">
        <v>8539</v>
      </c>
      <c r="H713" s="64" t="s">
        <v>8540</v>
      </c>
    </row>
    <row r="714" spans="1:8" x14ac:dyDescent="0.3">
      <c r="A714" s="64" t="s">
        <v>1219</v>
      </c>
      <c r="B714" s="64" t="s">
        <v>823</v>
      </c>
      <c r="C714" s="64" t="s">
        <v>825</v>
      </c>
      <c r="D714" s="64" t="s">
        <v>1470</v>
      </c>
      <c r="E714" s="64" t="s">
        <v>20</v>
      </c>
      <c r="F714" s="64" t="s">
        <v>15</v>
      </c>
      <c r="G714" s="64" t="s">
        <v>8541</v>
      </c>
      <c r="H714" s="64" t="s">
        <v>1493</v>
      </c>
    </row>
    <row r="715" spans="1:8" x14ac:dyDescent="0.3">
      <c r="A715" s="64" t="s">
        <v>1220</v>
      </c>
      <c r="B715" s="64" t="s">
        <v>459</v>
      </c>
      <c r="C715" s="64" t="s">
        <v>946</v>
      </c>
      <c r="D715" s="64" t="s">
        <v>1897</v>
      </c>
      <c r="E715" s="64" t="s">
        <v>20</v>
      </c>
      <c r="F715" s="64" t="s">
        <v>15</v>
      </c>
      <c r="G715" s="64" t="s">
        <v>8542</v>
      </c>
      <c r="H715" s="64" t="s">
        <v>1494</v>
      </c>
    </row>
    <row r="716" spans="1:8" x14ac:dyDescent="0.3">
      <c r="A716" s="64" t="s">
        <v>1221</v>
      </c>
      <c r="B716" s="64" t="s">
        <v>459</v>
      </c>
      <c r="C716" s="64" t="s">
        <v>946</v>
      </c>
      <c r="D716" s="64" t="s">
        <v>1897</v>
      </c>
      <c r="E716" s="64" t="s">
        <v>16</v>
      </c>
      <c r="F716" s="64" t="s">
        <v>368</v>
      </c>
      <c r="G716" s="64" t="s">
        <v>8543</v>
      </c>
      <c r="H716" s="64" t="s">
        <v>8544</v>
      </c>
    </row>
    <row r="717" spans="1:8" x14ac:dyDescent="0.3">
      <c r="A717" s="64" t="s">
        <v>1222</v>
      </c>
      <c r="B717" s="64" t="s">
        <v>459</v>
      </c>
      <c r="C717" s="64" t="s">
        <v>946</v>
      </c>
      <c r="D717" s="64" t="s">
        <v>1897</v>
      </c>
      <c r="E717" s="64" t="s">
        <v>16</v>
      </c>
      <c r="F717" s="64" t="s">
        <v>369</v>
      </c>
      <c r="G717" s="64" t="s">
        <v>8545</v>
      </c>
      <c r="H717" s="64" t="s">
        <v>8546</v>
      </c>
    </row>
    <row r="718" spans="1:8" x14ac:dyDescent="0.3">
      <c r="A718" s="64" t="s">
        <v>1223</v>
      </c>
      <c r="B718" s="64" t="s">
        <v>459</v>
      </c>
      <c r="C718" s="64" t="s">
        <v>946</v>
      </c>
      <c r="D718" s="64" t="s">
        <v>1897</v>
      </c>
      <c r="E718" s="64" t="s">
        <v>16</v>
      </c>
      <c r="F718" s="64" t="s">
        <v>370</v>
      </c>
      <c r="G718" s="64" t="s">
        <v>8547</v>
      </c>
      <c r="H718" s="64" t="s">
        <v>8548</v>
      </c>
    </row>
    <row r="719" spans="1:8" x14ac:dyDescent="0.3">
      <c r="A719" s="64" t="s">
        <v>1224</v>
      </c>
      <c r="B719" s="64" t="s">
        <v>459</v>
      </c>
      <c r="C719" s="64" t="s">
        <v>946</v>
      </c>
      <c r="D719" s="64" t="s">
        <v>1897</v>
      </c>
      <c r="E719" s="64" t="s">
        <v>16</v>
      </c>
      <c r="F719" s="64" t="s">
        <v>371</v>
      </c>
      <c r="G719" s="64" t="s">
        <v>8549</v>
      </c>
      <c r="H719" s="64" t="s">
        <v>8550</v>
      </c>
    </row>
    <row r="720" spans="1:8" x14ac:dyDescent="0.3">
      <c r="A720" s="64" t="s">
        <v>1225</v>
      </c>
      <c r="B720" s="64" t="s">
        <v>459</v>
      </c>
      <c r="C720" s="64" t="s">
        <v>946</v>
      </c>
      <c r="D720" s="64" t="s">
        <v>1897</v>
      </c>
      <c r="E720" s="64" t="s">
        <v>16</v>
      </c>
      <c r="F720" s="64" t="s">
        <v>372</v>
      </c>
      <c r="G720" s="64" t="s">
        <v>8551</v>
      </c>
      <c r="H720" s="64" t="s">
        <v>8552</v>
      </c>
    </row>
    <row r="721" spans="1:8" x14ac:dyDescent="0.3">
      <c r="A721" s="64" t="s">
        <v>1226</v>
      </c>
      <c r="B721" s="64" t="s">
        <v>459</v>
      </c>
      <c r="C721" s="64" t="s">
        <v>946</v>
      </c>
      <c r="D721" s="64" t="s">
        <v>1897</v>
      </c>
      <c r="E721" s="64" t="s">
        <v>16</v>
      </c>
      <c r="F721" s="64" t="s">
        <v>373</v>
      </c>
      <c r="G721" s="64" t="s">
        <v>8553</v>
      </c>
      <c r="H721" s="64" t="s">
        <v>8554</v>
      </c>
    </row>
    <row r="722" spans="1:8" x14ac:dyDescent="0.3">
      <c r="A722" s="64" t="s">
        <v>1227</v>
      </c>
      <c r="B722" s="64" t="s">
        <v>459</v>
      </c>
      <c r="C722" s="64" t="s">
        <v>946</v>
      </c>
      <c r="D722" s="64" t="s">
        <v>1897</v>
      </c>
      <c r="E722" s="64" t="s">
        <v>16</v>
      </c>
      <c r="F722" s="64" t="s">
        <v>374</v>
      </c>
      <c r="G722" s="64" t="s">
        <v>8555</v>
      </c>
      <c r="H722" s="64" t="s">
        <v>8556</v>
      </c>
    </row>
    <row r="723" spans="1:8" x14ac:dyDescent="0.3">
      <c r="A723" s="64" t="s">
        <v>1228</v>
      </c>
      <c r="B723" s="64" t="s">
        <v>459</v>
      </c>
      <c r="C723" s="64" t="s">
        <v>946</v>
      </c>
      <c r="D723" s="64" t="s">
        <v>1897</v>
      </c>
      <c r="E723" s="64" t="s">
        <v>16</v>
      </c>
      <c r="F723" s="64" t="s">
        <v>375</v>
      </c>
      <c r="G723" s="64" t="s">
        <v>8557</v>
      </c>
      <c r="H723" s="64" t="s">
        <v>8558</v>
      </c>
    </row>
    <row r="724" spans="1:8" x14ac:dyDescent="0.3">
      <c r="A724" s="64" t="s">
        <v>1229</v>
      </c>
      <c r="B724" s="64" t="s">
        <v>459</v>
      </c>
      <c r="C724" s="64" t="s">
        <v>946</v>
      </c>
      <c r="D724" s="64" t="s">
        <v>1897</v>
      </c>
      <c r="E724" s="64" t="s">
        <v>16</v>
      </c>
      <c r="F724" s="64" t="s">
        <v>376</v>
      </c>
      <c r="G724" s="64" t="s">
        <v>8559</v>
      </c>
      <c r="H724" s="64" t="s">
        <v>8560</v>
      </c>
    </row>
    <row r="725" spans="1:8" x14ac:dyDescent="0.3">
      <c r="A725" s="64" t="s">
        <v>1230</v>
      </c>
      <c r="B725" s="64" t="s">
        <v>459</v>
      </c>
      <c r="C725" s="64" t="s">
        <v>946</v>
      </c>
      <c r="D725" s="64" t="s">
        <v>1897</v>
      </c>
      <c r="E725" s="64" t="s">
        <v>16</v>
      </c>
      <c r="F725" s="64" t="s">
        <v>377</v>
      </c>
      <c r="G725" s="64" t="s">
        <v>8561</v>
      </c>
      <c r="H725" s="64" t="s">
        <v>8562</v>
      </c>
    </row>
    <row r="726" spans="1:8" x14ac:dyDescent="0.3">
      <c r="A726" s="64" t="s">
        <v>1231</v>
      </c>
      <c r="B726" s="64" t="s">
        <v>459</v>
      </c>
      <c r="C726" s="64" t="s">
        <v>946</v>
      </c>
      <c r="D726" s="64" t="s">
        <v>1897</v>
      </c>
      <c r="E726" s="64" t="s">
        <v>16</v>
      </c>
      <c r="F726" s="64" t="s">
        <v>378</v>
      </c>
      <c r="G726" s="64" t="s">
        <v>8563</v>
      </c>
      <c r="H726" s="64" t="s">
        <v>8564</v>
      </c>
    </row>
    <row r="727" spans="1:8" x14ac:dyDescent="0.3">
      <c r="A727" s="64" t="s">
        <v>1232</v>
      </c>
      <c r="B727" s="64" t="s">
        <v>459</v>
      </c>
      <c r="C727" s="64" t="s">
        <v>946</v>
      </c>
      <c r="D727" s="64" t="s">
        <v>1897</v>
      </c>
      <c r="E727" s="64" t="s">
        <v>16</v>
      </c>
      <c r="F727" s="64" t="s">
        <v>379</v>
      </c>
      <c r="G727" s="64" t="s">
        <v>8565</v>
      </c>
      <c r="H727" s="64" t="s">
        <v>8566</v>
      </c>
    </row>
    <row r="728" spans="1:8" x14ac:dyDescent="0.3">
      <c r="A728" s="64" t="s">
        <v>1233</v>
      </c>
      <c r="B728" s="64" t="s">
        <v>459</v>
      </c>
      <c r="C728" s="64" t="s">
        <v>946</v>
      </c>
      <c r="D728" s="64" t="s">
        <v>1897</v>
      </c>
      <c r="E728" s="64" t="s">
        <v>16</v>
      </c>
      <c r="F728" s="64" t="s">
        <v>380</v>
      </c>
      <c r="G728" s="64" t="s">
        <v>8567</v>
      </c>
      <c r="H728" s="64" t="s">
        <v>8568</v>
      </c>
    </row>
    <row r="729" spans="1:8" x14ac:dyDescent="0.3">
      <c r="A729" s="64" t="s">
        <v>1234</v>
      </c>
      <c r="B729" s="64" t="s">
        <v>459</v>
      </c>
      <c r="C729" s="64" t="s">
        <v>946</v>
      </c>
      <c r="D729" s="64" t="s">
        <v>1897</v>
      </c>
      <c r="E729" s="64" t="s">
        <v>16</v>
      </c>
      <c r="F729" s="64" t="s">
        <v>381</v>
      </c>
      <c r="G729" s="64" t="s">
        <v>8569</v>
      </c>
      <c r="H729" s="64" t="s">
        <v>8570</v>
      </c>
    </row>
    <row r="730" spans="1:8" x14ac:dyDescent="0.3">
      <c r="A730" s="64" t="s">
        <v>1235</v>
      </c>
      <c r="B730" s="64" t="s">
        <v>459</v>
      </c>
      <c r="C730" s="64" t="s">
        <v>946</v>
      </c>
      <c r="D730" s="64" t="s">
        <v>1897</v>
      </c>
      <c r="E730" s="64" t="s">
        <v>16</v>
      </c>
      <c r="F730" s="64" t="s">
        <v>382</v>
      </c>
      <c r="G730" s="64" t="s">
        <v>8571</v>
      </c>
      <c r="H730" s="64" t="s">
        <v>8572</v>
      </c>
    </row>
    <row r="731" spans="1:8" x14ac:dyDescent="0.3">
      <c r="A731" s="64" t="s">
        <v>1236</v>
      </c>
      <c r="B731" s="64" t="s">
        <v>459</v>
      </c>
      <c r="C731" s="64" t="s">
        <v>946</v>
      </c>
      <c r="D731" s="64" t="s">
        <v>1897</v>
      </c>
      <c r="E731" s="64" t="s">
        <v>16</v>
      </c>
      <c r="F731" s="64" t="s">
        <v>383</v>
      </c>
      <c r="G731" s="64" t="s">
        <v>8573</v>
      </c>
      <c r="H731" s="64" t="s">
        <v>8574</v>
      </c>
    </row>
    <row r="732" spans="1:8" x14ac:dyDescent="0.3">
      <c r="A732" s="64" t="s">
        <v>1237</v>
      </c>
      <c r="B732" s="64" t="s">
        <v>954</v>
      </c>
      <c r="C732" s="64" t="s">
        <v>5152</v>
      </c>
      <c r="D732" s="64" t="s">
        <v>1883</v>
      </c>
      <c r="E732" s="64" t="s">
        <v>20</v>
      </c>
      <c r="F732" s="64" t="s">
        <v>15</v>
      </c>
      <c r="G732" s="64" t="s">
        <v>8575</v>
      </c>
      <c r="H732" s="64" t="s">
        <v>1496</v>
      </c>
    </row>
    <row r="733" spans="1:8" x14ac:dyDescent="0.3">
      <c r="A733" s="64" t="s">
        <v>1238</v>
      </c>
      <c r="B733" s="64" t="s">
        <v>571</v>
      </c>
      <c r="C733" s="64" t="s">
        <v>1498</v>
      </c>
      <c r="D733" s="64" t="s">
        <v>1899</v>
      </c>
      <c r="E733" s="64" t="s">
        <v>20</v>
      </c>
      <c r="F733" s="64" t="s">
        <v>15</v>
      </c>
      <c r="G733" s="64" t="s">
        <v>8576</v>
      </c>
      <c r="H733" s="64" t="s">
        <v>5319</v>
      </c>
    </row>
    <row r="734" spans="1:8" x14ac:dyDescent="0.3">
      <c r="A734" s="64" t="s">
        <v>1239</v>
      </c>
      <c r="B734" s="64" t="s">
        <v>571</v>
      </c>
      <c r="C734" s="64" t="s">
        <v>1498</v>
      </c>
      <c r="D734" s="64" t="s">
        <v>1899</v>
      </c>
      <c r="E734" s="64" t="s">
        <v>16</v>
      </c>
      <c r="F734" s="64" t="s">
        <v>368</v>
      </c>
      <c r="G734" s="64" t="s">
        <v>8577</v>
      </c>
      <c r="H734" s="64" t="s">
        <v>5320</v>
      </c>
    </row>
    <row r="735" spans="1:8" x14ac:dyDescent="0.3">
      <c r="A735" s="64" t="s">
        <v>1240</v>
      </c>
      <c r="B735" s="64" t="s">
        <v>571</v>
      </c>
      <c r="C735" s="64" t="s">
        <v>1498</v>
      </c>
      <c r="D735" s="64" t="s">
        <v>1899</v>
      </c>
      <c r="E735" s="64" t="s">
        <v>16</v>
      </c>
      <c r="F735" s="64" t="s">
        <v>369</v>
      </c>
      <c r="G735" s="64" t="s">
        <v>8578</v>
      </c>
      <c r="H735" s="64" t="s">
        <v>5321</v>
      </c>
    </row>
    <row r="736" spans="1:8" x14ac:dyDescent="0.3">
      <c r="A736" s="64" t="s">
        <v>1241</v>
      </c>
      <c r="B736" s="64" t="s">
        <v>571</v>
      </c>
      <c r="C736" s="64" t="s">
        <v>1498</v>
      </c>
      <c r="D736" s="64" t="s">
        <v>1899</v>
      </c>
      <c r="E736" s="64" t="s">
        <v>16</v>
      </c>
      <c r="F736" s="64" t="s">
        <v>370</v>
      </c>
      <c r="G736" s="64" t="s">
        <v>8579</v>
      </c>
      <c r="H736" s="64" t="s">
        <v>5322</v>
      </c>
    </row>
    <row r="737" spans="1:8" x14ac:dyDescent="0.3">
      <c r="A737" s="64" t="s">
        <v>1242</v>
      </c>
      <c r="B737" s="64" t="s">
        <v>571</v>
      </c>
      <c r="C737" s="64" t="s">
        <v>1498</v>
      </c>
      <c r="D737" s="64" t="s">
        <v>1899</v>
      </c>
      <c r="E737" s="64" t="s">
        <v>16</v>
      </c>
      <c r="F737" s="64" t="s">
        <v>371</v>
      </c>
      <c r="G737" s="64" t="s">
        <v>8580</v>
      </c>
      <c r="H737" s="64" t="s">
        <v>5323</v>
      </c>
    </row>
    <row r="738" spans="1:8" x14ac:dyDescent="0.3">
      <c r="A738" s="64" t="s">
        <v>1243</v>
      </c>
      <c r="B738" s="64" t="s">
        <v>571</v>
      </c>
      <c r="C738" s="64" t="s">
        <v>1498</v>
      </c>
      <c r="D738" s="64" t="s">
        <v>1899</v>
      </c>
      <c r="E738" s="64" t="s">
        <v>16</v>
      </c>
      <c r="F738" s="64" t="s">
        <v>372</v>
      </c>
      <c r="G738" s="64" t="s">
        <v>8581</v>
      </c>
      <c r="H738" s="64" t="s">
        <v>5324</v>
      </c>
    </row>
    <row r="739" spans="1:8" x14ac:dyDescent="0.3">
      <c r="A739" s="64" t="s">
        <v>1244</v>
      </c>
      <c r="B739" s="64" t="s">
        <v>571</v>
      </c>
      <c r="C739" s="64" t="s">
        <v>1498</v>
      </c>
      <c r="D739" s="64" t="s">
        <v>1899</v>
      </c>
      <c r="E739" s="64" t="s">
        <v>16</v>
      </c>
      <c r="F739" s="64" t="s">
        <v>373</v>
      </c>
      <c r="G739" s="64" t="s">
        <v>8582</v>
      </c>
      <c r="H739" s="64" t="s">
        <v>5325</v>
      </c>
    </row>
    <row r="740" spans="1:8" x14ac:dyDescent="0.3">
      <c r="A740" s="64" t="s">
        <v>1245</v>
      </c>
      <c r="B740" s="64" t="s">
        <v>571</v>
      </c>
      <c r="C740" s="64" t="s">
        <v>1498</v>
      </c>
      <c r="D740" s="64" t="s">
        <v>1899</v>
      </c>
      <c r="E740" s="64" t="s">
        <v>16</v>
      </c>
      <c r="F740" s="64" t="s">
        <v>374</v>
      </c>
      <c r="G740" s="64" t="s">
        <v>8583</v>
      </c>
      <c r="H740" s="64" t="s">
        <v>5326</v>
      </c>
    </row>
    <row r="741" spans="1:8" x14ac:dyDescent="0.3">
      <c r="A741" s="64" t="s">
        <v>1246</v>
      </c>
      <c r="B741" s="64" t="s">
        <v>571</v>
      </c>
      <c r="C741" s="64" t="s">
        <v>1498</v>
      </c>
      <c r="D741" s="64" t="s">
        <v>1899</v>
      </c>
      <c r="E741" s="64" t="s">
        <v>16</v>
      </c>
      <c r="F741" s="64" t="s">
        <v>375</v>
      </c>
      <c r="G741" s="64" t="s">
        <v>8584</v>
      </c>
      <c r="H741" s="64" t="s">
        <v>5327</v>
      </c>
    </row>
    <row r="742" spans="1:8" x14ac:dyDescent="0.3">
      <c r="A742" s="64" t="s">
        <v>1247</v>
      </c>
      <c r="B742" s="64" t="s">
        <v>571</v>
      </c>
      <c r="C742" s="64" t="s">
        <v>1498</v>
      </c>
      <c r="D742" s="64" t="s">
        <v>1899</v>
      </c>
      <c r="E742" s="64" t="s">
        <v>16</v>
      </c>
      <c r="F742" s="64" t="s">
        <v>376</v>
      </c>
      <c r="G742" s="64" t="s">
        <v>8585</v>
      </c>
      <c r="H742" s="64" t="s">
        <v>5328</v>
      </c>
    </row>
    <row r="743" spans="1:8" x14ac:dyDescent="0.3">
      <c r="A743" s="64" t="s">
        <v>1248</v>
      </c>
      <c r="B743" s="64" t="s">
        <v>571</v>
      </c>
      <c r="C743" s="64" t="s">
        <v>1498</v>
      </c>
      <c r="D743" s="64" t="s">
        <v>1899</v>
      </c>
      <c r="E743" s="64" t="s">
        <v>16</v>
      </c>
      <c r="F743" s="64" t="s">
        <v>377</v>
      </c>
      <c r="G743" s="64" t="s">
        <v>8586</v>
      </c>
      <c r="H743" s="64" t="s">
        <v>5329</v>
      </c>
    </row>
    <row r="744" spans="1:8" x14ac:dyDescent="0.3">
      <c r="A744" s="64" t="s">
        <v>1249</v>
      </c>
      <c r="B744" s="64" t="s">
        <v>571</v>
      </c>
      <c r="C744" s="64" t="s">
        <v>1498</v>
      </c>
      <c r="D744" s="64" t="s">
        <v>1899</v>
      </c>
      <c r="E744" s="64" t="s">
        <v>16</v>
      </c>
      <c r="F744" s="64" t="s">
        <v>378</v>
      </c>
      <c r="G744" s="64" t="s">
        <v>8587</v>
      </c>
      <c r="H744" s="64" t="s">
        <v>5330</v>
      </c>
    </row>
    <row r="745" spans="1:8" x14ac:dyDescent="0.3">
      <c r="A745" s="64" t="s">
        <v>1250</v>
      </c>
      <c r="B745" s="64" t="s">
        <v>571</v>
      </c>
      <c r="C745" s="64" t="s">
        <v>1498</v>
      </c>
      <c r="D745" s="64" t="s">
        <v>1899</v>
      </c>
      <c r="E745" s="64" t="s">
        <v>16</v>
      </c>
      <c r="F745" s="64" t="s">
        <v>379</v>
      </c>
      <c r="G745" s="64" t="s">
        <v>8588</v>
      </c>
      <c r="H745" s="64" t="s">
        <v>5331</v>
      </c>
    </row>
    <row r="746" spans="1:8" x14ac:dyDescent="0.3">
      <c r="A746" s="64" t="s">
        <v>1251</v>
      </c>
      <c r="B746" s="64" t="s">
        <v>571</v>
      </c>
      <c r="C746" s="64" t="s">
        <v>1498</v>
      </c>
      <c r="D746" s="64" t="s">
        <v>1899</v>
      </c>
      <c r="E746" s="64" t="s">
        <v>16</v>
      </c>
      <c r="F746" s="64" t="s">
        <v>380</v>
      </c>
      <c r="G746" s="64" t="s">
        <v>8589</v>
      </c>
      <c r="H746" s="64" t="s">
        <v>5332</v>
      </c>
    </row>
    <row r="747" spans="1:8" x14ac:dyDescent="0.3">
      <c r="A747" s="64" t="s">
        <v>1252</v>
      </c>
      <c r="B747" s="64" t="s">
        <v>571</v>
      </c>
      <c r="C747" s="64" t="s">
        <v>1498</v>
      </c>
      <c r="D747" s="64" t="s">
        <v>1899</v>
      </c>
      <c r="E747" s="64" t="s">
        <v>16</v>
      </c>
      <c r="F747" s="64" t="s">
        <v>381</v>
      </c>
      <c r="G747" s="64" t="s">
        <v>8590</v>
      </c>
      <c r="H747" s="64" t="s">
        <v>5333</v>
      </c>
    </row>
    <row r="748" spans="1:8" x14ac:dyDescent="0.3">
      <c r="A748" s="64" t="s">
        <v>1253</v>
      </c>
      <c r="B748" s="64" t="s">
        <v>571</v>
      </c>
      <c r="C748" s="64" t="s">
        <v>1498</v>
      </c>
      <c r="D748" s="64" t="s">
        <v>1899</v>
      </c>
      <c r="E748" s="64" t="s">
        <v>16</v>
      </c>
      <c r="F748" s="64" t="s">
        <v>382</v>
      </c>
      <c r="G748" s="64" t="s">
        <v>8591</v>
      </c>
      <c r="H748" s="64" t="s">
        <v>5334</v>
      </c>
    </row>
    <row r="749" spans="1:8" x14ac:dyDescent="0.3">
      <c r="A749" s="64" t="s">
        <v>1254</v>
      </c>
      <c r="B749" s="64" t="s">
        <v>571</v>
      </c>
      <c r="C749" s="64" t="s">
        <v>1498</v>
      </c>
      <c r="D749" s="64" t="s">
        <v>1899</v>
      </c>
      <c r="E749" s="64" t="s">
        <v>16</v>
      </c>
      <c r="F749" s="64" t="s">
        <v>383</v>
      </c>
      <c r="G749" s="64" t="s">
        <v>8592</v>
      </c>
      <c r="H749" s="64" t="s">
        <v>5335</v>
      </c>
    </row>
    <row r="750" spans="1:8" x14ac:dyDescent="0.3">
      <c r="A750" s="64" t="s">
        <v>1255</v>
      </c>
      <c r="B750" s="64" t="s">
        <v>571</v>
      </c>
      <c r="C750" s="64" t="s">
        <v>1498</v>
      </c>
      <c r="D750" s="64" t="s">
        <v>1899</v>
      </c>
      <c r="E750" s="64" t="s">
        <v>20</v>
      </c>
      <c r="F750" s="64" t="s">
        <v>15</v>
      </c>
      <c r="G750" s="64" t="s">
        <v>8593</v>
      </c>
      <c r="H750" s="64" t="s">
        <v>5185</v>
      </c>
    </row>
    <row r="751" spans="1:8" x14ac:dyDescent="0.3">
      <c r="A751" s="64" t="s">
        <v>1256</v>
      </c>
      <c r="B751" s="64" t="s">
        <v>571</v>
      </c>
      <c r="C751" s="64" t="s">
        <v>1498</v>
      </c>
      <c r="D751" s="64" t="s">
        <v>1899</v>
      </c>
      <c r="E751" s="64" t="s">
        <v>16</v>
      </c>
      <c r="F751" s="64" t="s">
        <v>370</v>
      </c>
      <c r="G751" s="64" t="s">
        <v>8594</v>
      </c>
      <c r="H751" s="64" t="s">
        <v>5186</v>
      </c>
    </row>
    <row r="752" spans="1:8" x14ac:dyDescent="0.3">
      <c r="A752" s="64" t="s">
        <v>1257</v>
      </c>
      <c r="B752" s="64" t="s">
        <v>571</v>
      </c>
      <c r="C752" s="64" t="s">
        <v>1498</v>
      </c>
      <c r="D752" s="64" t="s">
        <v>1899</v>
      </c>
      <c r="E752" s="64" t="s">
        <v>16</v>
      </c>
      <c r="F752" s="64" t="s">
        <v>371</v>
      </c>
      <c r="G752" s="64" t="s">
        <v>8595</v>
      </c>
      <c r="H752" s="64" t="s">
        <v>5187</v>
      </c>
    </row>
    <row r="753" spans="1:8" x14ac:dyDescent="0.3">
      <c r="A753" s="64" t="s">
        <v>1258</v>
      </c>
      <c r="B753" s="64" t="s">
        <v>571</v>
      </c>
      <c r="C753" s="64" t="s">
        <v>1498</v>
      </c>
      <c r="D753" s="64" t="s">
        <v>1899</v>
      </c>
      <c r="E753" s="64" t="s">
        <v>16</v>
      </c>
      <c r="F753" s="64" t="s">
        <v>372</v>
      </c>
      <c r="G753" s="64" t="s">
        <v>8596</v>
      </c>
      <c r="H753" s="64" t="s">
        <v>5188</v>
      </c>
    </row>
    <row r="754" spans="1:8" x14ac:dyDescent="0.3">
      <c r="A754" s="64" t="s">
        <v>1259</v>
      </c>
      <c r="B754" s="64" t="s">
        <v>571</v>
      </c>
      <c r="C754" s="64" t="s">
        <v>1498</v>
      </c>
      <c r="D754" s="64" t="s">
        <v>1899</v>
      </c>
      <c r="E754" s="64" t="s">
        <v>16</v>
      </c>
      <c r="F754" s="64" t="s">
        <v>373</v>
      </c>
      <c r="G754" s="64" t="s">
        <v>8597</v>
      </c>
      <c r="H754" s="64" t="s">
        <v>5189</v>
      </c>
    </row>
    <row r="755" spans="1:8" x14ac:dyDescent="0.3">
      <c r="A755" s="64" t="s">
        <v>1260</v>
      </c>
      <c r="B755" s="64" t="s">
        <v>571</v>
      </c>
      <c r="C755" s="64" t="s">
        <v>1498</v>
      </c>
      <c r="D755" s="64" t="s">
        <v>1899</v>
      </c>
      <c r="E755" s="64" t="s">
        <v>16</v>
      </c>
      <c r="F755" s="64" t="s">
        <v>374</v>
      </c>
      <c r="G755" s="64" t="s">
        <v>8598</v>
      </c>
      <c r="H755" s="64" t="s">
        <v>5190</v>
      </c>
    </row>
    <row r="756" spans="1:8" x14ac:dyDescent="0.3">
      <c r="A756" s="64" t="s">
        <v>1261</v>
      </c>
      <c r="B756" s="64" t="s">
        <v>571</v>
      </c>
      <c r="C756" s="64" t="s">
        <v>1498</v>
      </c>
      <c r="D756" s="64" t="s">
        <v>1899</v>
      </c>
      <c r="E756" s="64" t="s">
        <v>16</v>
      </c>
      <c r="F756" s="64" t="s">
        <v>375</v>
      </c>
      <c r="G756" s="64" t="s">
        <v>8599</v>
      </c>
      <c r="H756" s="64" t="s">
        <v>5191</v>
      </c>
    </row>
    <row r="757" spans="1:8" x14ac:dyDescent="0.3">
      <c r="A757" s="64" t="s">
        <v>1262</v>
      </c>
      <c r="B757" s="64" t="s">
        <v>571</v>
      </c>
      <c r="C757" s="64" t="s">
        <v>1498</v>
      </c>
      <c r="D757" s="64" t="s">
        <v>1899</v>
      </c>
      <c r="E757" s="64" t="s">
        <v>16</v>
      </c>
      <c r="F757" s="64" t="s">
        <v>376</v>
      </c>
      <c r="G757" s="64" t="s">
        <v>8600</v>
      </c>
      <c r="H757" s="64" t="s">
        <v>5198</v>
      </c>
    </row>
    <row r="758" spans="1:8" x14ac:dyDescent="0.3">
      <c r="A758" s="64" t="s">
        <v>1263</v>
      </c>
      <c r="B758" s="64" t="s">
        <v>571</v>
      </c>
      <c r="C758" s="64" t="s">
        <v>1498</v>
      </c>
      <c r="D758" s="64" t="s">
        <v>1899</v>
      </c>
      <c r="E758" s="64" t="s">
        <v>16</v>
      </c>
      <c r="F758" s="64" t="s">
        <v>377</v>
      </c>
      <c r="G758" s="64" t="s">
        <v>8601</v>
      </c>
      <c r="H758" s="64" t="s">
        <v>5192</v>
      </c>
    </row>
    <row r="759" spans="1:8" x14ac:dyDescent="0.3">
      <c r="A759" s="64" t="s">
        <v>1264</v>
      </c>
      <c r="B759" s="64" t="s">
        <v>571</v>
      </c>
      <c r="C759" s="64" t="s">
        <v>1498</v>
      </c>
      <c r="D759" s="64" t="s">
        <v>1899</v>
      </c>
      <c r="E759" s="64" t="s">
        <v>16</v>
      </c>
      <c r="F759" s="64" t="s">
        <v>378</v>
      </c>
      <c r="G759" s="64" t="s">
        <v>8602</v>
      </c>
      <c r="H759" s="64" t="s">
        <v>5193</v>
      </c>
    </row>
    <row r="760" spans="1:8" x14ac:dyDescent="0.3">
      <c r="A760" s="64" t="s">
        <v>1265</v>
      </c>
      <c r="B760" s="64" t="s">
        <v>571</v>
      </c>
      <c r="C760" s="64" t="s">
        <v>1498</v>
      </c>
      <c r="D760" s="64" t="s">
        <v>1899</v>
      </c>
      <c r="E760" s="64" t="s">
        <v>16</v>
      </c>
      <c r="F760" s="64" t="s">
        <v>379</v>
      </c>
      <c r="G760" s="64" t="s">
        <v>8603</v>
      </c>
      <c r="H760" s="64" t="s">
        <v>5194</v>
      </c>
    </row>
    <row r="761" spans="1:8" x14ac:dyDescent="0.3">
      <c r="A761" s="64" t="s">
        <v>1266</v>
      </c>
      <c r="B761" s="64" t="s">
        <v>571</v>
      </c>
      <c r="C761" s="64" t="s">
        <v>1498</v>
      </c>
      <c r="D761" s="64" t="s">
        <v>1899</v>
      </c>
      <c r="E761" s="64" t="s">
        <v>16</v>
      </c>
      <c r="F761" s="64" t="s">
        <v>380</v>
      </c>
      <c r="G761" s="64" t="s">
        <v>8604</v>
      </c>
      <c r="H761" s="64" t="s">
        <v>5195</v>
      </c>
    </row>
    <row r="762" spans="1:8" x14ac:dyDescent="0.3">
      <c r="A762" s="64" t="s">
        <v>1267</v>
      </c>
      <c r="B762" s="64" t="s">
        <v>571</v>
      </c>
      <c r="C762" s="64" t="s">
        <v>1498</v>
      </c>
      <c r="D762" s="64" t="s">
        <v>1899</v>
      </c>
      <c r="E762" s="64" t="s">
        <v>16</v>
      </c>
      <c r="F762" s="64" t="s">
        <v>381</v>
      </c>
      <c r="G762" s="64" t="s">
        <v>8605</v>
      </c>
      <c r="H762" s="64" t="s">
        <v>5196</v>
      </c>
    </row>
    <row r="763" spans="1:8" x14ac:dyDescent="0.3">
      <c r="A763" s="64" t="s">
        <v>1268</v>
      </c>
      <c r="B763" s="64" t="s">
        <v>571</v>
      </c>
      <c r="C763" s="64" t="s">
        <v>1498</v>
      </c>
      <c r="D763" s="64" t="s">
        <v>1899</v>
      </c>
      <c r="E763" s="64" t="s">
        <v>16</v>
      </c>
      <c r="F763" s="64" t="s">
        <v>383</v>
      </c>
      <c r="G763" s="64" t="s">
        <v>8606</v>
      </c>
      <c r="H763" s="64" t="s">
        <v>5197</v>
      </c>
    </row>
    <row r="764" spans="1:8" x14ac:dyDescent="0.3">
      <c r="A764" s="64" t="s">
        <v>1269</v>
      </c>
      <c r="B764" s="64" t="s">
        <v>571</v>
      </c>
      <c r="C764" s="64" t="s">
        <v>1498</v>
      </c>
      <c r="D764" s="64" t="s">
        <v>1899</v>
      </c>
      <c r="E764" s="64" t="s">
        <v>20</v>
      </c>
      <c r="F764" s="64" t="s">
        <v>15</v>
      </c>
      <c r="G764" s="64" t="s">
        <v>8607</v>
      </c>
      <c r="H764" s="64" t="s">
        <v>5199</v>
      </c>
    </row>
    <row r="765" spans="1:8" x14ac:dyDescent="0.3">
      <c r="A765" s="64" t="s">
        <v>1270</v>
      </c>
      <c r="B765" s="64" t="s">
        <v>571</v>
      </c>
      <c r="C765" s="64" t="s">
        <v>1498</v>
      </c>
      <c r="D765" s="64" t="s">
        <v>1899</v>
      </c>
      <c r="E765" s="64" t="s">
        <v>16</v>
      </c>
      <c r="F765" s="64" t="s">
        <v>368</v>
      </c>
      <c r="G765" s="64" t="s">
        <v>8608</v>
      </c>
      <c r="H765" s="64" t="s">
        <v>5200</v>
      </c>
    </row>
    <row r="766" spans="1:8" x14ac:dyDescent="0.3">
      <c r="A766" s="64" t="s">
        <v>1271</v>
      </c>
      <c r="B766" s="64" t="s">
        <v>571</v>
      </c>
      <c r="C766" s="64" t="s">
        <v>1498</v>
      </c>
      <c r="D766" s="64" t="s">
        <v>1899</v>
      </c>
      <c r="E766" s="64" t="s">
        <v>16</v>
      </c>
      <c r="F766" s="64" t="s">
        <v>369</v>
      </c>
      <c r="G766" s="64" t="s">
        <v>8609</v>
      </c>
      <c r="H766" s="64" t="s">
        <v>5201</v>
      </c>
    </row>
    <row r="767" spans="1:8" x14ac:dyDescent="0.3">
      <c r="A767" s="64" t="s">
        <v>1272</v>
      </c>
      <c r="B767" s="64" t="s">
        <v>571</v>
      </c>
      <c r="C767" s="64" t="s">
        <v>1498</v>
      </c>
      <c r="D767" s="64" t="s">
        <v>1899</v>
      </c>
      <c r="E767" s="64" t="s">
        <v>16</v>
      </c>
      <c r="F767" s="64" t="s">
        <v>370</v>
      </c>
      <c r="G767" s="64" t="s">
        <v>8610</v>
      </c>
      <c r="H767" s="64" t="s">
        <v>5202</v>
      </c>
    </row>
    <row r="768" spans="1:8" x14ac:dyDescent="0.3">
      <c r="A768" s="64" t="s">
        <v>1273</v>
      </c>
      <c r="B768" s="64" t="s">
        <v>571</v>
      </c>
      <c r="C768" s="64" t="s">
        <v>1498</v>
      </c>
      <c r="D768" s="64" t="s">
        <v>1899</v>
      </c>
      <c r="E768" s="64" t="s">
        <v>16</v>
      </c>
      <c r="F768" s="64" t="s">
        <v>371</v>
      </c>
      <c r="G768" s="64" t="s">
        <v>8611</v>
      </c>
      <c r="H768" s="64" t="s">
        <v>5203</v>
      </c>
    </row>
    <row r="769" spans="1:8" x14ac:dyDescent="0.3">
      <c r="A769" s="64" t="s">
        <v>1274</v>
      </c>
      <c r="B769" s="64" t="s">
        <v>571</v>
      </c>
      <c r="C769" s="64" t="s">
        <v>1498</v>
      </c>
      <c r="D769" s="64" t="s">
        <v>1899</v>
      </c>
      <c r="E769" s="64" t="s">
        <v>16</v>
      </c>
      <c r="F769" s="64" t="s">
        <v>372</v>
      </c>
      <c r="G769" s="64" t="s">
        <v>8612</v>
      </c>
      <c r="H769" s="64" t="s">
        <v>5204</v>
      </c>
    </row>
    <row r="770" spans="1:8" x14ac:dyDescent="0.3">
      <c r="A770" s="64" t="s">
        <v>1275</v>
      </c>
      <c r="B770" s="64" t="s">
        <v>571</v>
      </c>
      <c r="C770" s="64" t="s">
        <v>1498</v>
      </c>
      <c r="D770" s="64" t="s">
        <v>1899</v>
      </c>
      <c r="E770" s="64" t="s">
        <v>16</v>
      </c>
      <c r="F770" s="64" t="s">
        <v>373</v>
      </c>
      <c r="G770" s="64" t="s">
        <v>8613</v>
      </c>
      <c r="H770" s="64" t="s">
        <v>5205</v>
      </c>
    </row>
    <row r="771" spans="1:8" x14ac:dyDescent="0.3">
      <c r="A771" s="64" t="s">
        <v>1276</v>
      </c>
      <c r="B771" s="64" t="s">
        <v>571</v>
      </c>
      <c r="C771" s="64" t="s">
        <v>1498</v>
      </c>
      <c r="D771" s="64" t="s">
        <v>1899</v>
      </c>
      <c r="E771" s="64" t="s">
        <v>16</v>
      </c>
      <c r="F771" s="64" t="s">
        <v>374</v>
      </c>
      <c r="G771" s="64" t="s">
        <v>8614</v>
      </c>
      <c r="H771" s="64" t="s">
        <v>5206</v>
      </c>
    </row>
    <row r="772" spans="1:8" x14ac:dyDescent="0.3">
      <c r="A772" s="64" t="s">
        <v>1277</v>
      </c>
      <c r="B772" s="64" t="s">
        <v>571</v>
      </c>
      <c r="C772" s="64" t="s">
        <v>1498</v>
      </c>
      <c r="D772" s="64" t="s">
        <v>1899</v>
      </c>
      <c r="E772" s="64" t="s">
        <v>16</v>
      </c>
      <c r="F772" s="64" t="s">
        <v>375</v>
      </c>
      <c r="G772" s="64" t="s">
        <v>8615</v>
      </c>
      <c r="H772" s="64" t="s">
        <v>5207</v>
      </c>
    </row>
    <row r="773" spans="1:8" x14ac:dyDescent="0.3">
      <c r="A773" s="64" t="s">
        <v>1278</v>
      </c>
      <c r="B773" s="64" t="s">
        <v>571</v>
      </c>
      <c r="C773" s="64" t="s">
        <v>1498</v>
      </c>
      <c r="D773" s="64" t="s">
        <v>1899</v>
      </c>
      <c r="E773" s="64" t="s">
        <v>16</v>
      </c>
      <c r="F773" s="64" t="s">
        <v>376</v>
      </c>
      <c r="G773" s="64" t="s">
        <v>8616</v>
      </c>
      <c r="H773" s="64" t="s">
        <v>5208</v>
      </c>
    </row>
    <row r="774" spans="1:8" x14ac:dyDescent="0.3">
      <c r="A774" s="64" t="s">
        <v>1279</v>
      </c>
      <c r="B774" s="64" t="s">
        <v>571</v>
      </c>
      <c r="C774" s="64" t="s">
        <v>1498</v>
      </c>
      <c r="D774" s="64" t="s">
        <v>1899</v>
      </c>
      <c r="E774" s="64" t="s">
        <v>16</v>
      </c>
      <c r="F774" s="64" t="s">
        <v>377</v>
      </c>
      <c r="G774" s="64" t="s">
        <v>8617</v>
      </c>
      <c r="H774" s="64" t="s">
        <v>5209</v>
      </c>
    </row>
    <row r="775" spans="1:8" x14ac:dyDescent="0.3">
      <c r="A775" s="64" t="s">
        <v>1280</v>
      </c>
      <c r="B775" s="64" t="s">
        <v>571</v>
      </c>
      <c r="C775" s="64" t="s">
        <v>1498</v>
      </c>
      <c r="D775" s="64" t="s">
        <v>1899</v>
      </c>
      <c r="E775" s="64" t="s">
        <v>16</v>
      </c>
      <c r="F775" s="64" t="s">
        <v>378</v>
      </c>
      <c r="G775" s="64" t="s">
        <v>8618</v>
      </c>
      <c r="H775" s="64" t="s">
        <v>5210</v>
      </c>
    </row>
    <row r="776" spans="1:8" x14ac:dyDescent="0.3">
      <c r="A776" s="64" t="s">
        <v>1281</v>
      </c>
      <c r="B776" s="64" t="s">
        <v>571</v>
      </c>
      <c r="C776" s="64" t="s">
        <v>1498</v>
      </c>
      <c r="D776" s="64" t="s">
        <v>1899</v>
      </c>
      <c r="E776" s="64" t="s">
        <v>16</v>
      </c>
      <c r="F776" s="64" t="s">
        <v>379</v>
      </c>
      <c r="G776" s="64" t="s">
        <v>8619</v>
      </c>
      <c r="H776" s="64" t="s">
        <v>5211</v>
      </c>
    </row>
    <row r="777" spans="1:8" x14ac:dyDescent="0.3">
      <c r="A777" s="64" t="s">
        <v>1282</v>
      </c>
      <c r="B777" s="64" t="s">
        <v>571</v>
      </c>
      <c r="C777" s="64" t="s">
        <v>1498</v>
      </c>
      <c r="D777" s="64" t="s">
        <v>1899</v>
      </c>
      <c r="E777" s="64" t="s">
        <v>16</v>
      </c>
      <c r="F777" s="64" t="s">
        <v>380</v>
      </c>
      <c r="G777" s="64" t="s">
        <v>8620</v>
      </c>
      <c r="H777" s="64" t="s">
        <v>5212</v>
      </c>
    </row>
    <row r="778" spans="1:8" x14ac:dyDescent="0.3">
      <c r="A778" s="64" t="s">
        <v>1283</v>
      </c>
      <c r="B778" s="64" t="s">
        <v>571</v>
      </c>
      <c r="C778" s="64" t="s">
        <v>1498</v>
      </c>
      <c r="D778" s="64" t="s">
        <v>1899</v>
      </c>
      <c r="E778" s="64" t="s">
        <v>16</v>
      </c>
      <c r="F778" s="64" t="s">
        <v>381</v>
      </c>
      <c r="G778" s="64" t="s">
        <v>8621</v>
      </c>
      <c r="H778" s="64" t="s">
        <v>5213</v>
      </c>
    </row>
    <row r="779" spans="1:8" x14ac:dyDescent="0.3">
      <c r="A779" s="64" t="s">
        <v>1284</v>
      </c>
      <c r="B779" s="64" t="s">
        <v>571</v>
      </c>
      <c r="C779" s="64" t="s">
        <v>1498</v>
      </c>
      <c r="D779" s="64" t="s">
        <v>1899</v>
      </c>
      <c r="E779" s="64" t="s">
        <v>16</v>
      </c>
      <c r="F779" s="64" t="s">
        <v>382</v>
      </c>
      <c r="G779" s="64" t="s">
        <v>8622</v>
      </c>
      <c r="H779" s="64" t="s">
        <v>5214</v>
      </c>
    </row>
    <row r="780" spans="1:8" x14ac:dyDescent="0.3">
      <c r="A780" s="64" t="s">
        <v>1285</v>
      </c>
      <c r="B780" s="64" t="s">
        <v>571</v>
      </c>
      <c r="C780" s="64" t="s">
        <v>1498</v>
      </c>
      <c r="D780" s="64" t="s">
        <v>1899</v>
      </c>
      <c r="E780" s="64" t="s">
        <v>16</v>
      </c>
      <c r="F780" s="64" t="s">
        <v>383</v>
      </c>
      <c r="G780" s="64" t="s">
        <v>8623</v>
      </c>
      <c r="H780" s="64" t="s">
        <v>5215</v>
      </c>
    </row>
    <row r="781" spans="1:8" x14ac:dyDescent="0.3">
      <c r="A781" s="64" t="s">
        <v>1286</v>
      </c>
      <c r="B781" s="64" t="s">
        <v>587</v>
      </c>
      <c r="C781" s="64" t="s">
        <v>1504</v>
      </c>
      <c r="D781" s="64" t="s">
        <v>1500</v>
      </c>
      <c r="E781" s="64" t="s">
        <v>20</v>
      </c>
      <c r="F781" s="64" t="s">
        <v>15</v>
      </c>
      <c r="G781" s="64" t="s">
        <v>8624</v>
      </c>
      <c r="H781" s="64" t="s">
        <v>5233</v>
      </c>
    </row>
    <row r="782" spans="1:8" x14ac:dyDescent="0.3">
      <c r="A782" s="64" t="s">
        <v>1287</v>
      </c>
      <c r="B782" s="64" t="s">
        <v>587</v>
      </c>
      <c r="C782" s="64" t="s">
        <v>1504</v>
      </c>
      <c r="D782" s="64" t="s">
        <v>1500</v>
      </c>
      <c r="E782" s="64" t="s">
        <v>16</v>
      </c>
      <c r="F782" s="64" t="s">
        <v>368</v>
      </c>
      <c r="G782" s="64" t="s">
        <v>8625</v>
      </c>
      <c r="H782" s="64" t="s">
        <v>5234</v>
      </c>
    </row>
    <row r="783" spans="1:8" x14ac:dyDescent="0.3">
      <c r="A783" s="64" t="s">
        <v>1288</v>
      </c>
      <c r="B783" s="64" t="s">
        <v>587</v>
      </c>
      <c r="C783" s="64" t="s">
        <v>1504</v>
      </c>
      <c r="D783" s="64" t="s">
        <v>1500</v>
      </c>
      <c r="E783" s="64" t="s">
        <v>16</v>
      </c>
      <c r="F783" s="64" t="s">
        <v>369</v>
      </c>
      <c r="G783" s="64" t="s">
        <v>8626</v>
      </c>
      <c r="H783" s="64" t="s">
        <v>5235</v>
      </c>
    </row>
    <row r="784" spans="1:8" x14ac:dyDescent="0.3">
      <c r="A784" s="64" t="s">
        <v>1289</v>
      </c>
      <c r="B784" s="64" t="s">
        <v>587</v>
      </c>
      <c r="C784" s="64" t="s">
        <v>1504</v>
      </c>
      <c r="D784" s="64" t="s">
        <v>1500</v>
      </c>
      <c r="E784" s="64" t="s">
        <v>16</v>
      </c>
      <c r="F784" s="64" t="s">
        <v>370</v>
      </c>
      <c r="G784" s="64" t="s">
        <v>8627</v>
      </c>
      <c r="H784" s="64" t="s">
        <v>5236</v>
      </c>
    </row>
    <row r="785" spans="1:8" x14ac:dyDescent="0.3">
      <c r="A785" s="64" t="s">
        <v>1290</v>
      </c>
      <c r="B785" s="64" t="s">
        <v>587</v>
      </c>
      <c r="C785" s="64" t="s">
        <v>1504</v>
      </c>
      <c r="D785" s="64" t="s">
        <v>1500</v>
      </c>
      <c r="E785" s="64" t="s">
        <v>16</v>
      </c>
      <c r="F785" s="64" t="s">
        <v>371</v>
      </c>
      <c r="G785" s="64" t="s">
        <v>8628</v>
      </c>
      <c r="H785" s="64" t="s">
        <v>5237</v>
      </c>
    </row>
    <row r="786" spans="1:8" x14ac:dyDescent="0.3">
      <c r="A786" s="64" t="s">
        <v>1291</v>
      </c>
      <c r="B786" s="64" t="s">
        <v>587</v>
      </c>
      <c r="C786" s="64" t="s">
        <v>1504</v>
      </c>
      <c r="D786" s="64" t="s">
        <v>1500</v>
      </c>
      <c r="E786" s="64" t="s">
        <v>16</v>
      </c>
      <c r="F786" s="64" t="s">
        <v>372</v>
      </c>
      <c r="G786" s="64" t="s">
        <v>8629</v>
      </c>
      <c r="H786" s="64" t="s">
        <v>5238</v>
      </c>
    </row>
    <row r="787" spans="1:8" x14ac:dyDescent="0.3">
      <c r="A787" s="64" t="s">
        <v>1292</v>
      </c>
      <c r="B787" s="64" t="s">
        <v>587</v>
      </c>
      <c r="C787" s="64" t="s">
        <v>1504</v>
      </c>
      <c r="D787" s="64" t="s">
        <v>1500</v>
      </c>
      <c r="E787" s="64" t="s">
        <v>16</v>
      </c>
      <c r="F787" s="64" t="s">
        <v>373</v>
      </c>
      <c r="G787" s="64" t="s">
        <v>8630</v>
      </c>
      <c r="H787" s="64" t="s">
        <v>5239</v>
      </c>
    </row>
    <row r="788" spans="1:8" x14ac:dyDescent="0.3">
      <c r="A788" s="64" t="s">
        <v>1293</v>
      </c>
      <c r="B788" s="64" t="s">
        <v>587</v>
      </c>
      <c r="C788" s="64" t="s">
        <v>1504</v>
      </c>
      <c r="D788" s="64" t="s">
        <v>1500</v>
      </c>
      <c r="E788" s="64" t="s">
        <v>16</v>
      </c>
      <c r="F788" s="64" t="s">
        <v>374</v>
      </c>
      <c r="G788" s="64" t="s">
        <v>8631</v>
      </c>
      <c r="H788" s="64" t="s">
        <v>5240</v>
      </c>
    </row>
    <row r="789" spans="1:8" x14ac:dyDescent="0.3">
      <c r="A789" s="64" t="s">
        <v>1294</v>
      </c>
      <c r="B789" s="64" t="s">
        <v>587</v>
      </c>
      <c r="C789" s="64" t="s">
        <v>1504</v>
      </c>
      <c r="D789" s="64" t="s">
        <v>1500</v>
      </c>
      <c r="E789" s="64" t="s">
        <v>16</v>
      </c>
      <c r="F789" s="64" t="s">
        <v>375</v>
      </c>
      <c r="G789" s="64" t="s">
        <v>8632</v>
      </c>
      <c r="H789" s="64" t="s">
        <v>5241</v>
      </c>
    </row>
    <row r="790" spans="1:8" x14ac:dyDescent="0.3">
      <c r="A790" s="64" t="s">
        <v>1295</v>
      </c>
      <c r="B790" s="64" t="s">
        <v>587</v>
      </c>
      <c r="C790" s="64" t="s">
        <v>1504</v>
      </c>
      <c r="D790" s="64" t="s">
        <v>1500</v>
      </c>
      <c r="E790" s="64" t="s">
        <v>16</v>
      </c>
      <c r="F790" s="64" t="s">
        <v>376</v>
      </c>
      <c r="G790" s="64" t="s">
        <v>8633</v>
      </c>
      <c r="H790" s="64" t="s">
        <v>5242</v>
      </c>
    </row>
    <row r="791" spans="1:8" x14ac:dyDescent="0.3">
      <c r="A791" s="64" t="s">
        <v>1296</v>
      </c>
      <c r="B791" s="64" t="s">
        <v>587</v>
      </c>
      <c r="C791" s="64" t="s">
        <v>1504</v>
      </c>
      <c r="D791" s="64" t="s">
        <v>1500</v>
      </c>
      <c r="E791" s="64" t="s">
        <v>16</v>
      </c>
      <c r="F791" s="64" t="s">
        <v>377</v>
      </c>
      <c r="G791" s="64" t="s">
        <v>8634</v>
      </c>
      <c r="H791" s="64" t="s">
        <v>5243</v>
      </c>
    </row>
    <row r="792" spans="1:8" x14ac:dyDescent="0.3">
      <c r="A792" s="64" t="s">
        <v>1297</v>
      </c>
      <c r="B792" s="64" t="s">
        <v>587</v>
      </c>
      <c r="C792" s="64" t="s">
        <v>1504</v>
      </c>
      <c r="D792" s="64" t="s">
        <v>1500</v>
      </c>
      <c r="E792" s="64" t="s">
        <v>16</v>
      </c>
      <c r="F792" s="64" t="s">
        <v>378</v>
      </c>
      <c r="G792" s="64" t="s">
        <v>8635</v>
      </c>
      <c r="H792" s="64" t="s">
        <v>5244</v>
      </c>
    </row>
    <row r="793" spans="1:8" x14ac:dyDescent="0.3">
      <c r="A793" s="64" t="s">
        <v>1298</v>
      </c>
      <c r="B793" s="64" t="s">
        <v>587</v>
      </c>
      <c r="C793" s="64" t="s">
        <v>1504</v>
      </c>
      <c r="D793" s="64" t="s">
        <v>1500</v>
      </c>
      <c r="E793" s="64" t="s">
        <v>16</v>
      </c>
      <c r="F793" s="64" t="s">
        <v>379</v>
      </c>
      <c r="G793" s="64" t="s">
        <v>8636</v>
      </c>
      <c r="H793" s="64" t="s">
        <v>5245</v>
      </c>
    </row>
    <row r="794" spans="1:8" x14ac:dyDescent="0.3">
      <c r="A794" s="64" t="s">
        <v>1299</v>
      </c>
      <c r="B794" s="64" t="s">
        <v>587</v>
      </c>
      <c r="C794" s="64" t="s">
        <v>1504</v>
      </c>
      <c r="D794" s="64" t="s">
        <v>1500</v>
      </c>
      <c r="E794" s="64" t="s">
        <v>16</v>
      </c>
      <c r="F794" s="64" t="s">
        <v>380</v>
      </c>
      <c r="G794" s="64" t="s">
        <v>8637</v>
      </c>
      <c r="H794" s="64" t="s">
        <v>5246</v>
      </c>
    </row>
    <row r="795" spans="1:8" x14ac:dyDescent="0.3">
      <c r="A795" s="64" t="s">
        <v>1300</v>
      </c>
      <c r="B795" s="64" t="s">
        <v>587</v>
      </c>
      <c r="C795" s="64" t="s">
        <v>1504</v>
      </c>
      <c r="D795" s="64" t="s">
        <v>1500</v>
      </c>
      <c r="E795" s="64" t="s">
        <v>16</v>
      </c>
      <c r="F795" s="64" t="s">
        <v>381</v>
      </c>
      <c r="G795" s="64" t="s">
        <v>8638</v>
      </c>
      <c r="H795" s="64" t="s">
        <v>5247</v>
      </c>
    </row>
    <row r="796" spans="1:8" x14ac:dyDescent="0.3">
      <c r="A796" s="64" t="s">
        <v>1301</v>
      </c>
      <c r="B796" s="64" t="s">
        <v>587</v>
      </c>
      <c r="C796" s="64" t="s">
        <v>1504</v>
      </c>
      <c r="D796" s="64" t="s">
        <v>1500</v>
      </c>
      <c r="E796" s="64" t="s">
        <v>16</v>
      </c>
      <c r="F796" s="64" t="s">
        <v>382</v>
      </c>
      <c r="G796" s="64" t="s">
        <v>8639</v>
      </c>
      <c r="H796" s="64" t="s">
        <v>5248</v>
      </c>
    </row>
    <row r="797" spans="1:8" x14ac:dyDescent="0.3">
      <c r="A797" s="64" t="s">
        <v>1302</v>
      </c>
      <c r="B797" s="64" t="s">
        <v>587</v>
      </c>
      <c r="C797" s="64" t="s">
        <v>1504</v>
      </c>
      <c r="D797" s="64" t="s">
        <v>1500</v>
      </c>
      <c r="E797" s="64" t="s">
        <v>16</v>
      </c>
      <c r="F797" s="64" t="s">
        <v>383</v>
      </c>
      <c r="G797" s="64" t="s">
        <v>8640</v>
      </c>
      <c r="H797" s="64" t="s">
        <v>5249</v>
      </c>
    </row>
    <row r="798" spans="1:8" x14ac:dyDescent="0.3">
      <c r="A798" s="64" t="s">
        <v>1303</v>
      </c>
      <c r="B798" s="64" t="s">
        <v>587</v>
      </c>
      <c r="C798" s="64" t="s">
        <v>1505</v>
      </c>
      <c r="D798" s="64" t="s">
        <v>1500</v>
      </c>
      <c r="E798" s="64" t="s">
        <v>20</v>
      </c>
      <c r="F798" s="64" t="s">
        <v>15</v>
      </c>
      <c r="G798" s="64" t="s">
        <v>8641</v>
      </c>
      <c r="H798" s="64" t="s">
        <v>5216</v>
      </c>
    </row>
    <row r="799" spans="1:8" x14ac:dyDescent="0.3">
      <c r="A799" s="64" t="s">
        <v>1304</v>
      </c>
      <c r="B799" s="64" t="s">
        <v>587</v>
      </c>
      <c r="C799" s="64" t="s">
        <v>1505</v>
      </c>
      <c r="D799" s="64" t="s">
        <v>1500</v>
      </c>
      <c r="E799" s="64" t="s">
        <v>16</v>
      </c>
      <c r="F799" s="64" t="s">
        <v>368</v>
      </c>
      <c r="G799" s="64" t="s">
        <v>8642</v>
      </c>
      <c r="H799" s="64" t="s">
        <v>5217</v>
      </c>
    </row>
    <row r="800" spans="1:8" x14ac:dyDescent="0.3">
      <c r="A800" s="64" t="s">
        <v>1305</v>
      </c>
      <c r="B800" s="64" t="s">
        <v>587</v>
      </c>
      <c r="C800" s="64" t="s">
        <v>1505</v>
      </c>
      <c r="D800" s="64" t="s">
        <v>1500</v>
      </c>
      <c r="E800" s="64" t="s">
        <v>16</v>
      </c>
      <c r="F800" s="64" t="s">
        <v>369</v>
      </c>
      <c r="G800" s="64" t="s">
        <v>8643</v>
      </c>
      <c r="H800" s="64" t="s">
        <v>5218</v>
      </c>
    </row>
    <row r="801" spans="1:8" x14ac:dyDescent="0.3">
      <c r="A801" s="64" t="s">
        <v>1306</v>
      </c>
      <c r="B801" s="64" t="s">
        <v>587</v>
      </c>
      <c r="C801" s="64" t="s">
        <v>1505</v>
      </c>
      <c r="D801" s="64" t="s">
        <v>1500</v>
      </c>
      <c r="E801" s="64" t="s">
        <v>16</v>
      </c>
      <c r="F801" s="64" t="s">
        <v>370</v>
      </c>
      <c r="G801" s="64" t="s">
        <v>8644</v>
      </c>
      <c r="H801" s="64" t="s">
        <v>5219</v>
      </c>
    </row>
    <row r="802" spans="1:8" x14ac:dyDescent="0.3">
      <c r="A802" s="64" t="s">
        <v>1307</v>
      </c>
      <c r="B802" s="64" t="s">
        <v>587</v>
      </c>
      <c r="C802" s="64" t="s">
        <v>1505</v>
      </c>
      <c r="D802" s="64" t="s">
        <v>1500</v>
      </c>
      <c r="E802" s="64" t="s">
        <v>16</v>
      </c>
      <c r="F802" s="64" t="s">
        <v>371</v>
      </c>
      <c r="G802" s="64" t="s">
        <v>8645</v>
      </c>
      <c r="H802" s="64" t="s">
        <v>5220</v>
      </c>
    </row>
    <row r="803" spans="1:8" x14ac:dyDescent="0.3">
      <c r="A803" s="64" t="s">
        <v>1308</v>
      </c>
      <c r="B803" s="64" t="s">
        <v>587</v>
      </c>
      <c r="C803" s="64" t="s">
        <v>1505</v>
      </c>
      <c r="D803" s="64" t="s">
        <v>1500</v>
      </c>
      <c r="E803" s="64" t="s">
        <v>16</v>
      </c>
      <c r="F803" s="64" t="s">
        <v>372</v>
      </c>
      <c r="G803" s="64" t="s">
        <v>8646</v>
      </c>
      <c r="H803" s="64" t="s">
        <v>5221</v>
      </c>
    </row>
    <row r="804" spans="1:8" x14ac:dyDescent="0.3">
      <c r="A804" s="64" t="s">
        <v>1309</v>
      </c>
      <c r="B804" s="64" t="s">
        <v>587</v>
      </c>
      <c r="C804" s="64" t="s">
        <v>1505</v>
      </c>
      <c r="D804" s="64" t="s">
        <v>1500</v>
      </c>
      <c r="E804" s="64" t="s">
        <v>16</v>
      </c>
      <c r="F804" s="64" t="s">
        <v>373</v>
      </c>
      <c r="G804" s="64" t="s">
        <v>8647</v>
      </c>
      <c r="H804" s="64" t="s">
        <v>5222</v>
      </c>
    </row>
    <row r="805" spans="1:8" x14ac:dyDescent="0.3">
      <c r="A805" s="64" t="s">
        <v>1310</v>
      </c>
      <c r="B805" s="64" t="s">
        <v>587</v>
      </c>
      <c r="C805" s="64" t="s">
        <v>1505</v>
      </c>
      <c r="D805" s="64" t="s">
        <v>1500</v>
      </c>
      <c r="E805" s="64" t="s">
        <v>16</v>
      </c>
      <c r="F805" s="64" t="s">
        <v>374</v>
      </c>
      <c r="G805" s="64" t="s">
        <v>8648</v>
      </c>
      <c r="H805" s="64" t="s">
        <v>5223</v>
      </c>
    </row>
    <row r="806" spans="1:8" x14ac:dyDescent="0.3">
      <c r="A806" s="64" t="s">
        <v>1311</v>
      </c>
      <c r="B806" s="64" t="s">
        <v>587</v>
      </c>
      <c r="C806" s="64" t="s">
        <v>1505</v>
      </c>
      <c r="D806" s="64" t="s">
        <v>1500</v>
      </c>
      <c r="E806" s="64" t="s">
        <v>16</v>
      </c>
      <c r="F806" s="64" t="s">
        <v>375</v>
      </c>
      <c r="G806" s="64" t="s">
        <v>8649</v>
      </c>
      <c r="H806" s="64" t="s">
        <v>5224</v>
      </c>
    </row>
    <row r="807" spans="1:8" x14ac:dyDescent="0.3">
      <c r="A807" s="64" t="s">
        <v>1312</v>
      </c>
      <c r="B807" s="64" t="s">
        <v>587</v>
      </c>
      <c r="C807" s="64" t="s">
        <v>1505</v>
      </c>
      <c r="D807" s="64" t="s">
        <v>1500</v>
      </c>
      <c r="E807" s="64" t="s">
        <v>16</v>
      </c>
      <c r="F807" s="64" t="s">
        <v>376</v>
      </c>
      <c r="G807" s="64" t="s">
        <v>8650</v>
      </c>
      <c r="H807" s="64" t="s">
        <v>5225</v>
      </c>
    </row>
    <row r="808" spans="1:8" x14ac:dyDescent="0.3">
      <c r="A808" s="64" t="s">
        <v>1313</v>
      </c>
      <c r="B808" s="64" t="s">
        <v>587</v>
      </c>
      <c r="C808" s="64" t="s">
        <v>1505</v>
      </c>
      <c r="D808" s="64" t="s">
        <v>1500</v>
      </c>
      <c r="E808" s="64" t="s">
        <v>16</v>
      </c>
      <c r="F808" s="64" t="s">
        <v>377</v>
      </c>
      <c r="G808" s="64" t="s">
        <v>8651</v>
      </c>
      <c r="H808" s="64" t="s">
        <v>5226</v>
      </c>
    </row>
    <row r="809" spans="1:8" x14ac:dyDescent="0.3">
      <c r="A809" s="64" t="s">
        <v>1314</v>
      </c>
      <c r="B809" s="64" t="s">
        <v>587</v>
      </c>
      <c r="C809" s="64" t="s">
        <v>1505</v>
      </c>
      <c r="D809" s="64" t="s">
        <v>1500</v>
      </c>
      <c r="E809" s="64" t="s">
        <v>16</v>
      </c>
      <c r="F809" s="64" t="s">
        <v>378</v>
      </c>
      <c r="G809" s="64" t="s">
        <v>8652</v>
      </c>
      <c r="H809" s="64" t="s">
        <v>5227</v>
      </c>
    </row>
    <row r="810" spans="1:8" x14ac:dyDescent="0.3">
      <c r="A810" s="64" t="s">
        <v>1315</v>
      </c>
      <c r="B810" s="64" t="s">
        <v>587</v>
      </c>
      <c r="C810" s="64" t="s">
        <v>1505</v>
      </c>
      <c r="D810" s="64" t="s">
        <v>1500</v>
      </c>
      <c r="E810" s="64" t="s">
        <v>16</v>
      </c>
      <c r="F810" s="64" t="s">
        <v>379</v>
      </c>
      <c r="G810" s="64" t="s">
        <v>8653</v>
      </c>
      <c r="H810" s="64" t="s">
        <v>5228</v>
      </c>
    </row>
    <row r="811" spans="1:8" x14ac:dyDescent="0.3">
      <c r="A811" s="64" t="s">
        <v>1316</v>
      </c>
      <c r="B811" s="64" t="s">
        <v>587</v>
      </c>
      <c r="C811" s="64" t="s">
        <v>1505</v>
      </c>
      <c r="D811" s="64" t="s">
        <v>1500</v>
      </c>
      <c r="E811" s="64" t="s">
        <v>16</v>
      </c>
      <c r="F811" s="64" t="s">
        <v>380</v>
      </c>
      <c r="G811" s="64" t="s">
        <v>8654</v>
      </c>
      <c r="H811" s="64" t="s">
        <v>5229</v>
      </c>
    </row>
    <row r="812" spans="1:8" x14ac:dyDescent="0.3">
      <c r="A812" s="64" t="s">
        <v>1317</v>
      </c>
      <c r="B812" s="64" t="s">
        <v>587</v>
      </c>
      <c r="C812" s="64" t="s">
        <v>1505</v>
      </c>
      <c r="D812" s="64" t="s">
        <v>1500</v>
      </c>
      <c r="E812" s="64" t="s">
        <v>16</v>
      </c>
      <c r="F812" s="64" t="s">
        <v>381</v>
      </c>
      <c r="G812" s="64" t="s">
        <v>8655</v>
      </c>
      <c r="H812" s="64" t="s">
        <v>5230</v>
      </c>
    </row>
    <row r="813" spans="1:8" x14ac:dyDescent="0.3">
      <c r="A813" s="64" t="s">
        <v>1318</v>
      </c>
      <c r="B813" s="64" t="s">
        <v>587</v>
      </c>
      <c r="C813" s="64" t="s">
        <v>1505</v>
      </c>
      <c r="D813" s="64" t="s">
        <v>1500</v>
      </c>
      <c r="E813" s="64" t="s">
        <v>16</v>
      </c>
      <c r="F813" s="64" t="s">
        <v>382</v>
      </c>
      <c r="G813" s="64" t="s">
        <v>8656</v>
      </c>
      <c r="H813" s="64" t="s">
        <v>5231</v>
      </c>
    </row>
    <row r="814" spans="1:8" x14ac:dyDescent="0.3">
      <c r="A814" s="64" t="s">
        <v>1319</v>
      </c>
      <c r="B814" s="64" t="s">
        <v>587</v>
      </c>
      <c r="C814" s="64" t="s">
        <v>1505</v>
      </c>
      <c r="D814" s="64" t="s">
        <v>1500</v>
      </c>
      <c r="E814" s="64" t="s">
        <v>16</v>
      </c>
      <c r="F814" s="64" t="s">
        <v>383</v>
      </c>
      <c r="G814" s="64" t="s">
        <v>8657</v>
      </c>
      <c r="H814" s="64" t="s">
        <v>5232</v>
      </c>
    </row>
    <row r="815" spans="1:8" x14ac:dyDescent="0.3">
      <c r="A815" s="64" t="s">
        <v>1320</v>
      </c>
      <c r="B815" s="64" t="s">
        <v>823</v>
      </c>
      <c r="C815" s="64" t="s">
        <v>1508</v>
      </c>
      <c r="D815" s="64" t="s">
        <v>1470</v>
      </c>
      <c r="E815" s="64" t="s">
        <v>20</v>
      </c>
      <c r="F815" s="64" t="s">
        <v>15</v>
      </c>
      <c r="G815" s="64" t="s">
        <v>8658</v>
      </c>
      <c r="H815" s="64" t="s">
        <v>1507</v>
      </c>
    </row>
    <row r="816" spans="1:8" x14ac:dyDescent="0.3">
      <c r="A816" s="64" t="s">
        <v>1321</v>
      </c>
      <c r="B816" s="64" t="s">
        <v>823</v>
      </c>
      <c r="C816" s="64" t="s">
        <v>1508</v>
      </c>
      <c r="D816" s="64" t="s">
        <v>1470</v>
      </c>
      <c r="E816" s="64" t="s">
        <v>16</v>
      </c>
      <c r="F816" s="64" t="s">
        <v>368</v>
      </c>
      <c r="G816" s="64" t="s">
        <v>8659</v>
      </c>
      <c r="H816" s="64" t="s">
        <v>8660</v>
      </c>
    </row>
    <row r="817" spans="1:8" x14ac:dyDescent="0.3">
      <c r="A817" s="64" t="s">
        <v>1322</v>
      </c>
      <c r="B817" s="64" t="s">
        <v>823</v>
      </c>
      <c r="C817" s="64" t="s">
        <v>1508</v>
      </c>
      <c r="D817" s="64" t="s">
        <v>1470</v>
      </c>
      <c r="E817" s="64" t="s">
        <v>16</v>
      </c>
      <c r="F817" s="64" t="s">
        <v>369</v>
      </c>
      <c r="G817" s="64" t="s">
        <v>8661</v>
      </c>
      <c r="H817" s="64" t="s">
        <v>8662</v>
      </c>
    </row>
    <row r="818" spans="1:8" x14ac:dyDescent="0.3">
      <c r="A818" s="64" t="s">
        <v>1323</v>
      </c>
      <c r="B818" s="64" t="s">
        <v>823</v>
      </c>
      <c r="C818" s="64" t="s">
        <v>1508</v>
      </c>
      <c r="D818" s="64" t="s">
        <v>1470</v>
      </c>
      <c r="E818" s="64" t="s">
        <v>16</v>
      </c>
      <c r="F818" s="64" t="s">
        <v>370</v>
      </c>
      <c r="G818" s="64" t="s">
        <v>8663</v>
      </c>
      <c r="H818" s="64" t="s">
        <v>8664</v>
      </c>
    </row>
    <row r="819" spans="1:8" x14ac:dyDescent="0.3">
      <c r="A819" s="64" t="s">
        <v>1324</v>
      </c>
      <c r="B819" s="64" t="s">
        <v>823</v>
      </c>
      <c r="C819" s="64" t="s">
        <v>1508</v>
      </c>
      <c r="D819" s="64" t="s">
        <v>1470</v>
      </c>
      <c r="E819" s="64" t="s">
        <v>16</v>
      </c>
      <c r="F819" s="64" t="s">
        <v>371</v>
      </c>
      <c r="G819" s="64" t="s">
        <v>8665</v>
      </c>
      <c r="H819" s="64" t="s">
        <v>8666</v>
      </c>
    </row>
    <row r="820" spans="1:8" x14ac:dyDescent="0.3">
      <c r="A820" s="64" t="s">
        <v>1325</v>
      </c>
      <c r="B820" s="64" t="s">
        <v>823</v>
      </c>
      <c r="C820" s="64" t="s">
        <v>1508</v>
      </c>
      <c r="D820" s="64" t="s">
        <v>1470</v>
      </c>
      <c r="E820" s="64" t="s">
        <v>16</v>
      </c>
      <c r="F820" s="64" t="s">
        <v>372</v>
      </c>
      <c r="G820" s="64" t="s">
        <v>8667</v>
      </c>
      <c r="H820" s="64" t="s">
        <v>8668</v>
      </c>
    </row>
    <row r="821" spans="1:8" x14ac:dyDescent="0.3">
      <c r="A821" s="64" t="s">
        <v>1326</v>
      </c>
      <c r="B821" s="64" t="s">
        <v>823</v>
      </c>
      <c r="C821" s="64" t="s">
        <v>1508</v>
      </c>
      <c r="D821" s="64" t="s">
        <v>1470</v>
      </c>
      <c r="E821" s="64" t="s">
        <v>16</v>
      </c>
      <c r="F821" s="64" t="s">
        <v>373</v>
      </c>
      <c r="G821" s="64" t="s">
        <v>8669</v>
      </c>
      <c r="H821" s="64" t="s">
        <v>8670</v>
      </c>
    </row>
    <row r="822" spans="1:8" x14ac:dyDescent="0.3">
      <c r="A822" s="64" t="s">
        <v>1327</v>
      </c>
      <c r="B822" s="64" t="s">
        <v>823</v>
      </c>
      <c r="C822" s="64" t="s">
        <v>1508</v>
      </c>
      <c r="D822" s="64" t="s">
        <v>1470</v>
      </c>
      <c r="E822" s="64" t="s">
        <v>16</v>
      </c>
      <c r="F822" s="64" t="s">
        <v>374</v>
      </c>
      <c r="G822" s="64" t="s">
        <v>8671</v>
      </c>
      <c r="H822" s="64" t="s">
        <v>8672</v>
      </c>
    </row>
    <row r="823" spans="1:8" x14ac:dyDescent="0.3">
      <c r="A823" s="64" t="s">
        <v>1328</v>
      </c>
      <c r="B823" s="64" t="s">
        <v>823</v>
      </c>
      <c r="C823" s="64" t="s">
        <v>1508</v>
      </c>
      <c r="D823" s="64" t="s">
        <v>1470</v>
      </c>
      <c r="E823" s="64" t="s">
        <v>16</v>
      </c>
      <c r="F823" s="64" t="s">
        <v>375</v>
      </c>
      <c r="G823" s="64" t="s">
        <v>8673</v>
      </c>
      <c r="H823" s="64" t="s">
        <v>8674</v>
      </c>
    </row>
    <row r="824" spans="1:8" x14ac:dyDescent="0.3">
      <c r="A824" s="64" t="s">
        <v>1329</v>
      </c>
      <c r="B824" s="64" t="s">
        <v>823</v>
      </c>
      <c r="C824" s="64" t="s">
        <v>1508</v>
      </c>
      <c r="D824" s="64" t="s">
        <v>1470</v>
      </c>
      <c r="E824" s="64" t="s">
        <v>16</v>
      </c>
      <c r="F824" s="64" t="s">
        <v>376</v>
      </c>
      <c r="G824" s="64" t="s">
        <v>8675</v>
      </c>
      <c r="H824" s="64" t="s">
        <v>8676</v>
      </c>
    </row>
    <row r="825" spans="1:8" x14ac:dyDescent="0.3">
      <c r="A825" s="64" t="s">
        <v>1330</v>
      </c>
      <c r="B825" s="64" t="s">
        <v>823</v>
      </c>
      <c r="C825" s="64" t="s">
        <v>1508</v>
      </c>
      <c r="D825" s="64" t="s">
        <v>1470</v>
      </c>
      <c r="E825" s="64" t="s">
        <v>16</v>
      </c>
      <c r="F825" s="64" t="s">
        <v>377</v>
      </c>
      <c r="G825" s="64" t="s">
        <v>8677</v>
      </c>
      <c r="H825" s="64" t="s">
        <v>8678</v>
      </c>
    </row>
    <row r="826" spans="1:8" x14ac:dyDescent="0.3">
      <c r="A826" s="64" t="s">
        <v>1331</v>
      </c>
      <c r="B826" s="64" t="s">
        <v>823</v>
      </c>
      <c r="C826" s="64" t="s">
        <v>1508</v>
      </c>
      <c r="D826" s="64" t="s">
        <v>1470</v>
      </c>
      <c r="E826" s="64" t="s">
        <v>16</v>
      </c>
      <c r="F826" s="64" t="s">
        <v>378</v>
      </c>
      <c r="G826" s="64" t="s">
        <v>8679</v>
      </c>
      <c r="H826" s="64" t="s">
        <v>8680</v>
      </c>
    </row>
    <row r="827" spans="1:8" x14ac:dyDescent="0.3">
      <c r="A827" s="64" t="s">
        <v>1332</v>
      </c>
      <c r="B827" s="64" t="s">
        <v>823</v>
      </c>
      <c r="C827" s="64" t="s">
        <v>1508</v>
      </c>
      <c r="D827" s="64" t="s">
        <v>1470</v>
      </c>
      <c r="E827" s="64" t="s">
        <v>16</v>
      </c>
      <c r="F827" s="64" t="s">
        <v>379</v>
      </c>
      <c r="G827" s="64" t="s">
        <v>8681</v>
      </c>
      <c r="H827" s="64" t="s">
        <v>8682</v>
      </c>
    </row>
    <row r="828" spans="1:8" x14ac:dyDescent="0.3">
      <c r="A828" s="64" t="s">
        <v>1333</v>
      </c>
      <c r="B828" s="64" t="s">
        <v>823</v>
      </c>
      <c r="C828" s="64" t="s">
        <v>1508</v>
      </c>
      <c r="D828" s="64" t="s">
        <v>1470</v>
      </c>
      <c r="E828" s="64" t="s">
        <v>16</v>
      </c>
      <c r="F828" s="64" t="s">
        <v>380</v>
      </c>
      <c r="G828" s="64" t="s">
        <v>8683</v>
      </c>
      <c r="H828" s="64" t="s">
        <v>8684</v>
      </c>
    </row>
    <row r="829" spans="1:8" x14ac:dyDescent="0.3">
      <c r="A829" s="64" t="s">
        <v>1334</v>
      </c>
      <c r="B829" s="64" t="s">
        <v>823</v>
      </c>
      <c r="C829" s="64" t="s">
        <v>1508</v>
      </c>
      <c r="D829" s="64" t="s">
        <v>1470</v>
      </c>
      <c r="E829" s="64" t="s">
        <v>16</v>
      </c>
      <c r="F829" s="64" t="s">
        <v>381</v>
      </c>
      <c r="G829" s="64" t="s">
        <v>8685</v>
      </c>
      <c r="H829" s="64" t="s">
        <v>8686</v>
      </c>
    </row>
    <row r="830" spans="1:8" x14ac:dyDescent="0.3">
      <c r="A830" s="64" t="s">
        <v>1335</v>
      </c>
      <c r="B830" s="64" t="s">
        <v>823</v>
      </c>
      <c r="C830" s="64" t="s">
        <v>1508</v>
      </c>
      <c r="D830" s="64" t="s">
        <v>1470</v>
      </c>
      <c r="E830" s="64" t="s">
        <v>16</v>
      </c>
      <c r="F830" s="64" t="s">
        <v>382</v>
      </c>
      <c r="G830" s="64" t="s">
        <v>8687</v>
      </c>
      <c r="H830" s="64" t="s">
        <v>8688</v>
      </c>
    </row>
    <row r="831" spans="1:8" x14ac:dyDescent="0.3">
      <c r="A831" s="64" t="s">
        <v>1336</v>
      </c>
      <c r="B831" s="64" t="s">
        <v>823</v>
      </c>
      <c r="C831" s="64" t="s">
        <v>1508</v>
      </c>
      <c r="D831" s="64" t="s">
        <v>1470</v>
      </c>
      <c r="E831" s="64" t="s">
        <v>16</v>
      </c>
      <c r="F831" s="64" t="s">
        <v>383</v>
      </c>
      <c r="G831" s="64" t="s">
        <v>8689</v>
      </c>
      <c r="H831" s="64" t="s">
        <v>8690</v>
      </c>
    </row>
    <row r="832" spans="1:8" x14ac:dyDescent="0.3">
      <c r="A832" s="64" t="s">
        <v>1337</v>
      </c>
      <c r="B832" s="64" t="s">
        <v>823</v>
      </c>
      <c r="C832" s="64" t="s">
        <v>1509</v>
      </c>
      <c r="D832" s="64" t="s">
        <v>1470</v>
      </c>
      <c r="E832" s="64" t="s">
        <v>20</v>
      </c>
      <c r="F832" s="64" t="s">
        <v>15</v>
      </c>
      <c r="G832" s="64" t="s">
        <v>8691</v>
      </c>
      <c r="H832" s="64" t="s">
        <v>1511</v>
      </c>
    </row>
    <row r="833" spans="1:8" x14ac:dyDescent="0.3">
      <c r="A833" s="64" t="s">
        <v>1338</v>
      </c>
      <c r="B833" s="64" t="s">
        <v>823</v>
      </c>
      <c r="C833" s="64" t="s">
        <v>1509</v>
      </c>
      <c r="D833" s="64" t="s">
        <v>1470</v>
      </c>
      <c r="E833" s="64" t="s">
        <v>16</v>
      </c>
      <c r="F833" s="64" t="s">
        <v>368</v>
      </c>
      <c r="G833" s="64" t="s">
        <v>8692</v>
      </c>
      <c r="H833" s="64" t="s">
        <v>8693</v>
      </c>
    </row>
    <row r="834" spans="1:8" x14ac:dyDescent="0.3">
      <c r="A834" s="64" t="s">
        <v>1339</v>
      </c>
      <c r="B834" s="64" t="s">
        <v>823</v>
      </c>
      <c r="C834" s="64" t="s">
        <v>1509</v>
      </c>
      <c r="D834" s="64" t="s">
        <v>1470</v>
      </c>
      <c r="E834" s="64" t="s">
        <v>16</v>
      </c>
      <c r="F834" s="64" t="s">
        <v>369</v>
      </c>
      <c r="G834" s="64" t="s">
        <v>8694</v>
      </c>
      <c r="H834" s="64" t="s">
        <v>8695</v>
      </c>
    </row>
    <row r="835" spans="1:8" x14ac:dyDescent="0.3">
      <c r="A835" s="64" t="s">
        <v>1340</v>
      </c>
      <c r="B835" s="64" t="s">
        <v>823</v>
      </c>
      <c r="C835" s="64" t="s">
        <v>1509</v>
      </c>
      <c r="D835" s="64" t="s">
        <v>1470</v>
      </c>
      <c r="E835" s="64" t="s">
        <v>16</v>
      </c>
      <c r="F835" s="64" t="s">
        <v>370</v>
      </c>
      <c r="G835" s="64" t="s">
        <v>8696</v>
      </c>
      <c r="H835" s="64" t="s">
        <v>8697</v>
      </c>
    </row>
    <row r="836" spans="1:8" x14ac:dyDescent="0.3">
      <c r="A836" s="64" t="s">
        <v>1341</v>
      </c>
      <c r="B836" s="64" t="s">
        <v>823</v>
      </c>
      <c r="C836" s="64" t="s">
        <v>1509</v>
      </c>
      <c r="D836" s="64" t="s">
        <v>1470</v>
      </c>
      <c r="E836" s="64" t="s">
        <v>16</v>
      </c>
      <c r="F836" s="64" t="s">
        <v>371</v>
      </c>
      <c r="G836" s="64" t="s">
        <v>8698</v>
      </c>
      <c r="H836" s="64" t="s">
        <v>8699</v>
      </c>
    </row>
    <row r="837" spans="1:8" x14ac:dyDescent="0.3">
      <c r="A837" s="64" t="s">
        <v>1342</v>
      </c>
      <c r="B837" s="64" t="s">
        <v>823</v>
      </c>
      <c r="C837" s="64" t="s">
        <v>1509</v>
      </c>
      <c r="D837" s="64" t="s">
        <v>1470</v>
      </c>
      <c r="E837" s="64" t="s">
        <v>16</v>
      </c>
      <c r="F837" s="64" t="s">
        <v>372</v>
      </c>
      <c r="G837" s="64" t="s">
        <v>8700</v>
      </c>
      <c r="H837" s="64" t="s">
        <v>8701</v>
      </c>
    </row>
    <row r="838" spans="1:8" x14ac:dyDescent="0.3">
      <c r="A838" s="64" t="s">
        <v>1343</v>
      </c>
      <c r="B838" s="64" t="s">
        <v>823</v>
      </c>
      <c r="C838" s="64" t="s">
        <v>1509</v>
      </c>
      <c r="D838" s="64" t="s">
        <v>1470</v>
      </c>
      <c r="E838" s="64" t="s">
        <v>16</v>
      </c>
      <c r="F838" s="64" t="s">
        <v>373</v>
      </c>
      <c r="G838" s="64" t="s">
        <v>8702</v>
      </c>
      <c r="H838" s="64" t="s">
        <v>8703</v>
      </c>
    </row>
    <row r="839" spans="1:8" x14ac:dyDescent="0.3">
      <c r="A839" s="64" t="s">
        <v>1344</v>
      </c>
      <c r="B839" s="64" t="s">
        <v>823</v>
      </c>
      <c r="C839" s="64" t="s">
        <v>1509</v>
      </c>
      <c r="D839" s="64" t="s">
        <v>1470</v>
      </c>
      <c r="E839" s="64" t="s">
        <v>16</v>
      </c>
      <c r="F839" s="64" t="s">
        <v>374</v>
      </c>
      <c r="G839" s="64" t="s">
        <v>8704</v>
      </c>
      <c r="H839" s="64" t="s">
        <v>8705</v>
      </c>
    </row>
    <row r="840" spans="1:8" x14ac:dyDescent="0.3">
      <c r="A840" s="64" t="s">
        <v>1345</v>
      </c>
      <c r="B840" s="64" t="s">
        <v>823</v>
      </c>
      <c r="C840" s="64" t="s">
        <v>1509</v>
      </c>
      <c r="D840" s="64" t="s">
        <v>1470</v>
      </c>
      <c r="E840" s="64" t="s">
        <v>16</v>
      </c>
      <c r="F840" s="64" t="s">
        <v>375</v>
      </c>
      <c r="G840" s="64" t="s">
        <v>8706</v>
      </c>
      <c r="H840" s="64" t="s">
        <v>8707</v>
      </c>
    </row>
    <row r="841" spans="1:8" x14ac:dyDescent="0.3">
      <c r="A841" s="64" t="s">
        <v>1346</v>
      </c>
      <c r="B841" s="64" t="s">
        <v>823</v>
      </c>
      <c r="C841" s="64" t="s">
        <v>1509</v>
      </c>
      <c r="D841" s="64" t="s">
        <v>1470</v>
      </c>
      <c r="E841" s="64" t="s">
        <v>16</v>
      </c>
      <c r="F841" s="64" t="s">
        <v>376</v>
      </c>
      <c r="G841" s="64" t="s">
        <v>8708</v>
      </c>
      <c r="H841" s="64" t="s">
        <v>8709</v>
      </c>
    </row>
    <row r="842" spans="1:8" x14ac:dyDescent="0.3">
      <c r="A842" s="64" t="s">
        <v>1347</v>
      </c>
      <c r="B842" s="64" t="s">
        <v>823</v>
      </c>
      <c r="C842" s="64" t="s">
        <v>1509</v>
      </c>
      <c r="D842" s="64" t="s">
        <v>1470</v>
      </c>
      <c r="E842" s="64" t="s">
        <v>16</v>
      </c>
      <c r="F842" s="64" t="s">
        <v>377</v>
      </c>
      <c r="G842" s="64" t="s">
        <v>8710</v>
      </c>
      <c r="H842" s="64" t="s">
        <v>8711</v>
      </c>
    </row>
    <row r="843" spans="1:8" x14ac:dyDescent="0.3">
      <c r="A843" s="64" t="s">
        <v>1348</v>
      </c>
      <c r="B843" s="64" t="s">
        <v>823</v>
      </c>
      <c r="C843" s="64" t="s">
        <v>1509</v>
      </c>
      <c r="D843" s="64" t="s">
        <v>1470</v>
      </c>
      <c r="E843" s="64" t="s">
        <v>16</v>
      </c>
      <c r="F843" s="64" t="s">
        <v>378</v>
      </c>
      <c r="G843" s="64" t="s">
        <v>8712</v>
      </c>
      <c r="H843" s="64" t="s">
        <v>8713</v>
      </c>
    </row>
    <row r="844" spans="1:8" x14ac:dyDescent="0.3">
      <c r="A844" s="64" t="s">
        <v>1349</v>
      </c>
      <c r="B844" s="64" t="s">
        <v>823</v>
      </c>
      <c r="C844" s="64" t="s">
        <v>1509</v>
      </c>
      <c r="D844" s="64" t="s">
        <v>1470</v>
      </c>
      <c r="E844" s="64" t="s">
        <v>16</v>
      </c>
      <c r="F844" s="64" t="s">
        <v>379</v>
      </c>
      <c r="G844" s="64" t="s">
        <v>8714</v>
      </c>
      <c r="H844" s="64" t="s">
        <v>8715</v>
      </c>
    </row>
    <row r="845" spans="1:8" x14ac:dyDescent="0.3">
      <c r="A845" s="64" t="s">
        <v>1350</v>
      </c>
      <c r="B845" s="64" t="s">
        <v>823</v>
      </c>
      <c r="C845" s="64" t="s">
        <v>1509</v>
      </c>
      <c r="D845" s="64" t="s">
        <v>1470</v>
      </c>
      <c r="E845" s="64" t="s">
        <v>16</v>
      </c>
      <c r="F845" s="64" t="s">
        <v>380</v>
      </c>
      <c r="G845" s="64" t="s">
        <v>8716</v>
      </c>
      <c r="H845" s="64" t="s">
        <v>8717</v>
      </c>
    </row>
    <row r="846" spans="1:8" x14ac:dyDescent="0.3">
      <c r="A846" s="64" t="s">
        <v>1351</v>
      </c>
      <c r="B846" s="64" t="s">
        <v>823</v>
      </c>
      <c r="C846" s="64" t="s">
        <v>1509</v>
      </c>
      <c r="D846" s="64" t="s">
        <v>1470</v>
      </c>
      <c r="E846" s="64" t="s">
        <v>16</v>
      </c>
      <c r="F846" s="64" t="s">
        <v>381</v>
      </c>
      <c r="G846" s="64" t="s">
        <v>8718</v>
      </c>
      <c r="H846" s="64" t="s">
        <v>8719</v>
      </c>
    </row>
    <row r="847" spans="1:8" x14ac:dyDescent="0.3">
      <c r="A847" s="64" t="s">
        <v>1352</v>
      </c>
      <c r="B847" s="64" t="s">
        <v>823</v>
      </c>
      <c r="C847" s="64" t="s">
        <v>1509</v>
      </c>
      <c r="D847" s="64" t="s">
        <v>1470</v>
      </c>
      <c r="E847" s="64" t="s">
        <v>16</v>
      </c>
      <c r="F847" s="64" t="s">
        <v>382</v>
      </c>
      <c r="G847" s="64" t="s">
        <v>8720</v>
      </c>
      <c r="H847" s="64" t="s">
        <v>8721</v>
      </c>
    </row>
    <row r="848" spans="1:8" x14ac:dyDescent="0.3">
      <c r="A848" s="64" t="s">
        <v>1353</v>
      </c>
      <c r="B848" s="64" t="s">
        <v>823</v>
      </c>
      <c r="C848" s="64" t="s">
        <v>1509</v>
      </c>
      <c r="D848" s="64" t="s">
        <v>1470</v>
      </c>
      <c r="E848" s="64" t="s">
        <v>16</v>
      </c>
      <c r="F848" s="64" t="s">
        <v>383</v>
      </c>
      <c r="G848" s="64" t="s">
        <v>8722</v>
      </c>
      <c r="H848" s="64" t="s">
        <v>8723</v>
      </c>
    </row>
    <row r="849" spans="1:8" x14ac:dyDescent="0.3">
      <c r="A849" s="64" t="s">
        <v>1354</v>
      </c>
      <c r="B849" s="64" t="s">
        <v>568</v>
      </c>
      <c r="C849" s="64" t="s">
        <v>948</v>
      </c>
      <c r="D849" s="64" t="s">
        <v>1898</v>
      </c>
      <c r="E849" s="64" t="s">
        <v>20</v>
      </c>
      <c r="F849" s="64" t="s">
        <v>15</v>
      </c>
      <c r="G849" s="64" t="s">
        <v>8724</v>
      </c>
      <c r="H849" s="64" t="s">
        <v>1513</v>
      </c>
    </row>
    <row r="850" spans="1:8" x14ac:dyDescent="0.3">
      <c r="A850" s="64" t="s">
        <v>1355</v>
      </c>
      <c r="B850" s="64" t="s">
        <v>568</v>
      </c>
      <c r="C850" s="64" t="s">
        <v>948</v>
      </c>
      <c r="D850" s="64" t="s">
        <v>1898</v>
      </c>
      <c r="E850" s="64" t="s">
        <v>16</v>
      </c>
      <c r="F850" s="64" t="s">
        <v>368</v>
      </c>
      <c r="G850" s="64" t="s">
        <v>8725</v>
      </c>
      <c r="H850" s="64" t="s">
        <v>8726</v>
      </c>
    </row>
    <row r="851" spans="1:8" x14ac:dyDescent="0.3">
      <c r="A851" s="64" t="s">
        <v>1356</v>
      </c>
      <c r="B851" s="64" t="s">
        <v>568</v>
      </c>
      <c r="C851" s="64" t="s">
        <v>948</v>
      </c>
      <c r="D851" s="64" t="s">
        <v>1898</v>
      </c>
      <c r="E851" s="64" t="s">
        <v>16</v>
      </c>
      <c r="F851" s="64" t="s">
        <v>369</v>
      </c>
      <c r="G851" s="64" t="s">
        <v>8727</v>
      </c>
      <c r="H851" s="64" t="s">
        <v>8728</v>
      </c>
    </row>
    <row r="852" spans="1:8" x14ac:dyDescent="0.3">
      <c r="A852" s="64" t="s">
        <v>1357</v>
      </c>
      <c r="B852" s="64" t="s">
        <v>568</v>
      </c>
      <c r="C852" s="64" t="s">
        <v>948</v>
      </c>
      <c r="D852" s="64" t="s">
        <v>1898</v>
      </c>
      <c r="E852" s="64" t="s">
        <v>16</v>
      </c>
      <c r="F852" s="64" t="s">
        <v>370</v>
      </c>
      <c r="G852" s="64" t="s">
        <v>8729</v>
      </c>
      <c r="H852" s="64" t="s">
        <v>8730</v>
      </c>
    </row>
    <row r="853" spans="1:8" x14ac:dyDescent="0.3">
      <c r="A853" s="64" t="s">
        <v>1358</v>
      </c>
      <c r="B853" s="64" t="s">
        <v>568</v>
      </c>
      <c r="C853" s="64" t="s">
        <v>948</v>
      </c>
      <c r="D853" s="64" t="s">
        <v>1898</v>
      </c>
      <c r="E853" s="64" t="s">
        <v>16</v>
      </c>
      <c r="F853" s="64" t="s">
        <v>371</v>
      </c>
      <c r="G853" s="64" t="s">
        <v>8731</v>
      </c>
      <c r="H853" s="64" t="s">
        <v>8732</v>
      </c>
    </row>
    <row r="854" spans="1:8" x14ac:dyDescent="0.3">
      <c r="A854" s="64" t="s">
        <v>1359</v>
      </c>
      <c r="B854" s="64" t="s">
        <v>568</v>
      </c>
      <c r="C854" s="64" t="s">
        <v>948</v>
      </c>
      <c r="D854" s="64" t="s">
        <v>1898</v>
      </c>
      <c r="E854" s="64" t="s">
        <v>16</v>
      </c>
      <c r="F854" s="64" t="s">
        <v>372</v>
      </c>
      <c r="G854" s="64" t="s">
        <v>8733</v>
      </c>
      <c r="H854" s="64" t="s">
        <v>8734</v>
      </c>
    </row>
    <row r="855" spans="1:8" x14ac:dyDescent="0.3">
      <c r="A855" s="64" t="s">
        <v>1360</v>
      </c>
      <c r="B855" s="64" t="s">
        <v>568</v>
      </c>
      <c r="C855" s="64" t="s">
        <v>948</v>
      </c>
      <c r="D855" s="64" t="s">
        <v>1898</v>
      </c>
      <c r="E855" s="64" t="s">
        <v>16</v>
      </c>
      <c r="F855" s="64" t="s">
        <v>373</v>
      </c>
      <c r="G855" s="64" t="s">
        <v>8735</v>
      </c>
      <c r="H855" s="64" t="s">
        <v>8736</v>
      </c>
    </row>
    <row r="856" spans="1:8" x14ac:dyDescent="0.3">
      <c r="A856" s="64" t="s">
        <v>1361</v>
      </c>
      <c r="B856" s="64" t="s">
        <v>568</v>
      </c>
      <c r="C856" s="64" t="s">
        <v>948</v>
      </c>
      <c r="D856" s="64" t="s">
        <v>1898</v>
      </c>
      <c r="E856" s="64" t="s">
        <v>16</v>
      </c>
      <c r="F856" s="64" t="s">
        <v>374</v>
      </c>
      <c r="G856" s="64" t="s">
        <v>8737</v>
      </c>
      <c r="H856" s="64" t="s">
        <v>8738</v>
      </c>
    </row>
    <row r="857" spans="1:8" x14ac:dyDescent="0.3">
      <c r="A857" s="64" t="s">
        <v>1362</v>
      </c>
      <c r="B857" s="64" t="s">
        <v>568</v>
      </c>
      <c r="C857" s="64" t="s">
        <v>948</v>
      </c>
      <c r="D857" s="64" t="s">
        <v>1898</v>
      </c>
      <c r="E857" s="64" t="s">
        <v>16</v>
      </c>
      <c r="F857" s="64" t="s">
        <v>375</v>
      </c>
      <c r="G857" s="64" t="s">
        <v>8739</v>
      </c>
      <c r="H857" s="64" t="s">
        <v>8740</v>
      </c>
    </row>
    <row r="858" spans="1:8" x14ac:dyDescent="0.3">
      <c r="A858" s="64" t="s">
        <v>1579</v>
      </c>
      <c r="B858" s="64" t="s">
        <v>568</v>
      </c>
      <c r="C858" s="64" t="s">
        <v>948</v>
      </c>
      <c r="D858" s="64" t="s">
        <v>1898</v>
      </c>
      <c r="E858" s="64" t="s">
        <v>16</v>
      </c>
      <c r="F858" s="64" t="s">
        <v>376</v>
      </c>
      <c r="G858" s="64" t="s">
        <v>8741</v>
      </c>
      <c r="H858" s="64" t="s">
        <v>8742</v>
      </c>
    </row>
    <row r="859" spans="1:8" x14ac:dyDescent="0.3">
      <c r="A859" s="64" t="s">
        <v>1580</v>
      </c>
      <c r="B859" s="64" t="s">
        <v>568</v>
      </c>
      <c r="C859" s="64" t="s">
        <v>948</v>
      </c>
      <c r="D859" s="64" t="s">
        <v>1898</v>
      </c>
      <c r="E859" s="64" t="s">
        <v>16</v>
      </c>
      <c r="F859" s="64" t="s">
        <v>377</v>
      </c>
      <c r="G859" s="64" t="s">
        <v>8743</v>
      </c>
      <c r="H859" s="64" t="s">
        <v>8744</v>
      </c>
    </row>
    <row r="860" spans="1:8" x14ac:dyDescent="0.3">
      <c r="A860" s="64" t="s">
        <v>1581</v>
      </c>
      <c r="B860" s="64" t="s">
        <v>568</v>
      </c>
      <c r="C860" s="64" t="s">
        <v>948</v>
      </c>
      <c r="D860" s="64" t="s">
        <v>1898</v>
      </c>
      <c r="E860" s="64" t="s">
        <v>16</v>
      </c>
      <c r="F860" s="64" t="s">
        <v>378</v>
      </c>
      <c r="G860" s="64" t="s">
        <v>8745</v>
      </c>
      <c r="H860" s="64" t="s">
        <v>8746</v>
      </c>
    </row>
    <row r="861" spans="1:8" x14ac:dyDescent="0.3">
      <c r="A861" s="64" t="s">
        <v>1582</v>
      </c>
      <c r="B861" s="64" t="s">
        <v>568</v>
      </c>
      <c r="C861" s="64" t="s">
        <v>948</v>
      </c>
      <c r="D861" s="64" t="s">
        <v>1898</v>
      </c>
      <c r="E861" s="64" t="s">
        <v>16</v>
      </c>
      <c r="F861" s="64" t="s">
        <v>379</v>
      </c>
      <c r="G861" s="64" t="s">
        <v>8747</v>
      </c>
      <c r="H861" s="64" t="s">
        <v>8748</v>
      </c>
    </row>
    <row r="862" spans="1:8" x14ac:dyDescent="0.3">
      <c r="A862" s="64" t="s">
        <v>1583</v>
      </c>
      <c r="B862" s="64" t="s">
        <v>568</v>
      </c>
      <c r="C862" s="64" t="s">
        <v>948</v>
      </c>
      <c r="D862" s="64" t="s">
        <v>1898</v>
      </c>
      <c r="E862" s="64" t="s">
        <v>16</v>
      </c>
      <c r="F862" s="64" t="s">
        <v>380</v>
      </c>
      <c r="G862" s="64" t="s">
        <v>8749</v>
      </c>
      <c r="H862" s="64" t="s">
        <v>8750</v>
      </c>
    </row>
    <row r="863" spans="1:8" x14ac:dyDescent="0.3">
      <c r="A863" s="64" t="s">
        <v>1584</v>
      </c>
      <c r="B863" s="64" t="s">
        <v>568</v>
      </c>
      <c r="C863" s="64" t="s">
        <v>948</v>
      </c>
      <c r="D863" s="64" t="s">
        <v>1898</v>
      </c>
      <c r="E863" s="64" t="s">
        <v>16</v>
      </c>
      <c r="F863" s="64" t="s">
        <v>381</v>
      </c>
      <c r="G863" s="64" t="s">
        <v>8751</v>
      </c>
      <c r="H863" s="64" t="s">
        <v>8752</v>
      </c>
    </row>
    <row r="864" spans="1:8" x14ac:dyDescent="0.3">
      <c r="A864" s="64" t="s">
        <v>1585</v>
      </c>
      <c r="B864" s="64" t="s">
        <v>568</v>
      </c>
      <c r="C864" s="64" t="s">
        <v>948</v>
      </c>
      <c r="D864" s="64" t="s">
        <v>1898</v>
      </c>
      <c r="E864" s="64" t="s">
        <v>16</v>
      </c>
      <c r="F864" s="64" t="s">
        <v>382</v>
      </c>
      <c r="G864" s="64" t="s">
        <v>8753</v>
      </c>
      <c r="H864" s="64" t="s">
        <v>8754</v>
      </c>
    </row>
    <row r="865" spans="1:8" x14ac:dyDescent="0.3">
      <c r="A865" s="64" t="s">
        <v>1586</v>
      </c>
      <c r="B865" s="64" t="s">
        <v>568</v>
      </c>
      <c r="C865" s="64" t="s">
        <v>948</v>
      </c>
      <c r="D865" s="64" t="s">
        <v>1898</v>
      </c>
      <c r="E865" s="64" t="s">
        <v>16</v>
      </c>
      <c r="F865" s="64" t="s">
        <v>383</v>
      </c>
      <c r="G865" s="64" t="s">
        <v>8755</v>
      </c>
      <c r="H865" s="64" t="s">
        <v>8756</v>
      </c>
    </row>
    <row r="866" spans="1:8" x14ac:dyDescent="0.3">
      <c r="A866" s="64" t="s">
        <v>1587</v>
      </c>
      <c r="B866" s="64" t="s">
        <v>568</v>
      </c>
      <c r="C866" s="64" t="s">
        <v>948</v>
      </c>
      <c r="D866" s="64" t="s">
        <v>1898</v>
      </c>
      <c r="E866" s="64" t="s">
        <v>20</v>
      </c>
      <c r="F866" s="64" t="s">
        <v>15</v>
      </c>
      <c r="G866" s="64" t="s">
        <v>8757</v>
      </c>
      <c r="H866" s="64" t="s">
        <v>1515</v>
      </c>
    </row>
    <row r="867" spans="1:8" x14ac:dyDescent="0.3">
      <c r="A867" s="64" t="s">
        <v>1588</v>
      </c>
      <c r="B867" s="64" t="s">
        <v>568</v>
      </c>
      <c r="C867" s="64" t="s">
        <v>948</v>
      </c>
      <c r="D867" s="64" t="s">
        <v>1898</v>
      </c>
      <c r="E867" s="64" t="s">
        <v>16</v>
      </c>
      <c r="F867" s="64" t="s">
        <v>368</v>
      </c>
      <c r="G867" s="64" t="s">
        <v>8758</v>
      </c>
      <c r="H867" s="64" t="s">
        <v>8759</v>
      </c>
    </row>
    <row r="868" spans="1:8" x14ac:dyDescent="0.3">
      <c r="A868" s="64" t="s">
        <v>1589</v>
      </c>
      <c r="B868" s="64" t="s">
        <v>568</v>
      </c>
      <c r="C868" s="64" t="s">
        <v>948</v>
      </c>
      <c r="D868" s="64" t="s">
        <v>1898</v>
      </c>
      <c r="E868" s="64" t="s">
        <v>16</v>
      </c>
      <c r="F868" s="64" t="s">
        <v>369</v>
      </c>
      <c r="G868" s="64" t="s">
        <v>8760</v>
      </c>
      <c r="H868" s="64" t="s">
        <v>8761</v>
      </c>
    </row>
    <row r="869" spans="1:8" x14ac:dyDescent="0.3">
      <c r="A869" s="64" t="s">
        <v>1590</v>
      </c>
      <c r="B869" s="64" t="s">
        <v>568</v>
      </c>
      <c r="C869" s="64" t="s">
        <v>948</v>
      </c>
      <c r="D869" s="64" t="s">
        <v>1898</v>
      </c>
      <c r="E869" s="64" t="s">
        <v>16</v>
      </c>
      <c r="F869" s="64" t="s">
        <v>370</v>
      </c>
      <c r="G869" s="64" t="s">
        <v>8762</v>
      </c>
      <c r="H869" s="64" t="s">
        <v>8763</v>
      </c>
    </row>
    <row r="870" spans="1:8" x14ac:dyDescent="0.3">
      <c r="A870" s="64" t="s">
        <v>1591</v>
      </c>
      <c r="B870" s="64" t="s">
        <v>568</v>
      </c>
      <c r="C870" s="64" t="s">
        <v>948</v>
      </c>
      <c r="D870" s="64" t="s">
        <v>1898</v>
      </c>
      <c r="E870" s="64" t="s">
        <v>16</v>
      </c>
      <c r="F870" s="64" t="s">
        <v>371</v>
      </c>
      <c r="G870" s="64" t="s">
        <v>8764</v>
      </c>
      <c r="H870" s="64" t="s">
        <v>8765</v>
      </c>
    </row>
    <row r="871" spans="1:8" x14ac:dyDescent="0.3">
      <c r="A871" s="64" t="s">
        <v>1592</v>
      </c>
      <c r="B871" s="64" t="s">
        <v>568</v>
      </c>
      <c r="C871" s="64" t="s">
        <v>948</v>
      </c>
      <c r="D871" s="64" t="s">
        <v>1898</v>
      </c>
      <c r="E871" s="64" t="s">
        <v>16</v>
      </c>
      <c r="F871" s="64" t="s">
        <v>372</v>
      </c>
      <c r="G871" s="64" t="s">
        <v>8766</v>
      </c>
      <c r="H871" s="64" t="s">
        <v>8767</v>
      </c>
    </row>
    <row r="872" spans="1:8" x14ac:dyDescent="0.3">
      <c r="A872" s="64" t="s">
        <v>1593</v>
      </c>
      <c r="B872" s="64" t="s">
        <v>568</v>
      </c>
      <c r="C872" s="64" t="s">
        <v>948</v>
      </c>
      <c r="D872" s="64" t="s">
        <v>1898</v>
      </c>
      <c r="E872" s="64" t="s">
        <v>16</v>
      </c>
      <c r="F872" s="64" t="s">
        <v>373</v>
      </c>
      <c r="G872" s="64" t="s">
        <v>8768</v>
      </c>
      <c r="H872" s="64" t="s">
        <v>8769</v>
      </c>
    </row>
    <row r="873" spans="1:8" x14ac:dyDescent="0.3">
      <c r="A873" s="64" t="s">
        <v>1594</v>
      </c>
      <c r="B873" s="64" t="s">
        <v>568</v>
      </c>
      <c r="C873" s="64" t="s">
        <v>948</v>
      </c>
      <c r="D873" s="64" t="s">
        <v>1898</v>
      </c>
      <c r="E873" s="64" t="s">
        <v>16</v>
      </c>
      <c r="F873" s="64" t="s">
        <v>374</v>
      </c>
      <c r="G873" s="64" t="s">
        <v>8770</v>
      </c>
      <c r="H873" s="64" t="s">
        <v>8771</v>
      </c>
    </row>
    <row r="874" spans="1:8" x14ac:dyDescent="0.3">
      <c r="A874" s="64" t="s">
        <v>1595</v>
      </c>
      <c r="B874" s="64" t="s">
        <v>568</v>
      </c>
      <c r="C874" s="64" t="s">
        <v>948</v>
      </c>
      <c r="D874" s="64" t="s">
        <v>1898</v>
      </c>
      <c r="E874" s="64" t="s">
        <v>16</v>
      </c>
      <c r="F874" s="64" t="s">
        <v>375</v>
      </c>
      <c r="G874" s="64" t="s">
        <v>8772</v>
      </c>
      <c r="H874" s="64" t="s">
        <v>8773</v>
      </c>
    </row>
    <row r="875" spans="1:8" x14ac:dyDescent="0.3">
      <c r="A875" s="64" t="s">
        <v>1596</v>
      </c>
      <c r="B875" s="64" t="s">
        <v>568</v>
      </c>
      <c r="C875" s="64" t="s">
        <v>948</v>
      </c>
      <c r="D875" s="64" t="s">
        <v>1898</v>
      </c>
      <c r="E875" s="64" t="s">
        <v>16</v>
      </c>
      <c r="F875" s="64" t="s">
        <v>376</v>
      </c>
      <c r="G875" s="64" t="s">
        <v>8774</v>
      </c>
      <c r="H875" s="64" t="s">
        <v>8775</v>
      </c>
    </row>
    <row r="876" spans="1:8" x14ac:dyDescent="0.3">
      <c r="A876" s="64" t="s">
        <v>1597</v>
      </c>
      <c r="B876" s="64" t="s">
        <v>568</v>
      </c>
      <c r="C876" s="64" t="s">
        <v>948</v>
      </c>
      <c r="D876" s="64" t="s">
        <v>1898</v>
      </c>
      <c r="E876" s="64" t="s">
        <v>16</v>
      </c>
      <c r="F876" s="64" t="s">
        <v>377</v>
      </c>
      <c r="G876" s="64" t="s">
        <v>8776</v>
      </c>
      <c r="H876" s="64" t="s">
        <v>8777</v>
      </c>
    </row>
    <row r="877" spans="1:8" x14ac:dyDescent="0.3">
      <c r="A877" s="64" t="s">
        <v>1598</v>
      </c>
      <c r="B877" s="64" t="s">
        <v>568</v>
      </c>
      <c r="C877" s="64" t="s">
        <v>948</v>
      </c>
      <c r="D877" s="64" t="s">
        <v>1898</v>
      </c>
      <c r="E877" s="64" t="s">
        <v>16</v>
      </c>
      <c r="F877" s="64" t="s">
        <v>378</v>
      </c>
      <c r="G877" s="64" t="s">
        <v>8778</v>
      </c>
      <c r="H877" s="64" t="s">
        <v>8779</v>
      </c>
    </row>
    <row r="878" spans="1:8" x14ac:dyDescent="0.3">
      <c r="A878" s="64" t="s">
        <v>1599</v>
      </c>
      <c r="B878" s="64" t="s">
        <v>568</v>
      </c>
      <c r="C878" s="64" t="s">
        <v>948</v>
      </c>
      <c r="D878" s="64" t="s">
        <v>1898</v>
      </c>
      <c r="E878" s="64" t="s">
        <v>16</v>
      </c>
      <c r="F878" s="64" t="s">
        <v>379</v>
      </c>
      <c r="G878" s="64" t="s">
        <v>8780</v>
      </c>
      <c r="H878" s="64" t="s">
        <v>8781</v>
      </c>
    </row>
    <row r="879" spans="1:8" x14ac:dyDescent="0.3">
      <c r="A879" s="64" t="s">
        <v>1600</v>
      </c>
      <c r="B879" s="64" t="s">
        <v>568</v>
      </c>
      <c r="C879" s="64" t="s">
        <v>948</v>
      </c>
      <c r="D879" s="64" t="s">
        <v>1898</v>
      </c>
      <c r="E879" s="64" t="s">
        <v>16</v>
      </c>
      <c r="F879" s="64" t="s">
        <v>380</v>
      </c>
      <c r="G879" s="64" t="s">
        <v>8782</v>
      </c>
      <c r="H879" s="64" t="s">
        <v>8783</v>
      </c>
    </row>
    <row r="880" spans="1:8" x14ac:dyDescent="0.3">
      <c r="A880" s="64" t="s">
        <v>1601</v>
      </c>
      <c r="B880" s="64" t="s">
        <v>568</v>
      </c>
      <c r="C880" s="64" t="s">
        <v>948</v>
      </c>
      <c r="D880" s="64" t="s">
        <v>1898</v>
      </c>
      <c r="E880" s="64" t="s">
        <v>16</v>
      </c>
      <c r="F880" s="64" t="s">
        <v>381</v>
      </c>
      <c r="G880" s="64" t="s">
        <v>8784</v>
      </c>
      <c r="H880" s="64" t="s">
        <v>8785</v>
      </c>
    </row>
    <row r="881" spans="1:8" x14ac:dyDescent="0.3">
      <c r="A881" s="64" t="s">
        <v>1602</v>
      </c>
      <c r="B881" s="64" t="s">
        <v>568</v>
      </c>
      <c r="C881" s="64" t="s">
        <v>948</v>
      </c>
      <c r="D881" s="64" t="s">
        <v>1898</v>
      </c>
      <c r="E881" s="64" t="s">
        <v>16</v>
      </c>
      <c r="F881" s="64" t="s">
        <v>382</v>
      </c>
      <c r="G881" s="64" t="s">
        <v>8786</v>
      </c>
      <c r="H881" s="64" t="s">
        <v>8787</v>
      </c>
    </row>
    <row r="882" spans="1:8" x14ac:dyDescent="0.3">
      <c r="A882" s="64" t="s">
        <v>1603</v>
      </c>
      <c r="B882" s="64" t="s">
        <v>568</v>
      </c>
      <c r="C882" s="64" t="s">
        <v>948</v>
      </c>
      <c r="D882" s="64" t="s">
        <v>1898</v>
      </c>
      <c r="E882" s="64" t="s">
        <v>16</v>
      </c>
      <c r="F882" s="64" t="s">
        <v>383</v>
      </c>
      <c r="G882" s="64" t="s">
        <v>8788</v>
      </c>
      <c r="H882" s="64" t="s">
        <v>8789</v>
      </c>
    </row>
    <row r="883" spans="1:8" x14ac:dyDescent="0.3">
      <c r="A883" s="64" t="s">
        <v>1604</v>
      </c>
      <c r="B883" s="64" t="s">
        <v>568</v>
      </c>
      <c r="C883" s="64" t="s">
        <v>948</v>
      </c>
      <c r="D883" s="64" t="s">
        <v>1898</v>
      </c>
      <c r="E883" s="64" t="s">
        <v>20</v>
      </c>
      <c r="F883" s="64" t="s">
        <v>15</v>
      </c>
      <c r="G883" s="64" t="s">
        <v>8790</v>
      </c>
      <c r="H883" s="64" t="s">
        <v>1516</v>
      </c>
    </row>
    <row r="884" spans="1:8" x14ac:dyDescent="0.3">
      <c r="A884" s="64" t="s">
        <v>1605</v>
      </c>
      <c r="B884" s="64" t="s">
        <v>568</v>
      </c>
      <c r="C884" s="64" t="s">
        <v>948</v>
      </c>
      <c r="D884" s="64" t="s">
        <v>1898</v>
      </c>
      <c r="E884" s="64" t="s">
        <v>16</v>
      </c>
      <c r="F884" s="64" t="s">
        <v>368</v>
      </c>
      <c r="G884" s="64" t="s">
        <v>8791</v>
      </c>
      <c r="H884" s="64" t="s">
        <v>8792</v>
      </c>
    </row>
    <row r="885" spans="1:8" x14ac:dyDescent="0.3">
      <c r="A885" s="64" t="s">
        <v>1606</v>
      </c>
      <c r="B885" s="64" t="s">
        <v>568</v>
      </c>
      <c r="C885" s="64" t="s">
        <v>948</v>
      </c>
      <c r="D885" s="64" t="s">
        <v>1898</v>
      </c>
      <c r="E885" s="64" t="s">
        <v>16</v>
      </c>
      <c r="F885" s="64" t="s">
        <v>369</v>
      </c>
      <c r="G885" s="64" t="s">
        <v>8793</v>
      </c>
      <c r="H885" s="64" t="s">
        <v>8794</v>
      </c>
    </row>
    <row r="886" spans="1:8" x14ac:dyDescent="0.3">
      <c r="A886" s="64" t="s">
        <v>1607</v>
      </c>
      <c r="B886" s="64" t="s">
        <v>568</v>
      </c>
      <c r="C886" s="64" t="s">
        <v>948</v>
      </c>
      <c r="D886" s="64" t="s">
        <v>1898</v>
      </c>
      <c r="E886" s="64" t="s">
        <v>16</v>
      </c>
      <c r="F886" s="64" t="s">
        <v>370</v>
      </c>
      <c r="G886" s="64" t="s">
        <v>8795</v>
      </c>
      <c r="H886" s="64" t="s">
        <v>8796</v>
      </c>
    </row>
    <row r="887" spans="1:8" x14ac:dyDescent="0.3">
      <c r="A887" s="64" t="s">
        <v>1608</v>
      </c>
      <c r="B887" s="64" t="s">
        <v>568</v>
      </c>
      <c r="C887" s="64" t="s">
        <v>948</v>
      </c>
      <c r="D887" s="64" t="s">
        <v>1898</v>
      </c>
      <c r="E887" s="64" t="s">
        <v>16</v>
      </c>
      <c r="F887" s="64" t="s">
        <v>371</v>
      </c>
      <c r="G887" s="64" t="s">
        <v>8797</v>
      </c>
      <c r="H887" s="64" t="s">
        <v>8798</v>
      </c>
    </row>
    <row r="888" spans="1:8" x14ac:dyDescent="0.3">
      <c r="A888" s="64" t="s">
        <v>1609</v>
      </c>
      <c r="B888" s="64" t="s">
        <v>568</v>
      </c>
      <c r="C888" s="64" t="s">
        <v>948</v>
      </c>
      <c r="D888" s="64" t="s">
        <v>1898</v>
      </c>
      <c r="E888" s="64" t="s">
        <v>16</v>
      </c>
      <c r="F888" s="64" t="s">
        <v>372</v>
      </c>
      <c r="G888" s="64" t="s">
        <v>8799</v>
      </c>
      <c r="H888" s="64" t="s">
        <v>8800</v>
      </c>
    </row>
    <row r="889" spans="1:8" x14ac:dyDescent="0.3">
      <c r="A889" s="64" t="s">
        <v>1610</v>
      </c>
      <c r="B889" s="64" t="s">
        <v>568</v>
      </c>
      <c r="C889" s="64" t="s">
        <v>948</v>
      </c>
      <c r="D889" s="64" t="s">
        <v>1898</v>
      </c>
      <c r="E889" s="64" t="s">
        <v>16</v>
      </c>
      <c r="F889" s="64" t="s">
        <v>373</v>
      </c>
      <c r="G889" s="64" t="s">
        <v>8801</v>
      </c>
      <c r="H889" s="64" t="s">
        <v>8802</v>
      </c>
    </row>
    <row r="890" spans="1:8" x14ac:dyDescent="0.3">
      <c r="A890" s="64" t="s">
        <v>1611</v>
      </c>
      <c r="B890" s="64" t="s">
        <v>568</v>
      </c>
      <c r="C890" s="64" t="s">
        <v>948</v>
      </c>
      <c r="D890" s="64" t="s">
        <v>1898</v>
      </c>
      <c r="E890" s="64" t="s">
        <v>16</v>
      </c>
      <c r="F890" s="64" t="s">
        <v>374</v>
      </c>
      <c r="G890" s="64" t="s">
        <v>8803</v>
      </c>
      <c r="H890" s="64" t="s">
        <v>8804</v>
      </c>
    </row>
    <row r="891" spans="1:8" x14ac:dyDescent="0.3">
      <c r="A891" s="64" t="s">
        <v>1612</v>
      </c>
      <c r="B891" s="64" t="s">
        <v>568</v>
      </c>
      <c r="C891" s="64" t="s">
        <v>948</v>
      </c>
      <c r="D891" s="64" t="s">
        <v>1898</v>
      </c>
      <c r="E891" s="64" t="s">
        <v>16</v>
      </c>
      <c r="F891" s="64" t="s">
        <v>375</v>
      </c>
      <c r="G891" s="64" t="s">
        <v>8805</v>
      </c>
      <c r="H891" s="64" t="s">
        <v>8806</v>
      </c>
    </row>
    <row r="892" spans="1:8" x14ac:dyDescent="0.3">
      <c r="A892" s="64" t="s">
        <v>1613</v>
      </c>
      <c r="B892" s="64" t="s">
        <v>568</v>
      </c>
      <c r="C892" s="64" t="s">
        <v>948</v>
      </c>
      <c r="D892" s="64" t="s">
        <v>1898</v>
      </c>
      <c r="E892" s="64" t="s">
        <v>16</v>
      </c>
      <c r="F892" s="64" t="s">
        <v>376</v>
      </c>
      <c r="G892" s="64" t="s">
        <v>8807</v>
      </c>
      <c r="H892" s="64" t="s">
        <v>8808</v>
      </c>
    </row>
    <row r="893" spans="1:8" x14ac:dyDescent="0.3">
      <c r="A893" s="64" t="s">
        <v>1614</v>
      </c>
      <c r="B893" s="64" t="s">
        <v>568</v>
      </c>
      <c r="C893" s="64" t="s">
        <v>948</v>
      </c>
      <c r="D893" s="64" t="s">
        <v>1898</v>
      </c>
      <c r="E893" s="64" t="s">
        <v>16</v>
      </c>
      <c r="F893" s="64" t="s">
        <v>377</v>
      </c>
      <c r="G893" s="64" t="s">
        <v>8809</v>
      </c>
      <c r="H893" s="64" t="s">
        <v>8810</v>
      </c>
    </row>
    <row r="894" spans="1:8" x14ac:dyDescent="0.3">
      <c r="A894" s="64" t="s">
        <v>1615</v>
      </c>
      <c r="B894" s="64" t="s">
        <v>568</v>
      </c>
      <c r="C894" s="64" t="s">
        <v>948</v>
      </c>
      <c r="D894" s="64" t="s">
        <v>1898</v>
      </c>
      <c r="E894" s="64" t="s">
        <v>16</v>
      </c>
      <c r="F894" s="64" t="s">
        <v>378</v>
      </c>
      <c r="G894" s="64" t="s">
        <v>8811</v>
      </c>
      <c r="H894" s="64" t="s">
        <v>8812</v>
      </c>
    </row>
    <row r="895" spans="1:8" x14ac:dyDescent="0.3">
      <c r="A895" s="64" t="s">
        <v>1616</v>
      </c>
      <c r="B895" s="64" t="s">
        <v>568</v>
      </c>
      <c r="C895" s="64" t="s">
        <v>948</v>
      </c>
      <c r="D895" s="64" t="s">
        <v>1898</v>
      </c>
      <c r="E895" s="64" t="s">
        <v>16</v>
      </c>
      <c r="F895" s="64" t="s">
        <v>379</v>
      </c>
      <c r="G895" s="64" t="s">
        <v>8813</v>
      </c>
      <c r="H895" s="64" t="s">
        <v>8814</v>
      </c>
    </row>
    <row r="896" spans="1:8" x14ac:dyDescent="0.3">
      <c r="A896" s="64" t="s">
        <v>1617</v>
      </c>
      <c r="B896" s="64" t="s">
        <v>568</v>
      </c>
      <c r="C896" s="64" t="s">
        <v>948</v>
      </c>
      <c r="D896" s="64" t="s">
        <v>1898</v>
      </c>
      <c r="E896" s="64" t="s">
        <v>16</v>
      </c>
      <c r="F896" s="64" t="s">
        <v>380</v>
      </c>
      <c r="G896" s="64" t="s">
        <v>8815</v>
      </c>
      <c r="H896" s="64" t="s">
        <v>8816</v>
      </c>
    </row>
    <row r="897" spans="1:8" x14ac:dyDescent="0.3">
      <c r="A897" s="64" t="s">
        <v>1618</v>
      </c>
      <c r="B897" s="64" t="s">
        <v>568</v>
      </c>
      <c r="C897" s="64" t="s">
        <v>948</v>
      </c>
      <c r="D897" s="64" t="s">
        <v>1898</v>
      </c>
      <c r="E897" s="64" t="s">
        <v>16</v>
      </c>
      <c r="F897" s="64" t="s">
        <v>381</v>
      </c>
      <c r="G897" s="64" t="s">
        <v>8817</v>
      </c>
      <c r="H897" s="64" t="s">
        <v>8818</v>
      </c>
    </row>
    <row r="898" spans="1:8" x14ac:dyDescent="0.3">
      <c r="A898" s="64" t="s">
        <v>1619</v>
      </c>
      <c r="B898" s="64" t="s">
        <v>568</v>
      </c>
      <c r="C898" s="64" t="s">
        <v>948</v>
      </c>
      <c r="D898" s="64" t="s">
        <v>1898</v>
      </c>
      <c r="E898" s="64" t="s">
        <v>16</v>
      </c>
      <c r="F898" s="64" t="s">
        <v>382</v>
      </c>
      <c r="G898" s="64" t="s">
        <v>8819</v>
      </c>
      <c r="H898" s="64" t="s">
        <v>8820</v>
      </c>
    </row>
    <row r="899" spans="1:8" x14ac:dyDescent="0.3">
      <c r="A899" s="64" t="s">
        <v>1620</v>
      </c>
      <c r="B899" s="64" t="s">
        <v>568</v>
      </c>
      <c r="C899" s="64" t="s">
        <v>948</v>
      </c>
      <c r="D899" s="64" t="s">
        <v>1898</v>
      </c>
      <c r="E899" s="64" t="s">
        <v>16</v>
      </c>
      <c r="F899" s="64" t="s">
        <v>383</v>
      </c>
      <c r="G899" s="64" t="s">
        <v>8821</v>
      </c>
      <c r="H899" s="64" t="s">
        <v>8822</v>
      </c>
    </row>
    <row r="900" spans="1:8" x14ac:dyDescent="0.3">
      <c r="A900" s="64" t="s">
        <v>1621</v>
      </c>
      <c r="B900" s="64" t="s">
        <v>603</v>
      </c>
      <c r="C900" s="64" t="s">
        <v>1517</v>
      </c>
      <c r="D900" s="64" t="s">
        <v>1896</v>
      </c>
      <c r="E900" s="64" t="s">
        <v>20</v>
      </c>
      <c r="F900" s="64" t="s">
        <v>15</v>
      </c>
      <c r="G900" s="64" t="s">
        <v>8823</v>
      </c>
      <c r="H900" s="64" t="s">
        <v>1519</v>
      </c>
    </row>
    <row r="901" spans="1:8" x14ac:dyDescent="0.3">
      <c r="A901" s="64" t="s">
        <v>1622</v>
      </c>
      <c r="B901" s="64" t="s">
        <v>603</v>
      </c>
      <c r="C901" s="64" t="s">
        <v>1517</v>
      </c>
      <c r="D901" s="64" t="s">
        <v>1896</v>
      </c>
      <c r="E901" s="64" t="s">
        <v>16</v>
      </c>
      <c r="F901" s="64" t="s">
        <v>368</v>
      </c>
      <c r="G901" s="64" t="s">
        <v>8824</v>
      </c>
      <c r="H901" s="64" t="s">
        <v>8825</v>
      </c>
    </row>
    <row r="902" spans="1:8" x14ac:dyDescent="0.3">
      <c r="A902" s="64" t="s">
        <v>1623</v>
      </c>
      <c r="B902" s="64" t="s">
        <v>603</v>
      </c>
      <c r="C902" s="64" t="s">
        <v>1517</v>
      </c>
      <c r="D902" s="64" t="s">
        <v>1896</v>
      </c>
      <c r="E902" s="64" t="s">
        <v>16</v>
      </c>
      <c r="F902" s="64" t="s">
        <v>369</v>
      </c>
      <c r="G902" s="64" t="s">
        <v>8826</v>
      </c>
      <c r="H902" s="64" t="s">
        <v>8827</v>
      </c>
    </row>
    <row r="903" spans="1:8" x14ac:dyDescent="0.3">
      <c r="A903" s="64" t="s">
        <v>1624</v>
      </c>
      <c r="B903" s="64" t="s">
        <v>603</v>
      </c>
      <c r="C903" s="64" t="s">
        <v>1517</v>
      </c>
      <c r="D903" s="64" t="s">
        <v>1896</v>
      </c>
      <c r="E903" s="64" t="s">
        <v>16</v>
      </c>
      <c r="F903" s="64" t="s">
        <v>370</v>
      </c>
      <c r="G903" s="64" t="s">
        <v>8828</v>
      </c>
      <c r="H903" s="64" t="s">
        <v>8829</v>
      </c>
    </row>
    <row r="904" spans="1:8" x14ac:dyDescent="0.3">
      <c r="A904" s="64" t="s">
        <v>1625</v>
      </c>
      <c r="B904" s="64" t="s">
        <v>603</v>
      </c>
      <c r="C904" s="64" t="s">
        <v>1517</v>
      </c>
      <c r="D904" s="64" t="s">
        <v>1896</v>
      </c>
      <c r="E904" s="64" t="s">
        <v>16</v>
      </c>
      <c r="F904" s="64" t="s">
        <v>371</v>
      </c>
      <c r="G904" s="64" t="s">
        <v>8830</v>
      </c>
      <c r="H904" s="64" t="s">
        <v>8831</v>
      </c>
    </row>
    <row r="905" spans="1:8" x14ac:dyDescent="0.3">
      <c r="A905" s="64" t="s">
        <v>1626</v>
      </c>
      <c r="B905" s="64" t="s">
        <v>603</v>
      </c>
      <c r="C905" s="64" t="s">
        <v>1517</v>
      </c>
      <c r="D905" s="64" t="s">
        <v>1896</v>
      </c>
      <c r="E905" s="64" t="s">
        <v>16</v>
      </c>
      <c r="F905" s="64" t="s">
        <v>372</v>
      </c>
      <c r="G905" s="64" t="s">
        <v>8832</v>
      </c>
      <c r="H905" s="64" t="s">
        <v>8833</v>
      </c>
    </row>
    <row r="906" spans="1:8" x14ac:dyDescent="0.3">
      <c r="A906" s="64" t="s">
        <v>1627</v>
      </c>
      <c r="B906" s="64" t="s">
        <v>603</v>
      </c>
      <c r="C906" s="64" t="s">
        <v>1517</v>
      </c>
      <c r="D906" s="64" t="s">
        <v>1896</v>
      </c>
      <c r="E906" s="64" t="s">
        <v>16</v>
      </c>
      <c r="F906" s="64" t="s">
        <v>373</v>
      </c>
      <c r="G906" s="64" t="s">
        <v>8834</v>
      </c>
      <c r="H906" s="64" t="s">
        <v>8835</v>
      </c>
    </row>
    <row r="907" spans="1:8" x14ac:dyDescent="0.3">
      <c r="A907" s="64" t="s">
        <v>1628</v>
      </c>
      <c r="B907" s="64" t="s">
        <v>603</v>
      </c>
      <c r="C907" s="64" t="s">
        <v>1517</v>
      </c>
      <c r="D907" s="64" t="s">
        <v>1896</v>
      </c>
      <c r="E907" s="64" t="s">
        <v>16</v>
      </c>
      <c r="F907" s="64" t="s">
        <v>374</v>
      </c>
      <c r="G907" s="64" t="s">
        <v>8836</v>
      </c>
      <c r="H907" s="64" t="s">
        <v>8837</v>
      </c>
    </row>
    <row r="908" spans="1:8" x14ac:dyDescent="0.3">
      <c r="A908" s="64" t="s">
        <v>1629</v>
      </c>
      <c r="B908" s="64" t="s">
        <v>603</v>
      </c>
      <c r="C908" s="64" t="s">
        <v>1517</v>
      </c>
      <c r="D908" s="64" t="s">
        <v>1896</v>
      </c>
      <c r="E908" s="64" t="s">
        <v>16</v>
      </c>
      <c r="F908" s="64" t="s">
        <v>375</v>
      </c>
      <c r="G908" s="64" t="s">
        <v>8838</v>
      </c>
      <c r="H908" s="64" t="s">
        <v>8839</v>
      </c>
    </row>
    <row r="909" spans="1:8" x14ac:dyDescent="0.3">
      <c r="A909" s="64" t="s">
        <v>1630</v>
      </c>
      <c r="B909" s="64" t="s">
        <v>603</v>
      </c>
      <c r="C909" s="64" t="s">
        <v>1517</v>
      </c>
      <c r="D909" s="64" t="s">
        <v>1896</v>
      </c>
      <c r="E909" s="64" t="s">
        <v>16</v>
      </c>
      <c r="F909" s="64" t="s">
        <v>376</v>
      </c>
      <c r="G909" s="64" t="s">
        <v>8840</v>
      </c>
      <c r="H909" s="64" t="s">
        <v>8841</v>
      </c>
    </row>
    <row r="910" spans="1:8" x14ac:dyDescent="0.3">
      <c r="A910" s="64" t="s">
        <v>1631</v>
      </c>
      <c r="B910" s="64" t="s">
        <v>603</v>
      </c>
      <c r="C910" s="64" t="s">
        <v>1517</v>
      </c>
      <c r="D910" s="64" t="s">
        <v>1896</v>
      </c>
      <c r="E910" s="64" t="s">
        <v>16</v>
      </c>
      <c r="F910" s="64" t="s">
        <v>377</v>
      </c>
      <c r="G910" s="64" t="s">
        <v>8842</v>
      </c>
      <c r="H910" s="64" t="s">
        <v>8843</v>
      </c>
    </row>
    <row r="911" spans="1:8" x14ac:dyDescent="0.3">
      <c r="A911" s="64" t="s">
        <v>1632</v>
      </c>
      <c r="B911" s="64" t="s">
        <v>603</v>
      </c>
      <c r="C911" s="64" t="s">
        <v>1517</v>
      </c>
      <c r="D911" s="64" t="s">
        <v>1896</v>
      </c>
      <c r="E911" s="64" t="s">
        <v>16</v>
      </c>
      <c r="F911" s="64" t="s">
        <v>378</v>
      </c>
      <c r="G911" s="64" t="s">
        <v>8844</v>
      </c>
      <c r="H911" s="64" t="s">
        <v>8845</v>
      </c>
    </row>
    <row r="912" spans="1:8" x14ac:dyDescent="0.3">
      <c r="A912" s="64" t="s">
        <v>1633</v>
      </c>
      <c r="B912" s="64" t="s">
        <v>603</v>
      </c>
      <c r="C912" s="64" t="s">
        <v>1517</v>
      </c>
      <c r="D912" s="64" t="s">
        <v>1896</v>
      </c>
      <c r="E912" s="64" t="s">
        <v>16</v>
      </c>
      <c r="F912" s="64" t="s">
        <v>379</v>
      </c>
      <c r="G912" s="64" t="s">
        <v>8846</v>
      </c>
      <c r="H912" s="64" t="s">
        <v>8847</v>
      </c>
    </row>
    <row r="913" spans="1:8" x14ac:dyDescent="0.3">
      <c r="A913" s="64" t="s">
        <v>1634</v>
      </c>
      <c r="B913" s="64" t="s">
        <v>603</v>
      </c>
      <c r="C913" s="64" t="s">
        <v>1517</v>
      </c>
      <c r="D913" s="64" t="s">
        <v>1896</v>
      </c>
      <c r="E913" s="64" t="s">
        <v>16</v>
      </c>
      <c r="F913" s="64" t="s">
        <v>380</v>
      </c>
      <c r="G913" s="64" t="s">
        <v>8848</v>
      </c>
      <c r="H913" s="64" t="s">
        <v>8849</v>
      </c>
    </row>
    <row r="914" spans="1:8" x14ac:dyDescent="0.3">
      <c r="A914" s="64" t="s">
        <v>1635</v>
      </c>
      <c r="B914" s="64" t="s">
        <v>603</v>
      </c>
      <c r="C914" s="64" t="s">
        <v>1517</v>
      </c>
      <c r="D914" s="64" t="s">
        <v>1896</v>
      </c>
      <c r="E914" s="64" t="s">
        <v>16</v>
      </c>
      <c r="F914" s="64" t="s">
        <v>381</v>
      </c>
      <c r="G914" s="64" t="s">
        <v>8850</v>
      </c>
      <c r="H914" s="64" t="s">
        <v>8851</v>
      </c>
    </row>
    <row r="915" spans="1:8" x14ac:dyDescent="0.3">
      <c r="A915" s="64" t="s">
        <v>1636</v>
      </c>
      <c r="B915" s="64" t="s">
        <v>603</v>
      </c>
      <c r="C915" s="64" t="s">
        <v>1517</v>
      </c>
      <c r="D915" s="64" t="s">
        <v>1896</v>
      </c>
      <c r="E915" s="64" t="s">
        <v>16</v>
      </c>
      <c r="F915" s="64" t="s">
        <v>382</v>
      </c>
      <c r="G915" s="64" t="s">
        <v>8852</v>
      </c>
      <c r="H915" s="64" t="s">
        <v>8853</v>
      </c>
    </row>
    <row r="916" spans="1:8" x14ac:dyDescent="0.3">
      <c r="A916" s="64" t="s">
        <v>1637</v>
      </c>
      <c r="B916" s="64" t="s">
        <v>603</v>
      </c>
      <c r="C916" s="64" t="s">
        <v>1517</v>
      </c>
      <c r="D916" s="64" t="s">
        <v>1896</v>
      </c>
      <c r="E916" s="64" t="s">
        <v>16</v>
      </c>
      <c r="F916" s="64" t="s">
        <v>383</v>
      </c>
      <c r="G916" s="64" t="s">
        <v>8854</v>
      </c>
      <c r="H916" s="64" t="s">
        <v>8855</v>
      </c>
    </row>
    <row r="917" spans="1:8" x14ac:dyDescent="0.3">
      <c r="A917" s="64" t="s">
        <v>1638</v>
      </c>
      <c r="B917" s="64" t="s">
        <v>603</v>
      </c>
      <c r="C917" s="64" t="s">
        <v>5157</v>
      </c>
      <c r="D917" s="64" t="s">
        <v>1896</v>
      </c>
      <c r="E917" s="64" t="s">
        <v>20</v>
      </c>
      <c r="F917" s="64" t="s">
        <v>15</v>
      </c>
      <c r="G917" s="64" t="s">
        <v>8856</v>
      </c>
      <c r="H917" s="64" t="s">
        <v>1520</v>
      </c>
    </row>
    <row r="918" spans="1:8" x14ac:dyDescent="0.3">
      <c r="A918" s="64" t="s">
        <v>1639</v>
      </c>
      <c r="B918" s="64" t="s">
        <v>603</v>
      </c>
      <c r="C918" s="64" t="s">
        <v>5157</v>
      </c>
      <c r="D918" s="64" t="s">
        <v>1896</v>
      </c>
      <c r="E918" s="64" t="s">
        <v>16</v>
      </c>
      <c r="F918" s="64" t="s">
        <v>368</v>
      </c>
      <c r="G918" s="64" t="s">
        <v>8857</v>
      </c>
      <c r="H918" s="64" t="s">
        <v>8858</v>
      </c>
    </row>
    <row r="919" spans="1:8" x14ac:dyDescent="0.3">
      <c r="A919" s="64" t="s">
        <v>1640</v>
      </c>
      <c r="B919" s="64" t="s">
        <v>603</v>
      </c>
      <c r="C919" s="64" t="s">
        <v>5157</v>
      </c>
      <c r="D919" s="64" t="s">
        <v>1896</v>
      </c>
      <c r="E919" s="64" t="s">
        <v>16</v>
      </c>
      <c r="F919" s="64" t="s">
        <v>369</v>
      </c>
      <c r="G919" s="64" t="s">
        <v>8859</v>
      </c>
      <c r="H919" s="64" t="s">
        <v>8860</v>
      </c>
    </row>
    <row r="920" spans="1:8" x14ac:dyDescent="0.3">
      <c r="A920" s="64" t="s">
        <v>1641</v>
      </c>
      <c r="B920" s="64" t="s">
        <v>603</v>
      </c>
      <c r="C920" s="64" t="s">
        <v>5157</v>
      </c>
      <c r="D920" s="64" t="s">
        <v>1896</v>
      </c>
      <c r="E920" s="64" t="s">
        <v>16</v>
      </c>
      <c r="F920" s="64" t="s">
        <v>370</v>
      </c>
      <c r="G920" s="64" t="s">
        <v>8861</v>
      </c>
      <c r="H920" s="64" t="s">
        <v>8862</v>
      </c>
    </row>
    <row r="921" spans="1:8" x14ac:dyDescent="0.3">
      <c r="A921" s="64" t="s">
        <v>1642</v>
      </c>
      <c r="B921" s="64" t="s">
        <v>603</v>
      </c>
      <c r="C921" s="64" t="s">
        <v>5157</v>
      </c>
      <c r="D921" s="64" t="s">
        <v>1896</v>
      </c>
      <c r="E921" s="64" t="s">
        <v>16</v>
      </c>
      <c r="F921" s="64" t="s">
        <v>371</v>
      </c>
      <c r="G921" s="64" t="s">
        <v>8863</v>
      </c>
      <c r="H921" s="64" t="s">
        <v>8864</v>
      </c>
    </row>
    <row r="922" spans="1:8" x14ac:dyDescent="0.3">
      <c r="A922" s="64" t="s">
        <v>1643</v>
      </c>
      <c r="B922" s="64" t="s">
        <v>603</v>
      </c>
      <c r="C922" s="64" t="s">
        <v>5157</v>
      </c>
      <c r="D922" s="64" t="s">
        <v>1896</v>
      </c>
      <c r="E922" s="64" t="s">
        <v>16</v>
      </c>
      <c r="F922" s="64" t="s">
        <v>372</v>
      </c>
      <c r="G922" s="64" t="s">
        <v>8865</v>
      </c>
      <c r="H922" s="64" t="s">
        <v>8866</v>
      </c>
    </row>
    <row r="923" spans="1:8" x14ac:dyDescent="0.3">
      <c r="A923" s="64" t="s">
        <v>1644</v>
      </c>
      <c r="B923" s="64" t="s">
        <v>603</v>
      </c>
      <c r="C923" s="64" t="s">
        <v>5157</v>
      </c>
      <c r="D923" s="64" t="s">
        <v>1896</v>
      </c>
      <c r="E923" s="64" t="s">
        <v>16</v>
      </c>
      <c r="F923" s="64" t="s">
        <v>373</v>
      </c>
      <c r="G923" s="64" t="s">
        <v>8867</v>
      </c>
      <c r="H923" s="64" t="s">
        <v>8868</v>
      </c>
    </row>
    <row r="924" spans="1:8" x14ac:dyDescent="0.3">
      <c r="A924" s="64" t="s">
        <v>1645</v>
      </c>
      <c r="B924" s="64" t="s">
        <v>603</v>
      </c>
      <c r="C924" s="64" t="s">
        <v>5157</v>
      </c>
      <c r="D924" s="64" t="s">
        <v>1896</v>
      </c>
      <c r="E924" s="64" t="s">
        <v>16</v>
      </c>
      <c r="F924" s="64" t="s">
        <v>374</v>
      </c>
      <c r="G924" s="64" t="s">
        <v>8869</v>
      </c>
      <c r="H924" s="64" t="s">
        <v>8870</v>
      </c>
    </row>
    <row r="925" spans="1:8" x14ac:dyDescent="0.3">
      <c r="A925" s="64" t="s">
        <v>1646</v>
      </c>
      <c r="B925" s="64" t="s">
        <v>603</v>
      </c>
      <c r="C925" s="64" t="s">
        <v>5157</v>
      </c>
      <c r="D925" s="64" t="s">
        <v>1896</v>
      </c>
      <c r="E925" s="64" t="s">
        <v>16</v>
      </c>
      <c r="F925" s="64" t="s">
        <v>375</v>
      </c>
      <c r="G925" s="64" t="s">
        <v>8871</v>
      </c>
      <c r="H925" s="64" t="s">
        <v>8872</v>
      </c>
    </row>
    <row r="926" spans="1:8" x14ac:dyDescent="0.3">
      <c r="A926" s="64" t="s">
        <v>1647</v>
      </c>
      <c r="B926" s="64" t="s">
        <v>603</v>
      </c>
      <c r="C926" s="64" t="s">
        <v>5157</v>
      </c>
      <c r="D926" s="64" t="s">
        <v>1896</v>
      </c>
      <c r="E926" s="64" t="s">
        <v>16</v>
      </c>
      <c r="F926" s="64" t="s">
        <v>376</v>
      </c>
      <c r="G926" s="64" t="s">
        <v>8873</v>
      </c>
      <c r="H926" s="64" t="s">
        <v>8874</v>
      </c>
    </row>
    <row r="927" spans="1:8" x14ac:dyDescent="0.3">
      <c r="A927" s="64" t="s">
        <v>1648</v>
      </c>
      <c r="B927" s="64" t="s">
        <v>603</v>
      </c>
      <c r="C927" s="64" t="s">
        <v>5157</v>
      </c>
      <c r="D927" s="64" t="s">
        <v>1896</v>
      </c>
      <c r="E927" s="64" t="s">
        <v>16</v>
      </c>
      <c r="F927" s="64" t="s">
        <v>377</v>
      </c>
      <c r="G927" s="64" t="s">
        <v>8875</v>
      </c>
      <c r="H927" s="64" t="s">
        <v>8876</v>
      </c>
    </row>
    <row r="928" spans="1:8" x14ac:dyDescent="0.3">
      <c r="A928" s="64" t="s">
        <v>1649</v>
      </c>
      <c r="B928" s="64" t="s">
        <v>603</v>
      </c>
      <c r="C928" s="64" t="s">
        <v>5157</v>
      </c>
      <c r="D928" s="64" t="s">
        <v>1896</v>
      </c>
      <c r="E928" s="64" t="s">
        <v>16</v>
      </c>
      <c r="F928" s="64" t="s">
        <v>378</v>
      </c>
      <c r="G928" s="64" t="s">
        <v>8877</v>
      </c>
      <c r="H928" s="64" t="s">
        <v>8878</v>
      </c>
    </row>
    <row r="929" spans="1:8" x14ac:dyDescent="0.3">
      <c r="A929" s="64" t="s">
        <v>1650</v>
      </c>
      <c r="B929" s="64" t="s">
        <v>603</v>
      </c>
      <c r="C929" s="64" t="s">
        <v>5157</v>
      </c>
      <c r="D929" s="64" t="s">
        <v>1896</v>
      </c>
      <c r="E929" s="64" t="s">
        <v>16</v>
      </c>
      <c r="F929" s="64" t="s">
        <v>379</v>
      </c>
      <c r="G929" s="64" t="s">
        <v>8879</v>
      </c>
      <c r="H929" s="64" t="s">
        <v>8880</v>
      </c>
    </row>
    <row r="930" spans="1:8" x14ac:dyDescent="0.3">
      <c r="A930" s="64" t="s">
        <v>1651</v>
      </c>
      <c r="B930" s="64" t="s">
        <v>603</v>
      </c>
      <c r="C930" s="64" t="s">
        <v>5157</v>
      </c>
      <c r="D930" s="64" t="s">
        <v>1896</v>
      </c>
      <c r="E930" s="64" t="s">
        <v>16</v>
      </c>
      <c r="F930" s="64" t="s">
        <v>380</v>
      </c>
      <c r="G930" s="64" t="s">
        <v>8881</v>
      </c>
      <c r="H930" s="64" t="s">
        <v>8882</v>
      </c>
    </row>
    <row r="931" spans="1:8" x14ac:dyDescent="0.3">
      <c r="A931" s="64" t="s">
        <v>1652</v>
      </c>
      <c r="B931" s="64" t="s">
        <v>603</v>
      </c>
      <c r="C931" s="64" t="s">
        <v>5157</v>
      </c>
      <c r="D931" s="64" t="s">
        <v>1896</v>
      </c>
      <c r="E931" s="64" t="s">
        <v>16</v>
      </c>
      <c r="F931" s="64" t="s">
        <v>381</v>
      </c>
      <c r="G931" s="64" t="s">
        <v>8883</v>
      </c>
      <c r="H931" s="64" t="s">
        <v>8884</v>
      </c>
    </row>
    <row r="932" spans="1:8" x14ac:dyDescent="0.3">
      <c r="A932" s="64" t="s">
        <v>1653</v>
      </c>
      <c r="B932" s="64" t="s">
        <v>603</v>
      </c>
      <c r="C932" s="64" t="s">
        <v>5157</v>
      </c>
      <c r="D932" s="64" t="s">
        <v>1896</v>
      </c>
      <c r="E932" s="64" t="s">
        <v>16</v>
      </c>
      <c r="F932" s="64" t="s">
        <v>382</v>
      </c>
      <c r="G932" s="64" t="s">
        <v>8885</v>
      </c>
      <c r="H932" s="64" t="s">
        <v>8886</v>
      </c>
    </row>
    <row r="933" spans="1:8" x14ac:dyDescent="0.3">
      <c r="A933" s="64" t="s">
        <v>1654</v>
      </c>
      <c r="B933" s="64" t="s">
        <v>603</v>
      </c>
      <c r="C933" s="64" t="s">
        <v>5157</v>
      </c>
      <c r="D933" s="64" t="s">
        <v>1896</v>
      </c>
      <c r="E933" s="64" t="s">
        <v>16</v>
      </c>
      <c r="F933" s="64" t="s">
        <v>383</v>
      </c>
      <c r="G933" s="64" t="s">
        <v>8887</v>
      </c>
      <c r="H933" s="64" t="s">
        <v>8888</v>
      </c>
    </row>
    <row r="934" spans="1:8" x14ac:dyDescent="0.3">
      <c r="A934" s="64" t="s">
        <v>1655</v>
      </c>
      <c r="B934" s="64" t="s">
        <v>603</v>
      </c>
      <c r="C934" s="64" t="s">
        <v>1517</v>
      </c>
      <c r="D934" s="64" t="s">
        <v>1896</v>
      </c>
      <c r="E934" s="64" t="s">
        <v>20</v>
      </c>
      <c r="F934" s="64" t="s">
        <v>15</v>
      </c>
      <c r="G934" s="64" t="s">
        <v>8889</v>
      </c>
      <c r="H934" s="64" t="s">
        <v>5168</v>
      </c>
    </row>
    <row r="935" spans="1:8" x14ac:dyDescent="0.3">
      <c r="A935" s="64" t="s">
        <v>1656</v>
      </c>
      <c r="B935" s="64" t="s">
        <v>603</v>
      </c>
      <c r="C935" s="64" t="s">
        <v>1517</v>
      </c>
      <c r="D935" s="64" t="s">
        <v>1896</v>
      </c>
      <c r="E935" s="64" t="s">
        <v>16</v>
      </c>
      <c r="F935" s="64" t="s">
        <v>368</v>
      </c>
      <c r="G935" s="64" t="s">
        <v>8890</v>
      </c>
      <c r="H935" s="64" t="s">
        <v>8891</v>
      </c>
    </row>
    <row r="936" spans="1:8" x14ac:dyDescent="0.3">
      <c r="A936" s="64" t="s">
        <v>1657</v>
      </c>
      <c r="B936" s="64" t="s">
        <v>603</v>
      </c>
      <c r="C936" s="64" t="s">
        <v>1517</v>
      </c>
      <c r="D936" s="64" t="s">
        <v>1896</v>
      </c>
      <c r="E936" s="64" t="s">
        <v>16</v>
      </c>
      <c r="F936" s="64" t="s">
        <v>369</v>
      </c>
      <c r="G936" s="64" t="s">
        <v>8892</v>
      </c>
      <c r="H936" s="64" t="s">
        <v>8893</v>
      </c>
    </row>
    <row r="937" spans="1:8" x14ac:dyDescent="0.3">
      <c r="A937" s="64" t="s">
        <v>1658</v>
      </c>
      <c r="B937" s="64" t="s">
        <v>603</v>
      </c>
      <c r="C937" s="64" t="s">
        <v>1517</v>
      </c>
      <c r="D937" s="64" t="s">
        <v>1896</v>
      </c>
      <c r="E937" s="64" t="s">
        <v>16</v>
      </c>
      <c r="F937" s="64" t="s">
        <v>370</v>
      </c>
      <c r="G937" s="64" t="s">
        <v>8894</v>
      </c>
      <c r="H937" s="64" t="s">
        <v>8895</v>
      </c>
    </row>
    <row r="938" spans="1:8" x14ac:dyDescent="0.3">
      <c r="A938" s="64" t="s">
        <v>1659</v>
      </c>
      <c r="B938" s="64" t="s">
        <v>603</v>
      </c>
      <c r="C938" s="64" t="s">
        <v>1517</v>
      </c>
      <c r="D938" s="64" t="s">
        <v>1896</v>
      </c>
      <c r="E938" s="64" t="s">
        <v>16</v>
      </c>
      <c r="F938" s="64" t="s">
        <v>371</v>
      </c>
      <c r="G938" s="64" t="s">
        <v>8896</v>
      </c>
      <c r="H938" s="64" t="s">
        <v>8897</v>
      </c>
    </row>
    <row r="939" spans="1:8" x14ac:dyDescent="0.3">
      <c r="A939" s="64" t="s">
        <v>1660</v>
      </c>
      <c r="B939" s="64" t="s">
        <v>603</v>
      </c>
      <c r="C939" s="64" t="s">
        <v>1517</v>
      </c>
      <c r="D939" s="64" t="s">
        <v>1896</v>
      </c>
      <c r="E939" s="64" t="s">
        <v>16</v>
      </c>
      <c r="F939" s="64" t="s">
        <v>372</v>
      </c>
      <c r="G939" s="64" t="s">
        <v>8898</v>
      </c>
      <c r="H939" s="64" t="s">
        <v>8899</v>
      </c>
    </row>
    <row r="940" spans="1:8" x14ac:dyDescent="0.3">
      <c r="A940" s="64" t="s">
        <v>1661</v>
      </c>
      <c r="B940" s="64" t="s">
        <v>603</v>
      </c>
      <c r="C940" s="64" t="s">
        <v>1517</v>
      </c>
      <c r="D940" s="64" t="s">
        <v>1896</v>
      </c>
      <c r="E940" s="64" t="s">
        <v>16</v>
      </c>
      <c r="F940" s="64" t="s">
        <v>373</v>
      </c>
      <c r="G940" s="64" t="s">
        <v>8900</v>
      </c>
      <c r="H940" s="64" t="s">
        <v>8901</v>
      </c>
    </row>
    <row r="941" spans="1:8" x14ac:dyDescent="0.3">
      <c r="A941" s="64" t="s">
        <v>1662</v>
      </c>
      <c r="B941" s="64" t="s">
        <v>603</v>
      </c>
      <c r="C941" s="64" t="s">
        <v>1517</v>
      </c>
      <c r="D941" s="64" t="s">
        <v>1896</v>
      </c>
      <c r="E941" s="64" t="s">
        <v>16</v>
      </c>
      <c r="F941" s="64" t="s">
        <v>374</v>
      </c>
      <c r="G941" s="64" t="s">
        <v>8902</v>
      </c>
      <c r="H941" s="64" t="s">
        <v>8903</v>
      </c>
    </row>
    <row r="942" spans="1:8" x14ac:dyDescent="0.3">
      <c r="A942" s="64" t="s">
        <v>1663</v>
      </c>
      <c r="B942" s="64" t="s">
        <v>603</v>
      </c>
      <c r="C942" s="64" t="s">
        <v>1517</v>
      </c>
      <c r="D942" s="64" t="s">
        <v>1896</v>
      </c>
      <c r="E942" s="64" t="s">
        <v>16</v>
      </c>
      <c r="F942" s="64" t="s">
        <v>375</v>
      </c>
      <c r="G942" s="64" t="s">
        <v>8904</v>
      </c>
      <c r="H942" s="64" t="s">
        <v>8905</v>
      </c>
    </row>
    <row r="943" spans="1:8" x14ac:dyDescent="0.3">
      <c r="A943" s="64" t="s">
        <v>1664</v>
      </c>
      <c r="B943" s="64" t="s">
        <v>603</v>
      </c>
      <c r="C943" s="64" t="s">
        <v>1517</v>
      </c>
      <c r="D943" s="64" t="s">
        <v>1896</v>
      </c>
      <c r="E943" s="64" t="s">
        <v>16</v>
      </c>
      <c r="F943" s="64" t="s">
        <v>376</v>
      </c>
      <c r="G943" s="64" t="s">
        <v>8906</v>
      </c>
      <c r="H943" s="64" t="s">
        <v>8907</v>
      </c>
    </row>
    <row r="944" spans="1:8" x14ac:dyDescent="0.3">
      <c r="A944" s="64" t="s">
        <v>1665</v>
      </c>
      <c r="B944" s="64" t="s">
        <v>603</v>
      </c>
      <c r="C944" s="64" t="s">
        <v>1517</v>
      </c>
      <c r="D944" s="64" t="s">
        <v>1896</v>
      </c>
      <c r="E944" s="64" t="s">
        <v>16</v>
      </c>
      <c r="F944" s="64" t="s">
        <v>377</v>
      </c>
      <c r="G944" s="64" t="s">
        <v>8908</v>
      </c>
      <c r="H944" s="64" t="s">
        <v>8909</v>
      </c>
    </row>
    <row r="945" spans="1:8" x14ac:dyDescent="0.3">
      <c r="A945" s="64" t="s">
        <v>1666</v>
      </c>
      <c r="B945" s="64" t="s">
        <v>603</v>
      </c>
      <c r="C945" s="64" t="s">
        <v>1517</v>
      </c>
      <c r="D945" s="64" t="s">
        <v>1896</v>
      </c>
      <c r="E945" s="64" t="s">
        <v>16</v>
      </c>
      <c r="F945" s="64" t="s">
        <v>378</v>
      </c>
      <c r="G945" s="64" t="s">
        <v>8910</v>
      </c>
      <c r="H945" s="64" t="s">
        <v>8911</v>
      </c>
    </row>
    <row r="946" spans="1:8" x14ac:dyDescent="0.3">
      <c r="A946" s="64" t="s">
        <v>1667</v>
      </c>
      <c r="B946" s="64" t="s">
        <v>603</v>
      </c>
      <c r="C946" s="64" t="s">
        <v>1517</v>
      </c>
      <c r="D946" s="64" t="s">
        <v>1896</v>
      </c>
      <c r="E946" s="64" t="s">
        <v>16</v>
      </c>
      <c r="F946" s="64" t="s">
        <v>379</v>
      </c>
      <c r="G946" s="64" t="s">
        <v>8912</v>
      </c>
      <c r="H946" s="64" t="s">
        <v>8913</v>
      </c>
    </row>
    <row r="947" spans="1:8" x14ac:dyDescent="0.3">
      <c r="A947" s="64" t="s">
        <v>1668</v>
      </c>
      <c r="B947" s="64" t="s">
        <v>603</v>
      </c>
      <c r="C947" s="64" t="s">
        <v>1517</v>
      </c>
      <c r="D947" s="64" t="s">
        <v>1896</v>
      </c>
      <c r="E947" s="64" t="s">
        <v>16</v>
      </c>
      <c r="F947" s="64" t="s">
        <v>380</v>
      </c>
      <c r="G947" s="64" t="s">
        <v>8914</v>
      </c>
      <c r="H947" s="64" t="s">
        <v>8915</v>
      </c>
    </row>
    <row r="948" spans="1:8" x14ac:dyDescent="0.3">
      <c r="A948" s="64" t="s">
        <v>1669</v>
      </c>
      <c r="B948" s="64" t="s">
        <v>603</v>
      </c>
      <c r="C948" s="64" t="s">
        <v>1517</v>
      </c>
      <c r="D948" s="64" t="s">
        <v>1896</v>
      </c>
      <c r="E948" s="64" t="s">
        <v>16</v>
      </c>
      <c r="F948" s="64" t="s">
        <v>381</v>
      </c>
      <c r="G948" s="64" t="s">
        <v>8916</v>
      </c>
      <c r="H948" s="64" t="s">
        <v>8917</v>
      </c>
    </row>
    <row r="949" spans="1:8" x14ac:dyDescent="0.3">
      <c r="A949" s="64" t="s">
        <v>1670</v>
      </c>
      <c r="B949" s="64" t="s">
        <v>603</v>
      </c>
      <c r="C949" s="64" t="s">
        <v>1517</v>
      </c>
      <c r="D949" s="64" t="s">
        <v>1896</v>
      </c>
      <c r="E949" s="64" t="s">
        <v>16</v>
      </c>
      <c r="F949" s="64" t="s">
        <v>382</v>
      </c>
      <c r="G949" s="64" t="s">
        <v>8918</v>
      </c>
      <c r="H949" s="64" t="s">
        <v>8919</v>
      </c>
    </row>
    <row r="950" spans="1:8" x14ac:dyDescent="0.3">
      <c r="A950" s="64" t="s">
        <v>1671</v>
      </c>
      <c r="B950" s="64" t="s">
        <v>603</v>
      </c>
      <c r="C950" s="64" t="s">
        <v>1517</v>
      </c>
      <c r="D950" s="64" t="s">
        <v>1896</v>
      </c>
      <c r="E950" s="64" t="s">
        <v>16</v>
      </c>
      <c r="F950" s="64" t="s">
        <v>383</v>
      </c>
      <c r="G950" s="64" t="s">
        <v>8920</v>
      </c>
      <c r="H950" s="64" t="s">
        <v>8921</v>
      </c>
    </row>
    <row r="951" spans="1:8" x14ac:dyDescent="0.3">
      <c r="A951" s="64" t="s">
        <v>1672</v>
      </c>
      <c r="B951" s="64" t="s">
        <v>603</v>
      </c>
      <c r="C951" s="64" t="s">
        <v>5155</v>
      </c>
      <c r="D951" s="64" t="s">
        <v>1896</v>
      </c>
      <c r="E951" s="64" t="s">
        <v>20</v>
      </c>
      <c r="F951" s="64" t="s">
        <v>15</v>
      </c>
      <c r="G951" s="64" t="s">
        <v>8922</v>
      </c>
      <c r="H951" s="64" t="s">
        <v>1522</v>
      </c>
    </row>
    <row r="952" spans="1:8" x14ac:dyDescent="0.3">
      <c r="A952" s="64" t="s">
        <v>1673</v>
      </c>
      <c r="B952" s="64" t="s">
        <v>603</v>
      </c>
      <c r="C952" s="64" t="s">
        <v>5155</v>
      </c>
      <c r="D952" s="64" t="s">
        <v>1896</v>
      </c>
      <c r="E952" s="64" t="s">
        <v>16</v>
      </c>
      <c r="F952" s="64" t="s">
        <v>368</v>
      </c>
      <c r="G952" s="64" t="s">
        <v>8923</v>
      </c>
      <c r="H952" s="64" t="s">
        <v>8924</v>
      </c>
    </row>
    <row r="953" spans="1:8" x14ac:dyDescent="0.3">
      <c r="A953" s="64" t="s">
        <v>1674</v>
      </c>
      <c r="B953" s="64" t="s">
        <v>603</v>
      </c>
      <c r="C953" s="64" t="s">
        <v>5155</v>
      </c>
      <c r="D953" s="64" t="s">
        <v>1896</v>
      </c>
      <c r="E953" s="64" t="s">
        <v>16</v>
      </c>
      <c r="F953" s="64" t="s">
        <v>369</v>
      </c>
      <c r="G953" s="64" t="s">
        <v>8925</v>
      </c>
      <c r="H953" s="64" t="s">
        <v>8926</v>
      </c>
    </row>
    <row r="954" spans="1:8" x14ac:dyDescent="0.3">
      <c r="A954" s="64" t="s">
        <v>1675</v>
      </c>
      <c r="B954" s="64" t="s">
        <v>603</v>
      </c>
      <c r="C954" s="64" t="s">
        <v>5155</v>
      </c>
      <c r="D954" s="64" t="s">
        <v>1896</v>
      </c>
      <c r="E954" s="64" t="s">
        <v>16</v>
      </c>
      <c r="F954" s="64" t="s">
        <v>370</v>
      </c>
      <c r="G954" s="64" t="s">
        <v>8927</v>
      </c>
      <c r="H954" s="64" t="s">
        <v>8928</v>
      </c>
    </row>
    <row r="955" spans="1:8" x14ac:dyDescent="0.3">
      <c r="A955" s="64" t="s">
        <v>1676</v>
      </c>
      <c r="B955" s="64" t="s">
        <v>603</v>
      </c>
      <c r="C955" s="64" t="s">
        <v>5155</v>
      </c>
      <c r="D955" s="64" t="s">
        <v>1896</v>
      </c>
      <c r="E955" s="64" t="s">
        <v>16</v>
      </c>
      <c r="F955" s="64" t="s">
        <v>371</v>
      </c>
      <c r="G955" s="64" t="s">
        <v>8929</v>
      </c>
      <c r="H955" s="64" t="s">
        <v>8930</v>
      </c>
    </row>
    <row r="956" spans="1:8" x14ac:dyDescent="0.3">
      <c r="A956" s="64" t="s">
        <v>1677</v>
      </c>
      <c r="B956" s="64" t="s">
        <v>603</v>
      </c>
      <c r="C956" s="64" t="s">
        <v>5155</v>
      </c>
      <c r="D956" s="64" t="s">
        <v>1896</v>
      </c>
      <c r="E956" s="64" t="s">
        <v>16</v>
      </c>
      <c r="F956" s="64" t="s">
        <v>372</v>
      </c>
      <c r="G956" s="64" t="s">
        <v>8931</v>
      </c>
      <c r="H956" s="64" t="s">
        <v>8932</v>
      </c>
    </row>
    <row r="957" spans="1:8" x14ac:dyDescent="0.3">
      <c r="A957" s="64" t="s">
        <v>1678</v>
      </c>
      <c r="B957" s="64" t="s">
        <v>603</v>
      </c>
      <c r="C957" s="64" t="s">
        <v>5155</v>
      </c>
      <c r="D957" s="64" t="s">
        <v>1896</v>
      </c>
      <c r="E957" s="64" t="s">
        <v>16</v>
      </c>
      <c r="F957" s="64" t="s">
        <v>373</v>
      </c>
      <c r="G957" s="64" t="s">
        <v>8933</v>
      </c>
      <c r="H957" s="64" t="s">
        <v>8934</v>
      </c>
    </row>
    <row r="958" spans="1:8" x14ac:dyDescent="0.3">
      <c r="A958" s="64" t="s">
        <v>1679</v>
      </c>
      <c r="B958" s="64" t="s">
        <v>603</v>
      </c>
      <c r="C958" s="64" t="s">
        <v>5155</v>
      </c>
      <c r="D958" s="64" t="s">
        <v>1896</v>
      </c>
      <c r="E958" s="64" t="s">
        <v>16</v>
      </c>
      <c r="F958" s="64" t="s">
        <v>374</v>
      </c>
      <c r="G958" s="64" t="s">
        <v>8935</v>
      </c>
      <c r="H958" s="64" t="s">
        <v>8936</v>
      </c>
    </row>
    <row r="959" spans="1:8" x14ac:dyDescent="0.3">
      <c r="A959" s="64" t="s">
        <v>1680</v>
      </c>
      <c r="B959" s="64" t="s">
        <v>603</v>
      </c>
      <c r="C959" s="64" t="s">
        <v>5155</v>
      </c>
      <c r="D959" s="64" t="s">
        <v>1896</v>
      </c>
      <c r="E959" s="64" t="s">
        <v>16</v>
      </c>
      <c r="F959" s="64" t="s">
        <v>375</v>
      </c>
      <c r="G959" s="64" t="s">
        <v>8937</v>
      </c>
      <c r="H959" s="64" t="s">
        <v>8938</v>
      </c>
    </row>
    <row r="960" spans="1:8" x14ac:dyDescent="0.3">
      <c r="A960" s="64" t="s">
        <v>1681</v>
      </c>
      <c r="B960" s="64" t="s">
        <v>603</v>
      </c>
      <c r="C960" s="64" t="s">
        <v>5155</v>
      </c>
      <c r="D960" s="64" t="s">
        <v>1896</v>
      </c>
      <c r="E960" s="64" t="s">
        <v>16</v>
      </c>
      <c r="F960" s="64" t="s">
        <v>376</v>
      </c>
      <c r="G960" s="64" t="s">
        <v>8939</v>
      </c>
      <c r="H960" s="64" t="s">
        <v>8940</v>
      </c>
    </row>
    <row r="961" spans="1:8" x14ac:dyDescent="0.3">
      <c r="A961" s="64" t="s">
        <v>1682</v>
      </c>
      <c r="B961" s="64" t="s">
        <v>603</v>
      </c>
      <c r="C961" s="64" t="s">
        <v>5155</v>
      </c>
      <c r="D961" s="64" t="s">
        <v>1896</v>
      </c>
      <c r="E961" s="64" t="s">
        <v>16</v>
      </c>
      <c r="F961" s="64" t="s">
        <v>377</v>
      </c>
      <c r="G961" s="64" t="s">
        <v>8941</v>
      </c>
      <c r="H961" s="64" t="s">
        <v>8942</v>
      </c>
    </row>
    <row r="962" spans="1:8" x14ac:dyDescent="0.3">
      <c r="A962" s="64" t="s">
        <v>1683</v>
      </c>
      <c r="B962" s="64" t="s">
        <v>603</v>
      </c>
      <c r="C962" s="64" t="s">
        <v>5155</v>
      </c>
      <c r="D962" s="64" t="s">
        <v>1896</v>
      </c>
      <c r="E962" s="64" t="s">
        <v>16</v>
      </c>
      <c r="F962" s="64" t="s">
        <v>378</v>
      </c>
      <c r="G962" s="64" t="s">
        <v>8943</v>
      </c>
      <c r="H962" s="64" t="s">
        <v>8944</v>
      </c>
    </row>
    <row r="963" spans="1:8" x14ac:dyDescent="0.3">
      <c r="A963" s="64" t="s">
        <v>1684</v>
      </c>
      <c r="B963" s="64" t="s">
        <v>603</v>
      </c>
      <c r="C963" s="64" t="s">
        <v>5155</v>
      </c>
      <c r="D963" s="64" t="s">
        <v>1896</v>
      </c>
      <c r="E963" s="64" t="s">
        <v>16</v>
      </c>
      <c r="F963" s="64" t="s">
        <v>379</v>
      </c>
      <c r="G963" s="64" t="s">
        <v>8945</v>
      </c>
      <c r="H963" s="64" t="s">
        <v>8946</v>
      </c>
    </row>
    <row r="964" spans="1:8" x14ac:dyDescent="0.3">
      <c r="A964" s="64" t="s">
        <v>1685</v>
      </c>
      <c r="B964" s="64" t="s">
        <v>603</v>
      </c>
      <c r="C964" s="64" t="s">
        <v>5155</v>
      </c>
      <c r="D964" s="64" t="s">
        <v>1896</v>
      </c>
      <c r="E964" s="64" t="s">
        <v>16</v>
      </c>
      <c r="F964" s="64" t="s">
        <v>380</v>
      </c>
      <c r="G964" s="64" t="s">
        <v>8947</v>
      </c>
      <c r="H964" s="64" t="s">
        <v>8948</v>
      </c>
    </row>
    <row r="965" spans="1:8" x14ac:dyDescent="0.3">
      <c r="A965" s="64" t="s">
        <v>1686</v>
      </c>
      <c r="B965" s="64" t="s">
        <v>603</v>
      </c>
      <c r="C965" s="64" t="s">
        <v>5155</v>
      </c>
      <c r="D965" s="64" t="s">
        <v>1896</v>
      </c>
      <c r="E965" s="64" t="s">
        <v>16</v>
      </c>
      <c r="F965" s="64" t="s">
        <v>381</v>
      </c>
      <c r="G965" s="64" t="s">
        <v>8949</v>
      </c>
      <c r="H965" s="64" t="s">
        <v>8950</v>
      </c>
    </row>
    <row r="966" spans="1:8" x14ac:dyDescent="0.3">
      <c r="A966" s="64" t="s">
        <v>1687</v>
      </c>
      <c r="B966" s="64" t="s">
        <v>603</v>
      </c>
      <c r="C966" s="64" t="s">
        <v>5155</v>
      </c>
      <c r="D966" s="64" t="s">
        <v>1896</v>
      </c>
      <c r="E966" s="64" t="s">
        <v>16</v>
      </c>
      <c r="F966" s="64" t="s">
        <v>382</v>
      </c>
      <c r="G966" s="64" t="s">
        <v>8951</v>
      </c>
      <c r="H966" s="64" t="s">
        <v>8952</v>
      </c>
    </row>
    <row r="967" spans="1:8" x14ac:dyDescent="0.3">
      <c r="A967" s="64" t="s">
        <v>1688</v>
      </c>
      <c r="B967" s="64" t="s">
        <v>603</v>
      </c>
      <c r="C967" s="64" t="s">
        <v>5155</v>
      </c>
      <c r="D967" s="64" t="s">
        <v>1896</v>
      </c>
      <c r="E967" s="64" t="s">
        <v>16</v>
      </c>
      <c r="F967" s="64" t="s">
        <v>383</v>
      </c>
      <c r="G967" s="64" t="s">
        <v>8953</v>
      </c>
      <c r="H967" s="64" t="s">
        <v>8954</v>
      </c>
    </row>
    <row r="968" spans="1:8" x14ac:dyDescent="0.3">
      <c r="A968" s="64" t="s">
        <v>1689</v>
      </c>
      <c r="B968" s="64" t="s">
        <v>603</v>
      </c>
      <c r="C968" s="64" t="s">
        <v>5158</v>
      </c>
      <c r="D968" s="64" t="s">
        <v>1896</v>
      </c>
      <c r="E968" s="64" t="s">
        <v>20</v>
      </c>
      <c r="F968" s="64" t="s">
        <v>15</v>
      </c>
      <c r="G968" s="64" t="s">
        <v>8955</v>
      </c>
      <c r="H968" s="64" t="s">
        <v>3608</v>
      </c>
    </row>
    <row r="969" spans="1:8" x14ac:dyDescent="0.3">
      <c r="A969" s="64" t="s">
        <v>1690</v>
      </c>
      <c r="B969" s="64" t="s">
        <v>603</v>
      </c>
      <c r="C969" s="64" t="s">
        <v>5158</v>
      </c>
      <c r="D969" s="64" t="s">
        <v>1896</v>
      </c>
      <c r="E969" s="64" t="s">
        <v>16</v>
      </c>
      <c r="F969" s="64" t="s">
        <v>368</v>
      </c>
      <c r="G969" s="64" t="s">
        <v>8956</v>
      </c>
      <c r="H969" s="64" t="s">
        <v>8957</v>
      </c>
    </row>
    <row r="970" spans="1:8" x14ac:dyDescent="0.3">
      <c r="A970" s="64" t="s">
        <v>1691</v>
      </c>
      <c r="B970" s="64" t="s">
        <v>603</v>
      </c>
      <c r="C970" s="64" t="s">
        <v>5158</v>
      </c>
      <c r="D970" s="64" t="s">
        <v>1896</v>
      </c>
      <c r="E970" s="64" t="s">
        <v>16</v>
      </c>
      <c r="F970" s="64" t="s">
        <v>369</v>
      </c>
      <c r="G970" s="64" t="s">
        <v>8958</v>
      </c>
      <c r="H970" s="64" t="s">
        <v>8959</v>
      </c>
    </row>
    <row r="971" spans="1:8" x14ac:dyDescent="0.3">
      <c r="A971" s="64" t="s">
        <v>1692</v>
      </c>
      <c r="B971" s="64" t="s">
        <v>603</v>
      </c>
      <c r="C971" s="64" t="s">
        <v>5158</v>
      </c>
      <c r="D971" s="64" t="s">
        <v>1896</v>
      </c>
      <c r="E971" s="64" t="s">
        <v>16</v>
      </c>
      <c r="F971" s="64" t="s">
        <v>370</v>
      </c>
      <c r="G971" s="64" t="s">
        <v>8960</v>
      </c>
      <c r="H971" s="64" t="s">
        <v>8961</v>
      </c>
    </row>
    <row r="972" spans="1:8" x14ac:dyDescent="0.3">
      <c r="A972" s="64" t="s">
        <v>1693</v>
      </c>
      <c r="B972" s="64" t="s">
        <v>603</v>
      </c>
      <c r="C972" s="64" t="s">
        <v>5158</v>
      </c>
      <c r="D972" s="64" t="s">
        <v>1896</v>
      </c>
      <c r="E972" s="64" t="s">
        <v>16</v>
      </c>
      <c r="F972" s="64" t="s">
        <v>371</v>
      </c>
      <c r="G972" s="64" t="s">
        <v>8962</v>
      </c>
      <c r="H972" s="64" t="s">
        <v>8963</v>
      </c>
    </row>
    <row r="973" spans="1:8" x14ac:dyDescent="0.3">
      <c r="A973" s="64" t="s">
        <v>1694</v>
      </c>
      <c r="B973" s="64" t="s">
        <v>603</v>
      </c>
      <c r="C973" s="64" t="s">
        <v>5158</v>
      </c>
      <c r="D973" s="64" t="s">
        <v>1896</v>
      </c>
      <c r="E973" s="64" t="s">
        <v>16</v>
      </c>
      <c r="F973" s="64" t="s">
        <v>372</v>
      </c>
      <c r="G973" s="64" t="s">
        <v>8964</v>
      </c>
      <c r="H973" s="64" t="s">
        <v>8965</v>
      </c>
    </row>
    <row r="974" spans="1:8" x14ac:dyDescent="0.3">
      <c r="A974" s="64" t="s">
        <v>1695</v>
      </c>
      <c r="B974" s="64" t="s">
        <v>603</v>
      </c>
      <c r="C974" s="64" t="s">
        <v>5158</v>
      </c>
      <c r="D974" s="64" t="s">
        <v>1896</v>
      </c>
      <c r="E974" s="64" t="s">
        <v>16</v>
      </c>
      <c r="F974" s="64" t="s">
        <v>373</v>
      </c>
      <c r="G974" s="64" t="s">
        <v>8966</v>
      </c>
      <c r="H974" s="64" t="s">
        <v>8967</v>
      </c>
    </row>
    <row r="975" spans="1:8" x14ac:dyDescent="0.3">
      <c r="A975" s="64" t="s">
        <v>1696</v>
      </c>
      <c r="B975" s="64" t="s">
        <v>603</v>
      </c>
      <c r="C975" s="64" t="s">
        <v>5158</v>
      </c>
      <c r="D975" s="64" t="s">
        <v>1896</v>
      </c>
      <c r="E975" s="64" t="s">
        <v>16</v>
      </c>
      <c r="F975" s="64" t="s">
        <v>374</v>
      </c>
      <c r="G975" s="64" t="s">
        <v>8968</v>
      </c>
      <c r="H975" s="64" t="s">
        <v>8969</v>
      </c>
    </row>
    <row r="976" spans="1:8" x14ac:dyDescent="0.3">
      <c r="A976" s="64" t="s">
        <v>1697</v>
      </c>
      <c r="B976" s="64" t="s">
        <v>603</v>
      </c>
      <c r="C976" s="64" t="s">
        <v>5158</v>
      </c>
      <c r="D976" s="64" t="s">
        <v>1896</v>
      </c>
      <c r="E976" s="64" t="s">
        <v>16</v>
      </c>
      <c r="F976" s="64" t="s">
        <v>375</v>
      </c>
      <c r="G976" s="64" t="s">
        <v>8970</v>
      </c>
      <c r="H976" s="64" t="s">
        <v>8971</v>
      </c>
    </row>
    <row r="977" spans="1:8" x14ac:dyDescent="0.3">
      <c r="A977" s="64" t="s">
        <v>1698</v>
      </c>
      <c r="B977" s="64" t="s">
        <v>603</v>
      </c>
      <c r="C977" s="64" t="s">
        <v>5158</v>
      </c>
      <c r="D977" s="64" t="s">
        <v>1896</v>
      </c>
      <c r="E977" s="64" t="s">
        <v>16</v>
      </c>
      <c r="F977" s="64" t="s">
        <v>376</v>
      </c>
      <c r="G977" s="64" t="s">
        <v>8972</v>
      </c>
      <c r="H977" s="64" t="s">
        <v>8973</v>
      </c>
    </row>
    <row r="978" spans="1:8" x14ac:dyDescent="0.3">
      <c r="A978" s="64" t="s">
        <v>1699</v>
      </c>
      <c r="B978" s="64" t="s">
        <v>603</v>
      </c>
      <c r="C978" s="64" t="s">
        <v>5158</v>
      </c>
      <c r="D978" s="64" t="s">
        <v>1896</v>
      </c>
      <c r="E978" s="64" t="s">
        <v>16</v>
      </c>
      <c r="F978" s="64" t="s">
        <v>377</v>
      </c>
      <c r="G978" s="64" t="s">
        <v>8974</v>
      </c>
      <c r="H978" s="64" t="s">
        <v>8975</v>
      </c>
    </row>
    <row r="979" spans="1:8" x14ac:dyDescent="0.3">
      <c r="A979" s="64" t="s">
        <v>1700</v>
      </c>
      <c r="B979" s="64" t="s">
        <v>603</v>
      </c>
      <c r="C979" s="64" t="s">
        <v>5158</v>
      </c>
      <c r="D979" s="64" t="s">
        <v>1896</v>
      </c>
      <c r="E979" s="64" t="s">
        <v>16</v>
      </c>
      <c r="F979" s="64" t="s">
        <v>378</v>
      </c>
      <c r="G979" s="64" t="s">
        <v>8976</v>
      </c>
      <c r="H979" s="64" t="s">
        <v>8977</v>
      </c>
    </row>
    <row r="980" spans="1:8" x14ac:dyDescent="0.3">
      <c r="A980" s="64" t="s">
        <v>1701</v>
      </c>
      <c r="B980" s="64" t="s">
        <v>603</v>
      </c>
      <c r="C980" s="64" t="s">
        <v>5158</v>
      </c>
      <c r="D980" s="64" t="s">
        <v>1896</v>
      </c>
      <c r="E980" s="64" t="s">
        <v>16</v>
      </c>
      <c r="F980" s="64" t="s">
        <v>379</v>
      </c>
      <c r="G980" s="64" t="s">
        <v>8978</v>
      </c>
      <c r="H980" s="64" t="s">
        <v>8979</v>
      </c>
    </row>
    <row r="981" spans="1:8" x14ac:dyDescent="0.3">
      <c r="A981" s="64" t="s">
        <v>1702</v>
      </c>
      <c r="B981" s="64" t="s">
        <v>603</v>
      </c>
      <c r="C981" s="64" t="s">
        <v>5158</v>
      </c>
      <c r="D981" s="64" t="s">
        <v>1896</v>
      </c>
      <c r="E981" s="64" t="s">
        <v>16</v>
      </c>
      <c r="F981" s="64" t="s">
        <v>380</v>
      </c>
      <c r="G981" s="64" t="s">
        <v>8980</v>
      </c>
      <c r="H981" s="64" t="s">
        <v>8981</v>
      </c>
    </row>
    <row r="982" spans="1:8" x14ac:dyDescent="0.3">
      <c r="A982" s="64" t="s">
        <v>1703</v>
      </c>
      <c r="B982" s="64" t="s">
        <v>603</v>
      </c>
      <c r="C982" s="64" t="s">
        <v>5158</v>
      </c>
      <c r="D982" s="64" t="s">
        <v>1896</v>
      </c>
      <c r="E982" s="64" t="s">
        <v>16</v>
      </c>
      <c r="F982" s="64" t="s">
        <v>381</v>
      </c>
      <c r="G982" s="64" t="s">
        <v>8982</v>
      </c>
      <c r="H982" s="64" t="s">
        <v>8983</v>
      </c>
    </row>
    <row r="983" spans="1:8" x14ac:dyDescent="0.3">
      <c r="A983" s="64" t="s">
        <v>1704</v>
      </c>
      <c r="B983" s="64" t="s">
        <v>603</v>
      </c>
      <c r="C983" s="64" t="s">
        <v>5158</v>
      </c>
      <c r="D983" s="64" t="s">
        <v>1896</v>
      </c>
      <c r="E983" s="64" t="s">
        <v>16</v>
      </c>
      <c r="F983" s="64" t="s">
        <v>382</v>
      </c>
      <c r="G983" s="64" t="s">
        <v>8984</v>
      </c>
      <c r="H983" s="64" t="s">
        <v>8985</v>
      </c>
    </row>
    <row r="984" spans="1:8" x14ac:dyDescent="0.3">
      <c r="A984" s="64" t="s">
        <v>1705</v>
      </c>
      <c r="B984" s="64" t="s">
        <v>603</v>
      </c>
      <c r="C984" s="64" t="s">
        <v>5158</v>
      </c>
      <c r="D984" s="64" t="s">
        <v>1896</v>
      </c>
      <c r="E984" s="64" t="s">
        <v>16</v>
      </c>
      <c r="F984" s="64" t="s">
        <v>383</v>
      </c>
      <c r="G984" s="64" t="s">
        <v>8986</v>
      </c>
      <c r="H984" s="64" t="s">
        <v>8987</v>
      </c>
    </row>
    <row r="985" spans="1:8" x14ac:dyDescent="0.3">
      <c r="A985" s="64" t="s">
        <v>1706</v>
      </c>
      <c r="B985" s="64" t="s">
        <v>459</v>
      </c>
      <c r="C985" s="64" t="s">
        <v>946</v>
      </c>
      <c r="D985" s="64" t="s">
        <v>1897</v>
      </c>
      <c r="E985" s="64" t="s">
        <v>20</v>
      </c>
      <c r="F985" s="64" t="s">
        <v>15</v>
      </c>
      <c r="G985" s="64" t="s">
        <v>8988</v>
      </c>
      <c r="H985" s="64" t="s">
        <v>1548</v>
      </c>
    </row>
    <row r="986" spans="1:8" x14ac:dyDescent="0.3">
      <c r="A986" s="64" t="s">
        <v>1707</v>
      </c>
      <c r="B986" s="64" t="s">
        <v>459</v>
      </c>
      <c r="C986" s="64" t="s">
        <v>946</v>
      </c>
      <c r="D986" s="64" t="s">
        <v>1897</v>
      </c>
      <c r="E986" s="64" t="s">
        <v>16</v>
      </c>
      <c r="F986" s="64" t="s">
        <v>368</v>
      </c>
      <c r="G986" s="64" t="s">
        <v>8989</v>
      </c>
      <c r="H986" s="64" t="s">
        <v>8990</v>
      </c>
    </row>
    <row r="987" spans="1:8" x14ac:dyDescent="0.3">
      <c r="A987" s="64" t="s">
        <v>1708</v>
      </c>
      <c r="B987" s="64" t="s">
        <v>459</v>
      </c>
      <c r="C987" s="64" t="s">
        <v>946</v>
      </c>
      <c r="D987" s="64" t="s">
        <v>1897</v>
      </c>
      <c r="E987" s="64" t="s">
        <v>16</v>
      </c>
      <c r="F987" s="64" t="s">
        <v>369</v>
      </c>
      <c r="G987" s="64" t="s">
        <v>8991</v>
      </c>
      <c r="H987" s="64" t="s">
        <v>8992</v>
      </c>
    </row>
    <row r="988" spans="1:8" x14ac:dyDescent="0.3">
      <c r="A988" s="64" t="s">
        <v>1709</v>
      </c>
      <c r="B988" s="64" t="s">
        <v>459</v>
      </c>
      <c r="C988" s="64" t="s">
        <v>946</v>
      </c>
      <c r="D988" s="64" t="s">
        <v>1897</v>
      </c>
      <c r="E988" s="64" t="s">
        <v>16</v>
      </c>
      <c r="F988" s="64" t="s">
        <v>370</v>
      </c>
      <c r="G988" s="64" t="s">
        <v>8993</v>
      </c>
      <c r="H988" s="64" t="s">
        <v>8994</v>
      </c>
    </row>
    <row r="989" spans="1:8" x14ac:dyDescent="0.3">
      <c r="A989" s="64" t="s">
        <v>1710</v>
      </c>
      <c r="B989" s="64" t="s">
        <v>459</v>
      </c>
      <c r="C989" s="64" t="s">
        <v>946</v>
      </c>
      <c r="D989" s="64" t="s">
        <v>1897</v>
      </c>
      <c r="E989" s="64" t="s">
        <v>16</v>
      </c>
      <c r="F989" s="64" t="s">
        <v>371</v>
      </c>
      <c r="G989" s="64" t="s">
        <v>8995</v>
      </c>
      <c r="H989" s="64" t="s">
        <v>8996</v>
      </c>
    </row>
    <row r="990" spans="1:8" x14ac:dyDescent="0.3">
      <c r="A990" s="64" t="s">
        <v>1711</v>
      </c>
      <c r="B990" s="64" t="s">
        <v>459</v>
      </c>
      <c r="C990" s="64" t="s">
        <v>946</v>
      </c>
      <c r="D990" s="64" t="s">
        <v>1897</v>
      </c>
      <c r="E990" s="64" t="s">
        <v>16</v>
      </c>
      <c r="F990" s="64" t="s">
        <v>372</v>
      </c>
      <c r="G990" s="64" t="s">
        <v>8997</v>
      </c>
      <c r="H990" s="64" t="s">
        <v>8998</v>
      </c>
    </row>
    <row r="991" spans="1:8" x14ac:dyDescent="0.3">
      <c r="A991" s="64" t="s">
        <v>1712</v>
      </c>
      <c r="B991" s="64" t="s">
        <v>459</v>
      </c>
      <c r="C991" s="64" t="s">
        <v>946</v>
      </c>
      <c r="D991" s="64" t="s">
        <v>1897</v>
      </c>
      <c r="E991" s="64" t="s">
        <v>16</v>
      </c>
      <c r="F991" s="64" t="s">
        <v>373</v>
      </c>
      <c r="G991" s="64" t="s">
        <v>8999</v>
      </c>
      <c r="H991" s="64" t="s">
        <v>9000</v>
      </c>
    </row>
    <row r="992" spans="1:8" x14ac:dyDescent="0.3">
      <c r="A992" s="64" t="s">
        <v>1713</v>
      </c>
      <c r="B992" s="64" t="s">
        <v>459</v>
      </c>
      <c r="C992" s="64" t="s">
        <v>946</v>
      </c>
      <c r="D992" s="64" t="s">
        <v>1897</v>
      </c>
      <c r="E992" s="64" t="s">
        <v>16</v>
      </c>
      <c r="F992" s="64" t="s">
        <v>374</v>
      </c>
      <c r="G992" s="64" t="s">
        <v>9001</v>
      </c>
      <c r="H992" s="64" t="s">
        <v>9002</v>
      </c>
    </row>
    <row r="993" spans="1:8" x14ac:dyDescent="0.3">
      <c r="A993" s="64" t="s">
        <v>1714</v>
      </c>
      <c r="B993" s="64" t="s">
        <v>459</v>
      </c>
      <c r="C993" s="64" t="s">
        <v>946</v>
      </c>
      <c r="D993" s="64" t="s">
        <v>1897</v>
      </c>
      <c r="E993" s="64" t="s">
        <v>16</v>
      </c>
      <c r="F993" s="64" t="s">
        <v>375</v>
      </c>
      <c r="G993" s="64" t="s">
        <v>9003</v>
      </c>
      <c r="H993" s="64" t="s">
        <v>9004</v>
      </c>
    </row>
    <row r="994" spans="1:8" x14ac:dyDescent="0.3">
      <c r="A994" s="64" t="s">
        <v>1715</v>
      </c>
      <c r="B994" s="64" t="s">
        <v>459</v>
      </c>
      <c r="C994" s="64" t="s">
        <v>946</v>
      </c>
      <c r="D994" s="64" t="s">
        <v>1897</v>
      </c>
      <c r="E994" s="64" t="s">
        <v>16</v>
      </c>
      <c r="F994" s="64" t="s">
        <v>376</v>
      </c>
      <c r="G994" s="64" t="s">
        <v>9005</v>
      </c>
      <c r="H994" s="64" t="s">
        <v>9006</v>
      </c>
    </row>
    <row r="995" spans="1:8" x14ac:dyDescent="0.3">
      <c r="A995" s="64" t="s">
        <v>1716</v>
      </c>
      <c r="B995" s="64" t="s">
        <v>459</v>
      </c>
      <c r="C995" s="64" t="s">
        <v>946</v>
      </c>
      <c r="D995" s="64" t="s">
        <v>1897</v>
      </c>
      <c r="E995" s="64" t="s">
        <v>16</v>
      </c>
      <c r="F995" s="64" t="s">
        <v>377</v>
      </c>
      <c r="G995" s="64" t="s">
        <v>9007</v>
      </c>
      <c r="H995" s="64" t="s">
        <v>9008</v>
      </c>
    </row>
    <row r="996" spans="1:8" x14ac:dyDescent="0.3">
      <c r="A996" s="64" t="s">
        <v>1717</v>
      </c>
      <c r="B996" s="64" t="s">
        <v>459</v>
      </c>
      <c r="C996" s="64" t="s">
        <v>946</v>
      </c>
      <c r="D996" s="64" t="s">
        <v>1897</v>
      </c>
      <c r="E996" s="64" t="s">
        <v>16</v>
      </c>
      <c r="F996" s="64" t="s">
        <v>378</v>
      </c>
      <c r="G996" s="64" t="s">
        <v>9009</v>
      </c>
      <c r="H996" s="64" t="s">
        <v>9010</v>
      </c>
    </row>
    <row r="997" spans="1:8" x14ac:dyDescent="0.3">
      <c r="A997" s="64" t="s">
        <v>1718</v>
      </c>
      <c r="B997" s="64" t="s">
        <v>459</v>
      </c>
      <c r="C997" s="64" t="s">
        <v>946</v>
      </c>
      <c r="D997" s="64" t="s">
        <v>1897</v>
      </c>
      <c r="E997" s="64" t="s">
        <v>16</v>
      </c>
      <c r="F997" s="64" t="s">
        <v>379</v>
      </c>
      <c r="G997" s="64" t="s">
        <v>9011</v>
      </c>
      <c r="H997" s="64" t="s">
        <v>9012</v>
      </c>
    </row>
    <row r="998" spans="1:8" x14ac:dyDescent="0.3">
      <c r="A998" s="64" t="s">
        <v>1719</v>
      </c>
      <c r="B998" s="64" t="s">
        <v>459</v>
      </c>
      <c r="C998" s="64" t="s">
        <v>946</v>
      </c>
      <c r="D998" s="64" t="s">
        <v>1897</v>
      </c>
      <c r="E998" s="64" t="s">
        <v>16</v>
      </c>
      <c r="F998" s="64" t="s">
        <v>380</v>
      </c>
      <c r="G998" s="64" t="s">
        <v>9013</v>
      </c>
      <c r="H998" s="64" t="s">
        <v>9014</v>
      </c>
    </row>
    <row r="999" spans="1:8" x14ac:dyDescent="0.3">
      <c r="A999" s="64" t="s">
        <v>1720</v>
      </c>
      <c r="B999" s="64" t="s">
        <v>459</v>
      </c>
      <c r="C999" s="64" t="s">
        <v>946</v>
      </c>
      <c r="D999" s="64" t="s">
        <v>1897</v>
      </c>
      <c r="E999" s="64" t="s">
        <v>16</v>
      </c>
      <c r="F999" s="64" t="s">
        <v>381</v>
      </c>
      <c r="G999" s="64" t="s">
        <v>9015</v>
      </c>
      <c r="H999" s="64" t="s">
        <v>9016</v>
      </c>
    </row>
    <row r="1000" spans="1:8" x14ac:dyDescent="0.3">
      <c r="A1000" s="64" t="s">
        <v>1721</v>
      </c>
      <c r="B1000" s="64" t="s">
        <v>459</v>
      </c>
      <c r="C1000" s="64" t="s">
        <v>946</v>
      </c>
      <c r="D1000" s="64" t="s">
        <v>1897</v>
      </c>
      <c r="E1000" s="64" t="s">
        <v>16</v>
      </c>
      <c r="F1000" s="64" t="s">
        <v>382</v>
      </c>
      <c r="G1000" s="64" t="s">
        <v>9017</v>
      </c>
      <c r="H1000" s="64" t="s">
        <v>9018</v>
      </c>
    </row>
    <row r="1001" spans="1:8" x14ac:dyDescent="0.3">
      <c r="A1001" s="64" t="s">
        <v>1722</v>
      </c>
      <c r="B1001" s="64" t="s">
        <v>459</v>
      </c>
      <c r="C1001" s="64" t="s">
        <v>946</v>
      </c>
      <c r="D1001" s="64" t="s">
        <v>1897</v>
      </c>
      <c r="E1001" s="64" t="s">
        <v>16</v>
      </c>
      <c r="F1001" s="64" t="s">
        <v>383</v>
      </c>
      <c r="G1001" s="64" t="s">
        <v>9019</v>
      </c>
      <c r="H1001" s="64" t="s">
        <v>9020</v>
      </c>
    </row>
    <row r="1002" spans="1:8" x14ac:dyDescent="0.3">
      <c r="A1002" s="64" t="s">
        <v>1723</v>
      </c>
      <c r="B1002" s="64" t="s">
        <v>459</v>
      </c>
      <c r="C1002" s="64" t="s">
        <v>946</v>
      </c>
      <c r="D1002" s="64" t="s">
        <v>1897</v>
      </c>
      <c r="E1002" s="64" t="s">
        <v>20</v>
      </c>
      <c r="F1002" s="64" t="s">
        <v>15</v>
      </c>
      <c r="G1002" s="64" t="s">
        <v>9021</v>
      </c>
      <c r="H1002" s="64" t="s">
        <v>1834</v>
      </c>
    </row>
    <row r="1003" spans="1:8" x14ac:dyDescent="0.3">
      <c r="A1003" s="64" t="s">
        <v>1724</v>
      </c>
      <c r="B1003" s="64" t="s">
        <v>459</v>
      </c>
      <c r="C1003" s="64" t="s">
        <v>946</v>
      </c>
      <c r="D1003" s="64" t="s">
        <v>1897</v>
      </c>
      <c r="E1003" s="64" t="s">
        <v>16</v>
      </c>
      <c r="F1003" s="64" t="s">
        <v>368</v>
      </c>
      <c r="G1003" s="64" t="s">
        <v>9022</v>
      </c>
      <c r="H1003" s="64" t="s">
        <v>9023</v>
      </c>
    </row>
    <row r="1004" spans="1:8" x14ac:dyDescent="0.3">
      <c r="A1004" s="64" t="s">
        <v>1725</v>
      </c>
      <c r="B1004" s="64" t="s">
        <v>459</v>
      </c>
      <c r="C1004" s="64" t="s">
        <v>946</v>
      </c>
      <c r="D1004" s="64" t="s">
        <v>1897</v>
      </c>
      <c r="E1004" s="64" t="s">
        <v>16</v>
      </c>
      <c r="F1004" s="64" t="s">
        <v>369</v>
      </c>
      <c r="G1004" s="64" t="s">
        <v>9024</v>
      </c>
      <c r="H1004" s="64" t="s">
        <v>9025</v>
      </c>
    </row>
    <row r="1005" spans="1:8" x14ac:dyDescent="0.3">
      <c r="A1005" s="64" t="s">
        <v>1726</v>
      </c>
      <c r="B1005" s="64" t="s">
        <v>459</v>
      </c>
      <c r="C1005" s="64" t="s">
        <v>946</v>
      </c>
      <c r="D1005" s="64" t="s">
        <v>1897</v>
      </c>
      <c r="E1005" s="64" t="s">
        <v>16</v>
      </c>
      <c r="F1005" s="64" t="s">
        <v>370</v>
      </c>
      <c r="G1005" s="64" t="s">
        <v>9026</v>
      </c>
      <c r="H1005" s="64" t="s">
        <v>9027</v>
      </c>
    </row>
    <row r="1006" spans="1:8" x14ac:dyDescent="0.3">
      <c r="A1006" s="64" t="s">
        <v>1727</v>
      </c>
      <c r="B1006" s="64" t="s">
        <v>459</v>
      </c>
      <c r="C1006" s="64" t="s">
        <v>946</v>
      </c>
      <c r="D1006" s="64" t="s">
        <v>1897</v>
      </c>
      <c r="E1006" s="64" t="s">
        <v>16</v>
      </c>
      <c r="F1006" s="64" t="s">
        <v>371</v>
      </c>
      <c r="G1006" s="64" t="s">
        <v>9028</v>
      </c>
      <c r="H1006" s="64" t="s">
        <v>9029</v>
      </c>
    </row>
    <row r="1007" spans="1:8" x14ac:dyDescent="0.3">
      <c r="A1007" s="64" t="s">
        <v>1728</v>
      </c>
      <c r="B1007" s="64" t="s">
        <v>459</v>
      </c>
      <c r="C1007" s="64" t="s">
        <v>946</v>
      </c>
      <c r="D1007" s="64" t="s">
        <v>1897</v>
      </c>
      <c r="E1007" s="64" t="s">
        <v>16</v>
      </c>
      <c r="F1007" s="64" t="s">
        <v>372</v>
      </c>
      <c r="G1007" s="64" t="s">
        <v>9030</v>
      </c>
      <c r="H1007" s="64" t="s">
        <v>9031</v>
      </c>
    </row>
    <row r="1008" spans="1:8" x14ac:dyDescent="0.3">
      <c r="A1008" s="64" t="s">
        <v>1729</v>
      </c>
      <c r="B1008" s="64" t="s">
        <v>459</v>
      </c>
      <c r="C1008" s="64" t="s">
        <v>946</v>
      </c>
      <c r="D1008" s="64" t="s">
        <v>1897</v>
      </c>
      <c r="E1008" s="64" t="s">
        <v>16</v>
      </c>
      <c r="F1008" s="64" t="s">
        <v>373</v>
      </c>
      <c r="G1008" s="64" t="s">
        <v>9032</v>
      </c>
      <c r="H1008" s="64" t="s">
        <v>9033</v>
      </c>
    </row>
    <row r="1009" spans="1:8" x14ac:dyDescent="0.3">
      <c r="A1009" s="64" t="s">
        <v>1730</v>
      </c>
      <c r="B1009" s="64" t="s">
        <v>459</v>
      </c>
      <c r="C1009" s="64" t="s">
        <v>946</v>
      </c>
      <c r="D1009" s="64" t="s">
        <v>1897</v>
      </c>
      <c r="E1009" s="64" t="s">
        <v>16</v>
      </c>
      <c r="F1009" s="64" t="s">
        <v>374</v>
      </c>
      <c r="G1009" s="64" t="s">
        <v>9034</v>
      </c>
      <c r="H1009" s="64" t="s">
        <v>9035</v>
      </c>
    </row>
    <row r="1010" spans="1:8" x14ac:dyDescent="0.3">
      <c r="A1010" s="64" t="s">
        <v>1731</v>
      </c>
      <c r="B1010" s="64" t="s">
        <v>459</v>
      </c>
      <c r="C1010" s="64" t="s">
        <v>946</v>
      </c>
      <c r="D1010" s="64" t="s">
        <v>1897</v>
      </c>
      <c r="E1010" s="64" t="s">
        <v>16</v>
      </c>
      <c r="F1010" s="64" t="s">
        <v>375</v>
      </c>
      <c r="G1010" s="64" t="s">
        <v>9036</v>
      </c>
      <c r="H1010" s="64" t="s">
        <v>9037</v>
      </c>
    </row>
    <row r="1011" spans="1:8" x14ac:dyDescent="0.3">
      <c r="A1011" s="64" t="s">
        <v>1732</v>
      </c>
      <c r="B1011" s="64" t="s">
        <v>459</v>
      </c>
      <c r="C1011" s="64" t="s">
        <v>946</v>
      </c>
      <c r="D1011" s="64" t="s">
        <v>1897</v>
      </c>
      <c r="E1011" s="64" t="s">
        <v>16</v>
      </c>
      <c r="F1011" s="64" t="s">
        <v>376</v>
      </c>
      <c r="G1011" s="64" t="s">
        <v>9038</v>
      </c>
      <c r="H1011" s="64" t="s">
        <v>9039</v>
      </c>
    </row>
    <row r="1012" spans="1:8" x14ac:dyDescent="0.3">
      <c r="A1012" s="64" t="s">
        <v>1733</v>
      </c>
      <c r="B1012" s="64" t="s">
        <v>459</v>
      </c>
      <c r="C1012" s="64" t="s">
        <v>946</v>
      </c>
      <c r="D1012" s="64" t="s">
        <v>1897</v>
      </c>
      <c r="E1012" s="64" t="s">
        <v>16</v>
      </c>
      <c r="F1012" s="64" t="s">
        <v>377</v>
      </c>
      <c r="G1012" s="64" t="s">
        <v>9040</v>
      </c>
      <c r="H1012" s="64" t="s">
        <v>9041</v>
      </c>
    </row>
    <row r="1013" spans="1:8" x14ac:dyDescent="0.3">
      <c r="A1013" s="64" t="s">
        <v>1734</v>
      </c>
      <c r="B1013" s="64" t="s">
        <v>459</v>
      </c>
      <c r="C1013" s="64" t="s">
        <v>946</v>
      </c>
      <c r="D1013" s="64" t="s">
        <v>1897</v>
      </c>
      <c r="E1013" s="64" t="s">
        <v>16</v>
      </c>
      <c r="F1013" s="64" t="s">
        <v>378</v>
      </c>
      <c r="G1013" s="64" t="s">
        <v>9042</v>
      </c>
      <c r="H1013" s="64" t="s">
        <v>9043</v>
      </c>
    </row>
    <row r="1014" spans="1:8" x14ac:dyDescent="0.3">
      <c r="A1014" s="64" t="s">
        <v>1735</v>
      </c>
      <c r="B1014" s="64" t="s">
        <v>459</v>
      </c>
      <c r="C1014" s="64" t="s">
        <v>946</v>
      </c>
      <c r="D1014" s="64" t="s">
        <v>1897</v>
      </c>
      <c r="E1014" s="64" t="s">
        <v>16</v>
      </c>
      <c r="F1014" s="64" t="s">
        <v>379</v>
      </c>
      <c r="G1014" s="64" t="s">
        <v>9044</v>
      </c>
      <c r="H1014" s="64" t="s">
        <v>9045</v>
      </c>
    </row>
    <row r="1015" spans="1:8" x14ac:dyDescent="0.3">
      <c r="A1015" s="64" t="s">
        <v>1736</v>
      </c>
      <c r="B1015" s="64" t="s">
        <v>459</v>
      </c>
      <c r="C1015" s="64" t="s">
        <v>946</v>
      </c>
      <c r="D1015" s="64" t="s">
        <v>1897</v>
      </c>
      <c r="E1015" s="64" t="s">
        <v>16</v>
      </c>
      <c r="F1015" s="64" t="s">
        <v>380</v>
      </c>
      <c r="G1015" s="64" t="s">
        <v>9046</v>
      </c>
      <c r="H1015" s="64" t="s">
        <v>9047</v>
      </c>
    </row>
    <row r="1016" spans="1:8" x14ac:dyDescent="0.3">
      <c r="A1016" s="64" t="s">
        <v>1737</v>
      </c>
      <c r="B1016" s="64" t="s">
        <v>459</v>
      </c>
      <c r="C1016" s="64" t="s">
        <v>946</v>
      </c>
      <c r="D1016" s="64" t="s">
        <v>1897</v>
      </c>
      <c r="E1016" s="64" t="s">
        <v>16</v>
      </c>
      <c r="F1016" s="64" t="s">
        <v>381</v>
      </c>
      <c r="G1016" s="64" t="s">
        <v>9048</v>
      </c>
      <c r="H1016" s="64" t="s">
        <v>9049</v>
      </c>
    </row>
    <row r="1017" spans="1:8" x14ac:dyDescent="0.3">
      <c r="A1017" s="64" t="s">
        <v>1738</v>
      </c>
      <c r="B1017" s="64" t="s">
        <v>459</v>
      </c>
      <c r="C1017" s="64" t="s">
        <v>946</v>
      </c>
      <c r="D1017" s="64" t="s">
        <v>1897</v>
      </c>
      <c r="E1017" s="64" t="s">
        <v>16</v>
      </c>
      <c r="F1017" s="64" t="s">
        <v>382</v>
      </c>
      <c r="G1017" s="64" t="s">
        <v>9050</v>
      </c>
      <c r="H1017" s="64" t="s">
        <v>9051</v>
      </c>
    </row>
    <row r="1018" spans="1:8" x14ac:dyDescent="0.3">
      <c r="A1018" s="64" t="s">
        <v>1739</v>
      </c>
      <c r="B1018" s="64" t="s">
        <v>459</v>
      </c>
      <c r="C1018" s="64" t="s">
        <v>946</v>
      </c>
      <c r="D1018" s="64" t="s">
        <v>1897</v>
      </c>
      <c r="E1018" s="64" t="s">
        <v>16</v>
      </c>
      <c r="F1018" s="64" t="s">
        <v>383</v>
      </c>
      <c r="G1018" s="64" t="s">
        <v>9052</v>
      </c>
      <c r="H1018" s="64" t="s">
        <v>9053</v>
      </c>
    </row>
    <row r="1019" spans="1:8" x14ac:dyDescent="0.3">
      <c r="A1019" s="64" t="s">
        <v>1740</v>
      </c>
      <c r="B1019" s="64" t="s">
        <v>568</v>
      </c>
      <c r="C1019" s="64" t="s">
        <v>948</v>
      </c>
      <c r="D1019" s="64" t="s">
        <v>1898</v>
      </c>
      <c r="E1019" s="64" t="s">
        <v>20</v>
      </c>
      <c r="F1019" s="64" t="s">
        <v>15</v>
      </c>
      <c r="G1019" s="64" t="s">
        <v>9054</v>
      </c>
      <c r="H1019" s="64" t="s">
        <v>1836</v>
      </c>
    </row>
    <row r="1020" spans="1:8" x14ac:dyDescent="0.3">
      <c r="A1020" s="64" t="s">
        <v>1741</v>
      </c>
      <c r="B1020" s="64" t="s">
        <v>568</v>
      </c>
      <c r="C1020" s="64" t="s">
        <v>948</v>
      </c>
      <c r="D1020" s="64" t="s">
        <v>1898</v>
      </c>
      <c r="E1020" s="64" t="s">
        <v>16</v>
      </c>
      <c r="F1020" s="64" t="s">
        <v>368</v>
      </c>
      <c r="G1020" s="64" t="s">
        <v>9055</v>
      </c>
      <c r="H1020" s="64" t="s">
        <v>9023</v>
      </c>
    </row>
    <row r="1021" spans="1:8" x14ac:dyDescent="0.3">
      <c r="A1021" s="64" t="s">
        <v>1742</v>
      </c>
      <c r="B1021" s="64" t="s">
        <v>568</v>
      </c>
      <c r="C1021" s="64" t="s">
        <v>948</v>
      </c>
      <c r="D1021" s="64" t="s">
        <v>1898</v>
      </c>
      <c r="E1021" s="64" t="s">
        <v>16</v>
      </c>
      <c r="F1021" s="64" t="s">
        <v>369</v>
      </c>
      <c r="G1021" s="64" t="s">
        <v>9056</v>
      </c>
      <c r="H1021" s="64" t="s">
        <v>9025</v>
      </c>
    </row>
    <row r="1022" spans="1:8" x14ac:dyDescent="0.3">
      <c r="A1022" s="64" t="s">
        <v>1743</v>
      </c>
      <c r="B1022" s="64" t="s">
        <v>568</v>
      </c>
      <c r="C1022" s="64" t="s">
        <v>948</v>
      </c>
      <c r="D1022" s="64" t="s">
        <v>1898</v>
      </c>
      <c r="E1022" s="64" t="s">
        <v>16</v>
      </c>
      <c r="F1022" s="64" t="s">
        <v>370</v>
      </c>
      <c r="G1022" s="64" t="s">
        <v>9057</v>
      </c>
      <c r="H1022" s="64" t="s">
        <v>9027</v>
      </c>
    </row>
    <row r="1023" spans="1:8" x14ac:dyDescent="0.3">
      <c r="A1023" s="64" t="s">
        <v>1744</v>
      </c>
      <c r="B1023" s="64" t="s">
        <v>568</v>
      </c>
      <c r="C1023" s="64" t="s">
        <v>948</v>
      </c>
      <c r="D1023" s="64" t="s">
        <v>1898</v>
      </c>
      <c r="E1023" s="64" t="s">
        <v>16</v>
      </c>
      <c r="F1023" s="64" t="s">
        <v>371</v>
      </c>
      <c r="G1023" s="64" t="s">
        <v>9058</v>
      </c>
      <c r="H1023" s="64" t="s">
        <v>9029</v>
      </c>
    </row>
    <row r="1024" spans="1:8" x14ac:dyDescent="0.3">
      <c r="A1024" s="64" t="s">
        <v>1745</v>
      </c>
      <c r="B1024" s="64" t="s">
        <v>568</v>
      </c>
      <c r="C1024" s="64" t="s">
        <v>948</v>
      </c>
      <c r="D1024" s="64" t="s">
        <v>1898</v>
      </c>
      <c r="E1024" s="64" t="s">
        <v>16</v>
      </c>
      <c r="F1024" s="64" t="s">
        <v>372</v>
      </c>
      <c r="G1024" s="64" t="s">
        <v>9059</v>
      </c>
      <c r="H1024" s="64" t="s">
        <v>9031</v>
      </c>
    </row>
    <row r="1025" spans="1:8" x14ac:dyDescent="0.3">
      <c r="A1025" s="64" t="s">
        <v>1746</v>
      </c>
      <c r="B1025" s="64" t="s">
        <v>568</v>
      </c>
      <c r="C1025" s="64" t="s">
        <v>948</v>
      </c>
      <c r="D1025" s="64" t="s">
        <v>1898</v>
      </c>
      <c r="E1025" s="64" t="s">
        <v>16</v>
      </c>
      <c r="F1025" s="64" t="s">
        <v>373</v>
      </c>
      <c r="G1025" s="64" t="s">
        <v>9060</v>
      </c>
      <c r="H1025" s="64" t="s">
        <v>9033</v>
      </c>
    </row>
    <row r="1026" spans="1:8" x14ac:dyDescent="0.3">
      <c r="A1026" s="64" t="s">
        <v>1747</v>
      </c>
      <c r="B1026" s="64" t="s">
        <v>568</v>
      </c>
      <c r="C1026" s="64" t="s">
        <v>948</v>
      </c>
      <c r="D1026" s="64" t="s">
        <v>1898</v>
      </c>
      <c r="E1026" s="64" t="s">
        <v>16</v>
      </c>
      <c r="F1026" s="64" t="s">
        <v>374</v>
      </c>
      <c r="G1026" s="64" t="s">
        <v>9061</v>
      </c>
      <c r="H1026" s="64" t="s">
        <v>9035</v>
      </c>
    </row>
    <row r="1027" spans="1:8" x14ac:dyDescent="0.3">
      <c r="A1027" s="64" t="s">
        <v>1748</v>
      </c>
      <c r="B1027" s="64" t="s">
        <v>568</v>
      </c>
      <c r="C1027" s="64" t="s">
        <v>948</v>
      </c>
      <c r="D1027" s="64" t="s">
        <v>1898</v>
      </c>
      <c r="E1027" s="64" t="s">
        <v>16</v>
      </c>
      <c r="F1027" s="64" t="s">
        <v>375</v>
      </c>
      <c r="G1027" s="64" t="s">
        <v>9062</v>
      </c>
      <c r="H1027" s="64" t="s">
        <v>9037</v>
      </c>
    </row>
    <row r="1028" spans="1:8" x14ac:dyDescent="0.3">
      <c r="A1028" s="64" t="s">
        <v>1749</v>
      </c>
      <c r="B1028" s="64" t="s">
        <v>568</v>
      </c>
      <c r="C1028" s="64" t="s">
        <v>948</v>
      </c>
      <c r="D1028" s="64" t="s">
        <v>1898</v>
      </c>
      <c r="E1028" s="64" t="s">
        <v>16</v>
      </c>
      <c r="F1028" s="64" t="s">
        <v>376</v>
      </c>
      <c r="G1028" s="64" t="s">
        <v>9063</v>
      </c>
      <c r="H1028" s="64" t="s">
        <v>9039</v>
      </c>
    </row>
    <row r="1029" spans="1:8" x14ac:dyDescent="0.3">
      <c r="A1029" s="64" t="s">
        <v>1750</v>
      </c>
      <c r="B1029" s="64" t="s">
        <v>568</v>
      </c>
      <c r="C1029" s="64" t="s">
        <v>948</v>
      </c>
      <c r="D1029" s="64" t="s">
        <v>1898</v>
      </c>
      <c r="E1029" s="64" t="s">
        <v>16</v>
      </c>
      <c r="F1029" s="64" t="s">
        <v>377</v>
      </c>
      <c r="G1029" s="64" t="s">
        <v>9064</v>
      </c>
      <c r="H1029" s="64" t="s">
        <v>9041</v>
      </c>
    </row>
    <row r="1030" spans="1:8" x14ac:dyDescent="0.3">
      <c r="A1030" s="64" t="s">
        <v>1751</v>
      </c>
      <c r="B1030" s="64" t="s">
        <v>568</v>
      </c>
      <c r="C1030" s="64" t="s">
        <v>948</v>
      </c>
      <c r="D1030" s="64" t="s">
        <v>1898</v>
      </c>
      <c r="E1030" s="64" t="s">
        <v>16</v>
      </c>
      <c r="F1030" s="64" t="s">
        <v>378</v>
      </c>
      <c r="G1030" s="64" t="s">
        <v>9065</v>
      </c>
      <c r="H1030" s="64" t="s">
        <v>9043</v>
      </c>
    </row>
    <row r="1031" spans="1:8" x14ac:dyDescent="0.3">
      <c r="A1031" s="64" t="s">
        <v>1752</v>
      </c>
      <c r="B1031" s="64" t="s">
        <v>568</v>
      </c>
      <c r="C1031" s="64" t="s">
        <v>948</v>
      </c>
      <c r="D1031" s="64" t="s">
        <v>1898</v>
      </c>
      <c r="E1031" s="64" t="s">
        <v>16</v>
      </c>
      <c r="F1031" s="64" t="s">
        <v>379</v>
      </c>
      <c r="G1031" s="64" t="s">
        <v>9066</v>
      </c>
      <c r="H1031" s="64" t="s">
        <v>9045</v>
      </c>
    </row>
    <row r="1032" spans="1:8" x14ac:dyDescent="0.3">
      <c r="A1032" s="64" t="s">
        <v>1753</v>
      </c>
      <c r="B1032" s="64" t="s">
        <v>568</v>
      </c>
      <c r="C1032" s="64" t="s">
        <v>948</v>
      </c>
      <c r="D1032" s="64" t="s">
        <v>1898</v>
      </c>
      <c r="E1032" s="64" t="s">
        <v>16</v>
      </c>
      <c r="F1032" s="64" t="s">
        <v>380</v>
      </c>
      <c r="G1032" s="64" t="s">
        <v>9067</v>
      </c>
      <c r="H1032" s="64" t="s">
        <v>9047</v>
      </c>
    </row>
    <row r="1033" spans="1:8" x14ac:dyDescent="0.3">
      <c r="A1033" s="64" t="s">
        <v>1754</v>
      </c>
      <c r="B1033" s="64" t="s">
        <v>568</v>
      </c>
      <c r="C1033" s="64" t="s">
        <v>948</v>
      </c>
      <c r="D1033" s="64" t="s">
        <v>1898</v>
      </c>
      <c r="E1033" s="64" t="s">
        <v>16</v>
      </c>
      <c r="F1033" s="64" t="s">
        <v>381</v>
      </c>
      <c r="G1033" s="64" t="s">
        <v>9068</v>
      </c>
      <c r="H1033" s="64" t="s">
        <v>9049</v>
      </c>
    </row>
    <row r="1034" spans="1:8" x14ac:dyDescent="0.3">
      <c r="A1034" s="64" t="s">
        <v>1755</v>
      </c>
      <c r="B1034" s="64" t="s">
        <v>568</v>
      </c>
      <c r="C1034" s="64" t="s">
        <v>948</v>
      </c>
      <c r="D1034" s="64" t="s">
        <v>1898</v>
      </c>
      <c r="E1034" s="64" t="s">
        <v>16</v>
      </c>
      <c r="F1034" s="64" t="s">
        <v>382</v>
      </c>
      <c r="G1034" s="64" t="s">
        <v>9069</v>
      </c>
      <c r="H1034" s="64" t="s">
        <v>9051</v>
      </c>
    </row>
    <row r="1035" spans="1:8" x14ac:dyDescent="0.3">
      <c r="A1035" s="64" t="s">
        <v>1756</v>
      </c>
      <c r="B1035" s="64" t="s">
        <v>568</v>
      </c>
      <c r="C1035" s="64" t="s">
        <v>948</v>
      </c>
      <c r="D1035" s="64" t="s">
        <v>1898</v>
      </c>
      <c r="E1035" s="64" t="s">
        <v>16</v>
      </c>
      <c r="F1035" s="64" t="s">
        <v>383</v>
      </c>
      <c r="G1035" s="64" t="s">
        <v>9070</v>
      </c>
      <c r="H1035" s="64" t="s">
        <v>9053</v>
      </c>
    </row>
    <row r="1036" spans="1:8" x14ac:dyDescent="0.3">
      <c r="A1036" s="64" t="s">
        <v>1757</v>
      </c>
      <c r="B1036" s="64" t="s">
        <v>502</v>
      </c>
      <c r="C1036" s="64" t="s">
        <v>2989</v>
      </c>
      <c r="D1036" s="64" t="s">
        <v>1909</v>
      </c>
      <c r="E1036" s="64" t="s">
        <v>20</v>
      </c>
      <c r="F1036" s="64" t="s">
        <v>15</v>
      </c>
      <c r="G1036" s="64" t="s">
        <v>9071</v>
      </c>
      <c r="H1036" s="64" t="s">
        <v>1910</v>
      </c>
    </row>
    <row r="1037" spans="1:8" x14ac:dyDescent="0.3">
      <c r="A1037" s="64" t="s">
        <v>1758</v>
      </c>
      <c r="B1037" s="64" t="s">
        <v>502</v>
      </c>
      <c r="C1037" s="64" t="s">
        <v>2989</v>
      </c>
      <c r="D1037" s="64" t="s">
        <v>1909</v>
      </c>
      <c r="E1037" s="64" t="s">
        <v>16</v>
      </c>
      <c r="F1037" s="64" t="s">
        <v>368</v>
      </c>
      <c r="G1037" s="64" t="s">
        <v>9072</v>
      </c>
      <c r="H1037" s="64" t="s">
        <v>9073</v>
      </c>
    </row>
    <row r="1038" spans="1:8" x14ac:dyDescent="0.3">
      <c r="A1038" s="64" t="s">
        <v>1759</v>
      </c>
      <c r="B1038" s="64" t="s">
        <v>502</v>
      </c>
      <c r="C1038" s="64" t="s">
        <v>2989</v>
      </c>
      <c r="D1038" s="64" t="s">
        <v>1909</v>
      </c>
      <c r="E1038" s="64" t="s">
        <v>16</v>
      </c>
      <c r="F1038" s="64" t="s">
        <v>369</v>
      </c>
      <c r="G1038" s="64" t="s">
        <v>9074</v>
      </c>
      <c r="H1038" s="64" t="s">
        <v>9075</v>
      </c>
    </row>
    <row r="1039" spans="1:8" x14ac:dyDescent="0.3">
      <c r="A1039" s="64" t="s">
        <v>1760</v>
      </c>
      <c r="B1039" s="64" t="s">
        <v>502</v>
      </c>
      <c r="C1039" s="64" t="s">
        <v>2989</v>
      </c>
      <c r="D1039" s="64" t="s">
        <v>1909</v>
      </c>
      <c r="E1039" s="64" t="s">
        <v>16</v>
      </c>
      <c r="F1039" s="64" t="s">
        <v>370</v>
      </c>
      <c r="G1039" s="64" t="s">
        <v>9076</v>
      </c>
      <c r="H1039" s="64" t="s">
        <v>9077</v>
      </c>
    </row>
    <row r="1040" spans="1:8" x14ac:dyDescent="0.3">
      <c r="A1040" s="64" t="s">
        <v>1761</v>
      </c>
      <c r="B1040" s="64" t="s">
        <v>502</v>
      </c>
      <c r="C1040" s="64" t="s">
        <v>2989</v>
      </c>
      <c r="D1040" s="64" t="s">
        <v>1909</v>
      </c>
      <c r="E1040" s="64" t="s">
        <v>16</v>
      </c>
      <c r="F1040" s="64" t="s">
        <v>371</v>
      </c>
      <c r="G1040" s="64" t="s">
        <v>9078</v>
      </c>
      <c r="H1040" s="64" t="s">
        <v>9079</v>
      </c>
    </row>
    <row r="1041" spans="1:8" x14ac:dyDescent="0.3">
      <c r="A1041" s="64" t="s">
        <v>1762</v>
      </c>
      <c r="B1041" s="64" t="s">
        <v>502</v>
      </c>
      <c r="C1041" s="64" t="s">
        <v>2989</v>
      </c>
      <c r="D1041" s="64" t="s">
        <v>1909</v>
      </c>
      <c r="E1041" s="64" t="s">
        <v>16</v>
      </c>
      <c r="F1041" s="64" t="s">
        <v>372</v>
      </c>
      <c r="G1041" s="64" t="s">
        <v>9080</v>
      </c>
      <c r="H1041" s="64" t="s">
        <v>9081</v>
      </c>
    </row>
    <row r="1042" spans="1:8" x14ac:dyDescent="0.3">
      <c r="A1042" s="64" t="s">
        <v>1763</v>
      </c>
      <c r="B1042" s="64" t="s">
        <v>502</v>
      </c>
      <c r="C1042" s="64" t="s">
        <v>2989</v>
      </c>
      <c r="D1042" s="64" t="s">
        <v>1909</v>
      </c>
      <c r="E1042" s="64" t="s">
        <v>16</v>
      </c>
      <c r="F1042" s="64" t="s">
        <v>373</v>
      </c>
      <c r="G1042" s="64" t="s">
        <v>9082</v>
      </c>
      <c r="H1042" s="64" t="s">
        <v>9083</v>
      </c>
    </row>
    <row r="1043" spans="1:8" x14ac:dyDescent="0.3">
      <c r="A1043" s="64" t="s">
        <v>1764</v>
      </c>
      <c r="B1043" s="64" t="s">
        <v>502</v>
      </c>
      <c r="C1043" s="64" t="s">
        <v>2989</v>
      </c>
      <c r="D1043" s="64" t="s">
        <v>1909</v>
      </c>
      <c r="E1043" s="64" t="s">
        <v>16</v>
      </c>
      <c r="F1043" s="64" t="s">
        <v>374</v>
      </c>
      <c r="G1043" s="64" t="s">
        <v>9084</v>
      </c>
      <c r="H1043" s="64" t="s">
        <v>9085</v>
      </c>
    </row>
    <row r="1044" spans="1:8" x14ac:dyDescent="0.3">
      <c r="A1044" s="64" t="s">
        <v>1765</v>
      </c>
      <c r="B1044" s="64" t="s">
        <v>502</v>
      </c>
      <c r="C1044" s="64" t="s">
        <v>2989</v>
      </c>
      <c r="D1044" s="64" t="s">
        <v>1909</v>
      </c>
      <c r="E1044" s="64" t="s">
        <v>16</v>
      </c>
      <c r="F1044" s="64" t="s">
        <v>375</v>
      </c>
      <c r="G1044" s="64" t="s">
        <v>9086</v>
      </c>
      <c r="H1044" s="64" t="s">
        <v>9087</v>
      </c>
    </row>
    <row r="1045" spans="1:8" x14ac:dyDescent="0.3">
      <c r="A1045" s="64" t="s">
        <v>1766</v>
      </c>
      <c r="B1045" s="64" t="s">
        <v>502</v>
      </c>
      <c r="C1045" s="64" t="s">
        <v>2989</v>
      </c>
      <c r="D1045" s="64" t="s">
        <v>1909</v>
      </c>
      <c r="E1045" s="64" t="s">
        <v>16</v>
      </c>
      <c r="F1045" s="64" t="s">
        <v>376</v>
      </c>
      <c r="G1045" s="64" t="s">
        <v>9088</v>
      </c>
      <c r="H1045" s="64" t="s">
        <v>9089</v>
      </c>
    </row>
    <row r="1046" spans="1:8" x14ac:dyDescent="0.3">
      <c r="A1046" s="64" t="s">
        <v>1767</v>
      </c>
      <c r="B1046" s="64" t="s">
        <v>502</v>
      </c>
      <c r="C1046" s="64" t="s">
        <v>2989</v>
      </c>
      <c r="D1046" s="64" t="s">
        <v>1909</v>
      </c>
      <c r="E1046" s="64" t="s">
        <v>16</v>
      </c>
      <c r="F1046" s="64" t="s">
        <v>377</v>
      </c>
      <c r="G1046" s="64" t="s">
        <v>9090</v>
      </c>
      <c r="H1046" s="64" t="s">
        <v>9091</v>
      </c>
    </row>
    <row r="1047" spans="1:8" x14ac:dyDescent="0.3">
      <c r="A1047" s="64" t="s">
        <v>1768</v>
      </c>
      <c r="B1047" s="64" t="s">
        <v>502</v>
      </c>
      <c r="C1047" s="64" t="s">
        <v>2989</v>
      </c>
      <c r="D1047" s="64" t="s">
        <v>1909</v>
      </c>
      <c r="E1047" s="64" t="s">
        <v>16</v>
      </c>
      <c r="F1047" s="64" t="s">
        <v>378</v>
      </c>
      <c r="G1047" s="64" t="s">
        <v>9092</v>
      </c>
      <c r="H1047" s="64" t="s">
        <v>9093</v>
      </c>
    </row>
    <row r="1048" spans="1:8" x14ac:dyDescent="0.3">
      <c r="A1048" s="64" t="s">
        <v>1769</v>
      </c>
      <c r="B1048" s="64" t="s">
        <v>502</v>
      </c>
      <c r="C1048" s="64" t="s">
        <v>2989</v>
      </c>
      <c r="D1048" s="64" t="s">
        <v>1909</v>
      </c>
      <c r="E1048" s="64" t="s">
        <v>16</v>
      </c>
      <c r="F1048" s="64" t="s">
        <v>379</v>
      </c>
      <c r="G1048" s="64" t="s">
        <v>9094</v>
      </c>
      <c r="H1048" s="64" t="s">
        <v>9095</v>
      </c>
    </row>
    <row r="1049" spans="1:8" x14ac:dyDescent="0.3">
      <c r="A1049" s="64" t="s">
        <v>1770</v>
      </c>
      <c r="B1049" s="64" t="s">
        <v>502</v>
      </c>
      <c r="C1049" s="64" t="s">
        <v>2989</v>
      </c>
      <c r="D1049" s="64" t="s">
        <v>1909</v>
      </c>
      <c r="E1049" s="64" t="s">
        <v>16</v>
      </c>
      <c r="F1049" s="64" t="s">
        <v>380</v>
      </c>
      <c r="G1049" s="64" t="s">
        <v>9096</v>
      </c>
      <c r="H1049" s="64" t="s">
        <v>9097</v>
      </c>
    </row>
    <row r="1050" spans="1:8" x14ac:dyDescent="0.3">
      <c r="A1050" s="64" t="s">
        <v>1771</v>
      </c>
      <c r="B1050" s="64" t="s">
        <v>502</v>
      </c>
      <c r="C1050" s="64" t="s">
        <v>2989</v>
      </c>
      <c r="D1050" s="64" t="s">
        <v>1909</v>
      </c>
      <c r="E1050" s="64" t="s">
        <v>16</v>
      </c>
      <c r="F1050" s="64" t="s">
        <v>381</v>
      </c>
      <c r="G1050" s="64" t="s">
        <v>9098</v>
      </c>
      <c r="H1050" s="64" t="s">
        <v>9099</v>
      </c>
    </row>
    <row r="1051" spans="1:8" x14ac:dyDescent="0.3">
      <c r="A1051" s="64" t="s">
        <v>1772</v>
      </c>
      <c r="B1051" s="64" t="s">
        <v>502</v>
      </c>
      <c r="C1051" s="64" t="s">
        <v>2989</v>
      </c>
      <c r="D1051" s="64" t="s">
        <v>1909</v>
      </c>
      <c r="E1051" s="64" t="s">
        <v>16</v>
      </c>
      <c r="F1051" s="64" t="s">
        <v>382</v>
      </c>
      <c r="G1051" s="64" t="s">
        <v>9100</v>
      </c>
      <c r="H1051" s="64" t="s">
        <v>9101</v>
      </c>
    </row>
    <row r="1052" spans="1:8" x14ac:dyDescent="0.3">
      <c r="A1052" s="64" t="s">
        <v>1773</v>
      </c>
      <c r="B1052" s="64" t="s">
        <v>502</v>
      </c>
      <c r="C1052" s="64" t="s">
        <v>2989</v>
      </c>
      <c r="D1052" s="64" t="s">
        <v>1909</v>
      </c>
      <c r="E1052" s="64" t="s">
        <v>16</v>
      </c>
      <c r="F1052" s="64" t="s">
        <v>383</v>
      </c>
      <c r="G1052" s="64" t="s">
        <v>9102</v>
      </c>
      <c r="H1052" s="64" t="s">
        <v>9103</v>
      </c>
    </row>
    <row r="1053" spans="1:8" x14ac:dyDescent="0.3">
      <c r="A1053" s="64" t="s">
        <v>1774</v>
      </c>
      <c r="B1053" s="64" t="s">
        <v>568</v>
      </c>
      <c r="C1053" s="64" t="s">
        <v>1914</v>
      </c>
      <c r="D1053" s="64" t="s">
        <v>1914</v>
      </c>
      <c r="E1053" s="64" t="s">
        <v>20</v>
      </c>
      <c r="F1053" s="64" t="s">
        <v>15</v>
      </c>
      <c r="G1053" s="64" t="s">
        <v>2701</v>
      </c>
      <c r="H1053" s="64" t="s">
        <v>1916</v>
      </c>
    </row>
    <row r="1054" spans="1:8" x14ac:dyDescent="0.3">
      <c r="A1054" s="64" t="s">
        <v>1775</v>
      </c>
      <c r="B1054" s="64" t="s">
        <v>568</v>
      </c>
      <c r="C1054" s="64" t="s">
        <v>1914</v>
      </c>
      <c r="D1054" s="64" t="s">
        <v>1914</v>
      </c>
      <c r="E1054" s="64" t="s">
        <v>16</v>
      </c>
      <c r="F1054" s="64" t="s">
        <v>368</v>
      </c>
      <c r="G1054" s="64" t="s">
        <v>2340</v>
      </c>
      <c r="H1054" s="64" t="s">
        <v>2341</v>
      </c>
    </row>
    <row r="1055" spans="1:8" x14ac:dyDescent="0.3">
      <c r="A1055" s="64" t="s">
        <v>1776</v>
      </c>
      <c r="B1055" s="64" t="s">
        <v>568</v>
      </c>
      <c r="C1055" s="64" t="s">
        <v>1914</v>
      </c>
      <c r="D1055" s="64" t="s">
        <v>1914</v>
      </c>
      <c r="E1055" s="64" t="s">
        <v>16</v>
      </c>
      <c r="F1055" s="64" t="s">
        <v>369</v>
      </c>
      <c r="G1055" s="64" t="s">
        <v>2342</v>
      </c>
      <c r="H1055" s="64" t="s">
        <v>2343</v>
      </c>
    </row>
    <row r="1056" spans="1:8" x14ac:dyDescent="0.3">
      <c r="A1056" s="64" t="s">
        <v>1777</v>
      </c>
      <c r="B1056" s="64" t="s">
        <v>568</v>
      </c>
      <c r="C1056" s="64" t="s">
        <v>1914</v>
      </c>
      <c r="D1056" s="64" t="s">
        <v>1914</v>
      </c>
      <c r="E1056" s="64" t="s">
        <v>16</v>
      </c>
      <c r="F1056" s="64" t="s">
        <v>370</v>
      </c>
      <c r="G1056" s="64" t="s">
        <v>2344</v>
      </c>
      <c r="H1056" s="64" t="s">
        <v>2345</v>
      </c>
    </row>
    <row r="1057" spans="1:8" x14ac:dyDescent="0.3">
      <c r="A1057" s="64" t="s">
        <v>1778</v>
      </c>
      <c r="B1057" s="64" t="s">
        <v>568</v>
      </c>
      <c r="C1057" s="64" t="s">
        <v>1914</v>
      </c>
      <c r="D1057" s="64" t="s">
        <v>1914</v>
      </c>
      <c r="E1057" s="64" t="s">
        <v>16</v>
      </c>
      <c r="F1057" s="64" t="s">
        <v>371</v>
      </c>
      <c r="G1057" s="64" t="s">
        <v>2346</v>
      </c>
      <c r="H1057" s="64" t="s">
        <v>2347</v>
      </c>
    </row>
    <row r="1058" spans="1:8" x14ac:dyDescent="0.3">
      <c r="A1058" s="64" t="s">
        <v>1779</v>
      </c>
      <c r="B1058" s="64" t="s">
        <v>568</v>
      </c>
      <c r="C1058" s="64" t="s">
        <v>1914</v>
      </c>
      <c r="D1058" s="64" t="s">
        <v>1914</v>
      </c>
      <c r="E1058" s="64" t="s">
        <v>16</v>
      </c>
      <c r="F1058" s="64" t="s">
        <v>372</v>
      </c>
      <c r="G1058" s="64" t="s">
        <v>2348</v>
      </c>
      <c r="H1058" s="64" t="s">
        <v>2349</v>
      </c>
    </row>
    <row r="1059" spans="1:8" x14ac:dyDescent="0.3">
      <c r="A1059" s="64" t="s">
        <v>1780</v>
      </c>
      <c r="B1059" s="64" t="s">
        <v>568</v>
      </c>
      <c r="C1059" s="64" t="s">
        <v>1914</v>
      </c>
      <c r="D1059" s="64" t="s">
        <v>1914</v>
      </c>
      <c r="E1059" s="64" t="s">
        <v>16</v>
      </c>
      <c r="F1059" s="64" t="s">
        <v>373</v>
      </c>
      <c r="G1059" s="64" t="s">
        <v>2350</v>
      </c>
      <c r="H1059" s="64" t="s">
        <v>2351</v>
      </c>
    </row>
    <row r="1060" spans="1:8" x14ac:dyDescent="0.3">
      <c r="A1060" s="64" t="s">
        <v>1781</v>
      </c>
      <c r="B1060" s="64" t="s">
        <v>568</v>
      </c>
      <c r="C1060" s="64" t="s">
        <v>1914</v>
      </c>
      <c r="D1060" s="64" t="s">
        <v>1914</v>
      </c>
      <c r="E1060" s="64" t="s">
        <v>16</v>
      </c>
      <c r="F1060" s="64" t="s">
        <v>374</v>
      </c>
      <c r="G1060" s="64" t="s">
        <v>2352</v>
      </c>
      <c r="H1060" s="64" t="s">
        <v>2353</v>
      </c>
    </row>
    <row r="1061" spans="1:8" x14ac:dyDescent="0.3">
      <c r="A1061" s="64" t="s">
        <v>1782</v>
      </c>
      <c r="B1061" s="64" t="s">
        <v>568</v>
      </c>
      <c r="C1061" s="64" t="s">
        <v>1914</v>
      </c>
      <c r="D1061" s="64" t="s">
        <v>1914</v>
      </c>
      <c r="E1061" s="64" t="s">
        <v>16</v>
      </c>
      <c r="F1061" s="64" t="s">
        <v>375</v>
      </c>
      <c r="G1061" s="64" t="s">
        <v>2354</v>
      </c>
      <c r="H1061" s="64" t="s">
        <v>2355</v>
      </c>
    </row>
    <row r="1062" spans="1:8" x14ac:dyDescent="0.3">
      <c r="A1062" s="64" t="s">
        <v>1783</v>
      </c>
      <c r="B1062" s="64" t="s">
        <v>568</v>
      </c>
      <c r="C1062" s="64" t="s">
        <v>1914</v>
      </c>
      <c r="D1062" s="64" t="s">
        <v>1914</v>
      </c>
      <c r="E1062" s="64" t="s">
        <v>16</v>
      </c>
      <c r="F1062" s="64" t="s">
        <v>376</v>
      </c>
      <c r="G1062" s="64" t="s">
        <v>2356</v>
      </c>
      <c r="H1062" s="64" t="s">
        <v>2357</v>
      </c>
    </row>
    <row r="1063" spans="1:8" x14ac:dyDescent="0.3">
      <c r="A1063" s="64" t="s">
        <v>1784</v>
      </c>
      <c r="B1063" s="64" t="s">
        <v>568</v>
      </c>
      <c r="C1063" s="64" t="s">
        <v>1914</v>
      </c>
      <c r="D1063" s="64" t="s">
        <v>1914</v>
      </c>
      <c r="E1063" s="64" t="s">
        <v>16</v>
      </c>
      <c r="F1063" s="64" t="s">
        <v>377</v>
      </c>
      <c r="G1063" s="64" t="s">
        <v>2358</v>
      </c>
      <c r="H1063" s="64" t="s">
        <v>2359</v>
      </c>
    </row>
    <row r="1064" spans="1:8" x14ac:dyDescent="0.3">
      <c r="A1064" s="64" t="s">
        <v>1785</v>
      </c>
      <c r="B1064" s="64" t="s">
        <v>568</v>
      </c>
      <c r="C1064" s="64" t="s">
        <v>1914</v>
      </c>
      <c r="D1064" s="64" t="s">
        <v>1914</v>
      </c>
      <c r="E1064" s="64" t="s">
        <v>16</v>
      </c>
      <c r="F1064" s="64" t="s">
        <v>378</v>
      </c>
      <c r="G1064" s="64" t="s">
        <v>2360</v>
      </c>
      <c r="H1064" s="64" t="s">
        <v>2361</v>
      </c>
    </row>
    <row r="1065" spans="1:8" x14ac:dyDescent="0.3">
      <c r="A1065" s="64" t="s">
        <v>1786</v>
      </c>
      <c r="B1065" s="64" t="s">
        <v>568</v>
      </c>
      <c r="C1065" s="64" t="s">
        <v>1914</v>
      </c>
      <c r="D1065" s="64" t="s">
        <v>1914</v>
      </c>
      <c r="E1065" s="64" t="s">
        <v>16</v>
      </c>
      <c r="F1065" s="64" t="s">
        <v>379</v>
      </c>
      <c r="G1065" s="64" t="s">
        <v>2362</v>
      </c>
      <c r="H1065" s="64" t="s">
        <v>2363</v>
      </c>
    </row>
    <row r="1066" spans="1:8" x14ac:dyDescent="0.3">
      <c r="A1066" s="64" t="s">
        <v>1787</v>
      </c>
      <c r="B1066" s="64" t="s">
        <v>568</v>
      </c>
      <c r="C1066" s="64" t="s">
        <v>1914</v>
      </c>
      <c r="D1066" s="64" t="s">
        <v>1914</v>
      </c>
      <c r="E1066" s="64" t="s">
        <v>16</v>
      </c>
      <c r="F1066" s="64" t="s">
        <v>380</v>
      </c>
      <c r="G1066" s="64" t="s">
        <v>2364</v>
      </c>
      <c r="H1066" s="64" t="s">
        <v>2365</v>
      </c>
    </row>
    <row r="1067" spans="1:8" x14ac:dyDescent="0.3">
      <c r="A1067" s="64" t="s">
        <v>1788</v>
      </c>
      <c r="B1067" s="64" t="s">
        <v>568</v>
      </c>
      <c r="C1067" s="64" t="s">
        <v>1914</v>
      </c>
      <c r="D1067" s="64" t="s">
        <v>1914</v>
      </c>
      <c r="E1067" s="64" t="s">
        <v>16</v>
      </c>
      <c r="F1067" s="64" t="s">
        <v>381</v>
      </c>
      <c r="G1067" s="64" t="s">
        <v>2366</v>
      </c>
      <c r="H1067" s="64" t="s">
        <v>2367</v>
      </c>
    </row>
    <row r="1068" spans="1:8" x14ac:dyDescent="0.3">
      <c r="A1068" s="64" t="s">
        <v>1789</v>
      </c>
      <c r="B1068" s="64" t="s">
        <v>568</v>
      </c>
      <c r="C1068" s="64" t="s">
        <v>1914</v>
      </c>
      <c r="D1068" s="64" t="s">
        <v>1914</v>
      </c>
      <c r="E1068" s="64" t="s">
        <v>16</v>
      </c>
      <c r="F1068" s="64" t="s">
        <v>382</v>
      </c>
      <c r="G1068" s="64" t="s">
        <v>2338</v>
      </c>
      <c r="H1068" s="64" t="s">
        <v>2339</v>
      </c>
    </row>
    <row r="1069" spans="1:8" x14ac:dyDescent="0.3">
      <c r="A1069" s="64" t="s">
        <v>1790</v>
      </c>
      <c r="B1069" s="64" t="s">
        <v>568</v>
      </c>
      <c r="C1069" s="64" t="s">
        <v>1914</v>
      </c>
      <c r="D1069" s="64" t="s">
        <v>1914</v>
      </c>
      <c r="E1069" s="64" t="s">
        <v>16</v>
      </c>
      <c r="F1069" s="64" t="s">
        <v>383</v>
      </c>
      <c r="G1069" s="64" t="s">
        <v>2702</v>
      </c>
      <c r="H1069" s="64" t="s">
        <v>2703</v>
      </c>
    </row>
    <row r="1070" spans="1:8" x14ac:dyDescent="0.3">
      <c r="A1070" s="64" t="s">
        <v>1791</v>
      </c>
      <c r="B1070" s="64" t="s">
        <v>568</v>
      </c>
      <c r="C1070" s="64" t="s">
        <v>1914</v>
      </c>
      <c r="D1070" s="64" t="s">
        <v>1914</v>
      </c>
      <c r="E1070" s="64" t="s">
        <v>20</v>
      </c>
      <c r="F1070" s="64" t="s">
        <v>15</v>
      </c>
      <c r="G1070" s="64" t="s">
        <v>2704</v>
      </c>
      <c r="H1070" s="64" t="s">
        <v>1935</v>
      </c>
    </row>
    <row r="1071" spans="1:8" x14ac:dyDescent="0.3">
      <c r="A1071" s="64" t="s">
        <v>1792</v>
      </c>
      <c r="B1071" s="64" t="s">
        <v>568</v>
      </c>
      <c r="C1071" s="64" t="s">
        <v>1914</v>
      </c>
      <c r="D1071" s="64" t="s">
        <v>1914</v>
      </c>
      <c r="E1071" s="64" t="s">
        <v>16</v>
      </c>
      <c r="F1071" s="64" t="s">
        <v>368</v>
      </c>
      <c r="G1071" s="64" t="s">
        <v>2368</v>
      </c>
      <c r="H1071" s="64" t="s">
        <v>2369</v>
      </c>
    </row>
    <row r="1072" spans="1:8" x14ac:dyDescent="0.3">
      <c r="A1072" s="64" t="s">
        <v>1793</v>
      </c>
      <c r="B1072" s="64" t="s">
        <v>568</v>
      </c>
      <c r="C1072" s="64" t="s">
        <v>1914</v>
      </c>
      <c r="D1072" s="64" t="s">
        <v>1914</v>
      </c>
      <c r="E1072" s="64" t="s">
        <v>16</v>
      </c>
      <c r="F1072" s="64" t="s">
        <v>369</v>
      </c>
      <c r="G1072" s="64" t="s">
        <v>2370</v>
      </c>
      <c r="H1072" s="64" t="s">
        <v>2371</v>
      </c>
    </row>
    <row r="1073" spans="1:8" x14ac:dyDescent="0.3">
      <c r="A1073" s="64" t="s">
        <v>1794</v>
      </c>
      <c r="B1073" s="64" t="s">
        <v>568</v>
      </c>
      <c r="C1073" s="64" t="s">
        <v>1914</v>
      </c>
      <c r="D1073" s="64" t="s">
        <v>1914</v>
      </c>
      <c r="E1073" s="64" t="s">
        <v>16</v>
      </c>
      <c r="F1073" s="64" t="s">
        <v>370</v>
      </c>
      <c r="G1073" s="64" t="s">
        <v>2372</v>
      </c>
      <c r="H1073" s="64" t="s">
        <v>2373</v>
      </c>
    </row>
    <row r="1074" spans="1:8" x14ac:dyDescent="0.3">
      <c r="A1074" s="64" t="s">
        <v>1795</v>
      </c>
      <c r="B1074" s="64" t="s">
        <v>568</v>
      </c>
      <c r="C1074" s="64" t="s">
        <v>1914</v>
      </c>
      <c r="D1074" s="64" t="s">
        <v>1914</v>
      </c>
      <c r="E1074" s="64" t="s">
        <v>16</v>
      </c>
      <c r="F1074" s="64" t="s">
        <v>371</v>
      </c>
      <c r="G1074" s="64" t="s">
        <v>2374</v>
      </c>
      <c r="H1074" s="64" t="s">
        <v>2375</v>
      </c>
    </row>
    <row r="1075" spans="1:8" x14ac:dyDescent="0.3">
      <c r="A1075" s="64" t="s">
        <v>1796</v>
      </c>
      <c r="B1075" s="64" t="s">
        <v>568</v>
      </c>
      <c r="C1075" s="64" t="s">
        <v>1914</v>
      </c>
      <c r="D1075" s="64" t="s">
        <v>1914</v>
      </c>
      <c r="E1075" s="64" t="s">
        <v>16</v>
      </c>
      <c r="F1075" s="64" t="s">
        <v>372</v>
      </c>
      <c r="G1075" s="64" t="s">
        <v>2376</v>
      </c>
      <c r="H1075" s="64" t="s">
        <v>2377</v>
      </c>
    </row>
    <row r="1076" spans="1:8" x14ac:dyDescent="0.3">
      <c r="A1076" s="64" t="s">
        <v>1797</v>
      </c>
      <c r="B1076" s="64" t="s">
        <v>568</v>
      </c>
      <c r="C1076" s="64" t="s">
        <v>1914</v>
      </c>
      <c r="D1076" s="64" t="s">
        <v>1914</v>
      </c>
      <c r="E1076" s="64" t="s">
        <v>16</v>
      </c>
      <c r="F1076" s="64" t="s">
        <v>373</v>
      </c>
      <c r="G1076" s="64" t="s">
        <v>2378</v>
      </c>
      <c r="H1076" s="64" t="s">
        <v>2379</v>
      </c>
    </row>
    <row r="1077" spans="1:8" x14ac:dyDescent="0.3">
      <c r="A1077" s="64" t="s">
        <v>1798</v>
      </c>
      <c r="B1077" s="64" t="s">
        <v>568</v>
      </c>
      <c r="C1077" s="64" t="s">
        <v>1914</v>
      </c>
      <c r="D1077" s="64" t="s">
        <v>1914</v>
      </c>
      <c r="E1077" s="64" t="s">
        <v>16</v>
      </c>
      <c r="F1077" s="64" t="s">
        <v>374</v>
      </c>
      <c r="G1077" s="64" t="s">
        <v>2380</v>
      </c>
      <c r="H1077" s="64" t="s">
        <v>2381</v>
      </c>
    </row>
    <row r="1078" spans="1:8" x14ac:dyDescent="0.3">
      <c r="A1078" s="64" t="s">
        <v>1799</v>
      </c>
      <c r="B1078" s="64" t="s">
        <v>568</v>
      </c>
      <c r="C1078" s="64" t="s">
        <v>1914</v>
      </c>
      <c r="D1078" s="64" t="s">
        <v>1914</v>
      </c>
      <c r="E1078" s="64" t="s">
        <v>16</v>
      </c>
      <c r="F1078" s="64" t="s">
        <v>375</v>
      </c>
      <c r="G1078" s="64" t="s">
        <v>2382</v>
      </c>
      <c r="H1078" s="64" t="s">
        <v>2383</v>
      </c>
    </row>
    <row r="1079" spans="1:8" x14ac:dyDescent="0.3">
      <c r="A1079" s="64" t="s">
        <v>1800</v>
      </c>
      <c r="B1079" s="64" t="s">
        <v>568</v>
      </c>
      <c r="C1079" s="64" t="s">
        <v>1914</v>
      </c>
      <c r="D1079" s="64" t="s">
        <v>1914</v>
      </c>
      <c r="E1079" s="64" t="s">
        <v>16</v>
      </c>
      <c r="F1079" s="64" t="s">
        <v>376</v>
      </c>
      <c r="G1079" s="64" t="s">
        <v>2384</v>
      </c>
      <c r="H1079" s="64" t="s">
        <v>2385</v>
      </c>
    </row>
    <row r="1080" spans="1:8" x14ac:dyDescent="0.3">
      <c r="A1080" s="64" t="s">
        <v>1801</v>
      </c>
      <c r="B1080" s="64" t="s">
        <v>568</v>
      </c>
      <c r="C1080" s="64" t="s">
        <v>1914</v>
      </c>
      <c r="D1080" s="64" t="s">
        <v>1914</v>
      </c>
      <c r="E1080" s="64" t="s">
        <v>16</v>
      </c>
      <c r="F1080" s="64" t="s">
        <v>377</v>
      </c>
      <c r="G1080" s="64" t="s">
        <v>2386</v>
      </c>
      <c r="H1080" s="64" t="s">
        <v>2387</v>
      </c>
    </row>
    <row r="1081" spans="1:8" x14ac:dyDescent="0.3">
      <c r="A1081" s="64" t="s">
        <v>1802</v>
      </c>
      <c r="B1081" s="64" t="s">
        <v>568</v>
      </c>
      <c r="C1081" s="64" t="s">
        <v>1914</v>
      </c>
      <c r="D1081" s="64" t="s">
        <v>1914</v>
      </c>
      <c r="E1081" s="64" t="s">
        <v>16</v>
      </c>
      <c r="F1081" s="64" t="s">
        <v>378</v>
      </c>
      <c r="G1081" s="64" t="s">
        <v>2388</v>
      </c>
      <c r="H1081" s="64" t="s">
        <v>2389</v>
      </c>
    </row>
    <row r="1082" spans="1:8" x14ac:dyDescent="0.3">
      <c r="A1082" s="64" t="s">
        <v>1803</v>
      </c>
      <c r="B1082" s="64" t="s">
        <v>568</v>
      </c>
      <c r="C1082" s="64" t="s">
        <v>1914</v>
      </c>
      <c r="D1082" s="64" t="s">
        <v>1914</v>
      </c>
      <c r="E1082" s="64" t="s">
        <v>16</v>
      </c>
      <c r="F1082" s="64" t="s">
        <v>379</v>
      </c>
      <c r="G1082" s="64" t="s">
        <v>2390</v>
      </c>
      <c r="H1082" s="64" t="s">
        <v>2391</v>
      </c>
    </row>
    <row r="1083" spans="1:8" x14ac:dyDescent="0.3">
      <c r="A1083" s="64" t="s">
        <v>1804</v>
      </c>
      <c r="B1083" s="64" t="s">
        <v>568</v>
      </c>
      <c r="C1083" s="64" t="s">
        <v>1914</v>
      </c>
      <c r="D1083" s="64" t="s">
        <v>1914</v>
      </c>
      <c r="E1083" s="64" t="s">
        <v>16</v>
      </c>
      <c r="F1083" s="64" t="s">
        <v>380</v>
      </c>
      <c r="G1083" s="64" t="s">
        <v>2392</v>
      </c>
      <c r="H1083" s="64" t="s">
        <v>2393</v>
      </c>
    </row>
    <row r="1084" spans="1:8" x14ac:dyDescent="0.3">
      <c r="A1084" s="64" t="s">
        <v>1805</v>
      </c>
      <c r="B1084" s="64" t="s">
        <v>568</v>
      </c>
      <c r="C1084" s="64" t="s">
        <v>1914</v>
      </c>
      <c r="D1084" s="64" t="s">
        <v>1914</v>
      </c>
      <c r="E1084" s="64" t="s">
        <v>16</v>
      </c>
      <c r="F1084" s="64" t="s">
        <v>381</v>
      </c>
      <c r="G1084" s="64" t="s">
        <v>2394</v>
      </c>
      <c r="H1084" s="64" t="s">
        <v>2395</v>
      </c>
    </row>
    <row r="1085" spans="1:8" x14ac:dyDescent="0.3">
      <c r="A1085" s="64" t="s">
        <v>1806</v>
      </c>
      <c r="B1085" s="64" t="s">
        <v>568</v>
      </c>
      <c r="C1085" s="64" t="s">
        <v>1914</v>
      </c>
      <c r="D1085" s="64" t="s">
        <v>1914</v>
      </c>
      <c r="E1085" s="64" t="s">
        <v>16</v>
      </c>
      <c r="F1085" s="64" t="s">
        <v>382</v>
      </c>
      <c r="G1085" s="64" t="s">
        <v>2396</v>
      </c>
      <c r="H1085" s="64" t="s">
        <v>2397</v>
      </c>
    </row>
    <row r="1086" spans="1:8" x14ac:dyDescent="0.3">
      <c r="A1086" s="64" t="s">
        <v>1807</v>
      </c>
      <c r="B1086" s="64" t="s">
        <v>568</v>
      </c>
      <c r="C1086" s="64" t="s">
        <v>1914</v>
      </c>
      <c r="D1086" s="64" t="s">
        <v>1914</v>
      </c>
      <c r="E1086" s="64" t="s">
        <v>16</v>
      </c>
      <c r="F1086" s="64" t="s">
        <v>383</v>
      </c>
      <c r="G1086" s="64" t="s">
        <v>2705</v>
      </c>
      <c r="H1086" s="64" t="s">
        <v>2706</v>
      </c>
    </row>
    <row r="1087" spans="1:8" x14ac:dyDescent="0.3">
      <c r="A1087" s="64" t="s">
        <v>1808</v>
      </c>
      <c r="B1087" s="64" t="s">
        <v>568</v>
      </c>
      <c r="C1087" s="64" t="s">
        <v>1914</v>
      </c>
      <c r="D1087" s="64" t="s">
        <v>1914</v>
      </c>
      <c r="E1087" s="64" t="s">
        <v>20</v>
      </c>
      <c r="F1087" s="64" t="s">
        <v>15</v>
      </c>
      <c r="G1087" s="64" t="s">
        <v>2707</v>
      </c>
      <c r="H1087" s="64" t="s">
        <v>1953</v>
      </c>
    </row>
    <row r="1088" spans="1:8" x14ac:dyDescent="0.3">
      <c r="A1088" s="64" t="s">
        <v>1809</v>
      </c>
      <c r="B1088" s="64" t="s">
        <v>568</v>
      </c>
      <c r="C1088" s="64" t="s">
        <v>1914</v>
      </c>
      <c r="D1088" s="64" t="s">
        <v>1914</v>
      </c>
      <c r="E1088" s="64" t="s">
        <v>16</v>
      </c>
      <c r="F1088" s="64" t="s">
        <v>368</v>
      </c>
      <c r="G1088" s="64" t="s">
        <v>2708</v>
      </c>
      <c r="H1088" s="64" t="s">
        <v>2398</v>
      </c>
    </row>
    <row r="1089" spans="1:8" x14ac:dyDescent="0.3">
      <c r="A1089" s="64" t="s">
        <v>1810</v>
      </c>
      <c r="B1089" s="64" t="s">
        <v>568</v>
      </c>
      <c r="C1089" s="64" t="s">
        <v>1914</v>
      </c>
      <c r="D1089" s="64" t="s">
        <v>1914</v>
      </c>
      <c r="E1089" s="64" t="s">
        <v>16</v>
      </c>
      <c r="F1089" s="64" t="s">
        <v>369</v>
      </c>
      <c r="G1089" s="64" t="s">
        <v>2709</v>
      </c>
      <c r="H1089" s="64" t="s">
        <v>2399</v>
      </c>
    </row>
    <row r="1090" spans="1:8" x14ac:dyDescent="0.3">
      <c r="A1090" s="64" t="s">
        <v>1811</v>
      </c>
      <c r="B1090" s="64" t="s">
        <v>568</v>
      </c>
      <c r="C1090" s="64" t="s">
        <v>1914</v>
      </c>
      <c r="D1090" s="64" t="s">
        <v>1914</v>
      </c>
      <c r="E1090" s="64" t="s">
        <v>16</v>
      </c>
      <c r="F1090" s="64" t="s">
        <v>370</v>
      </c>
      <c r="G1090" s="64" t="s">
        <v>2710</v>
      </c>
      <c r="H1090" s="64" t="s">
        <v>2400</v>
      </c>
    </row>
    <row r="1091" spans="1:8" x14ac:dyDescent="0.3">
      <c r="A1091" s="64" t="s">
        <v>1812</v>
      </c>
      <c r="B1091" s="64" t="s">
        <v>568</v>
      </c>
      <c r="C1091" s="64" t="s">
        <v>1914</v>
      </c>
      <c r="D1091" s="64" t="s">
        <v>1914</v>
      </c>
      <c r="E1091" s="64" t="s">
        <v>16</v>
      </c>
      <c r="F1091" s="64" t="s">
        <v>371</v>
      </c>
      <c r="G1091" s="64" t="s">
        <v>2711</v>
      </c>
      <c r="H1091" s="64" t="s">
        <v>2401</v>
      </c>
    </row>
    <row r="1092" spans="1:8" x14ac:dyDescent="0.3">
      <c r="A1092" s="64" t="s">
        <v>1813</v>
      </c>
      <c r="B1092" s="64" t="s">
        <v>568</v>
      </c>
      <c r="C1092" s="64" t="s">
        <v>1914</v>
      </c>
      <c r="D1092" s="64" t="s">
        <v>1914</v>
      </c>
      <c r="E1092" s="64" t="s">
        <v>16</v>
      </c>
      <c r="F1092" s="64" t="s">
        <v>372</v>
      </c>
      <c r="G1092" s="64" t="s">
        <v>2712</v>
      </c>
      <c r="H1092" s="64" t="s">
        <v>2402</v>
      </c>
    </row>
    <row r="1093" spans="1:8" x14ac:dyDescent="0.3">
      <c r="A1093" s="64" t="s">
        <v>1814</v>
      </c>
      <c r="B1093" s="64" t="s">
        <v>568</v>
      </c>
      <c r="C1093" s="64" t="s">
        <v>1914</v>
      </c>
      <c r="D1093" s="64" t="s">
        <v>1914</v>
      </c>
      <c r="E1093" s="64" t="s">
        <v>16</v>
      </c>
      <c r="F1093" s="64" t="s">
        <v>373</v>
      </c>
      <c r="G1093" s="64" t="s">
        <v>2713</v>
      </c>
      <c r="H1093" s="64" t="s">
        <v>2403</v>
      </c>
    </row>
    <row r="1094" spans="1:8" x14ac:dyDescent="0.3">
      <c r="A1094" s="64" t="s">
        <v>1815</v>
      </c>
      <c r="B1094" s="64" t="s">
        <v>568</v>
      </c>
      <c r="C1094" s="64" t="s">
        <v>1914</v>
      </c>
      <c r="D1094" s="64" t="s">
        <v>1914</v>
      </c>
      <c r="E1094" s="64" t="s">
        <v>16</v>
      </c>
      <c r="F1094" s="64" t="s">
        <v>374</v>
      </c>
      <c r="G1094" s="64" t="s">
        <v>2714</v>
      </c>
      <c r="H1094" s="64" t="s">
        <v>2404</v>
      </c>
    </row>
    <row r="1095" spans="1:8" x14ac:dyDescent="0.3">
      <c r="A1095" s="64" t="s">
        <v>1816</v>
      </c>
      <c r="B1095" s="64" t="s">
        <v>568</v>
      </c>
      <c r="C1095" s="64" t="s">
        <v>1914</v>
      </c>
      <c r="D1095" s="64" t="s">
        <v>1914</v>
      </c>
      <c r="E1095" s="64" t="s">
        <v>16</v>
      </c>
      <c r="F1095" s="64" t="s">
        <v>375</v>
      </c>
      <c r="G1095" s="64" t="s">
        <v>2715</v>
      </c>
      <c r="H1095" s="64" t="s">
        <v>2405</v>
      </c>
    </row>
    <row r="1096" spans="1:8" x14ac:dyDescent="0.3">
      <c r="A1096" s="64" t="s">
        <v>1817</v>
      </c>
      <c r="B1096" s="64" t="s">
        <v>568</v>
      </c>
      <c r="C1096" s="64" t="s">
        <v>1914</v>
      </c>
      <c r="D1096" s="64" t="s">
        <v>1914</v>
      </c>
      <c r="E1096" s="64" t="s">
        <v>16</v>
      </c>
      <c r="F1096" s="64" t="s">
        <v>376</v>
      </c>
      <c r="G1096" s="64" t="s">
        <v>2716</v>
      </c>
      <c r="H1096" s="64" t="s">
        <v>2406</v>
      </c>
    </row>
    <row r="1097" spans="1:8" x14ac:dyDescent="0.3">
      <c r="A1097" s="64" t="s">
        <v>1818</v>
      </c>
      <c r="B1097" s="64" t="s">
        <v>568</v>
      </c>
      <c r="C1097" s="64" t="s">
        <v>1914</v>
      </c>
      <c r="D1097" s="64" t="s">
        <v>1914</v>
      </c>
      <c r="E1097" s="64" t="s">
        <v>16</v>
      </c>
      <c r="F1097" s="64" t="s">
        <v>377</v>
      </c>
      <c r="G1097" s="64" t="s">
        <v>2717</v>
      </c>
      <c r="H1097" s="64" t="s">
        <v>2407</v>
      </c>
    </row>
    <row r="1098" spans="1:8" x14ac:dyDescent="0.3">
      <c r="A1098" s="64" t="s">
        <v>1819</v>
      </c>
      <c r="B1098" s="64" t="s">
        <v>568</v>
      </c>
      <c r="C1098" s="64" t="s">
        <v>1914</v>
      </c>
      <c r="D1098" s="64" t="s">
        <v>1914</v>
      </c>
      <c r="E1098" s="64" t="s">
        <v>16</v>
      </c>
      <c r="F1098" s="64" t="s">
        <v>378</v>
      </c>
      <c r="G1098" s="64" t="s">
        <v>2718</v>
      </c>
      <c r="H1098" s="64" t="s">
        <v>2408</v>
      </c>
    </row>
    <row r="1099" spans="1:8" x14ac:dyDescent="0.3">
      <c r="A1099" s="64" t="s">
        <v>1820</v>
      </c>
      <c r="B1099" s="64" t="s">
        <v>568</v>
      </c>
      <c r="C1099" s="64" t="s">
        <v>1914</v>
      </c>
      <c r="D1099" s="64" t="s">
        <v>1914</v>
      </c>
      <c r="E1099" s="64" t="s">
        <v>16</v>
      </c>
      <c r="F1099" s="64" t="s">
        <v>379</v>
      </c>
      <c r="G1099" s="64" t="s">
        <v>2719</v>
      </c>
      <c r="H1099" s="64" t="s">
        <v>2409</v>
      </c>
    </row>
    <row r="1100" spans="1:8" x14ac:dyDescent="0.3">
      <c r="A1100" s="64" t="s">
        <v>1821</v>
      </c>
      <c r="B1100" s="64" t="s">
        <v>568</v>
      </c>
      <c r="C1100" s="64" t="s">
        <v>1914</v>
      </c>
      <c r="D1100" s="64" t="s">
        <v>1914</v>
      </c>
      <c r="E1100" s="64" t="s">
        <v>16</v>
      </c>
      <c r="F1100" s="64" t="s">
        <v>380</v>
      </c>
      <c r="G1100" s="64" t="s">
        <v>2720</v>
      </c>
      <c r="H1100" s="64" t="s">
        <v>2410</v>
      </c>
    </row>
    <row r="1101" spans="1:8" x14ac:dyDescent="0.3">
      <c r="A1101" s="64" t="s">
        <v>1822</v>
      </c>
      <c r="B1101" s="64" t="s">
        <v>568</v>
      </c>
      <c r="C1101" s="64" t="s">
        <v>1914</v>
      </c>
      <c r="D1101" s="64" t="s">
        <v>1914</v>
      </c>
      <c r="E1101" s="64" t="s">
        <v>16</v>
      </c>
      <c r="F1101" s="64" t="s">
        <v>381</v>
      </c>
      <c r="G1101" s="64" t="s">
        <v>2721</v>
      </c>
      <c r="H1101" s="64" t="s">
        <v>2411</v>
      </c>
    </row>
    <row r="1102" spans="1:8" x14ac:dyDescent="0.3">
      <c r="A1102" s="64" t="s">
        <v>1823</v>
      </c>
      <c r="B1102" s="64" t="s">
        <v>568</v>
      </c>
      <c r="C1102" s="64" t="s">
        <v>1914</v>
      </c>
      <c r="D1102" s="64" t="s">
        <v>1914</v>
      </c>
      <c r="E1102" s="64" t="s">
        <v>16</v>
      </c>
      <c r="F1102" s="64" t="s">
        <v>382</v>
      </c>
      <c r="G1102" s="64" t="s">
        <v>2722</v>
      </c>
      <c r="H1102" s="64" t="s">
        <v>2412</v>
      </c>
    </row>
    <row r="1103" spans="1:8" x14ac:dyDescent="0.3">
      <c r="A1103" s="64" t="s">
        <v>1824</v>
      </c>
      <c r="B1103" s="64" t="s">
        <v>568</v>
      </c>
      <c r="C1103" s="64" t="s">
        <v>1914</v>
      </c>
      <c r="D1103" s="64" t="s">
        <v>1914</v>
      </c>
      <c r="E1103" s="64" t="s">
        <v>16</v>
      </c>
      <c r="F1103" s="64" t="s">
        <v>383</v>
      </c>
      <c r="G1103" s="64" t="s">
        <v>2723</v>
      </c>
      <c r="H1103" s="64" t="s">
        <v>2724</v>
      </c>
    </row>
    <row r="1104" spans="1:8" x14ac:dyDescent="0.3">
      <c r="A1104" s="64" t="s">
        <v>1825</v>
      </c>
      <c r="B1104" s="64" t="s">
        <v>459</v>
      </c>
      <c r="C1104" s="64" t="s">
        <v>845</v>
      </c>
      <c r="D1104" s="64" t="s">
        <v>1877</v>
      </c>
      <c r="E1104" s="64" t="s">
        <v>20</v>
      </c>
      <c r="F1104" s="64" t="s">
        <v>15</v>
      </c>
      <c r="G1104" s="64" t="s">
        <v>2725</v>
      </c>
      <c r="H1104" s="64" t="s">
        <v>1973</v>
      </c>
    </row>
    <row r="1105" spans="1:8" x14ac:dyDescent="0.3">
      <c r="A1105" s="64" t="s">
        <v>1826</v>
      </c>
      <c r="B1105" s="64" t="s">
        <v>459</v>
      </c>
      <c r="C1105" s="64" t="s">
        <v>845</v>
      </c>
      <c r="D1105" s="64" t="s">
        <v>1877</v>
      </c>
      <c r="E1105" s="64" t="s">
        <v>16</v>
      </c>
      <c r="F1105" s="64" t="s">
        <v>368</v>
      </c>
      <c r="G1105" s="64" t="s">
        <v>2726</v>
      </c>
      <c r="H1105" s="64" t="s">
        <v>2413</v>
      </c>
    </row>
    <row r="1106" spans="1:8" x14ac:dyDescent="0.3">
      <c r="A1106" s="64" t="s">
        <v>1827</v>
      </c>
      <c r="B1106" s="64" t="s">
        <v>459</v>
      </c>
      <c r="C1106" s="64" t="s">
        <v>845</v>
      </c>
      <c r="D1106" s="64" t="s">
        <v>1877</v>
      </c>
      <c r="E1106" s="64" t="s">
        <v>16</v>
      </c>
      <c r="F1106" s="64" t="s">
        <v>369</v>
      </c>
      <c r="G1106" s="64" t="s">
        <v>2727</v>
      </c>
      <c r="H1106" s="64" t="s">
        <v>2414</v>
      </c>
    </row>
    <row r="1107" spans="1:8" x14ac:dyDescent="0.3">
      <c r="A1107" s="64" t="s">
        <v>1828</v>
      </c>
      <c r="B1107" s="64" t="s">
        <v>459</v>
      </c>
      <c r="C1107" s="64" t="s">
        <v>845</v>
      </c>
      <c r="D1107" s="64" t="s">
        <v>1877</v>
      </c>
      <c r="E1107" s="64" t="s">
        <v>16</v>
      </c>
      <c r="F1107" s="64" t="s">
        <v>370</v>
      </c>
      <c r="G1107" s="64" t="s">
        <v>2728</v>
      </c>
      <c r="H1107" s="64" t="s">
        <v>2415</v>
      </c>
    </row>
    <row r="1108" spans="1:8" x14ac:dyDescent="0.3">
      <c r="A1108" s="64" t="s">
        <v>1829</v>
      </c>
      <c r="B1108" s="64" t="s">
        <v>459</v>
      </c>
      <c r="C1108" s="64" t="s">
        <v>845</v>
      </c>
      <c r="D1108" s="64" t="s">
        <v>1877</v>
      </c>
      <c r="E1108" s="64" t="s">
        <v>16</v>
      </c>
      <c r="F1108" s="64" t="s">
        <v>371</v>
      </c>
      <c r="G1108" s="64" t="s">
        <v>2729</v>
      </c>
      <c r="H1108" s="64" t="s">
        <v>2416</v>
      </c>
    </row>
    <row r="1109" spans="1:8" x14ac:dyDescent="0.3">
      <c r="A1109" s="64" t="s">
        <v>1830</v>
      </c>
      <c r="B1109" s="64" t="s">
        <v>459</v>
      </c>
      <c r="C1109" s="64" t="s">
        <v>845</v>
      </c>
      <c r="D1109" s="64" t="s">
        <v>1877</v>
      </c>
      <c r="E1109" s="64" t="s">
        <v>16</v>
      </c>
      <c r="F1109" s="64" t="s">
        <v>372</v>
      </c>
      <c r="G1109" s="64" t="s">
        <v>2730</v>
      </c>
      <c r="H1109" s="64" t="s">
        <v>2417</v>
      </c>
    </row>
    <row r="1110" spans="1:8" x14ac:dyDescent="0.3">
      <c r="A1110" s="64" t="s">
        <v>1831</v>
      </c>
      <c r="B1110" s="64" t="s">
        <v>459</v>
      </c>
      <c r="C1110" s="64" t="s">
        <v>845</v>
      </c>
      <c r="D1110" s="64" t="s">
        <v>1877</v>
      </c>
      <c r="E1110" s="64" t="s">
        <v>16</v>
      </c>
      <c r="F1110" s="64" t="s">
        <v>373</v>
      </c>
      <c r="G1110" s="64" t="s">
        <v>2731</v>
      </c>
      <c r="H1110" s="64" t="s">
        <v>2418</v>
      </c>
    </row>
    <row r="1111" spans="1:8" x14ac:dyDescent="0.3">
      <c r="A1111" s="64" t="s">
        <v>1832</v>
      </c>
      <c r="B1111" s="64" t="s">
        <v>459</v>
      </c>
      <c r="C1111" s="64" t="s">
        <v>845</v>
      </c>
      <c r="D1111" s="64" t="s">
        <v>1877</v>
      </c>
      <c r="E1111" s="64" t="s">
        <v>16</v>
      </c>
      <c r="F1111" s="64" t="s">
        <v>374</v>
      </c>
      <c r="G1111" s="64" t="s">
        <v>2732</v>
      </c>
      <c r="H1111" s="64" t="s">
        <v>2419</v>
      </c>
    </row>
    <row r="1112" spans="1:8" x14ac:dyDescent="0.3">
      <c r="A1112" s="64" t="s">
        <v>1833</v>
      </c>
      <c r="B1112" s="64" t="s">
        <v>459</v>
      </c>
      <c r="C1112" s="64" t="s">
        <v>845</v>
      </c>
      <c r="D1112" s="64" t="s">
        <v>1877</v>
      </c>
      <c r="E1112" s="64" t="s">
        <v>16</v>
      </c>
      <c r="F1112" s="64" t="s">
        <v>375</v>
      </c>
      <c r="G1112" s="64" t="s">
        <v>2733</v>
      </c>
      <c r="H1112" s="64" t="s">
        <v>2420</v>
      </c>
    </row>
    <row r="1113" spans="1:8" x14ac:dyDescent="0.3">
      <c r="A1113" s="64" t="s">
        <v>1363</v>
      </c>
      <c r="B1113" s="64" t="s">
        <v>459</v>
      </c>
      <c r="C1113" s="64" t="s">
        <v>845</v>
      </c>
      <c r="D1113" s="64" t="s">
        <v>1877</v>
      </c>
      <c r="E1113" s="64" t="s">
        <v>16</v>
      </c>
      <c r="F1113" s="64" t="s">
        <v>376</v>
      </c>
      <c r="G1113" s="64" t="s">
        <v>2734</v>
      </c>
      <c r="H1113" s="64" t="s">
        <v>2421</v>
      </c>
    </row>
    <row r="1114" spans="1:8" x14ac:dyDescent="0.3">
      <c r="A1114" s="64" t="s">
        <v>1364</v>
      </c>
      <c r="B1114" s="64" t="s">
        <v>459</v>
      </c>
      <c r="C1114" s="64" t="s">
        <v>845</v>
      </c>
      <c r="D1114" s="64" t="s">
        <v>1877</v>
      </c>
      <c r="E1114" s="64" t="s">
        <v>16</v>
      </c>
      <c r="F1114" s="64" t="s">
        <v>377</v>
      </c>
      <c r="G1114" s="64" t="s">
        <v>2735</v>
      </c>
      <c r="H1114" s="64" t="s">
        <v>2422</v>
      </c>
    </row>
    <row r="1115" spans="1:8" x14ac:dyDescent="0.3">
      <c r="A1115" s="64" t="s">
        <v>1365</v>
      </c>
      <c r="B1115" s="64" t="s">
        <v>459</v>
      </c>
      <c r="C1115" s="64" t="s">
        <v>845</v>
      </c>
      <c r="D1115" s="64" t="s">
        <v>1877</v>
      </c>
      <c r="E1115" s="64" t="s">
        <v>16</v>
      </c>
      <c r="F1115" s="64" t="s">
        <v>378</v>
      </c>
      <c r="G1115" s="64" t="s">
        <v>2736</v>
      </c>
      <c r="H1115" s="64" t="s">
        <v>2423</v>
      </c>
    </row>
    <row r="1116" spans="1:8" x14ac:dyDescent="0.3">
      <c r="A1116" s="64" t="s">
        <v>1366</v>
      </c>
      <c r="B1116" s="64" t="s">
        <v>459</v>
      </c>
      <c r="C1116" s="64" t="s">
        <v>845</v>
      </c>
      <c r="D1116" s="64" t="s">
        <v>1877</v>
      </c>
      <c r="E1116" s="64" t="s">
        <v>16</v>
      </c>
      <c r="F1116" s="64" t="s">
        <v>379</v>
      </c>
      <c r="G1116" s="64" t="s">
        <v>2737</v>
      </c>
      <c r="H1116" s="64" t="s">
        <v>2424</v>
      </c>
    </row>
    <row r="1117" spans="1:8" x14ac:dyDescent="0.3">
      <c r="A1117" s="64" t="s">
        <v>1367</v>
      </c>
      <c r="B1117" s="64" t="s">
        <v>568</v>
      </c>
      <c r="C1117" s="64" t="s">
        <v>1914</v>
      </c>
      <c r="D1117" s="64" t="s">
        <v>1914</v>
      </c>
      <c r="E1117" s="64" t="s">
        <v>16</v>
      </c>
      <c r="F1117" s="64" t="s">
        <v>380</v>
      </c>
      <c r="G1117" s="64" t="s">
        <v>2756</v>
      </c>
      <c r="H1117" s="64" t="s">
        <v>2440</v>
      </c>
    </row>
    <row r="1118" spans="1:8" x14ac:dyDescent="0.3">
      <c r="A1118" s="64" t="s">
        <v>1913</v>
      </c>
      <c r="B1118" s="64" t="s">
        <v>459</v>
      </c>
      <c r="C1118" s="64" t="s">
        <v>845</v>
      </c>
      <c r="D1118" s="64" t="s">
        <v>1877</v>
      </c>
      <c r="E1118" s="64" t="s">
        <v>16</v>
      </c>
      <c r="F1118" s="64" t="s">
        <v>381</v>
      </c>
      <c r="G1118" s="64" t="s">
        <v>2739</v>
      </c>
      <c r="H1118" s="64" t="s">
        <v>2426</v>
      </c>
    </row>
    <row r="1119" spans="1:8" x14ac:dyDescent="0.3">
      <c r="A1119" s="64" t="s">
        <v>1917</v>
      </c>
      <c r="B1119" s="64" t="s">
        <v>459</v>
      </c>
      <c r="C1119" s="64" t="s">
        <v>845</v>
      </c>
      <c r="D1119" s="64" t="s">
        <v>1877</v>
      </c>
      <c r="E1119" s="64" t="s">
        <v>16</v>
      </c>
      <c r="F1119" s="64" t="s">
        <v>382</v>
      </c>
      <c r="G1119" s="64" t="s">
        <v>2740</v>
      </c>
      <c r="H1119" s="64" t="s">
        <v>2427</v>
      </c>
    </row>
    <row r="1120" spans="1:8" x14ac:dyDescent="0.3">
      <c r="A1120" s="64" t="s">
        <v>1918</v>
      </c>
      <c r="B1120" s="64" t="s">
        <v>459</v>
      </c>
      <c r="C1120" s="64" t="s">
        <v>845</v>
      </c>
      <c r="D1120" s="64" t="s">
        <v>1877</v>
      </c>
      <c r="E1120" s="64" t="s">
        <v>16</v>
      </c>
      <c r="F1120" s="64" t="s">
        <v>383</v>
      </c>
      <c r="G1120" s="64" t="s">
        <v>2741</v>
      </c>
      <c r="H1120" s="64" t="s">
        <v>2742</v>
      </c>
    </row>
    <row r="1121" spans="1:8" x14ac:dyDescent="0.3">
      <c r="A1121" s="64" t="s">
        <v>1919</v>
      </c>
      <c r="B1121" s="64" t="s">
        <v>568</v>
      </c>
      <c r="C1121" s="64" t="s">
        <v>1914</v>
      </c>
      <c r="D1121" s="64" t="s">
        <v>1914</v>
      </c>
      <c r="E1121" s="64" t="s">
        <v>20</v>
      </c>
      <c r="F1121" s="64" t="s">
        <v>15</v>
      </c>
      <c r="G1121" s="64" t="s">
        <v>2743</v>
      </c>
      <c r="H1121" s="64" t="s">
        <v>1992</v>
      </c>
    </row>
    <row r="1122" spans="1:8" x14ac:dyDescent="0.3">
      <c r="A1122" s="64" t="s">
        <v>1920</v>
      </c>
      <c r="B1122" s="64" t="s">
        <v>568</v>
      </c>
      <c r="C1122" s="64" t="s">
        <v>1914</v>
      </c>
      <c r="D1122" s="64" t="s">
        <v>1914</v>
      </c>
      <c r="E1122" s="64" t="s">
        <v>16</v>
      </c>
      <c r="F1122" s="64" t="s">
        <v>368</v>
      </c>
      <c r="G1122" s="64" t="s">
        <v>2744</v>
      </c>
      <c r="H1122" s="64" t="s">
        <v>2428</v>
      </c>
    </row>
    <row r="1123" spans="1:8" x14ac:dyDescent="0.3">
      <c r="A1123" s="64" t="s">
        <v>1921</v>
      </c>
      <c r="B1123" s="64" t="s">
        <v>568</v>
      </c>
      <c r="C1123" s="64" t="s">
        <v>1914</v>
      </c>
      <c r="D1123" s="64" t="s">
        <v>1914</v>
      </c>
      <c r="E1123" s="64" t="s">
        <v>16</v>
      </c>
      <c r="F1123" s="64" t="s">
        <v>369</v>
      </c>
      <c r="G1123" s="64" t="s">
        <v>2745</v>
      </c>
      <c r="H1123" s="64" t="s">
        <v>2429</v>
      </c>
    </row>
    <row r="1124" spans="1:8" x14ac:dyDescent="0.3">
      <c r="A1124" s="64" t="s">
        <v>1922</v>
      </c>
      <c r="B1124" s="64" t="s">
        <v>568</v>
      </c>
      <c r="C1124" s="64" t="s">
        <v>1914</v>
      </c>
      <c r="D1124" s="64" t="s">
        <v>1914</v>
      </c>
      <c r="E1124" s="64" t="s">
        <v>16</v>
      </c>
      <c r="F1124" s="64" t="s">
        <v>370</v>
      </c>
      <c r="G1124" s="64" t="s">
        <v>2746</v>
      </c>
      <c r="H1124" s="64" t="s">
        <v>2430</v>
      </c>
    </row>
    <row r="1125" spans="1:8" x14ac:dyDescent="0.3">
      <c r="A1125" s="64" t="s">
        <v>1923</v>
      </c>
      <c r="B1125" s="64" t="s">
        <v>568</v>
      </c>
      <c r="C1125" s="64" t="s">
        <v>1914</v>
      </c>
      <c r="D1125" s="64" t="s">
        <v>1914</v>
      </c>
      <c r="E1125" s="64" t="s">
        <v>16</v>
      </c>
      <c r="F1125" s="64" t="s">
        <v>371</v>
      </c>
      <c r="G1125" s="64" t="s">
        <v>2747</v>
      </c>
      <c r="H1125" s="64" t="s">
        <v>2431</v>
      </c>
    </row>
    <row r="1126" spans="1:8" x14ac:dyDescent="0.3">
      <c r="A1126" s="64" t="s">
        <v>1924</v>
      </c>
      <c r="B1126" s="64" t="s">
        <v>568</v>
      </c>
      <c r="C1126" s="64" t="s">
        <v>1914</v>
      </c>
      <c r="D1126" s="64" t="s">
        <v>1914</v>
      </c>
      <c r="E1126" s="64" t="s">
        <v>16</v>
      </c>
      <c r="F1126" s="64" t="s">
        <v>372</v>
      </c>
      <c r="G1126" s="64" t="s">
        <v>2748</v>
      </c>
      <c r="H1126" s="64" t="s">
        <v>2432</v>
      </c>
    </row>
    <row r="1127" spans="1:8" x14ac:dyDescent="0.3">
      <c r="A1127" s="64" t="s">
        <v>1925</v>
      </c>
      <c r="B1127" s="64" t="s">
        <v>568</v>
      </c>
      <c r="C1127" s="64" t="s">
        <v>1914</v>
      </c>
      <c r="D1127" s="64" t="s">
        <v>1914</v>
      </c>
      <c r="E1127" s="64" t="s">
        <v>16</v>
      </c>
      <c r="F1127" s="64" t="s">
        <v>373</v>
      </c>
      <c r="G1127" s="64" t="s">
        <v>2749</v>
      </c>
      <c r="H1127" s="64" t="s">
        <v>2433</v>
      </c>
    </row>
    <row r="1128" spans="1:8" x14ac:dyDescent="0.3">
      <c r="A1128" s="64" t="s">
        <v>1926</v>
      </c>
      <c r="B1128" s="64" t="s">
        <v>568</v>
      </c>
      <c r="C1128" s="64" t="s">
        <v>1914</v>
      </c>
      <c r="D1128" s="64" t="s">
        <v>1914</v>
      </c>
      <c r="E1128" s="64" t="s">
        <v>16</v>
      </c>
      <c r="F1128" s="64" t="s">
        <v>374</v>
      </c>
      <c r="G1128" s="64" t="s">
        <v>2750</v>
      </c>
      <c r="H1128" s="64" t="s">
        <v>2434</v>
      </c>
    </row>
    <row r="1129" spans="1:8" x14ac:dyDescent="0.3">
      <c r="A1129" s="64" t="s">
        <v>1927</v>
      </c>
      <c r="B1129" s="64" t="s">
        <v>568</v>
      </c>
      <c r="C1129" s="64" t="s">
        <v>1914</v>
      </c>
      <c r="D1129" s="64" t="s">
        <v>1914</v>
      </c>
      <c r="E1129" s="64" t="s">
        <v>16</v>
      </c>
      <c r="F1129" s="64" t="s">
        <v>375</v>
      </c>
      <c r="G1129" s="64" t="s">
        <v>2751</v>
      </c>
      <c r="H1129" s="64" t="s">
        <v>2435</v>
      </c>
    </row>
    <row r="1130" spans="1:8" x14ac:dyDescent="0.3">
      <c r="A1130" s="64" t="s">
        <v>1928</v>
      </c>
      <c r="B1130" s="64" t="s">
        <v>568</v>
      </c>
      <c r="C1130" s="64" t="s">
        <v>1914</v>
      </c>
      <c r="D1130" s="64" t="s">
        <v>1914</v>
      </c>
      <c r="E1130" s="64" t="s">
        <v>16</v>
      </c>
      <c r="F1130" s="64" t="s">
        <v>376</v>
      </c>
      <c r="G1130" s="64" t="s">
        <v>2752</v>
      </c>
      <c r="H1130" s="64" t="s">
        <v>2436</v>
      </c>
    </row>
    <row r="1131" spans="1:8" x14ac:dyDescent="0.3">
      <c r="A1131" s="64" t="s">
        <v>1929</v>
      </c>
      <c r="B1131" s="64" t="s">
        <v>568</v>
      </c>
      <c r="C1131" s="64" t="s">
        <v>1914</v>
      </c>
      <c r="D1131" s="64" t="s">
        <v>1914</v>
      </c>
      <c r="E1131" s="64" t="s">
        <v>16</v>
      </c>
      <c r="F1131" s="64" t="s">
        <v>377</v>
      </c>
      <c r="G1131" s="64" t="s">
        <v>2753</v>
      </c>
      <c r="H1131" s="64" t="s">
        <v>2437</v>
      </c>
    </row>
    <row r="1132" spans="1:8" x14ac:dyDescent="0.3">
      <c r="A1132" s="64" t="s">
        <v>1930</v>
      </c>
      <c r="B1132" s="64" t="s">
        <v>568</v>
      </c>
      <c r="C1132" s="64" t="s">
        <v>1914</v>
      </c>
      <c r="D1132" s="64" t="s">
        <v>1914</v>
      </c>
      <c r="E1132" s="64" t="s">
        <v>16</v>
      </c>
      <c r="F1132" s="64" t="s">
        <v>378</v>
      </c>
      <c r="G1132" s="64" t="s">
        <v>2754</v>
      </c>
      <c r="H1132" s="64" t="s">
        <v>2438</v>
      </c>
    </row>
    <row r="1133" spans="1:8" x14ac:dyDescent="0.3">
      <c r="A1133" s="64" t="s">
        <v>1931</v>
      </c>
      <c r="B1133" s="64" t="s">
        <v>568</v>
      </c>
      <c r="C1133" s="64" t="s">
        <v>1914</v>
      </c>
      <c r="D1133" s="64" t="s">
        <v>1914</v>
      </c>
      <c r="E1133" s="64" t="s">
        <v>16</v>
      </c>
      <c r="F1133" s="64" t="s">
        <v>379</v>
      </c>
      <c r="G1133" s="64" t="s">
        <v>2755</v>
      </c>
      <c r="H1133" s="64" t="s">
        <v>2439</v>
      </c>
    </row>
    <row r="1134" spans="1:8" x14ac:dyDescent="0.3">
      <c r="A1134" s="64" t="s">
        <v>1932</v>
      </c>
      <c r="B1134" s="64" t="s">
        <v>568</v>
      </c>
      <c r="C1134" s="64" t="s">
        <v>1914</v>
      </c>
      <c r="D1134" s="64" t="s">
        <v>1914</v>
      </c>
      <c r="E1134" s="64" t="s">
        <v>16</v>
      </c>
      <c r="F1134" s="64" t="s">
        <v>381</v>
      </c>
      <c r="G1134" s="64" t="s">
        <v>2757</v>
      </c>
      <c r="H1134" s="64" t="s">
        <v>2441</v>
      </c>
    </row>
    <row r="1135" spans="1:8" x14ac:dyDescent="0.3">
      <c r="A1135" s="64" t="s">
        <v>1936</v>
      </c>
      <c r="B1135" s="64" t="s">
        <v>568</v>
      </c>
      <c r="C1135" s="64" t="s">
        <v>1914</v>
      </c>
      <c r="D1135" s="64" t="s">
        <v>1914</v>
      </c>
      <c r="E1135" s="64" t="s">
        <v>16</v>
      </c>
      <c r="F1135" s="64" t="s">
        <v>382</v>
      </c>
      <c r="G1135" s="64" t="s">
        <v>2758</v>
      </c>
      <c r="H1135" s="64" t="s">
        <v>2442</v>
      </c>
    </row>
    <row r="1136" spans="1:8" x14ac:dyDescent="0.3">
      <c r="A1136" s="64" t="s">
        <v>1937</v>
      </c>
      <c r="B1136" s="64" t="s">
        <v>568</v>
      </c>
      <c r="C1136" s="64" t="s">
        <v>1914</v>
      </c>
      <c r="D1136" s="64" t="s">
        <v>1914</v>
      </c>
      <c r="E1136" s="64" t="s">
        <v>16</v>
      </c>
      <c r="F1136" s="64" t="s">
        <v>383</v>
      </c>
      <c r="G1136" s="64" t="s">
        <v>2759</v>
      </c>
      <c r="H1136" s="64" t="s">
        <v>2760</v>
      </c>
    </row>
    <row r="1137" spans="1:8" x14ac:dyDescent="0.3">
      <c r="A1137" s="64" t="s">
        <v>1938</v>
      </c>
      <c r="B1137" s="64" t="s">
        <v>1375</v>
      </c>
      <c r="C1137" s="64" t="s">
        <v>2011</v>
      </c>
      <c r="D1137" s="64" t="s">
        <v>2700</v>
      </c>
      <c r="E1137" s="64" t="s">
        <v>20</v>
      </c>
      <c r="F1137" s="64" t="s">
        <v>15</v>
      </c>
      <c r="G1137" s="64" t="s">
        <v>2761</v>
      </c>
      <c r="H1137" s="64" t="s">
        <v>2016</v>
      </c>
    </row>
    <row r="1138" spans="1:8" x14ac:dyDescent="0.3">
      <c r="A1138" s="64" t="s">
        <v>1939</v>
      </c>
      <c r="B1138" s="64" t="s">
        <v>1375</v>
      </c>
      <c r="C1138" s="64" t="s">
        <v>2011</v>
      </c>
      <c r="D1138" s="64" t="s">
        <v>2700</v>
      </c>
      <c r="E1138" s="64" t="s">
        <v>16</v>
      </c>
      <c r="F1138" s="64" t="s">
        <v>368</v>
      </c>
      <c r="G1138" s="64" t="s">
        <v>2762</v>
      </c>
      <c r="H1138" s="64" t="s">
        <v>2443</v>
      </c>
    </row>
    <row r="1139" spans="1:8" x14ac:dyDescent="0.3">
      <c r="A1139" s="64" t="s">
        <v>1940</v>
      </c>
      <c r="B1139" s="64" t="s">
        <v>1375</v>
      </c>
      <c r="C1139" s="64" t="s">
        <v>2011</v>
      </c>
      <c r="D1139" s="64" t="s">
        <v>2700</v>
      </c>
      <c r="E1139" s="64" t="s">
        <v>16</v>
      </c>
      <c r="F1139" s="64" t="s">
        <v>369</v>
      </c>
      <c r="G1139" s="64" t="s">
        <v>2763</v>
      </c>
      <c r="H1139" s="64" t="s">
        <v>2444</v>
      </c>
    </row>
    <row r="1140" spans="1:8" x14ac:dyDescent="0.3">
      <c r="A1140" s="64" t="s">
        <v>1941</v>
      </c>
      <c r="B1140" s="64" t="s">
        <v>1375</v>
      </c>
      <c r="C1140" s="64" t="s">
        <v>2011</v>
      </c>
      <c r="D1140" s="64" t="s">
        <v>2700</v>
      </c>
      <c r="E1140" s="64" t="s">
        <v>16</v>
      </c>
      <c r="F1140" s="64" t="s">
        <v>370</v>
      </c>
      <c r="G1140" s="64" t="s">
        <v>2764</v>
      </c>
      <c r="H1140" s="64" t="s">
        <v>2445</v>
      </c>
    </row>
    <row r="1141" spans="1:8" x14ac:dyDescent="0.3">
      <c r="A1141" s="64" t="s">
        <v>1942</v>
      </c>
      <c r="B1141" s="64" t="s">
        <v>1375</v>
      </c>
      <c r="C1141" s="64" t="s">
        <v>2011</v>
      </c>
      <c r="D1141" s="64" t="s">
        <v>2700</v>
      </c>
      <c r="E1141" s="64" t="s">
        <v>16</v>
      </c>
      <c r="F1141" s="64" t="s">
        <v>371</v>
      </c>
      <c r="G1141" s="64" t="s">
        <v>2765</v>
      </c>
      <c r="H1141" s="64" t="s">
        <v>2446</v>
      </c>
    </row>
    <row r="1142" spans="1:8" x14ac:dyDescent="0.3">
      <c r="A1142" s="64" t="s">
        <v>1943</v>
      </c>
      <c r="B1142" s="64" t="s">
        <v>1375</v>
      </c>
      <c r="C1142" s="64" t="s">
        <v>2011</v>
      </c>
      <c r="D1142" s="64" t="s">
        <v>2700</v>
      </c>
      <c r="E1142" s="64" t="s">
        <v>16</v>
      </c>
      <c r="F1142" s="64" t="s">
        <v>372</v>
      </c>
      <c r="G1142" s="64" t="s">
        <v>2766</v>
      </c>
      <c r="H1142" s="64" t="s">
        <v>2447</v>
      </c>
    </row>
    <row r="1143" spans="1:8" x14ac:dyDescent="0.3">
      <c r="A1143" s="64" t="s">
        <v>1944</v>
      </c>
      <c r="B1143" s="64" t="s">
        <v>1375</v>
      </c>
      <c r="C1143" s="64" t="s">
        <v>2011</v>
      </c>
      <c r="D1143" s="64" t="s">
        <v>2700</v>
      </c>
      <c r="E1143" s="64" t="s">
        <v>16</v>
      </c>
      <c r="F1143" s="64" t="s">
        <v>373</v>
      </c>
      <c r="G1143" s="64" t="s">
        <v>2767</v>
      </c>
      <c r="H1143" s="64" t="s">
        <v>2448</v>
      </c>
    </row>
    <row r="1144" spans="1:8" x14ac:dyDescent="0.3">
      <c r="A1144" s="64" t="s">
        <v>1945</v>
      </c>
      <c r="B1144" s="64" t="s">
        <v>1375</v>
      </c>
      <c r="C1144" s="64" t="s">
        <v>2011</v>
      </c>
      <c r="D1144" s="64" t="s">
        <v>2700</v>
      </c>
      <c r="E1144" s="64" t="s">
        <v>16</v>
      </c>
      <c r="F1144" s="64" t="s">
        <v>374</v>
      </c>
      <c r="G1144" s="64" t="s">
        <v>2768</v>
      </c>
      <c r="H1144" s="64" t="s">
        <v>2449</v>
      </c>
    </row>
    <row r="1145" spans="1:8" x14ac:dyDescent="0.3">
      <c r="A1145" s="64" t="s">
        <v>1946</v>
      </c>
      <c r="B1145" s="64" t="s">
        <v>1375</v>
      </c>
      <c r="C1145" s="64" t="s">
        <v>2011</v>
      </c>
      <c r="D1145" s="64" t="s">
        <v>2700</v>
      </c>
      <c r="E1145" s="64" t="s">
        <v>16</v>
      </c>
      <c r="F1145" s="64" t="s">
        <v>375</v>
      </c>
      <c r="G1145" s="64" t="s">
        <v>2769</v>
      </c>
      <c r="H1145" s="64" t="s">
        <v>2450</v>
      </c>
    </row>
    <row r="1146" spans="1:8" x14ac:dyDescent="0.3">
      <c r="A1146" s="64" t="s">
        <v>1947</v>
      </c>
      <c r="B1146" s="64" t="s">
        <v>1375</v>
      </c>
      <c r="C1146" s="64" t="s">
        <v>2011</v>
      </c>
      <c r="D1146" s="64" t="s">
        <v>2700</v>
      </c>
      <c r="E1146" s="64" t="s">
        <v>16</v>
      </c>
      <c r="F1146" s="64" t="s">
        <v>376</v>
      </c>
      <c r="G1146" s="64" t="s">
        <v>2770</v>
      </c>
      <c r="H1146" s="64" t="s">
        <v>2451</v>
      </c>
    </row>
    <row r="1147" spans="1:8" x14ac:dyDescent="0.3">
      <c r="A1147" s="64" t="s">
        <v>1948</v>
      </c>
      <c r="B1147" s="64" t="s">
        <v>1375</v>
      </c>
      <c r="C1147" s="64" t="s">
        <v>2011</v>
      </c>
      <c r="D1147" s="64" t="s">
        <v>2700</v>
      </c>
      <c r="E1147" s="64" t="s">
        <v>16</v>
      </c>
      <c r="F1147" s="64" t="s">
        <v>377</v>
      </c>
      <c r="G1147" s="64" t="s">
        <v>2771</v>
      </c>
      <c r="H1147" s="64" t="s">
        <v>2452</v>
      </c>
    </row>
    <row r="1148" spans="1:8" x14ac:dyDescent="0.3">
      <c r="A1148" s="64" t="s">
        <v>1949</v>
      </c>
      <c r="B1148" s="64" t="s">
        <v>1375</v>
      </c>
      <c r="C1148" s="64" t="s">
        <v>2011</v>
      </c>
      <c r="D1148" s="64" t="s">
        <v>2700</v>
      </c>
      <c r="E1148" s="64" t="s">
        <v>16</v>
      </c>
      <c r="F1148" s="64" t="s">
        <v>378</v>
      </c>
      <c r="G1148" s="64" t="s">
        <v>2772</v>
      </c>
      <c r="H1148" s="64" t="s">
        <v>2453</v>
      </c>
    </row>
    <row r="1149" spans="1:8" x14ac:dyDescent="0.3">
      <c r="A1149" s="64" t="s">
        <v>1950</v>
      </c>
      <c r="B1149" s="64" t="s">
        <v>1375</v>
      </c>
      <c r="C1149" s="64" t="s">
        <v>2011</v>
      </c>
      <c r="D1149" s="64" t="s">
        <v>2700</v>
      </c>
      <c r="E1149" s="64" t="s">
        <v>16</v>
      </c>
      <c r="F1149" s="64" t="s">
        <v>379</v>
      </c>
      <c r="G1149" s="64" t="s">
        <v>2773</v>
      </c>
      <c r="H1149" s="64" t="s">
        <v>2454</v>
      </c>
    </row>
    <row r="1150" spans="1:8" x14ac:dyDescent="0.3">
      <c r="A1150" s="64" t="s">
        <v>1951</v>
      </c>
      <c r="B1150" s="64" t="s">
        <v>1375</v>
      </c>
      <c r="C1150" s="64" t="s">
        <v>2011</v>
      </c>
      <c r="D1150" s="64" t="s">
        <v>2700</v>
      </c>
      <c r="E1150" s="64" t="s">
        <v>16</v>
      </c>
      <c r="F1150" s="64" t="s">
        <v>380</v>
      </c>
      <c r="G1150" s="64" t="s">
        <v>2774</v>
      </c>
      <c r="H1150" s="64" t="s">
        <v>2455</v>
      </c>
    </row>
    <row r="1151" spans="1:8" x14ac:dyDescent="0.3">
      <c r="A1151" s="64" t="s">
        <v>1952</v>
      </c>
      <c r="B1151" s="64" t="s">
        <v>1375</v>
      </c>
      <c r="C1151" s="64" t="s">
        <v>2011</v>
      </c>
      <c r="D1151" s="64" t="s">
        <v>2700</v>
      </c>
      <c r="E1151" s="64" t="s">
        <v>16</v>
      </c>
      <c r="F1151" s="64" t="s">
        <v>381</v>
      </c>
      <c r="G1151" s="64" t="s">
        <v>2775</v>
      </c>
      <c r="H1151" s="64" t="s">
        <v>2456</v>
      </c>
    </row>
    <row r="1152" spans="1:8" x14ac:dyDescent="0.3">
      <c r="A1152" s="64" t="s">
        <v>1954</v>
      </c>
      <c r="B1152" s="64" t="s">
        <v>1375</v>
      </c>
      <c r="C1152" s="64" t="s">
        <v>2011</v>
      </c>
      <c r="D1152" s="64" t="s">
        <v>2700</v>
      </c>
      <c r="E1152" s="64" t="s">
        <v>16</v>
      </c>
      <c r="F1152" s="64" t="s">
        <v>382</v>
      </c>
      <c r="G1152" s="64" t="s">
        <v>2776</v>
      </c>
      <c r="H1152" s="64" t="s">
        <v>2457</v>
      </c>
    </row>
    <row r="1153" spans="1:8" x14ac:dyDescent="0.3">
      <c r="A1153" s="64" t="s">
        <v>1955</v>
      </c>
      <c r="B1153" s="64" t="s">
        <v>1375</v>
      </c>
      <c r="C1153" s="64" t="s">
        <v>2011</v>
      </c>
      <c r="D1153" s="64" t="s">
        <v>2700</v>
      </c>
      <c r="E1153" s="64" t="s">
        <v>16</v>
      </c>
      <c r="F1153" s="64" t="s">
        <v>383</v>
      </c>
      <c r="G1153" s="64" t="s">
        <v>2777</v>
      </c>
      <c r="H1153" s="64" t="s">
        <v>2778</v>
      </c>
    </row>
    <row r="1154" spans="1:8" x14ac:dyDescent="0.3">
      <c r="A1154" s="64" t="s">
        <v>1956</v>
      </c>
      <c r="B1154" s="64" t="s">
        <v>1375</v>
      </c>
      <c r="C1154" s="64" t="s">
        <v>1376</v>
      </c>
      <c r="D1154" s="64" t="s">
        <v>2700</v>
      </c>
      <c r="E1154" s="64" t="s">
        <v>20</v>
      </c>
      <c r="F1154" s="64" t="s">
        <v>15</v>
      </c>
      <c r="G1154" s="64" t="s">
        <v>2779</v>
      </c>
      <c r="H1154" s="64" t="s">
        <v>2035</v>
      </c>
    </row>
    <row r="1155" spans="1:8" x14ac:dyDescent="0.3">
      <c r="A1155" s="64" t="s">
        <v>1957</v>
      </c>
      <c r="B1155" s="64" t="s">
        <v>1375</v>
      </c>
      <c r="C1155" s="64" t="s">
        <v>1376</v>
      </c>
      <c r="D1155" s="64" t="s">
        <v>2700</v>
      </c>
      <c r="E1155" s="64" t="s">
        <v>16</v>
      </c>
      <c r="F1155" s="64" t="s">
        <v>368</v>
      </c>
      <c r="G1155" s="64" t="s">
        <v>2780</v>
      </c>
      <c r="H1155" s="64" t="s">
        <v>2458</v>
      </c>
    </row>
    <row r="1156" spans="1:8" x14ac:dyDescent="0.3">
      <c r="A1156" s="64" t="s">
        <v>1958</v>
      </c>
      <c r="B1156" s="64" t="s">
        <v>1375</v>
      </c>
      <c r="C1156" s="64" t="s">
        <v>1376</v>
      </c>
      <c r="D1156" s="64" t="s">
        <v>2700</v>
      </c>
      <c r="E1156" s="64" t="s">
        <v>16</v>
      </c>
      <c r="F1156" s="64" t="s">
        <v>369</v>
      </c>
      <c r="G1156" s="64" t="s">
        <v>2781</v>
      </c>
      <c r="H1156" s="64" t="s">
        <v>2459</v>
      </c>
    </row>
    <row r="1157" spans="1:8" x14ac:dyDescent="0.3">
      <c r="A1157" s="64" t="s">
        <v>1959</v>
      </c>
      <c r="B1157" s="64" t="s">
        <v>1375</v>
      </c>
      <c r="C1157" s="64" t="s">
        <v>1376</v>
      </c>
      <c r="D1157" s="64" t="s">
        <v>2700</v>
      </c>
      <c r="E1157" s="64" t="s">
        <v>16</v>
      </c>
      <c r="F1157" s="64" t="s">
        <v>370</v>
      </c>
      <c r="G1157" s="64" t="s">
        <v>2782</v>
      </c>
      <c r="H1157" s="64" t="s">
        <v>2460</v>
      </c>
    </row>
    <row r="1158" spans="1:8" x14ac:dyDescent="0.3">
      <c r="A1158" s="64" t="s">
        <v>1960</v>
      </c>
      <c r="B1158" s="64" t="s">
        <v>1375</v>
      </c>
      <c r="C1158" s="64" t="s">
        <v>1376</v>
      </c>
      <c r="D1158" s="64" t="s">
        <v>2700</v>
      </c>
      <c r="E1158" s="64" t="s">
        <v>16</v>
      </c>
      <c r="F1158" s="64" t="s">
        <v>371</v>
      </c>
      <c r="G1158" s="64" t="s">
        <v>2783</v>
      </c>
      <c r="H1158" s="64" t="s">
        <v>2461</v>
      </c>
    </row>
    <row r="1159" spans="1:8" x14ac:dyDescent="0.3">
      <c r="A1159" s="64" t="s">
        <v>1961</v>
      </c>
      <c r="B1159" s="64" t="s">
        <v>1375</v>
      </c>
      <c r="C1159" s="64" t="s">
        <v>1376</v>
      </c>
      <c r="D1159" s="64" t="s">
        <v>2700</v>
      </c>
      <c r="E1159" s="64" t="s">
        <v>16</v>
      </c>
      <c r="F1159" s="64" t="s">
        <v>372</v>
      </c>
      <c r="G1159" s="64" t="s">
        <v>2784</v>
      </c>
      <c r="H1159" s="64" t="s">
        <v>2462</v>
      </c>
    </row>
    <row r="1160" spans="1:8" x14ac:dyDescent="0.3">
      <c r="A1160" s="64" t="s">
        <v>1962</v>
      </c>
      <c r="B1160" s="64" t="s">
        <v>1375</v>
      </c>
      <c r="C1160" s="64" t="s">
        <v>1376</v>
      </c>
      <c r="D1160" s="64" t="s">
        <v>2700</v>
      </c>
      <c r="E1160" s="64" t="s">
        <v>16</v>
      </c>
      <c r="F1160" s="64" t="s">
        <v>373</v>
      </c>
      <c r="G1160" s="64" t="s">
        <v>2785</v>
      </c>
      <c r="H1160" s="64" t="s">
        <v>2463</v>
      </c>
    </row>
    <row r="1161" spans="1:8" x14ac:dyDescent="0.3">
      <c r="A1161" s="64" t="s">
        <v>1963</v>
      </c>
      <c r="B1161" s="64" t="s">
        <v>1375</v>
      </c>
      <c r="C1161" s="64" t="s">
        <v>1376</v>
      </c>
      <c r="D1161" s="64" t="s">
        <v>2700</v>
      </c>
      <c r="E1161" s="64" t="s">
        <v>16</v>
      </c>
      <c r="F1161" s="64" t="s">
        <v>374</v>
      </c>
      <c r="G1161" s="64" t="s">
        <v>2786</v>
      </c>
      <c r="H1161" s="64" t="s">
        <v>2464</v>
      </c>
    </row>
    <row r="1162" spans="1:8" x14ac:dyDescent="0.3">
      <c r="A1162" s="64" t="s">
        <v>1964</v>
      </c>
      <c r="B1162" s="64" t="s">
        <v>1375</v>
      </c>
      <c r="C1162" s="64" t="s">
        <v>1376</v>
      </c>
      <c r="D1162" s="64" t="s">
        <v>2700</v>
      </c>
      <c r="E1162" s="64" t="s">
        <v>16</v>
      </c>
      <c r="F1162" s="64" t="s">
        <v>375</v>
      </c>
      <c r="G1162" s="64" t="s">
        <v>2787</v>
      </c>
      <c r="H1162" s="64" t="s">
        <v>2465</v>
      </c>
    </row>
    <row r="1163" spans="1:8" x14ac:dyDescent="0.3">
      <c r="A1163" s="64" t="s">
        <v>1965</v>
      </c>
      <c r="B1163" s="64" t="s">
        <v>1375</v>
      </c>
      <c r="C1163" s="64" t="s">
        <v>1376</v>
      </c>
      <c r="D1163" s="64" t="s">
        <v>2700</v>
      </c>
      <c r="E1163" s="64" t="s">
        <v>16</v>
      </c>
      <c r="F1163" s="64" t="s">
        <v>376</v>
      </c>
      <c r="G1163" s="64" t="s">
        <v>2788</v>
      </c>
      <c r="H1163" s="64" t="s">
        <v>2466</v>
      </c>
    </row>
    <row r="1164" spans="1:8" x14ac:dyDescent="0.3">
      <c r="A1164" s="64" t="s">
        <v>1966</v>
      </c>
      <c r="B1164" s="64" t="s">
        <v>1375</v>
      </c>
      <c r="C1164" s="64" t="s">
        <v>1376</v>
      </c>
      <c r="D1164" s="64" t="s">
        <v>2700</v>
      </c>
      <c r="E1164" s="64" t="s">
        <v>16</v>
      </c>
      <c r="F1164" s="64" t="s">
        <v>377</v>
      </c>
      <c r="G1164" s="64" t="s">
        <v>2789</v>
      </c>
      <c r="H1164" s="64" t="s">
        <v>2467</v>
      </c>
    </row>
    <row r="1165" spans="1:8" x14ac:dyDescent="0.3">
      <c r="A1165" s="64" t="s">
        <v>1967</v>
      </c>
      <c r="B1165" s="64" t="s">
        <v>1375</v>
      </c>
      <c r="C1165" s="64" t="s">
        <v>1376</v>
      </c>
      <c r="D1165" s="64" t="s">
        <v>2700</v>
      </c>
      <c r="E1165" s="64" t="s">
        <v>16</v>
      </c>
      <c r="F1165" s="64" t="s">
        <v>378</v>
      </c>
      <c r="G1165" s="64" t="s">
        <v>2790</v>
      </c>
      <c r="H1165" s="64" t="s">
        <v>2468</v>
      </c>
    </row>
    <row r="1166" spans="1:8" x14ac:dyDescent="0.3">
      <c r="A1166" s="64" t="s">
        <v>1968</v>
      </c>
      <c r="B1166" s="64" t="s">
        <v>1375</v>
      </c>
      <c r="C1166" s="64" t="s">
        <v>1376</v>
      </c>
      <c r="D1166" s="64" t="s">
        <v>2700</v>
      </c>
      <c r="E1166" s="64" t="s">
        <v>16</v>
      </c>
      <c r="F1166" s="64" t="s">
        <v>379</v>
      </c>
      <c r="G1166" s="64" t="s">
        <v>2791</v>
      </c>
      <c r="H1166" s="64" t="s">
        <v>2469</v>
      </c>
    </row>
    <row r="1167" spans="1:8" x14ac:dyDescent="0.3">
      <c r="A1167" s="64" t="s">
        <v>1969</v>
      </c>
      <c r="B1167" s="64" t="s">
        <v>1375</v>
      </c>
      <c r="C1167" s="64" t="s">
        <v>1376</v>
      </c>
      <c r="D1167" s="64" t="s">
        <v>2700</v>
      </c>
      <c r="E1167" s="64" t="s">
        <v>16</v>
      </c>
      <c r="F1167" s="64" t="s">
        <v>380</v>
      </c>
      <c r="G1167" s="64" t="s">
        <v>2792</v>
      </c>
      <c r="H1167" s="64" t="s">
        <v>2470</v>
      </c>
    </row>
    <row r="1168" spans="1:8" x14ac:dyDescent="0.3">
      <c r="A1168" s="64" t="s">
        <v>1970</v>
      </c>
      <c r="B1168" s="64" t="s">
        <v>1375</v>
      </c>
      <c r="C1168" s="64" t="s">
        <v>1376</v>
      </c>
      <c r="D1168" s="64" t="s">
        <v>2700</v>
      </c>
      <c r="E1168" s="64" t="s">
        <v>16</v>
      </c>
      <c r="F1168" s="64" t="s">
        <v>381</v>
      </c>
      <c r="G1168" s="64" t="s">
        <v>2793</v>
      </c>
      <c r="H1168" s="64" t="s">
        <v>2471</v>
      </c>
    </row>
    <row r="1169" spans="1:8" x14ac:dyDescent="0.3">
      <c r="A1169" s="64" t="s">
        <v>1974</v>
      </c>
      <c r="B1169" s="64" t="s">
        <v>1375</v>
      </c>
      <c r="C1169" s="64" t="s">
        <v>1376</v>
      </c>
      <c r="D1169" s="64" t="s">
        <v>2700</v>
      </c>
      <c r="E1169" s="64" t="s">
        <v>16</v>
      </c>
      <c r="F1169" s="64" t="s">
        <v>382</v>
      </c>
      <c r="G1169" s="64" t="s">
        <v>2794</v>
      </c>
      <c r="H1169" s="64" t="s">
        <v>2472</v>
      </c>
    </row>
    <row r="1170" spans="1:8" x14ac:dyDescent="0.3">
      <c r="A1170" s="64" t="s">
        <v>1976</v>
      </c>
      <c r="B1170" s="64" t="s">
        <v>1375</v>
      </c>
      <c r="C1170" s="64" t="s">
        <v>1376</v>
      </c>
      <c r="D1170" s="64" t="s">
        <v>2700</v>
      </c>
      <c r="E1170" s="64" t="s">
        <v>16</v>
      </c>
      <c r="F1170" s="64" t="s">
        <v>383</v>
      </c>
      <c r="G1170" s="64" t="s">
        <v>2795</v>
      </c>
      <c r="H1170" s="64" t="s">
        <v>2796</v>
      </c>
    </row>
    <row r="1171" spans="1:8" x14ac:dyDescent="0.3">
      <c r="A1171" s="64" t="s">
        <v>1977</v>
      </c>
      <c r="B1171" s="64" t="s">
        <v>1375</v>
      </c>
      <c r="C1171" s="64" t="s">
        <v>2012</v>
      </c>
      <c r="D1171" s="64" t="s">
        <v>2700</v>
      </c>
      <c r="E1171" s="64" t="s">
        <v>20</v>
      </c>
      <c r="F1171" s="64" t="s">
        <v>15</v>
      </c>
      <c r="G1171" s="64" t="s">
        <v>2797</v>
      </c>
      <c r="H1171" s="64" t="s">
        <v>2055</v>
      </c>
    </row>
    <row r="1172" spans="1:8" x14ac:dyDescent="0.3">
      <c r="A1172" s="64" t="s">
        <v>1978</v>
      </c>
      <c r="B1172" s="64" t="s">
        <v>1375</v>
      </c>
      <c r="C1172" s="64" t="s">
        <v>2012</v>
      </c>
      <c r="D1172" s="64" t="s">
        <v>2700</v>
      </c>
      <c r="E1172" s="64" t="s">
        <v>16</v>
      </c>
      <c r="F1172" s="64" t="s">
        <v>368</v>
      </c>
      <c r="G1172" s="64" t="s">
        <v>2798</v>
      </c>
      <c r="H1172" s="64" t="s">
        <v>2473</v>
      </c>
    </row>
    <row r="1173" spans="1:8" x14ac:dyDescent="0.3">
      <c r="A1173" s="64" t="s">
        <v>1979</v>
      </c>
      <c r="B1173" s="64" t="s">
        <v>1375</v>
      </c>
      <c r="C1173" s="64" t="s">
        <v>2012</v>
      </c>
      <c r="D1173" s="64" t="s">
        <v>2700</v>
      </c>
      <c r="E1173" s="64" t="s">
        <v>16</v>
      </c>
      <c r="F1173" s="64" t="s">
        <v>369</v>
      </c>
      <c r="G1173" s="64" t="s">
        <v>2799</v>
      </c>
      <c r="H1173" s="64" t="s">
        <v>2474</v>
      </c>
    </row>
    <row r="1174" spans="1:8" x14ac:dyDescent="0.3">
      <c r="A1174" s="64" t="s">
        <v>1980</v>
      </c>
      <c r="B1174" s="64" t="s">
        <v>1375</v>
      </c>
      <c r="C1174" s="64" t="s">
        <v>2012</v>
      </c>
      <c r="D1174" s="64" t="s">
        <v>2700</v>
      </c>
      <c r="E1174" s="64" t="s">
        <v>16</v>
      </c>
      <c r="F1174" s="64" t="s">
        <v>370</v>
      </c>
      <c r="G1174" s="64" t="s">
        <v>2800</v>
      </c>
      <c r="H1174" s="64" t="s">
        <v>2475</v>
      </c>
    </row>
    <row r="1175" spans="1:8" x14ac:dyDescent="0.3">
      <c r="A1175" s="64" t="s">
        <v>1981</v>
      </c>
      <c r="B1175" s="64" t="s">
        <v>1375</v>
      </c>
      <c r="C1175" s="64" t="s">
        <v>2012</v>
      </c>
      <c r="D1175" s="64" t="s">
        <v>2700</v>
      </c>
      <c r="E1175" s="64" t="s">
        <v>16</v>
      </c>
      <c r="F1175" s="64" t="s">
        <v>371</v>
      </c>
      <c r="G1175" s="64" t="s">
        <v>2801</v>
      </c>
      <c r="H1175" s="64" t="s">
        <v>2476</v>
      </c>
    </row>
    <row r="1176" spans="1:8" x14ac:dyDescent="0.3">
      <c r="A1176" s="64" t="s">
        <v>1982</v>
      </c>
      <c r="B1176" s="64" t="s">
        <v>1375</v>
      </c>
      <c r="C1176" s="64" t="s">
        <v>2012</v>
      </c>
      <c r="D1176" s="64" t="s">
        <v>2700</v>
      </c>
      <c r="E1176" s="64" t="s">
        <v>16</v>
      </c>
      <c r="F1176" s="64" t="s">
        <v>372</v>
      </c>
      <c r="G1176" s="64" t="s">
        <v>2802</v>
      </c>
      <c r="H1176" s="64" t="s">
        <v>2477</v>
      </c>
    </row>
    <row r="1177" spans="1:8" x14ac:dyDescent="0.3">
      <c r="A1177" s="64" t="s">
        <v>1983</v>
      </c>
      <c r="B1177" s="64" t="s">
        <v>1375</v>
      </c>
      <c r="C1177" s="64" t="s">
        <v>2012</v>
      </c>
      <c r="D1177" s="64" t="s">
        <v>2700</v>
      </c>
      <c r="E1177" s="64" t="s">
        <v>16</v>
      </c>
      <c r="F1177" s="64" t="s">
        <v>373</v>
      </c>
      <c r="G1177" s="64" t="s">
        <v>2803</v>
      </c>
      <c r="H1177" s="64" t="s">
        <v>2478</v>
      </c>
    </row>
    <row r="1178" spans="1:8" x14ac:dyDescent="0.3">
      <c r="A1178" s="64" t="s">
        <v>1984</v>
      </c>
      <c r="B1178" s="64" t="s">
        <v>1375</v>
      </c>
      <c r="C1178" s="64" t="s">
        <v>2012</v>
      </c>
      <c r="D1178" s="64" t="s">
        <v>2700</v>
      </c>
      <c r="E1178" s="64" t="s">
        <v>16</v>
      </c>
      <c r="F1178" s="64" t="s">
        <v>374</v>
      </c>
      <c r="G1178" s="64" t="s">
        <v>2804</v>
      </c>
      <c r="H1178" s="64" t="s">
        <v>2479</v>
      </c>
    </row>
    <row r="1179" spans="1:8" x14ac:dyDescent="0.3">
      <c r="A1179" s="64" t="s">
        <v>1985</v>
      </c>
      <c r="B1179" s="64" t="s">
        <v>1375</v>
      </c>
      <c r="C1179" s="64" t="s">
        <v>2012</v>
      </c>
      <c r="D1179" s="64" t="s">
        <v>2700</v>
      </c>
      <c r="E1179" s="64" t="s">
        <v>16</v>
      </c>
      <c r="F1179" s="64" t="s">
        <v>375</v>
      </c>
      <c r="G1179" s="64" t="s">
        <v>2805</v>
      </c>
      <c r="H1179" s="64" t="s">
        <v>2480</v>
      </c>
    </row>
    <row r="1180" spans="1:8" x14ac:dyDescent="0.3">
      <c r="A1180" s="64" t="s">
        <v>1986</v>
      </c>
      <c r="B1180" s="64" t="s">
        <v>1375</v>
      </c>
      <c r="C1180" s="64" t="s">
        <v>2012</v>
      </c>
      <c r="D1180" s="64" t="s">
        <v>2700</v>
      </c>
      <c r="E1180" s="64" t="s">
        <v>16</v>
      </c>
      <c r="F1180" s="64" t="s">
        <v>376</v>
      </c>
      <c r="G1180" s="64" t="s">
        <v>2806</v>
      </c>
      <c r="H1180" s="64" t="s">
        <v>2481</v>
      </c>
    </row>
    <row r="1181" spans="1:8" x14ac:dyDescent="0.3">
      <c r="A1181" s="64" t="s">
        <v>1987</v>
      </c>
      <c r="B1181" s="64" t="s">
        <v>1375</v>
      </c>
      <c r="C1181" s="64" t="s">
        <v>2012</v>
      </c>
      <c r="D1181" s="64" t="s">
        <v>2700</v>
      </c>
      <c r="E1181" s="64" t="s">
        <v>16</v>
      </c>
      <c r="F1181" s="64" t="s">
        <v>377</v>
      </c>
      <c r="G1181" s="64" t="s">
        <v>2807</v>
      </c>
      <c r="H1181" s="64" t="s">
        <v>2482</v>
      </c>
    </row>
    <row r="1182" spans="1:8" x14ac:dyDescent="0.3">
      <c r="A1182" s="64" t="s">
        <v>1988</v>
      </c>
      <c r="B1182" s="64" t="s">
        <v>1375</v>
      </c>
      <c r="C1182" s="64" t="s">
        <v>2012</v>
      </c>
      <c r="D1182" s="64" t="s">
        <v>2700</v>
      </c>
      <c r="E1182" s="64" t="s">
        <v>16</v>
      </c>
      <c r="F1182" s="64" t="s">
        <v>378</v>
      </c>
      <c r="G1182" s="64" t="s">
        <v>2808</v>
      </c>
      <c r="H1182" s="64" t="s">
        <v>2483</v>
      </c>
    </row>
    <row r="1183" spans="1:8" x14ac:dyDescent="0.3">
      <c r="A1183" s="64" t="s">
        <v>1989</v>
      </c>
      <c r="B1183" s="64" t="s">
        <v>1375</v>
      </c>
      <c r="C1183" s="64" t="s">
        <v>2012</v>
      </c>
      <c r="D1183" s="64" t="s">
        <v>2700</v>
      </c>
      <c r="E1183" s="64" t="s">
        <v>16</v>
      </c>
      <c r="F1183" s="64" t="s">
        <v>379</v>
      </c>
      <c r="G1183" s="64" t="s">
        <v>2809</v>
      </c>
      <c r="H1183" s="64" t="s">
        <v>2484</v>
      </c>
    </row>
    <row r="1184" spans="1:8" x14ac:dyDescent="0.3">
      <c r="A1184" s="64" t="s">
        <v>1990</v>
      </c>
      <c r="B1184" s="64" t="s">
        <v>1375</v>
      </c>
      <c r="C1184" s="64" t="s">
        <v>2012</v>
      </c>
      <c r="D1184" s="64" t="s">
        <v>2700</v>
      </c>
      <c r="E1184" s="64" t="s">
        <v>16</v>
      </c>
      <c r="F1184" s="64" t="s">
        <v>380</v>
      </c>
      <c r="G1184" s="64" t="s">
        <v>2810</v>
      </c>
      <c r="H1184" s="64" t="s">
        <v>2485</v>
      </c>
    </row>
    <row r="1185" spans="1:8" x14ac:dyDescent="0.3">
      <c r="A1185" s="64" t="s">
        <v>1991</v>
      </c>
      <c r="B1185" s="64" t="s">
        <v>1375</v>
      </c>
      <c r="C1185" s="64" t="s">
        <v>2012</v>
      </c>
      <c r="D1185" s="64" t="s">
        <v>2700</v>
      </c>
      <c r="E1185" s="64" t="s">
        <v>16</v>
      </c>
      <c r="F1185" s="64" t="s">
        <v>381</v>
      </c>
      <c r="G1185" s="64" t="s">
        <v>2811</v>
      </c>
      <c r="H1185" s="64" t="s">
        <v>2486</v>
      </c>
    </row>
    <row r="1186" spans="1:8" x14ac:dyDescent="0.3">
      <c r="A1186" s="64" t="s">
        <v>1993</v>
      </c>
      <c r="B1186" s="64" t="s">
        <v>1375</v>
      </c>
      <c r="C1186" s="64" t="s">
        <v>2012</v>
      </c>
      <c r="D1186" s="64" t="s">
        <v>2700</v>
      </c>
      <c r="E1186" s="64" t="s">
        <v>16</v>
      </c>
      <c r="F1186" s="64" t="s">
        <v>382</v>
      </c>
      <c r="G1186" s="64" t="s">
        <v>2812</v>
      </c>
      <c r="H1186" s="64" t="s">
        <v>2487</v>
      </c>
    </row>
    <row r="1187" spans="1:8" x14ac:dyDescent="0.3">
      <c r="A1187" s="64" t="s">
        <v>1994</v>
      </c>
      <c r="B1187" s="64" t="s">
        <v>1375</v>
      </c>
      <c r="C1187" s="64" t="s">
        <v>2012</v>
      </c>
      <c r="D1187" s="64" t="s">
        <v>2700</v>
      </c>
      <c r="E1187" s="64" t="s">
        <v>16</v>
      </c>
      <c r="F1187" s="64" t="s">
        <v>383</v>
      </c>
      <c r="G1187" s="64" t="s">
        <v>2813</v>
      </c>
      <c r="H1187" s="64" t="s">
        <v>2814</v>
      </c>
    </row>
    <row r="1188" spans="1:8" x14ac:dyDescent="0.3">
      <c r="A1188" s="64" t="s">
        <v>1995</v>
      </c>
      <c r="B1188" s="64" t="s">
        <v>1375</v>
      </c>
      <c r="C1188" s="64" t="s">
        <v>1376</v>
      </c>
      <c r="D1188" s="64" t="s">
        <v>2700</v>
      </c>
      <c r="E1188" s="64" t="s">
        <v>20</v>
      </c>
      <c r="F1188" s="64" t="s">
        <v>15</v>
      </c>
      <c r="G1188" s="64" t="s">
        <v>2815</v>
      </c>
      <c r="H1188" s="64" t="s">
        <v>2074</v>
      </c>
    </row>
    <row r="1189" spans="1:8" x14ac:dyDescent="0.3">
      <c r="A1189" s="64" t="s">
        <v>1996</v>
      </c>
      <c r="B1189" s="64" t="s">
        <v>1375</v>
      </c>
      <c r="C1189" s="64" t="s">
        <v>1376</v>
      </c>
      <c r="D1189" s="64" t="s">
        <v>2700</v>
      </c>
      <c r="E1189" s="64" t="s">
        <v>16</v>
      </c>
      <c r="F1189" s="64" t="s">
        <v>368</v>
      </c>
      <c r="G1189" s="64" t="s">
        <v>2816</v>
      </c>
      <c r="H1189" s="64" t="s">
        <v>2488</v>
      </c>
    </row>
    <row r="1190" spans="1:8" x14ac:dyDescent="0.3">
      <c r="A1190" s="64" t="s">
        <v>1997</v>
      </c>
      <c r="B1190" s="64" t="s">
        <v>1375</v>
      </c>
      <c r="C1190" s="64" t="s">
        <v>1376</v>
      </c>
      <c r="D1190" s="64" t="s">
        <v>2700</v>
      </c>
      <c r="E1190" s="64" t="s">
        <v>16</v>
      </c>
      <c r="F1190" s="64" t="s">
        <v>369</v>
      </c>
      <c r="G1190" s="64" t="s">
        <v>2817</v>
      </c>
      <c r="H1190" s="64" t="s">
        <v>2489</v>
      </c>
    </row>
    <row r="1191" spans="1:8" x14ac:dyDescent="0.3">
      <c r="A1191" s="64" t="s">
        <v>1998</v>
      </c>
      <c r="B1191" s="64" t="s">
        <v>1375</v>
      </c>
      <c r="C1191" s="64" t="s">
        <v>1376</v>
      </c>
      <c r="D1191" s="64" t="s">
        <v>2700</v>
      </c>
      <c r="E1191" s="64" t="s">
        <v>16</v>
      </c>
      <c r="F1191" s="64" t="s">
        <v>370</v>
      </c>
      <c r="G1191" s="64" t="s">
        <v>2818</v>
      </c>
      <c r="H1191" s="64" t="s">
        <v>2490</v>
      </c>
    </row>
    <row r="1192" spans="1:8" x14ac:dyDescent="0.3">
      <c r="A1192" s="64" t="s">
        <v>1999</v>
      </c>
      <c r="B1192" s="64" t="s">
        <v>1375</v>
      </c>
      <c r="C1192" s="64" t="s">
        <v>1376</v>
      </c>
      <c r="D1192" s="64" t="s">
        <v>2700</v>
      </c>
      <c r="E1192" s="64" t="s">
        <v>16</v>
      </c>
      <c r="F1192" s="64" t="s">
        <v>371</v>
      </c>
      <c r="G1192" s="64" t="s">
        <v>2819</v>
      </c>
      <c r="H1192" s="64" t="s">
        <v>2491</v>
      </c>
    </row>
    <row r="1193" spans="1:8" x14ac:dyDescent="0.3">
      <c r="A1193" s="64" t="s">
        <v>2000</v>
      </c>
      <c r="B1193" s="64" t="s">
        <v>1375</v>
      </c>
      <c r="C1193" s="64" t="s">
        <v>1376</v>
      </c>
      <c r="D1193" s="64" t="s">
        <v>2700</v>
      </c>
      <c r="E1193" s="64" t="s">
        <v>16</v>
      </c>
      <c r="F1193" s="64" t="s">
        <v>372</v>
      </c>
      <c r="G1193" s="64" t="s">
        <v>2820</v>
      </c>
      <c r="H1193" s="64" t="s">
        <v>2492</v>
      </c>
    </row>
    <row r="1194" spans="1:8" x14ac:dyDescent="0.3">
      <c r="A1194" s="64" t="s">
        <v>2001</v>
      </c>
      <c r="B1194" s="64" t="s">
        <v>1375</v>
      </c>
      <c r="C1194" s="64" t="s">
        <v>1376</v>
      </c>
      <c r="D1194" s="64" t="s">
        <v>2700</v>
      </c>
      <c r="E1194" s="64" t="s">
        <v>16</v>
      </c>
      <c r="F1194" s="64" t="s">
        <v>373</v>
      </c>
      <c r="G1194" s="64" t="s">
        <v>2821</v>
      </c>
      <c r="H1194" s="64" t="s">
        <v>2493</v>
      </c>
    </row>
    <row r="1195" spans="1:8" x14ac:dyDescent="0.3">
      <c r="A1195" s="64" t="s">
        <v>2002</v>
      </c>
      <c r="B1195" s="64" t="s">
        <v>1375</v>
      </c>
      <c r="C1195" s="64" t="s">
        <v>1376</v>
      </c>
      <c r="D1195" s="64" t="s">
        <v>2700</v>
      </c>
      <c r="E1195" s="64" t="s">
        <v>16</v>
      </c>
      <c r="F1195" s="64" t="s">
        <v>374</v>
      </c>
      <c r="G1195" s="64" t="s">
        <v>2822</v>
      </c>
      <c r="H1195" s="64" t="s">
        <v>2494</v>
      </c>
    </row>
    <row r="1196" spans="1:8" x14ac:dyDescent="0.3">
      <c r="A1196" s="64" t="s">
        <v>2003</v>
      </c>
      <c r="B1196" s="64" t="s">
        <v>1375</v>
      </c>
      <c r="C1196" s="64" t="s">
        <v>1376</v>
      </c>
      <c r="D1196" s="64" t="s">
        <v>2700</v>
      </c>
      <c r="E1196" s="64" t="s">
        <v>16</v>
      </c>
      <c r="F1196" s="64" t="s">
        <v>375</v>
      </c>
      <c r="G1196" s="64" t="s">
        <v>2823</v>
      </c>
      <c r="H1196" s="64" t="s">
        <v>2495</v>
      </c>
    </row>
    <row r="1197" spans="1:8" x14ac:dyDescent="0.3">
      <c r="A1197" s="64" t="s">
        <v>2004</v>
      </c>
      <c r="B1197" s="64" t="s">
        <v>1375</v>
      </c>
      <c r="C1197" s="64" t="s">
        <v>1376</v>
      </c>
      <c r="D1197" s="64" t="s">
        <v>2700</v>
      </c>
      <c r="E1197" s="64" t="s">
        <v>16</v>
      </c>
      <c r="F1197" s="64" t="s">
        <v>376</v>
      </c>
      <c r="G1197" s="64" t="s">
        <v>2824</v>
      </c>
      <c r="H1197" s="64" t="s">
        <v>2496</v>
      </c>
    </row>
    <row r="1198" spans="1:8" x14ac:dyDescent="0.3">
      <c r="A1198" s="64" t="s">
        <v>2005</v>
      </c>
      <c r="B1198" s="64" t="s">
        <v>1375</v>
      </c>
      <c r="C1198" s="64" t="s">
        <v>1376</v>
      </c>
      <c r="D1198" s="64" t="s">
        <v>2700</v>
      </c>
      <c r="E1198" s="64" t="s">
        <v>16</v>
      </c>
      <c r="F1198" s="64" t="s">
        <v>377</v>
      </c>
      <c r="G1198" s="64" t="s">
        <v>2825</v>
      </c>
      <c r="H1198" s="64" t="s">
        <v>2497</v>
      </c>
    </row>
    <row r="1199" spans="1:8" x14ac:dyDescent="0.3">
      <c r="A1199" s="64" t="s">
        <v>2006</v>
      </c>
      <c r="B1199" s="64" t="s">
        <v>1375</v>
      </c>
      <c r="C1199" s="64" t="s">
        <v>1376</v>
      </c>
      <c r="D1199" s="64" t="s">
        <v>2700</v>
      </c>
      <c r="E1199" s="64" t="s">
        <v>16</v>
      </c>
      <c r="F1199" s="64" t="s">
        <v>378</v>
      </c>
      <c r="G1199" s="64" t="s">
        <v>2826</v>
      </c>
      <c r="H1199" s="64" t="s">
        <v>2498</v>
      </c>
    </row>
    <row r="1200" spans="1:8" x14ac:dyDescent="0.3">
      <c r="A1200" s="64" t="s">
        <v>2007</v>
      </c>
      <c r="B1200" s="64" t="s">
        <v>1375</v>
      </c>
      <c r="C1200" s="64" t="s">
        <v>1376</v>
      </c>
      <c r="D1200" s="64" t="s">
        <v>2700</v>
      </c>
      <c r="E1200" s="64" t="s">
        <v>16</v>
      </c>
      <c r="F1200" s="64" t="s">
        <v>379</v>
      </c>
      <c r="G1200" s="64" t="s">
        <v>2827</v>
      </c>
      <c r="H1200" s="64" t="s">
        <v>2499</v>
      </c>
    </row>
    <row r="1201" spans="1:8" x14ac:dyDescent="0.3">
      <c r="A1201" s="64" t="s">
        <v>2008</v>
      </c>
      <c r="B1201" s="64" t="s">
        <v>1375</v>
      </c>
      <c r="C1201" s="64" t="s">
        <v>1376</v>
      </c>
      <c r="D1201" s="64" t="s">
        <v>2700</v>
      </c>
      <c r="E1201" s="64" t="s">
        <v>16</v>
      </c>
      <c r="F1201" s="64" t="s">
        <v>380</v>
      </c>
      <c r="G1201" s="64" t="s">
        <v>2828</v>
      </c>
      <c r="H1201" s="64" t="s">
        <v>2500</v>
      </c>
    </row>
    <row r="1202" spans="1:8" x14ac:dyDescent="0.3">
      <c r="A1202" s="64" t="s">
        <v>2009</v>
      </c>
      <c r="B1202" s="64" t="s">
        <v>1375</v>
      </c>
      <c r="C1202" s="64" t="s">
        <v>1376</v>
      </c>
      <c r="D1202" s="64" t="s">
        <v>2700</v>
      </c>
      <c r="E1202" s="64" t="s">
        <v>16</v>
      </c>
      <c r="F1202" s="64" t="s">
        <v>381</v>
      </c>
      <c r="G1202" s="64" t="s">
        <v>2829</v>
      </c>
      <c r="H1202" s="64" t="s">
        <v>2501</v>
      </c>
    </row>
    <row r="1203" spans="1:8" x14ac:dyDescent="0.3">
      <c r="A1203" s="64" t="s">
        <v>2017</v>
      </c>
      <c r="B1203" s="64" t="s">
        <v>1375</v>
      </c>
      <c r="C1203" s="64" t="s">
        <v>1376</v>
      </c>
      <c r="D1203" s="64" t="s">
        <v>2700</v>
      </c>
      <c r="E1203" s="64" t="s">
        <v>16</v>
      </c>
      <c r="F1203" s="64" t="s">
        <v>382</v>
      </c>
      <c r="G1203" s="64" t="s">
        <v>2830</v>
      </c>
      <c r="H1203" s="64" t="s">
        <v>2502</v>
      </c>
    </row>
    <row r="1204" spans="1:8" x14ac:dyDescent="0.3">
      <c r="A1204" s="64" t="s">
        <v>2018</v>
      </c>
      <c r="B1204" s="64" t="s">
        <v>1375</v>
      </c>
      <c r="C1204" s="64" t="s">
        <v>1376</v>
      </c>
      <c r="D1204" s="64" t="s">
        <v>2700</v>
      </c>
      <c r="E1204" s="64" t="s">
        <v>16</v>
      </c>
      <c r="F1204" s="64" t="s">
        <v>383</v>
      </c>
      <c r="G1204" s="64" t="s">
        <v>2831</v>
      </c>
      <c r="H1204" s="64" t="s">
        <v>2832</v>
      </c>
    </row>
    <row r="1205" spans="1:8" x14ac:dyDescent="0.3">
      <c r="A1205" s="64" t="s">
        <v>2019</v>
      </c>
      <c r="B1205" s="64" t="s">
        <v>1375</v>
      </c>
      <c r="C1205" s="64" t="s">
        <v>2012</v>
      </c>
      <c r="D1205" s="64" t="s">
        <v>2700</v>
      </c>
      <c r="E1205" s="64" t="s">
        <v>20</v>
      </c>
      <c r="F1205" s="64" t="s">
        <v>15</v>
      </c>
      <c r="G1205" s="64" t="s">
        <v>2833</v>
      </c>
      <c r="H1205" s="64" t="s">
        <v>2093</v>
      </c>
    </row>
    <row r="1206" spans="1:8" x14ac:dyDescent="0.3">
      <c r="A1206" s="64" t="s">
        <v>2020</v>
      </c>
      <c r="B1206" s="64" t="s">
        <v>1375</v>
      </c>
      <c r="C1206" s="64" t="s">
        <v>2012</v>
      </c>
      <c r="D1206" s="64" t="s">
        <v>2700</v>
      </c>
      <c r="E1206" s="64" t="s">
        <v>16</v>
      </c>
      <c r="F1206" s="64" t="s">
        <v>368</v>
      </c>
      <c r="G1206" s="64" t="s">
        <v>2834</v>
      </c>
      <c r="H1206" s="64" t="s">
        <v>2503</v>
      </c>
    </row>
    <row r="1207" spans="1:8" x14ac:dyDescent="0.3">
      <c r="A1207" s="64" t="s">
        <v>2021</v>
      </c>
      <c r="B1207" s="64" t="s">
        <v>1375</v>
      </c>
      <c r="C1207" s="64" t="s">
        <v>2012</v>
      </c>
      <c r="D1207" s="64" t="s">
        <v>2700</v>
      </c>
      <c r="E1207" s="64" t="s">
        <v>16</v>
      </c>
      <c r="F1207" s="64" t="s">
        <v>369</v>
      </c>
      <c r="G1207" s="64" t="s">
        <v>2835</v>
      </c>
      <c r="H1207" s="64" t="s">
        <v>2504</v>
      </c>
    </row>
    <row r="1208" spans="1:8" x14ac:dyDescent="0.3">
      <c r="A1208" s="64" t="s">
        <v>2022</v>
      </c>
      <c r="B1208" s="64" t="s">
        <v>1375</v>
      </c>
      <c r="C1208" s="64" t="s">
        <v>2012</v>
      </c>
      <c r="D1208" s="64" t="s">
        <v>2700</v>
      </c>
      <c r="E1208" s="64" t="s">
        <v>16</v>
      </c>
      <c r="F1208" s="64" t="s">
        <v>370</v>
      </c>
      <c r="G1208" s="64" t="s">
        <v>2836</v>
      </c>
      <c r="H1208" s="64" t="s">
        <v>2505</v>
      </c>
    </row>
    <row r="1209" spans="1:8" x14ac:dyDescent="0.3">
      <c r="A1209" s="64" t="s">
        <v>2023</v>
      </c>
      <c r="B1209" s="64" t="s">
        <v>1375</v>
      </c>
      <c r="C1209" s="64" t="s">
        <v>2012</v>
      </c>
      <c r="D1209" s="64" t="s">
        <v>2700</v>
      </c>
      <c r="E1209" s="64" t="s">
        <v>16</v>
      </c>
      <c r="F1209" s="64" t="s">
        <v>371</v>
      </c>
      <c r="G1209" s="64" t="s">
        <v>2837</v>
      </c>
      <c r="H1209" s="64" t="s">
        <v>2506</v>
      </c>
    </row>
    <row r="1210" spans="1:8" x14ac:dyDescent="0.3">
      <c r="A1210" s="64" t="s">
        <v>2024</v>
      </c>
      <c r="B1210" s="64" t="s">
        <v>1375</v>
      </c>
      <c r="C1210" s="64" t="s">
        <v>2012</v>
      </c>
      <c r="D1210" s="64" t="s">
        <v>2700</v>
      </c>
      <c r="E1210" s="64" t="s">
        <v>16</v>
      </c>
      <c r="F1210" s="64" t="s">
        <v>372</v>
      </c>
      <c r="G1210" s="64" t="s">
        <v>2838</v>
      </c>
      <c r="H1210" s="64" t="s">
        <v>2507</v>
      </c>
    </row>
    <row r="1211" spans="1:8" x14ac:dyDescent="0.3">
      <c r="A1211" s="64" t="s">
        <v>2025</v>
      </c>
      <c r="B1211" s="64" t="s">
        <v>1375</v>
      </c>
      <c r="C1211" s="64" t="s">
        <v>2012</v>
      </c>
      <c r="D1211" s="64" t="s">
        <v>2700</v>
      </c>
      <c r="E1211" s="64" t="s">
        <v>16</v>
      </c>
      <c r="F1211" s="64" t="s">
        <v>373</v>
      </c>
      <c r="G1211" s="64" t="s">
        <v>2839</v>
      </c>
      <c r="H1211" s="64" t="s">
        <v>2508</v>
      </c>
    </row>
    <row r="1212" spans="1:8" x14ac:dyDescent="0.3">
      <c r="A1212" s="64" t="s">
        <v>2026</v>
      </c>
      <c r="B1212" s="64" t="s">
        <v>1375</v>
      </c>
      <c r="C1212" s="64" t="s">
        <v>2012</v>
      </c>
      <c r="D1212" s="64" t="s">
        <v>2700</v>
      </c>
      <c r="E1212" s="64" t="s">
        <v>16</v>
      </c>
      <c r="F1212" s="64" t="s">
        <v>374</v>
      </c>
      <c r="G1212" s="64" t="s">
        <v>2840</v>
      </c>
      <c r="H1212" s="64" t="s">
        <v>2509</v>
      </c>
    </row>
    <row r="1213" spans="1:8" x14ac:dyDescent="0.3">
      <c r="A1213" s="64" t="s">
        <v>2027</v>
      </c>
      <c r="B1213" s="64" t="s">
        <v>1375</v>
      </c>
      <c r="C1213" s="64" t="s">
        <v>2012</v>
      </c>
      <c r="D1213" s="64" t="s">
        <v>2700</v>
      </c>
      <c r="E1213" s="64" t="s">
        <v>16</v>
      </c>
      <c r="F1213" s="64" t="s">
        <v>375</v>
      </c>
      <c r="G1213" s="64" t="s">
        <v>2841</v>
      </c>
      <c r="H1213" s="64" t="s">
        <v>2510</v>
      </c>
    </row>
    <row r="1214" spans="1:8" x14ac:dyDescent="0.3">
      <c r="A1214" s="64" t="s">
        <v>2028</v>
      </c>
      <c r="B1214" s="64" t="s">
        <v>1375</v>
      </c>
      <c r="C1214" s="64" t="s">
        <v>2012</v>
      </c>
      <c r="D1214" s="64" t="s">
        <v>2700</v>
      </c>
      <c r="E1214" s="64" t="s">
        <v>16</v>
      </c>
      <c r="F1214" s="64" t="s">
        <v>376</v>
      </c>
      <c r="G1214" s="64" t="s">
        <v>2842</v>
      </c>
      <c r="H1214" s="64" t="s">
        <v>2511</v>
      </c>
    </row>
    <row r="1215" spans="1:8" x14ac:dyDescent="0.3">
      <c r="A1215" s="64" t="s">
        <v>2029</v>
      </c>
      <c r="B1215" s="64" t="s">
        <v>1375</v>
      </c>
      <c r="C1215" s="64" t="s">
        <v>2012</v>
      </c>
      <c r="D1215" s="64" t="s">
        <v>2700</v>
      </c>
      <c r="E1215" s="64" t="s">
        <v>16</v>
      </c>
      <c r="F1215" s="64" t="s">
        <v>377</v>
      </c>
      <c r="G1215" s="64" t="s">
        <v>2843</v>
      </c>
      <c r="H1215" s="64" t="s">
        <v>2512</v>
      </c>
    </row>
    <row r="1216" spans="1:8" x14ac:dyDescent="0.3">
      <c r="A1216" s="64" t="s">
        <v>2030</v>
      </c>
      <c r="B1216" s="64" t="s">
        <v>1375</v>
      </c>
      <c r="C1216" s="64" t="s">
        <v>2012</v>
      </c>
      <c r="D1216" s="64" t="s">
        <v>2700</v>
      </c>
      <c r="E1216" s="64" t="s">
        <v>16</v>
      </c>
      <c r="F1216" s="64" t="s">
        <v>378</v>
      </c>
      <c r="G1216" s="64" t="s">
        <v>2844</v>
      </c>
      <c r="H1216" s="64" t="s">
        <v>2513</v>
      </c>
    </row>
    <row r="1217" spans="1:8" x14ac:dyDescent="0.3">
      <c r="A1217" s="64" t="s">
        <v>2031</v>
      </c>
      <c r="B1217" s="64" t="s">
        <v>1375</v>
      </c>
      <c r="C1217" s="64" t="s">
        <v>2012</v>
      </c>
      <c r="D1217" s="64" t="s">
        <v>2700</v>
      </c>
      <c r="E1217" s="64" t="s">
        <v>16</v>
      </c>
      <c r="F1217" s="64" t="s">
        <v>379</v>
      </c>
      <c r="G1217" s="64" t="s">
        <v>2845</v>
      </c>
      <c r="H1217" s="64" t="s">
        <v>2514</v>
      </c>
    </row>
    <row r="1218" spans="1:8" x14ac:dyDescent="0.3">
      <c r="A1218" s="64" t="s">
        <v>2032</v>
      </c>
      <c r="B1218" s="64" t="s">
        <v>1375</v>
      </c>
      <c r="C1218" s="64" t="s">
        <v>2012</v>
      </c>
      <c r="D1218" s="64" t="s">
        <v>2700</v>
      </c>
      <c r="E1218" s="64" t="s">
        <v>16</v>
      </c>
      <c r="F1218" s="64" t="s">
        <v>380</v>
      </c>
      <c r="G1218" s="64" t="s">
        <v>2846</v>
      </c>
      <c r="H1218" s="64" t="s">
        <v>2515</v>
      </c>
    </row>
    <row r="1219" spans="1:8" x14ac:dyDescent="0.3">
      <c r="A1219" s="64" t="s">
        <v>2033</v>
      </c>
      <c r="B1219" s="64" t="s">
        <v>1375</v>
      </c>
      <c r="C1219" s="64" t="s">
        <v>2012</v>
      </c>
      <c r="D1219" s="64" t="s">
        <v>2700</v>
      </c>
      <c r="E1219" s="64" t="s">
        <v>16</v>
      </c>
      <c r="F1219" s="64" t="s">
        <v>381</v>
      </c>
      <c r="G1219" s="64" t="s">
        <v>2847</v>
      </c>
      <c r="H1219" s="64" t="s">
        <v>2516</v>
      </c>
    </row>
    <row r="1220" spans="1:8" x14ac:dyDescent="0.3">
      <c r="A1220" s="64" t="s">
        <v>2036</v>
      </c>
      <c r="B1220" s="64" t="s">
        <v>1375</v>
      </c>
      <c r="C1220" s="64" t="s">
        <v>2012</v>
      </c>
      <c r="D1220" s="64" t="s">
        <v>2700</v>
      </c>
      <c r="E1220" s="64" t="s">
        <v>16</v>
      </c>
      <c r="F1220" s="64" t="s">
        <v>382</v>
      </c>
      <c r="G1220" s="64" t="s">
        <v>2848</v>
      </c>
      <c r="H1220" s="64" t="s">
        <v>2517</v>
      </c>
    </row>
    <row r="1221" spans="1:8" x14ac:dyDescent="0.3">
      <c r="A1221" s="64" t="s">
        <v>2037</v>
      </c>
      <c r="B1221" s="64" t="s">
        <v>1375</v>
      </c>
      <c r="C1221" s="64" t="s">
        <v>2012</v>
      </c>
      <c r="D1221" s="64" t="s">
        <v>2700</v>
      </c>
      <c r="E1221" s="64" t="s">
        <v>16</v>
      </c>
      <c r="F1221" s="64" t="s">
        <v>383</v>
      </c>
      <c r="G1221" s="64" t="s">
        <v>2849</v>
      </c>
      <c r="H1221" s="64" t="s">
        <v>2850</v>
      </c>
    </row>
    <row r="1222" spans="1:8" x14ac:dyDescent="0.3">
      <c r="A1222" s="64" t="s">
        <v>2038</v>
      </c>
      <c r="B1222" s="64" t="s">
        <v>866</v>
      </c>
      <c r="C1222" s="64" t="s">
        <v>1418</v>
      </c>
      <c r="D1222" s="64" t="s">
        <v>866</v>
      </c>
      <c r="E1222" s="64" t="s">
        <v>20</v>
      </c>
      <c r="F1222" s="64" t="s">
        <v>15</v>
      </c>
      <c r="G1222" s="64" t="s">
        <v>2851</v>
      </c>
      <c r="H1222" s="64" t="s">
        <v>2112</v>
      </c>
    </row>
    <row r="1223" spans="1:8" x14ac:dyDescent="0.3">
      <c r="A1223" s="64" t="s">
        <v>2039</v>
      </c>
      <c r="B1223" s="64" t="s">
        <v>866</v>
      </c>
      <c r="C1223" s="64" t="s">
        <v>1418</v>
      </c>
      <c r="D1223" s="64" t="s">
        <v>866</v>
      </c>
      <c r="E1223" s="64" t="s">
        <v>16</v>
      </c>
      <c r="F1223" s="64" t="s">
        <v>368</v>
      </c>
      <c r="G1223" s="64" t="s">
        <v>2518</v>
      </c>
      <c r="H1223" s="64" t="s">
        <v>2519</v>
      </c>
    </row>
    <row r="1224" spans="1:8" x14ac:dyDescent="0.3">
      <c r="A1224" s="64" t="s">
        <v>2040</v>
      </c>
      <c r="B1224" s="64" t="s">
        <v>866</v>
      </c>
      <c r="C1224" s="64" t="s">
        <v>1418</v>
      </c>
      <c r="D1224" s="64" t="s">
        <v>866</v>
      </c>
      <c r="E1224" s="64" t="s">
        <v>16</v>
      </c>
      <c r="F1224" s="64" t="s">
        <v>369</v>
      </c>
      <c r="G1224" s="64" t="s">
        <v>2520</v>
      </c>
      <c r="H1224" s="64" t="s">
        <v>2521</v>
      </c>
    </row>
    <row r="1225" spans="1:8" x14ac:dyDescent="0.3">
      <c r="A1225" s="64" t="s">
        <v>2041</v>
      </c>
      <c r="B1225" s="64" t="s">
        <v>866</v>
      </c>
      <c r="C1225" s="64" t="s">
        <v>1418</v>
      </c>
      <c r="D1225" s="64" t="s">
        <v>866</v>
      </c>
      <c r="E1225" s="64" t="s">
        <v>16</v>
      </c>
      <c r="F1225" s="64" t="s">
        <v>370</v>
      </c>
      <c r="G1225" s="64" t="s">
        <v>2522</v>
      </c>
      <c r="H1225" s="64" t="s">
        <v>2523</v>
      </c>
    </row>
    <row r="1226" spans="1:8" x14ac:dyDescent="0.3">
      <c r="A1226" s="64" t="s">
        <v>2042</v>
      </c>
      <c r="B1226" s="64" t="s">
        <v>866</v>
      </c>
      <c r="C1226" s="64" t="s">
        <v>1418</v>
      </c>
      <c r="D1226" s="64" t="s">
        <v>866</v>
      </c>
      <c r="E1226" s="64" t="s">
        <v>16</v>
      </c>
      <c r="F1226" s="64" t="s">
        <v>371</v>
      </c>
      <c r="G1226" s="64" t="s">
        <v>2524</v>
      </c>
      <c r="H1226" s="64" t="s">
        <v>2525</v>
      </c>
    </row>
    <row r="1227" spans="1:8" x14ac:dyDescent="0.3">
      <c r="A1227" s="64" t="s">
        <v>2043</v>
      </c>
      <c r="B1227" s="64" t="s">
        <v>866</v>
      </c>
      <c r="C1227" s="64" t="s">
        <v>1418</v>
      </c>
      <c r="D1227" s="64" t="s">
        <v>866</v>
      </c>
      <c r="E1227" s="64" t="s">
        <v>16</v>
      </c>
      <c r="F1227" s="64" t="s">
        <v>372</v>
      </c>
      <c r="G1227" s="64" t="s">
        <v>2526</v>
      </c>
      <c r="H1227" s="64" t="s">
        <v>2527</v>
      </c>
    </row>
    <row r="1228" spans="1:8" x14ac:dyDescent="0.3">
      <c r="A1228" s="64" t="s">
        <v>2044</v>
      </c>
      <c r="B1228" s="64" t="s">
        <v>866</v>
      </c>
      <c r="C1228" s="64" t="s">
        <v>1418</v>
      </c>
      <c r="D1228" s="64" t="s">
        <v>866</v>
      </c>
      <c r="E1228" s="64" t="s">
        <v>16</v>
      </c>
      <c r="F1228" s="64" t="s">
        <v>373</v>
      </c>
      <c r="G1228" s="64" t="s">
        <v>2528</v>
      </c>
      <c r="H1228" s="64" t="s">
        <v>2529</v>
      </c>
    </row>
    <row r="1229" spans="1:8" x14ac:dyDescent="0.3">
      <c r="A1229" s="64" t="s">
        <v>2045</v>
      </c>
      <c r="B1229" s="64" t="s">
        <v>866</v>
      </c>
      <c r="C1229" s="64" t="s">
        <v>1418</v>
      </c>
      <c r="D1229" s="64" t="s">
        <v>866</v>
      </c>
      <c r="E1229" s="64" t="s">
        <v>16</v>
      </c>
      <c r="F1229" s="64" t="s">
        <v>374</v>
      </c>
      <c r="G1229" s="64" t="s">
        <v>2530</v>
      </c>
      <c r="H1229" s="64" t="s">
        <v>2531</v>
      </c>
    </row>
    <row r="1230" spans="1:8" x14ac:dyDescent="0.3">
      <c r="A1230" s="64" t="s">
        <v>2046</v>
      </c>
      <c r="B1230" s="64" t="s">
        <v>866</v>
      </c>
      <c r="C1230" s="64" t="s">
        <v>1418</v>
      </c>
      <c r="D1230" s="64" t="s">
        <v>866</v>
      </c>
      <c r="E1230" s="64" t="s">
        <v>16</v>
      </c>
      <c r="F1230" s="64" t="s">
        <v>375</v>
      </c>
      <c r="G1230" s="64" t="s">
        <v>2532</v>
      </c>
      <c r="H1230" s="64" t="s">
        <v>2533</v>
      </c>
    </row>
    <row r="1231" spans="1:8" x14ac:dyDescent="0.3">
      <c r="A1231" s="64" t="s">
        <v>2047</v>
      </c>
      <c r="B1231" s="64" t="s">
        <v>866</v>
      </c>
      <c r="C1231" s="64" t="s">
        <v>1418</v>
      </c>
      <c r="D1231" s="64" t="s">
        <v>866</v>
      </c>
      <c r="E1231" s="64" t="s">
        <v>16</v>
      </c>
      <c r="F1231" s="64" t="s">
        <v>376</v>
      </c>
      <c r="G1231" s="64" t="s">
        <v>2534</v>
      </c>
      <c r="H1231" s="64" t="s">
        <v>2535</v>
      </c>
    </row>
    <row r="1232" spans="1:8" x14ac:dyDescent="0.3">
      <c r="A1232" s="64" t="s">
        <v>2048</v>
      </c>
      <c r="B1232" s="64" t="s">
        <v>866</v>
      </c>
      <c r="C1232" s="64" t="s">
        <v>1418</v>
      </c>
      <c r="D1232" s="64" t="s">
        <v>866</v>
      </c>
      <c r="E1232" s="64" t="s">
        <v>16</v>
      </c>
      <c r="F1232" s="64" t="s">
        <v>377</v>
      </c>
      <c r="G1232" s="64" t="s">
        <v>2536</v>
      </c>
      <c r="H1232" s="64" t="s">
        <v>2537</v>
      </c>
    </row>
    <row r="1233" spans="1:8" x14ac:dyDescent="0.3">
      <c r="A1233" s="64" t="s">
        <v>2049</v>
      </c>
      <c r="B1233" s="64" t="s">
        <v>866</v>
      </c>
      <c r="C1233" s="64" t="s">
        <v>1418</v>
      </c>
      <c r="D1233" s="64" t="s">
        <v>866</v>
      </c>
      <c r="E1233" s="64" t="s">
        <v>16</v>
      </c>
      <c r="F1233" s="64" t="s">
        <v>378</v>
      </c>
      <c r="G1233" s="64" t="s">
        <v>2538</v>
      </c>
      <c r="H1233" s="64" t="s">
        <v>2539</v>
      </c>
    </row>
    <row r="1234" spans="1:8" x14ac:dyDescent="0.3">
      <c r="A1234" s="64" t="s">
        <v>2050</v>
      </c>
      <c r="B1234" s="64" t="s">
        <v>866</v>
      </c>
      <c r="C1234" s="64" t="s">
        <v>1418</v>
      </c>
      <c r="D1234" s="64" t="s">
        <v>866</v>
      </c>
      <c r="E1234" s="64" t="s">
        <v>16</v>
      </c>
      <c r="F1234" s="64" t="s">
        <v>379</v>
      </c>
      <c r="G1234" s="64" t="s">
        <v>2540</v>
      </c>
      <c r="H1234" s="64" t="s">
        <v>2541</v>
      </c>
    </row>
    <row r="1235" spans="1:8" x14ac:dyDescent="0.3">
      <c r="A1235" s="64" t="s">
        <v>2051</v>
      </c>
      <c r="B1235" s="64" t="s">
        <v>866</v>
      </c>
      <c r="C1235" s="64" t="s">
        <v>1418</v>
      </c>
      <c r="D1235" s="64" t="s">
        <v>866</v>
      </c>
      <c r="E1235" s="64" t="s">
        <v>16</v>
      </c>
      <c r="F1235" s="64" t="s">
        <v>380</v>
      </c>
      <c r="G1235" s="64" t="s">
        <v>2542</v>
      </c>
      <c r="H1235" s="64" t="s">
        <v>2543</v>
      </c>
    </row>
    <row r="1236" spans="1:8" x14ac:dyDescent="0.3">
      <c r="A1236" s="64" t="s">
        <v>2052</v>
      </c>
      <c r="B1236" s="64" t="s">
        <v>866</v>
      </c>
      <c r="C1236" s="64" t="s">
        <v>1418</v>
      </c>
      <c r="D1236" s="64" t="s">
        <v>866</v>
      </c>
      <c r="E1236" s="64" t="s">
        <v>16</v>
      </c>
      <c r="F1236" s="64" t="s">
        <v>381</v>
      </c>
      <c r="G1236" s="64" t="s">
        <v>2852</v>
      </c>
      <c r="H1236" s="64" t="s">
        <v>2853</v>
      </c>
    </row>
    <row r="1237" spans="1:8" x14ac:dyDescent="0.3">
      <c r="A1237" s="64" t="s">
        <v>2056</v>
      </c>
      <c r="B1237" s="64" t="s">
        <v>866</v>
      </c>
      <c r="C1237" s="64" t="s">
        <v>1418</v>
      </c>
      <c r="D1237" s="64" t="s">
        <v>866</v>
      </c>
      <c r="E1237" s="64" t="s">
        <v>16</v>
      </c>
      <c r="F1237" s="64" t="s">
        <v>382</v>
      </c>
      <c r="G1237" s="64" t="s">
        <v>2854</v>
      </c>
      <c r="H1237" s="64" t="s">
        <v>2855</v>
      </c>
    </row>
    <row r="1238" spans="1:8" x14ac:dyDescent="0.3">
      <c r="A1238" s="64" t="s">
        <v>2057</v>
      </c>
      <c r="B1238" s="64" t="s">
        <v>866</v>
      </c>
      <c r="C1238" s="64" t="s">
        <v>1418</v>
      </c>
      <c r="D1238" s="64" t="s">
        <v>866</v>
      </c>
      <c r="E1238" s="64" t="s">
        <v>16</v>
      </c>
      <c r="F1238" s="64" t="s">
        <v>383</v>
      </c>
      <c r="G1238" s="64" t="s">
        <v>2856</v>
      </c>
      <c r="H1238" s="64" t="s">
        <v>2857</v>
      </c>
    </row>
    <row r="1239" spans="1:8" x14ac:dyDescent="0.3">
      <c r="A1239" s="64" t="s">
        <v>2058</v>
      </c>
      <c r="B1239" s="64" t="s">
        <v>866</v>
      </c>
      <c r="C1239" s="64" t="s">
        <v>2987</v>
      </c>
      <c r="D1239" s="64" t="s">
        <v>866</v>
      </c>
      <c r="E1239" s="64" t="s">
        <v>20</v>
      </c>
      <c r="F1239" s="64" t="s">
        <v>15</v>
      </c>
      <c r="G1239" s="64" t="s">
        <v>2858</v>
      </c>
      <c r="H1239" s="64" t="s">
        <v>2130</v>
      </c>
    </row>
    <row r="1240" spans="1:8" x14ac:dyDescent="0.3">
      <c r="A1240" s="64" t="s">
        <v>2059</v>
      </c>
      <c r="B1240" s="64" t="s">
        <v>866</v>
      </c>
      <c r="C1240" s="64" t="s">
        <v>2986</v>
      </c>
      <c r="D1240" s="64" t="s">
        <v>866</v>
      </c>
      <c r="E1240" s="64" t="s">
        <v>20</v>
      </c>
      <c r="F1240" s="64" t="s">
        <v>15</v>
      </c>
      <c r="G1240" s="64" t="s">
        <v>6049</v>
      </c>
      <c r="H1240" s="64" t="s">
        <v>2133</v>
      </c>
    </row>
    <row r="1241" spans="1:8" x14ac:dyDescent="0.3">
      <c r="A1241" s="64" t="s">
        <v>2060</v>
      </c>
      <c r="B1241" s="64" t="s">
        <v>866</v>
      </c>
      <c r="C1241" s="64" t="s">
        <v>2135</v>
      </c>
      <c r="D1241" s="64" t="s">
        <v>866</v>
      </c>
      <c r="E1241" s="64" t="s">
        <v>20</v>
      </c>
      <c r="F1241" s="64" t="s">
        <v>15</v>
      </c>
      <c r="G1241" s="64" t="s">
        <v>6032</v>
      </c>
      <c r="H1241" s="64" t="s">
        <v>2136</v>
      </c>
    </row>
    <row r="1242" spans="1:8" x14ac:dyDescent="0.3">
      <c r="A1242" s="64" t="s">
        <v>2061</v>
      </c>
      <c r="B1242" s="64" t="s">
        <v>866</v>
      </c>
      <c r="C1242" s="64" t="s">
        <v>2135</v>
      </c>
      <c r="D1242" s="64" t="s">
        <v>866</v>
      </c>
      <c r="E1242" s="64" t="s">
        <v>16</v>
      </c>
      <c r="F1242" s="64" t="s">
        <v>368</v>
      </c>
      <c r="G1242" s="64" t="s">
        <v>6033</v>
      </c>
      <c r="H1242" s="64" t="s">
        <v>2544</v>
      </c>
    </row>
    <row r="1243" spans="1:8" x14ac:dyDescent="0.3">
      <c r="A1243" s="64" t="s">
        <v>2062</v>
      </c>
      <c r="B1243" s="64" t="s">
        <v>866</v>
      </c>
      <c r="C1243" s="64" t="s">
        <v>2135</v>
      </c>
      <c r="D1243" s="64" t="s">
        <v>866</v>
      </c>
      <c r="E1243" s="64" t="s">
        <v>16</v>
      </c>
      <c r="F1243" s="64" t="s">
        <v>369</v>
      </c>
      <c r="G1243" s="64" t="s">
        <v>6034</v>
      </c>
      <c r="H1243" s="64" t="s">
        <v>2545</v>
      </c>
    </row>
    <row r="1244" spans="1:8" x14ac:dyDescent="0.3">
      <c r="A1244" s="64" t="s">
        <v>2063</v>
      </c>
      <c r="B1244" s="64" t="s">
        <v>866</v>
      </c>
      <c r="C1244" s="64" t="s">
        <v>2135</v>
      </c>
      <c r="D1244" s="64" t="s">
        <v>866</v>
      </c>
      <c r="E1244" s="64" t="s">
        <v>16</v>
      </c>
      <c r="F1244" s="64" t="s">
        <v>370</v>
      </c>
      <c r="G1244" s="64" t="s">
        <v>6035</v>
      </c>
      <c r="H1244" s="64" t="s">
        <v>2546</v>
      </c>
    </row>
    <row r="1245" spans="1:8" x14ac:dyDescent="0.3">
      <c r="A1245" s="64" t="s">
        <v>2064</v>
      </c>
      <c r="B1245" s="64" t="s">
        <v>866</v>
      </c>
      <c r="C1245" s="64" t="s">
        <v>2135</v>
      </c>
      <c r="D1245" s="64" t="s">
        <v>866</v>
      </c>
      <c r="E1245" s="64" t="s">
        <v>16</v>
      </c>
      <c r="F1245" s="64" t="s">
        <v>371</v>
      </c>
      <c r="G1245" s="64" t="s">
        <v>6036</v>
      </c>
      <c r="H1245" s="64" t="s">
        <v>2547</v>
      </c>
    </row>
    <row r="1246" spans="1:8" x14ac:dyDescent="0.3">
      <c r="A1246" s="64" t="s">
        <v>2065</v>
      </c>
      <c r="B1246" s="64" t="s">
        <v>866</v>
      </c>
      <c r="C1246" s="64" t="s">
        <v>2135</v>
      </c>
      <c r="D1246" s="64" t="s">
        <v>866</v>
      </c>
      <c r="E1246" s="64" t="s">
        <v>16</v>
      </c>
      <c r="F1246" s="64" t="s">
        <v>372</v>
      </c>
      <c r="G1246" s="64" t="s">
        <v>6037</v>
      </c>
      <c r="H1246" s="64" t="s">
        <v>2548</v>
      </c>
    </row>
    <row r="1247" spans="1:8" x14ac:dyDescent="0.3">
      <c r="A1247" s="64" t="s">
        <v>2066</v>
      </c>
      <c r="B1247" s="64" t="s">
        <v>866</v>
      </c>
      <c r="C1247" s="64" t="s">
        <v>2135</v>
      </c>
      <c r="D1247" s="64" t="s">
        <v>866</v>
      </c>
      <c r="E1247" s="64" t="s">
        <v>16</v>
      </c>
      <c r="F1247" s="64" t="s">
        <v>373</v>
      </c>
      <c r="G1247" s="64" t="s">
        <v>6038</v>
      </c>
      <c r="H1247" s="64" t="s">
        <v>2549</v>
      </c>
    </row>
    <row r="1248" spans="1:8" x14ac:dyDescent="0.3">
      <c r="A1248" s="64" t="s">
        <v>2067</v>
      </c>
      <c r="B1248" s="64" t="s">
        <v>866</v>
      </c>
      <c r="C1248" s="64" t="s">
        <v>2135</v>
      </c>
      <c r="D1248" s="64" t="s">
        <v>866</v>
      </c>
      <c r="E1248" s="64" t="s">
        <v>16</v>
      </c>
      <c r="F1248" s="64" t="s">
        <v>374</v>
      </c>
      <c r="G1248" s="64" t="s">
        <v>6039</v>
      </c>
      <c r="H1248" s="64" t="s">
        <v>2550</v>
      </c>
    </row>
    <row r="1249" spans="1:8" x14ac:dyDescent="0.3">
      <c r="A1249" s="64" t="s">
        <v>2068</v>
      </c>
      <c r="B1249" s="64" t="s">
        <v>866</v>
      </c>
      <c r="C1249" s="64" t="s">
        <v>2135</v>
      </c>
      <c r="D1249" s="64" t="s">
        <v>866</v>
      </c>
      <c r="E1249" s="64" t="s">
        <v>16</v>
      </c>
      <c r="F1249" s="64" t="s">
        <v>375</v>
      </c>
      <c r="G1249" s="64" t="s">
        <v>6040</v>
      </c>
      <c r="H1249" s="64" t="s">
        <v>2551</v>
      </c>
    </row>
    <row r="1250" spans="1:8" x14ac:dyDescent="0.3">
      <c r="A1250" s="64" t="s">
        <v>2069</v>
      </c>
      <c r="B1250" s="64" t="s">
        <v>866</v>
      </c>
      <c r="C1250" s="64" t="s">
        <v>2135</v>
      </c>
      <c r="D1250" s="64" t="s">
        <v>866</v>
      </c>
      <c r="E1250" s="64" t="s">
        <v>16</v>
      </c>
      <c r="F1250" s="64" t="s">
        <v>376</v>
      </c>
      <c r="G1250" s="64" t="s">
        <v>6041</v>
      </c>
      <c r="H1250" s="64" t="s">
        <v>2552</v>
      </c>
    </row>
    <row r="1251" spans="1:8" x14ac:dyDescent="0.3">
      <c r="A1251" s="64" t="s">
        <v>2070</v>
      </c>
      <c r="B1251" s="64" t="s">
        <v>866</v>
      </c>
      <c r="C1251" s="64" t="s">
        <v>2135</v>
      </c>
      <c r="D1251" s="64" t="s">
        <v>866</v>
      </c>
      <c r="E1251" s="64" t="s">
        <v>16</v>
      </c>
      <c r="F1251" s="64" t="s">
        <v>377</v>
      </c>
      <c r="G1251" s="64" t="s">
        <v>6042</v>
      </c>
      <c r="H1251" s="64" t="s">
        <v>2553</v>
      </c>
    </row>
    <row r="1252" spans="1:8" x14ac:dyDescent="0.3">
      <c r="A1252" s="64" t="s">
        <v>2071</v>
      </c>
      <c r="B1252" s="64" t="s">
        <v>866</v>
      </c>
      <c r="C1252" s="64" t="s">
        <v>2135</v>
      </c>
      <c r="D1252" s="64" t="s">
        <v>866</v>
      </c>
      <c r="E1252" s="64" t="s">
        <v>16</v>
      </c>
      <c r="F1252" s="64" t="s">
        <v>378</v>
      </c>
      <c r="G1252" s="64" t="s">
        <v>6043</v>
      </c>
      <c r="H1252" s="64" t="s">
        <v>2554</v>
      </c>
    </row>
    <row r="1253" spans="1:8" x14ac:dyDescent="0.3">
      <c r="A1253" s="64" t="s">
        <v>2072</v>
      </c>
      <c r="B1253" s="64" t="s">
        <v>866</v>
      </c>
      <c r="C1253" s="64" t="s">
        <v>2135</v>
      </c>
      <c r="D1253" s="64" t="s">
        <v>866</v>
      </c>
      <c r="E1253" s="64" t="s">
        <v>16</v>
      </c>
      <c r="F1253" s="64" t="s">
        <v>379</v>
      </c>
      <c r="G1253" s="64" t="s">
        <v>6044</v>
      </c>
      <c r="H1253" s="64" t="s">
        <v>2555</v>
      </c>
    </row>
    <row r="1254" spans="1:8" x14ac:dyDescent="0.3">
      <c r="A1254" s="64" t="s">
        <v>2075</v>
      </c>
      <c r="B1254" s="64" t="s">
        <v>866</v>
      </c>
      <c r="C1254" s="64" t="s">
        <v>2135</v>
      </c>
      <c r="D1254" s="64" t="s">
        <v>866</v>
      </c>
      <c r="E1254" s="64" t="s">
        <v>16</v>
      </c>
      <c r="F1254" s="64" t="s">
        <v>380</v>
      </c>
      <c r="G1254" s="64" t="s">
        <v>6045</v>
      </c>
      <c r="H1254" s="64" t="s">
        <v>2859</v>
      </c>
    </row>
    <row r="1255" spans="1:8" x14ac:dyDescent="0.3">
      <c r="A1255" s="64" t="s">
        <v>2077</v>
      </c>
      <c r="B1255" s="64" t="s">
        <v>866</v>
      </c>
      <c r="C1255" s="64" t="s">
        <v>2135</v>
      </c>
      <c r="D1255" s="64" t="s">
        <v>866</v>
      </c>
      <c r="E1255" s="64" t="s">
        <v>16</v>
      </c>
      <c r="F1255" s="64" t="s">
        <v>381</v>
      </c>
      <c r="G1255" s="64" t="s">
        <v>6046</v>
      </c>
      <c r="H1255" s="64" t="s">
        <v>2860</v>
      </c>
    </row>
    <row r="1256" spans="1:8" x14ac:dyDescent="0.3">
      <c r="A1256" s="64" t="s">
        <v>2078</v>
      </c>
      <c r="B1256" s="64" t="s">
        <v>866</v>
      </c>
      <c r="C1256" s="64" t="s">
        <v>2135</v>
      </c>
      <c r="D1256" s="64" t="s">
        <v>866</v>
      </c>
      <c r="E1256" s="64" t="s">
        <v>16</v>
      </c>
      <c r="F1256" s="64" t="s">
        <v>382</v>
      </c>
      <c r="G1256" s="64" t="s">
        <v>6047</v>
      </c>
      <c r="H1256" s="64" t="s">
        <v>2861</v>
      </c>
    </row>
    <row r="1257" spans="1:8" x14ac:dyDescent="0.3">
      <c r="A1257" s="64" t="s">
        <v>2079</v>
      </c>
      <c r="B1257" s="64" t="s">
        <v>866</v>
      </c>
      <c r="C1257" s="64" t="s">
        <v>2135</v>
      </c>
      <c r="D1257" s="64" t="s">
        <v>866</v>
      </c>
      <c r="E1257" s="64" t="s">
        <v>16</v>
      </c>
      <c r="F1257" s="64" t="s">
        <v>383</v>
      </c>
      <c r="G1257" s="64" t="s">
        <v>6048</v>
      </c>
      <c r="H1257" s="64" t="s">
        <v>2862</v>
      </c>
    </row>
    <row r="1258" spans="1:8" x14ac:dyDescent="0.3">
      <c r="A1258" s="64" t="s">
        <v>2080</v>
      </c>
      <c r="B1258" s="64" t="s">
        <v>866</v>
      </c>
      <c r="C1258" s="64" t="s">
        <v>1418</v>
      </c>
      <c r="D1258" s="64" t="s">
        <v>866</v>
      </c>
      <c r="E1258" s="64" t="s">
        <v>20</v>
      </c>
      <c r="F1258" s="64" t="s">
        <v>15</v>
      </c>
      <c r="G1258" s="64" t="s">
        <v>2863</v>
      </c>
      <c r="H1258" s="64" t="s">
        <v>2154</v>
      </c>
    </row>
    <row r="1259" spans="1:8" x14ac:dyDescent="0.3">
      <c r="A1259" s="64" t="s">
        <v>2081</v>
      </c>
      <c r="B1259" s="64" t="s">
        <v>568</v>
      </c>
      <c r="C1259" s="64" t="s">
        <v>2156</v>
      </c>
      <c r="D1259" s="64" t="s">
        <v>1914</v>
      </c>
      <c r="E1259" s="64" t="s">
        <v>20</v>
      </c>
      <c r="F1259" s="64" t="s">
        <v>15</v>
      </c>
      <c r="G1259" s="64" t="s">
        <v>5161</v>
      </c>
      <c r="H1259" s="64" t="s">
        <v>2159</v>
      </c>
    </row>
    <row r="1260" spans="1:8" x14ac:dyDescent="0.3">
      <c r="A1260" s="64" t="s">
        <v>2082</v>
      </c>
      <c r="B1260" s="64" t="s">
        <v>568</v>
      </c>
      <c r="C1260" s="64" t="s">
        <v>2156</v>
      </c>
      <c r="D1260" s="64" t="s">
        <v>1914</v>
      </c>
      <c r="E1260" s="64" t="s">
        <v>20</v>
      </c>
      <c r="F1260" s="64" t="s">
        <v>15</v>
      </c>
      <c r="G1260" s="64" t="s">
        <v>2864</v>
      </c>
      <c r="H1260" s="64" t="s">
        <v>2161</v>
      </c>
    </row>
    <row r="1261" spans="1:8" x14ac:dyDescent="0.3">
      <c r="A1261" s="64" t="s">
        <v>2083</v>
      </c>
      <c r="B1261" s="64" t="s">
        <v>568</v>
      </c>
      <c r="C1261" s="64" t="s">
        <v>2156</v>
      </c>
      <c r="D1261" s="64" t="s">
        <v>1914</v>
      </c>
      <c r="E1261" s="64" t="s">
        <v>20</v>
      </c>
      <c r="F1261" s="64" t="s">
        <v>15</v>
      </c>
      <c r="G1261" s="64" t="s">
        <v>2865</v>
      </c>
      <c r="H1261" s="64" t="s">
        <v>2163</v>
      </c>
    </row>
    <row r="1262" spans="1:8" x14ac:dyDescent="0.3">
      <c r="A1262" s="64" t="s">
        <v>2084</v>
      </c>
      <c r="B1262" s="64" t="s">
        <v>568</v>
      </c>
      <c r="C1262" s="64" t="s">
        <v>2156</v>
      </c>
      <c r="D1262" s="64" t="s">
        <v>1914</v>
      </c>
      <c r="E1262" s="64" t="s">
        <v>16</v>
      </c>
      <c r="F1262" s="64" t="s">
        <v>368</v>
      </c>
      <c r="G1262" s="64" t="s">
        <v>2866</v>
      </c>
      <c r="H1262" s="64" t="s">
        <v>2556</v>
      </c>
    </row>
    <row r="1263" spans="1:8" x14ac:dyDescent="0.3">
      <c r="A1263" s="64" t="s">
        <v>2085</v>
      </c>
      <c r="B1263" s="64" t="s">
        <v>568</v>
      </c>
      <c r="C1263" s="64" t="s">
        <v>2156</v>
      </c>
      <c r="D1263" s="64" t="s">
        <v>1914</v>
      </c>
      <c r="E1263" s="64" t="s">
        <v>16</v>
      </c>
      <c r="F1263" s="64" t="s">
        <v>369</v>
      </c>
      <c r="G1263" s="64" t="s">
        <v>2867</v>
      </c>
      <c r="H1263" s="64" t="s">
        <v>2557</v>
      </c>
    </row>
    <row r="1264" spans="1:8" x14ac:dyDescent="0.3">
      <c r="A1264" s="64" t="s">
        <v>2086</v>
      </c>
      <c r="B1264" s="64" t="s">
        <v>568</v>
      </c>
      <c r="C1264" s="64" t="s">
        <v>2156</v>
      </c>
      <c r="D1264" s="64" t="s">
        <v>1914</v>
      </c>
      <c r="E1264" s="64" t="s">
        <v>16</v>
      </c>
      <c r="F1264" s="64" t="s">
        <v>370</v>
      </c>
      <c r="G1264" s="64" t="s">
        <v>2868</v>
      </c>
      <c r="H1264" s="64" t="s">
        <v>2558</v>
      </c>
    </row>
    <row r="1265" spans="1:8" x14ac:dyDescent="0.3">
      <c r="A1265" s="64" t="s">
        <v>2087</v>
      </c>
      <c r="B1265" s="64" t="s">
        <v>568</v>
      </c>
      <c r="C1265" s="64" t="s">
        <v>2156</v>
      </c>
      <c r="D1265" s="64" t="s">
        <v>1914</v>
      </c>
      <c r="E1265" s="64" t="s">
        <v>16</v>
      </c>
      <c r="F1265" s="64" t="s">
        <v>371</v>
      </c>
      <c r="G1265" s="64" t="s">
        <v>2869</v>
      </c>
      <c r="H1265" s="64" t="s">
        <v>2559</v>
      </c>
    </row>
    <row r="1266" spans="1:8" x14ac:dyDescent="0.3">
      <c r="A1266" s="64" t="s">
        <v>2088</v>
      </c>
      <c r="B1266" s="64" t="s">
        <v>568</v>
      </c>
      <c r="C1266" s="64" t="s">
        <v>2156</v>
      </c>
      <c r="D1266" s="64" t="s">
        <v>1914</v>
      </c>
      <c r="E1266" s="64" t="s">
        <v>16</v>
      </c>
      <c r="F1266" s="64" t="s">
        <v>372</v>
      </c>
      <c r="G1266" s="64" t="s">
        <v>2870</v>
      </c>
      <c r="H1266" s="64" t="s">
        <v>2560</v>
      </c>
    </row>
    <row r="1267" spans="1:8" x14ac:dyDescent="0.3">
      <c r="A1267" s="64" t="s">
        <v>2089</v>
      </c>
      <c r="B1267" s="64" t="s">
        <v>568</v>
      </c>
      <c r="C1267" s="64" t="s">
        <v>2156</v>
      </c>
      <c r="D1267" s="64" t="s">
        <v>1914</v>
      </c>
      <c r="E1267" s="64" t="s">
        <v>16</v>
      </c>
      <c r="F1267" s="64" t="s">
        <v>373</v>
      </c>
      <c r="G1267" s="64" t="s">
        <v>2871</v>
      </c>
      <c r="H1267" s="64" t="s">
        <v>2561</v>
      </c>
    </row>
    <row r="1268" spans="1:8" x14ac:dyDescent="0.3">
      <c r="A1268" s="64" t="s">
        <v>2090</v>
      </c>
      <c r="B1268" s="64" t="s">
        <v>568</v>
      </c>
      <c r="C1268" s="64" t="s">
        <v>2156</v>
      </c>
      <c r="D1268" s="64" t="s">
        <v>1914</v>
      </c>
      <c r="E1268" s="64" t="s">
        <v>16</v>
      </c>
      <c r="F1268" s="64" t="s">
        <v>374</v>
      </c>
      <c r="G1268" s="64" t="s">
        <v>2872</v>
      </c>
      <c r="H1268" s="64" t="s">
        <v>2562</v>
      </c>
    </row>
    <row r="1269" spans="1:8" x14ac:dyDescent="0.3">
      <c r="A1269" s="64" t="s">
        <v>2091</v>
      </c>
      <c r="B1269" s="64" t="s">
        <v>568</v>
      </c>
      <c r="C1269" s="64" t="s">
        <v>2156</v>
      </c>
      <c r="D1269" s="64" t="s">
        <v>1914</v>
      </c>
      <c r="E1269" s="64" t="s">
        <v>16</v>
      </c>
      <c r="F1269" s="64" t="s">
        <v>375</v>
      </c>
      <c r="G1269" s="64" t="s">
        <v>2873</v>
      </c>
      <c r="H1269" s="64" t="s">
        <v>2563</v>
      </c>
    </row>
    <row r="1270" spans="1:8" x14ac:dyDescent="0.3">
      <c r="A1270" s="64" t="s">
        <v>2092</v>
      </c>
      <c r="B1270" s="64" t="s">
        <v>568</v>
      </c>
      <c r="C1270" s="64" t="s">
        <v>2156</v>
      </c>
      <c r="D1270" s="64" t="s">
        <v>1914</v>
      </c>
      <c r="E1270" s="64" t="s">
        <v>16</v>
      </c>
      <c r="F1270" s="64" t="s">
        <v>376</v>
      </c>
      <c r="G1270" s="64" t="s">
        <v>2874</v>
      </c>
      <c r="H1270" s="64" t="s">
        <v>2564</v>
      </c>
    </row>
    <row r="1271" spans="1:8" x14ac:dyDescent="0.3">
      <c r="A1271" s="64" t="s">
        <v>2094</v>
      </c>
      <c r="B1271" s="64" t="s">
        <v>568</v>
      </c>
      <c r="C1271" s="64" t="s">
        <v>2156</v>
      </c>
      <c r="D1271" s="64" t="s">
        <v>1914</v>
      </c>
      <c r="E1271" s="64" t="s">
        <v>16</v>
      </c>
      <c r="F1271" s="64" t="s">
        <v>377</v>
      </c>
      <c r="G1271" s="64" t="s">
        <v>2875</v>
      </c>
      <c r="H1271" s="64" t="s">
        <v>2565</v>
      </c>
    </row>
    <row r="1272" spans="1:8" x14ac:dyDescent="0.3">
      <c r="A1272" s="64" t="s">
        <v>2095</v>
      </c>
      <c r="B1272" s="64" t="s">
        <v>568</v>
      </c>
      <c r="C1272" s="64" t="s">
        <v>2156</v>
      </c>
      <c r="D1272" s="64" t="s">
        <v>1914</v>
      </c>
      <c r="E1272" s="64" t="s">
        <v>16</v>
      </c>
      <c r="F1272" s="64" t="s">
        <v>378</v>
      </c>
      <c r="G1272" s="64" t="s">
        <v>2876</v>
      </c>
      <c r="H1272" s="64" t="s">
        <v>2566</v>
      </c>
    </row>
    <row r="1273" spans="1:8" x14ac:dyDescent="0.3">
      <c r="A1273" s="64" t="s">
        <v>2096</v>
      </c>
      <c r="B1273" s="64" t="s">
        <v>568</v>
      </c>
      <c r="C1273" s="64" t="s">
        <v>2156</v>
      </c>
      <c r="D1273" s="64" t="s">
        <v>1914</v>
      </c>
      <c r="E1273" s="64" t="s">
        <v>16</v>
      </c>
      <c r="F1273" s="64" t="s">
        <v>379</v>
      </c>
      <c r="G1273" s="64" t="s">
        <v>2877</v>
      </c>
      <c r="H1273" s="64" t="s">
        <v>2878</v>
      </c>
    </row>
    <row r="1274" spans="1:8" x14ac:dyDescent="0.3">
      <c r="A1274" s="64" t="s">
        <v>2097</v>
      </c>
      <c r="B1274" s="64" t="s">
        <v>568</v>
      </c>
      <c r="C1274" s="64" t="s">
        <v>2156</v>
      </c>
      <c r="D1274" s="64" t="s">
        <v>1914</v>
      </c>
      <c r="E1274" s="64" t="s">
        <v>16</v>
      </c>
      <c r="F1274" s="64" t="s">
        <v>380</v>
      </c>
      <c r="G1274" s="64" t="s">
        <v>2879</v>
      </c>
      <c r="H1274" s="64" t="s">
        <v>2880</v>
      </c>
    </row>
    <row r="1275" spans="1:8" x14ac:dyDescent="0.3">
      <c r="A1275" s="64" t="s">
        <v>2098</v>
      </c>
      <c r="B1275" s="64" t="s">
        <v>568</v>
      </c>
      <c r="C1275" s="64" t="s">
        <v>2156</v>
      </c>
      <c r="D1275" s="64" t="s">
        <v>1914</v>
      </c>
      <c r="E1275" s="64" t="s">
        <v>16</v>
      </c>
      <c r="F1275" s="64" t="s">
        <v>381</v>
      </c>
      <c r="G1275" s="64" t="s">
        <v>2881</v>
      </c>
      <c r="H1275" s="64" t="s">
        <v>2882</v>
      </c>
    </row>
    <row r="1276" spans="1:8" x14ac:dyDescent="0.3">
      <c r="A1276" s="64" t="s">
        <v>2099</v>
      </c>
      <c r="B1276" s="64" t="s">
        <v>568</v>
      </c>
      <c r="C1276" s="64" t="s">
        <v>2156</v>
      </c>
      <c r="D1276" s="64" t="s">
        <v>1914</v>
      </c>
      <c r="E1276" s="64" t="s">
        <v>16</v>
      </c>
      <c r="F1276" s="64" t="s">
        <v>383</v>
      </c>
      <c r="G1276" s="64" t="s">
        <v>2883</v>
      </c>
      <c r="H1276" s="64" t="s">
        <v>2884</v>
      </c>
    </row>
    <row r="1277" spans="1:8" x14ac:dyDescent="0.3">
      <c r="A1277" s="64" t="s">
        <v>2100</v>
      </c>
      <c r="B1277" s="64" t="s">
        <v>568</v>
      </c>
      <c r="C1277" s="64" t="s">
        <v>2156</v>
      </c>
      <c r="D1277" s="64" t="s">
        <v>1914</v>
      </c>
      <c r="E1277" s="64" t="s">
        <v>20</v>
      </c>
      <c r="F1277" s="64" t="s">
        <v>15</v>
      </c>
      <c r="G1277" s="64" t="s">
        <v>2885</v>
      </c>
      <c r="H1277" s="64" t="s">
        <v>2181</v>
      </c>
    </row>
    <row r="1278" spans="1:8" x14ac:dyDescent="0.3">
      <c r="A1278" s="64" t="s">
        <v>2101</v>
      </c>
      <c r="B1278" s="64" t="s">
        <v>823</v>
      </c>
      <c r="C1278" s="64" t="s">
        <v>572</v>
      </c>
      <c r="D1278" s="64" t="s">
        <v>2183</v>
      </c>
      <c r="E1278" s="64" t="s">
        <v>20</v>
      </c>
      <c r="F1278" s="64" t="s">
        <v>15</v>
      </c>
      <c r="G1278" s="64" t="s">
        <v>2886</v>
      </c>
      <c r="H1278" s="64" t="s">
        <v>2186</v>
      </c>
    </row>
    <row r="1279" spans="1:8" x14ac:dyDescent="0.3">
      <c r="A1279" s="64" t="s">
        <v>2102</v>
      </c>
      <c r="B1279" s="64" t="s">
        <v>823</v>
      </c>
      <c r="C1279" s="64" t="s">
        <v>572</v>
      </c>
      <c r="D1279" s="64" t="s">
        <v>2183</v>
      </c>
      <c r="E1279" s="64" t="s">
        <v>20</v>
      </c>
      <c r="F1279" s="64" t="s">
        <v>15</v>
      </c>
      <c r="G1279" s="64" t="s">
        <v>2887</v>
      </c>
      <c r="H1279" s="64" t="s">
        <v>2190</v>
      </c>
    </row>
    <row r="1280" spans="1:8" x14ac:dyDescent="0.3">
      <c r="A1280" s="64" t="s">
        <v>2103</v>
      </c>
      <c r="B1280" s="64" t="s">
        <v>823</v>
      </c>
      <c r="C1280" s="64" t="s">
        <v>940</v>
      </c>
      <c r="D1280" s="64" t="s">
        <v>2183</v>
      </c>
      <c r="E1280" s="64" t="s">
        <v>20</v>
      </c>
      <c r="F1280" s="64" t="s">
        <v>15</v>
      </c>
      <c r="G1280" s="64" t="s">
        <v>2888</v>
      </c>
      <c r="H1280" s="64" t="s">
        <v>2193</v>
      </c>
    </row>
    <row r="1281" spans="1:8" x14ac:dyDescent="0.3">
      <c r="A1281" s="64" t="s">
        <v>2104</v>
      </c>
      <c r="B1281" s="64" t="s">
        <v>823</v>
      </c>
      <c r="C1281" s="64" t="s">
        <v>940</v>
      </c>
      <c r="D1281" s="64" t="s">
        <v>2183</v>
      </c>
      <c r="E1281" s="64" t="s">
        <v>20</v>
      </c>
      <c r="F1281" s="64" t="s">
        <v>15</v>
      </c>
      <c r="G1281" s="64" t="s">
        <v>2567</v>
      </c>
      <c r="H1281" s="64" t="s">
        <v>2195</v>
      </c>
    </row>
    <row r="1282" spans="1:8" x14ac:dyDescent="0.3">
      <c r="A1282" s="64" t="s">
        <v>2105</v>
      </c>
      <c r="B1282" s="64" t="s">
        <v>823</v>
      </c>
      <c r="C1282" s="64" t="s">
        <v>940</v>
      </c>
      <c r="D1282" s="64" t="s">
        <v>2183</v>
      </c>
      <c r="E1282" s="64" t="s">
        <v>16</v>
      </c>
      <c r="F1282" s="64" t="s">
        <v>368</v>
      </c>
      <c r="G1282" s="64" t="s">
        <v>2568</v>
      </c>
      <c r="H1282" s="64" t="s">
        <v>2569</v>
      </c>
    </row>
    <row r="1283" spans="1:8" x14ac:dyDescent="0.3">
      <c r="A1283" s="64" t="s">
        <v>2106</v>
      </c>
      <c r="B1283" s="64" t="s">
        <v>823</v>
      </c>
      <c r="C1283" s="64" t="s">
        <v>940</v>
      </c>
      <c r="D1283" s="64" t="s">
        <v>2183</v>
      </c>
      <c r="E1283" s="64" t="s">
        <v>16</v>
      </c>
      <c r="F1283" s="64" t="s">
        <v>369</v>
      </c>
      <c r="G1283" s="64" t="s">
        <v>2570</v>
      </c>
      <c r="H1283" s="64" t="s">
        <v>2571</v>
      </c>
    </row>
    <row r="1284" spans="1:8" x14ac:dyDescent="0.3">
      <c r="A1284" s="64" t="s">
        <v>2107</v>
      </c>
      <c r="B1284" s="64" t="s">
        <v>823</v>
      </c>
      <c r="C1284" s="64" t="s">
        <v>940</v>
      </c>
      <c r="D1284" s="64" t="s">
        <v>2183</v>
      </c>
      <c r="E1284" s="64" t="s">
        <v>16</v>
      </c>
      <c r="F1284" s="64" t="s">
        <v>370</v>
      </c>
      <c r="G1284" s="64" t="s">
        <v>2572</v>
      </c>
      <c r="H1284" s="64" t="s">
        <v>2573</v>
      </c>
    </row>
    <row r="1285" spans="1:8" x14ac:dyDescent="0.3">
      <c r="A1285" s="64" t="s">
        <v>2108</v>
      </c>
      <c r="B1285" s="64" t="s">
        <v>823</v>
      </c>
      <c r="C1285" s="64" t="s">
        <v>940</v>
      </c>
      <c r="D1285" s="64" t="s">
        <v>2183</v>
      </c>
      <c r="E1285" s="64" t="s">
        <v>16</v>
      </c>
      <c r="F1285" s="64" t="s">
        <v>371</v>
      </c>
      <c r="G1285" s="64" t="s">
        <v>2574</v>
      </c>
      <c r="H1285" s="64" t="s">
        <v>2575</v>
      </c>
    </row>
    <row r="1286" spans="1:8" x14ac:dyDescent="0.3">
      <c r="A1286" s="64" t="s">
        <v>2109</v>
      </c>
      <c r="B1286" s="64" t="s">
        <v>823</v>
      </c>
      <c r="C1286" s="64" t="s">
        <v>940</v>
      </c>
      <c r="D1286" s="64" t="s">
        <v>2183</v>
      </c>
      <c r="E1286" s="64" t="s">
        <v>16</v>
      </c>
      <c r="F1286" s="64" t="s">
        <v>372</v>
      </c>
      <c r="G1286" s="64" t="s">
        <v>2576</v>
      </c>
      <c r="H1286" s="64" t="s">
        <v>2577</v>
      </c>
    </row>
    <row r="1287" spans="1:8" x14ac:dyDescent="0.3">
      <c r="A1287" s="64" t="s">
        <v>2110</v>
      </c>
      <c r="B1287" s="64" t="s">
        <v>823</v>
      </c>
      <c r="C1287" s="64" t="s">
        <v>940</v>
      </c>
      <c r="D1287" s="64" t="s">
        <v>2183</v>
      </c>
      <c r="E1287" s="64" t="s">
        <v>16</v>
      </c>
      <c r="F1287" s="64" t="s">
        <v>373</v>
      </c>
      <c r="G1287" s="64" t="s">
        <v>2578</v>
      </c>
      <c r="H1287" s="64" t="s">
        <v>2579</v>
      </c>
    </row>
    <row r="1288" spans="1:8" x14ac:dyDescent="0.3">
      <c r="A1288" s="64" t="s">
        <v>2113</v>
      </c>
      <c r="B1288" s="64" t="s">
        <v>823</v>
      </c>
      <c r="C1288" s="64" t="s">
        <v>940</v>
      </c>
      <c r="D1288" s="64" t="s">
        <v>2183</v>
      </c>
      <c r="E1288" s="64" t="s">
        <v>16</v>
      </c>
      <c r="F1288" s="64" t="s">
        <v>374</v>
      </c>
      <c r="G1288" s="64" t="s">
        <v>2580</v>
      </c>
      <c r="H1288" s="64" t="s">
        <v>2581</v>
      </c>
    </row>
    <row r="1289" spans="1:8" x14ac:dyDescent="0.3">
      <c r="A1289" s="64" t="s">
        <v>2114</v>
      </c>
      <c r="B1289" s="64" t="s">
        <v>823</v>
      </c>
      <c r="C1289" s="64" t="s">
        <v>940</v>
      </c>
      <c r="D1289" s="64" t="s">
        <v>2183</v>
      </c>
      <c r="E1289" s="64" t="s">
        <v>16</v>
      </c>
      <c r="F1289" s="64" t="s">
        <v>375</v>
      </c>
      <c r="G1289" s="64" t="s">
        <v>2582</v>
      </c>
      <c r="H1289" s="64" t="s">
        <v>2583</v>
      </c>
    </row>
    <row r="1290" spans="1:8" x14ac:dyDescent="0.3">
      <c r="A1290" s="64" t="s">
        <v>2115</v>
      </c>
      <c r="B1290" s="64" t="s">
        <v>823</v>
      </c>
      <c r="C1290" s="64" t="s">
        <v>940</v>
      </c>
      <c r="D1290" s="64" t="s">
        <v>2183</v>
      </c>
      <c r="E1290" s="64" t="s">
        <v>16</v>
      </c>
      <c r="F1290" s="64" t="s">
        <v>376</v>
      </c>
      <c r="G1290" s="64" t="s">
        <v>2584</v>
      </c>
      <c r="H1290" s="64" t="s">
        <v>2585</v>
      </c>
    </row>
    <row r="1291" spans="1:8" x14ac:dyDescent="0.3">
      <c r="A1291" s="64" t="s">
        <v>2116</v>
      </c>
      <c r="B1291" s="64" t="s">
        <v>823</v>
      </c>
      <c r="C1291" s="64" t="s">
        <v>940</v>
      </c>
      <c r="D1291" s="64" t="s">
        <v>2183</v>
      </c>
      <c r="E1291" s="64" t="s">
        <v>16</v>
      </c>
      <c r="F1291" s="64" t="s">
        <v>377</v>
      </c>
      <c r="G1291" s="64" t="s">
        <v>2586</v>
      </c>
      <c r="H1291" s="64" t="s">
        <v>2587</v>
      </c>
    </row>
    <row r="1292" spans="1:8" x14ac:dyDescent="0.3">
      <c r="A1292" s="64" t="s">
        <v>2117</v>
      </c>
      <c r="B1292" s="64" t="s">
        <v>823</v>
      </c>
      <c r="C1292" s="64" t="s">
        <v>940</v>
      </c>
      <c r="D1292" s="64" t="s">
        <v>2183</v>
      </c>
      <c r="E1292" s="64" t="s">
        <v>16</v>
      </c>
      <c r="F1292" s="64" t="s">
        <v>378</v>
      </c>
      <c r="G1292" s="64" t="s">
        <v>2588</v>
      </c>
      <c r="H1292" s="64" t="s">
        <v>2589</v>
      </c>
    </row>
    <row r="1293" spans="1:8" x14ac:dyDescent="0.3">
      <c r="A1293" s="64" t="s">
        <v>2118</v>
      </c>
      <c r="B1293" s="64" t="s">
        <v>823</v>
      </c>
      <c r="C1293" s="64" t="s">
        <v>940</v>
      </c>
      <c r="D1293" s="64" t="s">
        <v>2183</v>
      </c>
      <c r="E1293" s="64" t="s">
        <v>16</v>
      </c>
      <c r="F1293" s="64" t="s">
        <v>379</v>
      </c>
      <c r="G1293" s="64" t="s">
        <v>2590</v>
      </c>
      <c r="H1293" s="64" t="s">
        <v>2591</v>
      </c>
    </row>
    <row r="1294" spans="1:8" x14ac:dyDescent="0.3">
      <c r="A1294" s="64" t="s">
        <v>2119</v>
      </c>
      <c r="B1294" s="64" t="s">
        <v>823</v>
      </c>
      <c r="C1294" s="64" t="s">
        <v>940</v>
      </c>
      <c r="D1294" s="64" t="s">
        <v>2183</v>
      </c>
      <c r="E1294" s="64" t="s">
        <v>16</v>
      </c>
      <c r="F1294" s="64" t="s">
        <v>380</v>
      </c>
      <c r="G1294" s="64" t="s">
        <v>2592</v>
      </c>
      <c r="H1294" s="64" t="s">
        <v>2593</v>
      </c>
    </row>
    <row r="1295" spans="1:8" x14ac:dyDescent="0.3">
      <c r="A1295" s="64" t="s">
        <v>2120</v>
      </c>
      <c r="B1295" s="64" t="s">
        <v>823</v>
      </c>
      <c r="C1295" s="64" t="s">
        <v>940</v>
      </c>
      <c r="D1295" s="64" t="s">
        <v>2183</v>
      </c>
      <c r="E1295" s="64" t="s">
        <v>16</v>
      </c>
      <c r="F1295" s="64" t="s">
        <v>381</v>
      </c>
      <c r="G1295" s="64" t="s">
        <v>2594</v>
      </c>
      <c r="H1295" s="64" t="s">
        <v>2595</v>
      </c>
    </row>
    <row r="1296" spans="1:8" x14ac:dyDescent="0.3">
      <c r="A1296" s="64" t="s">
        <v>2121</v>
      </c>
      <c r="B1296" s="64" t="s">
        <v>823</v>
      </c>
      <c r="C1296" s="64" t="s">
        <v>940</v>
      </c>
      <c r="D1296" s="64" t="s">
        <v>2183</v>
      </c>
      <c r="E1296" s="64" t="s">
        <v>16</v>
      </c>
      <c r="F1296" s="64" t="s">
        <v>382</v>
      </c>
      <c r="G1296" s="64" t="s">
        <v>2596</v>
      </c>
      <c r="H1296" s="64" t="s">
        <v>2597</v>
      </c>
    </row>
    <row r="1297" spans="1:8" x14ac:dyDescent="0.3">
      <c r="A1297" s="64" t="s">
        <v>2122</v>
      </c>
      <c r="B1297" s="64" t="s">
        <v>823</v>
      </c>
      <c r="C1297" s="64" t="s">
        <v>572</v>
      </c>
      <c r="D1297" s="64" t="s">
        <v>2183</v>
      </c>
      <c r="E1297" s="64" t="s">
        <v>20</v>
      </c>
      <c r="F1297" s="64" t="s">
        <v>15</v>
      </c>
      <c r="G1297" s="64" t="s">
        <v>2598</v>
      </c>
      <c r="H1297" s="64" t="s">
        <v>2212</v>
      </c>
    </row>
    <row r="1298" spans="1:8" x14ac:dyDescent="0.3">
      <c r="A1298" s="64" t="s">
        <v>2123</v>
      </c>
      <c r="B1298" s="64" t="s">
        <v>823</v>
      </c>
      <c r="C1298" s="64" t="s">
        <v>572</v>
      </c>
      <c r="D1298" s="64" t="s">
        <v>2183</v>
      </c>
      <c r="E1298" s="64" t="s">
        <v>16</v>
      </c>
      <c r="F1298" s="64" t="s">
        <v>368</v>
      </c>
      <c r="G1298" s="64" t="s">
        <v>2599</v>
      </c>
      <c r="H1298" s="64" t="s">
        <v>2600</v>
      </c>
    </row>
    <row r="1299" spans="1:8" x14ac:dyDescent="0.3">
      <c r="A1299" s="64" t="s">
        <v>2124</v>
      </c>
      <c r="B1299" s="64" t="s">
        <v>823</v>
      </c>
      <c r="C1299" s="64" t="s">
        <v>572</v>
      </c>
      <c r="D1299" s="64" t="s">
        <v>2183</v>
      </c>
      <c r="E1299" s="64" t="s">
        <v>16</v>
      </c>
      <c r="F1299" s="64" t="s">
        <v>369</v>
      </c>
      <c r="G1299" s="64" t="s">
        <v>2601</v>
      </c>
      <c r="H1299" s="64" t="s">
        <v>2602</v>
      </c>
    </row>
    <row r="1300" spans="1:8" x14ac:dyDescent="0.3">
      <c r="A1300" s="64" t="s">
        <v>2125</v>
      </c>
      <c r="B1300" s="64" t="s">
        <v>823</v>
      </c>
      <c r="C1300" s="64" t="s">
        <v>572</v>
      </c>
      <c r="D1300" s="64" t="s">
        <v>2183</v>
      </c>
      <c r="E1300" s="64" t="s">
        <v>16</v>
      </c>
      <c r="F1300" s="64" t="s">
        <v>370</v>
      </c>
      <c r="G1300" s="64" t="s">
        <v>2603</v>
      </c>
      <c r="H1300" s="64" t="s">
        <v>2604</v>
      </c>
    </row>
    <row r="1301" spans="1:8" x14ac:dyDescent="0.3">
      <c r="A1301" s="64" t="s">
        <v>2126</v>
      </c>
      <c r="B1301" s="64" t="s">
        <v>823</v>
      </c>
      <c r="C1301" s="64" t="s">
        <v>572</v>
      </c>
      <c r="D1301" s="64" t="s">
        <v>2183</v>
      </c>
      <c r="E1301" s="64" t="s">
        <v>16</v>
      </c>
      <c r="F1301" s="64" t="s">
        <v>371</v>
      </c>
      <c r="G1301" s="64" t="s">
        <v>2605</v>
      </c>
      <c r="H1301" s="64" t="s">
        <v>2606</v>
      </c>
    </row>
    <row r="1302" spans="1:8" x14ac:dyDescent="0.3">
      <c r="A1302" s="64" t="s">
        <v>2127</v>
      </c>
      <c r="B1302" s="64" t="s">
        <v>823</v>
      </c>
      <c r="C1302" s="64" t="s">
        <v>572</v>
      </c>
      <c r="D1302" s="64" t="s">
        <v>2183</v>
      </c>
      <c r="E1302" s="64" t="s">
        <v>16</v>
      </c>
      <c r="F1302" s="64" t="s">
        <v>372</v>
      </c>
      <c r="G1302" s="64" t="s">
        <v>2607</v>
      </c>
      <c r="H1302" s="64" t="s">
        <v>2608</v>
      </c>
    </row>
    <row r="1303" spans="1:8" x14ac:dyDescent="0.3">
      <c r="A1303" s="64" t="s">
        <v>2128</v>
      </c>
      <c r="B1303" s="64" t="s">
        <v>823</v>
      </c>
      <c r="C1303" s="64" t="s">
        <v>572</v>
      </c>
      <c r="D1303" s="64" t="s">
        <v>2183</v>
      </c>
      <c r="E1303" s="64" t="s">
        <v>16</v>
      </c>
      <c r="F1303" s="64" t="s">
        <v>373</v>
      </c>
      <c r="G1303" s="64" t="s">
        <v>2609</v>
      </c>
      <c r="H1303" s="64" t="s">
        <v>2610</v>
      </c>
    </row>
    <row r="1304" spans="1:8" x14ac:dyDescent="0.3">
      <c r="A1304" s="64" t="s">
        <v>2129</v>
      </c>
      <c r="B1304" s="64" t="s">
        <v>823</v>
      </c>
      <c r="C1304" s="64" t="s">
        <v>572</v>
      </c>
      <c r="D1304" s="64" t="s">
        <v>2183</v>
      </c>
      <c r="E1304" s="64" t="s">
        <v>16</v>
      </c>
      <c r="F1304" s="64" t="s">
        <v>374</v>
      </c>
      <c r="G1304" s="64" t="s">
        <v>2611</v>
      </c>
      <c r="H1304" s="64" t="s">
        <v>2612</v>
      </c>
    </row>
    <row r="1305" spans="1:8" x14ac:dyDescent="0.3">
      <c r="A1305" s="64" t="s">
        <v>2131</v>
      </c>
      <c r="B1305" s="64" t="s">
        <v>823</v>
      </c>
      <c r="C1305" s="64" t="s">
        <v>572</v>
      </c>
      <c r="D1305" s="64" t="s">
        <v>2183</v>
      </c>
      <c r="E1305" s="64" t="s">
        <v>16</v>
      </c>
      <c r="F1305" s="64" t="s">
        <v>375</v>
      </c>
      <c r="G1305" s="64" t="s">
        <v>2613</v>
      </c>
      <c r="H1305" s="64" t="s">
        <v>2614</v>
      </c>
    </row>
    <row r="1306" spans="1:8" x14ac:dyDescent="0.3">
      <c r="A1306" s="64" t="s">
        <v>2134</v>
      </c>
      <c r="B1306" s="64" t="s">
        <v>823</v>
      </c>
      <c r="C1306" s="64" t="s">
        <v>572</v>
      </c>
      <c r="D1306" s="64" t="s">
        <v>2183</v>
      </c>
      <c r="E1306" s="64" t="s">
        <v>16</v>
      </c>
      <c r="F1306" s="64" t="s">
        <v>376</v>
      </c>
      <c r="G1306" s="64" t="s">
        <v>2615</v>
      </c>
      <c r="H1306" s="64" t="s">
        <v>2616</v>
      </c>
    </row>
    <row r="1307" spans="1:8" x14ac:dyDescent="0.3">
      <c r="A1307" s="64" t="s">
        <v>2137</v>
      </c>
      <c r="B1307" s="64" t="s">
        <v>823</v>
      </c>
      <c r="C1307" s="64" t="s">
        <v>572</v>
      </c>
      <c r="D1307" s="64" t="s">
        <v>2183</v>
      </c>
      <c r="E1307" s="64" t="s">
        <v>16</v>
      </c>
      <c r="F1307" s="64" t="s">
        <v>377</v>
      </c>
      <c r="G1307" s="64" t="s">
        <v>2617</v>
      </c>
      <c r="H1307" s="64" t="s">
        <v>2618</v>
      </c>
    </row>
    <row r="1308" spans="1:8" x14ac:dyDescent="0.3">
      <c r="A1308" s="64" t="s">
        <v>2138</v>
      </c>
      <c r="B1308" s="64" t="s">
        <v>823</v>
      </c>
      <c r="C1308" s="64" t="s">
        <v>572</v>
      </c>
      <c r="D1308" s="64" t="s">
        <v>2183</v>
      </c>
      <c r="E1308" s="64" t="s">
        <v>16</v>
      </c>
      <c r="F1308" s="64" t="s">
        <v>378</v>
      </c>
      <c r="G1308" s="64" t="s">
        <v>2619</v>
      </c>
      <c r="H1308" s="64" t="s">
        <v>2620</v>
      </c>
    </row>
    <row r="1309" spans="1:8" x14ac:dyDescent="0.3">
      <c r="A1309" s="64" t="s">
        <v>2139</v>
      </c>
      <c r="B1309" s="64" t="s">
        <v>823</v>
      </c>
      <c r="C1309" s="64" t="s">
        <v>572</v>
      </c>
      <c r="D1309" s="64" t="s">
        <v>2183</v>
      </c>
      <c r="E1309" s="64" t="s">
        <v>16</v>
      </c>
      <c r="F1309" s="64" t="s">
        <v>379</v>
      </c>
      <c r="G1309" s="64" t="s">
        <v>2621</v>
      </c>
      <c r="H1309" s="64" t="s">
        <v>2622</v>
      </c>
    </row>
    <row r="1310" spans="1:8" x14ac:dyDescent="0.3">
      <c r="A1310" s="64" t="s">
        <v>2140</v>
      </c>
      <c r="B1310" s="64" t="s">
        <v>823</v>
      </c>
      <c r="C1310" s="64" t="s">
        <v>572</v>
      </c>
      <c r="D1310" s="64" t="s">
        <v>2183</v>
      </c>
      <c r="E1310" s="64" t="s">
        <v>16</v>
      </c>
      <c r="F1310" s="64" t="s">
        <v>380</v>
      </c>
      <c r="G1310" s="64" t="s">
        <v>2623</v>
      </c>
      <c r="H1310" s="64" t="s">
        <v>2624</v>
      </c>
    </row>
    <row r="1311" spans="1:8" x14ac:dyDescent="0.3">
      <c r="A1311" s="64" t="s">
        <v>2141</v>
      </c>
      <c r="B1311" s="64" t="s">
        <v>823</v>
      </c>
      <c r="C1311" s="64" t="s">
        <v>572</v>
      </c>
      <c r="D1311" s="64" t="s">
        <v>2183</v>
      </c>
      <c r="E1311" s="64" t="s">
        <v>16</v>
      </c>
      <c r="F1311" s="64" t="s">
        <v>381</v>
      </c>
      <c r="G1311" s="64" t="s">
        <v>2625</v>
      </c>
      <c r="H1311" s="64" t="s">
        <v>2626</v>
      </c>
    </row>
    <row r="1312" spans="1:8" x14ac:dyDescent="0.3">
      <c r="A1312" s="64" t="s">
        <v>2142</v>
      </c>
      <c r="B1312" s="64" t="s">
        <v>823</v>
      </c>
      <c r="C1312" s="64" t="s">
        <v>572</v>
      </c>
      <c r="D1312" s="64" t="s">
        <v>2183</v>
      </c>
      <c r="E1312" s="64" t="s">
        <v>16</v>
      </c>
      <c r="F1312" s="64" t="s">
        <v>382</v>
      </c>
      <c r="G1312" s="64" t="s">
        <v>2889</v>
      </c>
      <c r="H1312" s="64" t="s">
        <v>2890</v>
      </c>
    </row>
    <row r="1313" spans="1:8" x14ac:dyDescent="0.3">
      <c r="A1313" s="64" t="s">
        <v>2143</v>
      </c>
      <c r="B1313" s="64" t="s">
        <v>823</v>
      </c>
      <c r="C1313" s="64" t="s">
        <v>572</v>
      </c>
      <c r="D1313" s="64" t="s">
        <v>2183</v>
      </c>
      <c r="E1313" s="64" t="s">
        <v>20</v>
      </c>
      <c r="F1313" s="64" t="s">
        <v>15</v>
      </c>
      <c r="G1313" s="64" t="s">
        <v>2891</v>
      </c>
      <c r="H1313" s="64" t="s">
        <v>2229</v>
      </c>
    </row>
    <row r="1314" spans="1:8" x14ac:dyDescent="0.3">
      <c r="A1314" s="64" t="s">
        <v>2144</v>
      </c>
      <c r="B1314" s="64" t="s">
        <v>823</v>
      </c>
      <c r="C1314" s="64" t="s">
        <v>2231</v>
      </c>
      <c r="D1314" s="64" t="s">
        <v>2183</v>
      </c>
      <c r="E1314" s="64" t="s">
        <v>20</v>
      </c>
      <c r="F1314" s="64" t="s">
        <v>15</v>
      </c>
      <c r="G1314" s="64" t="s">
        <v>2892</v>
      </c>
      <c r="H1314" s="64" t="s">
        <v>2233</v>
      </c>
    </row>
    <row r="1315" spans="1:8" x14ac:dyDescent="0.3">
      <c r="A1315" s="64" t="s">
        <v>2145</v>
      </c>
      <c r="B1315" s="64" t="s">
        <v>823</v>
      </c>
      <c r="C1315" s="64" t="s">
        <v>2231</v>
      </c>
      <c r="D1315" s="64" t="s">
        <v>2183</v>
      </c>
      <c r="E1315" s="64" t="s">
        <v>16</v>
      </c>
      <c r="F1315" s="64" t="s">
        <v>368</v>
      </c>
      <c r="G1315" s="64" t="s">
        <v>2893</v>
      </c>
      <c r="H1315" s="64" t="s">
        <v>2627</v>
      </c>
    </row>
    <row r="1316" spans="1:8" x14ac:dyDescent="0.3">
      <c r="A1316" s="64" t="s">
        <v>2146</v>
      </c>
      <c r="B1316" s="64" t="s">
        <v>823</v>
      </c>
      <c r="C1316" s="64" t="s">
        <v>2231</v>
      </c>
      <c r="D1316" s="64" t="s">
        <v>2183</v>
      </c>
      <c r="E1316" s="64" t="s">
        <v>16</v>
      </c>
      <c r="F1316" s="64" t="s">
        <v>369</v>
      </c>
      <c r="G1316" s="64" t="s">
        <v>2894</v>
      </c>
      <c r="H1316" s="64" t="s">
        <v>2628</v>
      </c>
    </row>
    <row r="1317" spans="1:8" x14ac:dyDescent="0.3">
      <c r="A1317" s="64" t="s">
        <v>2147</v>
      </c>
      <c r="B1317" s="64" t="s">
        <v>823</v>
      </c>
      <c r="C1317" s="64" t="s">
        <v>2231</v>
      </c>
      <c r="D1317" s="64" t="s">
        <v>2183</v>
      </c>
      <c r="E1317" s="64" t="s">
        <v>16</v>
      </c>
      <c r="F1317" s="64" t="s">
        <v>370</v>
      </c>
      <c r="G1317" s="64" t="s">
        <v>2895</v>
      </c>
      <c r="H1317" s="64" t="s">
        <v>2629</v>
      </c>
    </row>
    <row r="1318" spans="1:8" x14ac:dyDescent="0.3">
      <c r="A1318" s="64" t="s">
        <v>2148</v>
      </c>
      <c r="B1318" s="64" t="s">
        <v>823</v>
      </c>
      <c r="C1318" s="64" t="s">
        <v>2231</v>
      </c>
      <c r="D1318" s="64" t="s">
        <v>2183</v>
      </c>
      <c r="E1318" s="64" t="s">
        <v>16</v>
      </c>
      <c r="F1318" s="64" t="s">
        <v>371</v>
      </c>
      <c r="G1318" s="64" t="s">
        <v>2896</v>
      </c>
      <c r="H1318" s="64" t="s">
        <v>2630</v>
      </c>
    </row>
    <row r="1319" spans="1:8" x14ac:dyDescent="0.3">
      <c r="A1319" s="64" t="s">
        <v>2149</v>
      </c>
      <c r="B1319" s="64" t="s">
        <v>823</v>
      </c>
      <c r="C1319" s="64" t="s">
        <v>2231</v>
      </c>
      <c r="D1319" s="64" t="s">
        <v>2183</v>
      </c>
      <c r="E1319" s="64" t="s">
        <v>16</v>
      </c>
      <c r="F1319" s="64" t="s">
        <v>372</v>
      </c>
      <c r="G1319" s="64" t="s">
        <v>2897</v>
      </c>
      <c r="H1319" s="64" t="s">
        <v>2631</v>
      </c>
    </row>
    <row r="1320" spans="1:8" x14ac:dyDescent="0.3">
      <c r="A1320" s="64" t="s">
        <v>2150</v>
      </c>
      <c r="B1320" s="64" t="s">
        <v>823</v>
      </c>
      <c r="C1320" s="64" t="s">
        <v>2231</v>
      </c>
      <c r="D1320" s="64" t="s">
        <v>2183</v>
      </c>
      <c r="E1320" s="64" t="s">
        <v>16</v>
      </c>
      <c r="F1320" s="64" t="s">
        <v>373</v>
      </c>
      <c r="G1320" s="64" t="s">
        <v>2898</v>
      </c>
      <c r="H1320" s="64" t="s">
        <v>2632</v>
      </c>
    </row>
    <row r="1321" spans="1:8" x14ac:dyDescent="0.3">
      <c r="A1321" s="64" t="s">
        <v>2151</v>
      </c>
      <c r="B1321" s="64" t="s">
        <v>823</v>
      </c>
      <c r="C1321" s="64" t="s">
        <v>2231</v>
      </c>
      <c r="D1321" s="64" t="s">
        <v>2183</v>
      </c>
      <c r="E1321" s="64" t="s">
        <v>16</v>
      </c>
      <c r="F1321" s="64" t="s">
        <v>374</v>
      </c>
      <c r="G1321" s="64" t="s">
        <v>2899</v>
      </c>
      <c r="H1321" s="64" t="s">
        <v>2633</v>
      </c>
    </row>
    <row r="1322" spans="1:8" x14ac:dyDescent="0.3">
      <c r="A1322" s="64" t="s">
        <v>2152</v>
      </c>
      <c r="B1322" s="64" t="s">
        <v>823</v>
      </c>
      <c r="C1322" s="64" t="s">
        <v>2231</v>
      </c>
      <c r="D1322" s="64" t="s">
        <v>2183</v>
      </c>
      <c r="E1322" s="64" t="s">
        <v>16</v>
      </c>
      <c r="F1322" s="64" t="s">
        <v>375</v>
      </c>
      <c r="G1322" s="64" t="s">
        <v>2900</v>
      </c>
      <c r="H1322" s="64" t="s">
        <v>2634</v>
      </c>
    </row>
    <row r="1323" spans="1:8" x14ac:dyDescent="0.3">
      <c r="A1323" s="64" t="s">
        <v>2153</v>
      </c>
      <c r="B1323" s="64" t="s">
        <v>823</v>
      </c>
      <c r="C1323" s="64" t="s">
        <v>2231</v>
      </c>
      <c r="D1323" s="64" t="s">
        <v>2183</v>
      </c>
      <c r="E1323" s="64" t="s">
        <v>16</v>
      </c>
      <c r="F1323" s="64" t="s">
        <v>376</v>
      </c>
      <c r="G1323" s="64" t="s">
        <v>2901</v>
      </c>
      <c r="H1323" s="64" t="s">
        <v>2635</v>
      </c>
    </row>
    <row r="1324" spans="1:8" x14ac:dyDescent="0.3">
      <c r="A1324" s="64" t="s">
        <v>2155</v>
      </c>
      <c r="B1324" s="64" t="s">
        <v>823</v>
      </c>
      <c r="C1324" s="64" t="s">
        <v>2231</v>
      </c>
      <c r="D1324" s="64" t="s">
        <v>2183</v>
      </c>
      <c r="E1324" s="64" t="s">
        <v>16</v>
      </c>
      <c r="F1324" s="64" t="s">
        <v>377</v>
      </c>
      <c r="G1324" s="64" t="s">
        <v>2902</v>
      </c>
      <c r="H1324" s="64" t="s">
        <v>2636</v>
      </c>
    </row>
    <row r="1325" spans="1:8" x14ac:dyDescent="0.3">
      <c r="A1325" s="64" t="s">
        <v>2160</v>
      </c>
      <c r="B1325" s="64" t="s">
        <v>823</v>
      </c>
      <c r="C1325" s="64" t="s">
        <v>2231</v>
      </c>
      <c r="D1325" s="64" t="s">
        <v>2183</v>
      </c>
      <c r="E1325" s="64" t="s">
        <v>16</v>
      </c>
      <c r="F1325" s="64" t="s">
        <v>378</v>
      </c>
      <c r="G1325" s="64" t="s">
        <v>2903</v>
      </c>
      <c r="H1325" s="64" t="s">
        <v>2637</v>
      </c>
    </row>
    <row r="1326" spans="1:8" x14ac:dyDescent="0.3">
      <c r="A1326" s="64" t="s">
        <v>2162</v>
      </c>
      <c r="B1326" s="64" t="s">
        <v>823</v>
      </c>
      <c r="C1326" s="64" t="s">
        <v>2231</v>
      </c>
      <c r="D1326" s="64" t="s">
        <v>2183</v>
      </c>
      <c r="E1326" s="64" t="s">
        <v>16</v>
      </c>
      <c r="F1326" s="64" t="s">
        <v>379</v>
      </c>
      <c r="G1326" s="64" t="s">
        <v>2904</v>
      </c>
      <c r="H1326" s="64" t="s">
        <v>2638</v>
      </c>
    </row>
    <row r="1327" spans="1:8" x14ac:dyDescent="0.3">
      <c r="A1327" s="64" t="s">
        <v>2164</v>
      </c>
      <c r="B1327" s="64" t="s">
        <v>823</v>
      </c>
      <c r="C1327" s="64" t="s">
        <v>2231</v>
      </c>
      <c r="D1327" s="64" t="s">
        <v>2183</v>
      </c>
      <c r="E1327" s="64" t="s">
        <v>16</v>
      </c>
      <c r="F1327" s="64" t="s">
        <v>380</v>
      </c>
      <c r="G1327" s="64" t="s">
        <v>2905</v>
      </c>
      <c r="H1327" s="64" t="s">
        <v>2639</v>
      </c>
    </row>
    <row r="1328" spans="1:8" x14ac:dyDescent="0.3">
      <c r="A1328" s="64" t="s">
        <v>2165</v>
      </c>
      <c r="B1328" s="64" t="s">
        <v>823</v>
      </c>
      <c r="C1328" s="64" t="s">
        <v>2231</v>
      </c>
      <c r="D1328" s="64" t="s">
        <v>2183</v>
      </c>
      <c r="E1328" s="64" t="s">
        <v>16</v>
      </c>
      <c r="F1328" s="64" t="s">
        <v>381</v>
      </c>
      <c r="G1328" s="64" t="s">
        <v>2906</v>
      </c>
      <c r="H1328" s="64" t="s">
        <v>2640</v>
      </c>
    </row>
    <row r="1329" spans="1:8" x14ac:dyDescent="0.3">
      <c r="A1329" s="64" t="s">
        <v>2166</v>
      </c>
      <c r="B1329" s="64" t="s">
        <v>823</v>
      </c>
      <c r="C1329" s="64" t="s">
        <v>2231</v>
      </c>
      <c r="D1329" s="64" t="s">
        <v>2183</v>
      </c>
      <c r="E1329" s="64" t="s">
        <v>16</v>
      </c>
      <c r="F1329" s="64" t="s">
        <v>382</v>
      </c>
      <c r="G1329" s="64" t="s">
        <v>2907</v>
      </c>
      <c r="H1329" s="64" t="s">
        <v>2641</v>
      </c>
    </row>
    <row r="1330" spans="1:8" x14ac:dyDescent="0.3">
      <c r="A1330" s="64" t="s">
        <v>2167</v>
      </c>
      <c r="B1330" s="64" t="s">
        <v>502</v>
      </c>
      <c r="C1330" s="64" t="s">
        <v>2251</v>
      </c>
      <c r="D1330" s="64" t="s">
        <v>1909</v>
      </c>
      <c r="E1330" s="64" t="s">
        <v>20</v>
      </c>
      <c r="F1330" s="64" t="s">
        <v>15</v>
      </c>
      <c r="G1330" s="64" t="s">
        <v>2908</v>
      </c>
      <c r="H1330" s="64" t="s">
        <v>2253</v>
      </c>
    </row>
    <row r="1331" spans="1:8" x14ac:dyDescent="0.3">
      <c r="A1331" s="64" t="s">
        <v>2168</v>
      </c>
      <c r="B1331" s="64" t="s">
        <v>502</v>
      </c>
      <c r="C1331" s="64" t="s">
        <v>2251</v>
      </c>
      <c r="D1331" s="64" t="s">
        <v>1909</v>
      </c>
      <c r="E1331" s="64" t="s">
        <v>16</v>
      </c>
      <c r="F1331" s="64" t="s">
        <v>368</v>
      </c>
      <c r="G1331" s="64" t="s">
        <v>2642</v>
      </c>
      <c r="H1331" s="64" t="s">
        <v>2643</v>
      </c>
    </row>
    <row r="1332" spans="1:8" x14ac:dyDescent="0.3">
      <c r="A1332" s="64" t="s">
        <v>2169</v>
      </c>
      <c r="B1332" s="64" t="s">
        <v>502</v>
      </c>
      <c r="C1332" s="64" t="s">
        <v>2251</v>
      </c>
      <c r="D1332" s="64" t="s">
        <v>1909</v>
      </c>
      <c r="E1332" s="64" t="s">
        <v>16</v>
      </c>
      <c r="F1332" s="64" t="s">
        <v>369</v>
      </c>
      <c r="G1332" s="64" t="s">
        <v>2644</v>
      </c>
      <c r="H1332" s="64" t="s">
        <v>2645</v>
      </c>
    </row>
    <row r="1333" spans="1:8" x14ac:dyDescent="0.3">
      <c r="A1333" s="64" t="s">
        <v>2170</v>
      </c>
      <c r="B1333" s="64" t="s">
        <v>502</v>
      </c>
      <c r="C1333" s="64" t="s">
        <v>2251</v>
      </c>
      <c r="D1333" s="64" t="s">
        <v>1909</v>
      </c>
      <c r="E1333" s="64" t="s">
        <v>16</v>
      </c>
      <c r="F1333" s="64" t="s">
        <v>370</v>
      </c>
      <c r="G1333" s="64" t="s">
        <v>2646</v>
      </c>
      <c r="H1333" s="64" t="s">
        <v>2647</v>
      </c>
    </row>
    <row r="1334" spans="1:8" x14ac:dyDescent="0.3">
      <c r="A1334" s="64" t="s">
        <v>2171</v>
      </c>
      <c r="B1334" s="64" t="s">
        <v>502</v>
      </c>
      <c r="C1334" s="64" t="s">
        <v>2251</v>
      </c>
      <c r="D1334" s="64" t="s">
        <v>1909</v>
      </c>
      <c r="E1334" s="64" t="s">
        <v>16</v>
      </c>
      <c r="F1334" s="64" t="s">
        <v>371</v>
      </c>
      <c r="G1334" s="64" t="s">
        <v>2648</v>
      </c>
      <c r="H1334" s="64" t="s">
        <v>2649</v>
      </c>
    </row>
    <row r="1335" spans="1:8" x14ac:dyDescent="0.3">
      <c r="A1335" s="64" t="s">
        <v>2172</v>
      </c>
      <c r="B1335" s="64" t="s">
        <v>502</v>
      </c>
      <c r="C1335" s="64" t="s">
        <v>2251</v>
      </c>
      <c r="D1335" s="64" t="s">
        <v>1909</v>
      </c>
      <c r="E1335" s="64" t="s">
        <v>16</v>
      </c>
      <c r="F1335" s="64" t="s">
        <v>372</v>
      </c>
      <c r="G1335" s="64" t="s">
        <v>2650</v>
      </c>
      <c r="H1335" s="64" t="s">
        <v>2651</v>
      </c>
    </row>
    <row r="1336" spans="1:8" x14ac:dyDescent="0.3">
      <c r="A1336" s="64" t="s">
        <v>2173</v>
      </c>
      <c r="B1336" s="64" t="s">
        <v>502</v>
      </c>
      <c r="C1336" s="64" t="s">
        <v>2251</v>
      </c>
      <c r="D1336" s="64" t="s">
        <v>1909</v>
      </c>
      <c r="E1336" s="64" t="s">
        <v>16</v>
      </c>
      <c r="F1336" s="64" t="s">
        <v>373</v>
      </c>
      <c r="G1336" s="64" t="s">
        <v>2652</v>
      </c>
      <c r="H1336" s="64" t="s">
        <v>2653</v>
      </c>
    </row>
    <row r="1337" spans="1:8" x14ac:dyDescent="0.3">
      <c r="A1337" s="64" t="s">
        <v>2174</v>
      </c>
      <c r="B1337" s="64" t="s">
        <v>502</v>
      </c>
      <c r="C1337" s="64" t="s">
        <v>2251</v>
      </c>
      <c r="D1337" s="64" t="s">
        <v>1909</v>
      </c>
      <c r="E1337" s="64" t="s">
        <v>16</v>
      </c>
      <c r="F1337" s="64" t="s">
        <v>374</v>
      </c>
      <c r="G1337" s="64" t="s">
        <v>2654</v>
      </c>
      <c r="H1337" s="64" t="s">
        <v>2655</v>
      </c>
    </row>
    <row r="1338" spans="1:8" x14ac:dyDescent="0.3">
      <c r="A1338" s="64" t="s">
        <v>2175</v>
      </c>
      <c r="B1338" s="64" t="s">
        <v>502</v>
      </c>
      <c r="C1338" s="64" t="s">
        <v>2251</v>
      </c>
      <c r="D1338" s="64" t="s">
        <v>1909</v>
      </c>
      <c r="E1338" s="64" t="s">
        <v>16</v>
      </c>
      <c r="F1338" s="64" t="s">
        <v>375</v>
      </c>
      <c r="G1338" s="64" t="s">
        <v>2656</v>
      </c>
      <c r="H1338" s="64" t="s">
        <v>2657</v>
      </c>
    </row>
    <row r="1339" spans="1:8" x14ac:dyDescent="0.3">
      <c r="A1339" s="64" t="s">
        <v>2176</v>
      </c>
      <c r="B1339" s="64" t="s">
        <v>502</v>
      </c>
      <c r="C1339" s="64" t="s">
        <v>2251</v>
      </c>
      <c r="D1339" s="64" t="s">
        <v>1909</v>
      </c>
      <c r="E1339" s="64" t="s">
        <v>16</v>
      </c>
      <c r="F1339" s="64" t="s">
        <v>376</v>
      </c>
      <c r="G1339" s="64" t="s">
        <v>2658</v>
      </c>
      <c r="H1339" s="64" t="s">
        <v>2659</v>
      </c>
    </row>
    <row r="1340" spans="1:8" x14ac:dyDescent="0.3">
      <c r="A1340" s="64" t="s">
        <v>2177</v>
      </c>
      <c r="B1340" s="64" t="s">
        <v>502</v>
      </c>
      <c r="C1340" s="64" t="s">
        <v>2251</v>
      </c>
      <c r="D1340" s="64" t="s">
        <v>1909</v>
      </c>
      <c r="E1340" s="64" t="s">
        <v>16</v>
      </c>
      <c r="F1340" s="64" t="s">
        <v>377</v>
      </c>
      <c r="G1340" s="64" t="s">
        <v>2660</v>
      </c>
      <c r="H1340" s="64" t="s">
        <v>2661</v>
      </c>
    </row>
    <row r="1341" spans="1:8" x14ac:dyDescent="0.3">
      <c r="A1341" s="64" t="s">
        <v>2178</v>
      </c>
      <c r="B1341" s="64" t="s">
        <v>502</v>
      </c>
      <c r="C1341" s="64" t="s">
        <v>2251</v>
      </c>
      <c r="D1341" s="64" t="s">
        <v>1909</v>
      </c>
      <c r="E1341" s="64" t="s">
        <v>16</v>
      </c>
      <c r="F1341" s="64" t="s">
        <v>378</v>
      </c>
      <c r="G1341" s="64" t="s">
        <v>2662</v>
      </c>
      <c r="H1341" s="64" t="s">
        <v>2663</v>
      </c>
    </row>
    <row r="1342" spans="1:8" x14ac:dyDescent="0.3">
      <c r="A1342" s="64" t="s">
        <v>2179</v>
      </c>
      <c r="B1342" s="64" t="s">
        <v>502</v>
      </c>
      <c r="C1342" s="64" t="s">
        <v>2251</v>
      </c>
      <c r="D1342" s="64" t="s">
        <v>1909</v>
      </c>
      <c r="E1342" s="64" t="s">
        <v>16</v>
      </c>
      <c r="F1342" s="64" t="s">
        <v>379</v>
      </c>
      <c r="G1342" s="64" t="s">
        <v>2664</v>
      </c>
      <c r="H1342" s="64" t="s">
        <v>2665</v>
      </c>
    </row>
    <row r="1343" spans="1:8" x14ac:dyDescent="0.3">
      <c r="A1343" s="64" t="s">
        <v>2180</v>
      </c>
      <c r="B1343" s="64" t="s">
        <v>502</v>
      </c>
      <c r="C1343" s="64" t="s">
        <v>2251</v>
      </c>
      <c r="D1343" s="64" t="s">
        <v>1909</v>
      </c>
      <c r="E1343" s="64" t="s">
        <v>16</v>
      </c>
      <c r="F1343" s="64" t="s">
        <v>380</v>
      </c>
      <c r="G1343" s="64" t="s">
        <v>2666</v>
      </c>
      <c r="H1343" s="64" t="s">
        <v>2667</v>
      </c>
    </row>
    <row r="1344" spans="1:8" x14ac:dyDescent="0.3">
      <c r="A1344" s="64" t="s">
        <v>2182</v>
      </c>
      <c r="B1344" s="64" t="s">
        <v>502</v>
      </c>
      <c r="C1344" s="64" t="s">
        <v>2251</v>
      </c>
      <c r="D1344" s="64" t="s">
        <v>1909</v>
      </c>
      <c r="E1344" s="64" t="s">
        <v>16</v>
      </c>
      <c r="F1344" s="64" t="s">
        <v>381</v>
      </c>
      <c r="G1344" s="64" t="s">
        <v>2668</v>
      </c>
      <c r="H1344" s="64" t="s">
        <v>2669</v>
      </c>
    </row>
    <row r="1345" spans="1:8" x14ac:dyDescent="0.3">
      <c r="A1345" s="64" t="s">
        <v>2187</v>
      </c>
      <c r="B1345" s="64" t="s">
        <v>502</v>
      </c>
      <c r="C1345" s="64" t="s">
        <v>2251</v>
      </c>
      <c r="D1345" s="64" t="s">
        <v>1909</v>
      </c>
      <c r="E1345" s="64" t="s">
        <v>16</v>
      </c>
      <c r="F1345" s="64" t="s">
        <v>382</v>
      </c>
      <c r="G1345" s="64" t="s">
        <v>2670</v>
      </c>
      <c r="H1345" s="64" t="s">
        <v>2671</v>
      </c>
    </row>
    <row r="1346" spans="1:8" x14ac:dyDescent="0.3">
      <c r="A1346" s="64" t="s">
        <v>2191</v>
      </c>
      <c r="B1346" s="64" t="s">
        <v>502</v>
      </c>
      <c r="C1346" s="64" t="s">
        <v>2251</v>
      </c>
      <c r="D1346" s="64" t="s">
        <v>1909</v>
      </c>
      <c r="E1346" s="64" t="s">
        <v>16</v>
      </c>
      <c r="F1346" s="64" t="s">
        <v>383</v>
      </c>
      <c r="G1346" s="64" t="s">
        <v>2909</v>
      </c>
      <c r="H1346" s="64" t="s">
        <v>2910</v>
      </c>
    </row>
    <row r="1347" spans="1:8" x14ac:dyDescent="0.3">
      <c r="A1347" s="64" t="s">
        <v>2194</v>
      </c>
      <c r="B1347" s="64" t="s">
        <v>502</v>
      </c>
      <c r="C1347" s="64" t="s">
        <v>2271</v>
      </c>
      <c r="D1347" s="64" t="s">
        <v>1909</v>
      </c>
      <c r="E1347" s="64" t="s">
        <v>20</v>
      </c>
      <c r="F1347" s="64" t="s">
        <v>15</v>
      </c>
      <c r="G1347" s="64" t="s">
        <v>2911</v>
      </c>
      <c r="H1347" s="64" t="s">
        <v>2273</v>
      </c>
    </row>
    <row r="1348" spans="1:8" x14ac:dyDescent="0.3">
      <c r="A1348" s="64" t="s">
        <v>2196</v>
      </c>
      <c r="B1348" s="64" t="s">
        <v>502</v>
      </c>
      <c r="C1348" s="64" t="s">
        <v>2271</v>
      </c>
      <c r="D1348" s="64" t="s">
        <v>1909</v>
      </c>
      <c r="E1348" s="64" t="s">
        <v>16</v>
      </c>
      <c r="F1348" s="64" t="s">
        <v>368</v>
      </c>
      <c r="G1348" s="64" t="s">
        <v>2912</v>
      </c>
      <c r="H1348" s="64" t="s">
        <v>2672</v>
      </c>
    </row>
    <row r="1349" spans="1:8" x14ac:dyDescent="0.3">
      <c r="A1349" s="64" t="s">
        <v>2197</v>
      </c>
      <c r="B1349" s="64" t="s">
        <v>502</v>
      </c>
      <c r="C1349" s="64" t="s">
        <v>2271</v>
      </c>
      <c r="D1349" s="64" t="s">
        <v>1909</v>
      </c>
      <c r="E1349" s="64" t="s">
        <v>16</v>
      </c>
      <c r="F1349" s="64" t="s">
        <v>369</v>
      </c>
      <c r="G1349" s="64" t="s">
        <v>2913</v>
      </c>
      <c r="H1349" s="64" t="s">
        <v>2673</v>
      </c>
    </row>
    <row r="1350" spans="1:8" x14ac:dyDescent="0.3">
      <c r="A1350" s="64" t="s">
        <v>2198</v>
      </c>
      <c r="B1350" s="64" t="s">
        <v>502</v>
      </c>
      <c r="C1350" s="64" t="s">
        <v>2271</v>
      </c>
      <c r="D1350" s="64" t="s">
        <v>1909</v>
      </c>
      <c r="E1350" s="64" t="s">
        <v>16</v>
      </c>
      <c r="F1350" s="64" t="s">
        <v>370</v>
      </c>
      <c r="G1350" s="64" t="s">
        <v>2914</v>
      </c>
      <c r="H1350" s="64" t="s">
        <v>2674</v>
      </c>
    </row>
    <row r="1351" spans="1:8" x14ac:dyDescent="0.3">
      <c r="A1351" s="64" t="s">
        <v>2199</v>
      </c>
      <c r="B1351" s="64" t="s">
        <v>502</v>
      </c>
      <c r="C1351" s="64" t="s">
        <v>2271</v>
      </c>
      <c r="D1351" s="64" t="s">
        <v>1909</v>
      </c>
      <c r="E1351" s="64" t="s">
        <v>16</v>
      </c>
      <c r="F1351" s="64" t="s">
        <v>371</v>
      </c>
      <c r="G1351" s="64" t="s">
        <v>2915</v>
      </c>
      <c r="H1351" s="64" t="s">
        <v>2675</v>
      </c>
    </row>
    <row r="1352" spans="1:8" x14ac:dyDescent="0.3">
      <c r="A1352" s="64" t="s">
        <v>2200</v>
      </c>
      <c r="B1352" s="64" t="s">
        <v>502</v>
      </c>
      <c r="C1352" s="64" t="s">
        <v>2271</v>
      </c>
      <c r="D1352" s="64" t="s">
        <v>1909</v>
      </c>
      <c r="E1352" s="64" t="s">
        <v>16</v>
      </c>
      <c r="F1352" s="64" t="s">
        <v>372</v>
      </c>
      <c r="G1352" s="64" t="s">
        <v>2916</v>
      </c>
      <c r="H1352" s="64" t="s">
        <v>2676</v>
      </c>
    </row>
    <row r="1353" spans="1:8" x14ac:dyDescent="0.3">
      <c r="A1353" s="64" t="s">
        <v>2201</v>
      </c>
      <c r="B1353" s="64" t="s">
        <v>502</v>
      </c>
      <c r="C1353" s="64" t="s">
        <v>2271</v>
      </c>
      <c r="D1353" s="64" t="s">
        <v>1909</v>
      </c>
      <c r="E1353" s="64" t="s">
        <v>16</v>
      </c>
      <c r="F1353" s="64" t="s">
        <v>373</v>
      </c>
      <c r="G1353" s="64" t="s">
        <v>2917</v>
      </c>
      <c r="H1353" s="64" t="s">
        <v>2677</v>
      </c>
    </row>
    <row r="1354" spans="1:8" x14ac:dyDescent="0.3">
      <c r="A1354" s="64" t="s">
        <v>2202</v>
      </c>
      <c r="B1354" s="64" t="s">
        <v>502</v>
      </c>
      <c r="C1354" s="64" t="s">
        <v>2271</v>
      </c>
      <c r="D1354" s="64" t="s">
        <v>1909</v>
      </c>
      <c r="E1354" s="64" t="s">
        <v>16</v>
      </c>
      <c r="F1354" s="64" t="s">
        <v>374</v>
      </c>
      <c r="G1354" s="64" t="s">
        <v>2918</v>
      </c>
      <c r="H1354" s="64" t="s">
        <v>2678</v>
      </c>
    </row>
    <row r="1355" spans="1:8" x14ac:dyDescent="0.3">
      <c r="A1355" s="64" t="s">
        <v>2203</v>
      </c>
      <c r="B1355" s="64" t="s">
        <v>502</v>
      </c>
      <c r="C1355" s="64" t="s">
        <v>2271</v>
      </c>
      <c r="D1355" s="64" t="s">
        <v>1909</v>
      </c>
      <c r="E1355" s="64" t="s">
        <v>16</v>
      </c>
      <c r="F1355" s="64" t="s">
        <v>375</v>
      </c>
      <c r="G1355" s="64" t="s">
        <v>2919</v>
      </c>
      <c r="H1355" s="64" t="s">
        <v>2679</v>
      </c>
    </row>
    <row r="1356" spans="1:8" x14ac:dyDescent="0.3">
      <c r="A1356" s="64" t="s">
        <v>2204</v>
      </c>
      <c r="B1356" s="64" t="s">
        <v>502</v>
      </c>
      <c r="C1356" s="64" t="s">
        <v>2271</v>
      </c>
      <c r="D1356" s="64" t="s">
        <v>1909</v>
      </c>
      <c r="E1356" s="64" t="s">
        <v>16</v>
      </c>
      <c r="F1356" s="64" t="s">
        <v>376</v>
      </c>
      <c r="G1356" s="64" t="s">
        <v>2920</v>
      </c>
      <c r="H1356" s="64" t="s">
        <v>2680</v>
      </c>
    </row>
    <row r="1357" spans="1:8" x14ac:dyDescent="0.3">
      <c r="A1357" s="64" t="s">
        <v>2205</v>
      </c>
      <c r="B1357" s="64" t="s">
        <v>502</v>
      </c>
      <c r="C1357" s="64" t="s">
        <v>2271</v>
      </c>
      <c r="D1357" s="64" t="s">
        <v>1909</v>
      </c>
      <c r="E1357" s="64" t="s">
        <v>16</v>
      </c>
      <c r="F1357" s="64" t="s">
        <v>377</v>
      </c>
      <c r="G1357" s="64" t="s">
        <v>2921</v>
      </c>
      <c r="H1357" s="64" t="s">
        <v>2681</v>
      </c>
    </row>
    <row r="1358" spans="1:8" x14ac:dyDescent="0.3">
      <c r="A1358" s="64" t="s">
        <v>2206</v>
      </c>
      <c r="B1358" s="64" t="s">
        <v>502</v>
      </c>
      <c r="C1358" s="64" t="s">
        <v>2271</v>
      </c>
      <c r="D1358" s="64" t="s">
        <v>1909</v>
      </c>
      <c r="E1358" s="64" t="s">
        <v>16</v>
      </c>
      <c r="F1358" s="64" t="s">
        <v>378</v>
      </c>
      <c r="G1358" s="64" t="s">
        <v>2922</v>
      </c>
      <c r="H1358" s="64" t="s">
        <v>2682</v>
      </c>
    </row>
    <row r="1359" spans="1:8" x14ac:dyDescent="0.3">
      <c r="A1359" s="64" t="s">
        <v>2207</v>
      </c>
      <c r="B1359" s="64" t="s">
        <v>502</v>
      </c>
      <c r="C1359" s="64" t="s">
        <v>2271</v>
      </c>
      <c r="D1359" s="64" t="s">
        <v>1909</v>
      </c>
      <c r="E1359" s="64" t="s">
        <v>16</v>
      </c>
      <c r="F1359" s="64" t="s">
        <v>379</v>
      </c>
      <c r="G1359" s="64" t="s">
        <v>2923</v>
      </c>
      <c r="H1359" s="64" t="s">
        <v>2683</v>
      </c>
    </row>
    <row r="1360" spans="1:8" x14ac:dyDescent="0.3">
      <c r="A1360" s="64" t="s">
        <v>2208</v>
      </c>
      <c r="B1360" s="64" t="s">
        <v>502</v>
      </c>
      <c r="C1360" s="64" t="s">
        <v>2271</v>
      </c>
      <c r="D1360" s="64" t="s">
        <v>1909</v>
      </c>
      <c r="E1360" s="64" t="s">
        <v>16</v>
      </c>
      <c r="F1360" s="64" t="s">
        <v>380</v>
      </c>
      <c r="G1360" s="64" t="s">
        <v>2924</v>
      </c>
      <c r="H1360" s="64" t="s">
        <v>2684</v>
      </c>
    </row>
    <row r="1361" spans="1:8" x14ac:dyDescent="0.3">
      <c r="A1361" s="64" t="s">
        <v>2209</v>
      </c>
      <c r="B1361" s="64" t="s">
        <v>502</v>
      </c>
      <c r="C1361" s="64" t="s">
        <v>2271</v>
      </c>
      <c r="D1361" s="64" t="s">
        <v>1909</v>
      </c>
      <c r="E1361" s="64" t="s">
        <v>16</v>
      </c>
      <c r="F1361" s="64" t="s">
        <v>381</v>
      </c>
      <c r="G1361" s="64" t="s">
        <v>2925</v>
      </c>
      <c r="H1361" s="64" t="s">
        <v>2685</v>
      </c>
    </row>
    <row r="1362" spans="1:8" x14ac:dyDescent="0.3">
      <c r="A1362" s="64" t="s">
        <v>2210</v>
      </c>
      <c r="B1362" s="64" t="s">
        <v>502</v>
      </c>
      <c r="C1362" s="64" t="s">
        <v>2271</v>
      </c>
      <c r="D1362" s="64" t="s">
        <v>1909</v>
      </c>
      <c r="E1362" s="64" t="s">
        <v>16</v>
      </c>
      <c r="F1362" s="64" t="s">
        <v>382</v>
      </c>
      <c r="G1362" s="64" t="s">
        <v>2926</v>
      </c>
      <c r="H1362" s="64" t="s">
        <v>2686</v>
      </c>
    </row>
    <row r="1363" spans="1:8" x14ac:dyDescent="0.3">
      <c r="A1363" s="64" t="s">
        <v>2211</v>
      </c>
      <c r="B1363" s="64" t="s">
        <v>502</v>
      </c>
      <c r="C1363" s="64" t="s">
        <v>2271</v>
      </c>
      <c r="D1363" s="64" t="s">
        <v>1909</v>
      </c>
      <c r="E1363" s="64" t="s">
        <v>16</v>
      </c>
      <c r="F1363" s="64" t="s">
        <v>383</v>
      </c>
      <c r="G1363" s="64" t="s">
        <v>2927</v>
      </c>
      <c r="H1363" s="64" t="s">
        <v>2928</v>
      </c>
    </row>
    <row r="1364" spans="1:8" x14ac:dyDescent="0.3">
      <c r="A1364" s="64" t="s">
        <v>2213</v>
      </c>
      <c r="B1364" s="64" t="s">
        <v>502</v>
      </c>
      <c r="C1364" s="64" t="s">
        <v>2988</v>
      </c>
      <c r="D1364" s="64" t="s">
        <v>1909</v>
      </c>
      <c r="E1364" s="64" t="s">
        <v>20</v>
      </c>
      <c r="F1364" s="64" t="s">
        <v>15</v>
      </c>
      <c r="G1364" s="64" t="s">
        <v>2929</v>
      </c>
      <c r="H1364" s="64" t="s">
        <v>2292</v>
      </c>
    </row>
    <row r="1365" spans="1:8" x14ac:dyDescent="0.3">
      <c r="A1365" s="64" t="s">
        <v>2214</v>
      </c>
      <c r="B1365" s="64" t="s">
        <v>502</v>
      </c>
      <c r="C1365" s="64" t="s">
        <v>2988</v>
      </c>
      <c r="D1365" s="64" t="s">
        <v>1909</v>
      </c>
      <c r="E1365" s="64" t="s">
        <v>16</v>
      </c>
      <c r="F1365" s="64" t="s">
        <v>368</v>
      </c>
      <c r="G1365" s="64" t="s">
        <v>2930</v>
      </c>
      <c r="H1365" s="64" t="s">
        <v>2687</v>
      </c>
    </row>
    <row r="1366" spans="1:8" x14ac:dyDescent="0.3">
      <c r="A1366" s="64" t="s">
        <v>2215</v>
      </c>
      <c r="B1366" s="64" t="s">
        <v>502</v>
      </c>
      <c r="C1366" s="64" t="s">
        <v>2988</v>
      </c>
      <c r="D1366" s="64" t="s">
        <v>1909</v>
      </c>
      <c r="E1366" s="64" t="s">
        <v>16</v>
      </c>
      <c r="F1366" s="64" t="s">
        <v>369</v>
      </c>
      <c r="G1366" s="64" t="s">
        <v>2931</v>
      </c>
      <c r="H1366" s="64" t="s">
        <v>2688</v>
      </c>
    </row>
    <row r="1367" spans="1:8" x14ac:dyDescent="0.3">
      <c r="A1367" s="64" t="s">
        <v>2216</v>
      </c>
      <c r="B1367" s="64" t="s">
        <v>502</v>
      </c>
      <c r="C1367" s="64" t="s">
        <v>2988</v>
      </c>
      <c r="D1367" s="64" t="s">
        <v>1909</v>
      </c>
      <c r="E1367" s="64" t="s">
        <v>16</v>
      </c>
      <c r="F1367" s="64" t="s">
        <v>370</v>
      </c>
      <c r="G1367" s="64" t="s">
        <v>2932</v>
      </c>
      <c r="H1367" s="64" t="s">
        <v>2689</v>
      </c>
    </row>
    <row r="1368" spans="1:8" x14ac:dyDescent="0.3">
      <c r="A1368" s="64" t="s">
        <v>2217</v>
      </c>
      <c r="B1368" s="64" t="s">
        <v>502</v>
      </c>
      <c r="C1368" s="64" t="s">
        <v>2988</v>
      </c>
      <c r="D1368" s="64" t="s">
        <v>1909</v>
      </c>
      <c r="E1368" s="64" t="s">
        <v>16</v>
      </c>
      <c r="F1368" s="64" t="s">
        <v>371</v>
      </c>
      <c r="G1368" s="64" t="s">
        <v>2933</v>
      </c>
      <c r="H1368" s="64" t="s">
        <v>2690</v>
      </c>
    </row>
    <row r="1369" spans="1:8" x14ac:dyDescent="0.3">
      <c r="A1369" s="64" t="s">
        <v>2218</v>
      </c>
      <c r="B1369" s="64" t="s">
        <v>502</v>
      </c>
      <c r="C1369" s="64" t="s">
        <v>2988</v>
      </c>
      <c r="D1369" s="64" t="s">
        <v>1909</v>
      </c>
      <c r="E1369" s="64" t="s">
        <v>16</v>
      </c>
      <c r="F1369" s="64" t="s">
        <v>372</v>
      </c>
      <c r="G1369" s="64" t="s">
        <v>2934</v>
      </c>
      <c r="H1369" s="64" t="s">
        <v>2691</v>
      </c>
    </row>
    <row r="1370" spans="1:8" x14ac:dyDescent="0.3">
      <c r="A1370" s="64" t="s">
        <v>2219</v>
      </c>
      <c r="B1370" s="64" t="s">
        <v>502</v>
      </c>
      <c r="C1370" s="64" t="s">
        <v>2988</v>
      </c>
      <c r="D1370" s="64" t="s">
        <v>1909</v>
      </c>
      <c r="E1370" s="64" t="s">
        <v>16</v>
      </c>
      <c r="F1370" s="64" t="s">
        <v>373</v>
      </c>
      <c r="G1370" s="64" t="s">
        <v>2935</v>
      </c>
      <c r="H1370" s="64" t="s">
        <v>2692</v>
      </c>
    </row>
    <row r="1371" spans="1:8" x14ac:dyDescent="0.3">
      <c r="A1371" s="64" t="s">
        <v>2220</v>
      </c>
      <c r="B1371" s="64" t="s">
        <v>502</v>
      </c>
      <c r="C1371" s="64" t="s">
        <v>2988</v>
      </c>
      <c r="D1371" s="64" t="s">
        <v>1909</v>
      </c>
      <c r="E1371" s="64" t="s">
        <v>16</v>
      </c>
      <c r="F1371" s="64" t="s">
        <v>374</v>
      </c>
      <c r="G1371" s="64" t="s">
        <v>2936</v>
      </c>
      <c r="H1371" s="64" t="s">
        <v>2693</v>
      </c>
    </row>
    <row r="1372" spans="1:8" x14ac:dyDescent="0.3">
      <c r="A1372" s="64" t="s">
        <v>2221</v>
      </c>
      <c r="B1372" s="64" t="s">
        <v>502</v>
      </c>
      <c r="C1372" s="64" t="s">
        <v>2988</v>
      </c>
      <c r="D1372" s="64" t="s">
        <v>1909</v>
      </c>
      <c r="E1372" s="64" t="s">
        <v>16</v>
      </c>
      <c r="F1372" s="64" t="s">
        <v>375</v>
      </c>
      <c r="G1372" s="64" t="s">
        <v>2937</v>
      </c>
      <c r="H1372" s="64" t="s">
        <v>2694</v>
      </c>
    </row>
    <row r="1373" spans="1:8" x14ac:dyDescent="0.3">
      <c r="A1373" s="64" t="s">
        <v>2222</v>
      </c>
      <c r="B1373" s="64" t="s">
        <v>502</v>
      </c>
      <c r="C1373" s="64" t="s">
        <v>2988</v>
      </c>
      <c r="D1373" s="64" t="s">
        <v>1909</v>
      </c>
      <c r="E1373" s="64" t="s">
        <v>16</v>
      </c>
      <c r="F1373" s="64" t="s">
        <v>376</v>
      </c>
      <c r="G1373" s="64" t="s">
        <v>2938</v>
      </c>
      <c r="H1373" s="64" t="s">
        <v>2695</v>
      </c>
    </row>
    <row r="1374" spans="1:8" x14ac:dyDescent="0.3">
      <c r="A1374" s="64" t="s">
        <v>2223</v>
      </c>
      <c r="B1374" s="64" t="s">
        <v>502</v>
      </c>
      <c r="C1374" s="64" t="s">
        <v>2988</v>
      </c>
      <c r="D1374" s="64" t="s">
        <v>1909</v>
      </c>
      <c r="E1374" s="64" t="s">
        <v>16</v>
      </c>
      <c r="F1374" s="64" t="s">
        <v>377</v>
      </c>
      <c r="G1374" s="64" t="s">
        <v>2939</v>
      </c>
      <c r="H1374" s="64" t="s">
        <v>2696</v>
      </c>
    </row>
    <row r="1375" spans="1:8" x14ac:dyDescent="0.3">
      <c r="A1375" s="64" t="s">
        <v>2224</v>
      </c>
      <c r="B1375" s="64" t="s">
        <v>502</v>
      </c>
      <c r="C1375" s="64" t="s">
        <v>2988</v>
      </c>
      <c r="D1375" s="64" t="s">
        <v>1909</v>
      </c>
      <c r="E1375" s="64" t="s">
        <v>16</v>
      </c>
      <c r="F1375" s="64" t="s">
        <v>378</v>
      </c>
      <c r="G1375" s="64" t="s">
        <v>2940</v>
      </c>
      <c r="H1375" s="64" t="s">
        <v>2697</v>
      </c>
    </row>
    <row r="1376" spans="1:8" x14ac:dyDescent="0.3">
      <c r="A1376" s="64" t="s">
        <v>2225</v>
      </c>
      <c r="B1376" s="64" t="s">
        <v>502</v>
      </c>
      <c r="C1376" s="64" t="s">
        <v>2988</v>
      </c>
      <c r="D1376" s="64" t="s">
        <v>1909</v>
      </c>
      <c r="E1376" s="64" t="s">
        <v>16</v>
      </c>
      <c r="F1376" s="64" t="s">
        <v>379</v>
      </c>
      <c r="G1376" s="64" t="s">
        <v>2941</v>
      </c>
      <c r="H1376" s="64" t="s">
        <v>2698</v>
      </c>
    </row>
    <row r="1377" spans="1:8" x14ac:dyDescent="0.3">
      <c r="A1377" s="64" t="s">
        <v>2226</v>
      </c>
      <c r="B1377" s="64" t="s">
        <v>502</v>
      </c>
      <c r="C1377" s="64" t="s">
        <v>2988</v>
      </c>
      <c r="D1377" s="64" t="s">
        <v>1909</v>
      </c>
      <c r="E1377" s="64" t="s">
        <v>16</v>
      </c>
      <c r="F1377" s="64" t="s">
        <v>380</v>
      </c>
      <c r="G1377" s="64" t="s">
        <v>2942</v>
      </c>
      <c r="H1377" s="64" t="s">
        <v>2699</v>
      </c>
    </row>
    <row r="1378" spans="1:8" x14ac:dyDescent="0.3">
      <c r="A1378" s="64" t="s">
        <v>2227</v>
      </c>
      <c r="B1378" s="64" t="s">
        <v>502</v>
      </c>
      <c r="C1378" s="64" t="s">
        <v>2988</v>
      </c>
      <c r="D1378" s="64" t="s">
        <v>1909</v>
      </c>
      <c r="E1378" s="64" t="s">
        <v>16</v>
      </c>
      <c r="F1378" s="64" t="s">
        <v>381</v>
      </c>
      <c r="G1378" s="64" t="s">
        <v>2943</v>
      </c>
      <c r="H1378" s="64" t="s">
        <v>2944</v>
      </c>
    </row>
    <row r="1379" spans="1:8" x14ac:dyDescent="0.3">
      <c r="A1379" s="64" t="s">
        <v>2228</v>
      </c>
      <c r="B1379" s="64" t="s">
        <v>502</v>
      </c>
      <c r="C1379" s="64" t="s">
        <v>2988</v>
      </c>
      <c r="D1379" s="64" t="s">
        <v>1909</v>
      </c>
      <c r="E1379" s="64" t="s">
        <v>16</v>
      </c>
      <c r="F1379" s="64" t="s">
        <v>382</v>
      </c>
      <c r="G1379" s="64" t="s">
        <v>2945</v>
      </c>
      <c r="H1379" s="64" t="s">
        <v>2946</v>
      </c>
    </row>
    <row r="1380" spans="1:8" x14ac:dyDescent="0.3">
      <c r="A1380" s="64" t="s">
        <v>2230</v>
      </c>
      <c r="B1380" s="64" t="s">
        <v>502</v>
      </c>
      <c r="C1380" s="64" t="s">
        <v>2988</v>
      </c>
      <c r="D1380" s="64" t="s">
        <v>1909</v>
      </c>
      <c r="E1380" s="64" t="s">
        <v>16</v>
      </c>
      <c r="F1380" s="64" t="s">
        <v>383</v>
      </c>
      <c r="G1380" s="64" t="s">
        <v>2947</v>
      </c>
      <c r="H1380" s="64" t="s">
        <v>2948</v>
      </c>
    </row>
    <row r="1381" spans="1:8" x14ac:dyDescent="0.3">
      <c r="A1381" s="64" t="s">
        <v>2234</v>
      </c>
      <c r="B1381" s="64" t="s">
        <v>568</v>
      </c>
      <c r="C1381" s="64" t="s">
        <v>2310</v>
      </c>
      <c r="D1381" s="64" t="s">
        <v>2991</v>
      </c>
      <c r="E1381" s="64" t="s">
        <v>20</v>
      </c>
      <c r="F1381" s="64" t="s">
        <v>15</v>
      </c>
      <c r="G1381" s="64" t="s">
        <v>5339</v>
      </c>
      <c r="H1381" s="64" t="s">
        <v>2313</v>
      </c>
    </row>
    <row r="1382" spans="1:8" x14ac:dyDescent="0.3">
      <c r="A1382" s="64" t="s">
        <v>2235</v>
      </c>
      <c r="B1382" s="64" t="s">
        <v>568</v>
      </c>
      <c r="C1382" s="64" t="s">
        <v>2310</v>
      </c>
      <c r="D1382" s="64" t="s">
        <v>2991</v>
      </c>
      <c r="E1382" s="64" t="s">
        <v>20</v>
      </c>
      <c r="F1382" s="64" t="s">
        <v>15</v>
      </c>
      <c r="G1382" s="64" t="s">
        <v>2949</v>
      </c>
      <c r="H1382" s="64" t="s">
        <v>2316</v>
      </c>
    </row>
    <row r="1383" spans="1:8" x14ac:dyDescent="0.3">
      <c r="A1383" s="64" t="s">
        <v>2236</v>
      </c>
      <c r="B1383" s="64" t="s">
        <v>568</v>
      </c>
      <c r="C1383" s="64" t="s">
        <v>2310</v>
      </c>
      <c r="D1383" s="64" t="s">
        <v>2991</v>
      </c>
      <c r="E1383" s="64" t="s">
        <v>20</v>
      </c>
      <c r="F1383" s="64" t="s">
        <v>15</v>
      </c>
      <c r="G1383" s="64" t="s">
        <v>2950</v>
      </c>
      <c r="H1383" s="64" t="s">
        <v>2318</v>
      </c>
    </row>
    <row r="1384" spans="1:8" x14ac:dyDescent="0.3">
      <c r="A1384" s="64" t="s">
        <v>2237</v>
      </c>
      <c r="B1384" s="64" t="s">
        <v>568</v>
      </c>
      <c r="C1384" s="64" t="s">
        <v>2310</v>
      </c>
      <c r="D1384" s="64" t="s">
        <v>2991</v>
      </c>
      <c r="E1384" s="64" t="s">
        <v>16</v>
      </c>
      <c r="F1384" s="64" t="s">
        <v>368</v>
      </c>
      <c r="G1384" s="64" t="s">
        <v>2951</v>
      </c>
      <c r="H1384" s="64" t="s">
        <v>2952</v>
      </c>
    </row>
    <row r="1385" spans="1:8" x14ac:dyDescent="0.3">
      <c r="A1385" s="64" t="s">
        <v>2238</v>
      </c>
      <c r="B1385" s="64" t="s">
        <v>568</v>
      </c>
      <c r="C1385" s="64" t="s">
        <v>2310</v>
      </c>
      <c r="D1385" s="64" t="s">
        <v>2991</v>
      </c>
      <c r="E1385" s="64" t="s">
        <v>16</v>
      </c>
      <c r="F1385" s="64" t="s">
        <v>369</v>
      </c>
      <c r="G1385" s="64" t="s">
        <v>2953</v>
      </c>
      <c r="H1385" s="64" t="s">
        <v>2954</v>
      </c>
    </row>
    <row r="1386" spans="1:8" x14ac:dyDescent="0.3">
      <c r="A1386" s="64" t="s">
        <v>2239</v>
      </c>
      <c r="B1386" s="64" t="s">
        <v>568</v>
      </c>
      <c r="C1386" s="64" t="s">
        <v>2310</v>
      </c>
      <c r="D1386" s="64" t="s">
        <v>2991</v>
      </c>
      <c r="E1386" s="64" t="s">
        <v>16</v>
      </c>
      <c r="F1386" s="64" t="s">
        <v>370</v>
      </c>
      <c r="G1386" s="64" t="s">
        <v>2955</v>
      </c>
      <c r="H1386" s="64" t="s">
        <v>2956</v>
      </c>
    </row>
    <row r="1387" spans="1:8" x14ac:dyDescent="0.3">
      <c r="A1387" s="64" t="s">
        <v>2240</v>
      </c>
      <c r="B1387" s="64" t="s">
        <v>568</v>
      </c>
      <c r="C1387" s="64" t="s">
        <v>2310</v>
      </c>
      <c r="D1387" s="64" t="s">
        <v>2991</v>
      </c>
      <c r="E1387" s="64" t="s">
        <v>16</v>
      </c>
      <c r="F1387" s="64" t="s">
        <v>371</v>
      </c>
      <c r="G1387" s="64" t="s">
        <v>2957</v>
      </c>
      <c r="H1387" s="64" t="s">
        <v>2958</v>
      </c>
    </row>
    <row r="1388" spans="1:8" x14ac:dyDescent="0.3">
      <c r="A1388" s="64" t="s">
        <v>2241</v>
      </c>
      <c r="B1388" s="64" t="s">
        <v>568</v>
      </c>
      <c r="C1388" s="64" t="s">
        <v>2310</v>
      </c>
      <c r="D1388" s="64" t="s">
        <v>2991</v>
      </c>
      <c r="E1388" s="64" t="s">
        <v>16</v>
      </c>
      <c r="F1388" s="64" t="s">
        <v>372</v>
      </c>
      <c r="G1388" s="64" t="s">
        <v>2959</v>
      </c>
      <c r="H1388" s="64" t="s">
        <v>2960</v>
      </c>
    </row>
    <row r="1389" spans="1:8" x14ac:dyDescent="0.3">
      <c r="A1389" s="64" t="s">
        <v>2242</v>
      </c>
      <c r="B1389" s="64" t="s">
        <v>568</v>
      </c>
      <c r="C1389" s="64" t="s">
        <v>2310</v>
      </c>
      <c r="D1389" s="64" t="s">
        <v>2991</v>
      </c>
      <c r="E1389" s="64" t="s">
        <v>16</v>
      </c>
      <c r="F1389" s="64" t="s">
        <v>373</v>
      </c>
      <c r="G1389" s="64" t="s">
        <v>2961</v>
      </c>
      <c r="H1389" s="64" t="s">
        <v>2962</v>
      </c>
    </row>
    <row r="1390" spans="1:8" x14ac:dyDescent="0.3">
      <c r="A1390" s="64" t="s">
        <v>2243</v>
      </c>
      <c r="B1390" s="64" t="s">
        <v>568</v>
      </c>
      <c r="C1390" s="64" t="s">
        <v>2310</v>
      </c>
      <c r="D1390" s="64" t="s">
        <v>2991</v>
      </c>
      <c r="E1390" s="64" t="s">
        <v>16</v>
      </c>
      <c r="F1390" s="64" t="s">
        <v>374</v>
      </c>
      <c r="G1390" s="64" t="s">
        <v>2963</v>
      </c>
      <c r="H1390" s="64" t="s">
        <v>2964</v>
      </c>
    </row>
    <row r="1391" spans="1:8" x14ac:dyDescent="0.3">
      <c r="A1391" s="64" t="s">
        <v>2244</v>
      </c>
      <c r="B1391" s="64" t="s">
        <v>568</v>
      </c>
      <c r="C1391" s="64" t="s">
        <v>2310</v>
      </c>
      <c r="D1391" s="64" t="s">
        <v>2991</v>
      </c>
      <c r="E1391" s="64" t="s">
        <v>16</v>
      </c>
      <c r="F1391" s="64" t="s">
        <v>375</v>
      </c>
      <c r="G1391" s="64" t="s">
        <v>2965</v>
      </c>
      <c r="H1391" s="64" t="s">
        <v>2966</v>
      </c>
    </row>
    <row r="1392" spans="1:8" x14ac:dyDescent="0.3">
      <c r="A1392" s="64" t="s">
        <v>2245</v>
      </c>
      <c r="B1392" s="64" t="s">
        <v>568</v>
      </c>
      <c r="C1392" s="64" t="s">
        <v>2310</v>
      </c>
      <c r="D1392" s="64" t="s">
        <v>2991</v>
      </c>
      <c r="E1392" s="64" t="s">
        <v>16</v>
      </c>
      <c r="F1392" s="64" t="s">
        <v>376</v>
      </c>
      <c r="G1392" s="64" t="s">
        <v>2967</v>
      </c>
      <c r="H1392" s="64" t="s">
        <v>2968</v>
      </c>
    </row>
    <row r="1393" spans="1:8" x14ac:dyDescent="0.3">
      <c r="A1393" s="64" t="s">
        <v>2246</v>
      </c>
      <c r="B1393" s="64" t="s">
        <v>568</v>
      </c>
      <c r="C1393" s="64" t="s">
        <v>2310</v>
      </c>
      <c r="D1393" s="64" t="s">
        <v>2991</v>
      </c>
      <c r="E1393" s="64" t="s">
        <v>16</v>
      </c>
      <c r="F1393" s="64" t="s">
        <v>377</v>
      </c>
      <c r="G1393" s="64" t="s">
        <v>2969</v>
      </c>
      <c r="H1393" s="64" t="s">
        <v>2970</v>
      </c>
    </row>
    <row r="1394" spans="1:8" x14ac:dyDescent="0.3">
      <c r="A1394" s="64" t="s">
        <v>2247</v>
      </c>
      <c r="B1394" s="64" t="s">
        <v>568</v>
      </c>
      <c r="C1394" s="64" t="s">
        <v>2310</v>
      </c>
      <c r="D1394" s="64" t="s">
        <v>2991</v>
      </c>
      <c r="E1394" s="64" t="s">
        <v>16</v>
      </c>
      <c r="F1394" s="64" t="s">
        <v>378</v>
      </c>
      <c r="G1394" s="64" t="s">
        <v>2971</v>
      </c>
      <c r="H1394" s="64" t="s">
        <v>2972</v>
      </c>
    </row>
    <row r="1395" spans="1:8" x14ac:dyDescent="0.3">
      <c r="A1395" s="64" t="s">
        <v>2248</v>
      </c>
      <c r="B1395" s="64" t="s">
        <v>568</v>
      </c>
      <c r="C1395" s="64" t="s">
        <v>2310</v>
      </c>
      <c r="D1395" s="64" t="s">
        <v>2991</v>
      </c>
      <c r="E1395" s="64" t="s">
        <v>16</v>
      </c>
      <c r="F1395" s="64" t="s">
        <v>379</v>
      </c>
      <c r="G1395" s="64" t="s">
        <v>2973</v>
      </c>
      <c r="H1395" s="64" t="s">
        <v>2974</v>
      </c>
    </row>
    <row r="1396" spans="1:8" x14ac:dyDescent="0.3">
      <c r="A1396" s="64" t="s">
        <v>2249</v>
      </c>
      <c r="B1396" s="64" t="s">
        <v>568</v>
      </c>
      <c r="C1396" s="64" t="s">
        <v>2310</v>
      </c>
      <c r="D1396" s="64" t="s">
        <v>2991</v>
      </c>
      <c r="E1396" s="64" t="s">
        <v>16</v>
      </c>
      <c r="F1396" s="64" t="s">
        <v>380</v>
      </c>
      <c r="G1396" s="64" t="s">
        <v>2975</v>
      </c>
      <c r="H1396" s="64" t="s">
        <v>2976</v>
      </c>
    </row>
    <row r="1397" spans="1:8" x14ac:dyDescent="0.3">
      <c r="A1397" s="64" t="s">
        <v>2254</v>
      </c>
      <c r="B1397" s="64" t="s">
        <v>568</v>
      </c>
      <c r="C1397" s="64" t="s">
        <v>2310</v>
      </c>
      <c r="D1397" s="64" t="s">
        <v>2991</v>
      </c>
      <c r="E1397" s="64" t="s">
        <v>16</v>
      </c>
      <c r="F1397" s="64" t="s">
        <v>381</v>
      </c>
      <c r="G1397" s="64" t="s">
        <v>2977</v>
      </c>
      <c r="H1397" s="64" t="s">
        <v>2978</v>
      </c>
    </row>
    <row r="1398" spans="1:8" x14ac:dyDescent="0.3">
      <c r="A1398" s="64" t="s">
        <v>2255</v>
      </c>
      <c r="B1398" s="64" t="s">
        <v>568</v>
      </c>
      <c r="C1398" s="64" t="s">
        <v>2310</v>
      </c>
      <c r="D1398" s="64" t="s">
        <v>2991</v>
      </c>
      <c r="E1398" s="64" t="s">
        <v>16</v>
      </c>
      <c r="F1398" s="64" t="s">
        <v>382</v>
      </c>
      <c r="G1398" s="64" t="s">
        <v>2979</v>
      </c>
      <c r="H1398" s="64" t="s">
        <v>2980</v>
      </c>
    </row>
    <row r="1399" spans="1:8" x14ac:dyDescent="0.3">
      <c r="A1399" s="64" t="s">
        <v>2256</v>
      </c>
      <c r="B1399" s="64" t="s">
        <v>568</v>
      </c>
      <c r="C1399" s="64" t="s">
        <v>2310</v>
      </c>
      <c r="D1399" s="64" t="s">
        <v>2991</v>
      </c>
      <c r="E1399" s="64" t="s">
        <v>16</v>
      </c>
      <c r="F1399" s="64" t="s">
        <v>383</v>
      </c>
      <c r="G1399" s="64" t="s">
        <v>2981</v>
      </c>
      <c r="H1399" s="64" t="s">
        <v>2982</v>
      </c>
    </row>
    <row r="1400" spans="1:8" x14ac:dyDescent="0.3">
      <c r="A1400" s="64" t="s">
        <v>2257</v>
      </c>
      <c r="B1400" s="64" t="s">
        <v>2993</v>
      </c>
      <c r="C1400" s="64" t="s">
        <v>2994</v>
      </c>
      <c r="D1400" s="64" t="s">
        <v>2995</v>
      </c>
      <c r="E1400" s="64" t="s">
        <v>20</v>
      </c>
      <c r="F1400" s="64" t="s">
        <v>15</v>
      </c>
      <c r="G1400" s="64" t="s">
        <v>9104</v>
      </c>
      <c r="H1400" s="64" t="s">
        <v>2998</v>
      </c>
    </row>
    <row r="1401" spans="1:8" x14ac:dyDescent="0.3">
      <c r="A1401" s="64" t="s">
        <v>2258</v>
      </c>
      <c r="B1401" s="64" t="s">
        <v>2993</v>
      </c>
      <c r="C1401" s="64" t="s">
        <v>2994</v>
      </c>
      <c r="D1401" s="64" t="s">
        <v>2995</v>
      </c>
      <c r="E1401" s="64" t="s">
        <v>20</v>
      </c>
      <c r="F1401" s="64" t="s">
        <v>15</v>
      </c>
      <c r="G1401" s="64" t="s">
        <v>9105</v>
      </c>
      <c r="H1401" s="64" t="s">
        <v>2999</v>
      </c>
    </row>
    <row r="1402" spans="1:8" x14ac:dyDescent="0.3">
      <c r="A1402" s="64" t="s">
        <v>2259</v>
      </c>
      <c r="B1402" s="64" t="s">
        <v>2993</v>
      </c>
      <c r="C1402" s="64" t="s">
        <v>2994</v>
      </c>
      <c r="D1402" s="64" t="s">
        <v>2995</v>
      </c>
      <c r="E1402" s="64" t="s">
        <v>16</v>
      </c>
      <c r="F1402" s="64" t="s">
        <v>368</v>
      </c>
      <c r="G1402" s="64" t="s">
        <v>9106</v>
      </c>
      <c r="H1402" s="64" t="s">
        <v>3000</v>
      </c>
    </row>
    <row r="1403" spans="1:8" x14ac:dyDescent="0.3">
      <c r="A1403" s="64" t="s">
        <v>2260</v>
      </c>
      <c r="B1403" s="64" t="s">
        <v>2993</v>
      </c>
      <c r="C1403" s="64" t="s">
        <v>2994</v>
      </c>
      <c r="D1403" s="64" t="s">
        <v>2995</v>
      </c>
      <c r="E1403" s="64" t="s">
        <v>16</v>
      </c>
      <c r="F1403" s="64" t="s">
        <v>369</v>
      </c>
      <c r="G1403" s="64" t="s">
        <v>9107</v>
      </c>
      <c r="H1403" s="64" t="s">
        <v>3001</v>
      </c>
    </row>
    <row r="1404" spans="1:8" x14ac:dyDescent="0.3">
      <c r="A1404" s="64" t="s">
        <v>2261</v>
      </c>
      <c r="B1404" s="64" t="s">
        <v>2993</v>
      </c>
      <c r="C1404" s="64" t="s">
        <v>2994</v>
      </c>
      <c r="D1404" s="64" t="s">
        <v>2995</v>
      </c>
      <c r="E1404" s="64" t="s">
        <v>16</v>
      </c>
      <c r="F1404" s="64" t="s">
        <v>370</v>
      </c>
      <c r="G1404" s="64" t="s">
        <v>9108</v>
      </c>
      <c r="H1404" s="64" t="s">
        <v>3002</v>
      </c>
    </row>
    <row r="1405" spans="1:8" x14ac:dyDescent="0.3">
      <c r="A1405" s="64" t="s">
        <v>2262</v>
      </c>
      <c r="B1405" s="64" t="s">
        <v>2993</v>
      </c>
      <c r="C1405" s="64" t="s">
        <v>2994</v>
      </c>
      <c r="D1405" s="64" t="s">
        <v>2995</v>
      </c>
      <c r="E1405" s="64" t="s">
        <v>16</v>
      </c>
      <c r="F1405" s="64" t="s">
        <v>371</v>
      </c>
      <c r="G1405" s="64" t="s">
        <v>9109</v>
      </c>
      <c r="H1405" s="64" t="s">
        <v>3003</v>
      </c>
    </row>
    <row r="1406" spans="1:8" x14ac:dyDescent="0.3">
      <c r="A1406" s="64" t="s">
        <v>2263</v>
      </c>
      <c r="B1406" s="64" t="s">
        <v>2993</v>
      </c>
      <c r="C1406" s="64" t="s">
        <v>2994</v>
      </c>
      <c r="D1406" s="64" t="s">
        <v>2995</v>
      </c>
      <c r="E1406" s="64" t="s">
        <v>16</v>
      </c>
      <c r="F1406" s="64" t="s">
        <v>372</v>
      </c>
      <c r="G1406" s="64" t="s">
        <v>9110</v>
      </c>
      <c r="H1406" s="64" t="s">
        <v>3004</v>
      </c>
    </row>
    <row r="1407" spans="1:8" x14ac:dyDescent="0.3">
      <c r="A1407" s="64" t="s">
        <v>2264</v>
      </c>
      <c r="B1407" s="64" t="s">
        <v>2993</v>
      </c>
      <c r="C1407" s="64" t="s">
        <v>2994</v>
      </c>
      <c r="D1407" s="64" t="s">
        <v>2995</v>
      </c>
      <c r="E1407" s="64" t="s">
        <v>16</v>
      </c>
      <c r="F1407" s="64" t="s">
        <v>373</v>
      </c>
      <c r="G1407" s="64" t="s">
        <v>9111</v>
      </c>
      <c r="H1407" s="64" t="s">
        <v>3005</v>
      </c>
    </row>
    <row r="1408" spans="1:8" x14ac:dyDescent="0.3">
      <c r="A1408" s="64" t="s">
        <v>2265</v>
      </c>
      <c r="B1408" s="64" t="s">
        <v>2993</v>
      </c>
      <c r="C1408" s="64" t="s">
        <v>2994</v>
      </c>
      <c r="D1408" s="64" t="s">
        <v>2995</v>
      </c>
      <c r="E1408" s="64" t="s">
        <v>16</v>
      </c>
      <c r="F1408" s="64" t="s">
        <v>374</v>
      </c>
      <c r="G1408" s="64" t="s">
        <v>9112</v>
      </c>
      <c r="H1408" s="64" t="s">
        <v>3006</v>
      </c>
    </row>
    <row r="1409" spans="1:8" x14ac:dyDescent="0.3">
      <c r="A1409" s="64" t="s">
        <v>2266</v>
      </c>
      <c r="B1409" s="64" t="s">
        <v>2993</v>
      </c>
      <c r="C1409" s="64" t="s">
        <v>2994</v>
      </c>
      <c r="D1409" s="64" t="s">
        <v>2995</v>
      </c>
      <c r="E1409" s="64" t="s">
        <v>16</v>
      </c>
      <c r="F1409" s="64" t="s">
        <v>375</v>
      </c>
      <c r="G1409" s="64" t="s">
        <v>9113</v>
      </c>
      <c r="H1409" s="64" t="s">
        <v>3007</v>
      </c>
    </row>
    <row r="1410" spans="1:8" x14ac:dyDescent="0.3">
      <c r="A1410" s="64" t="s">
        <v>2267</v>
      </c>
      <c r="B1410" s="64" t="s">
        <v>2993</v>
      </c>
      <c r="C1410" s="64" t="s">
        <v>2994</v>
      </c>
      <c r="D1410" s="64" t="s">
        <v>2995</v>
      </c>
      <c r="E1410" s="64" t="s">
        <v>16</v>
      </c>
      <c r="F1410" s="64" t="s">
        <v>376</v>
      </c>
      <c r="G1410" s="64" t="s">
        <v>9114</v>
      </c>
      <c r="H1410" s="64" t="s">
        <v>3008</v>
      </c>
    </row>
    <row r="1411" spans="1:8" x14ac:dyDescent="0.3">
      <c r="A1411" s="64" t="s">
        <v>2268</v>
      </c>
      <c r="B1411" s="64" t="s">
        <v>2993</v>
      </c>
      <c r="C1411" s="64" t="s">
        <v>2994</v>
      </c>
      <c r="D1411" s="64" t="s">
        <v>2995</v>
      </c>
      <c r="E1411" s="64" t="s">
        <v>16</v>
      </c>
      <c r="F1411" s="64" t="s">
        <v>377</v>
      </c>
      <c r="G1411" s="64" t="s">
        <v>9115</v>
      </c>
      <c r="H1411" s="64" t="s">
        <v>3009</v>
      </c>
    </row>
    <row r="1412" spans="1:8" x14ac:dyDescent="0.3">
      <c r="A1412" s="64" t="s">
        <v>2269</v>
      </c>
      <c r="B1412" s="64" t="s">
        <v>2993</v>
      </c>
      <c r="C1412" s="64" t="s">
        <v>2994</v>
      </c>
      <c r="D1412" s="64" t="s">
        <v>2995</v>
      </c>
      <c r="E1412" s="64" t="s">
        <v>16</v>
      </c>
      <c r="F1412" s="64" t="s">
        <v>378</v>
      </c>
      <c r="G1412" s="64" t="s">
        <v>9116</v>
      </c>
      <c r="H1412" s="64" t="s">
        <v>3010</v>
      </c>
    </row>
    <row r="1413" spans="1:8" x14ac:dyDescent="0.3">
      <c r="A1413" s="64" t="s">
        <v>2270</v>
      </c>
      <c r="B1413" s="64" t="s">
        <v>2993</v>
      </c>
      <c r="C1413" s="64" t="s">
        <v>2994</v>
      </c>
      <c r="D1413" s="64" t="s">
        <v>2995</v>
      </c>
      <c r="E1413" s="64" t="s">
        <v>16</v>
      </c>
      <c r="F1413" s="64" t="s">
        <v>379</v>
      </c>
      <c r="G1413" s="64" t="s">
        <v>9117</v>
      </c>
      <c r="H1413" s="64" t="s">
        <v>3011</v>
      </c>
    </row>
    <row r="1414" spans="1:8" x14ac:dyDescent="0.3">
      <c r="A1414" s="64" t="s">
        <v>2274</v>
      </c>
      <c r="B1414" s="64" t="s">
        <v>2993</v>
      </c>
      <c r="C1414" s="64" t="s">
        <v>2994</v>
      </c>
      <c r="D1414" s="64" t="s">
        <v>2995</v>
      </c>
      <c r="E1414" s="64" t="s">
        <v>16</v>
      </c>
      <c r="F1414" s="64" t="s">
        <v>380</v>
      </c>
      <c r="G1414" s="64" t="s">
        <v>9118</v>
      </c>
      <c r="H1414" s="64" t="s">
        <v>3012</v>
      </c>
    </row>
    <row r="1415" spans="1:8" x14ac:dyDescent="0.3">
      <c r="A1415" s="64" t="s">
        <v>2275</v>
      </c>
      <c r="B1415" s="64" t="s">
        <v>2993</v>
      </c>
      <c r="C1415" s="64" t="s">
        <v>2994</v>
      </c>
      <c r="D1415" s="64" t="s">
        <v>2995</v>
      </c>
      <c r="E1415" s="64" t="s">
        <v>16</v>
      </c>
      <c r="F1415" s="64" t="s">
        <v>381</v>
      </c>
      <c r="G1415" s="64" t="s">
        <v>9119</v>
      </c>
      <c r="H1415" s="64" t="s">
        <v>3013</v>
      </c>
    </row>
    <row r="1416" spans="1:8" x14ac:dyDescent="0.3">
      <c r="A1416" s="64" t="s">
        <v>2276</v>
      </c>
      <c r="B1416" s="64" t="s">
        <v>2993</v>
      </c>
      <c r="C1416" s="64" t="s">
        <v>2994</v>
      </c>
      <c r="D1416" s="64" t="s">
        <v>2995</v>
      </c>
      <c r="E1416" s="64" t="s">
        <v>16</v>
      </c>
      <c r="F1416" s="64" t="s">
        <v>382</v>
      </c>
      <c r="G1416" s="64" t="s">
        <v>9120</v>
      </c>
      <c r="H1416" s="64" t="s">
        <v>3014</v>
      </c>
    </row>
    <row r="1417" spans="1:8" x14ac:dyDescent="0.3">
      <c r="A1417" s="64" t="s">
        <v>2277</v>
      </c>
      <c r="B1417" s="64" t="s">
        <v>2993</v>
      </c>
      <c r="C1417" s="64" t="s">
        <v>2994</v>
      </c>
      <c r="D1417" s="64" t="s">
        <v>2995</v>
      </c>
      <c r="E1417" s="64" t="s">
        <v>16</v>
      </c>
      <c r="F1417" s="64" t="s">
        <v>383</v>
      </c>
      <c r="G1417" s="64" t="s">
        <v>9121</v>
      </c>
      <c r="H1417" s="64" t="s">
        <v>3015</v>
      </c>
    </row>
    <row r="1418" spans="1:8" x14ac:dyDescent="0.3">
      <c r="A1418" s="64" t="s">
        <v>2278</v>
      </c>
      <c r="B1418" s="64" t="s">
        <v>2993</v>
      </c>
      <c r="C1418" s="64" t="s">
        <v>3016</v>
      </c>
      <c r="D1418" s="64" t="s">
        <v>3017</v>
      </c>
      <c r="E1418" s="64" t="s">
        <v>20</v>
      </c>
      <c r="F1418" s="64" t="s">
        <v>15</v>
      </c>
      <c r="G1418" s="64" t="s">
        <v>9122</v>
      </c>
      <c r="H1418" s="64" t="s">
        <v>3018</v>
      </c>
    </row>
    <row r="1419" spans="1:8" x14ac:dyDescent="0.3">
      <c r="A1419" s="64" t="s">
        <v>2279</v>
      </c>
      <c r="B1419" s="64" t="s">
        <v>2993</v>
      </c>
      <c r="C1419" s="64" t="s">
        <v>3016</v>
      </c>
      <c r="D1419" s="64" t="s">
        <v>3017</v>
      </c>
      <c r="E1419" s="64" t="s">
        <v>16</v>
      </c>
      <c r="F1419" s="64" t="s">
        <v>368</v>
      </c>
      <c r="G1419" s="64" t="s">
        <v>9123</v>
      </c>
      <c r="H1419" s="64" t="s">
        <v>3019</v>
      </c>
    </row>
    <row r="1420" spans="1:8" x14ac:dyDescent="0.3">
      <c r="A1420" s="64" t="s">
        <v>2280</v>
      </c>
      <c r="B1420" s="64" t="s">
        <v>2993</v>
      </c>
      <c r="C1420" s="64" t="s">
        <v>3016</v>
      </c>
      <c r="D1420" s="64" t="s">
        <v>3017</v>
      </c>
      <c r="E1420" s="64" t="s">
        <v>16</v>
      </c>
      <c r="F1420" s="64" t="s">
        <v>369</v>
      </c>
      <c r="G1420" s="64" t="s">
        <v>9124</v>
      </c>
      <c r="H1420" s="64" t="s">
        <v>3020</v>
      </c>
    </row>
    <row r="1421" spans="1:8" x14ac:dyDescent="0.3">
      <c r="A1421" s="64" t="s">
        <v>2281</v>
      </c>
      <c r="B1421" s="64" t="s">
        <v>2993</v>
      </c>
      <c r="C1421" s="64" t="s">
        <v>3016</v>
      </c>
      <c r="D1421" s="64" t="s">
        <v>3017</v>
      </c>
      <c r="E1421" s="64" t="s">
        <v>16</v>
      </c>
      <c r="F1421" s="64" t="s">
        <v>370</v>
      </c>
      <c r="G1421" s="64" t="s">
        <v>9125</v>
      </c>
      <c r="H1421" s="64" t="s">
        <v>3021</v>
      </c>
    </row>
    <row r="1422" spans="1:8" x14ac:dyDescent="0.3">
      <c r="A1422" s="64" t="s">
        <v>2282</v>
      </c>
      <c r="B1422" s="64" t="s">
        <v>2993</v>
      </c>
      <c r="C1422" s="64" t="s">
        <v>3016</v>
      </c>
      <c r="D1422" s="64" t="s">
        <v>3017</v>
      </c>
      <c r="E1422" s="64" t="s">
        <v>16</v>
      </c>
      <c r="F1422" s="64" t="s">
        <v>371</v>
      </c>
      <c r="G1422" s="64" t="s">
        <v>9126</v>
      </c>
      <c r="H1422" s="64" t="s">
        <v>3022</v>
      </c>
    </row>
    <row r="1423" spans="1:8" x14ac:dyDescent="0.3">
      <c r="A1423" s="64" t="s">
        <v>2283</v>
      </c>
      <c r="B1423" s="64" t="s">
        <v>2993</v>
      </c>
      <c r="C1423" s="64" t="s">
        <v>3016</v>
      </c>
      <c r="D1423" s="64" t="s">
        <v>3017</v>
      </c>
      <c r="E1423" s="64" t="s">
        <v>16</v>
      </c>
      <c r="F1423" s="64" t="s">
        <v>372</v>
      </c>
      <c r="G1423" s="64" t="s">
        <v>9127</v>
      </c>
      <c r="H1423" s="64" t="s">
        <v>3023</v>
      </c>
    </row>
    <row r="1424" spans="1:8" x14ac:dyDescent="0.3">
      <c r="A1424" s="64" t="s">
        <v>2284</v>
      </c>
      <c r="B1424" s="64" t="s">
        <v>2993</v>
      </c>
      <c r="C1424" s="64" t="s">
        <v>3016</v>
      </c>
      <c r="D1424" s="64" t="s">
        <v>3017</v>
      </c>
      <c r="E1424" s="64" t="s">
        <v>16</v>
      </c>
      <c r="F1424" s="64" t="s">
        <v>373</v>
      </c>
      <c r="G1424" s="64" t="s">
        <v>9128</v>
      </c>
      <c r="H1424" s="64" t="s">
        <v>3024</v>
      </c>
    </row>
    <row r="1425" spans="1:8" x14ac:dyDescent="0.3">
      <c r="A1425" s="64" t="s">
        <v>2285</v>
      </c>
      <c r="B1425" s="64" t="s">
        <v>2993</v>
      </c>
      <c r="C1425" s="64" t="s">
        <v>3016</v>
      </c>
      <c r="D1425" s="64" t="s">
        <v>3017</v>
      </c>
      <c r="E1425" s="64" t="s">
        <v>16</v>
      </c>
      <c r="F1425" s="64" t="s">
        <v>374</v>
      </c>
      <c r="G1425" s="64" t="s">
        <v>9129</v>
      </c>
      <c r="H1425" s="64" t="s">
        <v>3025</v>
      </c>
    </row>
    <row r="1426" spans="1:8" x14ac:dyDescent="0.3">
      <c r="A1426" s="64" t="s">
        <v>2286</v>
      </c>
      <c r="B1426" s="64" t="s">
        <v>2993</v>
      </c>
      <c r="C1426" s="64" t="s">
        <v>3016</v>
      </c>
      <c r="D1426" s="64" t="s">
        <v>3017</v>
      </c>
      <c r="E1426" s="64" t="s">
        <v>16</v>
      </c>
      <c r="F1426" s="64" t="s">
        <v>375</v>
      </c>
      <c r="G1426" s="64" t="s">
        <v>9130</v>
      </c>
      <c r="H1426" s="64" t="s">
        <v>3026</v>
      </c>
    </row>
    <row r="1427" spans="1:8" x14ac:dyDescent="0.3">
      <c r="A1427" s="64" t="s">
        <v>2287</v>
      </c>
      <c r="B1427" s="64" t="s">
        <v>2993</v>
      </c>
      <c r="C1427" s="64" t="s">
        <v>3016</v>
      </c>
      <c r="D1427" s="64" t="s">
        <v>3017</v>
      </c>
      <c r="E1427" s="64" t="s">
        <v>16</v>
      </c>
      <c r="F1427" s="64" t="s">
        <v>376</v>
      </c>
      <c r="G1427" s="64" t="s">
        <v>9131</v>
      </c>
      <c r="H1427" s="64" t="s">
        <v>3027</v>
      </c>
    </row>
    <row r="1428" spans="1:8" x14ac:dyDescent="0.3">
      <c r="A1428" s="64" t="s">
        <v>2288</v>
      </c>
      <c r="B1428" s="64" t="s">
        <v>2993</v>
      </c>
      <c r="C1428" s="64" t="s">
        <v>3016</v>
      </c>
      <c r="D1428" s="64" t="s">
        <v>3017</v>
      </c>
      <c r="E1428" s="64" t="s">
        <v>16</v>
      </c>
      <c r="F1428" s="64" t="s">
        <v>377</v>
      </c>
      <c r="G1428" s="64" t="s">
        <v>9132</v>
      </c>
      <c r="H1428" s="64" t="s">
        <v>3028</v>
      </c>
    </row>
    <row r="1429" spans="1:8" x14ac:dyDescent="0.3">
      <c r="A1429" s="64" t="s">
        <v>2289</v>
      </c>
      <c r="B1429" s="64" t="s">
        <v>2993</v>
      </c>
      <c r="C1429" s="64" t="s">
        <v>3016</v>
      </c>
      <c r="D1429" s="64" t="s">
        <v>3017</v>
      </c>
      <c r="E1429" s="64" t="s">
        <v>16</v>
      </c>
      <c r="F1429" s="64" t="s">
        <v>378</v>
      </c>
      <c r="G1429" s="64" t="s">
        <v>9133</v>
      </c>
      <c r="H1429" s="64" t="s">
        <v>3029</v>
      </c>
    </row>
    <row r="1430" spans="1:8" x14ac:dyDescent="0.3">
      <c r="A1430" s="64" t="s">
        <v>2290</v>
      </c>
      <c r="B1430" s="64" t="s">
        <v>2993</v>
      </c>
      <c r="C1430" s="64" t="s">
        <v>3016</v>
      </c>
      <c r="D1430" s="64" t="s">
        <v>3017</v>
      </c>
      <c r="E1430" s="64" t="s">
        <v>16</v>
      </c>
      <c r="F1430" s="64" t="s">
        <v>379</v>
      </c>
      <c r="G1430" s="64" t="s">
        <v>9134</v>
      </c>
      <c r="H1430" s="64" t="s">
        <v>3030</v>
      </c>
    </row>
    <row r="1431" spans="1:8" x14ac:dyDescent="0.3">
      <c r="A1431" s="64" t="s">
        <v>2293</v>
      </c>
      <c r="B1431" s="64" t="s">
        <v>2993</v>
      </c>
      <c r="C1431" s="64" t="s">
        <v>3016</v>
      </c>
      <c r="D1431" s="64" t="s">
        <v>3017</v>
      </c>
      <c r="E1431" s="64" t="s">
        <v>16</v>
      </c>
      <c r="F1431" s="64" t="s">
        <v>380</v>
      </c>
      <c r="G1431" s="64" t="s">
        <v>9135</v>
      </c>
      <c r="H1431" s="64" t="s">
        <v>3031</v>
      </c>
    </row>
    <row r="1432" spans="1:8" x14ac:dyDescent="0.3">
      <c r="A1432" s="64" t="s">
        <v>2294</v>
      </c>
      <c r="B1432" s="64" t="s">
        <v>2993</v>
      </c>
      <c r="C1432" s="64" t="s">
        <v>3016</v>
      </c>
      <c r="D1432" s="64" t="s">
        <v>3017</v>
      </c>
      <c r="E1432" s="64" t="s">
        <v>16</v>
      </c>
      <c r="F1432" s="64" t="s">
        <v>381</v>
      </c>
      <c r="G1432" s="64" t="s">
        <v>9136</v>
      </c>
      <c r="H1432" s="64" t="s">
        <v>3032</v>
      </c>
    </row>
    <row r="1433" spans="1:8" x14ac:dyDescent="0.3">
      <c r="A1433" s="64" t="s">
        <v>2295</v>
      </c>
      <c r="B1433" s="64" t="s">
        <v>2993</v>
      </c>
      <c r="C1433" s="64" t="s">
        <v>3016</v>
      </c>
      <c r="D1433" s="64" t="s">
        <v>3017</v>
      </c>
      <c r="E1433" s="64" t="s">
        <v>16</v>
      </c>
      <c r="F1433" s="64" t="s">
        <v>382</v>
      </c>
      <c r="G1433" s="64" t="s">
        <v>9137</v>
      </c>
      <c r="H1433" s="64" t="s">
        <v>3033</v>
      </c>
    </row>
    <row r="1434" spans="1:8" x14ac:dyDescent="0.3">
      <c r="A1434" s="64" t="s">
        <v>2296</v>
      </c>
      <c r="B1434" s="64" t="s">
        <v>2993</v>
      </c>
      <c r="C1434" s="64" t="s">
        <v>3016</v>
      </c>
      <c r="D1434" s="64" t="s">
        <v>3017</v>
      </c>
      <c r="E1434" s="64" t="s">
        <v>16</v>
      </c>
      <c r="F1434" s="64" t="s">
        <v>383</v>
      </c>
      <c r="G1434" s="64" t="s">
        <v>9138</v>
      </c>
      <c r="H1434" s="64" t="s">
        <v>3034</v>
      </c>
    </row>
    <row r="1435" spans="1:8" x14ac:dyDescent="0.3">
      <c r="A1435" s="64" t="s">
        <v>2297</v>
      </c>
      <c r="B1435" s="64" t="s">
        <v>2993</v>
      </c>
      <c r="C1435" s="64" t="s">
        <v>3016</v>
      </c>
      <c r="D1435" s="64" t="s">
        <v>3017</v>
      </c>
      <c r="E1435" s="64" t="s">
        <v>20</v>
      </c>
      <c r="F1435" s="64" t="s">
        <v>15</v>
      </c>
      <c r="G1435" s="64" t="s">
        <v>3035</v>
      </c>
      <c r="H1435" s="64" t="s">
        <v>3036</v>
      </c>
    </row>
    <row r="1436" spans="1:8" x14ac:dyDescent="0.3">
      <c r="A1436" s="64" t="s">
        <v>2298</v>
      </c>
      <c r="B1436" s="64" t="s">
        <v>2993</v>
      </c>
      <c r="C1436" s="64" t="s">
        <v>3016</v>
      </c>
      <c r="D1436" s="64" t="s">
        <v>3017</v>
      </c>
      <c r="E1436" s="64" t="s">
        <v>16</v>
      </c>
      <c r="F1436" s="64" t="s">
        <v>368</v>
      </c>
      <c r="G1436" s="64" t="s">
        <v>3037</v>
      </c>
      <c r="H1436" s="64" t="s">
        <v>3038</v>
      </c>
    </row>
    <row r="1437" spans="1:8" x14ac:dyDescent="0.3">
      <c r="A1437" s="64" t="s">
        <v>2299</v>
      </c>
      <c r="B1437" s="64" t="s">
        <v>2993</v>
      </c>
      <c r="C1437" s="64" t="s">
        <v>3016</v>
      </c>
      <c r="D1437" s="64" t="s">
        <v>3017</v>
      </c>
      <c r="E1437" s="64" t="s">
        <v>16</v>
      </c>
      <c r="F1437" s="64" t="s">
        <v>369</v>
      </c>
      <c r="G1437" s="64" t="s">
        <v>3039</v>
      </c>
      <c r="H1437" s="64" t="s">
        <v>3040</v>
      </c>
    </row>
    <row r="1438" spans="1:8" x14ac:dyDescent="0.3">
      <c r="A1438" s="64" t="s">
        <v>2300</v>
      </c>
      <c r="B1438" s="64" t="s">
        <v>2993</v>
      </c>
      <c r="C1438" s="64" t="s">
        <v>3016</v>
      </c>
      <c r="D1438" s="64" t="s">
        <v>3017</v>
      </c>
      <c r="E1438" s="64" t="s">
        <v>16</v>
      </c>
      <c r="F1438" s="64" t="s">
        <v>370</v>
      </c>
      <c r="G1438" s="64" t="s">
        <v>3041</v>
      </c>
      <c r="H1438" s="64" t="s">
        <v>3042</v>
      </c>
    </row>
    <row r="1439" spans="1:8" x14ac:dyDescent="0.3">
      <c r="A1439" s="64" t="s">
        <v>2301</v>
      </c>
      <c r="B1439" s="64" t="s">
        <v>2993</v>
      </c>
      <c r="C1439" s="64" t="s">
        <v>3016</v>
      </c>
      <c r="D1439" s="64" t="s">
        <v>3017</v>
      </c>
      <c r="E1439" s="64" t="s">
        <v>16</v>
      </c>
      <c r="F1439" s="64" t="s">
        <v>371</v>
      </c>
      <c r="G1439" s="64" t="s">
        <v>3043</v>
      </c>
      <c r="H1439" s="64" t="s">
        <v>3044</v>
      </c>
    </row>
    <row r="1440" spans="1:8" x14ac:dyDescent="0.3">
      <c r="A1440" s="64" t="s">
        <v>2302</v>
      </c>
      <c r="B1440" s="64" t="s">
        <v>2993</v>
      </c>
      <c r="C1440" s="64" t="s">
        <v>3016</v>
      </c>
      <c r="D1440" s="64" t="s">
        <v>3017</v>
      </c>
      <c r="E1440" s="64" t="s">
        <v>16</v>
      </c>
      <c r="F1440" s="64" t="s">
        <v>372</v>
      </c>
      <c r="G1440" s="64" t="s">
        <v>3045</v>
      </c>
      <c r="H1440" s="64" t="s">
        <v>3046</v>
      </c>
    </row>
    <row r="1441" spans="1:8" x14ac:dyDescent="0.3">
      <c r="A1441" s="64" t="s">
        <v>2303</v>
      </c>
      <c r="B1441" s="64" t="s">
        <v>2993</v>
      </c>
      <c r="C1441" s="64" t="s">
        <v>3016</v>
      </c>
      <c r="D1441" s="64" t="s">
        <v>3017</v>
      </c>
      <c r="E1441" s="64" t="s">
        <v>16</v>
      </c>
      <c r="F1441" s="64" t="s">
        <v>373</v>
      </c>
      <c r="G1441" s="64" t="s">
        <v>3047</v>
      </c>
      <c r="H1441" s="64" t="s">
        <v>3048</v>
      </c>
    </row>
    <row r="1442" spans="1:8" x14ac:dyDescent="0.3">
      <c r="A1442" s="64" t="s">
        <v>2304</v>
      </c>
      <c r="B1442" s="64" t="s">
        <v>2993</v>
      </c>
      <c r="C1442" s="64" t="s">
        <v>3016</v>
      </c>
      <c r="D1442" s="64" t="s">
        <v>3017</v>
      </c>
      <c r="E1442" s="64" t="s">
        <v>16</v>
      </c>
      <c r="F1442" s="64" t="s">
        <v>374</v>
      </c>
      <c r="G1442" s="64" t="s">
        <v>3049</v>
      </c>
      <c r="H1442" s="64" t="s">
        <v>3050</v>
      </c>
    </row>
    <row r="1443" spans="1:8" x14ac:dyDescent="0.3">
      <c r="A1443" s="64" t="s">
        <v>2305</v>
      </c>
      <c r="B1443" s="64" t="s">
        <v>2993</v>
      </c>
      <c r="C1443" s="64" t="s">
        <v>3016</v>
      </c>
      <c r="D1443" s="64" t="s">
        <v>3017</v>
      </c>
      <c r="E1443" s="64" t="s">
        <v>16</v>
      </c>
      <c r="F1443" s="64" t="s">
        <v>375</v>
      </c>
      <c r="G1443" s="64" t="s">
        <v>3051</v>
      </c>
      <c r="H1443" s="64" t="s">
        <v>3052</v>
      </c>
    </row>
    <row r="1444" spans="1:8" x14ac:dyDescent="0.3">
      <c r="A1444" s="64" t="s">
        <v>2306</v>
      </c>
      <c r="B1444" s="64" t="s">
        <v>2993</v>
      </c>
      <c r="C1444" s="64" t="s">
        <v>3016</v>
      </c>
      <c r="D1444" s="64" t="s">
        <v>3017</v>
      </c>
      <c r="E1444" s="64" t="s">
        <v>16</v>
      </c>
      <c r="F1444" s="64" t="s">
        <v>376</v>
      </c>
      <c r="G1444" s="64" t="s">
        <v>3053</v>
      </c>
      <c r="H1444" s="64" t="s">
        <v>3054</v>
      </c>
    </row>
    <row r="1445" spans="1:8" x14ac:dyDescent="0.3">
      <c r="A1445" s="64" t="s">
        <v>2307</v>
      </c>
      <c r="B1445" s="64" t="s">
        <v>2993</v>
      </c>
      <c r="C1445" s="64" t="s">
        <v>3016</v>
      </c>
      <c r="D1445" s="64" t="s">
        <v>3017</v>
      </c>
      <c r="E1445" s="64" t="s">
        <v>16</v>
      </c>
      <c r="F1445" s="64" t="s">
        <v>377</v>
      </c>
      <c r="G1445" s="64" t="s">
        <v>3055</v>
      </c>
      <c r="H1445" s="64" t="s">
        <v>3056</v>
      </c>
    </row>
    <row r="1446" spans="1:8" x14ac:dyDescent="0.3">
      <c r="A1446" s="64" t="s">
        <v>2308</v>
      </c>
      <c r="B1446" s="64" t="s">
        <v>2993</v>
      </c>
      <c r="C1446" s="64" t="s">
        <v>3016</v>
      </c>
      <c r="D1446" s="64" t="s">
        <v>3017</v>
      </c>
      <c r="E1446" s="64" t="s">
        <v>16</v>
      </c>
      <c r="F1446" s="64" t="s">
        <v>378</v>
      </c>
      <c r="G1446" s="64" t="s">
        <v>3057</v>
      </c>
      <c r="H1446" s="64" t="s">
        <v>3058</v>
      </c>
    </row>
    <row r="1447" spans="1:8" x14ac:dyDescent="0.3">
      <c r="A1447" s="64" t="s">
        <v>2309</v>
      </c>
      <c r="B1447" s="64" t="s">
        <v>2993</v>
      </c>
      <c r="C1447" s="64" t="s">
        <v>3016</v>
      </c>
      <c r="D1447" s="64" t="s">
        <v>3017</v>
      </c>
      <c r="E1447" s="64" t="s">
        <v>16</v>
      </c>
      <c r="F1447" s="64" t="s">
        <v>379</v>
      </c>
      <c r="G1447" s="64" t="s">
        <v>3059</v>
      </c>
      <c r="H1447" s="64" t="s">
        <v>3060</v>
      </c>
    </row>
    <row r="1448" spans="1:8" x14ac:dyDescent="0.3">
      <c r="A1448" s="64" t="s">
        <v>2314</v>
      </c>
      <c r="B1448" s="64" t="s">
        <v>2993</v>
      </c>
      <c r="C1448" s="64" t="s">
        <v>3016</v>
      </c>
      <c r="D1448" s="64" t="s">
        <v>3017</v>
      </c>
      <c r="E1448" s="64" t="s">
        <v>16</v>
      </c>
      <c r="F1448" s="64" t="s">
        <v>380</v>
      </c>
      <c r="G1448" s="64" t="s">
        <v>3061</v>
      </c>
      <c r="H1448" s="64" t="s">
        <v>3062</v>
      </c>
    </row>
    <row r="1449" spans="1:8" x14ac:dyDescent="0.3">
      <c r="A1449" s="64" t="s">
        <v>2317</v>
      </c>
      <c r="B1449" s="64" t="s">
        <v>2993</v>
      </c>
      <c r="C1449" s="64" t="s">
        <v>3016</v>
      </c>
      <c r="D1449" s="64" t="s">
        <v>3017</v>
      </c>
      <c r="E1449" s="64" t="s">
        <v>16</v>
      </c>
      <c r="F1449" s="64" t="s">
        <v>381</v>
      </c>
      <c r="G1449" s="64" t="s">
        <v>3063</v>
      </c>
      <c r="H1449" s="64" t="s">
        <v>3064</v>
      </c>
    </row>
    <row r="1450" spans="1:8" x14ac:dyDescent="0.3">
      <c r="A1450" s="64" t="s">
        <v>2319</v>
      </c>
      <c r="B1450" s="64" t="s">
        <v>2993</v>
      </c>
      <c r="C1450" s="64" t="s">
        <v>3016</v>
      </c>
      <c r="D1450" s="64" t="s">
        <v>3017</v>
      </c>
      <c r="E1450" s="64" t="s">
        <v>16</v>
      </c>
      <c r="F1450" s="64" t="s">
        <v>382</v>
      </c>
      <c r="G1450" s="64" t="s">
        <v>3065</v>
      </c>
      <c r="H1450" s="64" t="s">
        <v>3066</v>
      </c>
    </row>
    <row r="1451" spans="1:8" x14ac:dyDescent="0.3">
      <c r="A1451" s="64" t="s">
        <v>2320</v>
      </c>
      <c r="B1451" s="64" t="s">
        <v>2993</v>
      </c>
      <c r="C1451" s="64" t="s">
        <v>3016</v>
      </c>
      <c r="D1451" s="64" t="s">
        <v>3017</v>
      </c>
      <c r="E1451" s="64" t="s">
        <v>16</v>
      </c>
      <c r="F1451" s="64" t="s">
        <v>383</v>
      </c>
      <c r="G1451" s="64" t="s">
        <v>3067</v>
      </c>
      <c r="H1451" s="64" t="s">
        <v>3068</v>
      </c>
    </row>
    <row r="1452" spans="1:8" x14ac:dyDescent="0.3">
      <c r="A1452" s="64" t="s">
        <v>2321</v>
      </c>
      <c r="B1452" s="64" t="s">
        <v>785</v>
      </c>
      <c r="C1452" s="64" t="s">
        <v>3069</v>
      </c>
      <c r="D1452" s="64" t="s">
        <v>1907</v>
      </c>
      <c r="E1452" s="64" t="s">
        <v>20</v>
      </c>
      <c r="F1452" s="64" t="s">
        <v>15</v>
      </c>
      <c r="G1452" s="64" t="s">
        <v>3072</v>
      </c>
      <c r="H1452" s="64" t="s">
        <v>3073</v>
      </c>
    </row>
    <row r="1453" spans="1:8" x14ac:dyDescent="0.3">
      <c r="A1453" s="64" t="s">
        <v>2322</v>
      </c>
      <c r="B1453" s="64" t="s">
        <v>785</v>
      </c>
      <c r="C1453" s="64" t="s">
        <v>3069</v>
      </c>
      <c r="D1453" s="64" t="s">
        <v>1907</v>
      </c>
      <c r="E1453" s="64" t="s">
        <v>16</v>
      </c>
      <c r="F1453" s="64" t="s">
        <v>368</v>
      </c>
      <c r="G1453" s="64" t="s">
        <v>3074</v>
      </c>
      <c r="H1453" s="64" t="s">
        <v>3075</v>
      </c>
    </row>
    <row r="1454" spans="1:8" x14ac:dyDescent="0.3">
      <c r="A1454" s="64" t="s">
        <v>2323</v>
      </c>
      <c r="B1454" s="64" t="s">
        <v>785</v>
      </c>
      <c r="C1454" s="64" t="s">
        <v>3069</v>
      </c>
      <c r="D1454" s="64" t="s">
        <v>1907</v>
      </c>
      <c r="E1454" s="64" t="s">
        <v>16</v>
      </c>
      <c r="F1454" s="64" t="s">
        <v>369</v>
      </c>
      <c r="G1454" s="64" t="s">
        <v>3076</v>
      </c>
      <c r="H1454" s="64" t="s">
        <v>3077</v>
      </c>
    </row>
    <row r="1455" spans="1:8" x14ac:dyDescent="0.3">
      <c r="A1455" s="64" t="s">
        <v>2324</v>
      </c>
      <c r="B1455" s="64" t="s">
        <v>785</v>
      </c>
      <c r="C1455" s="64" t="s">
        <v>3069</v>
      </c>
      <c r="D1455" s="64" t="s">
        <v>1907</v>
      </c>
      <c r="E1455" s="64" t="s">
        <v>16</v>
      </c>
      <c r="F1455" s="64" t="s">
        <v>370</v>
      </c>
      <c r="G1455" s="64" t="s">
        <v>3078</v>
      </c>
      <c r="H1455" s="64" t="s">
        <v>3079</v>
      </c>
    </row>
    <row r="1456" spans="1:8" x14ac:dyDescent="0.3">
      <c r="A1456" s="64" t="s">
        <v>2325</v>
      </c>
      <c r="B1456" s="64" t="s">
        <v>785</v>
      </c>
      <c r="C1456" s="64" t="s">
        <v>3069</v>
      </c>
      <c r="D1456" s="64" t="s">
        <v>1907</v>
      </c>
      <c r="E1456" s="64" t="s">
        <v>16</v>
      </c>
      <c r="F1456" s="64" t="s">
        <v>371</v>
      </c>
      <c r="G1456" s="64" t="s">
        <v>3080</v>
      </c>
      <c r="H1456" s="64" t="s">
        <v>3081</v>
      </c>
    </row>
    <row r="1457" spans="1:8" x14ac:dyDescent="0.3">
      <c r="A1457" s="64" t="s">
        <v>2326</v>
      </c>
      <c r="B1457" s="64" t="s">
        <v>785</v>
      </c>
      <c r="C1457" s="64" t="s">
        <v>3069</v>
      </c>
      <c r="D1457" s="64" t="s">
        <v>1907</v>
      </c>
      <c r="E1457" s="64" t="s">
        <v>16</v>
      </c>
      <c r="F1457" s="64" t="s">
        <v>372</v>
      </c>
      <c r="G1457" s="64" t="s">
        <v>3082</v>
      </c>
      <c r="H1457" s="64" t="s">
        <v>3083</v>
      </c>
    </row>
    <row r="1458" spans="1:8" x14ac:dyDescent="0.3">
      <c r="A1458" s="64" t="s">
        <v>2327</v>
      </c>
      <c r="B1458" s="64" t="s">
        <v>785</v>
      </c>
      <c r="C1458" s="64" t="s">
        <v>3069</v>
      </c>
      <c r="D1458" s="64" t="s">
        <v>1907</v>
      </c>
      <c r="E1458" s="64" t="s">
        <v>16</v>
      </c>
      <c r="F1458" s="64" t="s">
        <v>373</v>
      </c>
      <c r="G1458" s="64" t="s">
        <v>3084</v>
      </c>
      <c r="H1458" s="64" t="s">
        <v>3085</v>
      </c>
    </row>
    <row r="1459" spans="1:8" x14ac:dyDescent="0.3">
      <c r="A1459" s="64" t="s">
        <v>2328</v>
      </c>
      <c r="B1459" s="64" t="s">
        <v>785</v>
      </c>
      <c r="C1459" s="64" t="s">
        <v>3069</v>
      </c>
      <c r="D1459" s="64" t="s">
        <v>1907</v>
      </c>
      <c r="E1459" s="64" t="s">
        <v>16</v>
      </c>
      <c r="F1459" s="64" t="s">
        <v>374</v>
      </c>
      <c r="G1459" s="64" t="s">
        <v>3086</v>
      </c>
      <c r="H1459" s="64" t="s">
        <v>3087</v>
      </c>
    </row>
    <row r="1460" spans="1:8" x14ac:dyDescent="0.3">
      <c r="A1460" s="64" t="s">
        <v>2329</v>
      </c>
      <c r="B1460" s="64" t="s">
        <v>785</v>
      </c>
      <c r="C1460" s="64" t="s">
        <v>3069</v>
      </c>
      <c r="D1460" s="64" t="s">
        <v>1907</v>
      </c>
      <c r="E1460" s="64" t="s">
        <v>16</v>
      </c>
      <c r="F1460" s="64" t="s">
        <v>375</v>
      </c>
      <c r="G1460" s="64" t="s">
        <v>3088</v>
      </c>
      <c r="H1460" s="64" t="s">
        <v>3089</v>
      </c>
    </row>
    <row r="1461" spans="1:8" x14ac:dyDescent="0.3">
      <c r="A1461" s="64" t="s">
        <v>2330</v>
      </c>
      <c r="B1461" s="64" t="s">
        <v>785</v>
      </c>
      <c r="C1461" s="64" t="s">
        <v>3069</v>
      </c>
      <c r="D1461" s="64" t="s">
        <v>1907</v>
      </c>
      <c r="E1461" s="64" t="s">
        <v>16</v>
      </c>
      <c r="F1461" s="64" t="s">
        <v>376</v>
      </c>
      <c r="G1461" s="64" t="s">
        <v>3090</v>
      </c>
      <c r="H1461" s="64" t="s">
        <v>3091</v>
      </c>
    </row>
    <row r="1462" spans="1:8" x14ac:dyDescent="0.3">
      <c r="A1462" s="64" t="s">
        <v>2331</v>
      </c>
      <c r="B1462" s="64" t="s">
        <v>785</v>
      </c>
      <c r="C1462" s="64" t="s">
        <v>3069</v>
      </c>
      <c r="D1462" s="64" t="s">
        <v>1907</v>
      </c>
      <c r="E1462" s="64" t="s">
        <v>16</v>
      </c>
      <c r="F1462" s="64" t="s">
        <v>377</v>
      </c>
      <c r="G1462" s="64" t="s">
        <v>3092</v>
      </c>
      <c r="H1462" s="64" t="s">
        <v>3093</v>
      </c>
    </row>
    <row r="1463" spans="1:8" x14ac:dyDescent="0.3">
      <c r="A1463" s="64" t="s">
        <v>2332</v>
      </c>
      <c r="B1463" s="64" t="s">
        <v>785</v>
      </c>
      <c r="C1463" s="64" t="s">
        <v>3069</v>
      </c>
      <c r="D1463" s="64" t="s">
        <v>1907</v>
      </c>
      <c r="E1463" s="64" t="s">
        <v>16</v>
      </c>
      <c r="F1463" s="64" t="s">
        <v>378</v>
      </c>
      <c r="G1463" s="64" t="s">
        <v>3094</v>
      </c>
      <c r="H1463" s="64" t="s">
        <v>3095</v>
      </c>
    </row>
    <row r="1464" spans="1:8" x14ac:dyDescent="0.3">
      <c r="A1464" s="64" t="s">
        <v>2333</v>
      </c>
      <c r="B1464" s="64" t="s">
        <v>785</v>
      </c>
      <c r="C1464" s="64" t="s">
        <v>3069</v>
      </c>
      <c r="D1464" s="64" t="s">
        <v>1907</v>
      </c>
      <c r="E1464" s="64" t="s">
        <v>16</v>
      </c>
      <c r="F1464" s="64" t="s">
        <v>379</v>
      </c>
      <c r="G1464" s="64" t="s">
        <v>3096</v>
      </c>
      <c r="H1464" s="64" t="s">
        <v>3097</v>
      </c>
    </row>
    <row r="1465" spans="1:8" x14ac:dyDescent="0.3">
      <c r="A1465" s="64" t="s">
        <v>2334</v>
      </c>
      <c r="B1465" s="64" t="s">
        <v>785</v>
      </c>
      <c r="C1465" s="64" t="s">
        <v>3069</v>
      </c>
      <c r="D1465" s="64" t="s">
        <v>1907</v>
      </c>
      <c r="E1465" s="64" t="s">
        <v>16</v>
      </c>
      <c r="F1465" s="64" t="s">
        <v>380</v>
      </c>
      <c r="G1465" s="64" t="s">
        <v>3098</v>
      </c>
      <c r="H1465" s="64" t="s">
        <v>3099</v>
      </c>
    </row>
    <row r="1466" spans="1:8" x14ac:dyDescent="0.3">
      <c r="A1466" s="64" t="s">
        <v>3604</v>
      </c>
      <c r="B1466" s="64" t="s">
        <v>459</v>
      </c>
      <c r="C1466" s="64" t="s">
        <v>845</v>
      </c>
      <c r="D1466" s="64" t="s">
        <v>1877</v>
      </c>
      <c r="E1466" s="64" t="s">
        <v>16</v>
      </c>
      <c r="F1466" s="64" t="s">
        <v>380</v>
      </c>
      <c r="G1466" s="64" t="s">
        <v>2738</v>
      </c>
      <c r="H1466" s="64" t="s">
        <v>2425</v>
      </c>
    </row>
    <row r="1467" spans="1:8" x14ac:dyDescent="0.3">
      <c r="A1467" s="64" t="s">
        <v>3358</v>
      </c>
      <c r="B1467" s="64" t="s">
        <v>785</v>
      </c>
      <c r="C1467" s="64" t="s">
        <v>3069</v>
      </c>
      <c r="D1467" s="64" t="s">
        <v>1907</v>
      </c>
      <c r="E1467" s="64" t="s">
        <v>16</v>
      </c>
      <c r="F1467" s="64" t="s">
        <v>381</v>
      </c>
      <c r="G1467" s="64" t="s">
        <v>3100</v>
      </c>
      <c r="H1467" s="64" t="s">
        <v>3101</v>
      </c>
    </row>
    <row r="1468" spans="1:8" x14ac:dyDescent="0.3">
      <c r="A1468" s="64" t="s">
        <v>3359</v>
      </c>
      <c r="B1468" s="64" t="s">
        <v>785</v>
      </c>
      <c r="C1468" s="64" t="s">
        <v>3069</v>
      </c>
      <c r="D1468" s="64" t="s">
        <v>1907</v>
      </c>
      <c r="E1468" s="64" t="s">
        <v>16</v>
      </c>
      <c r="F1468" s="64" t="s">
        <v>382</v>
      </c>
      <c r="G1468" s="64" t="s">
        <v>3102</v>
      </c>
      <c r="H1468" s="64" t="s">
        <v>3103</v>
      </c>
    </row>
    <row r="1469" spans="1:8" x14ac:dyDescent="0.3">
      <c r="A1469" s="64" t="s">
        <v>3360</v>
      </c>
      <c r="B1469" s="64" t="s">
        <v>785</v>
      </c>
      <c r="C1469" s="64" t="s">
        <v>3069</v>
      </c>
      <c r="D1469" s="64" t="s">
        <v>1907</v>
      </c>
      <c r="E1469" s="64" t="s">
        <v>16</v>
      </c>
      <c r="F1469" s="64" t="s">
        <v>383</v>
      </c>
      <c r="G1469" s="64" t="s">
        <v>3104</v>
      </c>
      <c r="H1469" s="64" t="s">
        <v>3105</v>
      </c>
    </row>
    <row r="1470" spans="1:8" x14ac:dyDescent="0.3">
      <c r="A1470" s="64" t="s">
        <v>3361</v>
      </c>
      <c r="B1470" s="64" t="s">
        <v>785</v>
      </c>
      <c r="C1470" s="64" t="s">
        <v>5159</v>
      </c>
      <c r="D1470" s="64" t="s">
        <v>1907</v>
      </c>
      <c r="E1470" s="64" t="s">
        <v>20</v>
      </c>
      <c r="F1470" s="64" t="s">
        <v>15</v>
      </c>
      <c r="G1470" s="64" t="s">
        <v>3106</v>
      </c>
      <c r="H1470" s="64" t="s">
        <v>3107</v>
      </c>
    </row>
    <row r="1471" spans="1:8" x14ac:dyDescent="0.3">
      <c r="A1471" s="64" t="s">
        <v>3362</v>
      </c>
      <c r="B1471" s="64" t="s">
        <v>785</v>
      </c>
      <c r="C1471" s="64" t="s">
        <v>5159</v>
      </c>
      <c r="D1471" s="64" t="s">
        <v>1907</v>
      </c>
      <c r="E1471" s="64" t="s">
        <v>16</v>
      </c>
      <c r="F1471" s="64" t="s">
        <v>368</v>
      </c>
      <c r="G1471" s="64" t="s">
        <v>3108</v>
      </c>
      <c r="H1471" s="64" t="s">
        <v>3109</v>
      </c>
    </row>
    <row r="1472" spans="1:8" x14ac:dyDescent="0.3">
      <c r="A1472" s="64" t="s">
        <v>3363</v>
      </c>
      <c r="B1472" s="64" t="s">
        <v>785</v>
      </c>
      <c r="C1472" s="64" t="s">
        <v>5159</v>
      </c>
      <c r="D1472" s="64" t="s">
        <v>1907</v>
      </c>
      <c r="E1472" s="64" t="s">
        <v>16</v>
      </c>
      <c r="F1472" s="64" t="s">
        <v>369</v>
      </c>
      <c r="G1472" s="64" t="s">
        <v>3108</v>
      </c>
      <c r="H1472" s="64" t="s">
        <v>3110</v>
      </c>
    </row>
    <row r="1473" spans="1:8" x14ac:dyDescent="0.3">
      <c r="A1473" s="64" t="s">
        <v>3364</v>
      </c>
      <c r="B1473" s="64" t="s">
        <v>785</v>
      </c>
      <c r="C1473" s="64" t="s">
        <v>5159</v>
      </c>
      <c r="D1473" s="64" t="s">
        <v>1907</v>
      </c>
      <c r="E1473" s="64" t="s">
        <v>16</v>
      </c>
      <c r="F1473" s="64" t="s">
        <v>370</v>
      </c>
      <c r="G1473" s="64" t="s">
        <v>3108</v>
      </c>
      <c r="H1473" s="64" t="s">
        <v>3111</v>
      </c>
    </row>
    <row r="1474" spans="1:8" x14ac:dyDescent="0.3">
      <c r="A1474" s="64" t="s">
        <v>3365</v>
      </c>
      <c r="B1474" s="64" t="s">
        <v>785</v>
      </c>
      <c r="C1474" s="64" t="s">
        <v>5159</v>
      </c>
      <c r="D1474" s="64" t="s">
        <v>1907</v>
      </c>
      <c r="E1474" s="64" t="s">
        <v>16</v>
      </c>
      <c r="F1474" s="64" t="s">
        <v>371</v>
      </c>
      <c r="G1474" s="64" t="s">
        <v>3108</v>
      </c>
      <c r="H1474" s="64" t="s">
        <v>3112</v>
      </c>
    </row>
    <row r="1475" spans="1:8" x14ac:dyDescent="0.3">
      <c r="A1475" s="64" t="s">
        <v>3366</v>
      </c>
      <c r="B1475" s="64" t="s">
        <v>785</v>
      </c>
      <c r="C1475" s="64" t="s">
        <v>5159</v>
      </c>
      <c r="D1475" s="64" t="s">
        <v>1907</v>
      </c>
      <c r="E1475" s="64" t="s">
        <v>16</v>
      </c>
      <c r="F1475" s="64" t="s">
        <v>372</v>
      </c>
      <c r="G1475" s="64" t="s">
        <v>3108</v>
      </c>
      <c r="H1475" s="64" t="s">
        <v>3113</v>
      </c>
    </row>
    <row r="1476" spans="1:8" x14ac:dyDescent="0.3">
      <c r="A1476" s="64" t="s">
        <v>3367</v>
      </c>
      <c r="B1476" s="64" t="s">
        <v>785</v>
      </c>
      <c r="C1476" s="64" t="s">
        <v>5159</v>
      </c>
      <c r="D1476" s="64" t="s">
        <v>1907</v>
      </c>
      <c r="E1476" s="64" t="s">
        <v>16</v>
      </c>
      <c r="F1476" s="64" t="s">
        <v>373</v>
      </c>
      <c r="G1476" s="64" t="s">
        <v>3108</v>
      </c>
      <c r="H1476" s="64" t="s">
        <v>3114</v>
      </c>
    </row>
    <row r="1477" spans="1:8" x14ac:dyDescent="0.3">
      <c r="A1477" s="64" t="s">
        <v>3368</v>
      </c>
      <c r="B1477" s="64" t="s">
        <v>785</v>
      </c>
      <c r="C1477" s="64" t="s">
        <v>5159</v>
      </c>
      <c r="D1477" s="64" t="s">
        <v>1907</v>
      </c>
      <c r="E1477" s="64" t="s">
        <v>16</v>
      </c>
      <c r="F1477" s="64" t="s">
        <v>374</v>
      </c>
      <c r="G1477" s="64" t="s">
        <v>3108</v>
      </c>
      <c r="H1477" s="64" t="s">
        <v>3115</v>
      </c>
    </row>
    <row r="1478" spans="1:8" x14ac:dyDescent="0.3">
      <c r="A1478" s="64" t="s">
        <v>3369</v>
      </c>
      <c r="B1478" s="64" t="s">
        <v>785</v>
      </c>
      <c r="C1478" s="64" t="s">
        <v>5159</v>
      </c>
      <c r="D1478" s="64" t="s">
        <v>1907</v>
      </c>
      <c r="E1478" s="64" t="s">
        <v>16</v>
      </c>
      <c r="F1478" s="64" t="s">
        <v>375</v>
      </c>
      <c r="G1478" s="64" t="s">
        <v>3108</v>
      </c>
      <c r="H1478" s="64" t="s">
        <v>3116</v>
      </c>
    </row>
    <row r="1479" spans="1:8" x14ac:dyDescent="0.3">
      <c r="A1479" s="64" t="s">
        <v>3370</v>
      </c>
      <c r="B1479" s="64" t="s">
        <v>785</v>
      </c>
      <c r="C1479" s="64" t="s">
        <v>5159</v>
      </c>
      <c r="D1479" s="64" t="s">
        <v>1907</v>
      </c>
      <c r="E1479" s="64" t="s">
        <v>16</v>
      </c>
      <c r="F1479" s="64" t="s">
        <v>376</v>
      </c>
      <c r="G1479" s="64" t="s">
        <v>3108</v>
      </c>
      <c r="H1479" s="64" t="s">
        <v>3117</v>
      </c>
    </row>
    <row r="1480" spans="1:8" x14ac:dyDescent="0.3">
      <c r="A1480" s="64" t="s">
        <v>3371</v>
      </c>
      <c r="B1480" s="64" t="s">
        <v>785</v>
      </c>
      <c r="C1480" s="64" t="s">
        <v>5159</v>
      </c>
      <c r="D1480" s="64" t="s">
        <v>1907</v>
      </c>
      <c r="E1480" s="64" t="s">
        <v>16</v>
      </c>
      <c r="F1480" s="64" t="s">
        <v>377</v>
      </c>
      <c r="G1480" s="64" t="s">
        <v>3108</v>
      </c>
      <c r="H1480" s="64" t="s">
        <v>3118</v>
      </c>
    </row>
    <row r="1481" spans="1:8" x14ac:dyDescent="0.3">
      <c r="A1481" s="64" t="s">
        <v>3372</v>
      </c>
      <c r="B1481" s="64" t="s">
        <v>785</v>
      </c>
      <c r="C1481" s="64" t="s">
        <v>5159</v>
      </c>
      <c r="D1481" s="64" t="s">
        <v>1907</v>
      </c>
      <c r="E1481" s="64" t="s">
        <v>16</v>
      </c>
      <c r="F1481" s="64" t="s">
        <v>378</v>
      </c>
      <c r="G1481" s="64" t="s">
        <v>3108</v>
      </c>
      <c r="H1481" s="64" t="s">
        <v>3119</v>
      </c>
    </row>
    <row r="1482" spans="1:8" x14ac:dyDescent="0.3">
      <c r="A1482" s="64" t="s">
        <v>3373</v>
      </c>
      <c r="B1482" s="64" t="s">
        <v>785</v>
      </c>
      <c r="C1482" s="64" t="s">
        <v>5159</v>
      </c>
      <c r="D1482" s="64" t="s">
        <v>1907</v>
      </c>
      <c r="E1482" s="64" t="s">
        <v>16</v>
      </c>
      <c r="F1482" s="64" t="s">
        <v>379</v>
      </c>
      <c r="G1482" s="64" t="s">
        <v>3108</v>
      </c>
      <c r="H1482" s="64" t="s">
        <v>3120</v>
      </c>
    </row>
    <row r="1483" spans="1:8" x14ac:dyDescent="0.3">
      <c r="A1483" s="64" t="s">
        <v>3374</v>
      </c>
      <c r="B1483" s="64" t="s">
        <v>785</v>
      </c>
      <c r="C1483" s="64" t="s">
        <v>5159</v>
      </c>
      <c r="D1483" s="64" t="s">
        <v>1907</v>
      </c>
      <c r="E1483" s="64" t="s">
        <v>16</v>
      </c>
      <c r="F1483" s="64" t="s">
        <v>380</v>
      </c>
      <c r="G1483" s="64" t="s">
        <v>3108</v>
      </c>
      <c r="H1483" s="64" t="s">
        <v>3121</v>
      </c>
    </row>
    <row r="1484" spans="1:8" x14ac:dyDescent="0.3">
      <c r="A1484" s="64" t="s">
        <v>3375</v>
      </c>
      <c r="B1484" s="64" t="s">
        <v>785</v>
      </c>
      <c r="C1484" s="64" t="s">
        <v>5159</v>
      </c>
      <c r="D1484" s="64" t="s">
        <v>1907</v>
      </c>
      <c r="E1484" s="64" t="s">
        <v>16</v>
      </c>
      <c r="F1484" s="64" t="s">
        <v>381</v>
      </c>
      <c r="G1484" s="64" t="s">
        <v>3108</v>
      </c>
      <c r="H1484" s="64" t="s">
        <v>3122</v>
      </c>
    </row>
    <row r="1485" spans="1:8" x14ac:dyDescent="0.3">
      <c r="A1485" s="64" t="s">
        <v>3376</v>
      </c>
      <c r="B1485" s="64" t="s">
        <v>785</v>
      </c>
      <c r="C1485" s="64" t="s">
        <v>5159</v>
      </c>
      <c r="D1485" s="64" t="s">
        <v>1907</v>
      </c>
      <c r="E1485" s="64" t="s">
        <v>16</v>
      </c>
      <c r="F1485" s="64" t="s">
        <v>382</v>
      </c>
      <c r="G1485" s="64" t="s">
        <v>3108</v>
      </c>
      <c r="H1485" s="64" t="s">
        <v>3123</v>
      </c>
    </row>
    <row r="1486" spans="1:8" x14ac:dyDescent="0.3">
      <c r="A1486" s="64" t="s">
        <v>3377</v>
      </c>
      <c r="B1486" s="64" t="s">
        <v>785</v>
      </c>
      <c r="C1486" s="64" t="s">
        <v>5159</v>
      </c>
      <c r="D1486" s="64" t="s">
        <v>1907</v>
      </c>
      <c r="E1486" s="64" t="s">
        <v>16</v>
      </c>
      <c r="F1486" s="64" t="s">
        <v>383</v>
      </c>
      <c r="G1486" s="64" t="s">
        <v>3108</v>
      </c>
      <c r="H1486" s="64" t="s">
        <v>3124</v>
      </c>
    </row>
    <row r="1487" spans="1:8" x14ac:dyDescent="0.3">
      <c r="A1487" s="64" t="s">
        <v>3378</v>
      </c>
      <c r="B1487" s="64" t="s">
        <v>785</v>
      </c>
      <c r="C1487" s="64" t="s">
        <v>3069</v>
      </c>
      <c r="D1487" s="64" t="s">
        <v>1907</v>
      </c>
      <c r="E1487" s="64" t="s">
        <v>20</v>
      </c>
      <c r="F1487" s="64" t="s">
        <v>15</v>
      </c>
      <c r="G1487" s="64" t="s">
        <v>3125</v>
      </c>
      <c r="H1487" s="64" t="s">
        <v>3126</v>
      </c>
    </row>
    <row r="1488" spans="1:8" x14ac:dyDescent="0.3">
      <c r="A1488" s="64" t="s">
        <v>3379</v>
      </c>
      <c r="B1488" s="64" t="s">
        <v>785</v>
      </c>
      <c r="C1488" s="64" t="s">
        <v>3069</v>
      </c>
      <c r="D1488" s="64" t="s">
        <v>1907</v>
      </c>
      <c r="E1488" s="64" t="s">
        <v>20</v>
      </c>
      <c r="F1488" s="64" t="s">
        <v>15</v>
      </c>
      <c r="G1488" s="64" t="s">
        <v>3127</v>
      </c>
      <c r="H1488" s="64" t="s">
        <v>3128</v>
      </c>
    </row>
    <row r="1489" spans="1:8" x14ac:dyDescent="0.3">
      <c r="A1489" s="64" t="s">
        <v>3380</v>
      </c>
      <c r="B1489" s="64" t="s">
        <v>785</v>
      </c>
      <c r="C1489" s="64" t="s">
        <v>3069</v>
      </c>
      <c r="D1489" s="64" t="s">
        <v>1907</v>
      </c>
      <c r="E1489" s="64" t="s">
        <v>16</v>
      </c>
      <c r="F1489" s="64" t="s">
        <v>368</v>
      </c>
      <c r="G1489" s="64" t="s">
        <v>3129</v>
      </c>
      <c r="H1489" s="64" t="s">
        <v>3130</v>
      </c>
    </row>
    <row r="1490" spans="1:8" x14ac:dyDescent="0.3">
      <c r="A1490" s="64" t="s">
        <v>3381</v>
      </c>
      <c r="B1490" s="64" t="s">
        <v>785</v>
      </c>
      <c r="C1490" s="64" t="s">
        <v>3069</v>
      </c>
      <c r="D1490" s="64" t="s">
        <v>1907</v>
      </c>
      <c r="E1490" s="64" t="s">
        <v>16</v>
      </c>
      <c r="F1490" s="64" t="s">
        <v>369</v>
      </c>
      <c r="G1490" s="64" t="s">
        <v>3131</v>
      </c>
      <c r="H1490" s="64" t="s">
        <v>3132</v>
      </c>
    </row>
    <row r="1491" spans="1:8" x14ac:dyDescent="0.3">
      <c r="A1491" s="64" t="s">
        <v>3382</v>
      </c>
      <c r="B1491" s="64" t="s">
        <v>785</v>
      </c>
      <c r="C1491" s="64" t="s">
        <v>3069</v>
      </c>
      <c r="D1491" s="64" t="s">
        <v>1907</v>
      </c>
      <c r="E1491" s="64" t="s">
        <v>16</v>
      </c>
      <c r="F1491" s="64" t="s">
        <v>370</v>
      </c>
      <c r="G1491" s="64" t="s">
        <v>3133</v>
      </c>
      <c r="H1491" s="64" t="s">
        <v>3134</v>
      </c>
    </row>
    <row r="1492" spans="1:8" x14ac:dyDescent="0.3">
      <c r="A1492" s="64" t="s">
        <v>3383</v>
      </c>
      <c r="B1492" s="64" t="s">
        <v>785</v>
      </c>
      <c r="C1492" s="64" t="s">
        <v>3069</v>
      </c>
      <c r="D1492" s="64" t="s">
        <v>1907</v>
      </c>
      <c r="E1492" s="64" t="s">
        <v>16</v>
      </c>
      <c r="F1492" s="64" t="s">
        <v>371</v>
      </c>
      <c r="G1492" s="64" t="s">
        <v>3135</v>
      </c>
      <c r="H1492" s="64" t="s">
        <v>3136</v>
      </c>
    </row>
    <row r="1493" spans="1:8" x14ac:dyDescent="0.3">
      <c r="A1493" s="64" t="s">
        <v>3384</v>
      </c>
      <c r="B1493" s="64" t="s">
        <v>785</v>
      </c>
      <c r="C1493" s="64" t="s">
        <v>3069</v>
      </c>
      <c r="D1493" s="64" t="s">
        <v>1907</v>
      </c>
      <c r="E1493" s="64" t="s">
        <v>16</v>
      </c>
      <c r="F1493" s="64" t="s">
        <v>372</v>
      </c>
      <c r="G1493" s="64" t="s">
        <v>3137</v>
      </c>
      <c r="H1493" s="64" t="s">
        <v>3138</v>
      </c>
    </row>
    <row r="1494" spans="1:8" x14ac:dyDescent="0.3">
      <c r="A1494" s="64" t="s">
        <v>3385</v>
      </c>
      <c r="B1494" s="64" t="s">
        <v>785</v>
      </c>
      <c r="C1494" s="64" t="s">
        <v>3069</v>
      </c>
      <c r="D1494" s="64" t="s">
        <v>1907</v>
      </c>
      <c r="E1494" s="64" t="s">
        <v>16</v>
      </c>
      <c r="F1494" s="64" t="s">
        <v>373</v>
      </c>
      <c r="G1494" s="64" t="s">
        <v>3139</v>
      </c>
      <c r="H1494" s="64" t="s">
        <v>3140</v>
      </c>
    </row>
    <row r="1495" spans="1:8" x14ac:dyDescent="0.3">
      <c r="A1495" s="64" t="s">
        <v>3386</v>
      </c>
      <c r="B1495" s="64" t="s">
        <v>785</v>
      </c>
      <c r="C1495" s="64" t="s">
        <v>3069</v>
      </c>
      <c r="D1495" s="64" t="s">
        <v>1907</v>
      </c>
      <c r="E1495" s="64" t="s">
        <v>16</v>
      </c>
      <c r="F1495" s="64" t="s">
        <v>374</v>
      </c>
      <c r="G1495" s="64" t="s">
        <v>3141</v>
      </c>
      <c r="H1495" s="64" t="s">
        <v>3142</v>
      </c>
    </row>
    <row r="1496" spans="1:8" x14ac:dyDescent="0.3">
      <c r="A1496" s="64" t="s">
        <v>3387</v>
      </c>
      <c r="B1496" s="64" t="s">
        <v>785</v>
      </c>
      <c r="C1496" s="64" t="s">
        <v>3069</v>
      </c>
      <c r="D1496" s="64" t="s">
        <v>1907</v>
      </c>
      <c r="E1496" s="64" t="s">
        <v>16</v>
      </c>
      <c r="F1496" s="64" t="s">
        <v>375</v>
      </c>
      <c r="G1496" s="64" t="s">
        <v>3143</v>
      </c>
      <c r="H1496" s="64" t="s">
        <v>3144</v>
      </c>
    </row>
    <row r="1497" spans="1:8" x14ac:dyDescent="0.3">
      <c r="A1497" s="64" t="s">
        <v>3388</v>
      </c>
      <c r="B1497" s="64" t="s">
        <v>785</v>
      </c>
      <c r="C1497" s="64" t="s">
        <v>3069</v>
      </c>
      <c r="D1497" s="64" t="s">
        <v>1907</v>
      </c>
      <c r="E1497" s="64" t="s">
        <v>16</v>
      </c>
      <c r="F1497" s="64" t="s">
        <v>376</v>
      </c>
      <c r="G1497" s="64" t="s">
        <v>3145</v>
      </c>
      <c r="H1497" s="64" t="s">
        <v>3146</v>
      </c>
    </row>
    <row r="1498" spans="1:8" x14ac:dyDescent="0.3">
      <c r="A1498" s="64" t="s">
        <v>3389</v>
      </c>
      <c r="B1498" s="64" t="s">
        <v>785</v>
      </c>
      <c r="C1498" s="64" t="s">
        <v>3069</v>
      </c>
      <c r="D1498" s="64" t="s">
        <v>1907</v>
      </c>
      <c r="E1498" s="64" t="s">
        <v>16</v>
      </c>
      <c r="F1498" s="64" t="s">
        <v>377</v>
      </c>
      <c r="G1498" s="64" t="s">
        <v>3147</v>
      </c>
      <c r="H1498" s="64" t="s">
        <v>3148</v>
      </c>
    </row>
    <row r="1499" spans="1:8" x14ac:dyDescent="0.3">
      <c r="A1499" s="64" t="s">
        <v>3390</v>
      </c>
      <c r="B1499" s="64" t="s">
        <v>785</v>
      </c>
      <c r="C1499" s="64" t="s">
        <v>3069</v>
      </c>
      <c r="D1499" s="64" t="s">
        <v>1907</v>
      </c>
      <c r="E1499" s="64" t="s">
        <v>16</v>
      </c>
      <c r="F1499" s="64" t="s">
        <v>378</v>
      </c>
      <c r="G1499" s="64" t="s">
        <v>3149</v>
      </c>
      <c r="H1499" s="64" t="s">
        <v>3150</v>
      </c>
    </row>
    <row r="1500" spans="1:8" x14ac:dyDescent="0.3">
      <c r="A1500" s="64" t="s">
        <v>3391</v>
      </c>
      <c r="B1500" s="64" t="s">
        <v>785</v>
      </c>
      <c r="C1500" s="64" t="s">
        <v>3069</v>
      </c>
      <c r="D1500" s="64" t="s">
        <v>1907</v>
      </c>
      <c r="E1500" s="64" t="s">
        <v>16</v>
      </c>
      <c r="F1500" s="64" t="s">
        <v>379</v>
      </c>
      <c r="G1500" s="64" t="s">
        <v>3151</v>
      </c>
      <c r="H1500" s="64" t="s">
        <v>3152</v>
      </c>
    </row>
    <row r="1501" spans="1:8" x14ac:dyDescent="0.3">
      <c r="A1501" s="64" t="s">
        <v>3392</v>
      </c>
      <c r="B1501" s="64" t="s">
        <v>785</v>
      </c>
      <c r="C1501" s="64" t="s">
        <v>3069</v>
      </c>
      <c r="D1501" s="64" t="s">
        <v>1907</v>
      </c>
      <c r="E1501" s="64" t="s">
        <v>16</v>
      </c>
      <c r="F1501" s="64" t="s">
        <v>380</v>
      </c>
      <c r="G1501" s="64" t="s">
        <v>3153</v>
      </c>
      <c r="H1501" s="64" t="s">
        <v>3154</v>
      </c>
    </row>
    <row r="1502" spans="1:8" x14ac:dyDescent="0.3">
      <c r="A1502" s="64" t="s">
        <v>3393</v>
      </c>
      <c r="B1502" s="64" t="s">
        <v>785</v>
      </c>
      <c r="C1502" s="64" t="s">
        <v>3069</v>
      </c>
      <c r="D1502" s="64" t="s">
        <v>1907</v>
      </c>
      <c r="E1502" s="64" t="s">
        <v>16</v>
      </c>
      <c r="F1502" s="64" t="s">
        <v>381</v>
      </c>
      <c r="G1502" s="64" t="s">
        <v>3155</v>
      </c>
      <c r="H1502" s="64" t="s">
        <v>3156</v>
      </c>
    </row>
    <row r="1503" spans="1:8" x14ac:dyDescent="0.3">
      <c r="A1503" s="64" t="s">
        <v>3394</v>
      </c>
      <c r="B1503" s="64" t="s">
        <v>785</v>
      </c>
      <c r="C1503" s="64" t="s">
        <v>3069</v>
      </c>
      <c r="D1503" s="64" t="s">
        <v>1907</v>
      </c>
      <c r="E1503" s="64" t="s">
        <v>16</v>
      </c>
      <c r="F1503" s="64" t="s">
        <v>382</v>
      </c>
      <c r="G1503" s="64" t="s">
        <v>3157</v>
      </c>
      <c r="H1503" s="64" t="s">
        <v>3158</v>
      </c>
    </row>
    <row r="1504" spans="1:8" x14ac:dyDescent="0.3">
      <c r="A1504" s="64" t="s">
        <v>3395</v>
      </c>
      <c r="B1504" s="64" t="s">
        <v>785</v>
      </c>
      <c r="C1504" s="64" t="s">
        <v>3069</v>
      </c>
      <c r="D1504" s="64" t="s">
        <v>1907</v>
      </c>
      <c r="E1504" s="64" t="s">
        <v>16</v>
      </c>
      <c r="F1504" s="64" t="s">
        <v>383</v>
      </c>
      <c r="G1504" s="64" t="s">
        <v>3159</v>
      </c>
      <c r="H1504" s="64" t="s">
        <v>3160</v>
      </c>
    </row>
    <row r="1505" spans="1:8" x14ac:dyDescent="0.3">
      <c r="A1505" s="64" t="s">
        <v>3396</v>
      </c>
      <c r="B1505" s="64" t="s">
        <v>785</v>
      </c>
      <c r="C1505" s="64" t="s">
        <v>1369</v>
      </c>
      <c r="D1505" s="64" t="s">
        <v>1907</v>
      </c>
      <c r="E1505" s="64" t="s">
        <v>20</v>
      </c>
      <c r="F1505" s="64" t="s">
        <v>15</v>
      </c>
      <c r="G1505" s="64" t="s">
        <v>3161</v>
      </c>
      <c r="H1505" s="64" t="s">
        <v>3162</v>
      </c>
    </row>
    <row r="1506" spans="1:8" x14ac:dyDescent="0.3">
      <c r="A1506" s="64" t="s">
        <v>3397</v>
      </c>
      <c r="B1506" s="64" t="s">
        <v>785</v>
      </c>
      <c r="C1506" s="64" t="s">
        <v>1369</v>
      </c>
      <c r="D1506" s="64" t="s">
        <v>1907</v>
      </c>
      <c r="E1506" s="64" t="s">
        <v>16</v>
      </c>
      <c r="F1506" s="64" t="s">
        <v>368</v>
      </c>
      <c r="G1506" s="64" t="s">
        <v>3269</v>
      </c>
      <c r="H1506" s="64" t="s">
        <v>3163</v>
      </c>
    </row>
    <row r="1507" spans="1:8" x14ac:dyDescent="0.3">
      <c r="A1507" s="64" t="s">
        <v>3398</v>
      </c>
      <c r="B1507" s="64" t="s">
        <v>785</v>
      </c>
      <c r="C1507" s="64" t="s">
        <v>1369</v>
      </c>
      <c r="D1507" s="64" t="s">
        <v>1907</v>
      </c>
      <c r="E1507" s="64" t="s">
        <v>16</v>
      </c>
      <c r="F1507" s="64" t="s">
        <v>369</v>
      </c>
      <c r="G1507" s="64" t="s">
        <v>3270</v>
      </c>
      <c r="H1507" s="64" t="s">
        <v>3164</v>
      </c>
    </row>
    <row r="1508" spans="1:8" x14ac:dyDescent="0.3">
      <c r="A1508" s="64" t="s">
        <v>3399</v>
      </c>
      <c r="B1508" s="64" t="s">
        <v>785</v>
      </c>
      <c r="C1508" s="64" t="s">
        <v>1369</v>
      </c>
      <c r="D1508" s="64" t="s">
        <v>1907</v>
      </c>
      <c r="E1508" s="64" t="s">
        <v>16</v>
      </c>
      <c r="F1508" s="64" t="s">
        <v>370</v>
      </c>
      <c r="G1508" s="64" t="s">
        <v>3271</v>
      </c>
      <c r="H1508" s="64" t="s">
        <v>3165</v>
      </c>
    </row>
    <row r="1509" spans="1:8" x14ac:dyDescent="0.3">
      <c r="A1509" s="64" t="s">
        <v>3400</v>
      </c>
      <c r="B1509" s="64" t="s">
        <v>785</v>
      </c>
      <c r="C1509" s="64" t="s">
        <v>1369</v>
      </c>
      <c r="D1509" s="64" t="s">
        <v>1907</v>
      </c>
      <c r="E1509" s="64" t="s">
        <v>16</v>
      </c>
      <c r="F1509" s="64" t="s">
        <v>371</v>
      </c>
      <c r="G1509" s="64" t="s">
        <v>3272</v>
      </c>
      <c r="H1509" s="64" t="s">
        <v>3166</v>
      </c>
    </row>
    <row r="1510" spans="1:8" x14ac:dyDescent="0.3">
      <c r="A1510" s="64" t="s">
        <v>3401</v>
      </c>
      <c r="B1510" s="64" t="s">
        <v>785</v>
      </c>
      <c r="C1510" s="64" t="s">
        <v>1369</v>
      </c>
      <c r="D1510" s="64" t="s">
        <v>1907</v>
      </c>
      <c r="E1510" s="64" t="s">
        <v>16</v>
      </c>
      <c r="F1510" s="64" t="s">
        <v>372</v>
      </c>
      <c r="G1510" s="64" t="s">
        <v>3273</v>
      </c>
      <c r="H1510" s="64" t="s">
        <v>3167</v>
      </c>
    </row>
    <row r="1511" spans="1:8" x14ac:dyDescent="0.3">
      <c r="A1511" s="64" t="s">
        <v>3402</v>
      </c>
      <c r="B1511" s="64" t="s">
        <v>785</v>
      </c>
      <c r="C1511" s="64" t="s">
        <v>1369</v>
      </c>
      <c r="D1511" s="64" t="s">
        <v>1907</v>
      </c>
      <c r="E1511" s="64" t="s">
        <v>16</v>
      </c>
      <c r="F1511" s="64" t="s">
        <v>373</v>
      </c>
      <c r="G1511" s="64" t="s">
        <v>3274</v>
      </c>
      <c r="H1511" s="64" t="s">
        <v>3168</v>
      </c>
    </row>
    <row r="1512" spans="1:8" x14ac:dyDescent="0.3">
      <c r="A1512" s="64" t="s">
        <v>3403</v>
      </c>
      <c r="B1512" s="64" t="s">
        <v>785</v>
      </c>
      <c r="C1512" s="64" t="s">
        <v>1369</v>
      </c>
      <c r="D1512" s="64" t="s">
        <v>1907</v>
      </c>
      <c r="E1512" s="64" t="s">
        <v>16</v>
      </c>
      <c r="F1512" s="64" t="s">
        <v>374</v>
      </c>
      <c r="G1512" s="64" t="s">
        <v>3275</v>
      </c>
      <c r="H1512" s="64" t="s">
        <v>3169</v>
      </c>
    </row>
    <row r="1513" spans="1:8" x14ac:dyDescent="0.3">
      <c r="A1513" s="64" t="s">
        <v>3404</v>
      </c>
      <c r="B1513" s="64" t="s">
        <v>785</v>
      </c>
      <c r="C1513" s="64" t="s">
        <v>1369</v>
      </c>
      <c r="D1513" s="64" t="s">
        <v>1907</v>
      </c>
      <c r="E1513" s="64" t="s">
        <v>16</v>
      </c>
      <c r="F1513" s="64" t="s">
        <v>375</v>
      </c>
      <c r="G1513" s="64" t="s">
        <v>3276</v>
      </c>
      <c r="H1513" s="64" t="s">
        <v>3170</v>
      </c>
    </row>
    <row r="1514" spans="1:8" x14ac:dyDescent="0.3">
      <c r="A1514" s="64" t="s">
        <v>3405</v>
      </c>
      <c r="B1514" s="64" t="s">
        <v>785</v>
      </c>
      <c r="C1514" s="64" t="s">
        <v>1369</v>
      </c>
      <c r="D1514" s="64" t="s">
        <v>1907</v>
      </c>
      <c r="E1514" s="64" t="s">
        <v>16</v>
      </c>
      <c r="F1514" s="64" t="s">
        <v>376</v>
      </c>
      <c r="G1514" s="64" t="s">
        <v>3277</v>
      </c>
      <c r="H1514" s="64" t="s">
        <v>3171</v>
      </c>
    </row>
    <row r="1515" spans="1:8" x14ac:dyDescent="0.3">
      <c r="A1515" s="64" t="s">
        <v>3406</v>
      </c>
      <c r="B1515" s="64" t="s">
        <v>785</v>
      </c>
      <c r="C1515" s="64" t="s">
        <v>1369</v>
      </c>
      <c r="D1515" s="64" t="s">
        <v>1907</v>
      </c>
      <c r="E1515" s="64" t="s">
        <v>16</v>
      </c>
      <c r="F1515" s="64" t="s">
        <v>377</v>
      </c>
      <c r="G1515" s="64" t="s">
        <v>3278</v>
      </c>
      <c r="H1515" s="64" t="s">
        <v>3172</v>
      </c>
    </row>
    <row r="1516" spans="1:8" x14ac:dyDescent="0.3">
      <c r="A1516" s="64" t="s">
        <v>3407</v>
      </c>
      <c r="B1516" s="64" t="s">
        <v>785</v>
      </c>
      <c r="C1516" s="64" t="s">
        <v>1369</v>
      </c>
      <c r="D1516" s="64" t="s">
        <v>1907</v>
      </c>
      <c r="E1516" s="64" t="s">
        <v>16</v>
      </c>
      <c r="F1516" s="64" t="s">
        <v>378</v>
      </c>
      <c r="G1516" s="64" t="s">
        <v>3279</v>
      </c>
      <c r="H1516" s="64" t="s">
        <v>3173</v>
      </c>
    </row>
    <row r="1517" spans="1:8" x14ac:dyDescent="0.3">
      <c r="A1517" s="64" t="s">
        <v>3408</v>
      </c>
      <c r="B1517" s="64" t="s">
        <v>785</v>
      </c>
      <c r="C1517" s="64" t="s">
        <v>1369</v>
      </c>
      <c r="D1517" s="64" t="s">
        <v>1907</v>
      </c>
      <c r="E1517" s="64" t="s">
        <v>16</v>
      </c>
      <c r="F1517" s="64" t="s">
        <v>379</v>
      </c>
      <c r="G1517" s="64" t="s">
        <v>3280</v>
      </c>
      <c r="H1517" s="64" t="s">
        <v>3174</v>
      </c>
    </row>
    <row r="1518" spans="1:8" x14ac:dyDescent="0.3">
      <c r="A1518" s="64" t="s">
        <v>3409</v>
      </c>
      <c r="B1518" s="64" t="s">
        <v>785</v>
      </c>
      <c r="C1518" s="64" t="s">
        <v>1369</v>
      </c>
      <c r="D1518" s="64" t="s">
        <v>1907</v>
      </c>
      <c r="E1518" s="64" t="s">
        <v>16</v>
      </c>
      <c r="F1518" s="64" t="s">
        <v>380</v>
      </c>
      <c r="G1518" s="64" t="s">
        <v>3281</v>
      </c>
      <c r="H1518" s="64" t="s">
        <v>3175</v>
      </c>
    </row>
    <row r="1519" spans="1:8" x14ac:dyDescent="0.3">
      <c r="A1519" s="64" t="s">
        <v>3410</v>
      </c>
      <c r="B1519" s="64" t="s">
        <v>785</v>
      </c>
      <c r="C1519" s="64" t="s">
        <v>1369</v>
      </c>
      <c r="D1519" s="64" t="s">
        <v>1907</v>
      </c>
      <c r="E1519" s="64" t="s">
        <v>16</v>
      </c>
      <c r="F1519" s="64" t="s">
        <v>381</v>
      </c>
      <c r="G1519" s="64" t="s">
        <v>3282</v>
      </c>
      <c r="H1519" s="64" t="s">
        <v>3176</v>
      </c>
    </row>
    <row r="1520" spans="1:8" x14ac:dyDescent="0.3">
      <c r="A1520" s="64" t="s">
        <v>3411</v>
      </c>
      <c r="B1520" s="64" t="s">
        <v>785</v>
      </c>
      <c r="C1520" s="64" t="s">
        <v>1369</v>
      </c>
      <c r="D1520" s="64" t="s">
        <v>1907</v>
      </c>
      <c r="E1520" s="64" t="s">
        <v>16</v>
      </c>
      <c r="F1520" s="64" t="s">
        <v>382</v>
      </c>
      <c r="G1520" s="64" t="s">
        <v>3283</v>
      </c>
      <c r="H1520" s="64" t="s">
        <v>3177</v>
      </c>
    </row>
    <row r="1521" spans="1:8" x14ac:dyDescent="0.3">
      <c r="A1521" s="64" t="s">
        <v>3412</v>
      </c>
      <c r="B1521" s="64" t="s">
        <v>785</v>
      </c>
      <c r="C1521" s="64" t="s">
        <v>1369</v>
      </c>
      <c r="D1521" s="64" t="s">
        <v>1907</v>
      </c>
      <c r="E1521" s="64" t="s">
        <v>16</v>
      </c>
      <c r="F1521" s="64" t="s">
        <v>383</v>
      </c>
      <c r="G1521" s="64" t="s">
        <v>3284</v>
      </c>
      <c r="H1521" s="64" t="s">
        <v>3178</v>
      </c>
    </row>
    <row r="1522" spans="1:8" x14ac:dyDescent="0.3">
      <c r="A1522" s="64" t="s">
        <v>3413</v>
      </c>
      <c r="B1522" s="64" t="s">
        <v>404</v>
      </c>
      <c r="C1522" s="64" t="s">
        <v>3179</v>
      </c>
      <c r="D1522" s="64" t="s">
        <v>1884</v>
      </c>
      <c r="E1522" s="64" t="s">
        <v>20</v>
      </c>
      <c r="F1522" s="64" t="s">
        <v>15</v>
      </c>
      <c r="G1522" s="64" t="s">
        <v>3184</v>
      </c>
      <c r="H1522" s="64" t="s">
        <v>3185</v>
      </c>
    </row>
    <row r="1523" spans="1:8" x14ac:dyDescent="0.3">
      <c r="A1523" s="64" t="s">
        <v>3414</v>
      </c>
      <c r="B1523" s="64" t="s">
        <v>404</v>
      </c>
      <c r="C1523" s="64" t="s">
        <v>3186</v>
      </c>
      <c r="D1523" s="64" t="s">
        <v>1884</v>
      </c>
      <c r="E1523" s="64" t="s">
        <v>20</v>
      </c>
      <c r="F1523" s="64" t="s">
        <v>15</v>
      </c>
      <c r="G1523" s="64" t="s">
        <v>3187</v>
      </c>
      <c r="H1523" s="64" t="s">
        <v>3188</v>
      </c>
    </row>
    <row r="1524" spans="1:8" x14ac:dyDescent="0.3">
      <c r="A1524" s="64" t="s">
        <v>3415</v>
      </c>
      <c r="B1524" s="64" t="s">
        <v>404</v>
      </c>
      <c r="C1524" s="64" t="s">
        <v>3189</v>
      </c>
      <c r="D1524" s="64" t="s">
        <v>1884</v>
      </c>
      <c r="E1524" s="64" t="s">
        <v>20</v>
      </c>
      <c r="F1524" s="64" t="s">
        <v>15</v>
      </c>
      <c r="G1524" s="64" t="s">
        <v>3190</v>
      </c>
      <c r="H1524" s="64" t="s">
        <v>3191</v>
      </c>
    </row>
    <row r="1525" spans="1:8" x14ac:dyDescent="0.3">
      <c r="A1525" s="64" t="s">
        <v>3416</v>
      </c>
      <c r="B1525" s="64" t="s">
        <v>823</v>
      </c>
      <c r="C1525" s="64" t="s">
        <v>3192</v>
      </c>
      <c r="D1525" s="64" t="s">
        <v>3193</v>
      </c>
      <c r="E1525" s="64" t="s">
        <v>20</v>
      </c>
      <c r="F1525" s="64" t="s">
        <v>15</v>
      </c>
      <c r="G1525" s="64" t="s">
        <v>3196</v>
      </c>
      <c r="H1525" s="64" t="s">
        <v>3197</v>
      </c>
    </row>
    <row r="1526" spans="1:8" x14ac:dyDescent="0.3">
      <c r="A1526" s="64" t="s">
        <v>3417</v>
      </c>
      <c r="B1526" s="64" t="s">
        <v>823</v>
      </c>
      <c r="C1526" s="64" t="s">
        <v>3192</v>
      </c>
      <c r="D1526" s="64" t="s">
        <v>3193</v>
      </c>
      <c r="E1526" s="64" t="s">
        <v>16</v>
      </c>
      <c r="F1526" s="64" t="s">
        <v>368</v>
      </c>
      <c r="G1526" s="64" t="s">
        <v>3285</v>
      </c>
      <c r="H1526" s="64" t="s">
        <v>5445</v>
      </c>
    </row>
    <row r="1527" spans="1:8" x14ac:dyDescent="0.3">
      <c r="A1527" s="64" t="s">
        <v>3418</v>
      </c>
      <c r="B1527" s="64" t="s">
        <v>823</v>
      </c>
      <c r="C1527" s="64" t="s">
        <v>3192</v>
      </c>
      <c r="D1527" s="64" t="s">
        <v>3193</v>
      </c>
      <c r="E1527" s="64" t="s">
        <v>16</v>
      </c>
      <c r="F1527" s="64" t="s">
        <v>369</v>
      </c>
      <c r="G1527" s="64" t="s">
        <v>3286</v>
      </c>
      <c r="H1527" s="64" t="s">
        <v>5446</v>
      </c>
    </row>
    <row r="1528" spans="1:8" x14ac:dyDescent="0.3">
      <c r="A1528" s="64" t="s">
        <v>3419</v>
      </c>
      <c r="B1528" s="64" t="s">
        <v>823</v>
      </c>
      <c r="C1528" s="64" t="s">
        <v>3192</v>
      </c>
      <c r="D1528" s="64" t="s">
        <v>3193</v>
      </c>
      <c r="E1528" s="64" t="s">
        <v>16</v>
      </c>
      <c r="F1528" s="64" t="s">
        <v>370</v>
      </c>
      <c r="G1528" s="64" t="s">
        <v>3287</v>
      </c>
      <c r="H1528" s="64" t="s">
        <v>5447</v>
      </c>
    </row>
    <row r="1529" spans="1:8" x14ac:dyDescent="0.3">
      <c r="A1529" s="64" t="s">
        <v>3420</v>
      </c>
      <c r="B1529" s="64" t="s">
        <v>823</v>
      </c>
      <c r="C1529" s="64" t="s">
        <v>3192</v>
      </c>
      <c r="D1529" s="64" t="s">
        <v>3193</v>
      </c>
      <c r="E1529" s="64" t="s">
        <v>16</v>
      </c>
      <c r="F1529" s="64" t="s">
        <v>371</v>
      </c>
      <c r="G1529" s="64" t="s">
        <v>3288</v>
      </c>
      <c r="H1529" s="64" t="s">
        <v>5448</v>
      </c>
    </row>
    <row r="1530" spans="1:8" x14ac:dyDescent="0.3">
      <c r="A1530" s="64" t="s">
        <v>3421</v>
      </c>
      <c r="B1530" s="64" t="s">
        <v>823</v>
      </c>
      <c r="C1530" s="64" t="s">
        <v>3192</v>
      </c>
      <c r="D1530" s="64" t="s">
        <v>3193</v>
      </c>
      <c r="E1530" s="64" t="s">
        <v>20</v>
      </c>
      <c r="F1530" s="64" t="s">
        <v>15</v>
      </c>
      <c r="G1530" s="64" t="s">
        <v>5449</v>
      </c>
      <c r="H1530" s="64" t="s">
        <v>3199</v>
      </c>
    </row>
    <row r="1531" spans="1:8" x14ac:dyDescent="0.3">
      <c r="A1531" s="64" t="s">
        <v>3422</v>
      </c>
      <c r="B1531" s="64" t="s">
        <v>823</v>
      </c>
      <c r="C1531" s="64" t="s">
        <v>3192</v>
      </c>
      <c r="D1531" s="64" t="s">
        <v>3193</v>
      </c>
      <c r="E1531" s="64" t="s">
        <v>16</v>
      </c>
      <c r="F1531" s="64" t="s">
        <v>368</v>
      </c>
      <c r="G1531" s="64" t="s">
        <v>6962</v>
      </c>
      <c r="H1531" s="64" t="s">
        <v>5450</v>
      </c>
    </row>
    <row r="1532" spans="1:8" x14ac:dyDescent="0.3">
      <c r="A1532" s="64" t="s">
        <v>3423</v>
      </c>
      <c r="B1532" s="64" t="s">
        <v>823</v>
      </c>
      <c r="C1532" s="64" t="s">
        <v>3192</v>
      </c>
      <c r="D1532" s="64" t="s">
        <v>3193</v>
      </c>
      <c r="E1532" s="64" t="s">
        <v>16</v>
      </c>
      <c r="F1532" s="64" t="s">
        <v>369</v>
      </c>
      <c r="G1532" s="64" t="s">
        <v>3200</v>
      </c>
      <c r="H1532" s="64" t="s">
        <v>5451</v>
      </c>
    </row>
    <row r="1533" spans="1:8" x14ac:dyDescent="0.3">
      <c r="A1533" s="64" t="s">
        <v>3424</v>
      </c>
      <c r="B1533" s="64" t="s">
        <v>823</v>
      </c>
      <c r="C1533" s="64" t="s">
        <v>3192</v>
      </c>
      <c r="D1533" s="64" t="s">
        <v>3193</v>
      </c>
      <c r="E1533" s="64" t="s">
        <v>16</v>
      </c>
      <c r="F1533" s="64" t="s">
        <v>370</v>
      </c>
      <c r="G1533" s="64" t="s">
        <v>3201</v>
      </c>
      <c r="H1533" s="64" t="s">
        <v>5452</v>
      </c>
    </row>
    <row r="1534" spans="1:8" x14ac:dyDescent="0.3">
      <c r="A1534" s="64" t="s">
        <v>3425</v>
      </c>
      <c r="B1534" s="64" t="s">
        <v>823</v>
      </c>
      <c r="C1534" s="64" t="s">
        <v>3192</v>
      </c>
      <c r="D1534" s="64" t="s">
        <v>3193</v>
      </c>
      <c r="E1534" s="64" t="s">
        <v>16</v>
      </c>
      <c r="F1534" s="64" t="s">
        <v>371</v>
      </c>
      <c r="G1534" s="64" t="s">
        <v>3198</v>
      </c>
      <c r="H1534" s="64" t="s">
        <v>5453</v>
      </c>
    </row>
    <row r="1535" spans="1:8" x14ac:dyDescent="0.3">
      <c r="A1535" s="64" t="s">
        <v>3426</v>
      </c>
      <c r="B1535" s="64" t="s">
        <v>823</v>
      </c>
      <c r="C1535" s="64" t="s">
        <v>3192</v>
      </c>
      <c r="D1535" s="64" t="s">
        <v>3193</v>
      </c>
      <c r="E1535" s="64" t="s">
        <v>16</v>
      </c>
      <c r="F1535" s="64" t="s">
        <v>372</v>
      </c>
      <c r="G1535" s="64" t="s">
        <v>3202</v>
      </c>
      <c r="H1535" s="64" t="s">
        <v>5454</v>
      </c>
    </row>
    <row r="1536" spans="1:8" x14ac:dyDescent="0.3">
      <c r="A1536" s="64" t="s">
        <v>3427</v>
      </c>
      <c r="B1536" s="64" t="s">
        <v>823</v>
      </c>
      <c r="C1536" s="64" t="s">
        <v>3192</v>
      </c>
      <c r="D1536" s="64" t="s">
        <v>3193</v>
      </c>
      <c r="E1536" s="64" t="s">
        <v>20</v>
      </c>
      <c r="F1536" s="64" t="s">
        <v>15</v>
      </c>
      <c r="G1536" s="64" t="s">
        <v>3203</v>
      </c>
      <c r="H1536" s="64" t="s">
        <v>3204</v>
      </c>
    </row>
    <row r="1537" spans="1:8" x14ac:dyDescent="0.3">
      <c r="A1537" s="64" t="s">
        <v>3428</v>
      </c>
      <c r="B1537" s="64" t="s">
        <v>823</v>
      </c>
      <c r="C1537" s="64" t="s">
        <v>3192</v>
      </c>
      <c r="D1537" s="64" t="s">
        <v>3193</v>
      </c>
      <c r="E1537" s="64" t="s">
        <v>20</v>
      </c>
      <c r="F1537" s="64" t="s">
        <v>15</v>
      </c>
      <c r="G1537" s="64" t="s">
        <v>3205</v>
      </c>
      <c r="H1537" s="64" t="s">
        <v>3206</v>
      </c>
    </row>
    <row r="1538" spans="1:8" x14ac:dyDescent="0.3">
      <c r="A1538" s="64" t="s">
        <v>3429</v>
      </c>
      <c r="B1538" s="64" t="s">
        <v>3207</v>
      </c>
      <c r="C1538" s="64" t="s">
        <v>3208</v>
      </c>
      <c r="D1538" s="64" t="s">
        <v>3207</v>
      </c>
      <c r="E1538" s="64" t="s">
        <v>20</v>
      </c>
      <c r="F1538" s="64" t="s">
        <v>15</v>
      </c>
      <c r="G1538" s="64" t="s">
        <v>3211</v>
      </c>
      <c r="H1538" s="64" t="s">
        <v>5455</v>
      </c>
    </row>
    <row r="1539" spans="1:8" x14ac:dyDescent="0.3">
      <c r="A1539" s="64" t="s">
        <v>3430</v>
      </c>
      <c r="B1539" s="64" t="s">
        <v>3207</v>
      </c>
      <c r="C1539" s="64" t="s">
        <v>3208</v>
      </c>
      <c r="D1539" s="64" t="s">
        <v>3207</v>
      </c>
      <c r="E1539" s="64" t="s">
        <v>16</v>
      </c>
      <c r="F1539" s="64" t="s">
        <v>368</v>
      </c>
      <c r="G1539" s="64" t="s">
        <v>3289</v>
      </c>
      <c r="H1539" s="64" t="s">
        <v>9139</v>
      </c>
    </row>
    <row r="1540" spans="1:8" x14ac:dyDescent="0.3">
      <c r="A1540" s="64" t="s">
        <v>3431</v>
      </c>
      <c r="B1540" s="64" t="s">
        <v>3207</v>
      </c>
      <c r="C1540" s="64" t="s">
        <v>3208</v>
      </c>
      <c r="D1540" s="64" t="s">
        <v>3207</v>
      </c>
      <c r="E1540" s="64" t="s">
        <v>16</v>
      </c>
      <c r="F1540" s="64" t="s">
        <v>369</v>
      </c>
      <c r="G1540" s="64" t="s">
        <v>3290</v>
      </c>
      <c r="H1540" s="64" t="s">
        <v>9140</v>
      </c>
    </row>
    <row r="1541" spans="1:8" x14ac:dyDescent="0.3">
      <c r="A1541" s="64" t="s">
        <v>3432</v>
      </c>
      <c r="B1541" s="64" t="s">
        <v>3207</v>
      </c>
      <c r="C1541" s="64" t="s">
        <v>3208</v>
      </c>
      <c r="D1541" s="64" t="s">
        <v>3207</v>
      </c>
      <c r="E1541" s="64" t="s">
        <v>16</v>
      </c>
      <c r="F1541" s="64" t="s">
        <v>370</v>
      </c>
      <c r="G1541" s="64" t="s">
        <v>3291</v>
      </c>
      <c r="H1541" s="64" t="s">
        <v>9141</v>
      </c>
    </row>
    <row r="1542" spans="1:8" x14ac:dyDescent="0.3">
      <c r="A1542" s="64" t="s">
        <v>3433</v>
      </c>
      <c r="B1542" s="64" t="s">
        <v>3207</v>
      </c>
      <c r="C1542" s="64" t="s">
        <v>3208</v>
      </c>
      <c r="D1542" s="64" t="s">
        <v>3207</v>
      </c>
      <c r="E1542" s="64" t="s">
        <v>16</v>
      </c>
      <c r="F1542" s="64" t="s">
        <v>371</v>
      </c>
      <c r="G1542" s="64" t="s">
        <v>3292</v>
      </c>
      <c r="H1542" s="64" t="s">
        <v>9142</v>
      </c>
    </row>
    <row r="1543" spans="1:8" x14ac:dyDescent="0.3">
      <c r="A1543" s="64" t="s">
        <v>3434</v>
      </c>
      <c r="B1543" s="64" t="s">
        <v>3207</v>
      </c>
      <c r="C1543" s="64" t="s">
        <v>3208</v>
      </c>
      <c r="D1543" s="64" t="s">
        <v>3207</v>
      </c>
      <c r="E1543" s="64" t="s">
        <v>16</v>
      </c>
      <c r="F1543" s="64" t="s">
        <v>372</v>
      </c>
      <c r="G1543" s="64" t="s">
        <v>3293</v>
      </c>
      <c r="H1543" s="64" t="s">
        <v>9143</v>
      </c>
    </row>
    <row r="1544" spans="1:8" x14ac:dyDescent="0.3">
      <c r="A1544" s="64" t="s">
        <v>3435</v>
      </c>
      <c r="B1544" s="64" t="s">
        <v>3207</v>
      </c>
      <c r="C1544" s="64" t="s">
        <v>3208</v>
      </c>
      <c r="D1544" s="64" t="s">
        <v>3207</v>
      </c>
      <c r="E1544" s="64" t="s">
        <v>16</v>
      </c>
      <c r="F1544" s="64" t="s">
        <v>373</v>
      </c>
      <c r="G1544" s="64" t="s">
        <v>3294</v>
      </c>
      <c r="H1544" s="64" t="s">
        <v>9144</v>
      </c>
    </row>
    <row r="1545" spans="1:8" x14ac:dyDescent="0.3">
      <c r="A1545" s="64" t="s">
        <v>3436</v>
      </c>
      <c r="B1545" s="64" t="s">
        <v>3207</v>
      </c>
      <c r="C1545" s="64" t="s">
        <v>3208</v>
      </c>
      <c r="D1545" s="64" t="s">
        <v>3207</v>
      </c>
      <c r="E1545" s="64" t="s">
        <v>16</v>
      </c>
      <c r="F1545" s="64" t="s">
        <v>374</v>
      </c>
      <c r="G1545" s="64" t="s">
        <v>3295</v>
      </c>
      <c r="H1545" s="64" t="s">
        <v>9145</v>
      </c>
    </row>
    <row r="1546" spans="1:8" x14ac:dyDescent="0.3">
      <c r="A1546" s="64" t="s">
        <v>3437</v>
      </c>
      <c r="B1546" s="64" t="s">
        <v>3207</v>
      </c>
      <c r="C1546" s="64" t="s">
        <v>3208</v>
      </c>
      <c r="D1546" s="64" t="s">
        <v>3207</v>
      </c>
      <c r="E1546" s="64" t="s">
        <v>16</v>
      </c>
      <c r="F1546" s="64" t="s">
        <v>375</v>
      </c>
      <c r="G1546" s="64" t="s">
        <v>3296</v>
      </c>
      <c r="H1546" s="64" t="s">
        <v>9146</v>
      </c>
    </row>
    <row r="1547" spans="1:8" x14ac:dyDescent="0.3">
      <c r="A1547" s="64" t="s">
        <v>3438</v>
      </c>
      <c r="B1547" s="64" t="s">
        <v>3207</v>
      </c>
      <c r="C1547" s="64" t="s">
        <v>3208</v>
      </c>
      <c r="D1547" s="64" t="s">
        <v>3207</v>
      </c>
      <c r="E1547" s="64" t="s">
        <v>16</v>
      </c>
      <c r="F1547" s="64" t="s">
        <v>376</v>
      </c>
      <c r="G1547" s="64" t="s">
        <v>3297</v>
      </c>
      <c r="H1547" s="64" t="s">
        <v>9147</v>
      </c>
    </row>
    <row r="1548" spans="1:8" x14ac:dyDescent="0.3">
      <c r="A1548" s="64" t="s">
        <v>3439</v>
      </c>
      <c r="B1548" s="64" t="s">
        <v>3207</v>
      </c>
      <c r="C1548" s="64" t="s">
        <v>3208</v>
      </c>
      <c r="D1548" s="64" t="s">
        <v>3207</v>
      </c>
      <c r="E1548" s="64" t="s">
        <v>16</v>
      </c>
      <c r="F1548" s="64" t="s">
        <v>377</v>
      </c>
      <c r="G1548" s="64" t="s">
        <v>3298</v>
      </c>
      <c r="H1548" s="64" t="s">
        <v>9148</v>
      </c>
    </row>
    <row r="1549" spans="1:8" x14ac:dyDescent="0.3">
      <c r="A1549" s="64" t="s">
        <v>3440</v>
      </c>
      <c r="B1549" s="64" t="s">
        <v>3207</v>
      </c>
      <c r="C1549" s="64" t="s">
        <v>3208</v>
      </c>
      <c r="D1549" s="64" t="s">
        <v>3207</v>
      </c>
      <c r="E1549" s="64" t="s">
        <v>16</v>
      </c>
      <c r="F1549" s="64" t="s">
        <v>378</v>
      </c>
      <c r="G1549" s="64" t="s">
        <v>3299</v>
      </c>
      <c r="H1549" s="64" t="s">
        <v>9149</v>
      </c>
    </row>
    <row r="1550" spans="1:8" x14ac:dyDescent="0.3">
      <c r="A1550" s="64" t="s">
        <v>3441</v>
      </c>
      <c r="B1550" s="64" t="s">
        <v>3207</v>
      </c>
      <c r="C1550" s="64" t="s">
        <v>3208</v>
      </c>
      <c r="D1550" s="64" t="s">
        <v>3207</v>
      </c>
      <c r="E1550" s="64" t="s">
        <v>16</v>
      </c>
      <c r="F1550" s="64" t="s">
        <v>379</v>
      </c>
      <c r="G1550" s="64" t="s">
        <v>3300</v>
      </c>
      <c r="H1550" s="64" t="s">
        <v>9150</v>
      </c>
    </row>
    <row r="1551" spans="1:8" x14ac:dyDescent="0.3">
      <c r="A1551" s="64" t="s">
        <v>3442</v>
      </c>
      <c r="B1551" s="64" t="s">
        <v>3207</v>
      </c>
      <c r="C1551" s="64" t="s">
        <v>3208</v>
      </c>
      <c r="D1551" s="64" t="s">
        <v>3207</v>
      </c>
      <c r="E1551" s="64" t="s">
        <v>16</v>
      </c>
      <c r="F1551" s="64" t="s">
        <v>380</v>
      </c>
      <c r="G1551" s="64" t="s">
        <v>3301</v>
      </c>
      <c r="H1551" s="64" t="s">
        <v>9151</v>
      </c>
    </row>
    <row r="1552" spans="1:8" x14ac:dyDescent="0.3">
      <c r="A1552" s="64" t="s">
        <v>3443</v>
      </c>
      <c r="B1552" s="64" t="s">
        <v>3207</v>
      </c>
      <c r="C1552" s="64" t="s">
        <v>3208</v>
      </c>
      <c r="D1552" s="64" t="s">
        <v>3207</v>
      </c>
      <c r="E1552" s="64" t="s">
        <v>16</v>
      </c>
      <c r="F1552" s="64" t="s">
        <v>381</v>
      </c>
      <c r="G1552" s="64" t="s">
        <v>3302</v>
      </c>
      <c r="H1552" s="64" t="s">
        <v>9152</v>
      </c>
    </row>
    <row r="1553" spans="1:8" x14ac:dyDescent="0.3">
      <c r="A1553" s="64" t="s">
        <v>3444</v>
      </c>
      <c r="B1553" s="64" t="s">
        <v>3207</v>
      </c>
      <c r="C1553" s="64" t="s">
        <v>3208</v>
      </c>
      <c r="D1553" s="64" t="s">
        <v>3207</v>
      </c>
      <c r="E1553" s="64" t="s">
        <v>16</v>
      </c>
      <c r="F1553" s="64" t="s">
        <v>382</v>
      </c>
      <c r="G1553" s="64" t="s">
        <v>3303</v>
      </c>
      <c r="H1553" s="64" t="s">
        <v>9153</v>
      </c>
    </row>
    <row r="1554" spans="1:8" x14ac:dyDescent="0.3">
      <c r="A1554" s="64" t="s">
        <v>3445</v>
      </c>
      <c r="B1554" s="64" t="s">
        <v>3207</v>
      </c>
      <c r="C1554" s="64" t="s">
        <v>3208</v>
      </c>
      <c r="D1554" s="64" t="s">
        <v>3207</v>
      </c>
      <c r="E1554" s="64" t="s">
        <v>16</v>
      </c>
      <c r="F1554" s="64" t="s">
        <v>383</v>
      </c>
      <c r="G1554" s="64" t="s">
        <v>3304</v>
      </c>
      <c r="H1554" s="64" t="s">
        <v>9154</v>
      </c>
    </row>
    <row r="1555" spans="1:8" x14ac:dyDescent="0.3">
      <c r="A1555" s="64" t="s">
        <v>3446</v>
      </c>
      <c r="B1555" s="64" t="s">
        <v>3207</v>
      </c>
      <c r="C1555" s="64" t="s">
        <v>3213</v>
      </c>
      <c r="D1555" s="64" t="s">
        <v>3207</v>
      </c>
      <c r="E1555" s="64" t="s">
        <v>20</v>
      </c>
      <c r="F1555" s="64" t="s">
        <v>15</v>
      </c>
      <c r="G1555" s="64" t="s">
        <v>3215</v>
      </c>
      <c r="H1555" s="64" t="s">
        <v>5456</v>
      </c>
    </row>
    <row r="1556" spans="1:8" x14ac:dyDescent="0.3">
      <c r="A1556" s="64" t="s">
        <v>3447</v>
      </c>
      <c r="B1556" s="64" t="s">
        <v>3207</v>
      </c>
      <c r="C1556" s="64" t="s">
        <v>3213</v>
      </c>
      <c r="D1556" s="64" t="s">
        <v>3207</v>
      </c>
      <c r="E1556" s="64" t="s">
        <v>16</v>
      </c>
      <c r="F1556" s="64" t="s">
        <v>368</v>
      </c>
      <c r="G1556" s="64" t="s">
        <v>3305</v>
      </c>
      <c r="H1556" s="64" t="s">
        <v>9155</v>
      </c>
    </row>
    <row r="1557" spans="1:8" x14ac:dyDescent="0.3">
      <c r="A1557" s="64" t="s">
        <v>3448</v>
      </c>
      <c r="B1557" s="64" t="s">
        <v>3207</v>
      </c>
      <c r="C1557" s="64" t="s">
        <v>3213</v>
      </c>
      <c r="D1557" s="64" t="s">
        <v>3207</v>
      </c>
      <c r="E1557" s="64" t="s">
        <v>16</v>
      </c>
      <c r="F1557" s="64" t="s">
        <v>369</v>
      </c>
      <c r="G1557" s="64" t="s">
        <v>3306</v>
      </c>
      <c r="H1557" s="64" t="s">
        <v>9156</v>
      </c>
    </row>
    <row r="1558" spans="1:8" x14ac:dyDescent="0.3">
      <c r="A1558" s="64" t="s">
        <v>3449</v>
      </c>
      <c r="B1558" s="64" t="s">
        <v>3207</v>
      </c>
      <c r="C1558" s="64" t="s">
        <v>3213</v>
      </c>
      <c r="D1558" s="64" t="s">
        <v>3207</v>
      </c>
      <c r="E1558" s="64" t="s">
        <v>16</v>
      </c>
      <c r="F1558" s="64" t="s">
        <v>370</v>
      </c>
      <c r="G1558" s="64" t="s">
        <v>3307</v>
      </c>
      <c r="H1558" s="64" t="s">
        <v>9157</v>
      </c>
    </row>
    <row r="1559" spans="1:8" x14ac:dyDescent="0.3">
      <c r="A1559" s="64" t="s">
        <v>3450</v>
      </c>
      <c r="B1559" s="64" t="s">
        <v>3207</v>
      </c>
      <c r="C1559" s="64" t="s">
        <v>3213</v>
      </c>
      <c r="D1559" s="64" t="s">
        <v>3207</v>
      </c>
      <c r="E1559" s="64" t="s">
        <v>16</v>
      </c>
      <c r="F1559" s="64" t="s">
        <v>371</v>
      </c>
      <c r="G1559" s="64" t="s">
        <v>3308</v>
      </c>
      <c r="H1559" s="64" t="s">
        <v>9158</v>
      </c>
    </row>
    <row r="1560" spans="1:8" x14ac:dyDescent="0.3">
      <c r="A1560" s="64" t="s">
        <v>3451</v>
      </c>
      <c r="B1560" s="64" t="s">
        <v>3207</v>
      </c>
      <c r="C1560" s="64" t="s">
        <v>3213</v>
      </c>
      <c r="D1560" s="64" t="s">
        <v>3207</v>
      </c>
      <c r="E1560" s="64" t="s">
        <v>16</v>
      </c>
      <c r="F1560" s="64" t="s">
        <v>372</v>
      </c>
      <c r="G1560" s="64" t="s">
        <v>3309</v>
      </c>
      <c r="H1560" s="64" t="s">
        <v>9159</v>
      </c>
    </row>
    <row r="1561" spans="1:8" x14ac:dyDescent="0.3">
      <c r="A1561" s="64" t="s">
        <v>3452</v>
      </c>
      <c r="B1561" s="64" t="s">
        <v>3207</v>
      </c>
      <c r="C1561" s="64" t="s">
        <v>3213</v>
      </c>
      <c r="D1561" s="64" t="s">
        <v>3207</v>
      </c>
      <c r="E1561" s="64" t="s">
        <v>16</v>
      </c>
      <c r="F1561" s="64" t="s">
        <v>373</v>
      </c>
      <c r="G1561" s="64" t="s">
        <v>3310</v>
      </c>
      <c r="H1561" s="64" t="s">
        <v>9160</v>
      </c>
    </row>
    <row r="1562" spans="1:8" x14ac:dyDescent="0.3">
      <c r="A1562" s="64" t="s">
        <v>3453</v>
      </c>
      <c r="B1562" s="64" t="s">
        <v>3207</v>
      </c>
      <c r="C1562" s="64" t="s">
        <v>3213</v>
      </c>
      <c r="D1562" s="64" t="s">
        <v>3207</v>
      </c>
      <c r="E1562" s="64" t="s">
        <v>16</v>
      </c>
      <c r="F1562" s="64" t="s">
        <v>374</v>
      </c>
      <c r="G1562" s="64" t="s">
        <v>3311</v>
      </c>
      <c r="H1562" s="64" t="s">
        <v>9161</v>
      </c>
    </row>
    <row r="1563" spans="1:8" x14ac:dyDescent="0.3">
      <c r="A1563" s="64" t="s">
        <v>3454</v>
      </c>
      <c r="B1563" s="64" t="s">
        <v>3207</v>
      </c>
      <c r="C1563" s="64" t="s">
        <v>3213</v>
      </c>
      <c r="D1563" s="64" t="s">
        <v>3207</v>
      </c>
      <c r="E1563" s="64" t="s">
        <v>16</v>
      </c>
      <c r="F1563" s="64" t="s">
        <v>375</v>
      </c>
      <c r="G1563" s="64" t="s">
        <v>3312</v>
      </c>
      <c r="H1563" s="64" t="s">
        <v>9162</v>
      </c>
    </row>
    <row r="1564" spans="1:8" x14ac:dyDescent="0.3">
      <c r="A1564" s="64" t="s">
        <v>3455</v>
      </c>
      <c r="B1564" s="64" t="s">
        <v>3207</v>
      </c>
      <c r="C1564" s="64" t="s">
        <v>3213</v>
      </c>
      <c r="D1564" s="64" t="s">
        <v>3207</v>
      </c>
      <c r="E1564" s="64" t="s">
        <v>16</v>
      </c>
      <c r="F1564" s="64" t="s">
        <v>376</v>
      </c>
      <c r="G1564" s="64" t="s">
        <v>3313</v>
      </c>
      <c r="H1564" s="64" t="s">
        <v>9163</v>
      </c>
    </row>
    <row r="1565" spans="1:8" x14ac:dyDescent="0.3">
      <c r="A1565" s="64" t="s">
        <v>3456</v>
      </c>
      <c r="B1565" s="64" t="s">
        <v>3207</v>
      </c>
      <c r="C1565" s="64" t="s">
        <v>3213</v>
      </c>
      <c r="D1565" s="64" t="s">
        <v>3207</v>
      </c>
      <c r="E1565" s="64" t="s">
        <v>16</v>
      </c>
      <c r="F1565" s="64" t="s">
        <v>377</v>
      </c>
      <c r="G1565" s="64" t="s">
        <v>3314</v>
      </c>
      <c r="H1565" s="64" t="s">
        <v>9164</v>
      </c>
    </row>
    <row r="1566" spans="1:8" x14ac:dyDescent="0.3">
      <c r="A1566" s="64" t="s">
        <v>3457</v>
      </c>
      <c r="B1566" s="64" t="s">
        <v>3207</v>
      </c>
      <c r="C1566" s="64" t="s">
        <v>3213</v>
      </c>
      <c r="D1566" s="64" t="s">
        <v>3207</v>
      </c>
      <c r="E1566" s="64" t="s">
        <v>16</v>
      </c>
      <c r="F1566" s="64" t="s">
        <v>378</v>
      </c>
      <c r="G1566" s="64" t="s">
        <v>3315</v>
      </c>
      <c r="H1566" s="64" t="s">
        <v>9165</v>
      </c>
    </row>
    <row r="1567" spans="1:8" x14ac:dyDescent="0.3">
      <c r="A1567" s="64" t="s">
        <v>3458</v>
      </c>
      <c r="B1567" s="64" t="s">
        <v>3207</v>
      </c>
      <c r="C1567" s="64" t="s">
        <v>3213</v>
      </c>
      <c r="D1567" s="64" t="s">
        <v>3207</v>
      </c>
      <c r="E1567" s="64" t="s">
        <v>16</v>
      </c>
      <c r="F1567" s="64" t="s">
        <v>379</v>
      </c>
      <c r="G1567" s="64" t="s">
        <v>3316</v>
      </c>
      <c r="H1567" s="64" t="s">
        <v>9166</v>
      </c>
    </row>
    <row r="1568" spans="1:8" x14ac:dyDescent="0.3">
      <c r="A1568" s="64" t="s">
        <v>3459</v>
      </c>
      <c r="B1568" s="64" t="s">
        <v>3207</v>
      </c>
      <c r="C1568" s="64" t="s">
        <v>3213</v>
      </c>
      <c r="D1568" s="64" t="s">
        <v>3207</v>
      </c>
      <c r="E1568" s="64" t="s">
        <v>16</v>
      </c>
      <c r="F1568" s="64" t="s">
        <v>380</v>
      </c>
      <c r="G1568" s="64" t="s">
        <v>3317</v>
      </c>
      <c r="H1568" s="64" t="s">
        <v>9167</v>
      </c>
    </row>
    <row r="1569" spans="1:8" x14ac:dyDescent="0.3">
      <c r="A1569" s="64" t="s">
        <v>3460</v>
      </c>
      <c r="B1569" s="64" t="s">
        <v>3207</v>
      </c>
      <c r="C1569" s="64" t="s">
        <v>3213</v>
      </c>
      <c r="D1569" s="64" t="s">
        <v>3207</v>
      </c>
      <c r="E1569" s="64" t="s">
        <v>16</v>
      </c>
      <c r="F1569" s="64" t="s">
        <v>381</v>
      </c>
      <c r="G1569" s="64" t="s">
        <v>3318</v>
      </c>
      <c r="H1569" s="64" t="s">
        <v>9168</v>
      </c>
    </row>
    <row r="1570" spans="1:8" x14ac:dyDescent="0.3">
      <c r="A1570" s="64" t="s">
        <v>3461</v>
      </c>
      <c r="B1570" s="64" t="s">
        <v>3207</v>
      </c>
      <c r="C1570" s="64" t="s">
        <v>3213</v>
      </c>
      <c r="D1570" s="64" t="s">
        <v>3207</v>
      </c>
      <c r="E1570" s="64" t="s">
        <v>16</v>
      </c>
      <c r="F1570" s="64" t="s">
        <v>382</v>
      </c>
      <c r="G1570" s="64" t="s">
        <v>3319</v>
      </c>
      <c r="H1570" s="64" t="s">
        <v>9169</v>
      </c>
    </row>
    <row r="1571" spans="1:8" x14ac:dyDescent="0.3">
      <c r="A1571" s="64" t="s">
        <v>3462</v>
      </c>
      <c r="B1571" s="64" t="s">
        <v>3207</v>
      </c>
      <c r="C1571" s="64" t="s">
        <v>3213</v>
      </c>
      <c r="D1571" s="64" t="s">
        <v>3207</v>
      </c>
      <c r="E1571" s="64" t="s">
        <v>16</v>
      </c>
      <c r="F1571" s="64" t="s">
        <v>383</v>
      </c>
      <c r="G1571" s="64" t="s">
        <v>3320</v>
      </c>
      <c r="H1571" s="64" t="s">
        <v>9170</v>
      </c>
    </row>
    <row r="1572" spans="1:8" x14ac:dyDescent="0.3">
      <c r="A1572" s="64" t="s">
        <v>3463</v>
      </c>
      <c r="B1572" s="64" t="s">
        <v>571</v>
      </c>
      <c r="C1572" s="64" t="s">
        <v>3216</v>
      </c>
      <c r="D1572" s="64" t="s">
        <v>4291</v>
      </c>
      <c r="E1572" s="64" t="s">
        <v>20</v>
      </c>
      <c r="F1572" s="64" t="s">
        <v>15</v>
      </c>
      <c r="G1572" s="64" t="s">
        <v>3217</v>
      </c>
      <c r="H1572" s="64" t="s">
        <v>5442</v>
      </c>
    </row>
    <row r="1573" spans="1:8" x14ac:dyDescent="0.3">
      <c r="A1573" s="64" t="s">
        <v>3464</v>
      </c>
      <c r="B1573" s="64" t="s">
        <v>571</v>
      </c>
      <c r="C1573" s="64" t="s">
        <v>3218</v>
      </c>
      <c r="D1573" s="64" t="s">
        <v>4291</v>
      </c>
      <c r="E1573" s="64" t="s">
        <v>20</v>
      </c>
      <c r="F1573" s="64" t="s">
        <v>15</v>
      </c>
      <c r="G1573" s="64" t="s">
        <v>5355</v>
      </c>
      <c r="H1573" s="64" t="s">
        <v>5443</v>
      </c>
    </row>
    <row r="1574" spans="1:8" x14ac:dyDescent="0.3">
      <c r="A1574" s="64" t="s">
        <v>3465</v>
      </c>
      <c r="B1574" s="64" t="s">
        <v>571</v>
      </c>
      <c r="C1574" s="64" t="s">
        <v>3219</v>
      </c>
      <c r="D1574" s="64" t="s">
        <v>4291</v>
      </c>
      <c r="E1574" s="64" t="s">
        <v>20</v>
      </c>
      <c r="F1574" s="64" t="s">
        <v>15</v>
      </c>
      <c r="G1574" s="64" t="s">
        <v>3220</v>
      </c>
      <c r="H1574" s="64" t="s">
        <v>5444</v>
      </c>
    </row>
    <row r="1575" spans="1:8" x14ac:dyDescent="0.3">
      <c r="A1575" s="64" t="s">
        <v>3466</v>
      </c>
      <c r="B1575" s="64" t="s">
        <v>502</v>
      </c>
      <c r="C1575" s="64" t="s">
        <v>2251</v>
      </c>
      <c r="D1575" s="64" t="s">
        <v>1909</v>
      </c>
      <c r="E1575" s="64" t="s">
        <v>20</v>
      </c>
      <c r="F1575" s="64" t="s">
        <v>15</v>
      </c>
      <c r="G1575" s="64" t="s">
        <v>3221</v>
      </c>
      <c r="H1575" s="64" t="s">
        <v>3223</v>
      </c>
    </row>
    <row r="1576" spans="1:8" x14ac:dyDescent="0.3">
      <c r="A1576" s="64" t="s">
        <v>3467</v>
      </c>
      <c r="B1576" s="64" t="s">
        <v>502</v>
      </c>
      <c r="C1576" s="64" t="s">
        <v>2251</v>
      </c>
      <c r="D1576" s="64" t="s">
        <v>1909</v>
      </c>
      <c r="E1576" s="64" t="s">
        <v>16</v>
      </c>
      <c r="F1576" s="64" t="s">
        <v>368</v>
      </c>
      <c r="G1576" s="64" t="s">
        <v>3321</v>
      </c>
      <c r="H1576" s="64" t="s">
        <v>3224</v>
      </c>
    </row>
    <row r="1577" spans="1:8" x14ac:dyDescent="0.3">
      <c r="A1577" s="64" t="s">
        <v>3468</v>
      </c>
      <c r="B1577" s="64" t="s">
        <v>502</v>
      </c>
      <c r="C1577" s="64" t="s">
        <v>2251</v>
      </c>
      <c r="D1577" s="64" t="s">
        <v>1909</v>
      </c>
      <c r="E1577" s="64" t="s">
        <v>16</v>
      </c>
      <c r="F1577" s="64" t="s">
        <v>369</v>
      </c>
      <c r="G1577" s="64" t="s">
        <v>3322</v>
      </c>
      <c r="H1577" s="64" t="s">
        <v>3225</v>
      </c>
    </row>
    <row r="1578" spans="1:8" x14ac:dyDescent="0.3">
      <c r="A1578" s="64" t="s">
        <v>3469</v>
      </c>
      <c r="B1578" s="64" t="s">
        <v>502</v>
      </c>
      <c r="C1578" s="64" t="s">
        <v>2251</v>
      </c>
      <c r="D1578" s="64" t="s">
        <v>1909</v>
      </c>
      <c r="E1578" s="64" t="s">
        <v>16</v>
      </c>
      <c r="F1578" s="64" t="s">
        <v>370</v>
      </c>
      <c r="G1578" s="64" t="s">
        <v>3323</v>
      </c>
      <c r="H1578" s="64" t="s">
        <v>3226</v>
      </c>
    </row>
    <row r="1579" spans="1:8" x14ac:dyDescent="0.3">
      <c r="A1579" s="64" t="s">
        <v>3470</v>
      </c>
      <c r="B1579" s="64" t="s">
        <v>502</v>
      </c>
      <c r="C1579" s="64" t="s">
        <v>2251</v>
      </c>
      <c r="D1579" s="64" t="s">
        <v>1909</v>
      </c>
      <c r="E1579" s="64" t="s">
        <v>16</v>
      </c>
      <c r="F1579" s="64" t="s">
        <v>371</v>
      </c>
      <c r="G1579" s="64" t="s">
        <v>3324</v>
      </c>
      <c r="H1579" s="64" t="s">
        <v>3227</v>
      </c>
    </row>
    <row r="1580" spans="1:8" x14ac:dyDescent="0.3">
      <c r="A1580" s="64" t="s">
        <v>3471</v>
      </c>
      <c r="B1580" s="64" t="s">
        <v>502</v>
      </c>
      <c r="C1580" s="64" t="s">
        <v>2251</v>
      </c>
      <c r="D1580" s="64" t="s">
        <v>1909</v>
      </c>
      <c r="E1580" s="64" t="s">
        <v>16</v>
      </c>
      <c r="F1580" s="64" t="s">
        <v>372</v>
      </c>
      <c r="G1580" s="64" t="s">
        <v>3325</v>
      </c>
      <c r="H1580" s="64" t="s">
        <v>3228</v>
      </c>
    </row>
    <row r="1581" spans="1:8" x14ac:dyDescent="0.3">
      <c r="A1581" s="64" t="s">
        <v>3472</v>
      </c>
      <c r="B1581" s="64" t="s">
        <v>502</v>
      </c>
      <c r="C1581" s="64" t="s">
        <v>2251</v>
      </c>
      <c r="D1581" s="64" t="s">
        <v>1909</v>
      </c>
      <c r="E1581" s="64" t="s">
        <v>16</v>
      </c>
      <c r="F1581" s="64" t="s">
        <v>373</v>
      </c>
      <c r="G1581" s="64" t="s">
        <v>3326</v>
      </c>
      <c r="H1581" s="64" t="s">
        <v>3229</v>
      </c>
    </row>
    <row r="1582" spans="1:8" x14ac:dyDescent="0.3">
      <c r="A1582" s="64" t="s">
        <v>3473</v>
      </c>
      <c r="B1582" s="64" t="s">
        <v>502</v>
      </c>
      <c r="C1582" s="64" t="s">
        <v>2251</v>
      </c>
      <c r="D1582" s="64" t="s">
        <v>1909</v>
      </c>
      <c r="E1582" s="64" t="s">
        <v>16</v>
      </c>
      <c r="F1582" s="64" t="s">
        <v>374</v>
      </c>
      <c r="G1582" s="64" t="s">
        <v>3327</v>
      </c>
      <c r="H1582" s="64" t="s">
        <v>3230</v>
      </c>
    </row>
    <row r="1583" spans="1:8" x14ac:dyDescent="0.3">
      <c r="A1583" s="64" t="s">
        <v>3474</v>
      </c>
      <c r="B1583" s="64" t="s">
        <v>502</v>
      </c>
      <c r="C1583" s="64" t="s">
        <v>2251</v>
      </c>
      <c r="D1583" s="64" t="s">
        <v>1909</v>
      </c>
      <c r="E1583" s="64" t="s">
        <v>16</v>
      </c>
      <c r="F1583" s="64" t="s">
        <v>375</v>
      </c>
      <c r="G1583" s="64" t="s">
        <v>3328</v>
      </c>
      <c r="H1583" s="64" t="s">
        <v>3231</v>
      </c>
    </row>
    <row r="1584" spans="1:8" x14ac:dyDescent="0.3">
      <c r="A1584" s="64" t="s">
        <v>3475</v>
      </c>
      <c r="B1584" s="64" t="s">
        <v>502</v>
      </c>
      <c r="C1584" s="64" t="s">
        <v>2251</v>
      </c>
      <c r="D1584" s="64" t="s">
        <v>1909</v>
      </c>
      <c r="E1584" s="64" t="s">
        <v>16</v>
      </c>
      <c r="F1584" s="64" t="s">
        <v>376</v>
      </c>
      <c r="G1584" s="64" t="s">
        <v>3329</v>
      </c>
      <c r="H1584" s="64" t="s">
        <v>3232</v>
      </c>
    </row>
    <row r="1585" spans="1:8" x14ac:dyDescent="0.3">
      <c r="A1585" s="64" t="s">
        <v>3476</v>
      </c>
      <c r="B1585" s="64" t="s">
        <v>502</v>
      </c>
      <c r="C1585" s="64" t="s">
        <v>2251</v>
      </c>
      <c r="D1585" s="64" t="s">
        <v>1909</v>
      </c>
      <c r="E1585" s="64" t="s">
        <v>16</v>
      </c>
      <c r="F1585" s="64" t="s">
        <v>377</v>
      </c>
      <c r="G1585" s="64" t="s">
        <v>3330</v>
      </c>
      <c r="H1585" s="64" t="s">
        <v>3233</v>
      </c>
    </row>
    <row r="1586" spans="1:8" x14ac:dyDescent="0.3">
      <c r="A1586" s="64" t="s">
        <v>3477</v>
      </c>
      <c r="B1586" s="64" t="s">
        <v>502</v>
      </c>
      <c r="C1586" s="64" t="s">
        <v>2251</v>
      </c>
      <c r="D1586" s="64" t="s">
        <v>1909</v>
      </c>
      <c r="E1586" s="64" t="s">
        <v>16</v>
      </c>
      <c r="F1586" s="64" t="s">
        <v>378</v>
      </c>
      <c r="G1586" s="64" t="s">
        <v>3331</v>
      </c>
      <c r="H1586" s="64" t="s">
        <v>3234</v>
      </c>
    </row>
    <row r="1587" spans="1:8" x14ac:dyDescent="0.3">
      <c r="A1587" s="64" t="s">
        <v>3478</v>
      </c>
      <c r="B1587" s="64" t="s">
        <v>502</v>
      </c>
      <c r="C1587" s="64" t="s">
        <v>2251</v>
      </c>
      <c r="D1587" s="64" t="s">
        <v>1909</v>
      </c>
      <c r="E1587" s="64" t="s">
        <v>16</v>
      </c>
      <c r="F1587" s="64" t="s">
        <v>379</v>
      </c>
      <c r="G1587" s="64" t="s">
        <v>3332</v>
      </c>
      <c r="H1587" s="64" t="s">
        <v>3235</v>
      </c>
    </row>
    <row r="1588" spans="1:8" x14ac:dyDescent="0.3">
      <c r="A1588" s="64" t="s">
        <v>3479</v>
      </c>
      <c r="B1588" s="64" t="s">
        <v>502</v>
      </c>
      <c r="C1588" s="64" t="s">
        <v>2251</v>
      </c>
      <c r="D1588" s="64" t="s">
        <v>1909</v>
      </c>
      <c r="E1588" s="64" t="s">
        <v>16</v>
      </c>
      <c r="F1588" s="64" t="s">
        <v>380</v>
      </c>
      <c r="G1588" s="64" t="s">
        <v>3333</v>
      </c>
      <c r="H1588" s="64" t="s">
        <v>3236</v>
      </c>
    </row>
    <row r="1589" spans="1:8" x14ac:dyDescent="0.3">
      <c r="A1589" s="64" t="s">
        <v>3480</v>
      </c>
      <c r="B1589" s="64" t="s">
        <v>502</v>
      </c>
      <c r="C1589" s="64" t="s">
        <v>2251</v>
      </c>
      <c r="D1589" s="64" t="s">
        <v>1909</v>
      </c>
      <c r="E1589" s="64" t="s">
        <v>16</v>
      </c>
      <c r="F1589" s="64" t="s">
        <v>381</v>
      </c>
      <c r="G1589" s="64" t="s">
        <v>3334</v>
      </c>
      <c r="H1589" s="64" t="s">
        <v>3237</v>
      </c>
    </row>
    <row r="1590" spans="1:8" x14ac:dyDescent="0.3">
      <c r="A1590" s="64" t="s">
        <v>3481</v>
      </c>
      <c r="B1590" s="64" t="s">
        <v>502</v>
      </c>
      <c r="C1590" s="64" t="s">
        <v>2251</v>
      </c>
      <c r="D1590" s="64" t="s">
        <v>1909</v>
      </c>
      <c r="E1590" s="64" t="s">
        <v>16</v>
      </c>
      <c r="F1590" s="64" t="s">
        <v>382</v>
      </c>
      <c r="G1590" s="64" t="s">
        <v>3335</v>
      </c>
      <c r="H1590" s="64" t="s">
        <v>3238</v>
      </c>
    </row>
    <row r="1591" spans="1:8" x14ac:dyDescent="0.3">
      <c r="A1591" s="64" t="s">
        <v>3482</v>
      </c>
      <c r="B1591" s="64" t="s">
        <v>502</v>
      </c>
      <c r="C1591" s="64" t="s">
        <v>2251</v>
      </c>
      <c r="D1591" s="64" t="s">
        <v>1909</v>
      </c>
      <c r="E1591" s="64" t="s">
        <v>16</v>
      </c>
      <c r="F1591" s="64" t="s">
        <v>383</v>
      </c>
      <c r="G1591" s="64" t="s">
        <v>3336</v>
      </c>
      <c r="H1591" s="64" t="s">
        <v>3239</v>
      </c>
    </row>
    <row r="1592" spans="1:8" x14ac:dyDescent="0.3">
      <c r="A1592" s="64" t="s">
        <v>3483</v>
      </c>
      <c r="B1592" s="64" t="s">
        <v>502</v>
      </c>
      <c r="C1592" s="64" t="s">
        <v>2271</v>
      </c>
      <c r="D1592" s="64" t="s">
        <v>1909</v>
      </c>
      <c r="E1592" s="64" t="s">
        <v>20</v>
      </c>
      <c r="F1592" s="64" t="s">
        <v>15</v>
      </c>
      <c r="G1592" s="64" t="s">
        <v>3337</v>
      </c>
      <c r="H1592" s="64" t="s">
        <v>3241</v>
      </c>
    </row>
    <row r="1593" spans="1:8" x14ac:dyDescent="0.3">
      <c r="A1593" s="64" t="s">
        <v>3484</v>
      </c>
      <c r="B1593" s="64" t="s">
        <v>502</v>
      </c>
      <c r="C1593" s="64" t="s">
        <v>2271</v>
      </c>
      <c r="D1593" s="64" t="s">
        <v>1909</v>
      </c>
      <c r="E1593" s="64" t="s">
        <v>16</v>
      </c>
      <c r="F1593" s="64" t="s">
        <v>368</v>
      </c>
      <c r="G1593" s="64" t="s">
        <v>3338</v>
      </c>
      <c r="H1593" s="64" t="s">
        <v>3242</v>
      </c>
    </row>
    <row r="1594" spans="1:8" x14ac:dyDescent="0.3">
      <c r="A1594" s="64" t="s">
        <v>3485</v>
      </c>
      <c r="B1594" s="64" t="s">
        <v>502</v>
      </c>
      <c r="C1594" s="64" t="s">
        <v>2271</v>
      </c>
      <c r="D1594" s="64" t="s">
        <v>1909</v>
      </c>
      <c r="E1594" s="64" t="s">
        <v>16</v>
      </c>
      <c r="F1594" s="64" t="s">
        <v>369</v>
      </c>
      <c r="G1594" s="64" t="s">
        <v>3339</v>
      </c>
      <c r="H1594" s="64" t="s">
        <v>3243</v>
      </c>
    </row>
    <row r="1595" spans="1:8" x14ac:dyDescent="0.3">
      <c r="A1595" s="64" t="s">
        <v>3486</v>
      </c>
      <c r="B1595" s="64" t="s">
        <v>502</v>
      </c>
      <c r="C1595" s="64" t="s">
        <v>2271</v>
      </c>
      <c r="D1595" s="64" t="s">
        <v>1909</v>
      </c>
      <c r="E1595" s="64" t="s">
        <v>16</v>
      </c>
      <c r="F1595" s="64" t="s">
        <v>370</v>
      </c>
      <c r="G1595" s="64" t="s">
        <v>3340</v>
      </c>
      <c r="H1595" s="64" t="s">
        <v>3244</v>
      </c>
    </row>
    <row r="1596" spans="1:8" x14ac:dyDescent="0.3">
      <c r="A1596" s="64" t="s">
        <v>3487</v>
      </c>
      <c r="B1596" s="64" t="s">
        <v>502</v>
      </c>
      <c r="C1596" s="64" t="s">
        <v>2271</v>
      </c>
      <c r="D1596" s="64" t="s">
        <v>1909</v>
      </c>
      <c r="E1596" s="64" t="s">
        <v>16</v>
      </c>
      <c r="F1596" s="64" t="s">
        <v>371</v>
      </c>
      <c r="G1596" s="64" t="s">
        <v>3341</v>
      </c>
      <c r="H1596" s="64" t="s">
        <v>3245</v>
      </c>
    </row>
    <row r="1597" spans="1:8" x14ac:dyDescent="0.3">
      <c r="A1597" s="64" t="s">
        <v>3488</v>
      </c>
      <c r="B1597" s="64" t="s">
        <v>502</v>
      </c>
      <c r="C1597" s="64" t="s">
        <v>2271</v>
      </c>
      <c r="D1597" s="64" t="s">
        <v>1909</v>
      </c>
      <c r="E1597" s="64" t="s">
        <v>16</v>
      </c>
      <c r="F1597" s="64" t="s">
        <v>372</v>
      </c>
      <c r="G1597" s="64" t="s">
        <v>3342</v>
      </c>
      <c r="H1597" s="64" t="s">
        <v>3246</v>
      </c>
    </row>
    <row r="1598" spans="1:8" x14ac:dyDescent="0.3">
      <c r="A1598" s="64" t="s">
        <v>3489</v>
      </c>
      <c r="B1598" s="64" t="s">
        <v>502</v>
      </c>
      <c r="C1598" s="64" t="s">
        <v>2271</v>
      </c>
      <c r="D1598" s="64" t="s">
        <v>1909</v>
      </c>
      <c r="E1598" s="64" t="s">
        <v>16</v>
      </c>
      <c r="F1598" s="64" t="s">
        <v>373</v>
      </c>
      <c r="G1598" s="64" t="s">
        <v>3343</v>
      </c>
      <c r="H1598" s="64" t="s">
        <v>3247</v>
      </c>
    </row>
    <row r="1599" spans="1:8" x14ac:dyDescent="0.3">
      <c r="A1599" s="64" t="s">
        <v>3490</v>
      </c>
      <c r="B1599" s="64" t="s">
        <v>502</v>
      </c>
      <c r="C1599" s="64" t="s">
        <v>2271</v>
      </c>
      <c r="D1599" s="64" t="s">
        <v>1909</v>
      </c>
      <c r="E1599" s="64" t="s">
        <v>16</v>
      </c>
      <c r="F1599" s="64" t="s">
        <v>374</v>
      </c>
      <c r="G1599" s="64" t="s">
        <v>3344</v>
      </c>
      <c r="H1599" s="64" t="s">
        <v>3248</v>
      </c>
    </row>
    <row r="1600" spans="1:8" x14ac:dyDescent="0.3">
      <c r="A1600" s="64" t="s">
        <v>3491</v>
      </c>
      <c r="B1600" s="64" t="s">
        <v>502</v>
      </c>
      <c r="C1600" s="64" t="s">
        <v>2271</v>
      </c>
      <c r="D1600" s="64" t="s">
        <v>1909</v>
      </c>
      <c r="E1600" s="64" t="s">
        <v>16</v>
      </c>
      <c r="F1600" s="64" t="s">
        <v>375</v>
      </c>
      <c r="G1600" s="64" t="s">
        <v>3345</v>
      </c>
      <c r="H1600" s="64" t="s">
        <v>3249</v>
      </c>
    </row>
    <row r="1601" spans="1:8" x14ac:dyDescent="0.3">
      <c r="A1601" s="64" t="s">
        <v>3492</v>
      </c>
      <c r="B1601" s="64" t="s">
        <v>502</v>
      </c>
      <c r="C1601" s="64" t="s">
        <v>2271</v>
      </c>
      <c r="D1601" s="64" t="s">
        <v>1909</v>
      </c>
      <c r="E1601" s="64" t="s">
        <v>16</v>
      </c>
      <c r="F1601" s="64" t="s">
        <v>376</v>
      </c>
      <c r="G1601" s="64" t="s">
        <v>3346</v>
      </c>
      <c r="H1601" s="64" t="s">
        <v>3250</v>
      </c>
    </row>
    <row r="1602" spans="1:8" x14ac:dyDescent="0.3">
      <c r="A1602" s="64" t="s">
        <v>3493</v>
      </c>
      <c r="B1602" s="64" t="s">
        <v>502</v>
      </c>
      <c r="C1602" s="64" t="s">
        <v>2271</v>
      </c>
      <c r="D1602" s="64" t="s">
        <v>1909</v>
      </c>
      <c r="E1602" s="64" t="s">
        <v>16</v>
      </c>
      <c r="F1602" s="64" t="s">
        <v>377</v>
      </c>
      <c r="G1602" s="64" t="s">
        <v>3347</v>
      </c>
      <c r="H1602" s="64" t="s">
        <v>3251</v>
      </c>
    </row>
    <row r="1603" spans="1:8" x14ac:dyDescent="0.3">
      <c r="A1603" s="64" t="s">
        <v>3494</v>
      </c>
      <c r="B1603" s="64" t="s">
        <v>502</v>
      </c>
      <c r="C1603" s="64" t="s">
        <v>2271</v>
      </c>
      <c r="D1603" s="64" t="s">
        <v>1909</v>
      </c>
      <c r="E1603" s="64" t="s">
        <v>16</v>
      </c>
      <c r="F1603" s="64" t="s">
        <v>378</v>
      </c>
      <c r="G1603" s="64" t="s">
        <v>3348</v>
      </c>
      <c r="H1603" s="64" t="s">
        <v>3252</v>
      </c>
    </row>
    <row r="1604" spans="1:8" x14ac:dyDescent="0.3">
      <c r="A1604" s="64" t="s">
        <v>3495</v>
      </c>
      <c r="B1604" s="64" t="s">
        <v>502</v>
      </c>
      <c r="C1604" s="64" t="s">
        <v>2271</v>
      </c>
      <c r="D1604" s="64" t="s">
        <v>1909</v>
      </c>
      <c r="E1604" s="64" t="s">
        <v>16</v>
      </c>
      <c r="F1604" s="64" t="s">
        <v>379</v>
      </c>
      <c r="G1604" s="64" t="s">
        <v>3349</v>
      </c>
      <c r="H1604" s="64" t="s">
        <v>3253</v>
      </c>
    </row>
    <row r="1605" spans="1:8" x14ac:dyDescent="0.3">
      <c r="A1605" s="64" t="s">
        <v>3496</v>
      </c>
      <c r="B1605" s="64" t="s">
        <v>502</v>
      </c>
      <c r="C1605" s="64" t="s">
        <v>2271</v>
      </c>
      <c r="D1605" s="64" t="s">
        <v>1909</v>
      </c>
      <c r="E1605" s="64" t="s">
        <v>16</v>
      </c>
      <c r="F1605" s="64" t="s">
        <v>380</v>
      </c>
      <c r="G1605" s="64" t="s">
        <v>3350</v>
      </c>
      <c r="H1605" s="64" t="s">
        <v>3254</v>
      </c>
    </row>
    <row r="1606" spans="1:8" x14ac:dyDescent="0.3">
      <c r="A1606" s="64" t="s">
        <v>3497</v>
      </c>
      <c r="B1606" s="64" t="s">
        <v>502</v>
      </c>
      <c r="C1606" s="64" t="s">
        <v>2271</v>
      </c>
      <c r="D1606" s="64" t="s">
        <v>1909</v>
      </c>
      <c r="E1606" s="64" t="s">
        <v>16</v>
      </c>
      <c r="F1606" s="64" t="s">
        <v>381</v>
      </c>
      <c r="G1606" s="64" t="s">
        <v>3351</v>
      </c>
      <c r="H1606" s="64" t="s">
        <v>3255</v>
      </c>
    </row>
    <row r="1607" spans="1:8" x14ac:dyDescent="0.3">
      <c r="A1607" s="64" t="s">
        <v>3498</v>
      </c>
      <c r="B1607" s="64" t="s">
        <v>502</v>
      </c>
      <c r="C1607" s="64" t="s">
        <v>2271</v>
      </c>
      <c r="D1607" s="64" t="s">
        <v>1909</v>
      </c>
      <c r="E1607" s="64" t="s">
        <v>16</v>
      </c>
      <c r="F1607" s="64" t="s">
        <v>382</v>
      </c>
      <c r="G1607" s="64" t="s">
        <v>3352</v>
      </c>
      <c r="H1607" s="64" t="s">
        <v>3256</v>
      </c>
    </row>
    <row r="1608" spans="1:8" x14ac:dyDescent="0.3">
      <c r="A1608" s="64" t="s">
        <v>3499</v>
      </c>
      <c r="B1608" s="64" t="s">
        <v>502</v>
      </c>
      <c r="C1608" s="64" t="s">
        <v>2271</v>
      </c>
      <c r="D1608" s="64" t="s">
        <v>1909</v>
      </c>
      <c r="E1608" s="64" t="s">
        <v>16</v>
      </c>
      <c r="F1608" s="64" t="s">
        <v>383</v>
      </c>
      <c r="G1608" s="64" t="s">
        <v>7197</v>
      </c>
      <c r="H1608" s="64" t="s">
        <v>3257</v>
      </c>
    </row>
    <row r="1609" spans="1:8" x14ac:dyDescent="0.3">
      <c r="A1609" s="64" t="s">
        <v>3500</v>
      </c>
      <c r="B1609" s="64" t="s">
        <v>823</v>
      </c>
      <c r="C1609" s="64" t="s">
        <v>940</v>
      </c>
      <c r="D1609" s="64" t="s">
        <v>2183</v>
      </c>
      <c r="E1609" s="64" t="s">
        <v>20</v>
      </c>
      <c r="F1609" s="64" t="s">
        <v>15</v>
      </c>
      <c r="G1609" s="64" t="s">
        <v>3259</v>
      </c>
      <c r="H1609" s="64" t="s">
        <v>3260</v>
      </c>
    </row>
    <row r="1610" spans="1:8" x14ac:dyDescent="0.3">
      <c r="A1610" s="64" t="s">
        <v>3501</v>
      </c>
      <c r="B1610" s="64" t="s">
        <v>823</v>
      </c>
      <c r="C1610" s="64" t="s">
        <v>3261</v>
      </c>
      <c r="D1610" s="64" t="s">
        <v>2183</v>
      </c>
      <c r="E1610" s="64" t="s">
        <v>20</v>
      </c>
      <c r="F1610" s="64" t="s">
        <v>15</v>
      </c>
      <c r="G1610" s="64" t="s">
        <v>3262</v>
      </c>
      <c r="H1610" s="64" t="s">
        <v>3263</v>
      </c>
    </row>
    <row r="1611" spans="1:8" x14ac:dyDescent="0.3">
      <c r="A1611" s="64" t="s">
        <v>3502</v>
      </c>
      <c r="B1611" s="64" t="s">
        <v>823</v>
      </c>
      <c r="C1611" s="64" t="s">
        <v>572</v>
      </c>
      <c r="D1611" s="64" t="s">
        <v>2183</v>
      </c>
      <c r="E1611" s="64" t="s">
        <v>20</v>
      </c>
      <c r="F1611" s="64" t="s">
        <v>15</v>
      </c>
      <c r="G1611" s="64" t="s">
        <v>5169</v>
      </c>
      <c r="H1611" s="64" t="s">
        <v>3264</v>
      </c>
    </row>
    <row r="1612" spans="1:8" x14ac:dyDescent="0.3">
      <c r="A1612" s="64" t="s">
        <v>3503</v>
      </c>
      <c r="B1612" s="64" t="s">
        <v>823</v>
      </c>
      <c r="C1612" s="64" t="s">
        <v>940</v>
      </c>
      <c r="D1612" s="64" t="s">
        <v>2183</v>
      </c>
      <c r="E1612" s="64" t="s">
        <v>20</v>
      </c>
      <c r="F1612" s="64" t="s">
        <v>15</v>
      </c>
      <c r="G1612" s="64" t="s">
        <v>3265</v>
      </c>
      <c r="H1612" s="64" t="s">
        <v>3266</v>
      </c>
    </row>
    <row r="1613" spans="1:8" x14ac:dyDescent="0.3">
      <c r="A1613" s="64" t="s">
        <v>3504</v>
      </c>
      <c r="B1613" s="64" t="s">
        <v>823</v>
      </c>
      <c r="C1613" s="64" t="s">
        <v>572</v>
      </c>
      <c r="D1613" s="64" t="s">
        <v>2183</v>
      </c>
      <c r="E1613" s="64" t="s">
        <v>20</v>
      </c>
      <c r="F1613" s="64" t="s">
        <v>15</v>
      </c>
      <c r="G1613" s="64" t="s">
        <v>3267</v>
      </c>
      <c r="H1613" s="64" t="s">
        <v>3268</v>
      </c>
    </row>
    <row r="1614" spans="1:8" x14ac:dyDescent="0.3">
      <c r="A1614" s="64" t="s">
        <v>3505</v>
      </c>
      <c r="B1614" s="64" t="s">
        <v>823</v>
      </c>
      <c r="C1614" s="64" t="s">
        <v>4279</v>
      </c>
      <c r="D1614" s="64" t="s">
        <v>823</v>
      </c>
      <c r="E1614" s="64" t="s">
        <v>20</v>
      </c>
      <c r="F1614" s="64" t="s">
        <v>15</v>
      </c>
      <c r="G1614" s="64" t="s">
        <v>3615</v>
      </c>
      <c r="H1614" s="64" t="s">
        <v>3617</v>
      </c>
    </row>
    <row r="1615" spans="1:8" x14ac:dyDescent="0.3">
      <c r="A1615" s="64" t="s">
        <v>3506</v>
      </c>
      <c r="B1615" s="64" t="s">
        <v>823</v>
      </c>
      <c r="C1615" s="64" t="s">
        <v>4279</v>
      </c>
      <c r="D1615" s="64" t="s">
        <v>823</v>
      </c>
      <c r="E1615" s="64" t="s">
        <v>16</v>
      </c>
      <c r="F1615" s="64" t="s">
        <v>372</v>
      </c>
      <c r="G1615" s="64" t="s">
        <v>3618</v>
      </c>
      <c r="H1615" s="64" t="s">
        <v>3620</v>
      </c>
    </row>
    <row r="1616" spans="1:8" x14ac:dyDescent="0.3">
      <c r="A1616" s="64" t="s">
        <v>3507</v>
      </c>
      <c r="B1616" s="64" t="s">
        <v>823</v>
      </c>
      <c r="C1616" s="64" t="s">
        <v>4279</v>
      </c>
      <c r="D1616" s="64" t="s">
        <v>823</v>
      </c>
      <c r="E1616" s="64" t="s">
        <v>16</v>
      </c>
      <c r="F1616" s="64" t="s">
        <v>373</v>
      </c>
      <c r="G1616" s="64" t="s">
        <v>3621</v>
      </c>
      <c r="H1616" s="64" t="s">
        <v>3623</v>
      </c>
    </row>
    <row r="1617" spans="1:8" x14ac:dyDescent="0.3">
      <c r="A1617" s="64" t="s">
        <v>3508</v>
      </c>
      <c r="B1617" s="64" t="s">
        <v>823</v>
      </c>
      <c r="C1617" s="64" t="s">
        <v>4279</v>
      </c>
      <c r="D1617" s="64" t="s">
        <v>823</v>
      </c>
      <c r="E1617" s="64" t="s">
        <v>16</v>
      </c>
      <c r="F1617" s="64" t="s">
        <v>375</v>
      </c>
      <c r="G1617" s="64" t="s">
        <v>3624</v>
      </c>
      <c r="H1617" s="64" t="s">
        <v>3626</v>
      </c>
    </row>
    <row r="1618" spans="1:8" x14ac:dyDescent="0.3">
      <c r="A1618" s="64" t="s">
        <v>3509</v>
      </c>
      <c r="B1618" s="64" t="s">
        <v>823</v>
      </c>
      <c r="C1618" s="64" t="s">
        <v>4279</v>
      </c>
      <c r="D1618" s="64" t="s">
        <v>823</v>
      </c>
      <c r="E1618" s="64" t="s">
        <v>16</v>
      </c>
      <c r="F1618" s="64" t="s">
        <v>376</v>
      </c>
      <c r="G1618" s="64" t="s">
        <v>3627</v>
      </c>
      <c r="H1618" s="64" t="s">
        <v>3629</v>
      </c>
    </row>
    <row r="1619" spans="1:8" x14ac:dyDescent="0.3">
      <c r="A1619" s="64" t="s">
        <v>3510</v>
      </c>
      <c r="B1619" s="64" t="s">
        <v>823</v>
      </c>
      <c r="C1619" s="64" t="s">
        <v>4279</v>
      </c>
      <c r="D1619" s="64" t="s">
        <v>823</v>
      </c>
      <c r="E1619" s="64" t="s">
        <v>16</v>
      </c>
      <c r="F1619" s="64" t="s">
        <v>381</v>
      </c>
      <c r="G1619" s="64" t="s">
        <v>3630</v>
      </c>
      <c r="H1619" s="64" t="s">
        <v>3632</v>
      </c>
    </row>
    <row r="1620" spans="1:8" x14ac:dyDescent="0.3">
      <c r="A1620" s="64" t="s">
        <v>3511</v>
      </c>
      <c r="B1620" s="64" t="s">
        <v>823</v>
      </c>
      <c r="C1620" s="64" t="s">
        <v>3633</v>
      </c>
      <c r="D1620" s="64" t="s">
        <v>823</v>
      </c>
      <c r="E1620" s="64" t="s">
        <v>20</v>
      </c>
      <c r="F1620" s="64" t="s">
        <v>15</v>
      </c>
      <c r="G1620" s="64" t="s">
        <v>3635</v>
      </c>
      <c r="H1620" s="64" t="s">
        <v>3637</v>
      </c>
    </row>
    <row r="1621" spans="1:8" x14ac:dyDescent="0.3">
      <c r="A1621" s="64" t="s">
        <v>3512</v>
      </c>
      <c r="B1621" s="64" t="s">
        <v>823</v>
      </c>
      <c r="C1621" s="64" t="s">
        <v>3633</v>
      </c>
      <c r="D1621" s="64" t="s">
        <v>823</v>
      </c>
      <c r="E1621" s="64" t="s">
        <v>16</v>
      </c>
      <c r="F1621" s="64" t="s">
        <v>368</v>
      </c>
      <c r="G1621" s="64" t="s">
        <v>3638</v>
      </c>
      <c r="H1621" s="64" t="s">
        <v>3640</v>
      </c>
    </row>
    <row r="1622" spans="1:8" x14ac:dyDescent="0.3">
      <c r="A1622" s="64" t="s">
        <v>3513</v>
      </c>
      <c r="B1622" s="64" t="s">
        <v>823</v>
      </c>
      <c r="C1622" s="64" t="s">
        <v>3633</v>
      </c>
      <c r="D1622" s="64" t="s">
        <v>823</v>
      </c>
      <c r="E1622" s="64" t="s">
        <v>16</v>
      </c>
      <c r="F1622" s="64" t="s">
        <v>369</v>
      </c>
      <c r="G1622" s="64" t="s">
        <v>3641</v>
      </c>
      <c r="H1622" s="64" t="s">
        <v>3643</v>
      </c>
    </row>
    <row r="1623" spans="1:8" x14ac:dyDescent="0.3">
      <c r="A1623" s="64" t="s">
        <v>3514</v>
      </c>
      <c r="B1623" s="64" t="s">
        <v>823</v>
      </c>
      <c r="C1623" s="64" t="s">
        <v>3633</v>
      </c>
      <c r="D1623" s="64" t="s">
        <v>823</v>
      </c>
      <c r="E1623" s="64" t="s">
        <v>16</v>
      </c>
      <c r="F1623" s="64" t="s">
        <v>370</v>
      </c>
      <c r="G1623" s="64" t="s">
        <v>3644</v>
      </c>
      <c r="H1623" s="64" t="s">
        <v>3646</v>
      </c>
    </row>
    <row r="1624" spans="1:8" x14ac:dyDescent="0.3">
      <c r="A1624" s="64" t="s">
        <v>3515</v>
      </c>
      <c r="B1624" s="64" t="s">
        <v>823</v>
      </c>
      <c r="C1624" s="64" t="s">
        <v>3633</v>
      </c>
      <c r="D1624" s="64" t="s">
        <v>823</v>
      </c>
      <c r="E1624" s="64" t="s">
        <v>16</v>
      </c>
      <c r="F1624" s="64" t="s">
        <v>371</v>
      </c>
      <c r="G1624" s="64" t="s">
        <v>3647</v>
      </c>
      <c r="H1624" s="64" t="s">
        <v>3649</v>
      </c>
    </row>
    <row r="1625" spans="1:8" x14ac:dyDescent="0.3">
      <c r="A1625" s="64" t="s">
        <v>3516</v>
      </c>
      <c r="B1625" s="64" t="s">
        <v>823</v>
      </c>
      <c r="C1625" s="64" t="s">
        <v>3633</v>
      </c>
      <c r="D1625" s="64" t="s">
        <v>823</v>
      </c>
      <c r="E1625" s="64" t="s">
        <v>16</v>
      </c>
      <c r="F1625" s="64" t="s">
        <v>372</v>
      </c>
      <c r="G1625" s="64" t="s">
        <v>3650</v>
      </c>
      <c r="H1625" s="64" t="s">
        <v>3652</v>
      </c>
    </row>
    <row r="1626" spans="1:8" x14ac:dyDescent="0.3">
      <c r="A1626" s="64" t="s">
        <v>3517</v>
      </c>
      <c r="B1626" s="64" t="s">
        <v>823</v>
      </c>
      <c r="C1626" s="64" t="s">
        <v>3633</v>
      </c>
      <c r="D1626" s="64" t="s">
        <v>823</v>
      </c>
      <c r="E1626" s="64" t="s">
        <v>16</v>
      </c>
      <c r="F1626" s="64" t="s">
        <v>373</v>
      </c>
      <c r="G1626" s="64" t="s">
        <v>3653</v>
      </c>
      <c r="H1626" s="64" t="s">
        <v>3655</v>
      </c>
    </row>
    <row r="1627" spans="1:8" x14ac:dyDescent="0.3">
      <c r="A1627" s="64" t="s">
        <v>3518</v>
      </c>
      <c r="B1627" s="64" t="s">
        <v>823</v>
      </c>
      <c r="C1627" s="64" t="s">
        <v>3633</v>
      </c>
      <c r="D1627" s="64" t="s">
        <v>823</v>
      </c>
      <c r="E1627" s="64" t="s">
        <v>16</v>
      </c>
      <c r="F1627" s="64" t="s">
        <v>374</v>
      </c>
      <c r="G1627" s="64" t="s">
        <v>3656</v>
      </c>
      <c r="H1627" s="64" t="s">
        <v>3658</v>
      </c>
    </row>
    <row r="1628" spans="1:8" x14ac:dyDescent="0.3">
      <c r="A1628" s="64" t="s">
        <v>3519</v>
      </c>
      <c r="B1628" s="64" t="s">
        <v>823</v>
      </c>
      <c r="C1628" s="64" t="s">
        <v>3633</v>
      </c>
      <c r="D1628" s="64" t="s">
        <v>823</v>
      </c>
      <c r="E1628" s="64" t="s">
        <v>16</v>
      </c>
      <c r="F1628" s="64" t="s">
        <v>375</v>
      </c>
      <c r="G1628" s="64" t="s">
        <v>3659</v>
      </c>
      <c r="H1628" s="64" t="s">
        <v>3661</v>
      </c>
    </row>
    <row r="1629" spans="1:8" x14ac:dyDescent="0.3">
      <c r="A1629" s="64" t="s">
        <v>3520</v>
      </c>
      <c r="B1629" s="64" t="s">
        <v>823</v>
      </c>
      <c r="C1629" s="64" t="s">
        <v>3633</v>
      </c>
      <c r="D1629" s="64" t="s">
        <v>823</v>
      </c>
      <c r="E1629" s="64" t="s">
        <v>16</v>
      </c>
      <c r="F1629" s="64" t="s">
        <v>376</v>
      </c>
      <c r="G1629" s="64" t="s">
        <v>3662</v>
      </c>
      <c r="H1629" s="64" t="s">
        <v>3664</v>
      </c>
    </row>
    <row r="1630" spans="1:8" x14ac:dyDescent="0.3">
      <c r="A1630" s="64" t="s">
        <v>3521</v>
      </c>
      <c r="B1630" s="64" t="s">
        <v>823</v>
      </c>
      <c r="C1630" s="64" t="s">
        <v>3633</v>
      </c>
      <c r="D1630" s="64" t="s">
        <v>823</v>
      </c>
      <c r="E1630" s="64" t="s">
        <v>16</v>
      </c>
      <c r="F1630" s="64" t="s">
        <v>377</v>
      </c>
      <c r="G1630" s="64" t="s">
        <v>3665</v>
      </c>
      <c r="H1630" s="64" t="s">
        <v>3667</v>
      </c>
    </row>
    <row r="1631" spans="1:8" x14ac:dyDescent="0.3">
      <c r="A1631" s="64" t="s">
        <v>3522</v>
      </c>
      <c r="B1631" s="64" t="s">
        <v>823</v>
      </c>
      <c r="C1631" s="64" t="s">
        <v>3633</v>
      </c>
      <c r="D1631" s="64" t="s">
        <v>823</v>
      </c>
      <c r="E1631" s="64" t="s">
        <v>16</v>
      </c>
      <c r="F1631" s="64" t="s">
        <v>378</v>
      </c>
      <c r="G1631" s="64" t="s">
        <v>3668</v>
      </c>
      <c r="H1631" s="64" t="s">
        <v>3670</v>
      </c>
    </row>
    <row r="1632" spans="1:8" x14ac:dyDescent="0.3">
      <c r="A1632" s="64" t="s">
        <v>3523</v>
      </c>
      <c r="B1632" s="64" t="s">
        <v>823</v>
      </c>
      <c r="C1632" s="64" t="s">
        <v>3633</v>
      </c>
      <c r="D1632" s="64" t="s">
        <v>823</v>
      </c>
      <c r="E1632" s="64" t="s">
        <v>16</v>
      </c>
      <c r="F1632" s="64" t="s">
        <v>379</v>
      </c>
      <c r="G1632" s="64" t="s">
        <v>3671</v>
      </c>
      <c r="H1632" s="64" t="s">
        <v>3673</v>
      </c>
    </row>
    <row r="1633" spans="1:8" x14ac:dyDescent="0.3">
      <c r="A1633" s="64" t="s">
        <v>3524</v>
      </c>
      <c r="B1633" s="64" t="s">
        <v>823</v>
      </c>
      <c r="C1633" s="64" t="s">
        <v>3633</v>
      </c>
      <c r="D1633" s="64" t="s">
        <v>823</v>
      </c>
      <c r="E1633" s="64" t="s">
        <v>16</v>
      </c>
      <c r="F1633" s="64" t="s">
        <v>380</v>
      </c>
      <c r="G1633" s="64" t="s">
        <v>3674</v>
      </c>
      <c r="H1633" s="64" t="s">
        <v>3676</v>
      </c>
    </row>
    <row r="1634" spans="1:8" x14ac:dyDescent="0.3">
      <c r="A1634" s="64" t="s">
        <v>3525</v>
      </c>
      <c r="B1634" s="64" t="s">
        <v>823</v>
      </c>
      <c r="C1634" s="64" t="s">
        <v>3633</v>
      </c>
      <c r="D1634" s="64" t="s">
        <v>823</v>
      </c>
      <c r="E1634" s="64" t="s">
        <v>16</v>
      </c>
      <c r="F1634" s="64" t="s">
        <v>381</v>
      </c>
      <c r="G1634" s="64" t="s">
        <v>3677</v>
      </c>
      <c r="H1634" s="64" t="s">
        <v>3679</v>
      </c>
    </row>
    <row r="1635" spans="1:8" x14ac:dyDescent="0.3">
      <c r="A1635" s="64" t="s">
        <v>3526</v>
      </c>
      <c r="B1635" s="64" t="s">
        <v>823</v>
      </c>
      <c r="C1635" s="64" t="s">
        <v>3633</v>
      </c>
      <c r="D1635" s="64" t="s">
        <v>823</v>
      </c>
      <c r="E1635" s="64" t="s">
        <v>16</v>
      </c>
      <c r="F1635" s="64" t="s">
        <v>382</v>
      </c>
      <c r="G1635" s="64" t="s">
        <v>3680</v>
      </c>
      <c r="H1635" s="64" t="s">
        <v>3682</v>
      </c>
    </row>
    <row r="1636" spans="1:8" x14ac:dyDescent="0.3">
      <c r="A1636" s="64" t="s">
        <v>3527</v>
      </c>
      <c r="B1636" s="64" t="s">
        <v>823</v>
      </c>
      <c r="C1636" s="64" t="s">
        <v>3633</v>
      </c>
      <c r="D1636" s="64" t="s">
        <v>823</v>
      </c>
      <c r="E1636" s="64" t="s">
        <v>16</v>
      </c>
      <c r="F1636" s="64" t="s">
        <v>383</v>
      </c>
      <c r="G1636" s="64" t="s">
        <v>3683</v>
      </c>
      <c r="H1636" s="64" t="s">
        <v>3685</v>
      </c>
    </row>
    <row r="1637" spans="1:8" x14ac:dyDescent="0.3">
      <c r="A1637" s="64" t="s">
        <v>3528</v>
      </c>
      <c r="B1637" s="64" t="s">
        <v>823</v>
      </c>
      <c r="C1637" s="64" t="s">
        <v>4279</v>
      </c>
      <c r="D1637" s="64" t="s">
        <v>823</v>
      </c>
      <c r="E1637" s="64" t="s">
        <v>20</v>
      </c>
      <c r="F1637" s="64" t="s">
        <v>15</v>
      </c>
      <c r="G1637" s="64" t="s">
        <v>3687</v>
      </c>
      <c r="H1637" s="64" t="s">
        <v>3689</v>
      </c>
    </row>
    <row r="1638" spans="1:8" x14ac:dyDescent="0.3">
      <c r="A1638" s="64" t="s">
        <v>3529</v>
      </c>
      <c r="B1638" s="64" t="s">
        <v>823</v>
      </c>
      <c r="C1638" s="64" t="s">
        <v>4279</v>
      </c>
      <c r="D1638" s="64" t="s">
        <v>823</v>
      </c>
      <c r="E1638" s="64" t="s">
        <v>16</v>
      </c>
      <c r="F1638" s="64" t="s">
        <v>372</v>
      </c>
      <c r="G1638" s="64" t="s">
        <v>3690</v>
      </c>
      <c r="H1638" s="64" t="s">
        <v>3692</v>
      </c>
    </row>
    <row r="1639" spans="1:8" x14ac:dyDescent="0.3">
      <c r="A1639" s="64" t="s">
        <v>3530</v>
      </c>
      <c r="B1639" s="64" t="s">
        <v>823</v>
      </c>
      <c r="C1639" s="64" t="s">
        <v>4279</v>
      </c>
      <c r="D1639" s="64" t="s">
        <v>823</v>
      </c>
      <c r="E1639" s="64" t="s">
        <v>16</v>
      </c>
      <c r="F1639" s="64" t="s">
        <v>373</v>
      </c>
      <c r="G1639" s="64" t="s">
        <v>3693</v>
      </c>
      <c r="H1639" s="64" t="s">
        <v>3695</v>
      </c>
    </row>
    <row r="1640" spans="1:8" x14ac:dyDescent="0.3">
      <c r="A1640" s="64" t="s">
        <v>3531</v>
      </c>
      <c r="B1640" s="64" t="s">
        <v>823</v>
      </c>
      <c r="C1640" s="64" t="s">
        <v>4279</v>
      </c>
      <c r="D1640" s="64" t="s">
        <v>823</v>
      </c>
      <c r="E1640" s="64" t="s">
        <v>16</v>
      </c>
      <c r="F1640" s="64" t="s">
        <v>375</v>
      </c>
      <c r="G1640" s="64" t="s">
        <v>3696</v>
      </c>
      <c r="H1640" s="64" t="s">
        <v>3698</v>
      </c>
    </row>
    <row r="1641" spans="1:8" x14ac:dyDescent="0.3">
      <c r="A1641" s="64" t="s">
        <v>3532</v>
      </c>
      <c r="B1641" s="64" t="s">
        <v>823</v>
      </c>
      <c r="C1641" s="64" t="s">
        <v>4279</v>
      </c>
      <c r="D1641" s="64" t="s">
        <v>823</v>
      </c>
      <c r="E1641" s="64" t="s">
        <v>16</v>
      </c>
      <c r="F1641" s="64" t="s">
        <v>381</v>
      </c>
      <c r="G1641" s="64" t="s">
        <v>3699</v>
      </c>
      <c r="H1641" s="64" t="s">
        <v>3701</v>
      </c>
    </row>
    <row r="1642" spans="1:8" x14ac:dyDescent="0.3">
      <c r="A1642" s="64" t="s">
        <v>3533</v>
      </c>
      <c r="B1642" s="64" t="s">
        <v>823</v>
      </c>
      <c r="C1642" s="64" t="s">
        <v>4279</v>
      </c>
      <c r="D1642" s="64" t="s">
        <v>823</v>
      </c>
      <c r="E1642" s="64" t="s">
        <v>20</v>
      </c>
      <c r="F1642" s="64" t="s">
        <v>15</v>
      </c>
      <c r="G1642" s="64" t="s">
        <v>3703</v>
      </c>
      <c r="H1642" s="64" t="s">
        <v>3705</v>
      </c>
    </row>
    <row r="1643" spans="1:8" x14ac:dyDescent="0.3">
      <c r="A1643" s="64" t="s">
        <v>3534</v>
      </c>
      <c r="B1643" s="64" t="s">
        <v>823</v>
      </c>
      <c r="C1643" s="64" t="s">
        <v>4279</v>
      </c>
      <c r="D1643" s="64" t="s">
        <v>823</v>
      </c>
      <c r="E1643" s="64" t="s">
        <v>20</v>
      </c>
      <c r="F1643" s="64" t="s">
        <v>15</v>
      </c>
      <c r="G1643" s="64" t="s">
        <v>3706</v>
      </c>
      <c r="H1643" s="64" t="s">
        <v>3708</v>
      </c>
    </row>
    <row r="1644" spans="1:8" x14ac:dyDescent="0.3">
      <c r="A1644" s="64" t="s">
        <v>3535</v>
      </c>
      <c r="B1644" s="64" t="s">
        <v>823</v>
      </c>
      <c r="C1644" s="64" t="s">
        <v>4279</v>
      </c>
      <c r="D1644" s="64" t="s">
        <v>823</v>
      </c>
      <c r="E1644" s="64" t="s">
        <v>16</v>
      </c>
      <c r="F1644" s="64" t="s">
        <v>372</v>
      </c>
      <c r="G1644" s="64" t="s">
        <v>3709</v>
      </c>
      <c r="H1644" s="64" t="s">
        <v>3711</v>
      </c>
    </row>
    <row r="1645" spans="1:8" x14ac:dyDescent="0.3">
      <c r="A1645" s="64" t="s">
        <v>3536</v>
      </c>
      <c r="B1645" s="64" t="s">
        <v>823</v>
      </c>
      <c r="C1645" s="64" t="s">
        <v>4279</v>
      </c>
      <c r="D1645" s="64" t="s">
        <v>823</v>
      </c>
      <c r="E1645" s="64" t="s">
        <v>16</v>
      </c>
      <c r="F1645" s="64" t="s">
        <v>373</v>
      </c>
      <c r="G1645" s="64" t="s">
        <v>3712</v>
      </c>
      <c r="H1645" s="64" t="s">
        <v>3714</v>
      </c>
    </row>
    <row r="1646" spans="1:8" x14ac:dyDescent="0.3">
      <c r="A1646" s="64" t="s">
        <v>3537</v>
      </c>
      <c r="B1646" s="64" t="s">
        <v>823</v>
      </c>
      <c r="C1646" s="64" t="s">
        <v>4279</v>
      </c>
      <c r="D1646" s="64" t="s">
        <v>823</v>
      </c>
      <c r="E1646" s="64" t="s">
        <v>16</v>
      </c>
      <c r="F1646" s="64" t="s">
        <v>375</v>
      </c>
      <c r="G1646" s="64" t="s">
        <v>3715</v>
      </c>
      <c r="H1646" s="64" t="s">
        <v>3717</v>
      </c>
    </row>
    <row r="1647" spans="1:8" x14ac:dyDescent="0.3">
      <c r="A1647" s="64" t="s">
        <v>3538</v>
      </c>
      <c r="B1647" s="64" t="s">
        <v>1375</v>
      </c>
      <c r="C1647" s="64" t="s">
        <v>3718</v>
      </c>
      <c r="D1647" s="64" t="s">
        <v>2700</v>
      </c>
      <c r="E1647" s="64" t="s">
        <v>20</v>
      </c>
      <c r="F1647" s="64" t="s">
        <v>15</v>
      </c>
      <c r="G1647" s="64" t="s">
        <v>3721</v>
      </c>
      <c r="H1647" s="64" t="s">
        <v>3722</v>
      </c>
    </row>
    <row r="1648" spans="1:8" x14ac:dyDescent="0.3">
      <c r="A1648" s="64" t="s">
        <v>3539</v>
      </c>
      <c r="B1648" s="64" t="s">
        <v>1375</v>
      </c>
      <c r="C1648" s="64" t="s">
        <v>3718</v>
      </c>
      <c r="D1648" s="64" t="s">
        <v>2700</v>
      </c>
      <c r="E1648" s="64" t="s">
        <v>16</v>
      </c>
      <c r="F1648" s="64" t="s">
        <v>372</v>
      </c>
      <c r="G1648" s="64" t="s">
        <v>3723</v>
      </c>
      <c r="H1648" s="64" t="s">
        <v>3725</v>
      </c>
    </row>
    <row r="1649" spans="1:8" x14ac:dyDescent="0.3">
      <c r="A1649" s="64" t="s">
        <v>3540</v>
      </c>
      <c r="B1649" s="64" t="s">
        <v>1375</v>
      </c>
      <c r="C1649" s="64" t="s">
        <v>3718</v>
      </c>
      <c r="D1649" s="64" t="s">
        <v>2700</v>
      </c>
      <c r="E1649" s="64" t="s">
        <v>16</v>
      </c>
      <c r="F1649" s="64" t="s">
        <v>375</v>
      </c>
      <c r="G1649" s="64" t="s">
        <v>3726</v>
      </c>
      <c r="H1649" s="64" t="s">
        <v>3728</v>
      </c>
    </row>
    <row r="1650" spans="1:8" x14ac:dyDescent="0.3">
      <c r="A1650" s="64" t="s">
        <v>3541</v>
      </c>
      <c r="B1650" s="64" t="s">
        <v>1375</v>
      </c>
      <c r="C1650" s="64" t="s">
        <v>3718</v>
      </c>
      <c r="D1650" s="64" t="s">
        <v>2700</v>
      </c>
      <c r="E1650" s="64" t="s">
        <v>16</v>
      </c>
      <c r="F1650" s="64" t="s">
        <v>380</v>
      </c>
      <c r="G1650" s="64" t="s">
        <v>3729</v>
      </c>
      <c r="H1650" s="64" t="s">
        <v>3731</v>
      </c>
    </row>
    <row r="1651" spans="1:8" x14ac:dyDescent="0.3">
      <c r="A1651" s="64" t="s">
        <v>3542</v>
      </c>
      <c r="B1651" s="64" t="s">
        <v>1375</v>
      </c>
      <c r="C1651" s="64" t="s">
        <v>3718</v>
      </c>
      <c r="D1651" s="64" t="s">
        <v>2700</v>
      </c>
      <c r="E1651" s="64" t="s">
        <v>16</v>
      </c>
      <c r="F1651" s="64" t="s">
        <v>383</v>
      </c>
      <c r="G1651" s="64" t="s">
        <v>3732</v>
      </c>
      <c r="H1651" s="64" t="s">
        <v>3734</v>
      </c>
    </row>
    <row r="1652" spans="1:8" x14ac:dyDescent="0.3">
      <c r="A1652" s="64" t="s">
        <v>3543</v>
      </c>
      <c r="B1652" s="64" t="s">
        <v>1375</v>
      </c>
      <c r="C1652" s="64" t="s">
        <v>4287</v>
      </c>
      <c r="D1652" s="64" t="s">
        <v>1885</v>
      </c>
      <c r="E1652" s="64" t="s">
        <v>20</v>
      </c>
      <c r="F1652" s="64" t="s">
        <v>15</v>
      </c>
      <c r="G1652" s="64" t="s">
        <v>3736</v>
      </c>
      <c r="H1652" s="64" t="s">
        <v>3737</v>
      </c>
    </row>
    <row r="1653" spans="1:8" x14ac:dyDescent="0.3">
      <c r="A1653" s="64" t="s">
        <v>3544</v>
      </c>
      <c r="B1653" s="64" t="s">
        <v>1375</v>
      </c>
      <c r="C1653" s="64" t="s">
        <v>4287</v>
      </c>
      <c r="D1653" s="64" t="s">
        <v>1885</v>
      </c>
      <c r="E1653" s="64" t="s">
        <v>16</v>
      </c>
      <c r="F1653" s="64" t="s">
        <v>368</v>
      </c>
      <c r="G1653" s="64" t="s">
        <v>3738</v>
      </c>
      <c r="H1653" s="64" t="s">
        <v>3739</v>
      </c>
    </row>
    <row r="1654" spans="1:8" x14ac:dyDescent="0.3">
      <c r="A1654" s="64" t="s">
        <v>3545</v>
      </c>
      <c r="B1654" s="64" t="s">
        <v>1375</v>
      </c>
      <c r="C1654" s="64" t="s">
        <v>4287</v>
      </c>
      <c r="D1654" s="64" t="s">
        <v>1885</v>
      </c>
      <c r="E1654" s="64" t="s">
        <v>16</v>
      </c>
      <c r="F1654" s="64" t="s">
        <v>369</v>
      </c>
      <c r="G1654" s="64" t="s">
        <v>3740</v>
      </c>
      <c r="H1654" s="64" t="s">
        <v>3741</v>
      </c>
    </row>
    <row r="1655" spans="1:8" x14ac:dyDescent="0.3">
      <c r="A1655" s="64" t="s">
        <v>3546</v>
      </c>
      <c r="B1655" s="64" t="s">
        <v>1375</v>
      </c>
      <c r="C1655" s="64" t="s">
        <v>4287</v>
      </c>
      <c r="D1655" s="64" t="s">
        <v>1885</v>
      </c>
      <c r="E1655" s="64" t="s">
        <v>16</v>
      </c>
      <c r="F1655" s="64" t="s">
        <v>370</v>
      </c>
      <c r="G1655" s="64" t="s">
        <v>3742</v>
      </c>
      <c r="H1655" s="64" t="s">
        <v>3743</v>
      </c>
    </row>
    <row r="1656" spans="1:8" x14ac:dyDescent="0.3">
      <c r="A1656" s="64" t="s">
        <v>3547</v>
      </c>
      <c r="B1656" s="64" t="s">
        <v>1375</v>
      </c>
      <c r="C1656" s="64" t="s">
        <v>4287</v>
      </c>
      <c r="D1656" s="64" t="s">
        <v>1885</v>
      </c>
      <c r="E1656" s="64" t="s">
        <v>16</v>
      </c>
      <c r="F1656" s="64" t="s">
        <v>371</v>
      </c>
      <c r="G1656" s="64" t="s">
        <v>3744</v>
      </c>
      <c r="H1656" s="64" t="s">
        <v>3745</v>
      </c>
    </row>
    <row r="1657" spans="1:8" x14ac:dyDescent="0.3">
      <c r="A1657" s="64" t="s">
        <v>3548</v>
      </c>
      <c r="B1657" s="64" t="s">
        <v>1375</v>
      </c>
      <c r="C1657" s="64" t="s">
        <v>4287</v>
      </c>
      <c r="D1657" s="64" t="s">
        <v>1885</v>
      </c>
      <c r="E1657" s="64" t="s">
        <v>16</v>
      </c>
      <c r="F1657" s="64" t="s">
        <v>372</v>
      </c>
      <c r="G1657" s="64" t="s">
        <v>3746</v>
      </c>
      <c r="H1657" s="64" t="s">
        <v>3747</v>
      </c>
    </row>
    <row r="1658" spans="1:8" x14ac:dyDescent="0.3">
      <c r="A1658" s="64" t="s">
        <v>3549</v>
      </c>
      <c r="B1658" s="64" t="s">
        <v>1375</v>
      </c>
      <c r="C1658" s="64" t="s">
        <v>4287</v>
      </c>
      <c r="D1658" s="64" t="s">
        <v>1885</v>
      </c>
      <c r="E1658" s="64" t="s">
        <v>16</v>
      </c>
      <c r="F1658" s="64" t="s">
        <v>373</v>
      </c>
      <c r="G1658" s="64" t="s">
        <v>3748</v>
      </c>
      <c r="H1658" s="64" t="s">
        <v>3749</v>
      </c>
    </row>
    <row r="1659" spans="1:8" x14ac:dyDescent="0.3">
      <c r="A1659" s="64" t="s">
        <v>3550</v>
      </c>
      <c r="B1659" s="64" t="s">
        <v>1375</v>
      </c>
      <c r="C1659" s="64" t="s">
        <v>4287</v>
      </c>
      <c r="D1659" s="64" t="s">
        <v>1885</v>
      </c>
      <c r="E1659" s="64" t="s">
        <v>16</v>
      </c>
      <c r="F1659" s="64" t="s">
        <v>374</v>
      </c>
      <c r="G1659" s="64" t="s">
        <v>3750</v>
      </c>
      <c r="H1659" s="64" t="s">
        <v>3751</v>
      </c>
    </row>
    <row r="1660" spans="1:8" x14ac:dyDescent="0.3">
      <c r="A1660" s="64" t="s">
        <v>3551</v>
      </c>
      <c r="B1660" s="64" t="s">
        <v>1375</v>
      </c>
      <c r="C1660" s="64" t="s">
        <v>4287</v>
      </c>
      <c r="D1660" s="64" t="s">
        <v>1885</v>
      </c>
      <c r="E1660" s="64" t="s">
        <v>16</v>
      </c>
      <c r="F1660" s="64" t="s">
        <v>375</v>
      </c>
      <c r="G1660" s="64" t="s">
        <v>3752</v>
      </c>
      <c r="H1660" s="64" t="s">
        <v>3753</v>
      </c>
    </row>
    <row r="1661" spans="1:8" x14ac:dyDescent="0.3">
      <c r="A1661" s="64" t="s">
        <v>3552</v>
      </c>
      <c r="B1661" s="64" t="s">
        <v>1375</v>
      </c>
      <c r="C1661" s="64" t="s">
        <v>4287</v>
      </c>
      <c r="D1661" s="64" t="s">
        <v>1885</v>
      </c>
      <c r="E1661" s="64" t="s">
        <v>16</v>
      </c>
      <c r="F1661" s="64" t="s">
        <v>376</v>
      </c>
      <c r="G1661" s="64" t="s">
        <v>3754</v>
      </c>
      <c r="H1661" s="64" t="s">
        <v>3755</v>
      </c>
    </row>
    <row r="1662" spans="1:8" x14ac:dyDescent="0.3">
      <c r="A1662" s="64" t="s">
        <v>3553</v>
      </c>
      <c r="B1662" s="64" t="s">
        <v>1375</v>
      </c>
      <c r="C1662" s="64" t="s">
        <v>4287</v>
      </c>
      <c r="D1662" s="64" t="s">
        <v>1885</v>
      </c>
      <c r="E1662" s="64" t="s">
        <v>16</v>
      </c>
      <c r="F1662" s="64" t="s">
        <v>377</v>
      </c>
      <c r="G1662" s="64" t="s">
        <v>3756</v>
      </c>
      <c r="H1662" s="64" t="s">
        <v>3757</v>
      </c>
    </row>
    <row r="1663" spans="1:8" x14ac:dyDescent="0.3">
      <c r="A1663" s="64" t="s">
        <v>3554</v>
      </c>
      <c r="B1663" s="64" t="s">
        <v>1375</v>
      </c>
      <c r="C1663" s="64" t="s">
        <v>4287</v>
      </c>
      <c r="D1663" s="64" t="s">
        <v>1885</v>
      </c>
      <c r="E1663" s="64" t="s">
        <v>16</v>
      </c>
      <c r="F1663" s="64" t="s">
        <v>378</v>
      </c>
      <c r="G1663" s="64" t="s">
        <v>3758</v>
      </c>
      <c r="H1663" s="64" t="s">
        <v>3759</v>
      </c>
    </row>
    <row r="1664" spans="1:8" x14ac:dyDescent="0.3">
      <c r="A1664" s="64" t="s">
        <v>3555</v>
      </c>
      <c r="B1664" s="64" t="s">
        <v>1375</v>
      </c>
      <c r="C1664" s="64" t="s">
        <v>4287</v>
      </c>
      <c r="D1664" s="64" t="s">
        <v>1885</v>
      </c>
      <c r="E1664" s="64" t="s">
        <v>16</v>
      </c>
      <c r="F1664" s="64" t="s">
        <v>379</v>
      </c>
      <c r="G1664" s="64" t="s">
        <v>3760</v>
      </c>
      <c r="H1664" s="64" t="s">
        <v>3761</v>
      </c>
    </row>
    <row r="1665" spans="1:8" x14ac:dyDescent="0.3">
      <c r="A1665" s="64" t="s">
        <v>3556</v>
      </c>
      <c r="B1665" s="64" t="s">
        <v>1375</v>
      </c>
      <c r="C1665" s="64" t="s">
        <v>4287</v>
      </c>
      <c r="D1665" s="64" t="s">
        <v>1885</v>
      </c>
      <c r="E1665" s="64" t="s">
        <v>16</v>
      </c>
      <c r="F1665" s="64" t="s">
        <v>380</v>
      </c>
      <c r="G1665" s="64" t="s">
        <v>3762</v>
      </c>
      <c r="H1665" s="64" t="s">
        <v>3763</v>
      </c>
    </row>
    <row r="1666" spans="1:8" x14ac:dyDescent="0.3">
      <c r="A1666" s="64" t="s">
        <v>3557</v>
      </c>
      <c r="B1666" s="64" t="s">
        <v>1375</v>
      </c>
      <c r="C1666" s="64" t="s">
        <v>4287</v>
      </c>
      <c r="D1666" s="64" t="s">
        <v>1885</v>
      </c>
      <c r="E1666" s="64" t="s">
        <v>16</v>
      </c>
      <c r="F1666" s="64" t="s">
        <v>381</v>
      </c>
      <c r="G1666" s="64" t="s">
        <v>3764</v>
      </c>
      <c r="H1666" s="64" t="s">
        <v>3765</v>
      </c>
    </row>
    <row r="1667" spans="1:8" x14ac:dyDescent="0.3">
      <c r="A1667" s="64" t="s">
        <v>3558</v>
      </c>
      <c r="B1667" s="64" t="s">
        <v>1375</v>
      </c>
      <c r="C1667" s="64" t="s">
        <v>4287</v>
      </c>
      <c r="D1667" s="64" t="s">
        <v>1885</v>
      </c>
      <c r="E1667" s="64" t="s">
        <v>16</v>
      </c>
      <c r="F1667" s="64" t="s">
        <v>382</v>
      </c>
      <c r="G1667" s="64" t="s">
        <v>3766</v>
      </c>
      <c r="H1667" s="64" t="s">
        <v>3767</v>
      </c>
    </row>
    <row r="1668" spans="1:8" x14ac:dyDescent="0.3">
      <c r="A1668" s="64" t="s">
        <v>3559</v>
      </c>
      <c r="B1668" s="64" t="s">
        <v>1375</v>
      </c>
      <c r="C1668" s="64" t="s">
        <v>4287</v>
      </c>
      <c r="D1668" s="64" t="s">
        <v>1885</v>
      </c>
      <c r="E1668" s="64" t="s">
        <v>16</v>
      </c>
      <c r="F1668" s="64" t="s">
        <v>383</v>
      </c>
      <c r="G1668" s="64" t="s">
        <v>3768</v>
      </c>
      <c r="H1668" s="64" t="s">
        <v>3769</v>
      </c>
    </row>
    <row r="1669" spans="1:8" x14ac:dyDescent="0.3">
      <c r="A1669" s="64" t="s">
        <v>3560</v>
      </c>
      <c r="B1669" s="64" t="s">
        <v>823</v>
      </c>
      <c r="C1669" s="64" t="s">
        <v>3770</v>
      </c>
      <c r="D1669" s="64" t="s">
        <v>823</v>
      </c>
      <c r="E1669" s="64" t="s">
        <v>20</v>
      </c>
      <c r="F1669" s="64" t="s">
        <v>15</v>
      </c>
      <c r="G1669" s="64" t="s">
        <v>3772</v>
      </c>
      <c r="H1669" s="64" t="s">
        <v>3774</v>
      </c>
    </row>
    <row r="1670" spans="1:8" x14ac:dyDescent="0.3">
      <c r="A1670" s="64" t="s">
        <v>3561</v>
      </c>
      <c r="B1670" s="64" t="s">
        <v>823</v>
      </c>
      <c r="C1670" s="64" t="s">
        <v>3770</v>
      </c>
      <c r="D1670" s="64" t="s">
        <v>823</v>
      </c>
      <c r="E1670" s="64" t="s">
        <v>16</v>
      </c>
      <c r="F1670" s="64" t="s">
        <v>368</v>
      </c>
      <c r="G1670" s="64" t="s">
        <v>3775</v>
      </c>
      <c r="H1670" s="64" t="s">
        <v>3776</v>
      </c>
    </row>
    <row r="1671" spans="1:8" x14ac:dyDescent="0.3">
      <c r="A1671" s="64" t="s">
        <v>3562</v>
      </c>
      <c r="B1671" s="64" t="s">
        <v>823</v>
      </c>
      <c r="C1671" s="64" t="s">
        <v>3770</v>
      </c>
      <c r="D1671" s="64" t="s">
        <v>823</v>
      </c>
      <c r="E1671" s="64" t="s">
        <v>16</v>
      </c>
      <c r="F1671" s="64" t="s">
        <v>372</v>
      </c>
      <c r="G1671" s="64" t="s">
        <v>3777</v>
      </c>
      <c r="H1671" s="64" t="s">
        <v>3778</v>
      </c>
    </row>
    <row r="1672" spans="1:8" x14ac:dyDescent="0.3">
      <c r="A1672" s="64" t="s">
        <v>3563</v>
      </c>
      <c r="B1672" s="64" t="s">
        <v>823</v>
      </c>
      <c r="C1672" s="64" t="s">
        <v>3770</v>
      </c>
      <c r="D1672" s="64" t="s">
        <v>823</v>
      </c>
      <c r="E1672" s="64" t="s">
        <v>16</v>
      </c>
      <c r="F1672" s="64" t="s">
        <v>375</v>
      </c>
      <c r="G1672" s="64" t="s">
        <v>3779</v>
      </c>
      <c r="H1672" s="64" t="s">
        <v>3780</v>
      </c>
    </row>
    <row r="1673" spans="1:8" x14ac:dyDescent="0.3">
      <c r="A1673" s="64" t="s">
        <v>3564</v>
      </c>
      <c r="B1673" s="64" t="s">
        <v>814</v>
      </c>
      <c r="C1673" s="64" t="s">
        <v>3781</v>
      </c>
      <c r="D1673" s="64" t="s">
        <v>814</v>
      </c>
      <c r="E1673" s="64" t="s">
        <v>20</v>
      </c>
      <c r="F1673" s="64" t="s">
        <v>15</v>
      </c>
      <c r="G1673" s="64" t="s">
        <v>9171</v>
      </c>
      <c r="H1673" s="64" t="s">
        <v>3784</v>
      </c>
    </row>
    <row r="1674" spans="1:8" x14ac:dyDescent="0.3">
      <c r="A1674" s="64" t="s">
        <v>3565</v>
      </c>
      <c r="B1674" s="64" t="s">
        <v>814</v>
      </c>
      <c r="C1674" s="64" t="s">
        <v>3781</v>
      </c>
      <c r="D1674" s="64" t="s">
        <v>814</v>
      </c>
      <c r="E1674" s="64" t="s">
        <v>16</v>
      </c>
      <c r="F1674" s="64" t="s">
        <v>368</v>
      </c>
      <c r="G1674" s="64" t="s">
        <v>9172</v>
      </c>
      <c r="H1674" s="64" t="s">
        <v>3785</v>
      </c>
    </row>
    <row r="1675" spans="1:8" x14ac:dyDescent="0.3">
      <c r="A1675" s="64" t="s">
        <v>3566</v>
      </c>
      <c r="B1675" s="64" t="s">
        <v>814</v>
      </c>
      <c r="C1675" s="64" t="s">
        <v>3781</v>
      </c>
      <c r="D1675" s="64" t="s">
        <v>814</v>
      </c>
      <c r="E1675" s="64" t="s">
        <v>16</v>
      </c>
      <c r="F1675" s="64" t="s">
        <v>369</v>
      </c>
      <c r="G1675" s="64" t="s">
        <v>9173</v>
      </c>
      <c r="H1675" s="64" t="s">
        <v>3786</v>
      </c>
    </row>
    <row r="1676" spans="1:8" x14ac:dyDescent="0.3">
      <c r="A1676" s="64" t="s">
        <v>3567</v>
      </c>
      <c r="B1676" s="64" t="s">
        <v>814</v>
      </c>
      <c r="C1676" s="64" t="s">
        <v>3781</v>
      </c>
      <c r="D1676" s="64" t="s">
        <v>814</v>
      </c>
      <c r="E1676" s="64" t="s">
        <v>16</v>
      </c>
      <c r="F1676" s="64" t="s">
        <v>370</v>
      </c>
      <c r="G1676" s="64" t="s">
        <v>9174</v>
      </c>
      <c r="H1676" s="64" t="s">
        <v>3787</v>
      </c>
    </row>
    <row r="1677" spans="1:8" x14ac:dyDescent="0.3">
      <c r="A1677" s="64" t="s">
        <v>3568</v>
      </c>
      <c r="B1677" s="64" t="s">
        <v>814</v>
      </c>
      <c r="C1677" s="64" t="s">
        <v>3781</v>
      </c>
      <c r="D1677" s="64" t="s">
        <v>814</v>
      </c>
      <c r="E1677" s="64" t="s">
        <v>16</v>
      </c>
      <c r="F1677" s="64" t="s">
        <v>371</v>
      </c>
      <c r="G1677" s="64" t="s">
        <v>9175</v>
      </c>
      <c r="H1677" s="64" t="s">
        <v>3788</v>
      </c>
    </row>
    <row r="1678" spans="1:8" x14ac:dyDescent="0.3">
      <c r="A1678" s="64" t="s">
        <v>3569</v>
      </c>
      <c r="B1678" s="64" t="s">
        <v>814</v>
      </c>
      <c r="C1678" s="64" t="s">
        <v>3781</v>
      </c>
      <c r="D1678" s="64" t="s">
        <v>814</v>
      </c>
      <c r="E1678" s="64" t="s">
        <v>16</v>
      </c>
      <c r="F1678" s="64" t="s">
        <v>372</v>
      </c>
      <c r="G1678" s="64" t="s">
        <v>9176</v>
      </c>
      <c r="H1678" s="64" t="s">
        <v>3789</v>
      </c>
    </row>
    <row r="1679" spans="1:8" x14ac:dyDescent="0.3">
      <c r="A1679" s="64" t="s">
        <v>3570</v>
      </c>
      <c r="B1679" s="64" t="s">
        <v>814</v>
      </c>
      <c r="C1679" s="64" t="s">
        <v>3781</v>
      </c>
      <c r="D1679" s="64" t="s">
        <v>814</v>
      </c>
      <c r="E1679" s="64" t="s">
        <v>16</v>
      </c>
      <c r="F1679" s="64" t="s">
        <v>373</v>
      </c>
      <c r="G1679" s="64" t="s">
        <v>9177</v>
      </c>
      <c r="H1679" s="64" t="s">
        <v>3790</v>
      </c>
    </row>
    <row r="1680" spans="1:8" x14ac:dyDescent="0.3">
      <c r="A1680" s="64" t="s">
        <v>3571</v>
      </c>
      <c r="B1680" s="64" t="s">
        <v>814</v>
      </c>
      <c r="C1680" s="64" t="s">
        <v>3781</v>
      </c>
      <c r="D1680" s="64" t="s">
        <v>814</v>
      </c>
      <c r="E1680" s="64" t="s">
        <v>16</v>
      </c>
      <c r="F1680" s="64" t="s">
        <v>374</v>
      </c>
      <c r="G1680" s="64" t="s">
        <v>9178</v>
      </c>
      <c r="H1680" s="64" t="s">
        <v>3791</v>
      </c>
    </row>
    <row r="1681" spans="1:8" x14ac:dyDescent="0.3">
      <c r="A1681" s="64" t="s">
        <v>3572</v>
      </c>
      <c r="B1681" s="64" t="s">
        <v>814</v>
      </c>
      <c r="C1681" s="64" t="s">
        <v>3781</v>
      </c>
      <c r="D1681" s="64" t="s">
        <v>814</v>
      </c>
      <c r="E1681" s="64" t="s">
        <v>16</v>
      </c>
      <c r="F1681" s="64" t="s">
        <v>375</v>
      </c>
      <c r="G1681" s="64" t="s">
        <v>9179</v>
      </c>
      <c r="H1681" s="64" t="s">
        <v>3792</v>
      </c>
    </row>
    <row r="1682" spans="1:8" x14ac:dyDescent="0.3">
      <c r="A1682" s="64" t="s">
        <v>3573</v>
      </c>
      <c r="B1682" s="64" t="s">
        <v>814</v>
      </c>
      <c r="C1682" s="64" t="s">
        <v>3781</v>
      </c>
      <c r="D1682" s="64" t="s">
        <v>814</v>
      </c>
      <c r="E1682" s="64" t="s">
        <v>16</v>
      </c>
      <c r="F1682" s="64" t="s">
        <v>376</v>
      </c>
      <c r="G1682" s="64" t="s">
        <v>9180</v>
      </c>
      <c r="H1682" s="64" t="s">
        <v>3793</v>
      </c>
    </row>
    <row r="1683" spans="1:8" x14ac:dyDescent="0.3">
      <c r="A1683" s="64" t="s">
        <v>3574</v>
      </c>
      <c r="B1683" s="64" t="s">
        <v>814</v>
      </c>
      <c r="C1683" s="64" t="s">
        <v>3781</v>
      </c>
      <c r="D1683" s="64" t="s">
        <v>814</v>
      </c>
      <c r="E1683" s="64" t="s">
        <v>16</v>
      </c>
      <c r="F1683" s="64" t="s">
        <v>377</v>
      </c>
      <c r="G1683" s="64" t="s">
        <v>9181</v>
      </c>
      <c r="H1683" s="64" t="s">
        <v>3794</v>
      </c>
    </row>
    <row r="1684" spans="1:8" x14ac:dyDescent="0.3">
      <c r="A1684" s="64" t="s">
        <v>3575</v>
      </c>
      <c r="B1684" s="64" t="s">
        <v>814</v>
      </c>
      <c r="C1684" s="64" t="s">
        <v>3781</v>
      </c>
      <c r="D1684" s="64" t="s">
        <v>814</v>
      </c>
      <c r="E1684" s="64" t="s">
        <v>16</v>
      </c>
      <c r="F1684" s="64" t="s">
        <v>378</v>
      </c>
      <c r="G1684" s="64" t="s">
        <v>9182</v>
      </c>
      <c r="H1684" s="64" t="s">
        <v>3795</v>
      </c>
    </row>
    <row r="1685" spans="1:8" x14ac:dyDescent="0.3">
      <c r="A1685" s="64" t="s">
        <v>3576</v>
      </c>
      <c r="B1685" s="64" t="s">
        <v>814</v>
      </c>
      <c r="C1685" s="64" t="s">
        <v>3781</v>
      </c>
      <c r="D1685" s="64" t="s">
        <v>814</v>
      </c>
      <c r="E1685" s="64" t="s">
        <v>16</v>
      </c>
      <c r="F1685" s="64" t="s">
        <v>379</v>
      </c>
      <c r="G1685" s="64" t="s">
        <v>9183</v>
      </c>
      <c r="H1685" s="64" t="s">
        <v>3796</v>
      </c>
    </row>
    <row r="1686" spans="1:8" x14ac:dyDescent="0.3">
      <c r="A1686" s="64" t="s">
        <v>3577</v>
      </c>
      <c r="B1686" s="64" t="s">
        <v>814</v>
      </c>
      <c r="C1686" s="64" t="s">
        <v>3781</v>
      </c>
      <c r="D1686" s="64" t="s">
        <v>814</v>
      </c>
      <c r="E1686" s="64" t="s">
        <v>16</v>
      </c>
      <c r="F1686" s="64" t="s">
        <v>380</v>
      </c>
      <c r="G1686" s="64" t="s">
        <v>9184</v>
      </c>
      <c r="H1686" s="64" t="s">
        <v>3797</v>
      </c>
    </row>
    <row r="1687" spans="1:8" x14ac:dyDescent="0.3">
      <c r="A1687" s="64" t="s">
        <v>3578</v>
      </c>
      <c r="B1687" s="64" t="s">
        <v>814</v>
      </c>
      <c r="C1687" s="64" t="s">
        <v>3781</v>
      </c>
      <c r="D1687" s="64" t="s">
        <v>814</v>
      </c>
      <c r="E1687" s="64" t="s">
        <v>16</v>
      </c>
      <c r="F1687" s="64" t="s">
        <v>381</v>
      </c>
      <c r="G1687" s="64" t="s">
        <v>9185</v>
      </c>
      <c r="H1687" s="64" t="s">
        <v>3798</v>
      </c>
    </row>
    <row r="1688" spans="1:8" x14ac:dyDescent="0.3">
      <c r="A1688" s="64" t="s">
        <v>3579</v>
      </c>
      <c r="B1688" s="64" t="s">
        <v>814</v>
      </c>
      <c r="C1688" s="64" t="s">
        <v>3781</v>
      </c>
      <c r="D1688" s="64" t="s">
        <v>814</v>
      </c>
      <c r="E1688" s="64" t="s">
        <v>16</v>
      </c>
      <c r="F1688" s="64" t="s">
        <v>382</v>
      </c>
      <c r="G1688" s="64" t="s">
        <v>9186</v>
      </c>
      <c r="H1688" s="64" t="s">
        <v>3799</v>
      </c>
    </row>
    <row r="1689" spans="1:8" x14ac:dyDescent="0.3">
      <c r="A1689" s="64" t="s">
        <v>3580</v>
      </c>
      <c r="B1689" s="64" t="s">
        <v>814</v>
      </c>
      <c r="C1689" s="64" t="s">
        <v>3781</v>
      </c>
      <c r="D1689" s="64" t="s">
        <v>814</v>
      </c>
      <c r="E1689" s="64" t="s">
        <v>16</v>
      </c>
      <c r="F1689" s="64" t="s">
        <v>383</v>
      </c>
      <c r="G1689" s="64" t="s">
        <v>9187</v>
      </c>
      <c r="H1689" s="64" t="s">
        <v>3800</v>
      </c>
    </row>
    <row r="1690" spans="1:8" x14ac:dyDescent="0.3">
      <c r="A1690" s="64" t="s">
        <v>3581</v>
      </c>
      <c r="B1690" s="64" t="s">
        <v>814</v>
      </c>
      <c r="C1690" s="64" t="s">
        <v>3801</v>
      </c>
      <c r="D1690" s="64" t="s">
        <v>814</v>
      </c>
      <c r="E1690" s="64" t="s">
        <v>20</v>
      </c>
      <c r="F1690" s="64" t="s">
        <v>15</v>
      </c>
      <c r="G1690" s="64" t="s">
        <v>3803</v>
      </c>
      <c r="H1690" s="64" t="s">
        <v>3805</v>
      </c>
    </row>
    <row r="1691" spans="1:8" x14ac:dyDescent="0.3">
      <c r="A1691" s="64" t="s">
        <v>3582</v>
      </c>
      <c r="B1691" s="64" t="s">
        <v>814</v>
      </c>
      <c r="C1691" s="64" t="s">
        <v>3801</v>
      </c>
      <c r="D1691" s="64" t="s">
        <v>814</v>
      </c>
      <c r="E1691" s="64" t="s">
        <v>16</v>
      </c>
      <c r="F1691" s="64" t="s">
        <v>368</v>
      </c>
      <c r="G1691" s="64" t="s">
        <v>9188</v>
      </c>
      <c r="H1691" s="64" t="s">
        <v>3806</v>
      </c>
    </row>
    <row r="1692" spans="1:8" x14ac:dyDescent="0.3">
      <c r="A1692" s="64" t="s">
        <v>3583</v>
      </c>
      <c r="B1692" s="64" t="s">
        <v>814</v>
      </c>
      <c r="C1692" s="64" t="s">
        <v>3801</v>
      </c>
      <c r="D1692" s="64" t="s">
        <v>814</v>
      </c>
      <c r="E1692" s="64" t="s">
        <v>16</v>
      </c>
      <c r="F1692" s="64" t="s">
        <v>369</v>
      </c>
      <c r="G1692" s="64" t="s">
        <v>9189</v>
      </c>
      <c r="H1692" s="64" t="s">
        <v>3807</v>
      </c>
    </row>
    <row r="1693" spans="1:8" x14ac:dyDescent="0.3">
      <c r="A1693" s="64" t="s">
        <v>3584</v>
      </c>
      <c r="B1693" s="64" t="s">
        <v>814</v>
      </c>
      <c r="C1693" s="64" t="s">
        <v>3801</v>
      </c>
      <c r="D1693" s="64" t="s">
        <v>814</v>
      </c>
      <c r="E1693" s="64" t="s">
        <v>16</v>
      </c>
      <c r="F1693" s="64" t="s">
        <v>370</v>
      </c>
      <c r="G1693" s="64" t="s">
        <v>9190</v>
      </c>
      <c r="H1693" s="64" t="s">
        <v>3808</v>
      </c>
    </row>
    <row r="1694" spans="1:8" x14ac:dyDescent="0.3">
      <c r="A1694" s="64" t="s">
        <v>3585</v>
      </c>
      <c r="B1694" s="64" t="s">
        <v>814</v>
      </c>
      <c r="C1694" s="64" t="s">
        <v>3801</v>
      </c>
      <c r="D1694" s="64" t="s">
        <v>814</v>
      </c>
      <c r="E1694" s="64" t="s">
        <v>16</v>
      </c>
      <c r="F1694" s="64" t="s">
        <v>371</v>
      </c>
      <c r="G1694" s="64" t="s">
        <v>9191</v>
      </c>
      <c r="H1694" s="64" t="s">
        <v>3809</v>
      </c>
    </row>
    <row r="1695" spans="1:8" x14ac:dyDescent="0.3">
      <c r="A1695" s="64" t="s">
        <v>3586</v>
      </c>
      <c r="B1695" s="64" t="s">
        <v>814</v>
      </c>
      <c r="C1695" s="64" t="s">
        <v>3801</v>
      </c>
      <c r="D1695" s="64" t="s">
        <v>814</v>
      </c>
      <c r="E1695" s="64" t="s">
        <v>16</v>
      </c>
      <c r="F1695" s="64" t="s">
        <v>373</v>
      </c>
      <c r="G1695" s="64" t="s">
        <v>9192</v>
      </c>
      <c r="H1695" s="64" t="s">
        <v>3810</v>
      </c>
    </row>
    <row r="1696" spans="1:8" x14ac:dyDescent="0.3">
      <c r="A1696" s="64" t="s">
        <v>3587</v>
      </c>
      <c r="B1696" s="64" t="s">
        <v>814</v>
      </c>
      <c r="C1696" s="64" t="s">
        <v>3801</v>
      </c>
      <c r="D1696" s="64" t="s">
        <v>814</v>
      </c>
      <c r="E1696" s="64" t="s">
        <v>16</v>
      </c>
      <c r="F1696" s="64" t="s">
        <v>374</v>
      </c>
      <c r="G1696" s="64" t="s">
        <v>9193</v>
      </c>
      <c r="H1696" s="64" t="s">
        <v>3811</v>
      </c>
    </row>
    <row r="1697" spans="1:8" x14ac:dyDescent="0.3">
      <c r="A1697" s="64" t="s">
        <v>3588</v>
      </c>
      <c r="B1697" s="64" t="s">
        <v>814</v>
      </c>
      <c r="C1697" s="64" t="s">
        <v>3801</v>
      </c>
      <c r="D1697" s="64" t="s">
        <v>814</v>
      </c>
      <c r="E1697" s="64" t="s">
        <v>16</v>
      </c>
      <c r="F1697" s="64" t="s">
        <v>375</v>
      </c>
      <c r="G1697" s="64" t="s">
        <v>9194</v>
      </c>
      <c r="H1697" s="64" t="s">
        <v>3812</v>
      </c>
    </row>
    <row r="1698" spans="1:8" x14ac:dyDescent="0.3">
      <c r="A1698" s="64" t="s">
        <v>3589</v>
      </c>
      <c r="B1698" s="64" t="s">
        <v>814</v>
      </c>
      <c r="C1698" s="64" t="s">
        <v>3801</v>
      </c>
      <c r="D1698" s="64" t="s">
        <v>814</v>
      </c>
      <c r="E1698" s="64" t="s">
        <v>16</v>
      </c>
      <c r="F1698" s="64" t="s">
        <v>376</v>
      </c>
      <c r="G1698" s="64" t="s">
        <v>9195</v>
      </c>
      <c r="H1698" s="64" t="s">
        <v>3813</v>
      </c>
    </row>
    <row r="1699" spans="1:8" x14ac:dyDescent="0.3">
      <c r="A1699" s="64" t="s">
        <v>3590</v>
      </c>
      <c r="B1699" s="64" t="s">
        <v>814</v>
      </c>
      <c r="C1699" s="64" t="s">
        <v>3801</v>
      </c>
      <c r="D1699" s="64" t="s">
        <v>814</v>
      </c>
      <c r="E1699" s="64" t="s">
        <v>16</v>
      </c>
      <c r="F1699" s="64" t="s">
        <v>377</v>
      </c>
      <c r="G1699" s="64" t="s">
        <v>9196</v>
      </c>
      <c r="H1699" s="64" t="s">
        <v>3814</v>
      </c>
    </row>
    <row r="1700" spans="1:8" x14ac:dyDescent="0.3">
      <c r="A1700" s="64" t="s">
        <v>3591</v>
      </c>
      <c r="B1700" s="64" t="s">
        <v>814</v>
      </c>
      <c r="C1700" s="64" t="s">
        <v>3801</v>
      </c>
      <c r="D1700" s="64" t="s">
        <v>814</v>
      </c>
      <c r="E1700" s="64" t="s">
        <v>16</v>
      </c>
      <c r="F1700" s="64" t="s">
        <v>378</v>
      </c>
      <c r="G1700" s="64" t="s">
        <v>9197</v>
      </c>
      <c r="H1700" s="64" t="s">
        <v>3815</v>
      </c>
    </row>
    <row r="1701" spans="1:8" x14ac:dyDescent="0.3">
      <c r="A1701" s="64" t="s">
        <v>3592</v>
      </c>
      <c r="B1701" s="64" t="s">
        <v>814</v>
      </c>
      <c r="C1701" s="64" t="s">
        <v>3801</v>
      </c>
      <c r="D1701" s="64" t="s">
        <v>814</v>
      </c>
      <c r="E1701" s="64" t="s">
        <v>16</v>
      </c>
      <c r="F1701" s="64" t="s">
        <v>379</v>
      </c>
      <c r="G1701" s="64" t="s">
        <v>9198</v>
      </c>
      <c r="H1701" s="64" t="s">
        <v>3816</v>
      </c>
    </row>
    <row r="1702" spans="1:8" x14ac:dyDescent="0.3">
      <c r="A1702" s="64" t="s">
        <v>3593</v>
      </c>
      <c r="B1702" s="64" t="s">
        <v>814</v>
      </c>
      <c r="C1702" s="64" t="s">
        <v>3801</v>
      </c>
      <c r="D1702" s="64" t="s">
        <v>814</v>
      </c>
      <c r="E1702" s="64" t="s">
        <v>16</v>
      </c>
      <c r="F1702" s="64" t="s">
        <v>380</v>
      </c>
      <c r="G1702" s="64" t="s">
        <v>9199</v>
      </c>
      <c r="H1702" s="64" t="s">
        <v>3817</v>
      </c>
    </row>
    <row r="1703" spans="1:8" x14ac:dyDescent="0.3">
      <c r="A1703" s="64" t="s">
        <v>3594</v>
      </c>
      <c r="B1703" s="64" t="s">
        <v>814</v>
      </c>
      <c r="C1703" s="64" t="s">
        <v>3801</v>
      </c>
      <c r="D1703" s="64" t="s">
        <v>814</v>
      </c>
      <c r="E1703" s="64" t="s">
        <v>16</v>
      </c>
      <c r="F1703" s="64" t="s">
        <v>381</v>
      </c>
      <c r="G1703" s="64" t="s">
        <v>9200</v>
      </c>
      <c r="H1703" s="64" t="s">
        <v>3818</v>
      </c>
    </row>
    <row r="1704" spans="1:8" x14ac:dyDescent="0.3">
      <c r="A1704" s="64" t="s">
        <v>3595</v>
      </c>
      <c r="B1704" s="64" t="s">
        <v>814</v>
      </c>
      <c r="C1704" s="64" t="s">
        <v>3801</v>
      </c>
      <c r="D1704" s="64" t="s">
        <v>814</v>
      </c>
      <c r="E1704" s="64" t="s">
        <v>16</v>
      </c>
      <c r="F1704" s="64" t="s">
        <v>382</v>
      </c>
      <c r="G1704" s="64" t="s">
        <v>9201</v>
      </c>
      <c r="H1704" s="64" t="s">
        <v>3819</v>
      </c>
    </row>
    <row r="1705" spans="1:8" x14ac:dyDescent="0.3">
      <c r="A1705" s="64" t="s">
        <v>3596</v>
      </c>
      <c r="B1705" s="64" t="s">
        <v>814</v>
      </c>
      <c r="C1705" s="64" t="s">
        <v>3801</v>
      </c>
      <c r="D1705" s="64" t="s">
        <v>814</v>
      </c>
      <c r="E1705" s="64" t="s">
        <v>16</v>
      </c>
      <c r="F1705" s="64" t="s">
        <v>383</v>
      </c>
      <c r="G1705" s="64" t="s">
        <v>9202</v>
      </c>
      <c r="H1705" s="64" t="s">
        <v>3820</v>
      </c>
    </row>
    <row r="1706" spans="1:8" x14ac:dyDescent="0.3">
      <c r="A1706" s="64" t="s">
        <v>3597</v>
      </c>
      <c r="B1706" s="64" t="s">
        <v>814</v>
      </c>
      <c r="C1706" s="64" t="s">
        <v>3821</v>
      </c>
      <c r="D1706" s="64" t="s">
        <v>814</v>
      </c>
      <c r="E1706" s="64" t="s">
        <v>20</v>
      </c>
      <c r="F1706" s="64" t="s">
        <v>15</v>
      </c>
      <c r="G1706" s="64" t="s">
        <v>3822</v>
      </c>
      <c r="H1706" s="64" t="s">
        <v>3823</v>
      </c>
    </row>
    <row r="1707" spans="1:8" x14ac:dyDescent="0.3">
      <c r="A1707" s="64" t="s">
        <v>3598</v>
      </c>
      <c r="B1707" s="64" t="s">
        <v>814</v>
      </c>
      <c r="C1707" s="64" t="s">
        <v>3821</v>
      </c>
      <c r="D1707" s="64" t="s">
        <v>814</v>
      </c>
      <c r="E1707" s="64" t="s">
        <v>16</v>
      </c>
      <c r="F1707" s="64" t="s">
        <v>368</v>
      </c>
      <c r="G1707" s="64" t="s">
        <v>9203</v>
      </c>
      <c r="H1707" s="64" t="s">
        <v>3824</v>
      </c>
    </row>
    <row r="1708" spans="1:8" x14ac:dyDescent="0.3">
      <c r="A1708" s="64" t="s">
        <v>3599</v>
      </c>
      <c r="B1708" s="64" t="s">
        <v>814</v>
      </c>
      <c r="C1708" s="64" t="s">
        <v>3821</v>
      </c>
      <c r="D1708" s="64" t="s">
        <v>814</v>
      </c>
      <c r="E1708" s="64" t="s">
        <v>16</v>
      </c>
      <c r="F1708" s="64" t="s">
        <v>369</v>
      </c>
      <c r="G1708" s="64" t="s">
        <v>9204</v>
      </c>
      <c r="H1708" s="64" t="s">
        <v>3825</v>
      </c>
    </row>
    <row r="1709" spans="1:8" x14ac:dyDescent="0.3">
      <c r="A1709" s="64" t="s">
        <v>3600</v>
      </c>
      <c r="B1709" s="64" t="s">
        <v>814</v>
      </c>
      <c r="C1709" s="64" t="s">
        <v>3821</v>
      </c>
      <c r="D1709" s="64" t="s">
        <v>814</v>
      </c>
      <c r="E1709" s="64" t="s">
        <v>16</v>
      </c>
      <c r="F1709" s="64" t="s">
        <v>370</v>
      </c>
      <c r="G1709" s="64" t="s">
        <v>9205</v>
      </c>
      <c r="H1709" s="64" t="s">
        <v>3826</v>
      </c>
    </row>
    <row r="1710" spans="1:8" x14ac:dyDescent="0.3">
      <c r="A1710" s="64" t="s">
        <v>3601</v>
      </c>
      <c r="B1710" s="64" t="s">
        <v>814</v>
      </c>
      <c r="C1710" s="64" t="s">
        <v>3821</v>
      </c>
      <c r="D1710" s="64" t="s">
        <v>814</v>
      </c>
      <c r="E1710" s="64" t="s">
        <v>16</v>
      </c>
      <c r="F1710" s="64" t="s">
        <v>371</v>
      </c>
      <c r="G1710" s="64" t="s">
        <v>9206</v>
      </c>
      <c r="H1710" s="64" t="s">
        <v>3827</v>
      </c>
    </row>
    <row r="1711" spans="1:8" x14ac:dyDescent="0.3">
      <c r="A1711" s="64" t="s">
        <v>3602</v>
      </c>
      <c r="B1711" s="64" t="s">
        <v>814</v>
      </c>
      <c r="C1711" s="64" t="s">
        <v>3821</v>
      </c>
      <c r="D1711" s="64" t="s">
        <v>814</v>
      </c>
      <c r="E1711" s="64" t="s">
        <v>16</v>
      </c>
      <c r="F1711" s="64" t="s">
        <v>372</v>
      </c>
      <c r="G1711" s="64" t="s">
        <v>9207</v>
      </c>
      <c r="H1711" s="64" t="s">
        <v>3828</v>
      </c>
    </row>
    <row r="1712" spans="1:8" x14ac:dyDescent="0.3">
      <c r="A1712" s="64" t="s">
        <v>3603</v>
      </c>
      <c r="B1712" s="64" t="s">
        <v>814</v>
      </c>
      <c r="C1712" s="64" t="s">
        <v>3821</v>
      </c>
      <c r="D1712" s="64" t="s">
        <v>814</v>
      </c>
      <c r="E1712" s="64" t="s">
        <v>16</v>
      </c>
      <c r="F1712" s="64" t="s">
        <v>373</v>
      </c>
      <c r="G1712" s="64" t="s">
        <v>9208</v>
      </c>
      <c r="H1712" s="64" t="s">
        <v>3829</v>
      </c>
    </row>
    <row r="1713" spans="1:8" x14ac:dyDescent="0.3">
      <c r="A1713" s="64" t="s">
        <v>4843</v>
      </c>
      <c r="B1713" s="64" t="s">
        <v>814</v>
      </c>
      <c r="C1713" s="64" t="s">
        <v>3821</v>
      </c>
      <c r="D1713" s="64" t="s">
        <v>814</v>
      </c>
      <c r="E1713" s="64" t="s">
        <v>16</v>
      </c>
      <c r="F1713" s="64" t="s">
        <v>374</v>
      </c>
      <c r="G1713" s="64" t="s">
        <v>9209</v>
      </c>
      <c r="H1713" s="64" t="s">
        <v>3830</v>
      </c>
    </row>
    <row r="1714" spans="1:8" x14ac:dyDescent="0.3">
      <c r="A1714" s="64" t="s">
        <v>4844</v>
      </c>
      <c r="B1714" s="64" t="s">
        <v>814</v>
      </c>
      <c r="C1714" s="64" t="s">
        <v>3821</v>
      </c>
      <c r="D1714" s="64" t="s">
        <v>814</v>
      </c>
      <c r="E1714" s="64" t="s">
        <v>16</v>
      </c>
      <c r="F1714" s="64" t="s">
        <v>375</v>
      </c>
      <c r="G1714" s="64" t="s">
        <v>9210</v>
      </c>
      <c r="H1714" s="64" t="s">
        <v>3831</v>
      </c>
    </row>
    <row r="1715" spans="1:8" x14ac:dyDescent="0.3">
      <c r="A1715" s="64" t="s">
        <v>4845</v>
      </c>
      <c r="B1715" s="64" t="s">
        <v>814</v>
      </c>
      <c r="C1715" s="64" t="s">
        <v>3821</v>
      </c>
      <c r="D1715" s="64" t="s">
        <v>814</v>
      </c>
      <c r="E1715" s="64" t="s">
        <v>16</v>
      </c>
      <c r="F1715" s="64" t="s">
        <v>376</v>
      </c>
      <c r="G1715" s="64" t="s">
        <v>9211</v>
      </c>
      <c r="H1715" s="64" t="s">
        <v>3832</v>
      </c>
    </row>
    <row r="1716" spans="1:8" x14ac:dyDescent="0.3">
      <c r="A1716" s="64" t="s">
        <v>4846</v>
      </c>
      <c r="B1716" s="64" t="s">
        <v>814</v>
      </c>
      <c r="C1716" s="64" t="s">
        <v>3821</v>
      </c>
      <c r="D1716" s="64" t="s">
        <v>814</v>
      </c>
      <c r="E1716" s="64" t="s">
        <v>16</v>
      </c>
      <c r="F1716" s="64" t="s">
        <v>377</v>
      </c>
      <c r="G1716" s="64" t="s">
        <v>9212</v>
      </c>
      <c r="H1716" s="64" t="s">
        <v>3833</v>
      </c>
    </row>
    <row r="1717" spans="1:8" x14ac:dyDescent="0.3">
      <c r="A1717" s="64" t="s">
        <v>4847</v>
      </c>
      <c r="B1717" s="64" t="s">
        <v>814</v>
      </c>
      <c r="C1717" s="64" t="s">
        <v>3821</v>
      </c>
      <c r="D1717" s="64" t="s">
        <v>814</v>
      </c>
      <c r="E1717" s="64" t="s">
        <v>16</v>
      </c>
      <c r="F1717" s="64" t="s">
        <v>378</v>
      </c>
      <c r="G1717" s="64" t="s">
        <v>9213</v>
      </c>
      <c r="H1717" s="64" t="s">
        <v>3834</v>
      </c>
    </row>
    <row r="1718" spans="1:8" x14ac:dyDescent="0.3">
      <c r="A1718" s="64" t="s">
        <v>4848</v>
      </c>
      <c r="B1718" s="64" t="s">
        <v>814</v>
      </c>
      <c r="C1718" s="64" t="s">
        <v>3821</v>
      </c>
      <c r="D1718" s="64" t="s">
        <v>814</v>
      </c>
      <c r="E1718" s="64" t="s">
        <v>16</v>
      </c>
      <c r="F1718" s="64" t="s">
        <v>379</v>
      </c>
      <c r="G1718" s="64" t="s">
        <v>9214</v>
      </c>
      <c r="H1718" s="64" t="s">
        <v>3835</v>
      </c>
    </row>
    <row r="1719" spans="1:8" x14ac:dyDescent="0.3">
      <c r="A1719" s="64" t="s">
        <v>4849</v>
      </c>
      <c r="B1719" s="64" t="s">
        <v>814</v>
      </c>
      <c r="C1719" s="64" t="s">
        <v>3821</v>
      </c>
      <c r="D1719" s="64" t="s">
        <v>814</v>
      </c>
      <c r="E1719" s="64" t="s">
        <v>16</v>
      </c>
      <c r="F1719" s="64" t="s">
        <v>380</v>
      </c>
      <c r="G1719" s="64" t="s">
        <v>9215</v>
      </c>
      <c r="H1719" s="64" t="s">
        <v>3836</v>
      </c>
    </row>
    <row r="1720" spans="1:8" x14ac:dyDescent="0.3">
      <c r="A1720" s="64" t="s">
        <v>4850</v>
      </c>
      <c r="B1720" s="64" t="s">
        <v>814</v>
      </c>
      <c r="C1720" s="64" t="s">
        <v>3821</v>
      </c>
      <c r="D1720" s="64" t="s">
        <v>814</v>
      </c>
      <c r="E1720" s="64" t="s">
        <v>16</v>
      </c>
      <c r="F1720" s="64" t="s">
        <v>381</v>
      </c>
      <c r="G1720" s="64" t="s">
        <v>9216</v>
      </c>
      <c r="H1720" s="64" t="s">
        <v>3837</v>
      </c>
    </row>
    <row r="1721" spans="1:8" x14ac:dyDescent="0.3">
      <c r="A1721" s="64" t="s">
        <v>4851</v>
      </c>
      <c r="B1721" s="64" t="s">
        <v>814</v>
      </c>
      <c r="C1721" s="64" t="s">
        <v>3821</v>
      </c>
      <c r="D1721" s="64" t="s">
        <v>814</v>
      </c>
      <c r="E1721" s="64" t="s">
        <v>16</v>
      </c>
      <c r="F1721" s="64" t="s">
        <v>382</v>
      </c>
      <c r="G1721" s="64" t="s">
        <v>9217</v>
      </c>
      <c r="H1721" s="64" t="s">
        <v>3838</v>
      </c>
    </row>
    <row r="1722" spans="1:8" x14ac:dyDescent="0.3">
      <c r="A1722" s="64" t="s">
        <v>4852</v>
      </c>
      <c r="B1722" s="64" t="s">
        <v>814</v>
      </c>
      <c r="C1722" s="64" t="s">
        <v>3821</v>
      </c>
      <c r="D1722" s="64" t="s">
        <v>814</v>
      </c>
      <c r="E1722" s="64" t="s">
        <v>16</v>
      </c>
      <c r="F1722" s="64" t="s">
        <v>383</v>
      </c>
      <c r="G1722" s="64" t="s">
        <v>9218</v>
      </c>
      <c r="H1722" s="64" t="s">
        <v>3839</v>
      </c>
    </row>
    <row r="1723" spans="1:8" x14ac:dyDescent="0.3">
      <c r="A1723" s="64" t="s">
        <v>4853</v>
      </c>
      <c r="B1723" s="64" t="s">
        <v>785</v>
      </c>
      <c r="C1723" s="64" t="s">
        <v>4284</v>
      </c>
      <c r="D1723" s="64" t="s">
        <v>1879</v>
      </c>
      <c r="E1723" s="64" t="s">
        <v>20</v>
      </c>
      <c r="F1723" s="64" t="s">
        <v>15</v>
      </c>
      <c r="G1723" s="64" t="s">
        <v>3840</v>
      </c>
      <c r="H1723" s="64" t="s">
        <v>3842</v>
      </c>
    </row>
    <row r="1724" spans="1:8" x14ac:dyDescent="0.3">
      <c r="A1724" s="64" t="s">
        <v>4854</v>
      </c>
      <c r="B1724" s="64" t="s">
        <v>785</v>
      </c>
      <c r="C1724" s="64" t="s">
        <v>4284</v>
      </c>
      <c r="D1724" s="64" t="s">
        <v>1879</v>
      </c>
      <c r="E1724" s="64" t="s">
        <v>16</v>
      </c>
      <c r="F1724" s="64" t="s">
        <v>368</v>
      </c>
      <c r="G1724" s="64" t="s">
        <v>3843</v>
      </c>
      <c r="H1724" s="64" t="s">
        <v>9219</v>
      </c>
    </row>
    <row r="1725" spans="1:8" x14ac:dyDescent="0.3">
      <c r="A1725" s="64" t="s">
        <v>4855</v>
      </c>
      <c r="B1725" s="64" t="s">
        <v>785</v>
      </c>
      <c r="C1725" s="64" t="s">
        <v>4284</v>
      </c>
      <c r="D1725" s="64" t="s">
        <v>1879</v>
      </c>
      <c r="E1725" s="64" t="s">
        <v>16</v>
      </c>
      <c r="F1725" s="64" t="s">
        <v>369</v>
      </c>
      <c r="G1725" s="64" t="s">
        <v>3844</v>
      </c>
      <c r="H1725" s="64" t="s">
        <v>9220</v>
      </c>
    </row>
    <row r="1726" spans="1:8" x14ac:dyDescent="0.3">
      <c r="A1726" s="64" t="s">
        <v>4856</v>
      </c>
      <c r="B1726" s="64" t="s">
        <v>785</v>
      </c>
      <c r="C1726" s="64" t="s">
        <v>4284</v>
      </c>
      <c r="D1726" s="64" t="s">
        <v>1879</v>
      </c>
      <c r="E1726" s="64" t="s">
        <v>16</v>
      </c>
      <c r="F1726" s="64" t="s">
        <v>370</v>
      </c>
      <c r="G1726" s="64" t="s">
        <v>3845</v>
      </c>
      <c r="H1726" s="64" t="s">
        <v>9221</v>
      </c>
    </row>
    <row r="1727" spans="1:8" x14ac:dyDescent="0.3">
      <c r="A1727" s="64" t="s">
        <v>4857</v>
      </c>
      <c r="B1727" s="64" t="s">
        <v>785</v>
      </c>
      <c r="C1727" s="64" t="s">
        <v>4284</v>
      </c>
      <c r="D1727" s="64" t="s">
        <v>1879</v>
      </c>
      <c r="E1727" s="64" t="s">
        <v>16</v>
      </c>
      <c r="F1727" s="64" t="s">
        <v>371</v>
      </c>
      <c r="G1727" s="64" t="s">
        <v>3846</v>
      </c>
      <c r="H1727" s="64" t="s">
        <v>9222</v>
      </c>
    </row>
    <row r="1728" spans="1:8" x14ac:dyDescent="0.3">
      <c r="A1728" s="64" t="s">
        <v>4858</v>
      </c>
      <c r="B1728" s="64" t="s">
        <v>785</v>
      </c>
      <c r="C1728" s="64" t="s">
        <v>4284</v>
      </c>
      <c r="D1728" s="64" t="s">
        <v>1879</v>
      </c>
      <c r="E1728" s="64" t="s">
        <v>16</v>
      </c>
      <c r="F1728" s="64" t="s">
        <v>372</v>
      </c>
      <c r="G1728" s="64" t="s">
        <v>3847</v>
      </c>
      <c r="H1728" s="64" t="s">
        <v>9223</v>
      </c>
    </row>
    <row r="1729" spans="1:8" x14ac:dyDescent="0.3">
      <c r="A1729" s="64" t="s">
        <v>4859</v>
      </c>
      <c r="B1729" s="64" t="s">
        <v>785</v>
      </c>
      <c r="C1729" s="64" t="s">
        <v>4284</v>
      </c>
      <c r="D1729" s="64" t="s">
        <v>1879</v>
      </c>
      <c r="E1729" s="64" t="s">
        <v>16</v>
      </c>
      <c r="F1729" s="64" t="s">
        <v>373</v>
      </c>
      <c r="G1729" s="64" t="s">
        <v>3848</v>
      </c>
      <c r="H1729" s="64" t="s">
        <v>9224</v>
      </c>
    </row>
    <row r="1730" spans="1:8" x14ac:dyDescent="0.3">
      <c r="A1730" s="64" t="s">
        <v>4860</v>
      </c>
      <c r="B1730" s="64" t="s">
        <v>785</v>
      </c>
      <c r="C1730" s="64" t="s">
        <v>4284</v>
      </c>
      <c r="D1730" s="64" t="s">
        <v>1879</v>
      </c>
      <c r="E1730" s="64" t="s">
        <v>16</v>
      </c>
      <c r="F1730" s="64" t="s">
        <v>374</v>
      </c>
      <c r="G1730" s="64" t="s">
        <v>3849</v>
      </c>
      <c r="H1730" s="64" t="s">
        <v>9225</v>
      </c>
    </row>
    <row r="1731" spans="1:8" x14ac:dyDescent="0.3">
      <c r="A1731" s="64" t="s">
        <v>4861</v>
      </c>
      <c r="B1731" s="64" t="s">
        <v>785</v>
      </c>
      <c r="C1731" s="64" t="s">
        <v>4284</v>
      </c>
      <c r="D1731" s="64" t="s">
        <v>1879</v>
      </c>
      <c r="E1731" s="64" t="s">
        <v>16</v>
      </c>
      <c r="F1731" s="64" t="s">
        <v>375</v>
      </c>
      <c r="G1731" s="64" t="s">
        <v>3850</v>
      </c>
      <c r="H1731" s="64" t="s">
        <v>9226</v>
      </c>
    </row>
    <row r="1732" spans="1:8" x14ac:dyDescent="0.3">
      <c r="A1732" s="64" t="s">
        <v>4862</v>
      </c>
      <c r="B1732" s="64" t="s">
        <v>785</v>
      </c>
      <c r="C1732" s="64" t="s">
        <v>4284</v>
      </c>
      <c r="D1732" s="64" t="s">
        <v>1879</v>
      </c>
      <c r="E1732" s="64" t="s">
        <v>16</v>
      </c>
      <c r="F1732" s="64" t="s">
        <v>376</v>
      </c>
      <c r="G1732" s="64" t="s">
        <v>3851</v>
      </c>
      <c r="H1732" s="64" t="s">
        <v>9227</v>
      </c>
    </row>
    <row r="1733" spans="1:8" x14ac:dyDescent="0.3">
      <c r="A1733" s="64" t="s">
        <v>4863</v>
      </c>
      <c r="B1733" s="64" t="s">
        <v>785</v>
      </c>
      <c r="C1733" s="64" t="s">
        <v>4284</v>
      </c>
      <c r="D1733" s="64" t="s">
        <v>1879</v>
      </c>
      <c r="E1733" s="64" t="s">
        <v>16</v>
      </c>
      <c r="F1733" s="64" t="s">
        <v>377</v>
      </c>
      <c r="G1733" s="64" t="s">
        <v>3852</v>
      </c>
      <c r="H1733" s="64" t="s">
        <v>9228</v>
      </c>
    </row>
    <row r="1734" spans="1:8" x14ac:dyDescent="0.3">
      <c r="A1734" s="64" t="s">
        <v>4864</v>
      </c>
      <c r="B1734" s="64" t="s">
        <v>785</v>
      </c>
      <c r="C1734" s="64" t="s">
        <v>4284</v>
      </c>
      <c r="D1734" s="64" t="s">
        <v>1879</v>
      </c>
      <c r="E1734" s="64" t="s">
        <v>16</v>
      </c>
      <c r="F1734" s="64" t="s">
        <v>378</v>
      </c>
      <c r="G1734" s="64" t="s">
        <v>3853</v>
      </c>
      <c r="H1734" s="64" t="s">
        <v>9229</v>
      </c>
    </row>
    <row r="1735" spans="1:8" x14ac:dyDescent="0.3">
      <c r="A1735" s="64" t="s">
        <v>4865</v>
      </c>
      <c r="B1735" s="64" t="s">
        <v>785</v>
      </c>
      <c r="C1735" s="64" t="s">
        <v>4284</v>
      </c>
      <c r="D1735" s="64" t="s">
        <v>1879</v>
      </c>
      <c r="E1735" s="64" t="s">
        <v>16</v>
      </c>
      <c r="F1735" s="64" t="s">
        <v>379</v>
      </c>
      <c r="G1735" s="64" t="s">
        <v>3854</v>
      </c>
      <c r="H1735" s="64" t="s">
        <v>9230</v>
      </c>
    </row>
    <row r="1736" spans="1:8" x14ac:dyDescent="0.3">
      <c r="A1736" s="64" t="s">
        <v>4866</v>
      </c>
      <c r="B1736" s="64" t="s">
        <v>785</v>
      </c>
      <c r="C1736" s="64" t="s">
        <v>4284</v>
      </c>
      <c r="D1736" s="64" t="s">
        <v>1879</v>
      </c>
      <c r="E1736" s="64" t="s">
        <v>16</v>
      </c>
      <c r="F1736" s="64" t="s">
        <v>380</v>
      </c>
      <c r="G1736" s="64" t="s">
        <v>3855</v>
      </c>
      <c r="H1736" s="64" t="s">
        <v>9231</v>
      </c>
    </row>
    <row r="1737" spans="1:8" x14ac:dyDescent="0.3">
      <c r="A1737" s="64" t="s">
        <v>4867</v>
      </c>
      <c r="B1737" s="64" t="s">
        <v>785</v>
      </c>
      <c r="C1737" s="64" t="s">
        <v>4284</v>
      </c>
      <c r="D1737" s="64" t="s">
        <v>1879</v>
      </c>
      <c r="E1737" s="64" t="s">
        <v>16</v>
      </c>
      <c r="F1737" s="64" t="s">
        <v>381</v>
      </c>
      <c r="G1737" s="64" t="s">
        <v>3856</v>
      </c>
      <c r="H1737" s="64" t="s">
        <v>9232</v>
      </c>
    </row>
    <row r="1738" spans="1:8" x14ac:dyDescent="0.3">
      <c r="A1738" s="64" t="s">
        <v>4868</v>
      </c>
      <c r="B1738" s="64" t="s">
        <v>785</v>
      </c>
      <c r="C1738" s="64" t="s">
        <v>4284</v>
      </c>
      <c r="D1738" s="64" t="s">
        <v>1879</v>
      </c>
      <c r="E1738" s="64" t="s">
        <v>16</v>
      </c>
      <c r="F1738" s="64" t="s">
        <v>382</v>
      </c>
      <c r="G1738" s="64" t="s">
        <v>3857</v>
      </c>
      <c r="H1738" s="64" t="s">
        <v>9233</v>
      </c>
    </row>
    <row r="1739" spans="1:8" x14ac:dyDescent="0.3">
      <c r="A1739" s="64" t="s">
        <v>4869</v>
      </c>
      <c r="B1739" s="64" t="s">
        <v>785</v>
      </c>
      <c r="C1739" s="64" t="s">
        <v>4284</v>
      </c>
      <c r="D1739" s="64" t="s">
        <v>1879</v>
      </c>
      <c r="E1739" s="64" t="s">
        <v>16</v>
      </c>
      <c r="F1739" s="64" t="s">
        <v>383</v>
      </c>
      <c r="G1739" s="64" t="s">
        <v>3858</v>
      </c>
      <c r="H1739" s="64" t="s">
        <v>9234</v>
      </c>
    </row>
    <row r="1740" spans="1:8" x14ac:dyDescent="0.3">
      <c r="A1740" s="64" t="s">
        <v>4870</v>
      </c>
      <c r="B1740" s="64" t="s">
        <v>785</v>
      </c>
      <c r="C1740" s="64" t="s">
        <v>4285</v>
      </c>
      <c r="D1740" s="64" t="s">
        <v>1879</v>
      </c>
      <c r="E1740" s="64" t="s">
        <v>20</v>
      </c>
      <c r="F1740" s="64" t="s">
        <v>15</v>
      </c>
      <c r="G1740" s="64" t="s">
        <v>3859</v>
      </c>
      <c r="H1740" s="64" t="s">
        <v>5251</v>
      </c>
    </row>
    <row r="1741" spans="1:8" x14ac:dyDescent="0.3">
      <c r="A1741" s="64" t="s">
        <v>4871</v>
      </c>
      <c r="B1741" s="64" t="s">
        <v>785</v>
      </c>
      <c r="C1741" s="64" t="s">
        <v>4285</v>
      </c>
      <c r="D1741" s="64" t="s">
        <v>1879</v>
      </c>
      <c r="E1741" s="64" t="s">
        <v>16</v>
      </c>
      <c r="F1741" s="64" t="s">
        <v>368</v>
      </c>
      <c r="G1741" s="64" t="s">
        <v>3860</v>
      </c>
      <c r="H1741" s="64" t="s">
        <v>9235</v>
      </c>
    </row>
    <row r="1742" spans="1:8" x14ac:dyDescent="0.3">
      <c r="A1742" s="64" t="s">
        <v>4872</v>
      </c>
      <c r="B1742" s="64" t="s">
        <v>785</v>
      </c>
      <c r="C1742" s="64" t="s">
        <v>4285</v>
      </c>
      <c r="D1742" s="64" t="s">
        <v>1879</v>
      </c>
      <c r="E1742" s="64" t="s">
        <v>16</v>
      </c>
      <c r="F1742" s="64" t="s">
        <v>369</v>
      </c>
      <c r="G1742" s="64" t="s">
        <v>3861</v>
      </c>
      <c r="H1742" s="64" t="s">
        <v>9236</v>
      </c>
    </row>
    <row r="1743" spans="1:8" x14ac:dyDescent="0.3">
      <c r="A1743" s="64" t="s">
        <v>4873</v>
      </c>
      <c r="B1743" s="64" t="s">
        <v>785</v>
      </c>
      <c r="C1743" s="64" t="s">
        <v>4285</v>
      </c>
      <c r="D1743" s="64" t="s">
        <v>1879</v>
      </c>
      <c r="E1743" s="64" t="s">
        <v>16</v>
      </c>
      <c r="F1743" s="64" t="s">
        <v>370</v>
      </c>
      <c r="G1743" s="64" t="s">
        <v>3862</v>
      </c>
      <c r="H1743" s="64" t="s">
        <v>9237</v>
      </c>
    </row>
    <row r="1744" spans="1:8" x14ac:dyDescent="0.3">
      <c r="A1744" s="64" t="s">
        <v>4874</v>
      </c>
      <c r="B1744" s="64" t="s">
        <v>785</v>
      </c>
      <c r="C1744" s="64" t="s">
        <v>4285</v>
      </c>
      <c r="D1744" s="64" t="s">
        <v>1879</v>
      </c>
      <c r="E1744" s="64" t="s">
        <v>16</v>
      </c>
      <c r="F1744" s="64" t="s">
        <v>371</v>
      </c>
      <c r="G1744" s="64" t="s">
        <v>3863</v>
      </c>
      <c r="H1744" s="64" t="s">
        <v>9238</v>
      </c>
    </row>
    <row r="1745" spans="1:8" x14ac:dyDescent="0.3">
      <c r="A1745" s="64" t="s">
        <v>4875</v>
      </c>
      <c r="B1745" s="64" t="s">
        <v>785</v>
      </c>
      <c r="C1745" s="64" t="s">
        <v>4285</v>
      </c>
      <c r="D1745" s="64" t="s">
        <v>1879</v>
      </c>
      <c r="E1745" s="64" t="s">
        <v>16</v>
      </c>
      <c r="F1745" s="64" t="s">
        <v>372</v>
      </c>
      <c r="G1745" s="64" t="s">
        <v>3864</v>
      </c>
      <c r="H1745" s="64" t="s">
        <v>9239</v>
      </c>
    </row>
    <row r="1746" spans="1:8" x14ac:dyDescent="0.3">
      <c r="A1746" s="64" t="s">
        <v>4876</v>
      </c>
      <c r="B1746" s="64" t="s">
        <v>785</v>
      </c>
      <c r="C1746" s="64" t="s">
        <v>4285</v>
      </c>
      <c r="D1746" s="64" t="s">
        <v>1879</v>
      </c>
      <c r="E1746" s="64" t="s">
        <v>16</v>
      </c>
      <c r="F1746" s="64" t="s">
        <v>373</v>
      </c>
      <c r="G1746" s="64" t="s">
        <v>3865</v>
      </c>
      <c r="H1746" s="64" t="s">
        <v>9240</v>
      </c>
    </row>
    <row r="1747" spans="1:8" x14ac:dyDescent="0.3">
      <c r="A1747" s="64" t="s">
        <v>4877</v>
      </c>
      <c r="B1747" s="64" t="s">
        <v>785</v>
      </c>
      <c r="C1747" s="64" t="s">
        <v>4285</v>
      </c>
      <c r="D1747" s="64" t="s">
        <v>1879</v>
      </c>
      <c r="E1747" s="64" t="s">
        <v>16</v>
      </c>
      <c r="F1747" s="64" t="s">
        <v>374</v>
      </c>
      <c r="G1747" s="64" t="s">
        <v>3866</v>
      </c>
      <c r="H1747" s="64" t="s">
        <v>9241</v>
      </c>
    </row>
    <row r="1748" spans="1:8" x14ac:dyDescent="0.3">
      <c r="A1748" s="64" t="s">
        <v>4878</v>
      </c>
      <c r="B1748" s="64" t="s">
        <v>785</v>
      </c>
      <c r="C1748" s="64" t="s">
        <v>4285</v>
      </c>
      <c r="D1748" s="64" t="s">
        <v>1879</v>
      </c>
      <c r="E1748" s="64" t="s">
        <v>16</v>
      </c>
      <c r="F1748" s="64" t="s">
        <v>375</v>
      </c>
      <c r="G1748" s="64" t="s">
        <v>3867</v>
      </c>
      <c r="H1748" s="64" t="s">
        <v>9242</v>
      </c>
    </row>
    <row r="1749" spans="1:8" x14ac:dyDescent="0.3">
      <c r="A1749" s="64" t="s">
        <v>4879</v>
      </c>
      <c r="B1749" s="64" t="s">
        <v>785</v>
      </c>
      <c r="C1749" s="64" t="s">
        <v>4285</v>
      </c>
      <c r="D1749" s="64" t="s">
        <v>1879</v>
      </c>
      <c r="E1749" s="64" t="s">
        <v>16</v>
      </c>
      <c r="F1749" s="64" t="s">
        <v>376</v>
      </c>
      <c r="G1749" s="64" t="s">
        <v>3868</v>
      </c>
      <c r="H1749" s="64" t="s">
        <v>9243</v>
      </c>
    </row>
    <row r="1750" spans="1:8" x14ac:dyDescent="0.3">
      <c r="A1750" s="64" t="s">
        <v>4880</v>
      </c>
      <c r="B1750" s="64" t="s">
        <v>785</v>
      </c>
      <c r="C1750" s="64" t="s">
        <v>4285</v>
      </c>
      <c r="D1750" s="64" t="s">
        <v>1879</v>
      </c>
      <c r="E1750" s="64" t="s">
        <v>16</v>
      </c>
      <c r="F1750" s="64" t="s">
        <v>377</v>
      </c>
      <c r="G1750" s="64" t="s">
        <v>3869</v>
      </c>
      <c r="H1750" s="64" t="s">
        <v>9244</v>
      </c>
    </row>
    <row r="1751" spans="1:8" x14ac:dyDescent="0.3">
      <c r="A1751" s="64" t="s">
        <v>4881</v>
      </c>
      <c r="B1751" s="64" t="s">
        <v>785</v>
      </c>
      <c r="C1751" s="64" t="s">
        <v>4285</v>
      </c>
      <c r="D1751" s="64" t="s">
        <v>1879</v>
      </c>
      <c r="E1751" s="64" t="s">
        <v>16</v>
      </c>
      <c r="F1751" s="64" t="s">
        <v>378</v>
      </c>
      <c r="G1751" s="64" t="s">
        <v>3870</v>
      </c>
      <c r="H1751" s="64" t="s">
        <v>9245</v>
      </c>
    </row>
    <row r="1752" spans="1:8" x14ac:dyDescent="0.3">
      <c r="A1752" s="64" t="s">
        <v>4882</v>
      </c>
      <c r="B1752" s="64" t="s">
        <v>785</v>
      </c>
      <c r="C1752" s="64" t="s">
        <v>4285</v>
      </c>
      <c r="D1752" s="64" t="s">
        <v>1879</v>
      </c>
      <c r="E1752" s="64" t="s">
        <v>16</v>
      </c>
      <c r="F1752" s="64" t="s">
        <v>379</v>
      </c>
      <c r="G1752" s="64" t="s">
        <v>3871</v>
      </c>
      <c r="H1752" s="64" t="s">
        <v>9246</v>
      </c>
    </row>
    <row r="1753" spans="1:8" x14ac:dyDescent="0.3">
      <c r="A1753" s="64" t="s">
        <v>4883</v>
      </c>
      <c r="B1753" s="64" t="s">
        <v>785</v>
      </c>
      <c r="C1753" s="64" t="s">
        <v>4285</v>
      </c>
      <c r="D1753" s="64" t="s">
        <v>1879</v>
      </c>
      <c r="E1753" s="64" t="s">
        <v>16</v>
      </c>
      <c r="F1753" s="64" t="s">
        <v>380</v>
      </c>
      <c r="G1753" s="64" t="s">
        <v>3872</v>
      </c>
      <c r="H1753" s="64" t="s">
        <v>9247</v>
      </c>
    </row>
    <row r="1754" spans="1:8" x14ac:dyDescent="0.3">
      <c r="A1754" s="64" t="s">
        <v>4884</v>
      </c>
      <c r="B1754" s="64" t="s">
        <v>785</v>
      </c>
      <c r="C1754" s="64" t="s">
        <v>4285</v>
      </c>
      <c r="D1754" s="64" t="s">
        <v>1879</v>
      </c>
      <c r="E1754" s="64" t="s">
        <v>16</v>
      </c>
      <c r="F1754" s="64" t="s">
        <v>381</v>
      </c>
      <c r="G1754" s="64" t="s">
        <v>3873</v>
      </c>
      <c r="H1754" s="64" t="s">
        <v>9248</v>
      </c>
    </row>
    <row r="1755" spans="1:8" x14ac:dyDescent="0.3">
      <c r="A1755" s="64" t="s">
        <v>4885</v>
      </c>
      <c r="B1755" s="64" t="s">
        <v>785</v>
      </c>
      <c r="C1755" s="64" t="s">
        <v>4285</v>
      </c>
      <c r="D1755" s="64" t="s">
        <v>1879</v>
      </c>
      <c r="E1755" s="64" t="s">
        <v>16</v>
      </c>
      <c r="F1755" s="64" t="s">
        <v>382</v>
      </c>
      <c r="G1755" s="64" t="s">
        <v>3874</v>
      </c>
      <c r="H1755" s="64" t="s">
        <v>9249</v>
      </c>
    </row>
    <row r="1756" spans="1:8" x14ac:dyDescent="0.3">
      <c r="A1756" s="64" t="s">
        <v>4886</v>
      </c>
      <c r="B1756" s="64" t="s">
        <v>785</v>
      </c>
      <c r="C1756" s="64" t="s">
        <v>4285</v>
      </c>
      <c r="D1756" s="64" t="s">
        <v>1879</v>
      </c>
      <c r="E1756" s="64" t="s">
        <v>16</v>
      </c>
      <c r="F1756" s="64" t="s">
        <v>383</v>
      </c>
      <c r="G1756" s="64" t="s">
        <v>3875</v>
      </c>
      <c r="H1756" s="64" t="s">
        <v>9250</v>
      </c>
    </row>
    <row r="1757" spans="1:8" x14ac:dyDescent="0.3">
      <c r="A1757" s="64" t="s">
        <v>4887</v>
      </c>
      <c r="B1757" s="64" t="s">
        <v>785</v>
      </c>
      <c r="C1757" s="64" t="s">
        <v>4286</v>
      </c>
      <c r="D1757" s="64" t="s">
        <v>1879</v>
      </c>
      <c r="E1757" s="64" t="s">
        <v>20</v>
      </c>
      <c r="F1757" s="64" t="s">
        <v>15</v>
      </c>
      <c r="G1757" s="64" t="s">
        <v>3876</v>
      </c>
      <c r="H1757" s="64" t="s">
        <v>3877</v>
      </c>
    </row>
    <row r="1758" spans="1:8" x14ac:dyDescent="0.3">
      <c r="A1758" s="64" t="s">
        <v>4888</v>
      </c>
      <c r="B1758" s="64" t="s">
        <v>785</v>
      </c>
      <c r="C1758" s="64" t="s">
        <v>4286</v>
      </c>
      <c r="D1758" s="64" t="s">
        <v>1879</v>
      </c>
      <c r="E1758" s="64" t="s">
        <v>16</v>
      </c>
      <c r="F1758" s="64" t="s">
        <v>368</v>
      </c>
      <c r="G1758" s="64" t="s">
        <v>3878</v>
      </c>
      <c r="H1758" s="64" t="s">
        <v>3879</v>
      </c>
    </row>
    <row r="1759" spans="1:8" x14ac:dyDescent="0.3">
      <c r="A1759" s="64" t="s">
        <v>4889</v>
      </c>
      <c r="B1759" s="64" t="s">
        <v>785</v>
      </c>
      <c r="C1759" s="64" t="s">
        <v>4286</v>
      </c>
      <c r="D1759" s="64" t="s">
        <v>1879</v>
      </c>
      <c r="E1759" s="64" t="s">
        <v>16</v>
      </c>
      <c r="F1759" s="64" t="s">
        <v>369</v>
      </c>
      <c r="G1759" s="64" t="s">
        <v>3880</v>
      </c>
      <c r="H1759" s="64" t="s">
        <v>3881</v>
      </c>
    </row>
    <row r="1760" spans="1:8" x14ac:dyDescent="0.3">
      <c r="A1760" s="64" t="s">
        <v>4890</v>
      </c>
      <c r="B1760" s="64" t="s">
        <v>785</v>
      </c>
      <c r="C1760" s="64" t="s">
        <v>4286</v>
      </c>
      <c r="D1760" s="64" t="s">
        <v>1879</v>
      </c>
      <c r="E1760" s="64" t="s">
        <v>16</v>
      </c>
      <c r="F1760" s="64" t="s">
        <v>370</v>
      </c>
      <c r="G1760" s="64" t="s">
        <v>3882</v>
      </c>
      <c r="H1760" s="64" t="s">
        <v>3883</v>
      </c>
    </row>
    <row r="1761" spans="1:8" x14ac:dyDescent="0.3">
      <c r="A1761" s="64" t="s">
        <v>4891</v>
      </c>
      <c r="B1761" s="64" t="s">
        <v>785</v>
      </c>
      <c r="C1761" s="64" t="s">
        <v>4286</v>
      </c>
      <c r="D1761" s="64" t="s">
        <v>1879</v>
      </c>
      <c r="E1761" s="64" t="s">
        <v>16</v>
      </c>
      <c r="F1761" s="64" t="s">
        <v>371</v>
      </c>
      <c r="G1761" s="64" t="s">
        <v>3884</v>
      </c>
      <c r="H1761" s="64" t="s">
        <v>3885</v>
      </c>
    </row>
    <row r="1762" spans="1:8" x14ac:dyDescent="0.3">
      <c r="A1762" s="64" t="s">
        <v>4892</v>
      </c>
      <c r="B1762" s="64" t="s">
        <v>785</v>
      </c>
      <c r="C1762" s="64" t="s">
        <v>4286</v>
      </c>
      <c r="D1762" s="64" t="s">
        <v>1879</v>
      </c>
      <c r="E1762" s="64" t="s">
        <v>16</v>
      </c>
      <c r="F1762" s="64" t="s">
        <v>372</v>
      </c>
      <c r="G1762" s="64" t="s">
        <v>3886</v>
      </c>
      <c r="H1762" s="64" t="s">
        <v>3887</v>
      </c>
    </row>
    <row r="1763" spans="1:8" x14ac:dyDescent="0.3">
      <c r="A1763" s="64" t="s">
        <v>4893</v>
      </c>
      <c r="B1763" s="64" t="s">
        <v>785</v>
      </c>
      <c r="C1763" s="64" t="s">
        <v>4286</v>
      </c>
      <c r="D1763" s="64" t="s">
        <v>1879</v>
      </c>
      <c r="E1763" s="64" t="s">
        <v>16</v>
      </c>
      <c r="F1763" s="64" t="s">
        <v>373</v>
      </c>
      <c r="G1763" s="64" t="s">
        <v>3888</v>
      </c>
      <c r="H1763" s="64" t="s">
        <v>3889</v>
      </c>
    </row>
    <row r="1764" spans="1:8" x14ac:dyDescent="0.3">
      <c r="A1764" s="64" t="s">
        <v>4894</v>
      </c>
      <c r="B1764" s="64" t="s">
        <v>785</v>
      </c>
      <c r="C1764" s="64" t="s">
        <v>4286</v>
      </c>
      <c r="D1764" s="64" t="s">
        <v>1879</v>
      </c>
      <c r="E1764" s="64" t="s">
        <v>16</v>
      </c>
      <c r="F1764" s="64" t="s">
        <v>374</v>
      </c>
      <c r="G1764" s="64" t="s">
        <v>3890</v>
      </c>
      <c r="H1764" s="64" t="s">
        <v>3891</v>
      </c>
    </row>
    <row r="1765" spans="1:8" x14ac:dyDescent="0.3">
      <c r="A1765" s="64" t="s">
        <v>4895</v>
      </c>
      <c r="B1765" s="64" t="s">
        <v>785</v>
      </c>
      <c r="C1765" s="64" t="s">
        <v>4286</v>
      </c>
      <c r="D1765" s="64" t="s">
        <v>1879</v>
      </c>
      <c r="E1765" s="64" t="s">
        <v>16</v>
      </c>
      <c r="F1765" s="64" t="s">
        <v>375</v>
      </c>
      <c r="G1765" s="64" t="s">
        <v>3892</v>
      </c>
      <c r="H1765" s="64" t="s">
        <v>3893</v>
      </c>
    </row>
    <row r="1766" spans="1:8" x14ac:dyDescent="0.3">
      <c r="A1766" s="64" t="s">
        <v>4896</v>
      </c>
      <c r="B1766" s="64" t="s">
        <v>785</v>
      </c>
      <c r="C1766" s="64" t="s">
        <v>4286</v>
      </c>
      <c r="D1766" s="64" t="s">
        <v>1879</v>
      </c>
      <c r="E1766" s="64" t="s">
        <v>16</v>
      </c>
      <c r="F1766" s="64" t="s">
        <v>376</v>
      </c>
      <c r="G1766" s="64" t="s">
        <v>3894</v>
      </c>
      <c r="H1766" s="64" t="s">
        <v>3895</v>
      </c>
    </row>
    <row r="1767" spans="1:8" x14ac:dyDescent="0.3">
      <c r="A1767" s="64" t="s">
        <v>4897</v>
      </c>
      <c r="B1767" s="64" t="s">
        <v>785</v>
      </c>
      <c r="C1767" s="64" t="s">
        <v>4286</v>
      </c>
      <c r="D1767" s="64" t="s">
        <v>1879</v>
      </c>
      <c r="E1767" s="64" t="s">
        <v>16</v>
      </c>
      <c r="F1767" s="64" t="s">
        <v>377</v>
      </c>
      <c r="G1767" s="64" t="s">
        <v>3896</v>
      </c>
      <c r="H1767" s="64" t="s">
        <v>3897</v>
      </c>
    </row>
    <row r="1768" spans="1:8" x14ac:dyDescent="0.3">
      <c r="A1768" s="64" t="s">
        <v>4898</v>
      </c>
      <c r="B1768" s="64" t="s">
        <v>785</v>
      </c>
      <c r="C1768" s="64" t="s">
        <v>4286</v>
      </c>
      <c r="D1768" s="64" t="s">
        <v>1879</v>
      </c>
      <c r="E1768" s="64" t="s">
        <v>16</v>
      </c>
      <c r="F1768" s="64" t="s">
        <v>378</v>
      </c>
      <c r="G1768" s="64" t="s">
        <v>3898</v>
      </c>
      <c r="H1768" s="64" t="s">
        <v>3899</v>
      </c>
    </row>
    <row r="1769" spans="1:8" x14ac:dyDescent="0.3">
      <c r="A1769" s="64" t="s">
        <v>4899</v>
      </c>
      <c r="B1769" s="64" t="s">
        <v>785</v>
      </c>
      <c r="C1769" s="64" t="s">
        <v>4286</v>
      </c>
      <c r="D1769" s="64" t="s">
        <v>1879</v>
      </c>
      <c r="E1769" s="64" t="s">
        <v>16</v>
      </c>
      <c r="F1769" s="64" t="s">
        <v>379</v>
      </c>
      <c r="G1769" s="64" t="s">
        <v>3900</v>
      </c>
      <c r="H1769" s="64" t="s">
        <v>3901</v>
      </c>
    </row>
    <row r="1770" spans="1:8" x14ac:dyDescent="0.3">
      <c r="A1770" s="64" t="s">
        <v>4900</v>
      </c>
      <c r="B1770" s="64" t="s">
        <v>785</v>
      </c>
      <c r="C1770" s="64" t="s">
        <v>4286</v>
      </c>
      <c r="D1770" s="64" t="s">
        <v>1879</v>
      </c>
      <c r="E1770" s="64" t="s">
        <v>16</v>
      </c>
      <c r="F1770" s="64" t="s">
        <v>380</v>
      </c>
      <c r="G1770" s="64" t="s">
        <v>3902</v>
      </c>
      <c r="H1770" s="64" t="s">
        <v>3903</v>
      </c>
    </row>
    <row r="1771" spans="1:8" x14ac:dyDescent="0.3">
      <c r="A1771" s="64" t="s">
        <v>4901</v>
      </c>
      <c r="B1771" s="64" t="s">
        <v>785</v>
      </c>
      <c r="C1771" s="64" t="s">
        <v>4286</v>
      </c>
      <c r="D1771" s="64" t="s">
        <v>1879</v>
      </c>
      <c r="E1771" s="64" t="s">
        <v>16</v>
      </c>
      <c r="F1771" s="64" t="s">
        <v>381</v>
      </c>
      <c r="G1771" s="64" t="s">
        <v>3904</v>
      </c>
      <c r="H1771" s="64" t="s">
        <v>3905</v>
      </c>
    </row>
    <row r="1772" spans="1:8" x14ac:dyDescent="0.3">
      <c r="A1772" s="64" t="s">
        <v>4902</v>
      </c>
      <c r="B1772" s="64" t="s">
        <v>785</v>
      </c>
      <c r="C1772" s="64" t="s">
        <v>4286</v>
      </c>
      <c r="D1772" s="64" t="s">
        <v>1879</v>
      </c>
      <c r="E1772" s="64" t="s">
        <v>16</v>
      </c>
      <c r="F1772" s="64" t="s">
        <v>382</v>
      </c>
      <c r="G1772" s="64" t="s">
        <v>3906</v>
      </c>
      <c r="H1772" s="64" t="s">
        <v>3907</v>
      </c>
    </row>
    <row r="1773" spans="1:8" x14ac:dyDescent="0.3">
      <c r="A1773" s="64" t="s">
        <v>4903</v>
      </c>
      <c r="B1773" s="64" t="s">
        <v>785</v>
      </c>
      <c r="C1773" s="64" t="s">
        <v>4286</v>
      </c>
      <c r="D1773" s="64" t="s">
        <v>1879</v>
      </c>
      <c r="E1773" s="64" t="s">
        <v>16</v>
      </c>
      <c r="F1773" s="64" t="s">
        <v>383</v>
      </c>
      <c r="G1773" s="64" t="s">
        <v>3908</v>
      </c>
      <c r="H1773" s="64" t="s">
        <v>3909</v>
      </c>
    </row>
    <row r="1774" spans="1:8" x14ac:dyDescent="0.3">
      <c r="A1774" s="64" t="s">
        <v>4904</v>
      </c>
      <c r="B1774" s="64" t="s">
        <v>404</v>
      </c>
      <c r="C1774" s="64" t="s">
        <v>5165</v>
      </c>
      <c r="D1774" s="64" t="s">
        <v>3911</v>
      </c>
      <c r="E1774" s="64" t="s">
        <v>20</v>
      </c>
      <c r="F1774" s="64" t="s">
        <v>15</v>
      </c>
      <c r="G1774" s="64" t="s">
        <v>3912</v>
      </c>
      <c r="H1774" s="64" t="s">
        <v>3913</v>
      </c>
    </row>
    <row r="1775" spans="1:8" x14ac:dyDescent="0.3">
      <c r="A1775" s="64" t="s">
        <v>4905</v>
      </c>
      <c r="B1775" s="64" t="s">
        <v>404</v>
      </c>
      <c r="C1775" s="64" t="s">
        <v>5165</v>
      </c>
      <c r="D1775" s="64" t="s">
        <v>3911</v>
      </c>
      <c r="E1775" s="64" t="s">
        <v>16</v>
      </c>
      <c r="F1775" s="64" t="s">
        <v>368</v>
      </c>
      <c r="G1775" s="64" t="s">
        <v>3914</v>
      </c>
      <c r="H1775" s="64" t="s">
        <v>3915</v>
      </c>
    </row>
    <row r="1776" spans="1:8" x14ac:dyDescent="0.3">
      <c r="A1776" s="64" t="s">
        <v>4906</v>
      </c>
      <c r="B1776" s="64" t="s">
        <v>404</v>
      </c>
      <c r="C1776" s="64" t="s">
        <v>5165</v>
      </c>
      <c r="D1776" s="64" t="s">
        <v>3911</v>
      </c>
      <c r="E1776" s="64" t="s">
        <v>16</v>
      </c>
      <c r="F1776" s="64" t="s">
        <v>369</v>
      </c>
      <c r="G1776" s="64" t="s">
        <v>3916</v>
      </c>
      <c r="H1776" s="64" t="s">
        <v>3917</v>
      </c>
    </row>
    <row r="1777" spans="1:8" x14ac:dyDescent="0.3">
      <c r="A1777" s="64" t="s">
        <v>4907</v>
      </c>
      <c r="B1777" s="64" t="s">
        <v>404</v>
      </c>
      <c r="C1777" s="64" t="s">
        <v>5165</v>
      </c>
      <c r="D1777" s="64" t="s">
        <v>3911</v>
      </c>
      <c r="E1777" s="64" t="s">
        <v>16</v>
      </c>
      <c r="F1777" s="64" t="s">
        <v>370</v>
      </c>
      <c r="G1777" s="64" t="s">
        <v>3918</v>
      </c>
      <c r="H1777" s="64" t="s">
        <v>3919</v>
      </c>
    </row>
    <row r="1778" spans="1:8" x14ac:dyDescent="0.3">
      <c r="A1778" s="64" t="s">
        <v>4908</v>
      </c>
      <c r="B1778" s="64" t="s">
        <v>404</v>
      </c>
      <c r="C1778" s="64" t="s">
        <v>5165</v>
      </c>
      <c r="D1778" s="64" t="s">
        <v>3911</v>
      </c>
      <c r="E1778" s="64" t="s">
        <v>16</v>
      </c>
      <c r="F1778" s="64" t="s">
        <v>371</v>
      </c>
      <c r="G1778" s="64" t="s">
        <v>3920</v>
      </c>
      <c r="H1778" s="64" t="s">
        <v>3921</v>
      </c>
    </row>
    <row r="1779" spans="1:8" x14ac:dyDescent="0.3">
      <c r="A1779" s="64" t="s">
        <v>4909</v>
      </c>
      <c r="B1779" s="64" t="s">
        <v>404</v>
      </c>
      <c r="C1779" s="64" t="s">
        <v>5165</v>
      </c>
      <c r="D1779" s="64" t="s">
        <v>3911</v>
      </c>
      <c r="E1779" s="64" t="s">
        <v>16</v>
      </c>
      <c r="F1779" s="64" t="s">
        <v>372</v>
      </c>
      <c r="G1779" s="64" t="s">
        <v>3922</v>
      </c>
      <c r="H1779" s="64" t="s">
        <v>3923</v>
      </c>
    </row>
    <row r="1780" spans="1:8" x14ac:dyDescent="0.3">
      <c r="A1780" s="64" t="s">
        <v>4910</v>
      </c>
      <c r="B1780" s="64" t="s">
        <v>404</v>
      </c>
      <c r="C1780" s="64" t="s">
        <v>5165</v>
      </c>
      <c r="D1780" s="64" t="s">
        <v>3911</v>
      </c>
      <c r="E1780" s="64" t="s">
        <v>16</v>
      </c>
      <c r="F1780" s="64" t="s">
        <v>373</v>
      </c>
      <c r="G1780" s="64" t="s">
        <v>3924</v>
      </c>
      <c r="H1780" s="64" t="s">
        <v>3925</v>
      </c>
    </row>
    <row r="1781" spans="1:8" x14ac:dyDescent="0.3">
      <c r="A1781" s="64" t="s">
        <v>4911</v>
      </c>
      <c r="B1781" s="64" t="s">
        <v>404</v>
      </c>
      <c r="C1781" s="64" t="s">
        <v>5165</v>
      </c>
      <c r="D1781" s="64" t="s">
        <v>3911</v>
      </c>
      <c r="E1781" s="64" t="s">
        <v>16</v>
      </c>
      <c r="F1781" s="64" t="s">
        <v>374</v>
      </c>
      <c r="G1781" s="64" t="s">
        <v>3926</v>
      </c>
      <c r="H1781" s="64" t="s">
        <v>3927</v>
      </c>
    </row>
    <row r="1782" spans="1:8" x14ac:dyDescent="0.3">
      <c r="A1782" s="64" t="s">
        <v>4912</v>
      </c>
      <c r="B1782" s="64" t="s">
        <v>404</v>
      </c>
      <c r="C1782" s="64" t="s">
        <v>5165</v>
      </c>
      <c r="D1782" s="64" t="s">
        <v>3911</v>
      </c>
      <c r="E1782" s="64" t="s">
        <v>16</v>
      </c>
      <c r="F1782" s="64" t="s">
        <v>375</v>
      </c>
      <c r="G1782" s="64" t="s">
        <v>3928</v>
      </c>
      <c r="H1782" s="64" t="s">
        <v>3929</v>
      </c>
    </row>
    <row r="1783" spans="1:8" x14ac:dyDescent="0.3">
      <c r="A1783" s="64" t="s">
        <v>4913</v>
      </c>
      <c r="B1783" s="64" t="s">
        <v>404</v>
      </c>
      <c r="C1783" s="64" t="s">
        <v>5165</v>
      </c>
      <c r="D1783" s="64" t="s">
        <v>3911</v>
      </c>
      <c r="E1783" s="64" t="s">
        <v>16</v>
      </c>
      <c r="F1783" s="64" t="s">
        <v>376</v>
      </c>
      <c r="G1783" s="64" t="s">
        <v>3930</v>
      </c>
      <c r="H1783" s="64" t="s">
        <v>3931</v>
      </c>
    </row>
    <row r="1784" spans="1:8" x14ac:dyDescent="0.3">
      <c r="A1784" s="64" t="s">
        <v>4914</v>
      </c>
      <c r="B1784" s="64" t="s">
        <v>404</v>
      </c>
      <c r="C1784" s="64" t="s">
        <v>5165</v>
      </c>
      <c r="D1784" s="64" t="s">
        <v>3911</v>
      </c>
      <c r="E1784" s="64" t="s">
        <v>16</v>
      </c>
      <c r="F1784" s="64" t="s">
        <v>377</v>
      </c>
      <c r="G1784" s="64" t="s">
        <v>3932</v>
      </c>
      <c r="H1784" s="64" t="s">
        <v>3933</v>
      </c>
    </row>
    <row r="1785" spans="1:8" x14ac:dyDescent="0.3">
      <c r="A1785" s="64" t="s">
        <v>4915</v>
      </c>
      <c r="B1785" s="64" t="s">
        <v>404</v>
      </c>
      <c r="C1785" s="64" t="s">
        <v>5165</v>
      </c>
      <c r="D1785" s="64" t="s">
        <v>3911</v>
      </c>
      <c r="E1785" s="64" t="s">
        <v>16</v>
      </c>
      <c r="F1785" s="64" t="s">
        <v>378</v>
      </c>
      <c r="G1785" s="64" t="s">
        <v>3934</v>
      </c>
      <c r="H1785" s="64" t="s">
        <v>3935</v>
      </c>
    </row>
    <row r="1786" spans="1:8" x14ac:dyDescent="0.3">
      <c r="A1786" s="64" t="s">
        <v>4916</v>
      </c>
      <c r="B1786" s="64" t="s">
        <v>404</v>
      </c>
      <c r="C1786" s="64" t="s">
        <v>5165</v>
      </c>
      <c r="D1786" s="64" t="s">
        <v>3911</v>
      </c>
      <c r="E1786" s="64" t="s">
        <v>16</v>
      </c>
      <c r="F1786" s="64" t="s">
        <v>379</v>
      </c>
      <c r="G1786" s="64" t="s">
        <v>3936</v>
      </c>
      <c r="H1786" s="64" t="s">
        <v>3937</v>
      </c>
    </row>
    <row r="1787" spans="1:8" x14ac:dyDescent="0.3">
      <c r="A1787" s="64" t="s">
        <v>4917</v>
      </c>
      <c r="B1787" s="64" t="s">
        <v>404</v>
      </c>
      <c r="C1787" s="64" t="s">
        <v>5165</v>
      </c>
      <c r="D1787" s="64" t="s">
        <v>3911</v>
      </c>
      <c r="E1787" s="64" t="s">
        <v>16</v>
      </c>
      <c r="F1787" s="64" t="s">
        <v>380</v>
      </c>
      <c r="G1787" s="64" t="s">
        <v>3938</v>
      </c>
      <c r="H1787" s="64" t="s">
        <v>3939</v>
      </c>
    </row>
    <row r="1788" spans="1:8" x14ac:dyDescent="0.3">
      <c r="A1788" s="64" t="s">
        <v>4918</v>
      </c>
      <c r="B1788" s="64" t="s">
        <v>404</v>
      </c>
      <c r="C1788" s="64" t="s">
        <v>5165</v>
      </c>
      <c r="D1788" s="64" t="s">
        <v>3911</v>
      </c>
      <c r="E1788" s="64" t="s">
        <v>16</v>
      </c>
      <c r="F1788" s="64" t="s">
        <v>381</v>
      </c>
      <c r="G1788" s="64" t="s">
        <v>3940</v>
      </c>
      <c r="H1788" s="64" t="s">
        <v>3941</v>
      </c>
    </row>
    <row r="1789" spans="1:8" x14ac:dyDescent="0.3">
      <c r="A1789" s="64" t="s">
        <v>4919</v>
      </c>
      <c r="B1789" s="64" t="s">
        <v>404</v>
      </c>
      <c r="C1789" s="64" t="s">
        <v>5165</v>
      </c>
      <c r="D1789" s="64" t="s">
        <v>3911</v>
      </c>
      <c r="E1789" s="64" t="s">
        <v>16</v>
      </c>
      <c r="F1789" s="64" t="s">
        <v>382</v>
      </c>
      <c r="G1789" s="64" t="s">
        <v>3942</v>
      </c>
      <c r="H1789" s="64" t="s">
        <v>3943</v>
      </c>
    </row>
    <row r="1790" spans="1:8" x14ac:dyDescent="0.3">
      <c r="A1790" s="64" t="s">
        <v>4920</v>
      </c>
      <c r="B1790" s="64" t="s">
        <v>404</v>
      </c>
      <c r="C1790" s="64" t="s">
        <v>5165</v>
      </c>
      <c r="D1790" s="64" t="s">
        <v>3911</v>
      </c>
      <c r="E1790" s="64" t="s">
        <v>16</v>
      </c>
      <c r="F1790" s="64" t="s">
        <v>383</v>
      </c>
      <c r="G1790" s="64" t="s">
        <v>3944</v>
      </c>
      <c r="H1790" s="64" t="s">
        <v>3945</v>
      </c>
    </row>
    <row r="1791" spans="1:8" x14ac:dyDescent="0.3">
      <c r="A1791" s="64" t="s">
        <v>4921</v>
      </c>
      <c r="B1791" s="64" t="s">
        <v>404</v>
      </c>
      <c r="C1791" s="64" t="s">
        <v>3910</v>
      </c>
      <c r="D1791" s="64" t="s">
        <v>3911</v>
      </c>
      <c r="E1791" s="64" t="s">
        <v>20</v>
      </c>
      <c r="F1791" s="64" t="s">
        <v>15</v>
      </c>
      <c r="G1791" s="64" t="s">
        <v>3948</v>
      </c>
      <c r="H1791" s="64" t="s">
        <v>3950</v>
      </c>
    </row>
    <row r="1792" spans="1:8" x14ac:dyDescent="0.3">
      <c r="A1792" s="64" t="s">
        <v>4922</v>
      </c>
      <c r="B1792" s="64" t="s">
        <v>404</v>
      </c>
      <c r="C1792" s="64" t="s">
        <v>3910</v>
      </c>
      <c r="D1792" s="64" t="s">
        <v>3911</v>
      </c>
      <c r="E1792" s="64" t="s">
        <v>16</v>
      </c>
      <c r="F1792" s="64" t="s">
        <v>368</v>
      </c>
      <c r="G1792" s="64" t="s">
        <v>3951</v>
      </c>
      <c r="H1792" s="64" t="s">
        <v>3952</v>
      </c>
    </row>
    <row r="1793" spans="1:8" x14ac:dyDescent="0.3">
      <c r="A1793" s="64" t="s">
        <v>4923</v>
      </c>
      <c r="B1793" s="64" t="s">
        <v>404</v>
      </c>
      <c r="C1793" s="64" t="s">
        <v>3910</v>
      </c>
      <c r="D1793" s="64" t="s">
        <v>3911</v>
      </c>
      <c r="E1793" s="64" t="s">
        <v>16</v>
      </c>
      <c r="F1793" s="64" t="s">
        <v>369</v>
      </c>
      <c r="G1793" s="64" t="s">
        <v>3953</v>
      </c>
      <c r="H1793" s="64" t="s">
        <v>3954</v>
      </c>
    </row>
    <row r="1794" spans="1:8" x14ac:dyDescent="0.3">
      <c r="A1794" s="64" t="s">
        <v>4924</v>
      </c>
      <c r="B1794" s="64" t="s">
        <v>404</v>
      </c>
      <c r="C1794" s="64" t="s">
        <v>3910</v>
      </c>
      <c r="D1794" s="64" t="s">
        <v>3911</v>
      </c>
      <c r="E1794" s="64" t="s">
        <v>16</v>
      </c>
      <c r="F1794" s="64" t="s">
        <v>370</v>
      </c>
      <c r="G1794" s="64" t="s">
        <v>3955</v>
      </c>
      <c r="H1794" s="64" t="s">
        <v>3956</v>
      </c>
    </row>
    <row r="1795" spans="1:8" x14ac:dyDescent="0.3">
      <c r="A1795" s="64" t="s">
        <v>4925</v>
      </c>
      <c r="B1795" s="64" t="s">
        <v>404</v>
      </c>
      <c r="C1795" s="64" t="s">
        <v>3910</v>
      </c>
      <c r="D1795" s="64" t="s">
        <v>3911</v>
      </c>
      <c r="E1795" s="64" t="s">
        <v>16</v>
      </c>
      <c r="F1795" s="64" t="s">
        <v>371</v>
      </c>
      <c r="G1795" s="64" t="s">
        <v>3957</v>
      </c>
      <c r="H1795" s="64" t="s">
        <v>3958</v>
      </c>
    </row>
    <row r="1796" spans="1:8" x14ac:dyDescent="0.3">
      <c r="A1796" s="64" t="s">
        <v>4926</v>
      </c>
      <c r="B1796" s="64" t="s">
        <v>404</v>
      </c>
      <c r="C1796" s="64" t="s">
        <v>3910</v>
      </c>
      <c r="D1796" s="64" t="s">
        <v>3911</v>
      </c>
      <c r="E1796" s="64" t="s">
        <v>16</v>
      </c>
      <c r="F1796" s="64" t="s">
        <v>372</v>
      </c>
      <c r="G1796" s="64" t="s">
        <v>3959</v>
      </c>
      <c r="H1796" s="64" t="s">
        <v>3960</v>
      </c>
    </row>
    <row r="1797" spans="1:8" x14ac:dyDescent="0.3">
      <c r="A1797" s="64" t="s">
        <v>4927</v>
      </c>
      <c r="B1797" s="64" t="s">
        <v>404</v>
      </c>
      <c r="C1797" s="64" t="s">
        <v>3910</v>
      </c>
      <c r="D1797" s="64" t="s">
        <v>3911</v>
      </c>
      <c r="E1797" s="64" t="s">
        <v>16</v>
      </c>
      <c r="F1797" s="64" t="s">
        <v>373</v>
      </c>
      <c r="G1797" s="64" t="s">
        <v>3961</v>
      </c>
      <c r="H1797" s="64" t="s">
        <v>3962</v>
      </c>
    </row>
    <row r="1798" spans="1:8" x14ac:dyDescent="0.3">
      <c r="A1798" s="64" t="s">
        <v>4928</v>
      </c>
      <c r="B1798" s="64" t="s">
        <v>404</v>
      </c>
      <c r="C1798" s="64" t="s">
        <v>3910</v>
      </c>
      <c r="D1798" s="64" t="s">
        <v>3911</v>
      </c>
      <c r="E1798" s="64" t="s">
        <v>16</v>
      </c>
      <c r="F1798" s="64" t="s">
        <v>374</v>
      </c>
      <c r="G1798" s="64" t="s">
        <v>3963</v>
      </c>
      <c r="H1798" s="64" t="s">
        <v>3964</v>
      </c>
    </row>
    <row r="1799" spans="1:8" x14ac:dyDescent="0.3">
      <c r="A1799" s="64" t="s">
        <v>4929</v>
      </c>
      <c r="B1799" s="64" t="s">
        <v>404</v>
      </c>
      <c r="C1799" s="64" t="s">
        <v>3910</v>
      </c>
      <c r="D1799" s="64" t="s">
        <v>3911</v>
      </c>
      <c r="E1799" s="64" t="s">
        <v>16</v>
      </c>
      <c r="F1799" s="64" t="s">
        <v>375</v>
      </c>
      <c r="G1799" s="64" t="s">
        <v>3965</v>
      </c>
      <c r="H1799" s="64" t="s">
        <v>3966</v>
      </c>
    </row>
    <row r="1800" spans="1:8" x14ac:dyDescent="0.3">
      <c r="A1800" s="64" t="s">
        <v>4930</v>
      </c>
      <c r="B1800" s="64" t="s">
        <v>404</v>
      </c>
      <c r="C1800" s="64" t="s">
        <v>3910</v>
      </c>
      <c r="D1800" s="64" t="s">
        <v>3911</v>
      </c>
      <c r="E1800" s="64" t="s">
        <v>16</v>
      </c>
      <c r="F1800" s="64" t="s">
        <v>376</v>
      </c>
      <c r="G1800" s="64" t="s">
        <v>3967</v>
      </c>
      <c r="H1800" s="64" t="s">
        <v>3968</v>
      </c>
    </row>
    <row r="1801" spans="1:8" x14ac:dyDescent="0.3">
      <c r="A1801" s="64" t="s">
        <v>4931</v>
      </c>
      <c r="B1801" s="64" t="s">
        <v>404</v>
      </c>
      <c r="C1801" s="64" t="s">
        <v>3910</v>
      </c>
      <c r="D1801" s="64" t="s">
        <v>3911</v>
      </c>
      <c r="E1801" s="64" t="s">
        <v>16</v>
      </c>
      <c r="F1801" s="64" t="s">
        <v>377</v>
      </c>
      <c r="G1801" s="64" t="s">
        <v>3969</v>
      </c>
      <c r="H1801" s="64" t="s">
        <v>3970</v>
      </c>
    </row>
    <row r="1802" spans="1:8" x14ac:dyDescent="0.3">
      <c r="A1802" s="64" t="s">
        <v>4932</v>
      </c>
      <c r="B1802" s="64" t="s">
        <v>404</v>
      </c>
      <c r="C1802" s="64" t="s">
        <v>3910</v>
      </c>
      <c r="D1802" s="64" t="s">
        <v>3911</v>
      </c>
      <c r="E1802" s="64" t="s">
        <v>16</v>
      </c>
      <c r="F1802" s="64" t="s">
        <v>378</v>
      </c>
      <c r="G1802" s="64" t="s">
        <v>3971</v>
      </c>
      <c r="H1802" s="64" t="s">
        <v>3972</v>
      </c>
    </row>
    <row r="1803" spans="1:8" x14ac:dyDescent="0.3">
      <c r="A1803" s="64" t="s">
        <v>4933</v>
      </c>
      <c r="B1803" s="64" t="s">
        <v>404</v>
      </c>
      <c r="C1803" s="64" t="s">
        <v>3910</v>
      </c>
      <c r="D1803" s="64" t="s">
        <v>3911</v>
      </c>
      <c r="E1803" s="64" t="s">
        <v>16</v>
      </c>
      <c r="F1803" s="64" t="s">
        <v>379</v>
      </c>
      <c r="G1803" s="64" t="s">
        <v>3973</v>
      </c>
      <c r="H1803" s="64" t="s">
        <v>3974</v>
      </c>
    </row>
    <row r="1804" spans="1:8" x14ac:dyDescent="0.3">
      <c r="A1804" s="64" t="s">
        <v>4934</v>
      </c>
      <c r="B1804" s="64" t="s">
        <v>404</v>
      </c>
      <c r="C1804" s="64" t="s">
        <v>3910</v>
      </c>
      <c r="D1804" s="64" t="s">
        <v>3911</v>
      </c>
      <c r="E1804" s="64" t="s">
        <v>16</v>
      </c>
      <c r="F1804" s="64" t="s">
        <v>380</v>
      </c>
      <c r="G1804" s="64" t="s">
        <v>3975</v>
      </c>
      <c r="H1804" s="64" t="s">
        <v>3976</v>
      </c>
    </row>
    <row r="1805" spans="1:8" x14ac:dyDescent="0.3">
      <c r="A1805" s="64" t="s">
        <v>4935</v>
      </c>
      <c r="B1805" s="64" t="s">
        <v>404</v>
      </c>
      <c r="C1805" s="64" t="s">
        <v>3910</v>
      </c>
      <c r="D1805" s="64" t="s">
        <v>3911</v>
      </c>
      <c r="E1805" s="64" t="s">
        <v>16</v>
      </c>
      <c r="F1805" s="64" t="s">
        <v>381</v>
      </c>
      <c r="G1805" s="64" t="s">
        <v>3977</v>
      </c>
      <c r="H1805" s="64" t="s">
        <v>3978</v>
      </c>
    </row>
    <row r="1806" spans="1:8" x14ac:dyDescent="0.3">
      <c r="A1806" s="64" t="s">
        <v>4936</v>
      </c>
      <c r="B1806" s="64" t="s">
        <v>404</v>
      </c>
      <c r="C1806" s="64" t="s">
        <v>3910</v>
      </c>
      <c r="D1806" s="64" t="s">
        <v>3911</v>
      </c>
      <c r="E1806" s="64" t="s">
        <v>16</v>
      </c>
      <c r="F1806" s="64" t="s">
        <v>382</v>
      </c>
      <c r="G1806" s="64" t="s">
        <v>3979</v>
      </c>
      <c r="H1806" s="64" t="s">
        <v>3980</v>
      </c>
    </row>
    <row r="1807" spans="1:8" x14ac:dyDescent="0.3">
      <c r="A1807" s="64" t="s">
        <v>4937</v>
      </c>
      <c r="B1807" s="64" t="s">
        <v>404</v>
      </c>
      <c r="C1807" s="64" t="s">
        <v>3910</v>
      </c>
      <c r="D1807" s="64" t="s">
        <v>3911</v>
      </c>
      <c r="E1807" s="64" t="s">
        <v>16</v>
      </c>
      <c r="F1807" s="64" t="s">
        <v>383</v>
      </c>
      <c r="G1807" s="64" t="s">
        <v>3981</v>
      </c>
      <c r="H1807" s="64" t="s">
        <v>3982</v>
      </c>
    </row>
    <row r="1808" spans="1:8" x14ac:dyDescent="0.3">
      <c r="A1808" s="64" t="s">
        <v>4938</v>
      </c>
      <c r="B1808" s="64" t="s">
        <v>404</v>
      </c>
      <c r="C1808" s="64" t="s">
        <v>3983</v>
      </c>
      <c r="D1808" s="64" t="s">
        <v>3911</v>
      </c>
      <c r="E1808" s="64" t="s">
        <v>20</v>
      </c>
      <c r="F1808" s="64" t="s">
        <v>15</v>
      </c>
      <c r="G1808" s="64" t="s">
        <v>3984</v>
      </c>
      <c r="H1808" s="64" t="s">
        <v>3986</v>
      </c>
    </row>
    <row r="1809" spans="1:8" x14ac:dyDescent="0.3">
      <c r="A1809" s="64" t="s">
        <v>4939</v>
      </c>
      <c r="B1809" s="64" t="s">
        <v>404</v>
      </c>
      <c r="C1809" s="64" t="s">
        <v>3983</v>
      </c>
      <c r="D1809" s="64" t="s">
        <v>3911</v>
      </c>
      <c r="E1809" s="64" t="s">
        <v>16</v>
      </c>
      <c r="F1809" s="64" t="s">
        <v>368</v>
      </c>
      <c r="G1809" s="64" t="s">
        <v>3987</v>
      </c>
      <c r="H1809" s="64" t="s">
        <v>3988</v>
      </c>
    </row>
    <row r="1810" spans="1:8" x14ac:dyDescent="0.3">
      <c r="A1810" s="64" t="s">
        <v>4940</v>
      </c>
      <c r="B1810" s="64" t="s">
        <v>404</v>
      </c>
      <c r="C1810" s="64" t="s">
        <v>3983</v>
      </c>
      <c r="D1810" s="64" t="s">
        <v>3911</v>
      </c>
      <c r="E1810" s="64" t="s">
        <v>16</v>
      </c>
      <c r="F1810" s="64" t="s">
        <v>369</v>
      </c>
      <c r="G1810" s="64" t="s">
        <v>3989</v>
      </c>
      <c r="H1810" s="64" t="s">
        <v>3990</v>
      </c>
    </row>
    <row r="1811" spans="1:8" x14ac:dyDescent="0.3">
      <c r="A1811" s="64" t="s">
        <v>4941</v>
      </c>
      <c r="B1811" s="64" t="s">
        <v>404</v>
      </c>
      <c r="C1811" s="64" t="s">
        <v>3983</v>
      </c>
      <c r="D1811" s="64" t="s">
        <v>3911</v>
      </c>
      <c r="E1811" s="64" t="s">
        <v>16</v>
      </c>
      <c r="F1811" s="64" t="s">
        <v>370</v>
      </c>
      <c r="G1811" s="64" t="s">
        <v>3991</v>
      </c>
      <c r="H1811" s="64" t="s">
        <v>3992</v>
      </c>
    </row>
    <row r="1812" spans="1:8" x14ac:dyDescent="0.3">
      <c r="A1812" s="64" t="s">
        <v>4942</v>
      </c>
      <c r="B1812" s="64" t="s">
        <v>404</v>
      </c>
      <c r="C1812" s="64" t="s">
        <v>3983</v>
      </c>
      <c r="D1812" s="64" t="s">
        <v>3911</v>
      </c>
      <c r="E1812" s="64" t="s">
        <v>16</v>
      </c>
      <c r="F1812" s="64" t="s">
        <v>371</v>
      </c>
      <c r="G1812" s="64" t="s">
        <v>3993</v>
      </c>
      <c r="H1812" s="64" t="s">
        <v>3994</v>
      </c>
    </row>
    <row r="1813" spans="1:8" x14ac:dyDescent="0.3">
      <c r="A1813" s="64" t="s">
        <v>4943</v>
      </c>
      <c r="B1813" s="64" t="s">
        <v>404</v>
      </c>
      <c r="C1813" s="64" t="s">
        <v>3983</v>
      </c>
      <c r="D1813" s="64" t="s">
        <v>3911</v>
      </c>
      <c r="E1813" s="64" t="s">
        <v>16</v>
      </c>
      <c r="F1813" s="64" t="s">
        <v>372</v>
      </c>
      <c r="G1813" s="64" t="s">
        <v>3995</v>
      </c>
      <c r="H1813" s="64" t="s">
        <v>3996</v>
      </c>
    </row>
    <row r="1814" spans="1:8" x14ac:dyDescent="0.3">
      <c r="A1814" s="64" t="s">
        <v>4944</v>
      </c>
      <c r="B1814" s="64" t="s">
        <v>404</v>
      </c>
      <c r="C1814" s="64" t="s">
        <v>3983</v>
      </c>
      <c r="D1814" s="64" t="s">
        <v>3911</v>
      </c>
      <c r="E1814" s="64" t="s">
        <v>16</v>
      </c>
      <c r="F1814" s="64" t="s">
        <v>373</v>
      </c>
      <c r="G1814" s="64" t="s">
        <v>3997</v>
      </c>
      <c r="H1814" s="64" t="s">
        <v>3998</v>
      </c>
    </row>
    <row r="1815" spans="1:8" x14ac:dyDescent="0.3">
      <c r="A1815" s="64" t="s">
        <v>4945</v>
      </c>
      <c r="B1815" s="64" t="s">
        <v>404</v>
      </c>
      <c r="C1815" s="64" t="s">
        <v>3983</v>
      </c>
      <c r="D1815" s="64" t="s">
        <v>3911</v>
      </c>
      <c r="E1815" s="64" t="s">
        <v>16</v>
      </c>
      <c r="F1815" s="64" t="s">
        <v>374</v>
      </c>
      <c r="G1815" s="64" t="s">
        <v>3999</v>
      </c>
      <c r="H1815" s="64" t="s">
        <v>4000</v>
      </c>
    </row>
    <row r="1816" spans="1:8" x14ac:dyDescent="0.3">
      <c r="A1816" s="64" t="s">
        <v>4946</v>
      </c>
      <c r="B1816" s="64" t="s">
        <v>404</v>
      </c>
      <c r="C1816" s="64" t="s">
        <v>3983</v>
      </c>
      <c r="D1816" s="64" t="s">
        <v>3911</v>
      </c>
      <c r="E1816" s="64" t="s">
        <v>16</v>
      </c>
      <c r="F1816" s="64" t="s">
        <v>375</v>
      </c>
      <c r="G1816" s="64" t="s">
        <v>4001</v>
      </c>
      <c r="H1816" s="64" t="s">
        <v>4002</v>
      </c>
    </row>
    <row r="1817" spans="1:8" x14ac:dyDescent="0.3">
      <c r="A1817" s="64" t="s">
        <v>4947</v>
      </c>
      <c r="B1817" s="64" t="s">
        <v>404</v>
      </c>
      <c r="C1817" s="64" t="s">
        <v>3983</v>
      </c>
      <c r="D1817" s="64" t="s">
        <v>3911</v>
      </c>
      <c r="E1817" s="64" t="s">
        <v>16</v>
      </c>
      <c r="F1817" s="64" t="s">
        <v>376</v>
      </c>
      <c r="G1817" s="64" t="s">
        <v>4003</v>
      </c>
      <c r="H1817" s="64" t="s">
        <v>4004</v>
      </c>
    </row>
    <row r="1818" spans="1:8" x14ac:dyDescent="0.3">
      <c r="A1818" s="64" t="s">
        <v>4948</v>
      </c>
      <c r="B1818" s="64" t="s">
        <v>404</v>
      </c>
      <c r="C1818" s="64" t="s">
        <v>3983</v>
      </c>
      <c r="D1818" s="64" t="s">
        <v>3911</v>
      </c>
      <c r="E1818" s="64" t="s">
        <v>16</v>
      </c>
      <c r="F1818" s="64" t="s">
        <v>377</v>
      </c>
      <c r="G1818" s="64" t="s">
        <v>4005</v>
      </c>
      <c r="H1818" s="64" t="s">
        <v>4006</v>
      </c>
    </row>
    <row r="1819" spans="1:8" x14ac:dyDescent="0.3">
      <c r="A1819" s="64" t="s">
        <v>4949</v>
      </c>
      <c r="B1819" s="64" t="s">
        <v>404</v>
      </c>
      <c r="C1819" s="64" t="s">
        <v>3983</v>
      </c>
      <c r="D1819" s="64" t="s">
        <v>3911</v>
      </c>
      <c r="E1819" s="64" t="s">
        <v>16</v>
      </c>
      <c r="F1819" s="64" t="s">
        <v>378</v>
      </c>
      <c r="G1819" s="64" t="s">
        <v>4007</v>
      </c>
      <c r="H1819" s="64" t="s">
        <v>4008</v>
      </c>
    </row>
    <row r="1820" spans="1:8" x14ac:dyDescent="0.3">
      <c r="A1820" s="64" t="s">
        <v>4950</v>
      </c>
      <c r="B1820" s="64" t="s">
        <v>404</v>
      </c>
      <c r="C1820" s="64" t="s">
        <v>3983</v>
      </c>
      <c r="D1820" s="64" t="s">
        <v>3911</v>
      </c>
      <c r="E1820" s="64" t="s">
        <v>16</v>
      </c>
      <c r="F1820" s="64" t="s">
        <v>379</v>
      </c>
      <c r="G1820" s="64" t="s">
        <v>4009</v>
      </c>
      <c r="H1820" s="64" t="s">
        <v>4010</v>
      </c>
    </row>
    <row r="1821" spans="1:8" x14ac:dyDescent="0.3">
      <c r="A1821" s="64" t="s">
        <v>4951</v>
      </c>
      <c r="B1821" s="64" t="s">
        <v>404</v>
      </c>
      <c r="C1821" s="64" t="s">
        <v>3983</v>
      </c>
      <c r="D1821" s="64" t="s">
        <v>3911</v>
      </c>
      <c r="E1821" s="64" t="s">
        <v>16</v>
      </c>
      <c r="F1821" s="64" t="s">
        <v>380</v>
      </c>
      <c r="G1821" s="64" t="s">
        <v>4011</v>
      </c>
      <c r="H1821" s="64" t="s">
        <v>4012</v>
      </c>
    </row>
    <row r="1822" spans="1:8" x14ac:dyDescent="0.3">
      <c r="A1822" s="64" t="s">
        <v>4952</v>
      </c>
      <c r="B1822" s="64" t="s">
        <v>404</v>
      </c>
      <c r="C1822" s="64" t="s">
        <v>3983</v>
      </c>
      <c r="D1822" s="64" t="s">
        <v>3911</v>
      </c>
      <c r="E1822" s="64" t="s">
        <v>16</v>
      </c>
      <c r="F1822" s="64" t="s">
        <v>381</v>
      </c>
      <c r="G1822" s="64" t="s">
        <v>4013</v>
      </c>
      <c r="H1822" s="64" t="s">
        <v>4014</v>
      </c>
    </row>
    <row r="1823" spans="1:8" x14ac:dyDescent="0.3">
      <c r="A1823" s="64" t="s">
        <v>4953</v>
      </c>
      <c r="B1823" s="64" t="s">
        <v>404</v>
      </c>
      <c r="C1823" s="64" t="s">
        <v>3983</v>
      </c>
      <c r="D1823" s="64" t="s">
        <v>3911</v>
      </c>
      <c r="E1823" s="64" t="s">
        <v>16</v>
      </c>
      <c r="F1823" s="64" t="s">
        <v>382</v>
      </c>
      <c r="G1823" s="64" t="s">
        <v>4015</v>
      </c>
      <c r="H1823" s="64" t="s">
        <v>4016</v>
      </c>
    </row>
    <row r="1824" spans="1:8" x14ac:dyDescent="0.3">
      <c r="A1824" s="64" t="s">
        <v>4954</v>
      </c>
      <c r="B1824" s="64" t="s">
        <v>404</v>
      </c>
      <c r="C1824" s="64" t="s">
        <v>3983</v>
      </c>
      <c r="D1824" s="64" t="s">
        <v>3911</v>
      </c>
      <c r="E1824" s="64" t="s">
        <v>16</v>
      </c>
      <c r="F1824" s="64" t="s">
        <v>383</v>
      </c>
      <c r="G1824" s="64" t="s">
        <v>4017</v>
      </c>
      <c r="H1824" s="64" t="s">
        <v>4018</v>
      </c>
    </row>
    <row r="1825" spans="1:8" x14ac:dyDescent="0.3">
      <c r="A1825" s="64" t="s">
        <v>4955</v>
      </c>
      <c r="B1825" s="64" t="s">
        <v>785</v>
      </c>
      <c r="C1825" s="64" t="s">
        <v>5162</v>
      </c>
      <c r="D1825" s="64" t="s">
        <v>4019</v>
      </c>
      <c r="E1825" s="64" t="s">
        <v>20</v>
      </c>
      <c r="F1825" s="64" t="s">
        <v>15</v>
      </c>
      <c r="G1825" s="64" t="s">
        <v>4023</v>
      </c>
      <c r="H1825" s="64" t="s">
        <v>4024</v>
      </c>
    </row>
    <row r="1826" spans="1:8" x14ac:dyDescent="0.3">
      <c r="A1826" s="64" t="s">
        <v>4956</v>
      </c>
      <c r="B1826" s="64" t="s">
        <v>785</v>
      </c>
      <c r="C1826" s="64" t="s">
        <v>5162</v>
      </c>
      <c r="D1826" s="64" t="s">
        <v>4019</v>
      </c>
      <c r="E1826" s="64" t="s">
        <v>20</v>
      </c>
      <c r="F1826" s="64" t="s">
        <v>15</v>
      </c>
      <c r="G1826" s="64" t="s">
        <v>4026</v>
      </c>
      <c r="H1826" s="64" t="s">
        <v>4027</v>
      </c>
    </row>
    <row r="1827" spans="1:8" x14ac:dyDescent="0.3">
      <c r="A1827" s="64" t="s">
        <v>4957</v>
      </c>
      <c r="B1827" s="64" t="s">
        <v>785</v>
      </c>
      <c r="C1827" s="64" t="s">
        <v>5162</v>
      </c>
      <c r="D1827" s="64" t="s">
        <v>4019</v>
      </c>
      <c r="E1827" s="64" t="s">
        <v>20</v>
      </c>
      <c r="F1827" s="64" t="s">
        <v>15</v>
      </c>
      <c r="G1827" s="64" t="s">
        <v>4028</v>
      </c>
      <c r="H1827" s="64" t="s">
        <v>4030</v>
      </c>
    </row>
    <row r="1828" spans="1:8" x14ac:dyDescent="0.3">
      <c r="A1828" s="64" t="s">
        <v>4958</v>
      </c>
      <c r="B1828" s="64" t="s">
        <v>502</v>
      </c>
      <c r="C1828" s="64" t="s">
        <v>4031</v>
      </c>
      <c r="D1828" s="64" t="s">
        <v>1909</v>
      </c>
      <c r="E1828" s="64" t="s">
        <v>20</v>
      </c>
      <c r="F1828" s="64" t="s">
        <v>15</v>
      </c>
      <c r="G1828" s="64" t="s">
        <v>4033</v>
      </c>
      <c r="H1828" s="64" t="s">
        <v>4035</v>
      </c>
    </row>
    <row r="1829" spans="1:8" x14ac:dyDescent="0.3">
      <c r="A1829" s="64" t="s">
        <v>4959</v>
      </c>
      <c r="B1829" s="64" t="s">
        <v>502</v>
      </c>
      <c r="C1829" s="64" t="s">
        <v>4031</v>
      </c>
      <c r="D1829" s="64" t="s">
        <v>1909</v>
      </c>
      <c r="E1829" s="64" t="s">
        <v>16</v>
      </c>
      <c r="F1829" s="64" t="s">
        <v>368</v>
      </c>
      <c r="G1829" s="64" t="s">
        <v>4036</v>
      </c>
      <c r="H1829" s="64" t="s">
        <v>4037</v>
      </c>
    </row>
    <row r="1830" spans="1:8" x14ac:dyDescent="0.3">
      <c r="A1830" s="64" t="s">
        <v>4960</v>
      </c>
      <c r="B1830" s="64" t="s">
        <v>502</v>
      </c>
      <c r="C1830" s="64" t="s">
        <v>4031</v>
      </c>
      <c r="D1830" s="64" t="s">
        <v>1909</v>
      </c>
      <c r="E1830" s="64" t="s">
        <v>16</v>
      </c>
      <c r="F1830" s="64" t="s">
        <v>369</v>
      </c>
      <c r="G1830" s="64" t="s">
        <v>4038</v>
      </c>
      <c r="H1830" s="64" t="s">
        <v>4039</v>
      </c>
    </row>
    <row r="1831" spans="1:8" x14ac:dyDescent="0.3">
      <c r="A1831" s="64" t="s">
        <v>4961</v>
      </c>
      <c r="B1831" s="64" t="s">
        <v>502</v>
      </c>
      <c r="C1831" s="64" t="s">
        <v>4031</v>
      </c>
      <c r="D1831" s="64" t="s">
        <v>1909</v>
      </c>
      <c r="E1831" s="64" t="s">
        <v>16</v>
      </c>
      <c r="F1831" s="64" t="s">
        <v>370</v>
      </c>
      <c r="G1831" s="64" t="s">
        <v>4040</v>
      </c>
      <c r="H1831" s="64" t="s">
        <v>4041</v>
      </c>
    </row>
    <row r="1832" spans="1:8" x14ac:dyDescent="0.3">
      <c r="A1832" s="64" t="s">
        <v>4962</v>
      </c>
      <c r="B1832" s="64" t="s">
        <v>502</v>
      </c>
      <c r="C1832" s="64" t="s">
        <v>4031</v>
      </c>
      <c r="D1832" s="64" t="s">
        <v>1909</v>
      </c>
      <c r="E1832" s="64" t="s">
        <v>16</v>
      </c>
      <c r="F1832" s="64" t="s">
        <v>371</v>
      </c>
      <c r="G1832" s="64" t="s">
        <v>4042</v>
      </c>
      <c r="H1832" s="64" t="s">
        <v>4043</v>
      </c>
    </row>
    <row r="1833" spans="1:8" x14ac:dyDescent="0.3">
      <c r="A1833" s="64" t="s">
        <v>4963</v>
      </c>
      <c r="B1833" s="64" t="s">
        <v>502</v>
      </c>
      <c r="C1833" s="64" t="s">
        <v>4031</v>
      </c>
      <c r="D1833" s="64" t="s">
        <v>1909</v>
      </c>
      <c r="E1833" s="64" t="s">
        <v>16</v>
      </c>
      <c r="F1833" s="64" t="s">
        <v>372</v>
      </c>
      <c r="G1833" s="64" t="s">
        <v>4044</v>
      </c>
      <c r="H1833" s="64" t="s">
        <v>4045</v>
      </c>
    </row>
    <row r="1834" spans="1:8" x14ac:dyDescent="0.3">
      <c r="A1834" s="64" t="s">
        <v>4964</v>
      </c>
      <c r="B1834" s="64" t="s">
        <v>502</v>
      </c>
      <c r="C1834" s="64" t="s">
        <v>4031</v>
      </c>
      <c r="D1834" s="64" t="s">
        <v>1909</v>
      </c>
      <c r="E1834" s="64" t="s">
        <v>16</v>
      </c>
      <c r="F1834" s="64" t="s">
        <v>373</v>
      </c>
      <c r="G1834" s="64" t="s">
        <v>4046</v>
      </c>
      <c r="H1834" s="64" t="s">
        <v>4047</v>
      </c>
    </row>
    <row r="1835" spans="1:8" x14ac:dyDescent="0.3">
      <c r="A1835" s="64" t="s">
        <v>4965</v>
      </c>
      <c r="B1835" s="64" t="s">
        <v>502</v>
      </c>
      <c r="C1835" s="64" t="s">
        <v>4031</v>
      </c>
      <c r="D1835" s="64" t="s">
        <v>1909</v>
      </c>
      <c r="E1835" s="64" t="s">
        <v>16</v>
      </c>
      <c r="F1835" s="64" t="s">
        <v>374</v>
      </c>
      <c r="G1835" s="64" t="s">
        <v>4048</v>
      </c>
      <c r="H1835" s="64" t="s">
        <v>4049</v>
      </c>
    </row>
    <row r="1836" spans="1:8" x14ac:dyDescent="0.3">
      <c r="A1836" s="64" t="s">
        <v>4966</v>
      </c>
      <c r="B1836" s="64" t="s">
        <v>502</v>
      </c>
      <c r="C1836" s="64" t="s">
        <v>4031</v>
      </c>
      <c r="D1836" s="64" t="s">
        <v>1909</v>
      </c>
      <c r="E1836" s="64" t="s">
        <v>16</v>
      </c>
      <c r="F1836" s="64" t="s">
        <v>375</v>
      </c>
      <c r="G1836" s="64" t="s">
        <v>4050</v>
      </c>
      <c r="H1836" s="64" t="s">
        <v>4051</v>
      </c>
    </row>
    <row r="1837" spans="1:8" x14ac:dyDescent="0.3">
      <c r="A1837" s="64" t="s">
        <v>4967</v>
      </c>
      <c r="B1837" s="64" t="s">
        <v>502</v>
      </c>
      <c r="C1837" s="64" t="s">
        <v>4031</v>
      </c>
      <c r="D1837" s="64" t="s">
        <v>1909</v>
      </c>
      <c r="E1837" s="64" t="s">
        <v>16</v>
      </c>
      <c r="F1837" s="64" t="s">
        <v>376</v>
      </c>
      <c r="G1837" s="64" t="s">
        <v>4052</v>
      </c>
      <c r="H1837" s="64" t="s">
        <v>4053</v>
      </c>
    </row>
    <row r="1838" spans="1:8" x14ac:dyDescent="0.3">
      <c r="A1838" s="64" t="s">
        <v>4968</v>
      </c>
      <c r="B1838" s="64" t="s">
        <v>502</v>
      </c>
      <c r="C1838" s="64" t="s">
        <v>4031</v>
      </c>
      <c r="D1838" s="64" t="s">
        <v>1909</v>
      </c>
      <c r="E1838" s="64" t="s">
        <v>16</v>
      </c>
      <c r="F1838" s="64" t="s">
        <v>377</v>
      </c>
      <c r="G1838" s="64" t="s">
        <v>4054</v>
      </c>
      <c r="H1838" s="64" t="s">
        <v>4055</v>
      </c>
    </row>
    <row r="1839" spans="1:8" x14ac:dyDescent="0.3">
      <c r="A1839" s="64" t="s">
        <v>4969</v>
      </c>
      <c r="B1839" s="64" t="s">
        <v>502</v>
      </c>
      <c r="C1839" s="64" t="s">
        <v>4031</v>
      </c>
      <c r="D1839" s="64" t="s">
        <v>1909</v>
      </c>
      <c r="E1839" s="64" t="s">
        <v>16</v>
      </c>
      <c r="F1839" s="64" t="s">
        <v>378</v>
      </c>
      <c r="G1839" s="64" t="s">
        <v>4056</v>
      </c>
      <c r="H1839" s="64" t="s">
        <v>4057</v>
      </c>
    </row>
    <row r="1840" spans="1:8" x14ac:dyDescent="0.3">
      <c r="A1840" s="64" t="s">
        <v>4970</v>
      </c>
      <c r="B1840" s="64" t="s">
        <v>502</v>
      </c>
      <c r="C1840" s="64" t="s">
        <v>4031</v>
      </c>
      <c r="D1840" s="64" t="s">
        <v>1909</v>
      </c>
      <c r="E1840" s="64" t="s">
        <v>16</v>
      </c>
      <c r="F1840" s="64" t="s">
        <v>379</v>
      </c>
      <c r="G1840" s="64" t="s">
        <v>4058</v>
      </c>
      <c r="H1840" s="64" t="s">
        <v>4059</v>
      </c>
    </row>
    <row r="1841" spans="1:8" x14ac:dyDescent="0.3">
      <c r="A1841" s="64" t="s">
        <v>4971</v>
      </c>
      <c r="B1841" s="64" t="s">
        <v>502</v>
      </c>
      <c r="C1841" s="64" t="s">
        <v>4031</v>
      </c>
      <c r="D1841" s="64" t="s">
        <v>1909</v>
      </c>
      <c r="E1841" s="64" t="s">
        <v>16</v>
      </c>
      <c r="F1841" s="64" t="s">
        <v>380</v>
      </c>
      <c r="G1841" s="64" t="s">
        <v>4060</v>
      </c>
      <c r="H1841" s="64" t="s">
        <v>4061</v>
      </c>
    </row>
    <row r="1842" spans="1:8" x14ac:dyDescent="0.3">
      <c r="A1842" s="64" t="s">
        <v>4972</v>
      </c>
      <c r="B1842" s="64" t="s">
        <v>502</v>
      </c>
      <c r="C1842" s="64" t="s">
        <v>4031</v>
      </c>
      <c r="D1842" s="64" t="s">
        <v>1909</v>
      </c>
      <c r="E1842" s="64" t="s">
        <v>16</v>
      </c>
      <c r="F1842" s="64" t="s">
        <v>381</v>
      </c>
      <c r="G1842" s="64" t="s">
        <v>4062</v>
      </c>
      <c r="H1842" s="64" t="s">
        <v>4063</v>
      </c>
    </row>
    <row r="1843" spans="1:8" x14ac:dyDescent="0.3">
      <c r="A1843" s="64" t="s">
        <v>4973</v>
      </c>
      <c r="B1843" s="64" t="s">
        <v>502</v>
      </c>
      <c r="C1843" s="64" t="s">
        <v>4031</v>
      </c>
      <c r="D1843" s="64" t="s">
        <v>1909</v>
      </c>
      <c r="E1843" s="64" t="s">
        <v>16</v>
      </c>
      <c r="F1843" s="64" t="s">
        <v>382</v>
      </c>
      <c r="G1843" s="64" t="s">
        <v>4064</v>
      </c>
      <c r="H1843" s="64" t="s">
        <v>4065</v>
      </c>
    </row>
    <row r="1844" spans="1:8" x14ac:dyDescent="0.3">
      <c r="A1844" s="64" t="s">
        <v>4974</v>
      </c>
      <c r="B1844" s="64" t="s">
        <v>502</v>
      </c>
      <c r="C1844" s="64" t="s">
        <v>4031</v>
      </c>
      <c r="D1844" s="64" t="s">
        <v>1909</v>
      </c>
      <c r="E1844" s="64" t="s">
        <v>16</v>
      </c>
      <c r="F1844" s="64" t="s">
        <v>383</v>
      </c>
      <c r="G1844" s="64" t="s">
        <v>4066</v>
      </c>
      <c r="H1844" s="64" t="s">
        <v>4067</v>
      </c>
    </row>
    <row r="1845" spans="1:8" x14ac:dyDescent="0.3">
      <c r="A1845" s="64" t="s">
        <v>4975</v>
      </c>
      <c r="B1845" s="64" t="s">
        <v>502</v>
      </c>
      <c r="C1845" s="64" t="s">
        <v>4068</v>
      </c>
      <c r="D1845" s="64" t="s">
        <v>1909</v>
      </c>
      <c r="E1845" s="64" t="s">
        <v>20</v>
      </c>
      <c r="F1845" s="64" t="s">
        <v>15</v>
      </c>
      <c r="G1845" s="64" t="s">
        <v>4070</v>
      </c>
      <c r="H1845" s="64" t="s">
        <v>4071</v>
      </c>
    </row>
    <row r="1846" spans="1:8" x14ac:dyDescent="0.3">
      <c r="A1846" s="64" t="s">
        <v>4976</v>
      </c>
      <c r="B1846" s="64" t="s">
        <v>502</v>
      </c>
      <c r="C1846" s="64" t="s">
        <v>4068</v>
      </c>
      <c r="D1846" s="64" t="s">
        <v>1909</v>
      </c>
      <c r="E1846" s="64" t="s">
        <v>16</v>
      </c>
      <c r="F1846" s="64" t="s">
        <v>368</v>
      </c>
      <c r="G1846" s="64" t="s">
        <v>4072</v>
      </c>
      <c r="H1846" s="64" t="s">
        <v>4073</v>
      </c>
    </row>
    <row r="1847" spans="1:8" x14ac:dyDescent="0.3">
      <c r="A1847" s="64" t="s">
        <v>4977</v>
      </c>
      <c r="B1847" s="64" t="s">
        <v>502</v>
      </c>
      <c r="C1847" s="64" t="s">
        <v>4068</v>
      </c>
      <c r="D1847" s="64" t="s">
        <v>1909</v>
      </c>
      <c r="E1847" s="64" t="s">
        <v>16</v>
      </c>
      <c r="F1847" s="64" t="s">
        <v>369</v>
      </c>
      <c r="G1847" s="64" t="s">
        <v>4074</v>
      </c>
      <c r="H1847" s="64" t="s">
        <v>4075</v>
      </c>
    </row>
    <row r="1848" spans="1:8" x14ac:dyDescent="0.3">
      <c r="A1848" s="64" t="s">
        <v>4978</v>
      </c>
      <c r="B1848" s="64" t="s">
        <v>502</v>
      </c>
      <c r="C1848" s="64" t="s">
        <v>4068</v>
      </c>
      <c r="D1848" s="64" t="s">
        <v>1909</v>
      </c>
      <c r="E1848" s="64" t="s">
        <v>16</v>
      </c>
      <c r="F1848" s="64" t="s">
        <v>370</v>
      </c>
      <c r="G1848" s="64" t="s">
        <v>4076</v>
      </c>
      <c r="H1848" s="64" t="s">
        <v>4077</v>
      </c>
    </row>
    <row r="1849" spans="1:8" x14ac:dyDescent="0.3">
      <c r="A1849" s="64" t="s">
        <v>4979</v>
      </c>
      <c r="B1849" s="64" t="s">
        <v>502</v>
      </c>
      <c r="C1849" s="64" t="s">
        <v>4068</v>
      </c>
      <c r="D1849" s="64" t="s">
        <v>1909</v>
      </c>
      <c r="E1849" s="64" t="s">
        <v>16</v>
      </c>
      <c r="F1849" s="64" t="s">
        <v>371</v>
      </c>
      <c r="G1849" s="64" t="s">
        <v>4078</v>
      </c>
      <c r="H1849" s="64" t="s">
        <v>4079</v>
      </c>
    </row>
    <row r="1850" spans="1:8" x14ac:dyDescent="0.3">
      <c r="A1850" s="64" t="s">
        <v>4980</v>
      </c>
      <c r="B1850" s="64" t="s">
        <v>502</v>
      </c>
      <c r="C1850" s="64" t="s">
        <v>4068</v>
      </c>
      <c r="D1850" s="64" t="s">
        <v>1909</v>
      </c>
      <c r="E1850" s="64" t="s">
        <v>16</v>
      </c>
      <c r="F1850" s="64" t="s">
        <v>372</v>
      </c>
      <c r="G1850" s="64" t="s">
        <v>4080</v>
      </c>
      <c r="H1850" s="64" t="s">
        <v>4081</v>
      </c>
    </row>
    <row r="1851" spans="1:8" x14ac:dyDescent="0.3">
      <c r="A1851" s="64" t="s">
        <v>4981</v>
      </c>
      <c r="B1851" s="64" t="s">
        <v>502</v>
      </c>
      <c r="C1851" s="64" t="s">
        <v>4068</v>
      </c>
      <c r="D1851" s="64" t="s">
        <v>1909</v>
      </c>
      <c r="E1851" s="64" t="s">
        <v>16</v>
      </c>
      <c r="F1851" s="64" t="s">
        <v>373</v>
      </c>
      <c r="G1851" s="64" t="s">
        <v>4082</v>
      </c>
      <c r="H1851" s="64" t="s">
        <v>4083</v>
      </c>
    </row>
    <row r="1852" spans="1:8" x14ac:dyDescent="0.3">
      <c r="A1852" s="64" t="s">
        <v>4982</v>
      </c>
      <c r="B1852" s="64" t="s">
        <v>502</v>
      </c>
      <c r="C1852" s="64" t="s">
        <v>4068</v>
      </c>
      <c r="D1852" s="64" t="s">
        <v>1909</v>
      </c>
      <c r="E1852" s="64" t="s">
        <v>16</v>
      </c>
      <c r="F1852" s="64" t="s">
        <v>374</v>
      </c>
      <c r="G1852" s="64" t="s">
        <v>4084</v>
      </c>
      <c r="H1852" s="64" t="s">
        <v>4085</v>
      </c>
    </row>
    <row r="1853" spans="1:8" x14ac:dyDescent="0.3">
      <c r="A1853" s="64" t="s">
        <v>4983</v>
      </c>
      <c r="B1853" s="64" t="s">
        <v>502</v>
      </c>
      <c r="C1853" s="64" t="s">
        <v>4068</v>
      </c>
      <c r="D1853" s="64" t="s">
        <v>1909</v>
      </c>
      <c r="E1853" s="64" t="s">
        <v>16</v>
      </c>
      <c r="F1853" s="64" t="s">
        <v>375</v>
      </c>
      <c r="G1853" s="64" t="s">
        <v>4086</v>
      </c>
      <c r="H1853" s="64" t="s">
        <v>4087</v>
      </c>
    </row>
    <row r="1854" spans="1:8" x14ac:dyDescent="0.3">
      <c r="A1854" s="64" t="s">
        <v>4984</v>
      </c>
      <c r="B1854" s="64" t="s">
        <v>502</v>
      </c>
      <c r="C1854" s="64" t="s">
        <v>4068</v>
      </c>
      <c r="D1854" s="64" t="s">
        <v>1909</v>
      </c>
      <c r="E1854" s="64" t="s">
        <v>16</v>
      </c>
      <c r="F1854" s="64" t="s">
        <v>376</v>
      </c>
      <c r="G1854" s="64" t="s">
        <v>4088</v>
      </c>
      <c r="H1854" s="64" t="s">
        <v>4089</v>
      </c>
    </row>
    <row r="1855" spans="1:8" x14ac:dyDescent="0.3">
      <c r="A1855" s="64" t="s">
        <v>4985</v>
      </c>
      <c r="B1855" s="64" t="s">
        <v>502</v>
      </c>
      <c r="C1855" s="64" t="s">
        <v>4068</v>
      </c>
      <c r="D1855" s="64" t="s">
        <v>1909</v>
      </c>
      <c r="E1855" s="64" t="s">
        <v>16</v>
      </c>
      <c r="F1855" s="64" t="s">
        <v>377</v>
      </c>
      <c r="G1855" s="64" t="s">
        <v>4090</v>
      </c>
      <c r="H1855" s="64" t="s">
        <v>4091</v>
      </c>
    </row>
    <row r="1856" spans="1:8" x14ac:dyDescent="0.3">
      <c r="A1856" s="64" t="s">
        <v>4986</v>
      </c>
      <c r="B1856" s="64" t="s">
        <v>502</v>
      </c>
      <c r="C1856" s="64" t="s">
        <v>4068</v>
      </c>
      <c r="D1856" s="64" t="s">
        <v>1909</v>
      </c>
      <c r="E1856" s="64" t="s">
        <v>16</v>
      </c>
      <c r="F1856" s="64" t="s">
        <v>378</v>
      </c>
      <c r="G1856" s="64" t="s">
        <v>4092</v>
      </c>
      <c r="H1856" s="64" t="s">
        <v>4093</v>
      </c>
    </row>
    <row r="1857" spans="1:8" x14ac:dyDescent="0.3">
      <c r="A1857" s="64" t="s">
        <v>4987</v>
      </c>
      <c r="B1857" s="64" t="s">
        <v>502</v>
      </c>
      <c r="C1857" s="64" t="s">
        <v>4068</v>
      </c>
      <c r="D1857" s="64" t="s">
        <v>1909</v>
      </c>
      <c r="E1857" s="64" t="s">
        <v>16</v>
      </c>
      <c r="F1857" s="64" t="s">
        <v>379</v>
      </c>
      <c r="G1857" s="64" t="s">
        <v>4094</v>
      </c>
      <c r="H1857" s="64" t="s">
        <v>4095</v>
      </c>
    </row>
    <row r="1858" spans="1:8" x14ac:dyDescent="0.3">
      <c r="A1858" s="64" t="s">
        <v>4988</v>
      </c>
      <c r="B1858" s="64" t="s">
        <v>502</v>
      </c>
      <c r="C1858" s="64" t="s">
        <v>4068</v>
      </c>
      <c r="D1858" s="64" t="s">
        <v>1909</v>
      </c>
      <c r="E1858" s="64" t="s">
        <v>16</v>
      </c>
      <c r="F1858" s="64" t="s">
        <v>380</v>
      </c>
      <c r="G1858" s="64" t="s">
        <v>4096</v>
      </c>
      <c r="H1858" s="64" t="s">
        <v>4097</v>
      </c>
    </row>
    <row r="1859" spans="1:8" x14ac:dyDescent="0.3">
      <c r="A1859" s="64" t="s">
        <v>4989</v>
      </c>
      <c r="B1859" s="64" t="s">
        <v>502</v>
      </c>
      <c r="C1859" s="64" t="s">
        <v>4068</v>
      </c>
      <c r="D1859" s="64" t="s">
        <v>1909</v>
      </c>
      <c r="E1859" s="64" t="s">
        <v>16</v>
      </c>
      <c r="F1859" s="64" t="s">
        <v>381</v>
      </c>
      <c r="G1859" s="64" t="s">
        <v>4098</v>
      </c>
      <c r="H1859" s="64" t="s">
        <v>4099</v>
      </c>
    </row>
    <row r="1860" spans="1:8" x14ac:dyDescent="0.3">
      <c r="A1860" s="64" t="s">
        <v>4990</v>
      </c>
      <c r="B1860" s="64" t="s">
        <v>502</v>
      </c>
      <c r="C1860" s="64" t="s">
        <v>4068</v>
      </c>
      <c r="D1860" s="64" t="s">
        <v>1909</v>
      </c>
      <c r="E1860" s="64" t="s">
        <v>16</v>
      </c>
      <c r="F1860" s="64" t="s">
        <v>382</v>
      </c>
      <c r="G1860" s="64" t="s">
        <v>4100</v>
      </c>
      <c r="H1860" s="64" t="s">
        <v>4101</v>
      </c>
    </row>
    <row r="1861" spans="1:8" x14ac:dyDescent="0.3">
      <c r="A1861" s="64" t="s">
        <v>4991</v>
      </c>
      <c r="B1861" s="64" t="s">
        <v>502</v>
      </c>
      <c r="C1861" s="64" t="s">
        <v>4068</v>
      </c>
      <c r="D1861" s="64" t="s">
        <v>1909</v>
      </c>
      <c r="E1861" s="64" t="s">
        <v>16</v>
      </c>
      <c r="F1861" s="64" t="s">
        <v>383</v>
      </c>
      <c r="G1861" s="64" t="s">
        <v>4102</v>
      </c>
      <c r="H1861" s="64" t="s">
        <v>4103</v>
      </c>
    </row>
    <row r="1862" spans="1:8" x14ac:dyDescent="0.3">
      <c r="A1862" s="64" t="s">
        <v>4992</v>
      </c>
      <c r="B1862" s="64" t="s">
        <v>568</v>
      </c>
      <c r="C1862" s="64" t="s">
        <v>1473</v>
      </c>
      <c r="D1862" s="64" t="s">
        <v>1898</v>
      </c>
      <c r="E1862" s="64" t="s">
        <v>20</v>
      </c>
      <c r="F1862" s="64" t="s">
        <v>15</v>
      </c>
      <c r="G1862" s="64" t="s">
        <v>4104</v>
      </c>
      <c r="H1862" s="64" t="s">
        <v>4105</v>
      </c>
    </row>
    <row r="1863" spans="1:8" x14ac:dyDescent="0.3">
      <c r="A1863" s="64" t="s">
        <v>4993</v>
      </c>
      <c r="B1863" s="64" t="s">
        <v>568</v>
      </c>
      <c r="C1863" s="64" t="s">
        <v>1473</v>
      </c>
      <c r="D1863" s="64" t="s">
        <v>1898</v>
      </c>
      <c r="E1863" s="64" t="s">
        <v>20</v>
      </c>
      <c r="F1863" s="64" t="s">
        <v>15</v>
      </c>
      <c r="G1863" s="64" t="s">
        <v>4106</v>
      </c>
      <c r="H1863" s="64" t="s">
        <v>4107</v>
      </c>
    </row>
    <row r="1864" spans="1:8" x14ac:dyDescent="0.3">
      <c r="A1864" s="64" t="s">
        <v>4994</v>
      </c>
      <c r="B1864" s="64" t="s">
        <v>568</v>
      </c>
      <c r="C1864" s="64" t="s">
        <v>1473</v>
      </c>
      <c r="D1864" s="64" t="s">
        <v>1898</v>
      </c>
      <c r="E1864" s="64" t="s">
        <v>16</v>
      </c>
      <c r="F1864" s="64" t="s">
        <v>368</v>
      </c>
      <c r="G1864" s="64" t="s">
        <v>4108</v>
      </c>
      <c r="H1864" s="64" t="s">
        <v>4109</v>
      </c>
    </row>
    <row r="1865" spans="1:8" x14ac:dyDescent="0.3">
      <c r="A1865" s="64" t="s">
        <v>4995</v>
      </c>
      <c r="B1865" s="64" t="s">
        <v>568</v>
      </c>
      <c r="C1865" s="64" t="s">
        <v>1473</v>
      </c>
      <c r="D1865" s="64" t="s">
        <v>1898</v>
      </c>
      <c r="E1865" s="64" t="s">
        <v>16</v>
      </c>
      <c r="F1865" s="64" t="s">
        <v>369</v>
      </c>
      <c r="G1865" s="64" t="s">
        <v>4110</v>
      </c>
      <c r="H1865" s="64" t="s">
        <v>4111</v>
      </c>
    </row>
    <row r="1866" spans="1:8" x14ac:dyDescent="0.3">
      <c r="A1866" s="64" t="s">
        <v>4996</v>
      </c>
      <c r="B1866" s="64" t="s">
        <v>568</v>
      </c>
      <c r="C1866" s="64" t="s">
        <v>1473</v>
      </c>
      <c r="D1866" s="64" t="s">
        <v>1898</v>
      </c>
      <c r="E1866" s="64" t="s">
        <v>16</v>
      </c>
      <c r="F1866" s="64" t="s">
        <v>370</v>
      </c>
      <c r="G1866" s="64" t="s">
        <v>4112</v>
      </c>
      <c r="H1866" s="64" t="s">
        <v>4113</v>
      </c>
    </row>
    <row r="1867" spans="1:8" x14ac:dyDescent="0.3">
      <c r="A1867" s="64" t="s">
        <v>4997</v>
      </c>
      <c r="B1867" s="64" t="s">
        <v>568</v>
      </c>
      <c r="C1867" s="64" t="s">
        <v>1473</v>
      </c>
      <c r="D1867" s="64" t="s">
        <v>1898</v>
      </c>
      <c r="E1867" s="64" t="s">
        <v>16</v>
      </c>
      <c r="F1867" s="64" t="s">
        <v>371</v>
      </c>
      <c r="G1867" s="64" t="s">
        <v>4114</v>
      </c>
      <c r="H1867" s="64" t="s">
        <v>4115</v>
      </c>
    </row>
    <row r="1868" spans="1:8" x14ac:dyDescent="0.3">
      <c r="A1868" s="64" t="s">
        <v>4998</v>
      </c>
      <c r="B1868" s="64" t="s">
        <v>568</v>
      </c>
      <c r="C1868" s="64" t="s">
        <v>1473</v>
      </c>
      <c r="D1868" s="64" t="s">
        <v>1898</v>
      </c>
      <c r="E1868" s="64" t="s">
        <v>16</v>
      </c>
      <c r="F1868" s="64" t="s">
        <v>372</v>
      </c>
      <c r="G1868" s="64" t="s">
        <v>4116</v>
      </c>
      <c r="H1868" s="64" t="s">
        <v>4117</v>
      </c>
    </row>
    <row r="1869" spans="1:8" x14ac:dyDescent="0.3">
      <c r="A1869" s="64" t="s">
        <v>4999</v>
      </c>
      <c r="B1869" s="64" t="s">
        <v>568</v>
      </c>
      <c r="C1869" s="64" t="s">
        <v>1473</v>
      </c>
      <c r="D1869" s="64" t="s">
        <v>1898</v>
      </c>
      <c r="E1869" s="64" t="s">
        <v>16</v>
      </c>
      <c r="F1869" s="64" t="s">
        <v>373</v>
      </c>
      <c r="G1869" s="64" t="s">
        <v>4118</v>
      </c>
      <c r="H1869" s="64" t="s">
        <v>4119</v>
      </c>
    </row>
    <row r="1870" spans="1:8" x14ac:dyDescent="0.3">
      <c r="A1870" s="64" t="s">
        <v>5000</v>
      </c>
      <c r="B1870" s="64" t="s">
        <v>568</v>
      </c>
      <c r="C1870" s="64" t="s">
        <v>1473</v>
      </c>
      <c r="D1870" s="64" t="s">
        <v>1898</v>
      </c>
      <c r="E1870" s="64" t="s">
        <v>16</v>
      </c>
      <c r="F1870" s="64" t="s">
        <v>374</v>
      </c>
      <c r="G1870" s="64" t="s">
        <v>4120</v>
      </c>
      <c r="H1870" s="64" t="s">
        <v>4121</v>
      </c>
    </row>
    <row r="1871" spans="1:8" x14ac:dyDescent="0.3">
      <c r="A1871" s="64" t="s">
        <v>5001</v>
      </c>
      <c r="B1871" s="64" t="s">
        <v>568</v>
      </c>
      <c r="C1871" s="64" t="s">
        <v>1473</v>
      </c>
      <c r="D1871" s="64" t="s">
        <v>1898</v>
      </c>
      <c r="E1871" s="64" t="s">
        <v>16</v>
      </c>
      <c r="F1871" s="64" t="s">
        <v>375</v>
      </c>
      <c r="G1871" s="64" t="s">
        <v>4122</v>
      </c>
      <c r="H1871" s="64" t="s">
        <v>4123</v>
      </c>
    </row>
    <row r="1872" spans="1:8" x14ac:dyDescent="0.3">
      <c r="A1872" s="64" t="s">
        <v>5002</v>
      </c>
      <c r="B1872" s="64" t="s">
        <v>568</v>
      </c>
      <c r="C1872" s="64" t="s">
        <v>1473</v>
      </c>
      <c r="D1872" s="64" t="s">
        <v>1898</v>
      </c>
      <c r="E1872" s="64" t="s">
        <v>16</v>
      </c>
      <c r="F1872" s="64" t="s">
        <v>376</v>
      </c>
      <c r="G1872" s="64" t="s">
        <v>4124</v>
      </c>
      <c r="H1872" s="64" t="s">
        <v>4125</v>
      </c>
    </row>
    <row r="1873" spans="1:8" x14ac:dyDescent="0.3">
      <c r="A1873" s="64" t="s">
        <v>5003</v>
      </c>
      <c r="B1873" s="64" t="s">
        <v>568</v>
      </c>
      <c r="C1873" s="64" t="s">
        <v>1473</v>
      </c>
      <c r="D1873" s="64" t="s">
        <v>1898</v>
      </c>
      <c r="E1873" s="64" t="s">
        <v>16</v>
      </c>
      <c r="F1873" s="64" t="s">
        <v>377</v>
      </c>
      <c r="G1873" s="64" t="s">
        <v>4126</v>
      </c>
      <c r="H1873" s="64" t="s">
        <v>4127</v>
      </c>
    </row>
    <row r="1874" spans="1:8" x14ac:dyDescent="0.3">
      <c r="A1874" s="64" t="s">
        <v>5004</v>
      </c>
      <c r="B1874" s="64" t="s">
        <v>568</v>
      </c>
      <c r="C1874" s="64" t="s">
        <v>1473</v>
      </c>
      <c r="D1874" s="64" t="s">
        <v>1898</v>
      </c>
      <c r="E1874" s="64" t="s">
        <v>16</v>
      </c>
      <c r="F1874" s="64" t="s">
        <v>378</v>
      </c>
      <c r="G1874" s="64" t="s">
        <v>4128</v>
      </c>
      <c r="H1874" s="64" t="s">
        <v>4129</v>
      </c>
    </row>
    <row r="1875" spans="1:8" x14ac:dyDescent="0.3">
      <c r="A1875" s="64" t="s">
        <v>5005</v>
      </c>
      <c r="B1875" s="64" t="s">
        <v>568</v>
      </c>
      <c r="C1875" s="64" t="s">
        <v>1473</v>
      </c>
      <c r="D1875" s="64" t="s">
        <v>1898</v>
      </c>
      <c r="E1875" s="64" t="s">
        <v>16</v>
      </c>
      <c r="F1875" s="64" t="s">
        <v>379</v>
      </c>
      <c r="G1875" s="64" t="s">
        <v>4130</v>
      </c>
      <c r="H1875" s="64" t="s">
        <v>4131</v>
      </c>
    </row>
    <row r="1876" spans="1:8" x14ac:dyDescent="0.3">
      <c r="A1876" s="64" t="s">
        <v>5006</v>
      </c>
      <c r="B1876" s="64" t="s">
        <v>568</v>
      </c>
      <c r="C1876" s="64" t="s">
        <v>1473</v>
      </c>
      <c r="D1876" s="64" t="s">
        <v>1898</v>
      </c>
      <c r="E1876" s="64" t="s">
        <v>16</v>
      </c>
      <c r="F1876" s="64" t="s">
        <v>380</v>
      </c>
      <c r="G1876" s="64" t="s">
        <v>4132</v>
      </c>
      <c r="H1876" s="64" t="s">
        <v>4133</v>
      </c>
    </row>
    <row r="1877" spans="1:8" x14ac:dyDescent="0.3">
      <c r="A1877" s="64" t="s">
        <v>5007</v>
      </c>
      <c r="B1877" s="64" t="s">
        <v>568</v>
      </c>
      <c r="C1877" s="64" t="s">
        <v>1473</v>
      </c>
      <c r="D1877" s="64" t="s">
        <v>1898</v>
      </c>
      <c r="E1877" s="64" t="s">
        <v>16</v>
      </c>
      <c r="F1877" s="64" t="s">
        <v>381</v>
      </c>
      <c r="G1877" s="64" t="s">
        <v>4134</v>
      </c>
      <c r="H1877" s="64" t="s">
        <v>4135</v>
      </c>
    </row>
    <row r="1878" spans="1:8" x14ac:dyDescent="0.3">
      <c r="A1878" s="64" t="s">
        <v>5008</v>
      </c>
      <c r="B1878" s="64" t="s">
        <v>568</v>
      </c>
      <c r="C1878" s="64" t="s">
        <v>1473</v>
      </c>
      <c r="D1878" s="64" t="s">
        <v>1898</v>
      </c>
      <c r="E1878" s="64" t="s">
        <v>16</v>
      </c>
      <c r="F1878" s="64" t="s">
        <v>382</v>
      </c>
      <c r="G1878" s="64" t="s">
        <v>4136</v>
      </c>
      <c r="H1878" s="64" t="s">
        <v>4137</v>
      </c>
    </row>
    <row r="1879" spans="1:8" x14ac:dyDescent="0.3">
      <c r="A1879" s="64" t="s">
        <v>5009</v>
      </c>
      <c r="B1879" s="64" t="s">
        <v>568</v>
      </c>
      <c r="C1879" s="64" t="s">
        <v>1473</v>
      </c>
      <c r="D1879" s="64" t="s">
        <v>1898</v>
      </c>
      <c r="E1879" s="64" t="s">
        <v>16</v>
      </c>
      <c r="F1879" s="64" t="s">
        <v>383</v>
      </c>
      <c r="G1879" s="64" t="s">
        <v>4138</v>
      </c>
      <c r="H1879" s="64" t="s">
        <v>4139</v>
      </c>
    </row>
    <row r="1880" spans="1:8" x14ac:dyDescent="0.3">
      <c r="A1880" s="64" t="s">
        <v>5010</v>
      </c>
      <c r="B1880" s="64" t="s">
        <v>568</v>
      </c>
      <c r="C1880" s="64" t="s">
        <v>1473</v>
      </c>
      <c r="D1880" s="64" t="s">
        <v>1898</v>
      </c>
      <c r="E1880" s="64" t="s">
        <v>20</v>
      </c>
      <c r="F1880" s="64" t="s">
        <v>15</v>
      </c>
      <c r="G1880" s="64" t="s">
        <v>4140</v>
      </c>
      <c r="H1880" s="64" t="s">
        <v>4142</v>
      </c>
    </row>
    <row r="1881" spans="1:8" x14ac:dyDescent="0.3">
      <c r="A1881" s="64" t="s">
        <v>5011</v>
      </c>
      <c r="B1881" s="64" t="s">
        <v>568</v>
      </c>
      <c r="C1881" s="64" t="s">
        <v>1473</v>
      </c>
      <c r="D1881" s="64" t="s">
        <v>1898</v>
      </c>
      <c r="E1881" s="64" t="s">
        <v>16</v>
      </c>
      <c r="F1881" s="64" t="s">
        <v>368</v>
      </c>
      <c r="G1881" s="64" t="s">
        <v>4143</v>
      </c>
      <c r="H1881" s="64" t="s">
        <v>4144</v>
      </c>
    </row>
    <row r="1882" spans="1:8" x14ac:dyDescent="0.3">
      <c r="A1882" s="64" t="s">
        <v>5012</v>
      </c>
      <c r="B1882" s="64" t="s">
        <v>568</v>
      </c>
      <c r="C1882" s="64" t="s">
        <v>1473</v>
      </c>
      <c r="D1882" s="64" t="s">
        <v>1898</v>
      </c>
      <c r="E1882" s="64" t="s">
        <v>16</v>
      </c>
      <c r="F1882" s="64" t="s">
        <v>369</v>
      </c>
      <c r="G1882" s="64" t="s">
        <v>4145</v>
      </c>
      <c r="H1882" s="64" t="s">
        <v>4146</v>
      </c>
    </row>
    <row r="1883" spans="1:8" x14ac:dyDescent="0.3">
      <c r="A1883" s="64" t="s">
        <v>5013</v>
      </c>
      <c r="B1883" s="64" t="s">
        <v>568</v>
      </c>
      <c r="C1883" s="64" t="s">
        <v>1473</v>
      </c>
      <c r="D1883" s="64" t="s">
        <v>1898</v>
      </c>
      <c r="E1883" s="64" t="s">
        <v>16</v>
      </c>
      <c r="F1883" s="64" t="s">
        <v>370</v>
      </c>
      <c r="G1883" s="64" t="s">
        <v>4147</v>
      </c>
      <c r="H1883" s="64" t="s">
        <v>4148</v>
      </c>
    </row>
    <row r="1884" spans="1:8" x14ac:dyDescent="0.3">
      <c r="A1884" s="64" t="s">
        <v>5014</v>
      </c>
      <c r="B1884" s="64" t="s">
        <v>568</v>
      </c>
      <c r="C1884" s="64" t="s">
        <v>1473</v>
      </c>
      <c r="D1884" s="64" t="s">
        <v>1898</v>
      </c>
      <c r="E1884" s="64" t="s">
        <v>16</v>
      </c>
      <c r="F1884" s="64" t="s">
        <v>371</v>
      </c>
      <c r="G1884" s="64" t="s">
        <v>4149</v>
      </c>
      <c r="H1884" s="64" t="s">
        <v>4150</v>
      </c>
    </row>
    <row r="1885" spans="1:8" x14ac:dyDescent="0.3">
      <c r="A1885" s="64" t="s">
        <v>5015</v>
      </c>
      <c r="B1885" s="64" t="s">
        <v>568</v>
      </c>
      <c r="C1885" s="64" t="s">
        <v>1473</v>
      </c>
      <c r="D1885" s="64" t="s">
        <v>1898</v>
      </c>
      <c r="E1885" s="64" t="s">
        <v>16</v>
      </c>
      <c r="F1885" s="64" t="s">
        <v>372</v>
      </c>
      <c r="G1885" s="64" t="s">
        <v>4151</v>
      </c>
      <c r="H1885" s="64" t="s">
        <v>4152</v>
      </c>
    </row>
    <row r="1886" spans="1:8" x14ac:dyDescent="0.3">
      <c r="A1886" s="64" t="s">
        <v>5016</v>
      </c>
      <c r="B1886" s="64" t="s">
        <v>568</v>
      </c>
      <c r="C1886" s="64" t="s">
        <v>1473</v>
      </c>
      <c r="D1886" s="64" t="s">
        <v>1898</v>
      </c>
      <c r="E1886" s="64" t="s">
        <v>16</v>
      </c>
      <c r="F1886" s="64" t="s">
        <v>373</v>
      </c>
      <c r="G1886" s="64" t="s">
        <v>4153</v>
      </c>
      <c r="H1886" s="64" t="s">
        <v>4154</v>
      </c>
    </row>
    <row r="1887" spans="1:8" x14ac:dyDescent="0.3">
      <c r="A1887" s="64" t="s">
        <v>5017</v>
      </c>
      <c r="B1887" s="64" t="s">
        <v>568</v>
      </c>
      <c r="C1887" s="64" t="s">
        <v>1473</v>
      </c>
      <c r="D1887" s="64" t="s">
        <v>1898</v>
      </c>
      <c r="E1887" s="64" t="s">
        <v>16</v>
      </c>
      <c r="F1887" s="64" t="s">
        <v>374</v>
      </c>
      <c r="G1887" s="64" t="s">
        <v>4155</v>
      </c>
      <c r="H1887" s="64" t="s">
        <v>4156</v>
      </c>
    </row>
    <row r="1888" spans="1:8" x14ac:dyDescent="0.3">
      <c r="A1888" s="64" t="s">
        <v>5018</v>
      </c>
      <c r="B1888" s="64" t="s">
        <v>568</v>
      </c>
      <c r="C1888" s="64" t="s">
        <v>1473</v>
      </c>
      <c r="D1888" s="64" t="s">
        <v>1898</v>
      </c>
      <c r="E1888" s="64" t="s">
        <v>16</v>
      </c>
      <c r="F1888" s="64" t="s">
        <v>375</v>
      </c>
      <c r="G1888" s="64" t="s">
        <v>4157</v>
      </c>
      <c r="H1888" s="64" t="s">
        <v>4158</v>
      </c>
    </row>
    <row r="1889" spans="1:8" x14ac:dyDescent="0.3">
      <c r="A1889" s="64" t="s">
        <v>5019</v>
      </c>
      <c r="B1889" s="64" t="s">
        <v>568</v>
      </c>
      <c r="C1889" s="64" t="s">
        <v>1473</v>
      </c>
      <c r="D1889" s="64" t="s">
        <v>1898</v>
      </c>
      <c r="E1889" s="64" t="s">
        <v>16</v>
      </c>
      <c r="F1889" s="64" t="s">
        <v>376</v>
      </c>
      <c r="G1889" s="64" t="s">
        <v>4159</v>
      </c>
      <c r="H1889" s="64" t="s">
        <v>4160</v>
      </c>
    </row>
    <row r="1890" spans="1:8" x14ac:dyDescent="0.3">
      <c r="A1890" s="64" t="s">
        <v>5020</v>
      </c>
      <c r="B1890" s="64" t="s">
        <v>568</v>
      </c>
      <c r="C1890" s="64" t="s">
        <v>1473</v>
      </c>
      <c r="D1890" s="64" t="s">
        <v>1898</v>
      </c>
      <c r="E1890" s="64" t="s">
        <v>16</v>
      </c>
      <c r="F1890" s="64" t="s">
        <v>377</v>
      </c>
      <c r="G1890" s="64" t="s">
        <v>4161</v>
      </c>
      <c r="H1890" s="64" t="s">
        <v>4162</v>
      </c>
    </row>
    <row r="1891" spans="1:8" x14ac:dyDescent="0.3">
      <c r="A1891" s="64" t="s">
        <v>5021</v>
      </c>
      <c r="B1891" s="64" t="s">
        <v>568</v>
      </c>
      <c r="C1891" s="64" t="s">
        <v>1473</v>
      </c>
      <c r="D1891" s="64" t="s">
        <v>1898</v>
      </c>
      <c r="E1891" s="64" t="s">
        <v>16</v>
      </c>
      <c r="F1891" s="64" t="s">
        <v>378</v>
      </c>
      <c r="G1891" s="64" t="s">
        <v>4163</v>
      </c>
      <c r="H1891" s="64" t="s">
        <v>4164</v>
      </c>
    </row>
    <row r="1892" spans="1:8" x14ac:dyDescent="0.3">
      <c r="A1892" s="64" t="s">
        <v>5022</v>
      </c>
      <c r="B1892" s="64" t="s">
        <v>568</v>
      </c>
      <c r="C1892" s="64" t="s">
        <v>1473</v>
      </c>
      <c r="D1892" s="64" t="s">
        <v>1898</v>
      </c>
      <c r="E1892" s="64" t="s">
        <v>16</v>
      </c>
      <c r="F1892" s="64" t="s">
        <v>379</v>
      </c>
      <c r="G1892" s="64" t="s">
        <v>4165</v>
      </c>
      <c r="H1892" s="64" t="s">
        <v>4166</v>
      </c>
    </row>
    <row r="1893" spans="1:8" x14ac:dyDescent="0.3">
      <c r="A1893" s="64" t="s">
        <v>5023</v>
      </c>
      <c r="B1893" s="64" t="s">
        <v>568</v>
      </c>
      <c r="C1893" s="64" t="s">
        <v>1473</v>
      </c>
      <c r="D1893" s="64" t="s">
        <v>1898</v>
      </c>
      <c r="E1893" s="64" t="s">
        <v>16</v>
      </c>
      <c r="F1893" s="64" t="s">
        <v>380</v>
      </c>
      <c r="G1893" s="64" t="s">
        <v>4167</v>
      </c>
      <c r="H1893" s="64" t="s">
        <v>4168</v>
      </c>
    </row>
    <row r="1894" spans="1:8" x14ac:dyDescent="0.3">
      <c r="A1894" s="64" t="s">
        <v>5024</v>
      </c>
      <c r="B1894" s="64" t="s">
        <v>568</v>
      </c>
      <c r="C1894" s="64" t="s">
        <v>1473</v>
      </c>
      <c r="D1894" s="64" t="s">
        <v>1898</v>
      </c>
      <c r="E1894" s="64" t="s">
        <v>16</v>
      </c>
      <c r="F1894" s="64" t="s">
        <v>381</v>
      </c>
      <c r="G1894" s="64" t="s">
        <v>4169</v>
      </c>
      <c r="H1894" s="64" t="s">
        <v>4170</v>
      </c>
    </row>
    <row r="1895" spans="1:8" x14ac:dyDescent="0.3">
      <c r="A1895" s="64" t="s">
        <v>5025</v>
      </c>
      <c r="B1895" s="64" t="s">
        <v>568</v>
      </c>
      <c r="C1895" s="64" t="s">
        <v>1473</v>
      </c>
      <c r="D1895" s="64" t="s">
        <v>1898</v>
      </c>
      <c r="E1895" s="64" t="s">
        <v>16</v>
      </c>
      <c r="F1895" s="64" t="s">
        <v>382</v>
      </c>
      <c r="G1895" s="64" t="s">
        <v>4171</v>
      </c>
      <c r="H1895" s="64" t="s">
        <v>4172</v>
      </c>
    </row>
    <row r="1896" spans="1:8" x14ac:dyDescent="0.3">
      <c r="A1896" s="64" t="s">
        <v>5026</v>
      </c>
      <c r="B1896" s="64" t="s">
        <v>568</v>
      </c>
      <c r="C1896" s="64" t="s">
        <v>1473</v>
      </c>
      <c r="D1896" s="64" t="s">
        <v>1898</v>
      </c>
      <c r="E1896" s="64" t="s">
        <v>16</v>
      </c>
      <c r="F1896" s="64" t="s">
        <v>383</v>
      </c>
      <c r="G1896" s="64" t="s">
        <v>4173</v>
      </c>
      <c r="H1896" s="64" t="s">
        <v>4174</v>
      </c>
    </row>
    <row r="1897" spans="1:8" x14ac:dyDescent="0.3">
      <c r="A1897" s="64" t="s">
        <v>5027</v>
      </c>
      <c r="B1897" s="64" t="s">
        <v>568</v>
      </c>
      <c r="C1897" s="64" t="s">
        <v>1473</v>
      </c>
      <c r="D1897" s="64" t="s">
        <v>1898</v>
      </c>
      <c r="E1897" s="64" t="s">
        <v>20</v>
      </c>
      <c r="F1897" s="64" t="s">
        <v>15</v>
      </c>
      <c r="G1897" s="64" t="s">
        <v>4175</v>
      </c>
      <c r="H1897" s="64" t="s">
        <v>4176</v>
      </c>
    </row>
    <row r="1898" spans="1:8" x14ac:dyDescent="0.3">
      <c r="A1898" s="64" t="s">
        <v>5028</v>
      </c>
      <c r="B1898" s="64" t="s">
        <v>568</v>
      </c>
      <c r="C1898" s="64" t="s">
        <v>1473</v>
      </c>
      <c r="D1898" s="64" t="s">
        <v>1898</v>
      </c>
      <c r="E1898" s="64" t="s">
        <v>16</v>
      </c>
      <c r="F1898" s="64" t="s">
        <v>368</v>
      </c>
      <c r="G1898" s="64" t="s">
        <v>4177</v>
      </c>
      <c r="H1898" s="64" t="s">
        <v>4178</v>
      </c>
    </row>
    <row r="1899" spans="1:8" x14ac:dyDescent="0.3">
      <c r="A1899" s="64" t="s">
        <v>5029</v>
      </c>
      <c r="B1899" s="64" t="s">
        <v>568</v>
      </c>
      <c r="C1899" s="64" t="s">
        <v>1473</v>
      </c>
      <c r="D1899" s="64" t="s">
        <v>1898</v>
      </c>
      <c r="E1899" s="64" t="s">
        <v>16</v>
      </c>
      <c r="F1899" s="64" t="s">
        <v>369</v>
      </c>
      <c r="G1899" s="64" t="s">
        <v>4179</v>
      </c>
      <c r="H1899" s="64" t="s">
        <v>4180</v>
      </c>
    </row>
    <row r="1900" spans="1:8" x14ac:dyDescent="0.3">
      <c r="A1900" s="64" t="s">
        <v>5030</v>
      </c>
      <c r="B1900" s="64" t="s">
        <v>568</v>
      </c>
      <c r="C1900" s="64" t="s">
        <v>1473</v>
      </c>
      <c r="D1900" s="64" t="s">
        <v>1898</v>
      </c>
      <c r="E1900" s="64" t="s">
        <v>16</v>
      </c>
      <c r="F1900" s="64" t="s">
        <v>370</v>
      </c>
      <c r="G1900" s="64" t="s">
        <v>4181</v>
      </c>
      <c r="H1900" s="64" t="s">
        <v>4182</v>
      </c>
    </row>
    <row r="1901" spans="1:8" x14ac:dyDescent="0.3">
      <c r="A1901" s="64" t="s">
        <v>5031</v>
      </c>
      <c r="B1901" s="64" t="s">
        <v>568</v>
      </c>
      <c r="C1901" s="64" t="s">
        <v>1473</v>
      </c>
      <c r="D1901" s="64" t="s">
        <v>1898</v>
      </c>
      <c r="E1901" s="64" t="s">
        <v>16</v>
      </c>
      <c r="F1901" s="64" t="s">
        <v>371</v>
      </c>
      <c r="G1901" s="64" t="s">
        <v>4183</v>
      </c>
      <c r="H1901" s="64" t="s">
        <v>4184</v>
      </c>
    </row>
    <row r="1902" spans="1:8" x14ac:dyDescent="0.3">
      <c r="A1902" s="64" t="s">
        <v>5032</v>
      </c>
      <c r="B1902" s="64" t="s">
        <v>568</v>
      </c>
      <c r="C1902" s="64" t="s">
        <v>1473</v>
      </c>
      <c r="D1902" s="64" t="s">
        <v>1898</v>
      </c>
      <c r="E1902" s="64" t="s">
        <v>16</v>
      </c>
      <c r="F1902" s="64" t="s">
        <v>372</v>
      </c>
      <c r="G1902" s="64" t="s">
        <v>4185</v>
      </c>
      <c r="H1902" s="64" t="s">
        <v>4186</v>
      </c>
    </row>
    <row r="1903" spans="1:8" x14ac:dyDescent="0.3">
      <c r="A1903" s="64" t="s">
        <v>5033</v>
      </c>
      <c r="B1903" s="64" t="s">
        <v>568</v>
      </c>
      <c r="C1903" s="64" t="s">
        <v>1473</v>
      </c>
      <c r="D1903" s="64" t="s">
        <v>1898</v>
      </c>
      <c r="E1903" s="64" t="s">
        <v>16</v>
      </c>
      <c r="F1903" s="64" t="s">
        <v>373</v>
      </c>
      <c r="G1903" s="64" t="s">
        <v>4187</v>
      </c>
      <c r="H1903" s="64" t="s">
        <v>4188</v>
      </c>
    </row>
    <row r="1904" spans="1:8" x14ac:dyDescent="0.3">
      <c r="A1904" s="64" t="s">
        <v>5034</v>
      </c>
      <c r="B1904" s="64" t="s">
        <v>568</v>
      </c>
      <c r="C1904" s="64" t="s">
        <v>1473</v>
      </c>
      <c r="D1904" s="64" t="s">
        <v>1898</v>
      </c>
      <c r="E1904" s="64" t="s">
        <v>16</v>
      </c>
      <c r="F1904" s="64" t="s">
        <v>374</v>
      </c>
      <c r="G1904" s="64" t="s">
        <v>4189</v>
      </c>
      <c r="H1904" s="64" t="s">
        <v>4190</v>
      </c>
    </row>
    <row r="1905" spans="1:8" x14ac:dyDescent="0.3">
      <c r="A1905" s="64" t="s">
        <v>5035</v>
      </c>
      <c r="B1905" s="64" t="s">
        <v>568</v>
      </c>
      <c r="C1905" s="64" t="s">
        <v>1473</v>
      </c>
      <c r="D1905" s="64" t="s">
        <v>1898</v>
      </c>
      <c r="E1905" s="64" t="s">
        <v>16</v>
      </c>
      <c r="F1905" s="64" t="s">
        <v>375</v>
      </c>
      <c r="G1905" s="64" t="s">
        <v>4191</v>
      </c>
      <c r="H1905" s="64" t="s">
        <v>4192</v>
      </c>
    </row>
    <row r="1906" spans="1:8" x14ac:dyDescent="0.3">
      <c r="A1906" s="64" t="s">
        <v>5036</v>
      </c>
      <c r="B1906" s="64" t="s">
        <v>568</v>
      </c>
      <c r="C1906" s="64" t="s">
        <v>1473</v>
      </c>
      <c r="D1906" s="64" t="s">
        <v>1898</v>
      </c>
      <c r="E1906" s="64" t="s">
        <v>16</v>
      </c>
      <c r="F1906" s="64" t="s">
        <v>376</v>
      </c>
      <c r="G1906" s="64" t="s">
        <v>4193</v>
      </c>
      <c r="H1906" s="64" t="s">
        <v>4194</v>
      </c>
    </row>
    <row r="1907" spans="1:8" x14ac:dyDescent="0.3">
      <c r="A1907" s="64" t="s">
        <v>5037</v>
      </c>
      <c r="B1907" s="64" t="s">
        <v>568</v>
      </c>
      <c r="C1907" s="64" t="s">
        <v>1473</v>
      </c>
      <c r="D1907" s="64" t="s">
        <v>1898</v>
      </c>
      <c r="E1907" s="64" t="s">
        <v>16</v>
      </c>
      <c r="F1907" s="64" t="s">
        <v>377</v>
      </c>
      <c r="G1907" s="64" t="s">
        <v>4195</v>
      </c>
      <c r="H1907" s="64" t="s">
        <v>4196</v>
      </c>
    </row>
    <row r="1908" spans="1:8" x14ac:dyDescent="0.3">
      <c r="A1908" s="64" t="s">
        <v>5038</v>
      </c>
      <c r="B1908" s="64" t="s">
        <v>568</v>
      </c>
      <c r="C1908" s="64" t="s">
        <v>1473</v>
      </c>
      <c r="D1908" s="64" t="s">
        <v>1898</v>
      </c>
      <c r="E1908" s="64" t="s">
        <v>16</v>
      </c>
      <c r="F1908" s="64" t="s">
        <v>378</v>
      </c>
      <c r="G1908" s="64" t="s">
        <v>4197</v>
      </c>
      <c r="H1908" s="64" t="s">
        <v>4198</v>
      </c>
    </row>
    <row r="1909" spans="1:8" x14ac:dyDescent="0.3">
      <c r="A1909" s="64" t="s">
        <v>5039</v>
      </c>
      <c r="B1909" s="64" t="s">
        <v>568</v>
      </c>
      <c r="C1909" s="64" t="s">
        <v>1473</v>
      </c>
      <c r="D1909" s="64" t="s">
        <v>1898</v>
      </c>
      <c r="E1909" s="64" t="s">
        <v>16</v>
      </c>
      <c r="F1909" s="64" t="s">
        <v>379</v>
      </c>
      <c r="G1909" s="64" t="s">
        <v>4199</v>
      </c>
      <c r="H1909" s="64" t="s">
        <v>4200</v>
      </c>
    </row>
    <row r="1910" spans="1:8" x14ac:dyDescent="0.3">
      <c r="A1910" s="64" t="s">
        <v>5040</v>
      </c>
      <c r="B1910" s="64" t="s">
        <v>568</v>
      </c>
      <c r="C1910" s="64" t="s">
        <v>1473</v>
      </c>
      <c r="D1910" s="64" t="s">
        <v>1898</v>
      </c>
      <c r="E1910" s="64" t="s">
        <v>16</v>
      </c>
      <c r="F1910" s="64" t="s">
        <v>380</v>
      </c>
      <c r="G1910" s="64" t="s">
        <v>4201</v>
      </c>
      <c r="H1910" s="64" t="s">
        <v>4202</v>
      </c>
    </row>
    <row r="1911" spans="1:8" x14ac:dyDescent="0.3">
      <c r="A1911" s="64" t="s">
        <v>5041</v>
      </c>
      <c r="B1911" s="64" t="s">
        <v>568</v>
      </c>
      <c r="C1911" s="64" t="s">
        <v>1473</v>
      </c>
      <c r="D1911" s="64" t="s">
        <v>1898</v>
      </c>
      <c r="E1911" s="64" t="s">
        <v>16</v>
      </c>
      <c r="F1911" s="64" t="s">
        <v>381</v>
      </c>
      <c r="G1911" s="64" t="s">
        <v>4203</v>
      </c>
      <c r="H1911" s="64" t="s">
        <v>4204</v>
      </c>
    </row>
    <row r="1912" spans="1:8" x14ac:dyDescent="0.3">
      <c r="A1912" s="64" t="s">
        <v>5042</v>
      </c>
      <c r="B1912" s="64" t="s">
        <v>568</v>
      </c>
      <c r="C1912" s="64" t="s">
        <v>1473</v>
      </c>
      <c r="D1912" s="64" t="s">
        <v>1898</v>
      </c>
      <c r="E1912" s="64" t="s">
        <v>16</v>
      </c>
      <c r="F1912" s="64" t="s">
        <v>382</v>
      </c>
      <c r="G1912" s="64" t="s">
        <v>4205</v>
      </c>
      <c r="H1912" s="64" t="s">
        <v>4206</v>
      </c>
    </row>
    <row r="1913" spans="1:8" x14ac:dyDescent="0.3">
      <c r="A1913" s="64" t="s">
        <v>5043</v>
      </c>
      <c r="B1913" s="64" t="s">
        <v>568</v>
      </c>
      <c r="C1913" s="64" t="s">
        <v>1473</v>
      </c>
      <c r="D1913" s="64" t="s">
        <v>1898</v>
      </c>
      <c r="E1913" s="64" t="s">
        <v>16</v>
      </c>
      <c r="F1913" s="64" t="s">
        <v>383</v>
      </c>
      <c r="G1913" s="64" t="s">
        <v>4207</v>
      </c>
      <c r="H1913" s="64" t="s">
        <v>4208</v>
      </c>
    </row>
    <row r="1914" spans="1:8" x14ac:dyDescent="0.3">
      <c r="A1914" s="64" t="s">
        <v>5044</v>
      </c>
      <c r="B1914" s="64" t="s">
        <v>568</v>
      </c>
      <c r="C1914" s="64" t="s">
        <v>1473</v>
      </c>
      <c r="D1914" s="64" t="s">
        <v>1898</v>
      </c>
      <c r="E1914" s="64" t="s">
        <v>20</v>
      </c>
      <c r="F1914" s="64" t="s">
        <v>15</v>
      </c>
      <c r="G1914" s="64" t="s">
        <v>4209</v>
      </c>
      <c r="H1914" s="64" t="s">
        <v>4211</v>
      </c>
    </row>
    <row r="1915" spans="1:8" x14ac:dyDescent="0.3">
      <c r="A1915" s="64" t="s">
        <v>5045</v>
      </c>
      <c r="B1915" s="64" t="s">
        <v>568</v>
      </c>
      <c r="C1915" s="64" t="s">
        <v>1473</v>
      </c>
      <c r="D1915" s="64" t="s">
        <v>1898</v>
      </c>
      <c r="E1915" s="64" t="s">
        <v>16</v>
      </c>
      <c r="F1915" s="64" t="s">
        <v>368</v>
      </c>
      <c r="G1915" s="64" t="s">
        <v>4212</v>
      </c>
      <c r="H1915" s="64" t="s">
        <v>4213</v>
      </c>
    </row>
    <row r="1916" spans="1:8" x14ac:dyDescent="0.3">
      <c r="A1916" s="64" t="s">
        <v>5046</v>
      </c>
      <c r="B1916" s="64" t="s">
        <v>568</v>
      </c>
      <c r="C1916" s="64" t="s">
        <v>1473</v>
      </c>
      <c r="D1916" s="64" t="s">
        <v>1898</v>
      </c>
      <c r="E1916" s="64" t="s">
        <v>16</v>
      </c>
      <c r="F1916" s="64" t="s">
        <v>369</v>
      </c>
      <c r="G1916" s="64" t="s">
        <v>4214</v>
      </c>
      <c r="H1916" s="64" t="s">
        <v>4215</v>
      </c>
    </row>
    <row r="1917" spans="1:8" x14ac:dyDescent="0.3">
      <c r="A1917" s="64" t="s">
        <v>5047</v>
      </c>
      <c r="B1917" s="64" t="s">
        <v>568</v>
      </c>
      <c r="C1917" s="64" t="s">
        <v>1473</v>
      </c>
      <c r="D1917" s="64" t="s">
        <v>1898</v>
      </c>
      <c r="E1917" s="64" t="s">
        <v>16</v>
      </c>
      <c r="F1917" s="64" t="s">
        <v>370</v>
      </c>
      <c r="G1917" s="64" t="s">
        <v>4216</v>
      </c>
      <c r="H1917" s="64" t="s">
        <v>4217</v>
      </c>
    </row>
    <row r="1918" spans="1:8" x14ac:dyDescent="0.3">
      <c r="A1918" s="64" t="s">
        <v>5048</v>
      </c>
      <c r="B1918" s="64" t="s">
        <v>568</v>
      </c>
      <c r="C1918" s="64" t="s">
        <v>1473</v>
      </c>
      <c r="D1918" s="64" t="s">
        <v>1898</v>
      </c>
      <c r="E1918" s="64" t="s">
        <v>16</v>
      </c>
      <c r="F1918" s="64" t="s">
        <v>371</v>
      </c>
      <c r="G1918" s="64" t="s">
        <v>4218</v>
      </c>
      <c r="H1918" s="64" t="s">
        <v>4219</v>
      </c>
    </row>
    <row r="1919" spans="1:8" x14ac:dyDescent="0.3">
      <c r="A1919" s="64" t="s">
        <v>5049</v>
      </c>
      <c r="B1919" s="64" t="s">
        <v>568</v>
      </c>
      <c r="C1919" s="64" t="s">
        <v>1473</v>
      </c>
      <c r="D1919" s="64" t="s">
        <v>1898</v>
      </c>
      <c r="E1919" s="64" t="s">
        <v>16</v>
      </c>
      <c r="F1919" s="64" t="s">
        <v>372</v>
      </c>
      <c r="G1919" s="64" t="s">
        <v>4220</v>
      </c>
      <c r="H1919" s="64" t="s">
        <v>4221</v>
      </c>
    </row>
    <row r="1920" spans="1:8" x14ac:dyDescent="0.3">
      <c r="A1920" s="64" t="s">
        <v>5050</v>
      </c>
      <c r="B1920" s="64" t="s">
        <v>568</v>
      </c>
      <c r="C1920" s="64" t="s">
        <v>1473</v>
      </c>
      <c r="D1920" s="64" t="s">
        <v>1898</v>
      </c>
      <c r="E1920" s="64" t="s">
        <v>16</v>
      </c>
      <c r="F1920" s="64" t="s">
        <v>373</v>
      </c>
      <c r="G1920" s="64" t="s">
        <v>4222</v>
      </c>
      <c r="H1920" s="64" t="s">
        <v>4223</v>
      </c>
    </row>
    <row r="1921" spans="1:8" x14ac:dyDescent="0.3">
      <c r="A1921" s="64" t="s">
        <v>5051</v>
      </c>
      <c r="B1921" s="64" t="s">
        <v>568</v>
      </c>
      <c r="C1921" s="64" t="s">
        <v>1473</v>
      </c>
      <c r="D1921" s="64" t="s">
        <v>1898</v>
      </c>
      <c r="E1921" s="64" t="s">
        <v>16</v>
      </c>
      <c r="F1921" s="64" t="s">
        <v>374</v>
      </c>
      <c r="G1921" s="64" t="s">
        <v>4224</v>
      </c>
      <c r="H1921" s="64" t="s">
        <v>4225</v>
      </c>
    </row>
    <row r="1922" spans="1:8" x14ac:dyDescent="0.3">
      <c r="A1922" s="64" t="s">
        <v>5052</v>
      </c>
      <c r="B1922" s="64" t="s">
        <v>568</v>
      </c>
      <c r="C1922" s="64" t="s">
        <v>1473</v>
      </c>
      <c r="D1922" s="64" t="s">
        <v>1898</v>
      </c>
      <c r="E1922" s="64" t="s">
        <v>16</v>
      </c>
      <c r="F1922" s="64" t="s">
        <v>375</v>
      </c>
      <c r="G1922" s="64" t="s">
        <v>4226</v>
      </c>
      <c r="H1922" s="64" t="s">
        <v>4227</v>
      </c>
    </row>
    <row r="1923" spans="1:8" x14ac:dyDescent="0.3">
      <c r="A1923" s="64" t="s">
        <v>5053</v>
      </c>
      <c r="B1923" s="64" t="s">
        <v>568</v>
      </c>
      <c r="C1923" s="64" t="s">
        <v>1473</v>
      </c>
      <c r="D1923" s="64" t="s">
        <v>1898</v>
      </c>
      <c r="E1923" s="64" t="s">
        <v>16</v>
      </c>
      <c r="F1923" s="64" t="s">
        <v>376</v>
      </c>
      <c r="G1923" s="64" t="s">
        <v>4228</v>
      </c>
      <c r="H1923" s="64" t="s">
        <v>4229</v>
      </c>
    </row>
    <row r="1924" spans="1:8" x14ac:dyDescent="0.3">
      <c r="A1924" s="64" t="s">
        <v>5054</v>
      </c>
      <c r="B1924" s="64" t="s">
        <v>568</v>
      </c>
      <c r="C1924" s="64" t="s">
        <v>1473</v>
      </c>
      <c r="D1924" s="64" t="s">
        <v>1898</v>
      </c>
      <c r="E1924" s="64" t="s">
        <v>16</v>
      </c>
      <c r="F1924" s="64" t="s">
        <v>377</v>
      </c>
      <c r="G1924" s="64" t="s">
        <v>4230</v>
      </c>
      <c r="H1924" s="64" t="s">
        <v>4231</v>
      </c>
    </row>
    <row r="1925" spans="1:8" x14ac:dyDescent="0.3">
      <c r="A1925" s="64" t="s">
        <v>5055</v>
      </c>
      <c r="B1925" s="64" t="s">
        <v>568</v>
      </c>
      <c r="C1925" s="64" t="s">
        <v>1473</v>
      </c>
      <c r="D1925" s="64" t="s">
        <v>1898</v>
      </c>
      <c r="E1925" s="64" t="s">
        <v>16</v>
      </c>
      <c r="F1925" s="64" t="s">
        <v>378</v>
      </c>
      <c r="G1925" s="64" t="s">
        <v>4232</v>
      </c>
      <c r="H1925" s="64" t="s">
        <v>4233</v>
      </c>
    </row>
    <row r="1926" spans="1:8" x14ac:dyDescent="0.3">
      <c r="A1926" s="64" t="s">
        <v>5056</v>
      </c>
      <c r="B1926" s="64" t="s">
        <v>568</v>
      </c>
      <c r="C1926" s="64" t="s">
        <v>1473</v>
      </c>
      <c r="D1926" s="64" t="s">
        <v>1898</v>
      </c>
      <c r="E1926" s="64" t="s">
        <v>16</v>
      </c>
      <c r="F1926" s="64" t="s">
        <v>379</v>
      </c>
      <c r="G1926" s="64" t="s">
        <v>4234</v>
      </c>
      <c r="H1926" s="64" t="s">
        <v>4235</v>
      </c>
    </row>
    <row r="1927" spans="1:8" x14ac:dyDescent="0.3">
      <c r="A1927" s="64" t="s">
        <v>5057</v>
      </c>
      <c r="B1927" s="64" t="s">
        <v>568</v>
      </c>
      <c r="C1927" s="64" t="s">
        <v>1473</v>
      </c>
      <c r="D1927" s="64" t="s">
        <v>1898</v>
      </c>
      <c r="E1927" s="64" t="s">
        <v>16</v>
      </c>
      <c r="F1927" s="64" t="s">
        <v>380</v>
      </c>
      <c r="G1927" s="64" t="s">
        <v>4236</v>
      </c>
      <c r="H1927" s="64" t="s">
        <v>4237</v>
      </c>
    </row>
    <row r="1928" spans="1:8" x14ac:dyDescent="0.3">
      <c r="A1928" s="64" t="s">
        <v>5058</v>
      </c>
      <c r="B1928" s="64" t="s">
        <v>568</v>
      </c>
      <c r="C1928" s="64" t="s">
        <v>1473</v>
      </c>
      <c r="D1928" s="64" t="s">
        <v>1898</v>
      </c>
      <c r="E1928" s="64" t="s">
        <v>16</v>
      </c>
      <c r="F1928" s="64" t="s">
        <v>381</v>
      </c>
      <c r="G1928" s="64" t="s">
        <v>4238</v>
      </c>
      <c r="H1928" s="64" t="s">
        <v>4239</v>
      </c>
    </row>
    <row r="1929" spans="1:8" x14ac:dyDescent="0.3">
      <c r="A1929" s="64" t="s">
        <v>5059</v>
      </c>
      <c r="B1929" s="64" t="s">
        <v>568</v>
      </c>
      <c r="C1929" s="64" t="s">
        <v>1473</v>
      </c>
      <c r="D1929" s="64" t="s">
        <v>1898</v>
      </c>
      <c r="E1929" s="64" t="s">
        <v>16</v>
      </c>
      <c r="F1929" s="64" t="s">
        <v>382</v>
      </c>
      <c r="G1929" s="64" t="s">
        <v>4240</v>
      </c>
      <c r="H1929" s="64" t="s">
        <v>4241</v>
      </c>
    </row>
    <row r="1930" spans="1:8" x14ac:dyDescent="0.3">
      <c r="A1930" s="64" t="s">
        <v>5060</v>
      </c>
      <c r="B1930" s="64" t="s">
        <v>568</v>
      </c>
      <c r="C1930" s="64" t="s">
        <v>1473</v>
      </c>
      <c r="D1930" s="64" t="s">
        <v>1898</v>
      </c>
      <c r="E1930" s="64" t="s">
        <v>16</v>
      </c>
      <c r="F1930" s="64" t="s">
        <v>383</v>
      </c>
      <c r="G1930" s="64" t="s">
        <v>4242</v>
      </c>
      <c r="H1930" s="64" t="s">
        <v>4243</v>
      </c>
    </row>
    <row r="1931" spans="1:8" x14ac:dyDescent="0.3">
      <c r="A1931" s="64" t="s">
        <v>5061</v>
      </c>
      <c r="B1931" s="64" t="s">
        <v>568</v>
      </c>
      <c r="C1931" s="64" t="s">
        <v>1473</v>
      </c>
      <c r="D1931" s="64" t="s">
        <v>1898</v>
      </c>
      <c r="E1931" s="64" t="s">
        <v>20</v>
      </c>
      <c r="F1931" s="64" t="s">
        <v>15</v>
      </c>
      <c r="G1931" s="64" t="s">
        <v>4244</v>
      </c>
      <c r="H1931" s="64" t="s">
        <v>4246</v>
      </c>
    </row>
    <row r="1932" spans="1:8" x14ac:dyDescent="0.3">
      <c r="A1932" s="64" t="s">
        <v>5062</v>
      </c>
      <c r="B1932" s="64" t="s">
        <v>568</v>
      </c>
      <c r="C1932" s="64" t="s">
        <v>1473</v>
      </c>
      <c r="D1932" s="64" t="s">
        <v>1898</v>
      </c>
      <c r="E1932" s="64" t="s">
        <v>16</v>
      </c>
      <c r="F1932" s="64" t="s">
        <v>368</v>
      </c>
      <c r="G1932" s="64" t="s">
        <v>4247</v>
      </c>
      <c r="H1932" s="64" t="s">
        <v>4248</v>
      </c>
    </row>
    <row r="1933" spans="1:8" x14ac:dyDescent="0.3">
      <c r="A1933" s="64" t="s">
        <v>5063</v>
      </c>
      <c r="B1933" s="64" t="s">
        <v>568</v>
      </c>
      <c r="C1933" s="64" t="s">
        <v>1473</v>
      </c>
      <c r="D1933" s="64" t="s">
        <v>1898</v>
      </c>
      <c r="E1933" s="64" t="s">
        <v>16</v>
      </c>
      <c r="F1933" s="64" t="s">
        <v>369</v>
      </c>
      <c r="G1933" s="64" t="s">
        <v>4249</v>
      </c>
      <c r="H1933" s="64" t="s">
        <v>4250</v>
      </c>
    </row>
    <row r="1934" spans="1:8" x14ac:dyDescent="0.3">
      <c r="A1934" s="64" t="s">
        <v>5064</v>
      </c>
      <c r="B1934" s="64" t="s">
        <v>568</v>
      </c>
      <c r="C1934" s="64" t="s">
        <v>1473</v>
      </c>
      <c r="D1934" s="64" t="s">
        <v>1898</v>
      </c>
      <c r="E1934" s="64" t="s">
        <v>16</v>
      </c>
      <c r="F1934" s="64" t="s">
        <v>370</v>
      </c>
      <c r="G1934" s="64" t="s">
        <v>4251</v>
      </c>
      <c r="H1934" s="64" t="s">
        <v>4252</v>
      </c>
    </row>
    <row r="1935" spans="1:8" x14ac:dyDescent="0.3">
      <c r="A1935" s="64" t="s">
        <v>5065</v>
      </c>
      <c r="B1935" s="64" t="s">
        <v>568</v>
      </c>
      <c r="C1935" s="64" t="s">
        <v>1473</v>
      </c>
      <c r="D1935" s="64" t="s">
        <v>1898</v>
      </c>
      <c r="E1935" s="64" t="s">
        <v>16</v>
      </c>
      <c r="F1935" s="64" t="s">
        <v>371</v>
      </c>
      <c r="G1935" s="64" t="s">
        <v>4253</v>
      </c>
      <c r="H1935" s="64" t="s">
        <v>4254</v>
      </c>
    </row>
    <row r="1936" spans="1:8" x14ac:dyDescent="0.3">
      <c r="A1936" s="64" t="s">
        <v>5066</v>
      </c>
      <c r="B1936" s="64" t="s">
        <v>568</v>
      </c>
      <c r="C1936" s="64" t="s">
        <v>1473</v>
      </c>
      <c r="D1936" s="64" t="s">
        <v>1898</v>
      </c>
      <c r="E1936" s="64" t="s">
        <v>16</v>
      </c>
      <c r="F1936" s="64" t="s">
        <v>372</v>
      </c>
      <c r="G1936" s="64" t="s">
        <v>4255</v>
      </c>
      <c r="H1936" s="64" t="s">
        <v>4256</v>
      </c>
    </row>
    <row r="1937" spans="1:8" x14ac:dyDescent="0.3">
      <c r="A1937" s="64" t="s">
        <v>5067</v>
      </c>
      <c r="B1937" s="64" t="s">
        <v>568</v>
      </c>
      <c r="C1937" s="64" t="s">
        <v>1473</v>
      </c>
      <c r="D1937" s="64" t="s">
        <v>1898</v>
      </c>
      <c r="E1937" s="64" t="s">
        <v>16</v>
      </c>
      <c r="F1937" s="64" t="s">
        <v>373</v>
      </c>
      <c r="G1937" s="64" t="s">
        <v>4257</v>
      </c>
      <c r="H1937" s="64" t="s">
        <v>4258</v>
      </c>
    </row>
    <row r="1938" spans="1:8" x14ac:dyDescent="0.3">
      <c r="A1938" s="64" t="s">
        <v>5068</v>
      </c>
      <c r="B1938" s="64" t="s">
        <v>568</v>
      </c>
      <c r="C1938" s="64" t="s">
        <v>1473</v>
      </c>
      <c r="D1938" s="64" t="s">
        <v>1898</v>
      </c>
      <c r="E1938" s="64" t="s">
        <v>16</v>
      </c>
      <c r="F1938" s="64" t="s">
        <v>374</v>
      </c>
      <c r="G1938" s="64" t="s">
        <v>4259</v>
      </c>
      <c r="H1938" s="64" t="s">
        <v>4260</v>
      </c>
    </row>
    <row r="1939" spans="1:8" x14ac:dyDescent="0.3">
      <c r="A1939" s="64" t="s">
        <v>5069</v>
      </c>
      <c r="B1939" s="64" t="s">
        <v>568</v>
      </c>
      <c r="C1939" s="64" t="s">
        <v>1473</v>
      </c>
      <c r="D1939" s="64" t="s">
        <v>1898</v>
      </c>
      <c r="E1939" s="64" t="s">
        <v>16</v>
      </c>
      <c r="F1939" s="64" t="s">
        <v>375</v>
      </c>
      <c r="G1939" s="64" t="s">
        <v>4261</v>
      </c>
      <c r="H1939" s="64" t="s">
        <v>4262</v>
      </c>
    </row>
    <row r="1940" spans="1:8" x14ac:dyDescent="0.3">
      <c r="A1940" s="64" t="s">
        <v>5070</v>
      </c>
      <c r="B1940" s="64" t="s">
        <v>568</v>
      </c>
      <c r="C1940" s="64" t="s">
        <v>1473</v>
      </c>
      <c r="D1940" s="64" t="s">
        <v>1898</v>
      </c>
      <c r="E1940" s="64" t="s">
        <v>16</v>
      </c>
      <c r="F1940" s="64" t="s">
        <v>376</v>
      </c>
      <c r="G1940" s="64" t="s">
        <v>4263</v>
      </c>
      <c r="H1940" s="64" t="s">
        <v>4264</v>
      </c>
    </row>
    <row r="1941" spans="1:8" x14ac:dyDescent="0.3">
      <c r="A1941" s="64" t="s">
        <v>5071</v>
      </c>
      <c r="B1941" s="64" t="s">
        <v>568</v>
      </c>
      <c r="C1941" s="64" t="s">
        <v>1473</v>
      </c>
      <c r="D1941" s="64" t="s">
        <v>1898</v>
      </c>
      <c r="E1941" s="64" t="s">
        <v>16</v>
      </c>
      <c r="F1941" s="64" t="s">
        <v>377</v>
      </c>
      <c r="G1941" s="64" t="s">
        <v>4265</v>
      </c>
      <c r="H1941" s="64" t="s">
        <v>4266</v>
      </c>
    </row>
    <row r="1942" spans="1:8" x14ac:dyDescent="0.3">
      <c r="A1942" s="64" t="s">
        <v>5072</v>
      </c>
      <c r="B1942" s="64" t="s">
        <v>568</v>
      </c>
      <c r="C1942" s="64" t="s">
        <v>1473</v>
      </c>
      <c r="D1942" s="64" t="s">
        <v>1898</v>
      </c>
      <c r="E1942" s="64" t="s">
        <v>16</v>
      </c>
      <c r="F1942" s="64" t="s">
        <v>378</v>
      </c>
      <c r="G1942" s="64" t="s">
        <v>4267</v>
      </c>
      <c r="H1942" s="64" t="s">
        <v>4268</v>
      </c>
    </row>
    <row r="1943" spans="1:8" x14ac:dyDescent="0.3">
      <c r="A1943" s="64" t="s">
        <v>5073</v>
      </c>
      <c r="B1943" s="64" t="s">
        <v>568</v>
      </c>
      <c r="C1943" s="64" t="s">
        <v>1473</v>
      </c>
      <c r="D1943" s="64" t="s">
        <v>1898</v>
      </c>
      <c r="E1943" s="64" t="s">
        <v>16</v>
      </c>
      <c r="F1943" s="64" t="s">
        <v>379</v>
      </c>
      <c r="G1943" s="64" t="s">
        <v>4269</v>
      </c>
      <c r="H1943" s="64" t="s">
        <v>4270</v>
      </c>
    </row>
    <row r="1944" spans="1:8" x14ac:dyDescent="0.3">
      <c r="A1944" s="64" t="s">
        <v>5074</v>
      </c>
      <c r="B1944" s="64" t="s">
        <v>568</v>
      </c>
      <c r="C1944" s="64" t="s">
        <v>1473</v>
      </c>
      <c r="D1944" s="64" t="s">
        <v>1898</v>
      </c>
      <c r="E1944" s="64" t="s">
        <v>16</v>
      </c>
      <c r="F1944" s="64" t="s">
        <v>380</v>
      </c>
      <c r="G1944" s="64" t="s">
        <v>4271</v>
      </c>
      <c r="H1944" s="64" t="s">
        <v>4272</v>
      </c>
    </row>
    <row r="1945" spans="1:8" x14ac:dyDescent="0.3">
      <c r="A1945" s="64" t="s">
        <v>5075</v>
      </c>
      <c r="B1945" s="64" t="s">
        <v>568</v>
      </c>
      <c r="C1945" s="64" t="s">
        <v>1473</v>
      </c>
      <c r="D1945" s="64" t="s">
        <v>1898</v>
      </c>
      <c r="E1945" s="64" t="s">
        <v>16</v>
      </c>
      <c r="F1945" s="64" t="s">
        <v>381</v>
      </c>
      <c r="G1945" s="64" t="s">
        <v>4273</v>
      </c>
      <c r="H1945" s="64" t="s">
        <v>4274</v>
      </c>
    </row>
    <row r="1946" spans="1:8" x14ac:dyDescent="0.3">
      <c r="A1946" s="64" t="s">
        <v>5076</v>
      </c>
      <c r="B1946" s="64" t="s">
        <v>568</v>
      </c>
      <c r="C1946" s="64" t="s">
        <v>1473</v>
      </c>
      <c r="D1946" s="64" t="s">
        <v>1898</v>
      </c>
      <c r="E1946" s="64" t="s">
        <v>16</v>
      </c>
      <c r="F1946" s="64" t="s">
        <v>382</v>
      </c>
      <c r="G1946" s="64" t="s">
        <v>4275</v>
      </c>
      <c r="H1946" s="64" t="s">
        <v>4276</v>
      </c>
    </row>
    <row r="1947" spans="1:8" x14ac:dyDescent="0.3">
      <c r="A1947" s="64" t="s">
        <v>5077</v>
      </c>
      <c r="B1947" s="64" t="s">
        <v>568</v>
      </c>
      <c r="C1947" s="64" t="s">
        <v>1473</v>
      </c>
      <c r="D1947" s="64" t="s">
        <v>1898</v>
      </c>
      <c r="E1947" s="64" t="s">
        <v>16</v>
      </c>
      <c r="F1947" s="64" t="s">
        <v>383</v>
      </c>
      <c r="G1947" s="64" t="s">
        <v>4277</v>
      </c>
      <c r="H1947" s="64" t="s">
        <v>4278</v>
      </c>
    </row>
    <row r="1948" spans="1:8" x14ac:dyDescent="0.3">
      <c r="A1948" s="64" t="s">
        <v>5078</v>
      </c>
      <c r="B1948" s="64" t="s">
        <v>954</v>
      </c>
      <c r="C1948" s="64" t="s">
        <v>6969</v>
      </c>
      <c r="D1948" s="64" t="s">
        <v>1881</v>
      </c>
      <c r="E1948" s="64" t="s">
        <v>16</v>
      </c>
      <c r="F1948" s="64" t="s">
        <v>377</v>
      </c>
      <c r="G1948" s="64" t="s">
        <v>6974</v>
      </c>
      <c r="H1948" s="64" t="s">
        <v>6977</v>
      </c>
    </row>
    <row r="1949" spans="1:8" x14ac:dyDescent="0.3">
      <c r="A1949" s="64" t="s">
        <v>5079</v>
      </c>
      <c r="B1949" s="64" t="s">
        <v>954</v>
      </c>
      <c r="C1949" s="64" t="s">
        <v>6969</v>
      </c>
      <c r="D1949" s="64" t="s">
        <v>1881</v>
      </c>
      <c r="E1949" s="64" t="s">
        <v>16</v>
      </c>
      <c r="F1949" s="64" t="s">
        <v>377</v>
      </c>
      <c r="G1949" s="64" t="s">
        <v>6984</v>
      </c>
      <c r="H1949" s="64" t="s">
        <v>6986</v>
      </c>
    </row>
    <row r="1950" spans="1:8" x14ac:dyDescent="0.3">
      <c r="A1950" s="64" t="s">
        <v>5080</v>
      </c>
      <c r="B1950" s="64" t="s">
        <v>954</v>
      </c>
      <c r="C1950" s="64" t="s">
        <v>6969</v>
      </c>
      <c r="D1950" s="64" t="s">
        <v>1881</v>
      </c>
      <c r="E1950" s="64" t="s">
        <v>16</v>
      </c>
      <c r="F1950" s="64" t="s">
        <v>377</v>
      </c>
      <c r="G1950" s="64" t="s">
        <v>6988</v>
      </c>
      <c r="H1950" s="64" t="s">
        <v>6990</v>
      </c>
    </row>
    <row r="1951" spans="1:8" x14ac:dyDescent="0.3">
      <c r="A1951" s="64" t="s">
        <v>5081</v>
      </c>
      <c r="B1951" s="64" t="s">
        <v>954</v>
      </c>
      <c r="C1951" s="64" t="s">
        <v>6969</v>
      </c>
      <c r="D1951" s="64" t="s">
        <v>1881</v>
      </c>
      <c r="E1951" s="64" t="s">
        <v>16</v>
      </c>
      <c r="F1951" s="64" t="s">
        <v>377</v>
      </c>
      <c r="G1951" s="64" t="s">
        <v>6992</v>
      </c>
      <c r="H1951" s="64" t="s">
        <v>6994</v>
      </c>
    </row>
    <row r="1952" spans="1:8" x14ac:dyDescent="0.3">
      <c r="A1952" s="64" t="s">
        <v>5082</v>
      </c>
      <c r="B1952" s="64" t="s">
        <v>954</v>
      </c>
      <c r="C1952" s="64" t="s">
        <v>7009</v>
      </c>
      <c r="D1952" s="64" t="s">
        <v>1881</v>
      </c>
      <c r="E1952" s="64" t="s">
        <v>16</v>
      </c>
      <c r="F1952" s="64" t="s">
        <v>377</v>
      </c>
      <c r="G1952" s="64" t="s">
        <v>6974</v>
      </c>
      <c r="H1952" s="64" t="s">
        <v>6996</v>
      </c>
    </row>
    <row r="1953" spans="1:8" x14ac:dyDescent="0.3">
      <c r="A1953" s="64" t="s">
        <v>5083</v>
      </c>
      <c r="B1953" s="64" t="s">
        <v>954</v>
      </c>
      <c r="C1953" s="64" t="s">
        <v>7009</v>
      </c>
      <c r="D1953" s="64" t="s">
        <v>1881</v>
      </c>
      <c r="E1953" s="64" t="s">
        <v>16</v>
      </c>
      <c r="F1953" s="64" t="s">
        <v>377</v>
      </c>
      <c r="G1953" s="64" t="s">
        <v>6984</v>
      </c>
      <c r="H1953" s="64" t="s">
        <v>6998</v>
      </c>
    </row>
    <row r="1954" spans="1:8" x14ac:dyDescent="0.3">
      <c r="A1954" s="64" t="s">
        <v>5084</v>
      </c>
      <c r="B1954" s="64" t="s">
        <v>954</v>
      </c>
      <c r="C1954" s="64" t="s">
        <v>7009</v>
      </c>
      <c r="D1954" s="64" t="s">
        <v>1881</v>
      </c>
      <c r="E1954" s="64" t="s">
        <v>16</v>
      </c>
      <c r="F1954" s="64" t="s">
        <v>377</v>
      </c>
      <c r="G1954" s="64" t="s">
        <v>6988</v>
      </c>
      <c r="H1954" s="64" t="s">
        <v>7000</v>
      </c>
    </row>
    <row r="1955" spans="1:8" x14ac:dyDescent="0.3">
      <c r="A1955" s="64" t="s">
        <v>5085</v>
      </c>
      <c r="B1955" s="64" t="s">
        <v>954</v>
      </c>
      <c r="C1955" s="64" t="s">
        <v>7001</v>
      </c>
      <c r="D1955" s="64" t="s">
        <v>1881</v>
      </c>
      <c r="E1955" s="64" t="s">
        <v>16</v>
      </c>
      <c r="F1955" s="64" t="s">
        <v>377</v>
      </c>
      <c r="G1955" s="64" t="s">
        <v>7004</v>
      </c>
      <c r="H1955" s="64" t="s">
        <v>7006</v>
      </c>
    </row>
    <row r="1956" spans="1:8" x14ac:dyDescent="0.3">
      <c r="A1956" s="64" t="s">
        <v>5086</v>
      </c>
      <c r="B1956" s="64" t="s">
        <v>954</v>
      </c>
      <c r="C1956" s="64" t="s">
        <v>6969</v>
      </c>
      <c r="D1956" s="64" t="s">
        <v>1881</v>
      </c>
      <c r="E1956" s="64" t="s">
        <v>16</v>
      </c>
      <c r="F1956" s="64" t="s">
        <v>377</v>
      </c>
      <c r="G1956" s="64" t="s">
        <v>7010</v>
      </c>
      <c r="H1956" s="64" t="s">
        <v>7248</v>
      </c>
    </row>
    <row r="1957" spans="1:8" x14ac:dyDescent="0.3">
      <c r="A1957" s="64" t="s">
        <v>5087</v>
      </c>
      <c r="B1957" s="64" t="s">
        <v>954</v>
      </c>
      <c r="C1957" s="64" t="s">
        <v>6969</v>
      </c>
      <c r="D1957" s="64" t="s">
        <v>1881</v>
      </c>
      <c r="E1957" s="64" t="s">
        <v>16</v>
      </c>
      <c r="F1957" s="64" t="s">
        <v>377</v>
      </c>
      <c r="G1957" s="64" t="s">
        <v>7013</v>
      </c>
      <c r="H1957" s="64" t="s">
        <v>7249</v>
      </c>
    </row>
    <row r="1958" spans="1:8" x14ac:dyDescent="0.3">
      <c r="A1958" s="64" t="s">
        <v>5088</v>
      </c>
      <c r="B1958" s="64" t="s">
        <v>954</v>
      </c>
      <c r="C1958" s="64" t="s">
        <v>6969</v>
      </c>
      <c r="D1958" s="64" t="s">
        <v>1881</v>
      </c>
      <c r="E1958" s="64" t="s">
        <v>16</v>
      </c>
      <c r="F1958" s="64" t="s">
        <v>377</v>
      </c>
      <c r="G1958" s="64" t="s">
        <v>7014</v>
      </c>
      <c r="H1958" s="64" t="s">
        <v>7250</v>
      </c>
    </row>
    <row r="1959" spans="1:8" x14ac:dyDescent="0.3">
      <c r="A1959" s="64" t="s">
        <v>5089</v>
      </c>
      <c r="B1959" s="64" t="s">
        <v>954</v>
      </c>
      <c r="C1959" s="64" t="s">
        <v>6969</v>
      </c>
      <c r="D1959" s="64" t="s">
        <v>1881</v>
      </c>
      <c r="E1959" s="64" t="s">
        <v>16</v>
      </c>
      <c r="F1959" s="64" t="s">
        <v>377</v>
      </c>
      <c r="G1959" s="64" t="s">
        <v>7015</v>
      </c>
      <c r="H1959" s="64" t="s">
        <v>7251</v>
      </c>
    </row>
    <row r="1960" spans="1:8" x14ac:dyDescent="0.3">
      <c r="A1960" s="64" t="s">
        <v>5090</v>
      </c>
      <c r="B1960" s="64" t="s">
        <v>954</v>
      </c>
      <c r="C1960" s="64" t="s">
        <v>7009</v>
      </c>
      <c r="D1960" s="64" t="s">
        <v>1881</v>
      </c>
      <c r="E1960" s="64" t="s">
        <v>16</v>
      </c>
      <c r="F1960" s="64" t="s">
        <v>377</v>
      </c>
      <c r="G1960" s="64" t="s">
        <v>7010</v>
      </c>
      <c r="H1960" s="64" t="s">
        <v>7252</v>
      </c>
    </row>
    <row r="1961" spans="1:8" x14ac:dyDescent="0.3">
      <c r="A1961" s="64" t="s">
        <v>5091</v>
      </c>
      <c r="B1961" s="64" t="s">
        <v>954</v>
      </c>
      <c r="C1961" s="64" t="s">
        <v>7009</v>
      </c>
      <c r="D1961" s="64" t="s">
        <v>1881</v>
      </c>
      <c r="E1961" s="64" t="s">
        <v>16</v>
      </c>
      <c r="F1961" s="64" t="s">
        <v>377</v>
      </c>
      <c r="G1961" s="64" t="s">
        <v>7013</v>
      </c>
      <c r="H1961" s="64" t="s">
        <v>7253</v>
      </c>
    </row>
    <row r="1962" spans="1:8" x14ac:dyDescent="0.3">
      <c r="A1962" s="64" t="s">
        <v>5092</v>
      </c>
      <c r="B1962" s="64" t="s">
        <v>954</v>
      </c>
      <c r="C1962" s="64" t="s">
        <v>7009</v>
      </c>
      <c r="D1962" s="64" t="s">
        <v>1881</v>
      </c>
      <c r="E1962" s="64" t="s">
        <v>16</v>
      </c>
      <c r="F1962" s="64" t="s">
        <v>377</v>
      </c>
      <c r="G1962" s="64" t="s">
        <v>7014</v>
      </c>
      <c r="H1962" s="64" t="s">
        <v>7254</v>
      </c>
    </row>
    <row r="1963" spans="1:8" ht="57.6" x14ac:dyDescent="0.3">
      <c r="A1963" s="64" t="s">
        <v>5093</v>
      </c>
      <c r="B1963" s="64" t="s">
        <v>954</v>
      </c>
      <c r="C1963" s="64" t="s">
        <v>7016</v>
      </c>
      <c r="D1963" s="64" t="s">
        <v>1881</v>
      </c>
      <c r="E1963" s="64" t="s">
        <v>16</v>
      </c>
      <c r="F1963" s="64" t="s">
        <v>377</v>
      </c>
      <c r="G1963" s="166" t="s">
        <v>7017</v>
      </c>
      <c r="H1963" s="64" t="s">
        <v>7019</v>
      </c>
    </row>
    <row r="1964" spans="1:8" x14ac:dyDescent="0.3">
      <c r="A1964" s="64" t="s">
        <v>5094</v>
      </c>
      <c r="B1964" s="64" t="s">
        <v>954</v>
      </c>
      <c r="C1964" s="64" t="s">
        <v>7016</v>
      </c>
      <c r="D1964" s="64" t="s">
        <v>1881</v>
      </c>
      <c r="E1964" s="64" t="s">
        <v>16</v>
      </c>
      <c r="F1964" s="64" t="s">
        <v>377</v>
      </c>
      <c r="G1964" s="64" t="s">
        <v>7022</v>
      </c>
      <c r="H1964" s="64" t="s">
        <v>7024</v>
      </c>
    </row>
    <row r="1965" spans="1:8" x14ac:dyDescent="0.3">
      <c r="A1965" s="64" t="s">
        <v>5095</v>
      </c>
      <c r="B1965" s="64" t="s">
        <v>954</v>
      </c>
      <c r="C1965" s="64" t="s">
        <v>7016</v>
      </c>
      <c r="D1965" s="64" t="s">
        <v>1881</v>
      </c>
      <c r="E1965" s="64" t="s">
        <v>16</v>
      </c>
      <c r="F1965" s="64" t="s">
        <v>377</v>
      </c>
      <c r="G1965" s="64" t="s">
        <v>7025</v>
      </c>
      <c r="H1965" s="64" t="s">
        <v>7026</v>
      </c>
    </row>
    <row r="1966" spans="1:8" x14ac:dyDescent="0.3">
      <c r="A1966" s="64" t="s">
        <v>5096</v>
      </c>
      <c r="B1966" s="64" t="s">
        <v>954</v>
      </c>
      <c r="C1966" s="64" t="s">
        <v>6969</v>
      </c>
      <c r="D1966" s="64" t="s">
        <v>1881</v>
      </c>
      <c r="E1966" s="64" t="s">
        <v>16</v>
      </c>
      <c r="F1966" s="64" t="s">
        <v>377</v>
      </c>
      <c r="G1966" s="64" t="s">
        <v>7028</v>
      </c>
      <c r="H1966" s="64" t="s">
        <v>7030</v>
      </c>
    </row>
    <row r="1967" spans="1:8" x14ac:dyDescent="0.3">
      <c r="A1967" s="64" t="s">
        <v>5097</v>
      </c>
      <c r="B1967" s="64" t="s">
        <v>954</v>
      </c>
      <c r="C1967" s="64" t="s">
        <v>6969</v>
      </c>
      <c r="D1967" s="64" t="s">
        <v>1881</v>
      </c>
      <c r="E1967" s="64" t="s">
        <v>16</v>
      </c>
      <c r="F1967" s="64" t="s">
        <v>377</v>
      </c>
      <c r="G1967" s="64" t="s">
        <v>7032</v>
      </c>
      <c r="H1967" s="64" t="s">
        <v>7034</v>
      </c>
    </row>
    <row r="1968" spans="1:8" x14ac:dyDescent="0.3">
      <c r="A1968" s="64" t="s">
        <v>5098</v>
      </c>
      <c r="B1968" s="64" t="s">
        <v>954</v>
      </c>
      <c r="C1968" s="64" t="s">
        <v>6969</v>
      </c>
      <c r="D1968" s="64" t="s">
        <v>1881</v>
      </c>
      <c r="E1968" s="64" t="s">
        <v>16</v>
      </c>
      <c r="F1968" s="64" t="s">
        <v>377</v>
      </c>
      <c r="G1968" s="64" t="s">
        <v>7035</v>
      </c>
      <c r="H1968" s="64" t="s">
        <v>7037</v>
      </c>
    </row>
    <row r="1969" spans="1:8" x14ac:dyDescent="0.3">
      <c r="A1969" s="64" t="s">
        <v>5099</v>
      </c>
      <c r="B1969" s="64" t="s">
        <v>954</v>
      </c>
      <c r="C1969" s="64" t="s">
        <v>6969</v>
      </c>
      <c r="D1969" s="64" t="s">
        <v>1881</v>
      </c>
      <c r="E1969" s="64" t="s">
        <v>16</v>
      </c>
      <c r="F1969" s="64" t="s">
        <v>377</v>
      </c>
      <c r="G1969" s="64" t="s">
        <v>7038</v>
      </c>
      <c r="H1969" s="64" t="s">
        <v>7040</v>
      </c>
    </row>
    <row r="1970" spans="1:8" x14ac:dyDescent="0.3">
      <c r="A1970" s="64" t="s">
        <v>5100</v>
      </c>
      <c r="B1970" s="64" t="s">
        <v>954</v>
      </c>
      <c r="C1970" s="64" t="s">
        <v>7009</v>
      </c>
      <c r="D1970" s="64" t="s">
        <v>1881</v>
      </c>
      <c r="E1970" s="64" t="s">
        <v>16</v>
      </c>
      <c r="F1970" s="64" t="s">
        <v>377</v>
      </c>
      <c r="G1970" s="64" t="s">
        <v>7028</v>
      </c>
      <c r="H1970" s="64" t="s">
        <v>7042</v>
      </c>
    </row>
    <row r="1971" spans="1:8" x14ac:dyDescent="0.3">
      <c r="A1971" s="64" t="s">
        <v>5101</v>
      </c>
      <c r="B1971" s="64" t="s">
        <v>954</v>
      </c>
      <c r="C1971" s="64" t="s">
        <v>7009</v>
      </c>
      <c r="D1971" s="64" t="s">
        <v>1881</v>
      </c>
      <c r="E1971" s="64" t="s">
        <v>16</v>
      </c>
      <c r="F1971" s="64" t="s">
        <v>377</v>
      </c>
      <c r="G1971" s="64" t="s">
        <v>7032</v>
      </c>
      <c r="H1971" s="64" t="s">
        <v>7044</v>
      </c>
    </row>
    <row r="1972" spans="1:8" x14ac:dyDescent="0.3">
      <c r="A1972" s="64" t="s">
        <v>5102</v>
      </c>
      <c r="B1972" s="64" t="s">
        <v>954</v>
      </c>
      <c r="C1972" s="64" t="s">
        <v>7009</v>
      </c>
      <c r="D1972" s="64" t="s">
        <v>1881</v>
      </c>
      <c r="E1972" s="64" t="s">
        <v>16</v>
      </c>
      <c r="F1972" s="64" t="s">
        <v>377</v>
      </c>
      <c r="G1972" s="64" t="s">
        <v>7035</v>
      </c>
      <c r="H1972" s="64" t="s">
        <v>7046</v>
      </c>
    </row>
    <row r="1973" spans="1:8" x14ac:dyDescent="0.3">
      <c r="A1973" s="64" t="s">
        <v>5103</v>
      </c>
      <c r="B1973" s="64" t="s">
        <v>954</v>
      </c>
      <c r="C1973" s="64" t="s">
        <v>7001</v>
      </c>
      <c r="D1973" s="64" t="s">
        <v>1881</v>
      </c>
      <c r="E1973" s="64" t="s">
        <v>16</v>
      </c>
      <c r="F1973" s="64" t="s">
        <v>377</v>
      </c>
      <c r="G1973" s="64" t="s">
        <v>7047</v>
      </c>
      <c r="H1973" s="64" t="s">
        <v>7049</v>
      </c>
    </row>
    <row r="1974" spans="1:8" x14ac:dyDescent="0.3">
      <c r="A1974" s="64" t="s">
        <v>5104</v>
      </c>
      <c r="B1974" s="64" t="s">
        <v>954</v>
      </c>
      <c r="C1974" s="64" t="s">
        <v>6969</v>
      </c>
      <c r="D1974" s="64" t="s">
        <v>1881</v>
      </c>
      <c r="E1974" s="64" t="s">
        <v>16</v>
      </c>
      <c r="F1974" s="64" t="s">
        <v>377</v>
      </c>
      <c r="G1974" s="64" t="s">
        <v>7050</v>
      </c>
      <c r="H1974" s="64" t="s">
        <v>7255</v>
      </c>
    </row>
    <row r="1975" spans="1:8" x14ac:dyDescent="0.3">
      <c r="A1975" s="64" t="s">
        <v>5105</v>
      </c>
      <c r="B1975" s="64" t="s">
        <v>954</v>
      </c>
      <c r="C1975" s="64" t="s">
        <v>6969</v>
      </c>
      <c r="D1975" s="64" t="s">
        <v>1881</v>
      </c>
      <c r="E1975" s="64" t="s">
        <v>16</v>
      </c>
      <c r="F1975" s="64" t="s">
        <v>377</v>
      </c>
      <c r="G1975" s="64" t="s">
        <v>7051</v>
      </c>
      <c r="H1975" s="64" t="s">
        <v>7256</v>
      </c>
    </row>
    <row r="1976" spans="1:8" x14ac:dyDescent="0.3">
      <c r="A1976" s="64" t="s">
        <v>5106</v>
      </c>
      <c r="B1976" s="64" t="s">
        <v>954</v>
      </c>
      <c r="C1976" s="64" t="s">
        <v>6969</v>
      </c>
      <c r="D1976" s="64" t="s">
        <v>1881</v>
      </c>
      <c r="E1976" s="64" t="s">
        <v>16</v>
      </c>
      <c r="F1976" s="64" t="s">
        <v>377</v>
      </c>
      <c r="G1976" s="64" t="s">
        <v>7052</v>
      </c>
      <c r="H1976" s="64" t="s">
        <v>7257</v>
      </c>
    </row>
    <row r="1977" spans="1:8" x14ac:dyDescent="0.3">
      <c r="A1977" s="64" t="s">
        <v>5107</v>
      </c>
      <c r="B1977" s="64" t="s">
        <v>954</v>
      </c>
      <c r="C1977" s="64" t="s">
        <v>6969</v>
      </c>
      <c r="D1977" s="64" t="s">
        <v>1881</v>
      </c>
      <c r="E1977" s="64" t="s">
        <v>16</v>
      </c>
      <c r="F1977" s="64" t="s">
        <v>377</v>
      </c>
      <c r="G1977" s="64" t="s">
        <v>7053</v>
      </c>
      <c r="H1977" s="64" t="s">
        <v>7258</v>
      </c>
    </row>
    <row r="1978" spans="1:8" x14ac:dyDescent="0.3">
      <c r="A1978" s="64" t="s">
        <v>5108</v>
      </c>
      <c r="B1978" s="64" t="s">
        <v>954</v>
      </c>
      <c r="C1978" s="64" t="s">
        <v>7009</v>
      </c>
      <c r="D1978" s="64" t="s">
        <v>1881</v>
      </c>
      <c r="E1978" s="64" t="s">
        <v>16</v>
      </c>
      <c r="F1978" s="64" t="s">
        <v>377</v>
      </c>
      <c r="G1978" s="64" t="s">
        <v>7050</v>
      </c>
      <c r="H1978" s="64" t="s">
        <v>7259</v>
      </c>
    </row>
    <row r="1979" spans="1:8" x14ac:dyDescent="0.3">
      <c r="A1979" s="64" t="s">
        <v>5109</v>
      </c>
      <c r="B1979" s="64" t="s">
        <v>954</v>
      </c>
      <c r="C1979" s="64" t="s">
        <v>7009</v>
      </c>
      <c r="D1979" s="64" t="s">
        <v>1881</v>
      </c>
      <c r="E1979" s="64" t="s">
        <v>16</v>
      </c>
      <c r="F1979" s="64" t="s">
        <v>377</v>
      </c>
      <c r="G1979" s="64" t="s">
        <v>7051</v>
      </c>
      <c r="H1979" s="64" t="s">
        <v>7260</v>
      </c>
    </row>
    <row r="1980" spans="1:8" x14ac:dyDescent="0.3">
      <c r="A1980" s="64" t="s">
        <v>5110</v>
      </c>
      <c r="B1980" s="64" t="s">
        <v>954</v>
      </c>
      <c r="C1980" s="64" t="s">
        <v>7009</v>
      </c>
      <c r="D1980" s="64" t="s">
        <v>1881</v>
      </c>
      <c r="E1980" s="64" t="s">
        <v>16</v>
      </c>
      <c r="F1980" s="64" t="s">
        <v>377</v>
      </c>
      <c r="G1980" s="64" t="s">
        <v>7052</v>
      </c>
      <c r="H1980" s="64" t="s">
        <v>7261</v>
      </c>
    </row>
    <row r="1981" spans="1:8" x14ac:dyDescent="0.3">
      <c r="A1981" s="64" t="s">
        <v>5111</v>
      </c>
      <c r="B1981" s="64" t="s">
        <v>954</v>
      </c>
      <c r="C1981" s="64" t="s">
        <v>7016</v>
      </c>
      <c r="D1981" s="64" t="s">
        <v>1881</v>
      </c>
      <c r="E1981" s="64" t="s">
        <v>16</v>
      </c>
      <c r="F1981" s="64" t="s">
        <v>377</v>
      </c>
      <c r="G1981" s="64" t="s">
        <v>7054</v>
      </c>
      <c r="H1981" s="64" t="s">
        <v>7056</v>
      </c>
    </row>
    <row r="1982" spans="1:8" x14ac:dyDescent="0.3">
      <c r="A1982" s="64" t="s">
        <v>5112</v>
      </c>
      <c r="B1982" s="64" t="s">
        <v>954</v>
      </c>
      <c r="C1982" s="64" t="s">
        <v>7016</v>
      </c>
      <c r="D1982" s="64" t="s">
        <v>1881</v>
      </c>
      <c r="E1982" s="64" t="s">
        <v>16</v>
      </c>
      <c r="F1982" s="64" t="s">
        <v>377</v>
      </c>
      <c r="G1982" s="64" t="s">
        <v>7057</v>
      </c>
      <c r="H1982" s="64" t="s">
        <v>7059</v>
      </c>
    </row>
    <row r="1983" spans="1:8" x14ac:dyDescent="0.3">
      <c r="A1983" s="64" t="s">
        <v>5113</v>
      </c>
      <c r="B1983" s="64" t="s">
        <v>954</v>
      </c>
      <c r="C1983" s="64" t="s">
        <v>7016</v>
      </c>
      <c r="D1983" s="64" t="s">
        <v>1881</v>
      </c>
      <c r="E1983" s="64" t="s">
        <v>16</v>
      </c>
      <c r="F1983" s="64" t="s">
        <v>377</v>
      </c>
      <c r="G1983" s="64" t="s">
        <v>7060</v>
      </c>
      <c r="H1983" s="64" t="s">
        <v>7061</v>
      </c>
    </row>
    <row r="1984" spans="1:8" x14ac:dyDescent="0.3">
      <c r="A1984" s="64" t="s">
        <v>5114</v>
      </c>
      <c r="B1984" s="64" t="s">
        <v>954</v>
      </c>
      <c r="C1984" s="64" t="s">
        <v>6969</v>
      </c>
      <c r="D1984" s="64" t="s">
        <v>1881</v>
      </c>
      <c r="E1984" s="64" t="s">
        <v>16</v>
      </c>
      <c r="F1984" s="64" t="s">
        <v>377</v>
      </c>
      <c r="G1984" s="64" t="s">
        <v>7063</v>
      </c>
      <c r="H1984" s="64" t="s">
        <v>7065</v>
      </c>
    </row>
    <row r="1985" spans="1:8" x14ac:dyDescent="0.3">
      <c r="A1985" s="64" t="s">
        <v>5115</v>
      </c>
      <c r="B1985" s="64" t="s">
        <v>954</v>
      </c>
      <c r="C1985" s="64" t="s">
        <v>6969</v>
      </c>
      <c r="D1985" s="64" t="s">
        <v>1881</v>
      </c>
      <c r="E1985" s="64" t="s">
        <v>16</v>
      </c>
      <c r="F1985" s="64" t="s">
        <v>377</v>
      </c>
      <c r="G1985" s="64" t="s">
        <v>7067</v>
      </c>
      <c r="H1985" s="64" t="s">
        <v>7069</v>
      </c>
    </row>
    <row r="1986" spans="1:8" x14ac:dyDescent="0.3">
      <c r="A1986" s="64" t="s">
        <v>5116</v>
      </c>
      <c r="B1986" s="64" t="s">
        <v>954</v>
      </c>
      <c r="C1986" s="64" t="s">
        <v>6969</v>
      </c>
      <c r="D1986" s="64" t="s">
        <v>1881</v>
      </c>
      <c r="E1986" s="64" t="s">
        <v>16</v>
      </c>
      <c r="F1986" s="64" t="s">
        <v>377</v>
      </c>
      <c r="G1986" s="64" t="s">
        <v>7070</v>
      </c>
      <c r="H1986" s="64" t="s">
        <v>7072</v>
      </c>
    </row>
    <row r="1987" spans="1:8" x14ac:dyDescent="0.3">
      <c r="A1987" s="64" t="s">
        <v>5117</v>
      </c>
      <c r="B1987" s="64" t="s">
        <v>954</v>
      </c>
      <c r="C1987" s="64" t="s">
        <v>6969</v>
      </c>
      <c r="D1987" s="64" t="s">
        <v>1881</v>
      </c>
      <c r="E1987" s="64" t="s">
        <v>16</v>
      </c>
      <c r="F1987" s="64" t="s">
        <v>377</v>
      </c>
      <c r="G1987" s="64" t="s">
        <v>7073</v>
      </c>
      <c r="H1987" s="64" t="s">
        <v>7075</v>
      </c>
    </row>
    <row r="1988" spans="1:8" x14ac:dyDescent="0.3">
      <c r="A1988" s="64" t="s">
        <v>5118</v>
      </c>
      <c r="B1988" s="64" t="s">
        <v>954</v>
      </c>
      <c r="C1988" s="64" t="s">
        <v>7009</v>
      </c>
      <c r="D1988" s="64" t="s">
        <v>1881</v>
      </c>
      <c r="E1988" s="64" t="s">
        <v>16</v>
      </c>
      <c r="F1988" s="64" t="s">
        <v>377</v>
      </c>
      <c r="G1988" s="64" t="s">
        <v>7063</v>
      </c>
      <c r="H1988" s="64" t="s">
        <v>7077</v>
      </c>
    </row>
    <row r="1989" spans="1:8" x14ac:dyDescent="0.3">
      <c r="A1989" s="64" t="s">
        <v>5119</v>
      </c>
      <c r="B1989" s="64" t="s">
        <v>954</v>
      </c>
      <c r="C1989" s="64" t="s">
        <v>7009</v>
      </c>
      <c r="D1989" s="64" t="s">
        <v>1881</v>
      </c>
      <c r="E1989" s="64" t="s">
        <v>16</v>
      </c>
      <c r="F1989" s="64" t="s">
        <v>377</v>
      </c>
      <c r="G1989" s="64" t="s">
        <v>7067</v>
      </c>
      <c r="H1989" s="64" t="s">
        <v>7079</v>
      </c>
    </row>
    <row r="1990" spans="1:8" x14ac:dyDescent="0.3">
      <c r="A1990" s="64" t="s">
        <v>5120</v>
      </c>
      <c r="B1990" s="64" t="s">
        <v>954</v>
      </c>
      <c r="C1990" s="64" t="s">
        <v>7009</v>
      </c>
      <c r="D1990" s="64" t="s">
        <v>1881</v>
      </c>
      <c r="E1990" s="64" t="s">
        <v>16</v>
      </c>
      <c r="F1990" s="64" t="s">
        <v>377</v>
      </c>
      <c r="G1990" s="64" t="s">
        <v>7070</v>
      </c>
      <c r="H1990" s="64" t="s">
        <v>7081</v>
      </c>
    </row>
    <row r="1991" spans="1:8" x14ac:dyDescent="0.3">
      <c r="A1991" s="64" t="s">
        <v>5121</v>
      </c>
      <c r="B1991" s="64" t="s">
        <v>954</v>
      </c>
      <c r="C1991" s="64" t="s">
        <v>7001</v>
      </c>
      <c r="D1991" s="64" t="s">
        <v>1881</v>
      </c>
      <c r="E1991" s="64" t="s">
        <v>16</v>
      </c>
      <c r="F1991" s="64" t="s">
        <v>377</v>
      </c>
      <c r="G1991" s="64" t="s">
        <v>7082</v>
      </c>
      <c r="H1991" s="64" t="s">
        <v>7084</v>
      </c>
    </row>
    <row r="1992" spans="1:8" x14ac:dyDescent="0.3">
      <c r="A1992" s="64" t="s">
        <v>5122</v>
      </c>
      <c r="B1992" s="64" t="s">
        <v>954</v>
      </c>
      <c r="C1992" s="64" t="s">
        <v>6969</v>
      </c>
      <c r="D1992" s="64" t="s">
        <v>1881</v>
      </c>
      <c r="E1992" s="64" t="s">
        <v>16</v>
      </c>
      <c r="F1992" s="64" t="s">
        <v>377</v>
      </c>
      <c r="G1992" s="64" t="s">
        <v>7085</v>
      </c>
      <c r="H1992" s="64" t="s">
        <v>7262</v>
      </c>
    </row>
    <row r="1993" spans="1:8" x14ac:dyDescent="0.3">
      <c r="A1993" s="64" t="s">
        <v>5123</v>
      </c>
      <c r="B1993" s="64" t="s">
        <v>954</v>
      </c>
      <c r="C1993" s="64" t="s">
        <v>6969</v>
      </c>
      <c r="D1993" s="64" t="s">
        <v>1881</v>
      </c>
      <c r="E1993" s="64" t="s">
        <v>16</v>
      </c>
      <c r="F1993" s="64" t="s">
        <v>377</v>
      </c>
      <c r="G1993" s="64" t="s">
        <v>7086</v>
      </c>
      <c r="H1993" s="64" t="s">
        <v>7263</v>
      </c>
    </row>
    <row r="1994" spans="1:8" x14ac:dyDescent="0.3">
      <c r="A1994" s="64" t="s">
        <v>5124</v>
      </c>
      <c r="B1994" s="64" t="s">
        <v>954</v>
      </c>
      <c r="C1994" s="64" t="s">
        <v>6969</v>
      </c>
      <c r="D1994" s="64" t="s">
        <v>1881</v>
      </c>
      <c r="E1994" s="64" t="s">
        <v>16</v>
      </c>
      <c r="F1994" s="64" t="s">
        <v>377</v>
      </c>
      <c r="G1994" s="64" t="s">
        <v>7087</v>
      </c>
      <c r="H1994" s="64" t="s">
        <v>7264</v>
      </c>
    </row>
    <row r="1995" spans="1:8" x14ac:dyDescent="0.3">
      <c r="A1995" s="64" t="s">
        <v>5125</v>
      </c>
      <c r="B1995" s="64" t="s">
        <v>954</v>
      </c>
      <c r="C1995" s="64" t="s">
        <v>6969</v>
      </c>
      <c r="D1995" s="64" t="s">
        <v>1881</v>
      </c>
      <c r="E1995" s="64" t="s">
        <v>16</v>
      </c>
      <c r="F1995" s="64" t="s">
        <v>377</v>
      </c>
      <c r="G1995" s="64" t="s">
        <v>7088</v>
      </c>
      <c r="H1995" s="64" t="s">
        <v>7265</v>
      </c>
    </row>
    <row r="1996" spans="1:8" x14ac:dyDescent="0.3">
      <c r="A1996" s="64" t="s">
        <v>5126</v>
      </c>
      <c r="B1996" s="64" t="s">
        <v>954</v>
      </c>
      <c r="C1996" s="64" t="s">
        <v>7009</v>
      </c>
      <c r="D1996" s="64" t="s">
        <v>1881</v>
      </c>
      <c r="E1996" s="64" t="s">
        <v>16</v>
      </c>
      <c r="F1996" s="64" t="s">
        <v>377</v>
      </c>
      <c r="G1996" s="64" t="s">
        <v>7085</v>
      </c>
      <c r="H1996" s="64" t="s">
        <v>7266</v>
      </c>
    </row>
    <row r="1997" spans="1:8" x14ac:dyDescent="0.3">
      <c r="A1997" s="64" t="s">
        <v>5127</v>
      </c>
      <c r="B1997" s="64" t="s">
        <v>954</v>
      </c>
      <c r="C1997" s="64" t="s">
        <v>7009</v>
      </c>
      <c r="D1997" s="64" t="s">
        <v>1881</v>
      </c>
      <c r="E1997" s="64" t="s">
        <v>16</v>
      </c>
      <c r="F1997" s="64" t="s">
        <v>377</v>
      </c>
      <c r="G1997" s="64" t="s">
        <v>7086</v>
      </c>
      <c r="H1997" s="64" t="s">
        <v>7267</v>
      </c>
    </row>
    <row r="1998" spans="1:8" x14ac:dyDescent="0.3">
      <c r="A1998" s="64" t="s">
        <v>5128</v>
      </c>
      <c r="B1998" s="64" t="s">
        <v>954</v>
      </c>
      <c r="C1998" s="64" t="s">
        <v>7009</v>
      </c>
      <c r="D1998" s="64" t="s">
        <v>1881</v>
      </c>
      <c r="E1998" s="64" t="s">
        <v>16</v>
      </c>
      <c r="F1998" s="64" t="s">
        <v>377</v>
      </c>
      <c r="G1998" s="64" t="s">
        <v>7087</v>
      </c>
      <c r="H1998" s="64" t="s">
        <v>7268</v>
      </c>
    </row>
    <row r="1999" spans="1:8" x14ac:dyDescent="0.3">
      <c r="A1999" s="64" t="s">
        <v>5129</v>
      </c>
      <c r="B1999" s="64" t="s">
        <v>954</v>
      </c>
      <c r="C1999" s="64" t="s">
        <v>7016</v>
      </c>
      <c r="D1999" s="64" t="s">
        <v>1881</v>
      </c>
      <c r="E1999" s="64" t="s">
        <v>16</v>
      </c>
      <c r="F1999" s="64" t="s">
        <v>377</v>
      </c>
      <c r="G1999" s="12" t="s">
        <v>7089</v>
      </c>
      <c r="H1999" s="64" t="s">
        <v>7091</v>
      </c>
    </row>
    <row r="2000" spans="1:8" x14ac:dyDescent="0.3">
      <c r="A2000" s="64" t="s">
        <v>5130</v>
      </c>
      <c r="B2000" s="64" t="s">
        <v>954</v>
      </c>
      <c r="C2000" s="64" t="s">
        <v>7016</v>
      </c>
      <c r="D2000" s="64" t="s">
        <v>1881</v>
      </c>
      <c r="E2000" s="64" t="s">
        <v>16</v>
      </c>
      <c r="F2000" s="64" t="s">
        <v>377</v>
      </c>
      <c r="G2000" s="64" t="s">
        <v>7092</v>
      </c>
      <c r="H2000" s="64" t="s">
        <v>7094</v>
      </c>
    </row>
    <row r="2001" spans="1:8" x14ac:dyDescent="0.3">
      <c r="A2001" s="64" t="s">
        <v>5131</v>
      </c>
      <c r="B2001" s="64" t="s">
        <v>954</v>
      </c>
      <c r="C2001" s="64" t="s">
        <v>7016</v>
      </c>
      <c r="D2001" s="64" t="s">
        <v>1881</v>
      </c>
      <c r="E2001" s="64" t="s">
        <v>16</v>
      </c>
      <c r="F2001" s="64" t="s">
        <v>377</v>
      </c>
      <c r="G2001" s="64" t="s">
        <v>7095</v>
      </c>
      <c r="H2001" s="64" t="s">
        <v>7096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C476-3F9F-4197-BB18-4AEB96A9D3D7}">
  <sheetPr>
    <tabColor rgb="FF00B050"/>
  </sheetPr>
  <dimension ref="A11:AA2002"/>
  <sheetViews>
    <sheetView showGridLines="0" tabSelected="1" zoomScale="84" zoomScaleNormal="84" workbookViewId="0">
      <pane xSplit="1" ySplit="11" topLeftCell="M1021" activePane="bottomRight" state="frozen"/>
      <selection pane="topRight" activeCell="B1" sqref="B1"/>
      <selection pane="bottomLeft" activeCell="A12" sqref="A12"/>
      <selection pane="bottomRight" activeCell="S9" sqref="S9"/>
    </sheetView>
  </sheetViews>
  <sheetFormatPr baseColWidth="10" defaultRowHeight="14.4" x14ac:dyDescent="0.3"/>
  <cols>
    <col min="1" max="1" width="5.44140625" style="2" customWidth="1"/>
    <col min="2" max="2" width="10.109375" customWidth="1"/>
    <col min="3" max="3" width="11.88671875" customWidth="1"/>
    <col min="4" max="4" width="11.109375" style="98" customWidth="1"/>
    <col min="5" max="5" width="9.44140625" customWidth="1"/>
    <col min="6" max="6" width="20.5546875" customWidth="1"/>
    <col min="7" max="7" width="23.109375" customWidth="1"/>
    <col min="8" max="8" width="8.109375" customWidth="1"/>
    <col min="9" max="9" width="19" style="2" customWidth="1"/>
    <col min="10" max="10" width="12.88671875" style="61" customWidth="1"/>
    <col min="11" max="11" width="42.109375" customWidth="1"/>
    <col min="12" max="12" width="16.5546875" customWidth="1"/>
    <col min="13" max="13" width="16.88671875" customWidth="1"/>
    <col min="14" max="14" width="18.88671875" customWidth="1"/>
    <col min="15" max="15" width="35.44140625" customWidth="1"/>
    <col min="16" max="16" width="51.88671875" customWidth="1"/>
    <col min="17" max="17" width="15.44140625" customWidth="1"/>
    <col min="18" max="18" width="31" customWidth="1"/>
    <col min="19" max="19" width="36.88671875" style="1" customWidth="1"/>
    <col min="20" max="20" width="12.88671875" style="59" bestFit="1" customWidth="1"/>
    <col min="21" max="21" width="6.44140625" bestFit="1" customWidth="1"/>
    <col min="22" max="22" width="12.5546875" customWidth="1"/>
    <col min="23" max="23" width="17.109375" customWidth="1"/>
    <col min="24" max="24" width="10.88671875" customWidth="1"/>
    <col min="25" max="25" width="11.109375" bestFit="1" customWidth="1"/>
    <col min="26" max="26" width="7" bestFit="1" customWidth="1"/>
    <col min="27" max="27" width="10.109375" bestFit="1" customWidth="1"/>
  </cols>
  <sheetData>
    <row r="11" spans="1:27" x14ac:dyDescent="0.3">
      <c r="A11" s="6" t="s">
        <v>0</v>
      </c>
      <c r="B11" s="7" t="s">
        <v>385</v>
      </c>
      <c r="C11" s="7" t="s">
        <v>1</v>
      </c>
      <c r="D11" s="99" t="s">
        <v>2</v>
      </c>
      <c r="E11" s="7" t="s">
        <v>367</v>
      </c>
      <c r="F11" s="48" t="s">
        <v>3</v>
      </c>
      <c r="G11" s="47" t="s">
        <v>4</v>
      </c>
      <c r="H11" s="6" t="s">
        <v>5</v>
      </c>
      <c r="I11" s="6" t="s">
        <v>6</v>
      </c>
      <c r="J11" s="62" t="s">
        <v>24</v>
      </c>
      <c r="K11" s="49" t="s">
        <v>25</v>
      </c>
      <c r="L11" s="7" t="s">
        <v>7</v>
      </c>
      <c r="M11" s="7" t="s">
        <v>8</v>
      </c>
      <c r="N11" s="7" t="s">
        <v>9</v>
      </c>
      <c r="O11" s="7" t="s">
        <v>10</v>
      </c>
      <c r="P11" s="7" t="s">
        <v>11</v>
      </c>
      <c r="Q11" s="7" t="s">
        <v>12</v>
      </c>
      <c r="R11" s="7" t="s">
        <v>13</v>
      </c>
      <c r="S11" s="7" t="s">
        <v>21</v>
      </c>
      <c r="T11" s="8" t="s">
        <v>384</v>
      </c>
      <c r="U11" s="3" t="s">
        <v>386</v>
      </c>
      <c r="V11" s="13" t="s">
        <v>394</v>
      </c>
      <c r="W11" s="13" t="s">
        <v>395</v>
      </c>
      <c r="X11" s="13" t="s">
        <v>387</v>
      </c>
      <c r="Y11" s="13" t="s">
        <v>388</v>
      </c>
      <c r="Z11" s="13" t="s">
        <v>391</v>
      </c>
      <c r="AA11" s="13" t="s">
        <v>390</v>
      </c>
    </row>
    <row r="12" spans="1:27" ht="51.9" customHeight="1" x14ac:dyDescent="0.3">
      <c r="A12" s="21" t="s">
        <v>392</v>
      </c>
      <c r="B12" s="9">
        <v>990</v>
      </c>
      <c r="C12" s="10" t="s">
        <v>400</v>
      </c>
      <c r="D12" s="67" t="s">
        <v>404</v>
      </c>
      <c r="E12" s="14">
        <v>0</v>
      </c>
      <c r="F12" s="10" t="s">
        <v>1838</v>
      </c>
      <c r="G12" s="18" t="s">
        <v>1876</v>
      </c>
      <c r="H12" s="31" t="s">
        <v>20</v>
      </c>
      <c r="I12" s="32" t="s">
        <v>15</v>
      </c>
      <c r="J12" s="9" t="s">
        <v>16</v>
      </c>
      <c r="K12" s="9" t="s">
        <v>9292</v>
      </c>
      <c r="L12" s="9" t="s">
        <v>401</v>
      </c>
      <c r="M12" s="9" t="s">
        <v>581</v>
      </c>
      <c r="N12" s="9" t="s">
        <v>402</v>
      </c>
      <c r="O12" s="11" t="str">
        <f>"Evolución de Ingreso Promedio Mensual en "&amp;Agencia[[#This Row],[territorio]]&amp;" para el "&amp;Agencia[[#This Row],[temporalidad]]</f>
        <v>Evolución de Ingreso Promedio Mensual en Chile para el Periodo 2006-2017</v>
      </c>
      <c r="P12" s="106" t="s">
        <v>5826</v>
      </c>
      <c r="Q12" s="11" t="s">
        <v>784</v>
      </c>
      <c r="R12" s="11" t="str">
        <f>Agencia[[#This Row],[territorio]]&amp;",ingresos,ingreso,encuesta,CASEN,ingreso mensual,ingreso promedio,"&amp;Agencia[[#This Row],[coleccion]]&amp;","&amp;Agencia[[#This Row],[sector]]&amp;","&amp;Agencia[[#This Row],[tema]]&amp;","&amp;Agencia[[#This Row],[contenido]]</f>
        <v>Chile,ingresos,ingreso,encuesta,CASEN,ingreso mensual,ingreso promedio,Agencia Información,Socioeconómico,Ingreso Promedio Regional,Ingresos Históricos</v>
      </c>
      <c r="S12" s="37" t="s">
        <v>982</v>
      </c>
      <c r="T12" s="108" t="s">
        <v>805</v>
      </c>
      <c r="U12" s="92" t="s">
        <v>398</v>
      </c>
      <c r="V12" s="93" t="str">
        <f>+Agencia[[#This Row],[idcoleccion]]&amp;"-"&amp;Agencia[[#This Row],[id]]</f>
        <v>990-0001</v>
      </c>
      <c r="W12" s="93">
        <f>+VLOOKUP(Agencia[[#This Row],[Filtro URL]],Estructura!$X$4:$Y$500,2,0)</f>
        <v>99100000</v>
      </c>
      <c r="X12" s="93" t="str">
        <f>+VLOOKUP(Agencia[[#This Row],[tema]],Estructura!$A$4:$C$500,3,0)</f>
        <v>T-993</v>
      </c>
      <c r="Y12" s="93" t="str">
        <f>+VLOOKUP(Agencia[[#This Row],[contenido]],Estructura!$E$4:$G$500,3,0)</f>
        <v>C-995</v>
      </c>
      <c r="Z12" s="93" t="str">
        <f>+VLOOKUP(Agencia[[#This Row],[Filtro Integrado]],Estructura!$I$4:$K$500,3,0)</f>
        <v>FI-992</v>
      </c>
      <c r="AA12" s="93" t="str">
        <f>+VLOOKUP(Agencia[[#This Row],[Muestra]],Estructura!$M$4:$O$500,3,0)</f>
        <v>M-1030</v>
      </c>
    </row>
    <row r="13" spans="1:27" ht="57.6" x14ac:dyDescent="0.3">
      <c r="A13" s="21" t="s">
        <v>393</v>
      </c>
      <c r="B13" s="9">
        <f>+B12</f>
        <v>990</v>
      </c>
      <c r="C13" s="10" t="str">
        <f>+C12</f>
        <v>Agencia Información</v>
      </c>
      <c r="D13" s="67" t="str">
        <f>+D12</f>
        <v>Socioeconómico</v>
      </c>
      <c r="E13" s="19">
        <v>1</v>
      </c>
      <c r="F13" s="10" t="s">
        <v>1838</v>
      </c>
      <c r="G13" s="18" t="s">
        <v>1876</v>
      </c>
      <c r="H13" s="33" t="s">
        <v>16</v>
      </c>
      <c r="I13" s="34" t="s">
        <v>368</v>
      </c>
      <c r="J13" s="9" t="s">
        <v>403</v>
      </c>
      <c r="K13" s="142" t="s">
        <v>9292</v>
      </c>
      <c r="L13" s="9" t="s">
        <v>401</v>
      </c>
      <c r="M13" s="9" t="str">
        <f>M12</f>
        <v>CLP/mes</v>
      </c>
      <c r="N13" s="9" t="s">
        <v>402</v>
      </c>
      <c r="O13" s="11" t="str">
        <f>"Evolución de Ingreso Promedio Mensual en la "&amp;Agencia[[#This Row],[territorio]]&amp;" para el "&amp;Agencia[[#This Row],[temporalidad]]</f>
        <v>Evolución de Ingreso Promedio Mensual en la Región de Tarapacá para el Periodo 2006-2017</v>
      </c>
      <c r="P13" s="112" t="s">
        <v>5828</v>
      </c>
      <c r="Q13" s="11" t="str">
        <f>+Q12</f>
        <v>Gráfico de Evolución</v>
      </c>
      <c r="R13" s="144" t="str">
        <f>Agencia[[#This Row],[territorio]]&amp;",ingresos,ingreso,encuesta,CASEN,ingreso mensual,ingreso promedio,"&amp;Agencia[[#This Row],[coleccion]]&amp;","&amp;Agencia[[#This Row],[sector]]&amp;","&amp;Agencia[[#This Row],[tema]]&amp;","&amp;Agencia[[#This Row],[contenido]]</f>
        <v>Región de Tarapacá,ingresos,ingreso,encuesta,CASEN,ingreso mensual,ingreso promedio,Agencia Información,Socioeconómico,Ingreso Promedio Regional,Ingresos Históricos</v>
      </c>
      <c r="S13" s="37" t="str">
        <f>HYPERLINK("https://analytics.zoho.com/open-view/2395394000008161200?ZOHO_CRITERIA=%22Localiza%20Chile%22.%22Codreg%22%3D"&amp;Agencia[[#This Row],[Filtro URL]])</f>
        <v>https://analytics.zoho.com/open-view/2395394000008161200?ZOHO_CRITERIA=%22Localiza%20Chile%22.%22Codreg%22%3D1</v>
      </c>
      <c r="T13" s="108" t="str">
        <f>"100-R-"&amp;Agencia[[#This Row],[Filtro URL]]</f>
        <v>100-R-1</v>
      </c>
      <c r="U13" s="94" t="str">
        <f>+U12</f>
        <v>#1774B9</v>
      </c>
      <c r="V13" s="93" t="str">
        <f>+Agencia[[#This Row],[idcoleccion]]&amp;"-"&amp;Agencia[[#This Row],[id]]</f>
        <v>990-0002</v>
      </c>
      <c r="W13" s="93">
        <f>+VLOOKUP(Agencia[[#This Row],[Filtro URL]],Estructura!$X$4:$Y$500,2,0)</f>
        <v>99200001</v>
      </c>
      <c r="X13" s="93" t="str">
        <f>+VLOOKUP(Agencia[[#This Row],[tema]],Estructura!$A$4:$C$500,3,0)</f>
        <v>T-993</v>
      </c>
      <c r="Y13" s="93" t="str">
        <f>+VLOOKUP(Agencia[[#This Row],[contenido]],Estructura!$E$4:$G$500,3,0)</f>
        <v>C-995</v>
      </c>
      <c r="Z13" s="93" t="str">
        <f>+VLOOKUP(Agencia[[#This Row],[Filtro Integrado]],Estructura!$I$4:$K$500,3,0)</f>
        <v>FI-993</v>
      </c>
      <c r="AA13" s="93" t="str">
        <f>+VLOOKUP(Agencia[[#This Row],[Muestra]],Estructura!$M$4:$O$500,3,0)</f>
        <v>M-1030</v>
      </c>
    </row>
    <row r="14" spans="1:27" ht="57.6" x14ac:dyDescent="0.3">
      <c r="A14" s="21" t="s">
        <v>405</v>
      </c>
      <c r="B14" s="9">
        <f t="shared" ref="B14:B29" si="0">+B13</f>
        <v>990</v>
      </c>
      <c r="C14" s="10" t="str">
        <f t="shared" ref="C14:C29" si="1">+C13</f>
        <v>Agencia Información</v>
      </c>
      <c r="D14" s="67" t="str">
        <f t="shared" ref="D14:D28" si="2">+D13</f>
        <v>Socioeconómico</v>
      </c>
      <c r="E14" s="19">
        <v>2</v>
      </c>
      <c r="F14" s="10" t="s">
        <v>1838</v>
      </c>
      <c r="G14" s="18" t="s">
        <v>1876</v>
      </c>
      <c r="H14" s="33" t="str">
        <f>+H13</f>
        <v>Región</v>
      </c>
      <c r="I14" s="34" t="s">
        <v>369</v>
      </c>
      <c r="J14" s="9" t="s">
        <v>403</v>
      </c>
      <c r="K14" s="9" t="str">
        <f t="shared" ref="K14:K28" si="3">+K13</f>
        <v>Ingresos Promedio Mensual</v>
      </c>
      <c r="L14" s="9" t="str">
        <f>+L13</f>
        <v>Periodo 2006-2017</v>
      </c>
      <c r="M14" s="9" t="str">
        <f>+M13</f>
        <v>CLP/mes</v>
      </c>
      <c r="N14" s="9" t="str">
        <f>+N13</f>
        <v>Encuestas CASEN</v>
      </c>
      <c r="O14" s="11" t="str">
        <f>"Evolución de Ingreso Promedio Mensual en la "&amp;Agencia[[#This Row],[territorio]]&amp;" para el "&amp;Agencia[[#This Row],[temporalidad]]</f>
        <v>Evolución de Ingreso Promedio Mensual en la Región de Antofagasta para el Periodo 2006-2017</v>
      </c>
      <c r="P14" s="106" t="s">
        <v>5825</v>
      </c>
      <c r="Q14" s="11" t="str">
        <f>+Q12</f>
        <v>Gráfico de Evolución</v>
      </c>
      <c r="R14" s="144" t="str">
        <f>Agencia[[#This Row],[territorio]]&amp;",ingresos,ingreso,encuesta,CASEN,ingreso mensual,ingreso promedio,"&amp;Agencia[[#This Row],[coleccion]]&amp;","&amp;Agencia[[#This Row],[sector]]&amp;","&amp;Agencia[[#This Row],[tema]]&amp;","&amp;Agencia[[#This Row],[contenido]]</f>
        <v>Región de Antofagasta,ingresos,ingreso,encuesta,CASEN,ingreso mensual,ingreso promedio,Agencia Información,Socioeconómico,Ingreso Promedio Regional,Ingresos Históricos</v>
      </c>
      <c r="S14" s="37" t="str">
        <f>HYPERLINK("https://analytics.zoho.com/open-view/2395394000008161200?ZOHO_CRITERIA=%22Localiza%20Chile%22.%22Codreg%22%3D"&amp;Agencia[[#This Row],[Filtro URL]])</f>
        <v>https://analytics.zoho.com/open-view/2395394000008161200?ZOHO_CRITERIA=%22Localiza%20Chile%22.%22Codreg%22%3D2</v>
      </c>
      <c r="T14" s="108" t="str">
        <f>"100-R-"&amp;Agencia[[#This Row],[Filtro URL]]</f>
        <v>100-R-2</v>
      </c>
      <c r="U14" s="94" t="str">
        <f>+U12</f>
        <v>#1774B9</v>
      </c>
      <c r="V14" s="93" t="str">
        <f>+Agencia[[#This Row],[idcoleccion]]&amp;"-"&amp;Agencia[[#This Row],[id]]</f>
        <v>990-0003</v>
      </c>
      <c r="W14" s="93">
        <f>+VLOOKUP(Agencia[[#This Row],[Filtro URL]],Estructura!$X$4:$Y$500,2,0)</f>
        <v>99200002</v>
      </c>
      <c r="X14" s="93" t="str">
        <f>+VLOOKUP(Agencia[[#This Row],[tema]],Estructura!$A$4:$C$500,3,0)</f>
        <v>T-993</v>
      </c>
      <c r="Y14" s="93" t="str">
        <f>+VLOOKUP(Agencia[[#This Row],[contenido]],Estructura!$E$4:$G$500,3,0)</f>
        <v>C-995</v>
      </c>
      <c r="Z14" s="93" t="str">
        <f>+VLOOKUP(Agencia[[#This Row],[Filtro Integrado]],Estructura!$I$4:$K$500,3,0)</f>
        <v>FI-993</v>
      </c>
      <c r="AA14" s="93" t="str">
        <f>+VLOOKUP(Agencia[[#This Row],[Muestra]],Estructura!$M$4:$O$500,3,0)</f>
        <v>M-1030</v>
      </c>
    </row>
    <row r="15" spans="1:27" ht="57.6" x14ac:dyDescent="0.3">
      <c r="A15" s="21" t="s">
        <v>406</v>
      </c>
      <c r="B15" s="9">
        <f t="shared" si="0"/>
        <v>990</v>
      </c>
      <c r="C15" s="10" t="str">
        <f t="shared" si="1"/>
        <v>Agencia Información</v>
      </c>
      <c r="D15" s="67" t="str">
        <f t="shared" si="2"/>
        <v>Socioeconómico</v>
      </c>
      <c r="E15" s="19">
        <v>3</v>
      </c>
      <c r="F15" s="10" t="s">
        <v>1838</v>
      </c>
      <c r="G15" s="18" t="s">
        <v>1876</v>
      </c>
      <c r="H15" s="33" t="str">
        <f t="shared" ref="H15:H28" si="4">+H14</f>
        <v>Región</v>
      </c>
      <c r="I15" s="34" t="s">
        <v>370</v>
      </c>
      <c r="J15" s="9" t="s">
        <v>403</v>
      </c>
      <c r="K15" s="9" t="str">
        <f t="shared" si="3"/>
        <v>Ingresos Promedio Mensual</v>
      </c>
      <c r="L15" s="9" t="str">
        <f t="shared" ref="L15:L28" si="5">+L14</f>
        <v>Periodo 2006-2017</v>
      </c>
      <c r="M15" s="9" t="str">
        <f t="shared" ref="M15:M28" si="6">+M14</f>
        <v>CLP/mes</v>
      </c>
      <c r="N15" s="9" t="str">
        <f t="shared" ref="N15:N28" si="7">+N14</f>
        <v>Encuestas CASEN</v>
      </c>
      <c r="O15" s="11" t="str">
        <f>"Evolución de Ingreso Promedio Mensual en la "&amp;Agencia[[#This Row],[territorio]]&amp;" para el "&amp;Agencia[[#This Row],[temporalidad]]</f>
        <v>Evolución de Ingreso Promedio Mensual en la Región de Atacama para el Periodo 2006-2017</v>
      </c>
      <c r="P15" s="112" t="s">
        <v>5829</v>
      </c>
      <c r="Q15" s="11" t="str">
        <f>+Q12</f>
        <v>Gráfico de Evolución</v>
      </c>
      <c r="R15" s="144" t="str">
        <f>Agencia[[#This Row],[territorio]]&amp;",ingresos,ingreso,encuesta,CASEN,ingreso mensual,ingreso promedio,"&amp;Agencia[[#This Row],[coleccion]]&amp;","&amp;Agencia[[#This Row],[sector]]&amp;","&amp;Agencia[[#This Row],[tema]]&amp;","&amp;Agencia[[#This Row],[contenido]]</f>
        <v>Región de Atacama,ingresos,ingreso,encuesta,CASEN,ingreso mensual,ingreso promedio,Agencia Información,Socioeconómico,Ingreso Promedio Regional,Ingresos Históricos</v>
      </c>
      <c r="S15" s="37" t="str">
        <f>HYPERLINK("https://analytics.zoho.com/open-view/2395394000008161200?ZOHO_CRITERIA=%22Localiza%20Chile%22.%22Codreg%22%3D"&amp;Agencia[[#This Row],[Filtro URL]])</f>
        <v>https://analytics.zoho.com/open-view/2395394000008161200?ZOHO_CRITERIA=%22Localiza%20Chile%22.%22Codreg%22%3D3</v>
      </c>
      <c r="T15" s="108" t="str">
        <f>"100-R-"&amp;Agencia[[#This Row],[Filtro URL]]</f>
        <v>100-R-3</v>
      </c>
      <c r="U15" s="94" t="str">
        <f>+U12</f>
        <v>#1774B9</v>
      </c>
      <c r="V15" s="93" t="str">
        <f>+Agencia[[#This Row],[idcoleccion]]&amp;"-"&amp;Agencia[[#This Row],[id]]</f>
        <v>990-0004</v>
      </c>
      <c r="W15" s="93">
        <f>+VLOOKUP(Agencia[[#This Row],[Filtro URL]],Estructura!$X$4:$Y$500,2,0)</f>
        <v>99200003</v>
      </c>
      <c r="X15" s="93" t="str">
        <f>+VLOOKUP(Agencia[[#This Row],[tema]],Estructura!$A$4:$C$500,3,0)</f>
        <v>T-993</v>
      </c>
      <c r="Y15" s="93" t="str">
        <f>+VLOOKUP(Agencia[[#This Row],[contenido]],Estructura!$E$4:$G$500,3,0)</f>
        <v>C-995</v>
      </c>
      <c r="Z15" s="93" t="str">
        <f>+VLOOKUP(Agencia[[#This Row],[Filtro Integrado]],Estructura!$I$4:$K$500,3,0)</f>
        <v>FI-993</v>
      </c>
      <c r="AA15" s="93" t="str">
        <f>+VLOOKUP(Agencia[[#This Row],[Muestra]],Estructura!$M$4:$O$500,3,0)</f>
        <v>M-1030</v>
      </c>
    </row>
    <row r="16" spans="1:27" ht="57.6" x14ac:dyDescent="0.3">
      <c r="A16" s="21" t="s">
        <v>407</v>
      </c>
      <c r="B16" s="9">
        <f t="shared" si="0"/>
        <v>990</v>
      </c>
      <c r="C16" s="10" t="str">
        <f t="shared" si="1"/>
        <v>Agencia Información</v>
      </c>
      <c r="D16" s="67" t="str">
        <f t="shared" si="2"/>
        <v>Socioeconómico</v>
      </c>
      <c r="E16" s="19">
        <v>4</v>
      </c>
      <c r="F16" s="10" t="s">
        <v>1838</v>
      </c>
      <c r="G16" s="18" t="s">
        <v>1876</v>
      </c>
      <c r="H16" s="33" t="str">
        <f t="shared" si="4"/>
        <v>Región</v>
      </c>
      <c r="I16" s="34" t="s">
        <v>371</v>
      </c>
      <c r="J16" s="9" t="s">
        <v>403</v>
      </c>
      <c r="K16" s="9" t="str">
        <f t="shared" si="3"/>
        <v>Ingresos Promedio Mensual</v>
      </c>
      <c r="L16" s="9" t="str">
        <f t="shared" si="5"/>
        <v>Periodo 2006-2017</v>
      </c>
      <c r="M16" s="9" t="str">
        <f t="shared" si="6"/>
        <v>CLP/mes</v>
      </c>
      <c r="N16" s="9" t="str">
        <f t="shared" si="7"/>
        <v>Encuestas CASEN</v>
      </c>
      <c r="O16" s="11" t="str">
        <f>"Evolución de Ingreso Promedio Mensual en la "&amp;Agencia[[#This Row],[territorio]]&amp;" para el "&amp;Agencia[[#This Row],[temporalidad]]</f>
        <v>Evolución de Ingreso Promedio Mensual en la Región de Coquimbo para el Periodo 2006-2017</v>
      </c>
      <c r="P16" s="112" t="s">
        <v>5827</v>
      </c>
      <c r="Q16" s="11" t="str">
        <f>+Q12</f>
        <v>Gráfico de Evolución</v>
      </c>
      <c r="R16" s="144" t="str">
        <f>Agencia[[#This Row],[territorio]]&amp;",ingresos,ingreso,encuesta,CASEN,ingreso mensual,ingreso promedio,"&amp;Agencia[[#This Row],[coleccion]]&amp;","&amp;Agencia[[#This Row],[sector]]&amp;","&amp;Agencia[[#This Row],[tema]]&amp;","&amp;Agencia[[#This Row],[contenido]]</f>
        <v>Región de Coquimbo,ingresos,ingreso,encuesta,CASEN,ingreso mensual,ingreso promedio,Agencia Información,Socioeconómico,Ingreso Promedio Regional,Ingresos Históricos</v>
      </c>
      <c r="S16" s="37" t="str">
        <f>HYPERLINK("https://analytics.zoho.com/open-view/2395394000008161200?ZOHO_CRITERIA=%22Localiza%20Chile%22.%22Codreg%22%3D"&amp;Agencia[[#This Row],[Filtro URL]])</f>
        <v>https://analytics.zoho.com/open-view/2395394000008161200?ZOHO_CRITERIA=%22Localiza%20Chile%22.%22Codreg%22%3D4</v>
      </c>
      <c r="T16" s="108" t="str">
        <f>"100-R-"&amp;Agencia[[#This Row],[Filtro URL]]</f>
        <v>100-R-4</v>
      </c>
      <c r="U16" s="94" t="str">
        <f>+U12</f>
        <v>#1774B9</v>
      </c>
      <c r="V16" s="93" t="str">
        <f>+Agencia[[#This Row],[idcoleccion]]&amp;"-"&amp;Agencia[[#This Row],[id]]</f>
        <v>990-0005</v>
      </c>
      <c r="W16" s="93">
        <f>+VLOOKUP(Agencia[[#This Row],[Filtro URL]],Estructura!$X$4:$Y$500,2,0)</f>
        <v>99200004</v>
      </c>
      <c r="X16" s="93" t="str">
        <f>+VLOOKUP(Agencia[[#This Row],[tema]],Estructura!$A$4:$C$500,3,0)</f>
        <v>T-993</v>
      </c>
      <c r="Y16" s="93" t="str">
        <f>+VLOOKUP(Agencia[[#This Row],[contenido]],Estructura!$E$4:$G$500,3,0)</f>
        <v>C-995</v>
      </c>
      <c r="Z16" s="93" t="str">
        <f>+VLOOKUP(Agencia[[#This Row],[Filtro Integrado]],Estructura!$I$4:$K$500,3,0)</f>
        <v>FI-993</v>
      </c>
      <c r="AA16" s="93" t="str">
        <f>+VLOOKUP(Agencia[[#This Row],[Muestra]],Estructura!$M$4:$O$500,3,0)</f>
        <v>M-1030</v>
      </c>
    </row>
    <row r="17" spans="1:27" ht="57.6" x14ac:dyDescent="0.3">
      <c r="A17" s="21" t="s">
        <v>408</v>
      </c>
      <c r="B17" s="9">
        <f t="shared" si="0"/>
        <v>990</v>
      </c>
      <c r="C17" s="10" t="str">
        <f t="shared" si="1"/>
        <v>Agencia Información</v>
      </c>
      <c r="D17" s="67" t="str">
        <f t="shared" si="2"/>
        <v>Socioeconómico</v>
      </c>
      <c r="E17" s="19">
        <v>5</v>
      </c>
      <c r="F17" s="10" t="s">
        <v>1838</v>
      </c>
      <c r="G17" s="18" t="s">
        <v>1876</v>
      </c>
      <c r="H17" s="33" t="str">
        <f t="shared" si="4"/>
        <v>Región</v>
      </c>
      <c r="I17" s="34" t="s">
        <v>372</v>
      </c>
      <c r="J17" s="9" t="s">
        <v>403</v>
      </c>
      <c r="K17" s="9" t="str">
        <f t="shared" si="3"/>
        <v>Ingresos Promedio Mensual</v>
      </c>
      <c r="L17" s="9" t="str">
        <f t="shared" si="5"/>
        <v>Periodo 2006-2017</v>
      </c>
      <c r="M17" s="9" t="str">
        <f t="shared" si="6"/>
        <v>CLP/mes</v>
      </c>
      <c r="N17" s="9" t="str">
        <f t="shared" si="7"/>
        <v>Encuestas CASEN</v>
      </c>
      <c r="O17" s="11" t="str">
        <f>"Evolución de Ingreso Promedio Mensual en la "&amp;Agencia[[#This Row],[territorio]]&amp;" para el "&amp;Agencia[[#This Row],[temporalidad]]</f>
        <v>Evolución de Ingreso Promedio Mensual en la Región de Valparaíso para el Periodo 2006-2017</v>
      </c>
      <c r="P17" s="112" t="s">
        <v>5830</v>
      </c>
      <c r="Q17" s="11" t="str">
        <f>+Q12</f>
        <v>Gráfico de Evolución</v>
      </c>
      <c r="R17" s="144" t="str">
        <f>Agencia[[#This Row],[territorio]]&amp;",ingresos,ingreso,encuesta,CASEN,ingreso mensual,ingreso promedio,"&amp;Agencia[[#This Row],[coleccion]]&amp;","&amp;Agencia[[#This Row],[sector]]&amp;","&amp;Agencia[[#This Row],[tema]]&amp;","&amp;Agencia[[#This Row],[contenido]]</f>
        <v>Región de Valparaíso,ingresos,ingreso,encuesta,CASEN,ingreso mensual,ingreso promedio,Agencia Información,Socioeconómico,Ingreso Promedio Regional,Ingresos Históricos</v>
      </c>
      <c r="S17" s="37" t="str">
        <f>HYPERLINK("https://analytics.zoho.com/open-view/2395394000008161200?ZOHO_CRITERIA=%22Localiza%20Chile%22.%22Codreg%22%3D"&amp;Agencia[[#This Row],[Filtro URL]])</f>
        <v>https://analytics.zoho.com/open-view/2395394000008161200?ZOHO_CRITERIA=%22Localiza%20Chile%22.%22Codreg%22%3D5</v>
      </c>
      <c r="T17" s="108" t="str">
        <f>"100-R-"&amp;Agencia[[#This Row],[Filtro URL]]</f>
        <v>100-R-5</v>
      </c>
      <c r="U17" s="94" t="str">
        <f>+U12</f>
        <v>#1774B9</v>
      </c>
      <c r="V17" s="93" t="str">
        <f>+Agencia[[#This Row],[idcoleccion]]&amp;"-"&amp;Agencia[[#This Row],[id]]</f>
        <v>990-0006</v>
      </c>
      <c r="W17" s="93">
        <f>+VLOOKUP(Agencia[[#This Row],[Filtro URL]],Estructura!$X$4:$Y$500,2,0)</f>
        <v>99200005</v>
      </c>
      <c r="X17" s="93" t="str">
        <f>+VLOOKUP(Agencia[[#This Row],[tema]],Estructura!$A$4:$C$500,3,0)</f>
        <v>T-993</v>
      </c>
      <c r="Y17" s="93" t="str">
        <f>+VLOOKUP(Agencia[[#This Row],[contenido]],Estructura!$E$4:$G$500,3,0)</f>
        <v>C-995</v>
      </c>
      <c r="Z17" s="93" t="str">
        <f>+VLOOKUP(Agencia[[#This Row],[Filtro Integrado]],Estructura!$I$4:$K$500,3,0)</f>
        <v>FI-993</v>
      </c>
      <c r="AA17" s="93" t="str">
        <f>+VLOOKUP(Agencia[[#This Row],[Muestra]],Estructura!$M$4:$O$500,3,0)</f>
        <v>M-1030</v>
      </c>
    </row>
    <row r="18" spans="1:27" ht="57.6" x14ac:dyDescent="0.3">
      <c r="A18" s="21" t="s">
        <v>409</v>
      </c>
      <c r="B18" s="9">
        <f t="shared" si="0"/>
        <v>990</v>
      </c>
      <c r="C18" s="10" t="str">
        <f t="shared" si="1"/>
        <v>Agencia Información</v>
      </c>
      <c r="D18" s="67" t="str">
        <f t="shared" si="2"/>
        <v>Socioeconómico</v>
      </c>
      <c r="E18" s="19">
        <v>6</v>
      </c>
      <c r="F18" s="10" t="s">
        <v>1838</v>
      </c>
      <c r="G18" s="18" t="s">
        <v>1876</v>
      </c>
      <c r="H18" s="33" t="str">
        <f t="shared" si="4"/>
        <v>Región</v>
      </c>
      <c r="I18" s="34" t="s">
        <v>373</v>
      </c>
      <c r="J18" s="9" t="s">
        <v>403</v>
      </c>
      <c r="K18" s="9" t="str">
        <f t="shared" si="3"/>
        <v>Ingresos Promedio Mensual</v>
      </c>
      <c r="L18" s="9" t="str">
        <f t="shared" si="5"/>
        <v>Periodo 2006-2017</v>
      </c>
      <c r="M18" s="9" t="str">
        <f t="shared" si="6"/>
        <v>CLP/mes</v>
      </c>
      <c r="N18" s="9" t="str">
        <f t="shared" si="7"/>
        <v>Encuestas CASEN</v>
      </c>
      <c r="O18" s="11" t="str">
        <f>"Evolución de Ingreso Promedio Mensual en la "&amp;Agencia[[#This Row],[territorio]]&amp;" para el "&amp;Agencia[[#This Row],[temporalidad]]</f>
        <v>Evolución de Ingreso Promedio Mensual en la Región de O'Higgins para el Periodo 2006-2017</v>
      </c>
      <c r="P18" s="112" t="s">
        <v>5832</v>
      </c>
      <c r="Q18" s="11" t="str">
        <f>+Q12</f>
        <v>Gráfico de Evolución</v>
      </c>
      <c r="R18" s="144" t="str">
        <f>Agencia[[#This Row],[territorio]]&amp;",ingresos,ingreso,encuesta,CASEN,ingreso mensual,ingreso promedio,"&amp;Agencia[[#This Row],[coleccion]]&amp;","&amp;Agencia[[#This Row],[sector]]&amp;","&amp;Agencia[[#This Row],[tema]]&amp;","&amp;Agencia[[#This Row],[contenido]]</f>
        <v>Región de O'Higgins,ingresos,ingreso,encuesta,CASEN,ingreso mensual,ingreso promedio,Agencia Información,Socioeconómico,Ingreso Promedio Regional,Ingresos Históricos</v>
      </c>
      <c r="S18" s="37" t="str">
        <f>HYPERLINK("https://analytics.zoho.com/open-view/2395394000008161200?ZOHO_CRITERIA=%22Localiza%20Chile%22.%22Codreg%22%3D"&amp;Agencia[[#This Row],[Filtro URL]])</f>
        <v>https://analytics.zoho.com/open-view/2395394000008161200?ZOHO_CRITERIA=%22Localiza%20Chile%22.%22Codreg%22%3D6</v>
      </c>
      <c r="T18" s="108" t="str">
        <f>"100-R-"&amp;Agencia[[#This Row],[Filtro URL]]</f>
        <v>100-R-6</v>
      </c>
      <c r="U18" s="94" t="str">
        <f>+U12</f>
        <v>#1774B9</v>
      </c>
      <c r="V18" s="93" t="str">
        <f>+Agencia[[#This Row],[idcoleccion]]&amp;"-"&amp;Agencia[[#This Row],[id]]</f>
        <v>990-0007</v>
      </c>
      <c r="W18" s="93">
        <f>+VLOOKUP(Agencia[[#This Row],[Filtro URL]],Estructura!$X$4:$Y$500,2,0)</f>
        <v>99200006</v>
      </c>
      <c r="X18" s="93" t="str">
        <f>+VLOOKUP(Agencia[[#This Row],[tema]],Estructura!$A$4:$C$500,3,0)</f>
        <v>T-993</v>
      </c>
      <c r="Y18" s="93" t="str">
        <f>+VLOOKUP(Agencia[[#This Row],[contenido]],Estructura!$E$4:$G$500,3,0)</f>
        <v>C-995</v>
      </c>
      <c r="Z18" s="93" t="str">
        <f>+VLOOKUP(Agencia[[#This Row],[Filtro Integrado]],Estructura!$I$4:$K$500,3,0)</f>
        <v>FI-993</v>
      </c>
      <c r="AA18" s="93" t="str">
        <f>+VLOOKUP(Agencia[[#This Row],[Muestra]],Estructura!$M$4:$O$500,3,0)</f>
        <v>M-1030</v>
      </c>
    </row>
    <row r="19" spans="1:27" ht="57.6" x14ac:dyDescent="0.3">
      <c r="A19" s="21" t="s">
        <v>410</v>
      </c>
      <c r="B19" s="9">
        <f t="shared" si="0"/>
        <v>990</v>
      </c>
      <c r="C19" s="10" t="str">
        <f t="shared" si="1"/>
        <v>Agencia Información</v>
      </c>
      <c r="D19" s="67" t="str">
        <f t="shared" si="2"/>
        <v>Socioeconómico</v>
      </c>
      <c r="E19" s="19">
        <v>7</v>
      </c>
      <c r="F19" s="10" t="s">
        <v>1838</v>
      </c>
      <c r="G19" s="18" t="s">
        <v>1876</v>
      </c>
      <c r="H19" s="33" t="str">
        <f t="shared" si="4"/>
        <v>Región</v>
      </c>
      <c r="I19" s="34" t="s">
        <v>374</v>
      </c>
      <c r="J19" s="9" t="s">
        <v>403</v>
      </c>
      <c r="K19" s="9" t="str">
        <f t="shared" si="3"/>
        <v>Ingresos Promedio Mensual</v>
      </c>
      <c r="L19" s="9" t="str">
        <f t="shared" si="5"/>
        <v>Periodo 2006-2017</v>
      </c>
      <c r="M19" s="9" t="str">
        <f t="shared" si="6"/>
        <v>CLP/mes</v>
      </c>
      <c r="N19" s="9" t="str">
        <f t="shared" si="7"/>
        <v>Encuestas CASEN</v>
      </c>
      <c r="O19" s="11" t="str">
        <f>"Evolución de Ingreso Promedio Mensual en la "&amp;Agencia[[#This Row],[territorio]]&amp;" para el "&amp;Agencia[[#This Row],[temporalidad]]</f>
        <v>Evolución de Ingreso Promedio Mensual en la Región de Maule para el Periodo 2006-2017</v>
      </c>
      <c r="P19" s="112" t="s">
        <v>5831</v>
      </c>
      <c r="Q19" s="11" t="str">
        <f>+Q12</f>
        <v>Gráfico de Evolución</v>
      </c>
      <c r="R19" s="144" t="str">
        <f>Agencia[[#This Row],[territorio]]&amp;",ingresos,ingreso,encuesta,CASEN,ingreso mensual,ingreso promedio,"&amp;Agencia[[#This Row],[coleccion]]&amp;","&amp;Agencia[[#This Row],[sector]]&amp;","&amp;Agencia[[#This Row],[tema]]&amp;","&amp;Agencia[[#This Row],[contenido]]</f>
        <v>Región de Maule,ingresos,ingreso,encuesta,CASEN,ingreso mensual,ingreso promedio,Agencia Información,Socioeconómico,Ingreso Promedio Regional,Ingresos Históricos</v>
      </c>
      <c r="S19" s="37" t="str">
        <f>HYPERLINK("https://analytics.zoho.com/open-view/2395394000008161200?ZOHO_CRITERIA=%22Localiza%20Chile%22.%22Codreg%22%3D"&amp;Agencia[[#This Row],[Filtro URL]])</f>
        <v>https://analytics.zoho.com/open-view/2395394000008161200?ZOHO_CRITERIA=%22Localiza%20Chile%22.%22Codreg%22%3D7</v>
      </c>
      <c r="T19" s="108" t="str">
        <f>"100-R-"&amp;Agencia[[#This Row],[Filtro URL]]</f>
        <v>100-R-7</v>
      </c>
      <c r="U19" s="94" t="str">
        <f>+U12</f>
        <v>#1774B9</v>
      </c>
      <c r="V19" s="93" t="str">
        <f>+Agencia[[#This Row],[idcoleccion]]&amp;"-"&amp;Agencia[[#This Row],[id]]</f>
        <v>990-0008</v>
      </c>
      <c r="W19" s="93">
        <f>+VLOOKUP(Agencia[[#This Row],[Filtro URL]],Estructura!$X$4:$Y$500,2,0)</f>
        <v>99200007</v>
      </c>
      <c r="X19" s="93" t="str">
        <f>+VLOOKUP(Agencia[[#This Row],[tema]],Estructura!$A$4:$C$500,3,0)</f>
        <v>T-993</v>
      </c>
      <c r="Y19" s="93" t="str">
        <f>+VLOOKUP(Agencia[[#This Row],[contenido]],Estructura!$E$4:$G$500,3,0)</f>
        <v>C-995</v>
      </c>
      <c r="Z19" s="93" t="str">
        <f>+VLOOKUP(Agencia[[#This Row],[Filtro Integrado]],Estructura!$I$4:$K$500,3,0)</f>
        <v>FI-993</v>
      </c>
      <c r="AA19" s="93" t="str">
        <f>+VLOOKUP(Agencia[[#This Row],[Muestra]],Estructura!$M$4:$O$500,3,0)</f>
        <v>M-1030</v>
      </c>
    </row>
    <row r="20" spans="1:27" ht="57.6" x14ac:dyDescent="0.3">
      <c r="A20" s="21" t="s">
        <v>411</v>
      </c>
      <c r="B20" s="9">
        <f t="shared" si="0"/>
        <v>990</v>
      </c>
      <c r="C20" s="10" t="str">
        <f t="shared" si="1"/>
        <v>Agencia Información</v>
      </c>
      <c r="D20" s="67" t="str">
        <f t="shared" si="2"/>
        <v>Socioeconómico</v>
      </c>
      <c r="E20" s="19">
        <v>8</v>
      </c>
      <c r="F20" s="10" t="s">
        <v>1838</v>
      </c>
      <c r="G20" s="18" t="s">
        <v>1876</v>
      </c>
      <c r="H20" s="33" t="str">
        <f t="shared" si="4"/>
        <v>Región</v>
      </c>
      <c r="I20" s="34" t="s">
        <v>375</v>
      </c>
      <c r="J20" s="9" t="s">
        <v>403</v>
      </c>
      <c r="K20" s="9" t="str">
        <f t="shared" si="3"/>
        <v>Ingresos Promedio Mensual</v>
      </c>
      <c r="L20" s="9" t="str">
        <f t="shared" si="5"/>
        <v>Periodo 2006-2017</v>
      </c>
      <c r="M20" s="9" t="str">
        <f t="shared" si="6"/>
        <v>CLP/mes</v>
      </c>
      <c r="N20" s="9" t="str">
        <f t="shared" si="7"/>
        <v>Encuestas CASEN</v>
      </c>
      <c r="O20" s="11" t="str">
        <f>"Evolución de Ingreso Promedio Mensual en la "&amp;Agencia[[#This Row],[territorio]]&amp;" para el "&amp;Agencia[[#This Row],[temporalidad]]</f>
        <v>Evolución de Ingreso Promedio Mensual en la Región del Biobío para el Periodo 2006-2017</v>
      </c>
      <c r="P20" s="112" t="s">
        <v>5833</v>
      </c>
      <c r="Q20" s="11" t="str">
        <f>+Q12</f>
        <v>Gráfico de Evolución</v>
      </c>
      <c r="R20" s="144" t="str">
        <f>Agencia[[#This Row],[territorio]]&amp;",ingresos,ingreso,encuesta,CASEN,ingreso mensual,ingreso promedio,"&amp;Agencia[[#This Row],[coleccion]]&amp;","&amp;Agencia[[#This Row],[sector]]&amp;","&amp;Agencia[[#This Row],[tema]]&amp;","&amp;Agencia[[#This Row],[contenido]]</f>
        <v>Región del Biobío,ingresos,ingreso,encuesta,CASEN,ingreso mensual,ingreso promedio,Agencia Información,Socioeconómico,Ingreso Promedio Regional,Ingresos Históricos</v>
      </c>
      <c r="S20" s="37" t="str">
        <f>HYPERLINK("https://analytics.zoho.com/open-view/2395394000008161200?ZOHO_CRITERIA=%22Localiza%20Chile%22.%22Codreg%22%3D"&amp;Agencia[[#This Row],[Filtro URL]])</f>
        <v>https://analytics.zoho.com/open-view/2395394000008161200?ZOHO_CRITERIA=%22Localiza%20Chile%22.%22Codreg%22%3D8</v>
      </c>
      <c r="T20" s="108" t="str">
        <f>"100-R-"&amp;Agencia[[#This Row],[Filtro URL]]</f>
        <v>100-R-8</v>
      </c>
      <c r="U20" s="94" t="str">
        <f>+U12</f>
        <v>#1774B9</v>
      </c>
      <c r="V20" s="93" t="str">
        <f>+Agencia[[#This Row],[idcoleccion]]&amp;"-"&amp;Agencia[[#This Row],[id]]</f>
        <v>990-0009</v>
      </c>
      <c r="W20" s="93">
        <f>+VLOOKUP(Agencia[[#This Row],[Filtro URL]],Estructura!$X$4:$Y$500,2,0)</f>
        <v>99200008</v>
      </c>
      <c r="X20" s="93" t="str">
        <f>+VLOOKUP(Agencia[[#This Row],[tema]],Estructura!$A$4:$C$500,3,0)</f>
        <v>T-993</v>
      </c>
      <c r="Y20" s="93" t="str">
        <f>+VLOOKUP(Agencia[[#This Row],[contenido]],Estructura!$E$4:$G$500,3,0)</f>
        <v>C-995</v>
      </c>
      <c r="Z20" s="93" t="str">
        <f>+VLOOKUP(Agencia[[#This Row],[Filtro Integrado]],Estructura!$I$4:$K$500,3,0)</f>
        <v>FI-993</v>
      </c>
      <c r="AA20" s="93" t="str">
        <f>+VLOOKUP(Agencia[[#This Row],[Muestra]],Estructura!$M$4:$O$500,3,0)</f>
        <v>M-1030</v>
      </c>
    </row>
    <row r="21" spans="1:27" ht="57.6" x14ac:dyDescent="0.3">
      <c r="A21" s="21" t="s">
        <v>412</v>
      </c>
      <c r="B21" s="9">
        <f t="shared" si="0"/>
        <v>990</v>
      </c>
      <c r="C21" s="10" t="str">
        <f t="shared" si="1"/>
        <v>Agencia Información</v>
      </c>
      <c r="D21" s="67" t="str">
        <f t="shared" si="2"/>
        <v>Socioeconómico</v>
      </c>
      <c r="E21" s="19">
        <v>9</v>
      </c>
      <c r="F21" s="10" t="s">
        <v>1838</v>
      </c>
      <c r="G21" s="18" t="s">
        <v>1876</v>
      </c>
      <c r="H21" s="33" t="str">
        <f t="shared" si="4"/>
        <v>Región</v>
      </c>
      <c r="I21" s="34" t="s">
        <v>376</v>
      </c>
      <c r="J21" s="9" t="s">
        <v>403</v>
      </c>
      <c r="K21" s="9" t="str">
        <f t="shared" si="3"/>
        <v>Ingresos Promedio Mensual</v>
      </c>
      <c r="L21" s="9" t="str">
        <f t="shared" si="5"/>
        <v>Periodo 2006-2017</v>
      </c>
      <c r="M21" s="9" t="str">
        <f t="shared" si="6"/>
        <v>CLP/mes</v>
      </c>
      <c r="N21" s="9" t="str">
        <f t="shared" si="7"/>
        <v>Encuestas CASEN</v>
      </c>
      <c r="O21" s="11" t="str">
        <f>"Evolución de Ingreso Promedio Mensual en la "&amp;Agencia[[#This Row],[territorio]]&amp;" para el "&amp;Agencia[[#This Row],[temporalidad]]</f>
        <v>Evolución de Ingreso Promedio Mensual en la Región de La Araucanía para el Periodo 2006-2017</v>
      </c>
      <c r="P21" s="112" t="s">
        <v>5834</v>
      </c>
      <c r="Q21" s="11" t="str">
        <f>+Q12</f>
        <v>Gráfico de Evolución</v>
      </c>
      <c r="R21" s="144" t="str">
        <f>Agencia[[#This Row],[territorio]]&amp;",ingresos,ingreso,encuesta,CASEN,ingreso mensual,ingreso promedio,"&amp;Agencia[[#This Row],[coleccion]]&amp;","&amp;Agencia[[#This Row],[sector]]&amp;","&amp;Agencia[[#This Row],[tema]]&amp;","&amp;Agencia[[#This Row],[contenido]]</f>
        <v>Región de La Araucanía,ingresos,ingreso,encuesta,CASEN,ingreso mensual,ingreso promedio,Agencia Información,Socioeconómico,Ingreso Promedio Regional,Ingresos Históricos</v>
      </c>
      <c r="S21" s="37" t="str">
        <f>HYPERLINK("https://analytics.zoho.com/open-view/2395394000008161200?ZOHO_CRITERIA=%22Localiza%20Chile%22.%22Codreg%22%3D"&amp;Agencia[[#This Row],[Filtro URL]])</f>
        <v>https://analytics.zoho.com/open-view/2395394000008161200?ZOHO_CRITERIA=%22Localiza%20Chile%22.%22Codreg%22%3D9</v>
      </c>
      <c r="T21" s="108" t="str">
        <f>"100-R-"&amp;Agencia[[#This Row],[Filtro URL]]</f>
        <v>100-R-9</v>
      </c>
      <c r="U21" s="94" t="str">
        <f>+U12</f>
        <v>#1774B9</v>
      </c>
      <c r="V21" s="93" t="str">
        <f>+Agencia[[#This Row],[idcoleccion]]&amp;"-"&amp;Agencia[[#This Row],[id]]</f>
        <v>990-0010</v>
      </c>
      <c r="W21" s="93">
        <f>+VLOOKUP(Agencia[[#This Row],[Filtro URL]],Estructura!$X$4:$Y$500,2,0)</f>
        <v>99200009</v>
      </c>
      <c r="X21" s="93" t="str">
        <f>+VLOOKUP(Agencia[[#This Row],[tema]],Estructura!$A$4:$C$500,3,0)</f>
        <v>T-993</v>
      </c>
      <c r="Y21" s="93" t="str">
        <f>+VLOOKUP(Agencia[[#This Row],[contenido]],Estructura!$E$4:$G$500,3,0)</f>
        <v>C-995</v>
      </c>
      <c r="Z21" s="93" t="str">
        <f>+VLOOKUP(Agencia[[#This Row],[Filtro Integrado]],Estructura!$I$4:$K$500,3,0)</f>
        <v>FI-993</v>
      </c>
      <c r="AA21" s="93" t="str">
        <f>+VLOOKUP(Agencia[[#This Row],[Muestra]],Estructura!$M$4:$O$500,3,0)</f>
        <v>M-1030</v>
      </c>
    </row>
    <row r="22" spans="1:27" ht="57.6" x14ac:dyDescent="0.3">
      <c r="A22" s="21" t="s">
        <v>413</v>
      </c>
      <c r="B22" s="9">
        <f t="shared" si="0"/>
        <v>990</v>
      </c>
      <c r="C22" s="10" t="str">
        <f t="shared" si="1"/>
        <v>Agencia Información</v>
      </c>
      <c r="D22" s="67" t="str">
        <f t="shared" si="2"/>
        <v>Socioeconómico</v>
      </c>
      <c r="E22" s="19">
        <v>10</v>
      </c>
      <c r="F22" s="10" t="s">
        <v>1838</v>
      </c>
      <c r="G22" s="18" t="s">
        <v>1876</v>
      </c>
      <c r="H22" s="33" t="str">
        <f t="shared" si="4"/>
        <v>Región</v>
      </c>
      <c r="I22" s="34" t="s">
        <v>377</v>
      </c>
      <c r="J22" s="9" t="s">
        <v>403</v>
      </c>
      <c r="K22" s="9" t="str">
        <f t="shared" si="3"/>
        <v>Ingresos Promedio Mensual</v>
      </c>
      <c r="L22" s="9" t="str">
        <f t="shared" si="5"/>
        <v>Periodo 2006-2017</v>
      </c>
      <c r="M22" s="9" t="str">
        <f t="shared" si="6"/>
        <v>CLP/mes</v>
      </c>
      <c r="N22" s="9" t="str">
        <f t="shared" si="7"/>
        <v>Encuestas CASEN</v>
      </c>
      <c r="O22" s="11" t="str">
        <f>"Evolución de Ingreso Promedio Mensual en la "&amp;Agencia[[#This Row],[territorio]]&amp;" para el "&amp;Agencia[[#This Row],[temporalidad]]</f>
        <v>Evolución de Ingreso Promedio Mensual en la Región de Los Lagos para el Periodo 2006-2017</v>
      </c>
      <c r="P22" s="112" t="s">
        <v>5845</v>
      </c>
      <c r="Q22" s="11" t="str">
        <f>+Q12</f>
        <v>Gráfico de Evolución</v>
      </c>
      <c r="R22" s="144" t="str">
        <f>Agencia[[#This Row],[territorio]]&amp;",ingresos,ingreso,encuesta,CASEN,ingreso mensual,ingreso promedio,"&amp;Agencia[[#This Row],[coleccion]]&amp;","&amp;Agencia[[#This Row],[sector]]&amp;","&amp;Agencia[[#This Row],[tema]]&amp;","&amp;Agencia[[#This Row],[contenido]]</f>
        <v>Región de Los Lagos,ingresos,ingreso,encuesta,CASEN,ingreso mensual,ingreso promedio,Agencia Información,Socioeconómico,Ingreso Promedio Regional,Ingresos Históricos</v>
      </c>
      <c r="S22" s="37" t="str">
        <f>HYPERLINK("https://analytics.zoho.com/open-view/2395394000008161200?ZOHO_CRITERIA=%22Localiza%20Chile%22.%22Codreg%22%3D"&amp;Agencia[[#This Row],[Filtro URL]])</f>
        <v>https://analytics.zoho.com/open-view/2395394000008161200?ZOHO_CRITERIA=%22Localiza%20Chile%22.%22Codreg%22%3D10</v>
      </c>
      <c r="T22" s="108" t="str">
        <f>"100-R-"&amp;Agencia[[#This Row],[Filtro URL]]</f>
        <v>100-R-10</v>
      </c>
      <c r="U22" s="94" t="str">
        <f>+U12</f>
        <v>#1774B9</v>
      </c>
      <c r="V22" s="93" t="str">
        <f>+Agencia[[#This Row],[idcoleccion]]&amp;"-"&amp;Agencia[[#This Row],[id]]</f>
        <v>990-0011</v>
      </c>
      <c r="W22" s="93">
        <f>+VLOOKUP(Agencia[[#This Row],[Filtro URL]],Estructura!$X$4:$Y$500,2,0)</f>
        <v>99200010</v>
      </c>
      <c r="X22" s="93" t="str">
        <f>+VLOOKUP(Agencia[[#This Row],[tema]],Estructura!$A$4:$C$500,3,0)</f>
        <v>T-993</v>
      </c>
      <c r="Y22" s="93" t="str">
        <f>+VLOOKUP(Agencia[[#This Row],[contenido]],Estructura!$E$4:$G$500,3,0)</f>
        <v>C-995</v>
      </c>
      <c r="Z22" s="93" t="str">
        <f>+VLOOKUP(Agencia[[#This Row],[Filtro Integrado]],Estructura!$I$4:$K$500,3,0)</f>
        <v>FI-993</v>
      </c>
      <c r="AA22" s="93" t="str">
        <f>+VLOOKUP(Agencia[[#This Row],[Muestra]],Estructura!$M$4:$O$500,3,0)</f>
        <v>M-1030</v>
      </c>
    </row>
    <row r="23" spans="1:27" ht="54.6" customHeight="1" x14ac:dyDescent="0.3">
      <c r="A23" s="21" t="s">
        <v>414</v>
      </c>
      <c r="B23" s="9">
        <f t="shared" si="0"/>
        <v>990</v>
      </c>
      <c r="C23" s="10" t="str">
        <f t="shared" si="1"/>
        <v>Agencia Información</v>
      </c>
      <c r="D23" s="67" t="str">
        <f t="shared" si="2"/>
        <v>Socioeconómico</v>
      </c>
      <c r="E23" s="19">
        <v>11</v>
      </c>
      <c r="F23" s="10" t="s">
        <v>1838</v>
      </c>
      <c r="G23" s="18" t="s">
        <v>1876</v>
      </c>
      <c r="H23" s="33" t="str">
        <f t="shared" si="4"/>
        <v>Región</v>
      </c>
      <c r="I23" s="34" t="s">
        <v>378</v>
      </c>
      <c r="J23" s="9" t="s">
        <v>403</v>
      </c>
      <c r="K23" s="9" t="str">
        <f t="shared" si="3"/>
        <v>Ingresos Promedio Mensual</v>
      </c>
      <c r="L23" s="9" t="str">
        <f t="shared" si="5"/>
        <v>Periodo 2006-2017</v>
      </c>
      <c r="M23" s="9" t="str">
        <f t="shared" si="6"/>
        <v>CLP/mes</v>
      </c>
      <c r="N23" s="9" t="str">
        <f t="shared" si="7"/>
        <v>Encuestas CASEN</v>
      </c>
      <c r="O23" s="11" t="str">
        <f>"Evolución de Ingreso Promedio Mensual en la "&amp;Agencia[[#This Row],[territorio]]&amp;" para el "&amp;Agencia[[#This Row],[temporalidad]]</f>
        <v>Evolución de Ingreso Promedio Mensual en la Región de Aysén para el Periodo 2006-2017</v>
      </c>
      <c r="P23" s="112" t="s">
        <v>5846</v>
      </c>
      <c r="Q23" s="11" t="str">
        <f>+Q12</f>
        <v>Gráfico de Evolución</v>
      </c>
      <c r="R23" s="144" t="str">
        <f>Agencia[[#This Row],[territorio]]&amp;",ingresos,ingreso,encuesta,CASEN,ingreso mensual,ingreso promedio,"&amp;Agencia[[#This Row],[coleccion]]&amp;","&amp;Agencia[[#This Row],[sector]]&amp;","&amp;Agencia[[#This Row],[tema]]&amp;","&amp;Agencia[[#This Row],[contenido]]</f>
        <v>Región de Aysén,ingresos,ingreso,encuesta,CASEN,ingreso mensual,ingreso promedio,Agencia Información,Socioeconómico,Ingreso Promedio Regional,Ingresos Históricos</v>
      </c>
      <c r="S23" s="37" t="str">
        <f>HYPERLINK("https://analytics.zoho.com/open-view/2395394000008161200?ZOHO_CRITERIA=%22Localiza%20Chile%22.%22Codreg%22%3D"&amp;Agencia[[#This Row],[Filtro URL]])</f>
        <v>https://analytics.zoho.com/open-view/2395394000008161200?ZOHO_CRITERIA=%22Localiza%20Chile%22.%22Codreg%22%3D11</v>
      </c>
      <c r="T23" s="108" t="str">
        <f>"100-R-"&amp;Agencia[[#This Row],[Filtro URL]]</f>
        <v>100-R-11</v>
      </c>
      <c r="U23" s="94" t="str">
        <f>+U12</f>
        <v>#1774B9</v>
      </c>
      <c r="V23" s="93" t="str">
        <f>+Agencia[[#This Row],[idcoleccion]]&amp;"-"&amp;Agencia[[#This Row],[id]]</f>
        <v>990-0012</v>
      </c>
      <c r="W23" s="93">
        <f>+VLOOKUP(Agencia[[#This Row],[Filtro URL]],Estructura!$X$4:$Y$500,2,0)</f>
        <v>99200011</v>
      </c>
      <c r="X23" s="93" t="str">
        <f>+VLOOKUP(Agencia[[#This Row],[tema]],Estructura!$A$4:$C$500,3,0)</f>
        <v>T-993</v>
      </c>
      <c r="Y23" s="93" t="str">
        <f>+VLOOKUP(Agencia[[#This Row],[contenido]],Estructura!$E$4:$G$500,3,0)</f>
        <v>C-995</v>
      </c>
      <c r="Z23" s="93" t="str">
        <f>+VLOOKUP(Agencia[[#This Row],[Filtro Integrado]],Estructura!$I$4:$K$500,3,0)</f>
        <v>FI-993</v>
      </c>
      <c r="AA23" s="93" t="str">
        <f>+VLOOKUP(Agencia[[#This Row],[Muestra]],Estructura!$M$4:$O$500,3,0)</f>
        <v>M-1030</v>
      </c>
    </row>
    <row r="24" spans="1:27" ht="57.6" x14ac:dyDescent="0.3">
      <c r="A24" s="21" t="s">
        <v>415</v>
      </c>
      <c r="B24" s="9">
        <f t="shared" si="0"/>
        <v>990</v>
      </c>
      <c r="C24" s="10" t="str">
        <f t="shared" si="1"/>
        <v>Agencia Información</v>
      </c>
      <c r="D24" s="67" t="str">
        <f t="shared" si="2"/>
        <v>Socioeconómico</v>
      </c>
      <c r="E24" s="19">
        <v>12</v>
      </c>
      <c r="F24" s="10" t="s">
        <v>1838</v>
      </c>
      <c r="G24" s="18" t="s">
        <v>1876</v>
      </c>
      <c r="H24" s="33" t="str">
        <f t="shared" si="4"/>
        <v>Región</v>
      </c>
      <c r="I24" s="34" t="s">
        <v>379</v>
      </c>
      <c r="J24" s="9" t="s">
        <v>403</v>
      </c>
      <c r="K24" s="9" t="str">
        <f t="shared" si="3"/>
        <v>Ingresos Promedio Mensual</v>
      </c>
      <c r="L24" s="9" t="str">
        <f t="shared" si="5"/>
        <v>Periodo 2006-2017</v>
      </c>
      <c r="M24" s="9" t="str">
        <f t="shared" si="6"/>
        <v>CLP/mes</v>
      </c>
      <c r="N24" s="9" t="str">
        <f t="shared" si="7"/>
        <v>Encuestas CASEN</v>
      </c>
      <c r="O24" s="11" t="str">
        <f>"Evolución de Ingreso Promedio Mensual en la "&amp;Agencia[[#This Row],[territorio]]&amp;" para el "&amp;Agencia[[#This Row],[temporalidad]]</f>
        <v>Evolución de Ingreso Promedio Mensual en la Región de Magallanes para el Periodo 2006-2017</v>
      </c>
      <c r="P24" s="112" t="s">
        <v>5835</v>
      </c>
      <c r="Q24" s="11" t="str">
        <f>+Q12</f>
        <v>Gráfico de Evolución</v>
      </c>
      <c r="R24" s="144" t="str">
        <f>Agencia[[#This Row],[territorio]]&amp;",ingresos,ingreso,encuesta,CASEN,ingreso mensual,ingreso promedio,"&amp;Agencia[[#This Row],[coleccion]]&amp;","&amp;Agencia[[#This Row],[sector]]&amp;","&amp;Agencia[[#This Row],[tema]]&amp;","&amp;Agencia[[#This Row],[contenido]]</f>
        <v>Región de Magallanes,ingresos,ingreso,encuesta,CASEN,ingreso mensual,ingreso promedio,Agencia Información,Socioeconómico,Ingreso Promedio Regional,Ingresos Históricos</v>
      </c>
      <c r="S24" s="37" t="str">
        <f>HYPERLINK("https://analytics.zoho.com/open-view/2395394000008161200?ZOHO_CRITERIA=%22Localiza%20Chile%22.%22Codreg%22%3D"&amp;Agencia[[#This Row],[Filtro URL]])</f>
        <v>https://analytics.zoho.com/open-view/2395394000008161200?ZOHO_CRITERIA=%22Localiza%20Chile%22.%22Codreg%22%3D12</v>
      </c>
      <c r="T24" s="108" t="str">
        <f>"100-R-"&amp;Agencia[[#This Row],[Filtro URL]]</f>
        <v>100-R-12</v>
      </c>
      <c r="U24" s="94" t="str">
        <f>+U12</f>
        <v>#1774B9</v>
      </c>
      <c r="V24" s="93" t="str">
        <f>+Agencia[[#This Row],[idcoleccion]]&amp;"-"&amp;Agencia[[#This Row],[id]]</f>
        <v>990-0013</v>
      </c>
      <c r="W24" s="93">
        <f>+VLOOKUP(Agencia[[#This Row],[Filtro URL]],Estructura!$X$4:$Y$500,2,0)</f>
        <v>99200012</v>
      </c>
      <c r="X24" s="93" t="str">
        <f>+VLOOKUP(Agencia[[#This Row],[tema]],Estructura!$A$4:$C$500,3,0)</f>
        <v>T-993</v>
      </c>
      <c r="Y24" s="93" t="str">
        <f>+VLOOKUP(Agencia[[#This Row],[contenido]],Estructura!$E$4:$G$500,3,0)</f>
        <v>C-995</v>
      </c>
      <c r="Z24" s="93" t="str">
        <f>+VLOOKUP(Agencia[[#This Row],[Filtro Integrado]],Estructura!$I$4:$K$500,3,0)</f>
        <v>FI-993</v>
      </c>
      <c r="AA24" s="93" t="str">
        <f>+VLOOKUP(Agencia[[#This Row],[Muestra]],Estructura!$M$4:$O$500,3,0)</f>
        <v>M-1030</v>
      </c>
    </row>
    <row r="25" spans="1:27" ht="57.6" x14ac:dyDescent="0.3">
      <c r="A25" s="21" t="s">
        <v>416</v>
      </c>
      <c r="B25" s="9">
        <f t="shared" si="0"/>
        <v>990</v>
      </c>
      <c r="C25" s="10" t="str">
        <f t="shared" si="1"/>
        <v>Agencia Información</v>
      </c>
      <c r="D25" s="67" t="str">
        <f t="shared" si="2"/>
        <v>Socioeconómico</v>
      </c>
      <c r="E25" s="19">
        <v>13</v>
      </c>
      <c r="F25" s="10" t="s">
        <v>1838</v>
      </c>
      <c r="G25" s="18" t="s">
        <v>1876</v>
      </c>
      <c r="H25" s="33" t="str">
        <f t="shared" si="4"/>
        <v>Región</v>
      </c>
      <c r="I25" s="34" t="s">
        <v>380</v>
      </c>
      <c r="J25" s="9" t="s">
        <v>403</v>
      </c>
      <c r="K25" s="9" t="str">
        <f t="shared" si="3"/>
        <v>Ingresos Promedio Mensual</v>
      </c>
      <c r="L25" s="9" t="str">
        <f t="shared" si="5"/>
        <v>Periodo 2006-2017</v>
      </c>
      <c r="M25" s="9" t="str">
        <f t="shared" si="6"/>
        <v>CLP/mes</v>
      </c>
      <c r="N25" s="9" t="str">
        <f t="shared" si="7"/>
        <v>Encuestas CASEN</v>
      </c>
      <c r="O25" s="11" t="str">
        <f>"Evolución de Ingreso Promedio Mensual en la "&amp;Agencia[[#This Row],[territorio]]&amp;" para el "&amp;Agencia[[#This Row],[temporalidad]]</f>
        <v>Evolución de Ingreso Promedio Mensual en la Región Metropolitana para el Periodo 2006-2017</v>
      </c>
      <c r="P25" s="112" t="s">
        <v>5836</v>
      </c>
      <c r="Q25" s="11" t="str">
        <f>+Q12</f>
        <v>Gráfico de Evolución</v>
      </c>
      <c r="R25" s="144" t="str">
        <f>Agencia[[#This Row],[territorio]]&amp;",ingresos,ingreso,encuesta,CASEN,ingreso mensual,ingreso promedio,"&amp;Agencia[[#This Row],[coleccion]]&amp;","&amp;Agencia[[#This Row],[sector]]&amp;","&amp;Agencia[[#This Row],[tema]]&amp;","&amp;Agencia[[#This Row],[contenido]]</f>
        <v>Región Metropolitana,ingresos,ingreso,encuesta,CASEN,ingreso mensual,ingreso promedio,Agencia Información,Socioeconómico,Ingreso Promedio Regional,Ingresos Históricos</v>
      </c>
      <c r="S25" s="37" t="str">
        <f>HYPERLINK("https://analytics.zoho.com/open-view/2395394000008161200?ZOHO_CRITERIA=%22Localiza%20Chile%22.%22Codreg%22%3D"&amp;Agencia[[#This Row],[Filtro URL]])</f>
        <v>https://analytics.zoho.com/open-view/2395394000008161200?ZOHO_CRITERIA=%22Localiza%20Chile%22.%22Codreg%22%3D13</v>
      </c>
      <c r="T25" s="108" t="str">
        <f>"200-R-"&amp;Agencia[[#This Row],[Filtro URL]]</f>
        <v>200-R-13</v>
      </c>
      <c r="U25" s="94" t="str">
        <f>+U12</f>
        <v>#1774B9</v>
      </c>
      <c r="V25" s="93" t="str">
        <f>+Agencia[[#This Row],[idcoleccion]]&amp;"-"&amp;Agencia[[#This Row],[id]]</f>
        <v>990-0014</v>
      </c>
      <c r="W25" s="93">
        <f>+VLOOKUP(Agencia[[#This Row],[Filtro URL]],Estructura!$X$4:$Y$500,2,0)</f>
        <v>99200013</v>
      </c>
      <c r="X25" s="93" t="str">
        <f>+VLOOKUP(Agencia[[#This Row],[tema]],Estructura!$A$4:$C$500,3,0)</f>
        <v>T-993</v>
      </c>
      <c r="Y25" s="93" t="str">
        <f>+VLOOKUP(Agencia[[#This Row],[contenido]],Estructura!$E$4:$G$500,3,0)</f>
        <v>C-995</v>
      </c>
      <c r="Z25" s="93" t="str">
        <f>+VLOOKUP(Agencia[[#This Row],[Filtro Integrado]],Estructura!$I$4:$K$500,3,0)</f>
        <v>FI-993</v>
      </c>
      <c r="AA25" s="93" t="str">
        <f>+VLOOKUP(Agencia[[#This Row],[Muestra]],Estructura!$M$4:$O$500,3,0)</f>
        <v>M-1030</v>
      </c>
    </row>
    <row r="26" spans="1:27" ht="57.6" x14ac:dyDescent="0.3">
      <c r="A26" s="21" t="s">
        <v>417</v>
      </c>
      <c r="B26" s="9">
        <f t="shared" si="0"/>
        <v>990</v>
      </c>
      <c r="C26" s="10" t="str">
        <f t="shared" si="1"/>
        <v>Agencia Información</v>
      </c>
      <c r="D26" s="67" t="str">
        <f t="shared" si="2"/>
        <v>Socioeconómico</v>
      </c>
      <c r="E26" s="19">
        <v>14</v>
      </c>
      <c r="F26" s="10" t="s">
        <v>1838</v>
      </c>
      <c r="G26" s="18" t="s">
        <v>1876</v>
      </c>
      <c r="H26" s="33" t="str">
        <f t="shared" si="4"/>
        <v>Región</v>
      </c>
      <c r="I26" s="34" t="s">
        <v>381</v>
      </c>
      <c r="J26" s="9" t="s">
        <v>403</v>
      </c>
      <c r="K26" s="9" t="str">
        <f t="shared" si="3"/>
        <v>Ingresos Promedio Mensual</v>
      </c>
      <c r="L26" s="9" t="str">
        <f t="shared" si="5"/>
        <v>Periodo 2006-2017</v>
      </c>
      <c r="M26" s="9" t="str">
        <f t="shared" si="6"/>
        <v>CLP/mes</v>
      </c>
      <c r="N26" s="9" t="str">
        <f t="shared" si="7"/>
        <v>Encuestas CASEN</v>
      </c>
      <c r="O26" s="11" t="str">
        <f>"Evolución de Ingreso Promedio Mensual en la "&amp;Agencia[[#This Row],[territorio]]&amp;" para el "&amp;Agencia[[#This Row],[temporalidad]]</f>
        <v>Evolución de Ingreso Promedio Mensual en la Región de Los Ríos para el Periodo 2006-2017</v>
      </c>
      <c r="P26" s="112" t="s">
        <v>5837</v>
      </c>
      <c r="Q26" s="11" t="str">
        <f>+Q12</f>
        <v>Gráfico de Evolución</v>
      </c>
      <c r="R26" s="144" t="str">
        <f>Agencia[[#This Row],[territorio]]&amp;",ingresos,ingreso,encuesta,CASEN,ingreso mensual,ingreso promedio,"&amp;Agencia[[#This Row],[coleccion]]&amp;","&amp;Agencia[[#This Row],[sector]]&amp;","&amp;Agencia[[#This Row],[tema]]&amp;","&amp;Agencia[[#This Row],[contenido]]</f>
        <v>Región de Los Ríos,ingresos,ingreso,encuesta,CASEN,ingreso mensual,ingreso promedio,Agencia Información,Socioeconómico,Ingreso Promedio Regional,Ingresos Históricos</v>
      </c>
      <c r="S26" s="37" t="str">
        <f>HYPERLINK("https://analytics.zoho.com/open-view/2395394000008161200?ZOHO_CRITERIA=%22Localiza%20Chile%22.%22Codreg%22%3D"&amp;Agencia[[#This Row],[Filtro URL]])</f>
        <v>https://analytics.zoho.com/open-view/2395394000008161200?ZOHO_CRITERIA=%22Localiza%20Chile%22.%22Codreg%22%3D14</v>
      </c>
      <c r="T26" s="108" t="str">
        <f>"100-R-"&amp;Agencia[[#This Row],[Filtro URL]]</f>
        <v>100-R-14</v>
      </c>
      <c r="U26" s="94" t="str">
        <f>+U12</f>
        <v>#1774B9</v>
      </c>
      <c r="V26" s="93" t="str">
        <f>+Agencia[[#This Row],[idcoleccion]]&amp;"-"&amp;Agencia[[#This Row],[id]]</f>
        <v>990-0015</v>
      </c>
      <c r="W26" s="93">
        <f>+VLOOKUP(Agencia[[#This Row],[Filtro URL]],Estructura!$X$4:$Y$500,2,0)</f>
        <v>99200014</v>
      </c>
      <c r="X26" s="93" t="str">
        <f>+VLOOKUP(Agencia[[#This Row],[tema]],Estructura!$A$4:$C$500,3,0)</f>
        <v>T-993</v>
      </c>
      <c r="Y26" s="93" t="str">
        <f>+VLOOKUP(Agencia[[#This Row],[contenido]],Estructura!$E$4:$G$500,3,0)</f>
        <v>C-995</v>
      </c>
      <c r="Z26" s="93" t="str">
        <f>+VLOOKUP(Agencia[[#This Row],[Filtro Integrado]],Estructura!$I$4:$K$500,3,0)</f>
        <v>FI-993</v>
      </c>
      <c r="AA26" s="93" t="str">
        <f>+VLOOKUP(Agencia[[#This Row],[Muestra]],Estructura!$M$4:$O$500,3,0)</f>
        <v>M-1030</v>
      </c>
    </row>
    <row r="27" spans="1:27" ht="57.6" x14ac:dyDescent="0.3">
      <c r="A27" s="21" t="s">
        <v>418</v>
      </c>
      <c r="B27" s="9">
        <f t="shared" si="0"/>
        <v>990</v>
      </c>
      <c r="C27" s="10" t="str">
        <f t="shared" si="1"/>
        <v>Agencia Información</v>
      </c>
      <c r="D27" s="67" t="str">
        <f t="shared" si="2"/>
        <v>Socioeconómico</v>
      </c>
      <c r="E27" s="19">
        <v>15</v>
      </c>
      <c r="F27" s="10" t="s">
        <v>1838</v>
      </c>
      <c r="G27" s="18" t="s">
        <v>1876</v>
      </c>
      <c r="H27" s="33" t="str">
        <f t="shared" si="4"/>
        <v>Región</v>
      </c>
      <c r="I27" s="34" t="s">
        <v>382</v>
      </c>
      <c r="J27" s="9" t="s">
        <v>403</v>
      </c>
      <c r="K27" s="9" t="str">
        <f t="shared" si="3"/>
        <v>Ingresos Promedio Mensual</v>
      </c>
      <c r="L27" s="9" t="str">
        <f t="shared" si="5"/>
        <v>Periodo 2006-2017</v>
      </c>
      <c r="M27" s="9" t="str">
        <f t="shared" si="6"/>
        <v>CLP/mes</v>
      </c>
      <c r="N27" s="9" t="str">
        <f t="shared" si="7"/>
        <v>Encuestas CASEN</v>
      </c>
      <c r="O27" s="11" t="str">
        <f>"Evolución de Ingreso Promedio Mensual en la "&amp;Agencia[[#This Row],[territorio]]&amp;" para el "&amp;Agencia[[#This Row],[temporalidad]]</f>
        <v>Evolución de Ingreso Promedio Mensual en la Región de Arica y Parinacota para el Periodo 2006-2017</v>
      </c>
      <c r="P27" s="112" t="s">
        <v>5847</v>
      </c>
      <c r="Q27" s="11" t="str">
        <f>+Q12</f>
        <v>Gráfico de Evolución</v>
      </c>
      <c r="R27" s="144" t="str">
        <f>Agencia[[#This Row],[territorio]]&amp;",ingresos,ingreso,encuesta,CASEN,ingreso mensual,ingreso promedio,"&amp;Agencia[[#This Row],[coleccion]]&amp;","&amp;Agencia[[#This Row],[sector]]&amp;","&amp;Agencia[[#This Row],[tema]]&amp;","&amp;Agencia[[#This Row],[contenido]]</f>
        <v>Región de Arica y Parinacota,ingresos,ingreso,encuesta,CASEN,ingreso mensual,ingreso promedio,Agencia Información,Socioeconómico,Ingreso Promedio Regional,Ingresos Históricos</v>
      </c>
      <c r="S27" s="37" t="str">
        <f>HYPERLINK("https://analytics.zoho.com/open-view/2395394000008161200?ZOHO_CRITERIA=%22Localiza%20Chile%22.%22Codreg%22%3D"&amp;Agencia[[#This Row],[Filtro URL]])</f>
        <v>https://analytics.zoho.com/open-view/2395394000008161200?ZOHO_CRITERIA=%22Localiza%20Chile%22.%22Codreg%22%3D15</v>
      </c>
      <c r="T27" s="108" t="str">
        <f>"100-R-"&amp;Agencia[[#This Row],[Filtro URL]]</f>
        <v>100-R-15</v>
      </c>
      <c r="U27" s="94" t="str">
        <f>+U12</f>
        <v>#1774B9</v>
      </c>
      <c r="V27" s="93" t="str">
        <f>+Agencia[[#This Row],[idcoleccion]]&amp;"-"&amp;Agencia[[#This Row],[id]]</f>
        <v>990-0016</v>
      </c>
      <c r="W27" s="93">
        <f>+VLOOKUP(Agencia[[#This Row],[Filtro URL]],Estructura!$X$4:$Y$500,2,0)</f>
        <v>99200015</v>
      </c>
      <c r="X27" s="93" t="str">
        <f>+VLOOKUP(Agencia[[#This Row],[tema]],Estructura!$A$4:$C$500,3,0)</f>
        <v>T-993</v>
      </c>
      <c r="Y27" s="93" t="str">
        <f>+VLOOKUP(Agencia[[#This Row],[contenido]],Estructura!$E$4:$G$500,3,0)</f>
        <v>C-995</v>
      </c>
      <c r="Z27" s="93" t="str">
        <f>+VLOOKUP(Agencia[[#This Row],[Filtro Integrado]],Estructura!$I$4:$K$500,3,0)</f>
        <v>FI-993</v>
      </c>
      <c r="AA27" s="93" t="str">
        <f>+VLOOKUP(Agencia[[#This Row],[Muestra]],Estructura!$M$4:$O$500,3,0)</f>
        <v>M-1030</v>
      </c>
    </row>
    <row r="28" spans="1:27" ht="57.6" x14ac:dyDescent="0.3">
      <c r="A28" s="21" t="s">
        <v>419</v>
      </c>
      <c r="B28" s="9">
        <f t="shared" si="0"/>
        <v>990</v>
      </c>
      <c r="C28" s="10" t="str">
        <f t="shared" si="1"/>
        <v>Agencia Información</v>
      </c>
      <c r="D28" s="67" t="str">
        <f t="shared" si="2"/>
        <v>Socioeconómico</v>
      </c>
      <c r="E28" s="19">
        <v>16</v>
      </c>
      <c r="F28" s="10" t="s">
        <v>1838</v>
      </c>
      <c r="G28" s="18" t="s">
        <v>1876</v>
      </c>
      <c r="H28" s="33" t="str">
        <f t="shared" si="4"/>
        <v>Región</v>
      </c>
      <c r="I28" s="34" t="s">
        <v>383</v>
      </c>
      <c r="J28" s="9" t="s">
        <v>403</v>
      </c>
      <c r="K28" s="9" t="str">
        <f t="shared" si="3"/>
        <v>Ingresos Promedio Mensual</v>
      </c>
      <c r="L28" s="9" t="str">
        <f t="shared" si="5"/>
        <v>Periodo 2006-2017</v>
      </c>
      <c r="M28" s="9" t="str">
        <f t="shared" si="6"/>
        <v>CLP/mes</v>
      </c>
      <c r="N28" s="9" t="str">
        <f t="shared" si="7"/>
        <v>Encuestas CASEN</v>
      </c>
      <c r="O28" s="11" t="str">
        <f>"Evolución de Ingreso Promedio Mensual en la "&amp;Agencia[[#This Row],[territorio]]&amp;" para el "&amp;Agencia[[#This Row],[temporalidad]]</f>
        <v>Evolución de Ingreso Promedio Mensual en la Región de Ñuble para el Periodo 2006-2017</v>
      </c>
      <c r="P28" s="112" t="s">
        <v>5848</v>
      </c>
      <c r="Q28" s="11" t="str">
        <f>+Q12</f>
        <v>Gráfico de Evolución</v>
      </c>
      <c r="R28" s="144" t="str">
        <f>Agencia[[#This Row],[territorio]]&amp;",ingresos,ingreso,encuesta,CASEN,ingreso mensual,ingreso promedio,"&amp;Agencia[[#This Row],[coleccion]]&amp;","&amp;Agencia[[#This Row],[sector]]&amp;","&amp;Agencia[[#This Row],[tema]]&amp;","&amp;Agencia[[#This Row],[contenido]]</f>
        <v>Región de Ñuble,ingresos,ingreso,encuesta,CASEN,ingreso mensual,ingreso promedio,Agencia Información,Socioeconómico,Ingreso Promedio Regional,Ingresos Históricos</v>
      </c>
      <c r="S28" s="37" t="str">
        <f>HYPERLINK("https://analytics.zoho.com/open-view/2395394000008161200?ZOHO_CRITERIA=%22Localiza%20Chile%22.%22Codreg%22%3D"&amp;Agencia[[#This Row],[Filtro URL]])</f>
        <v>https://analytics.zoho.com/open-view/2395394000008161200?ZOHO_CRITERIA=%22Localiza%20Chile%22.%22Codreg%22%3D16</v>
      </c>
      <c r="T28" s="108" t="str">
        <f>"100-R-"&amp;Agencia[[#This Row],[Filtro URL]]</f>
        <v>100-R-16</v>
      </c>
      <c r="U28" s="94" t="str">
        <f>+U12</f>
        <v>#1774B9</v>
      </c>
      <c r="V28" s="93" t="str">
        <f>+Agencia[[#This Row],[idcoleccion]]&amp;"-"&amp;Agencia[[#This Row],[id]]</f>
        <v>990-0017</v>
      </c>
      <c r="W28" s="93">
        <f>+VLOOKUP(Agencia[[#This Row],[Filtro URL]],Estructura!$X$4:$Y$500,2,0)</f>
        <v>99200016</v>
      </c>
      <c r="X28" s="93" t="str">
        <f>+VLOOKUP(Agencia[[#This Row],[tema]],Estructura!$A$4:$C$500,3,0)</f>
        <v>T-993</v>
      </c>
      <c r="Y28" s="93" t="str">
        <f>+VLOOKUP(Agencia[[#This Row],[contenido]],Estructura!$E$4:$G$500,3,0)</f>
        <v>C-995</v>
      </c>
      <c r="Z28" s="93" t="str">
        <f>+VLOOKUP(Agencia[[#This Row],[Filtro Integrado]],Estructura!$I$4:$K$500,3,0)</f>
        <v>FI-993</v>
      </c>
      <c r="AA28" s="93" t="str">
        <f>+VLOOKUP(Agencia[[#This Row],[Muestra]],Estructura!$M$4:$O$500,3,0)</f>
        <v>M-1030</v>
      </c>
    </row>
    <row r="29" spans="1:27" ht="65.400000000000006" customHeight="1" x14ac:dyDescent="0.3">
      <c r="A29" s="21" t="s">
        <v>1399</v>
      </c>
      <c r="B29" s="9">
        <f t="shared" si="0"/>
        <v>990</v>
      </c>
      <c r="C29" s="10" t="str">
        <f t="shared" si="1"/>
        <v>Agencia Información</v>
      </c>
      <c r="D29" s="67" t="s">
        <v>14</v>
      </c>
      <c r="E29" s="14">
        <v>0</v>
      </c>
      <c r="F29" s="10" t="s">
        <v>3606</v>
      </c>
      <c r="G29" s="18" t="s">
        <v>4290</v>
      </c>
      <c r="H29" s="31" t="s">
        <v>20</v>
      </c>
      <c r="I29" s="32" t="s">
        <v>15</v>
      </c>
      <c r="J29" s="9" t="s">
        <v>956</v>
      </c>
      <c r="K29" s="9" t="s">
        <v>9299</v>
      </c>
      <c r="L29" s="9" t="s">
        <v>422</v>
      </c>
      <c r="M29" s="9" t="s">
        <v>2312</v>
      </c>
      <c r="N29" s="9" t="s">
        <v>428</v>
      </c>
      <c r="O29" s="26" t="s">
        <v>424</v>
      </c>
      <c r="P29" s="113" t="s">
        <v>429</v>
      </c>
      <c r="Q29" s="11" t="str">
        <f>+Q12</f>
        <v>Gráfico de Evolución</v>
      </c>
      <c r="R29" s="11" t="str">
        <f>Agencia[[#This Row],[territorio]]&amp;",municipal,puntaje,alumnos,calidad,colegios municipales,colegios privados,colegios particulares,colegios subvencionados,colegios públicos,"&amp;Agencia[[#This Row],[coleccion]]&amp;","&amp;Agencia[[#This Row],[sector]]&amp;","&amp;Agencia[[#This Row],[tema]]&amp;","&amp;Agencia[[#This Row],[contenido]]</f>
        <v>Chile,municipal,puntaje,alumnos,calidad,colegios municipales,colegios privados,colegios particulares,colegios subvencionados,colegios públicos,Agencia Información,Educación,PSU,Métricas de la Educación</v>
      </c>
      <c r="S29" s="83" t="s">
        <v>5337</v>
      </c>
      <c r="T29" s="108" t="s">
        <v>957</v>
      </c>
      <c r="U29" s="92" t="str">
        <f>+U12</f>
        <v>#1774B9</v>
      </c>
      <c r="V29" s="93" t="str">
        <f>+Agencia[[#This Row],[idcoleccion]]&amp;"-"&amp;Agencia[[#This Row],[id]]</f>
        <v>990-0018</v>
      </c>
      <c r="W29" s="93">
        <f>+VLOOKUP(Agencia[[#This Row],[Filtro URL]],Estructura!$X$4:$Y$500,2,0)</f>
        <v>99100000</v>
      </c>
      <c r="X29" s="93" t="str">
        <f>+VLOOKUP(Agencia[[#This Row],[tema]],Estructura!$A$4:$C$500,3,0)</f>
        <v>T-1049</v>
      </c>
      <c r="Y29" s="93" t="str">
        <f>+VLOOKUP(Agencia[[#This Row],[contenido]],Estructura!$E$4:$G$500,3,0)</f>
        <v>C-1018</v>
      </c>
      <c r="Z29" s="93" t="str">
        <f>+VLOOKUP(Agencia[[#This Row],[Filtro Integrado]],Estructura!$I$4:$K$500,3,0)</f>
        <v>FI-994</v>
      </c>
      <c r="AA29" s="93" t="str">
        <f>+VLOOKUP(Agencia[[#This Row],[Muestra]],Estructura!$M$4:$O$500,3,0)</f>
        <v>M-1031</v>
      </c>
    </row>
    <row r="30" spans="1:27" ht="71.400000000000006" x14ac:dyDescent="0.3">
      <c r="A30" s="21" t="s">
        <v>420</v>
      </c>
      <c r="B30" s="23">
        <f t="shared" ref="B30:D32" si="8">+B29</f>
        <v>990</v>
      </c>
      <c r="C30" s="24" t="str">
        <f t="shared" si="8"/>
        <v>Agencia Información</v>
      </c>
      <c r="D30" s="72" t="str">
        <f t="shared" si="8"/>
        <v>Educación</v>
      </c>
      <c r="E30" s="19">
        <v>1</v>
      </c>
      <c r="F30" s="10" t="s">
        <v>3606</v>
      </c>
      <c r="G30" s="18" t="s">
        <v>4290</v>
      </c>
      <c r="H30" s="33" t="s">
        <v>16</v>
      </c>
      <c r="I30" s="34" t="s">
        <v>368</v>
      </c>
      <c r="J30" s="23" t="s">
        <v>18</v>
      </c>
      <c r="K30" s="142" t="s">
        <v>9299</v>
      </c>
      <c r="L30" s="23" t="str">
        <f t="shared" ref="L30:N32" si="9">+L29</f>
        <v>Periodo 2001-2020</v>
      </c>
      <c r="M30" s="23" t="str">
        <f t="shared" si="9"/>
        <v>Porcentaje</v>
      </c>
      <c r="N30" s="23" t="str">
        <f t="shared" si="9"/>
        <v>Sistema Nacional de Información Municipal</v>
      </c>
      <c r="O30" s="26" t="str">
        <f>"Proporción de Alumnos de 4to Medio con más de 450 puntos en la PSU según dependencia de colegios en la "&amp;Agencia[[#This Row],[territorio]]</f>
        <v>Proporción de Alumnos de 4to Medio con más de 450 puntos en la PSU según dependencia de colegios en la Región de Tarapacá</v>
      </c>
      <c r="P30" s="113" t="s">
        <v>6201</v>
      </c>
      <c r="Q30" s="27" t="str">
        <f>+Q29</f>
        <v>Gráfico de Evolución</v>
      </c>
      <c r="R30"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Tarapacá,municipal,puntaje,alumnos,calidad,colegios municipales,colegios privados,colegios particulares,colegios subvencionados,colegios públicos,Agencia Información,Educación,PSU,Métricas de la Educación</v>
      </c>
      <c r="S30" s="83" t="str">
        <f>HYPERLINK("https://analytics.zoho.com/open-view/2395394000008416648?ZOHO_CRITERIA=%22Localiza%20CL%22.%22Codreg%22%3D"&amp;Agencia[[#This Row],[Filtro URL]])</f>
        <v>https://analytics.zoho.com/open-view/2395394000008416648?ZOHO_CRITERIA=%22Localiza%20CL%22.%22Codreg%22%3D1</v>
      </c>
      <c r="T30" s="111" t="str">
        <f>"100-C-"&amp;Agencia[[#This Row],[Filtro URL]]</f>
        <v>100-C-1</v>
      </c>
      <c r="U30" s="95" t="str">
        <f>+U29</f>
        <v>#1774B9</v>
      </c>
      <c r="V30" s="93" t="str">
        <f>+Agencia[[#This Row],[idcoleccion]]&amp;"-"&amp;Agencia[[#This Row],[id]]</f>
        <v>990-0019</v>
      </c>
      <c r="W30" s="93">
        <f>+VLOOKUP(Agencia[[#This Row],[Filtro URL]],Estructura!$X$4:$Y$500,2,0)</f>
        <v>99200001</v>
      </c>
      <c r="X30" s="93" t="str">
        <f>+VLOOKUP(Agencia[[#This Row],[tema]],Estructura!$A$4:$C$500,3,0)</f>
        <v>T-1049</v>
      </c>
      <c r="Y30" s="93" t="str">
        <f>+VLOOKUP(Agencia[[#This Row],[contenido]],Estructura!$E$4:$G$500,3,0)</f>
        <v>C-1018</v>
      </c>
      <c r="Z30" s="93" t="str">
        <f>+VLOOKUP(Agencia[[#This Row],[Filtro Integrado]],Estructura!$I$4:$K$500,3,0)</f>
        <v>FI-991</v>
      </c>
      <c r="AA30" s="93" t="str">
        <f>+VLOOKUP(Agencia[[#This Row],[Muestra]],Estructura!$M$4:$O$500,3,0)</f>
        <v>M-1031</v>
      </c>
    </row>
    <row r="31" spans="1:27" ht="71.400000000000006" x14ac:dyDescent="0.3">
      <c r="A31" s="21" t="s">
        <v>425</v>
      </c>
      <c r="B31" s="23">
        <f t="shared" si="8"/>
        <v>990</v>
      </c>
      <c r="C31" s="24" t="str">
        <f t="shared" si="8"/>
        <v>Agencia Información</v>
      </c>
      <c r="D31" s="72" t="str">
        <f t="shared" si="8"/>
        <v>Educación</v>
      </c>
      <c r="E31" s="19">
        <v>2</v>
      </c>
      <c r="F31" s="10" t="s">
        <v>3606</v>
      </c>
      <c r="G31" s="18" t="s">
        <v>4290</v>
      </c>
      <c r="H31" s="33" t="str">
        <f>+H30</f>
        <v>Región</v>
      </c>
      <c r="I31" s="34" t="s">
        <v>369</v>
      </c>
      <c r="J31" s="23" t="str">
        <f>+J30</f>
        <v>Comuna</v>
      </c>
      <c r="K31" s="23" t="str">
        <f>+K30</f>
        <v>Alumnos sobre 450 pts</v>
      </c>
      <c r="L31" s="23" t="str">
        <f t="shared" si="9"/>
        <v>Periodo 2001-2020</v>
      </c>
      <c r="M31" s="23" t="str">
        <f t="shared" si="9"/>
        <v>Porcentaje</v>
      </c>
      <c r="N31" s="23" t="str">
        <f t="shared" si="9"/>
        <v>Sistema Nacional de Información Municipal</v>
      </c>
      <c r="O31" s="26" t="str">
        <f>"Proporción de Alumnos de 4to Medio con más de 450 puntos en la PSU según dependencia de colegios en la "&amp;Agencia[[#This Row],[territorio]]</f>
        <v>Proporción de Alumnos de 4to Medio con más de 450 puntos en la PSU según dependencia de colegios en la Región de Antofagasta</v>
      </c>
      <c r="P31" s="112" t="s">
        <v>6202</v>
      </c>
      <c r="Q31" s="11" t="str">
        <f>+Q30</f>
        <v>Gráfico de Evolución</v>
      </c>
      <c r="R31"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Antofagasta,municipal,puntaje,alumnos,calidad,colegios municipales,colegios privados,colegios particulares,colegios subvencionados,colegios públicos,Agencia Información,Educación,PSU,Métricas de la Educación</v>
      </c>
      <c r="S31" s="83" t="str">
        <f>HYPERLINK("https://analytics.zoho.com/open-view/2395394000008416648?ZOHO_CRITERIA=%22Localiza%20CL%22.%22Codreg%22%3D"&amp;Agencia[[#This Row],[Filtro URL]])</f>
        <v>https://analytics.zoho.com/open-view/2395394000008416648?ZOHO_CRITERIA=%22Localiza%20CL%22.%22Codreg%22%3D2</v>
      </c>
      <c r="T31" s="111" t="str">
        <f>"100-C-"&amp;Agencia[[#This Row],[Filtro URL]]</f>
        <v>100-C-2</v>
      </c>
      <c r="U31" s="46" t="str">
        <f>+U30</f>
        <v>#1774B9</v>
      </c>
      <c r="V31" s="93" t="str">
        <f>+Agencia[[#This Row],[idcoleccion]]&amp;"-"&amp;Agencia[[#This Row],[id]]</f>
        <v>990-0020</v>
      </c>
      <c r="W31" s="93">
        <f>+VLOOKUP(Agencia[[#This Row],[Filtro URL]],Estructura!$X$4:$Y$500,2,0)</f>
        <v>99200002</v>
      </c>
      <c r="X31" s="93" t="str">
        <f>+VLOOKUP(Agencia[[#This Row],[tema]],Estructura!$A$4:$C$500,3,0)</f>
        <v>T-1049</v>
      </c>
      <c r="Y31" s="93" t="str">
        <f>+VLOOKUP(Agencia[[#This Row],[contenido]],Estructura!$E$4:$G$500,3,0)</f>
        <v>C-1018</v>
      </c>
      <c r="Z31" s="93" t="str">
        <f>+VLOOKUP(Agencia[[#This Row],[Filtro Integrado]],Estructura!$I$4:$K$500,3,0)</f>
        <v>FI-991</v>
      </c>
      <c r="AA31" s="93" t="str">
        <f>+VLOOKUP(Agencia[[#This Row],[Muestra]],Estructura!$M$4:$O$500,3,0)</f>
        <v>M-1031</v>
      </c>
    </row>
    <row r="32" spans="1:27" ht="71.400000000000006" x14ac:dyDescent="0.3">
      <c r="A32" s="21" t="s">
        <v>426</v>
      </c>
      <c r="B32" s="23">
        <f t="shared" si="8"/>
        <v>990</v>
      </c>
      <c r="C32" s="24" t="str">
        <f t="shared" si="8"/>
        <v>Agencia Información</v>
      </c>
      <c r="D32" s="72" t="str">
        <f t="shared" si="8"/>
        <v>Educación</v>
      </c>
      <c r="E32" s="19">
        <v>3</v>
      </c>
      <c r="F32" s="10" t="s">
        <v>3606</v>
      </c>
      <c r="G32" s="18" t="s">
        <v>4290</v>
      </c>
      <c r="H32" s="33" t="str">
        <f t="shared" ref="H32:H44" si="10">+H31</f>
        <v>Región</v>
      </c>
      <c r="I32" s="34" t="s">
        <v>370</v>
      </c>
      <c r="J32" s="23" t="str">
        <f>+J31</f>
        <v>Comuna</v>
      </c>
      <c r="K32" s="23" t="str">
        <f>+K31</f>
        <v>Alumnos sobre 450 pts</v>
      </c>
      <c r="L32" s="23" t="str">
        <f t="shared" si="9"/>
        <v>Periodo 2001-2020</v>
      </c>
      <c r="M32" s="23" t="str">
        <f t="shared" si="9"/>
        <v>Porcentaje</v>
      </c>
      <c r="N32" s="23" t="str">
        <f t="shared" si="9"/>
        <v>Sistema Nacional de Información Municipal</v>
      </c>
      <c r="O32" s="26" t="str">
        <f>"Proporción de Alumnos de 4to Medio con más de 450 puntos en la PSU según dependencia de colegios en la "&amp;Agencia[[#This Row],[territorio]]</f>
        <v>Proporción de Alumnos de 4to Medio con más de 450 puntos en la PSU según dependencia de colegios en la Región de Atacama</v>
      </c>
      <c r="P32" s="112" t="s">
        <v>6203</v>
      </c>
      <c r="Q32" s="11" t="str">
        <f>+Q31</f>
        <v>Gráfico de Evolución</v>
      </c>
      <c r="R32"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Atacama,municipal,puntaje,alumnos,calidad,colegios municipales,colegios privados,colegios particulares,colegios subvencionados,colegios públicos,Agencia Información,Educación,PSU,Métricas de la Educación</v>
      </c>
      <c r="S32" s="83" t="str">
        <f>HYPERLINK("https://analytics.zoho.com/open-view/2395394000008416648?ZOHO_CRITERIA=%22Localiza%20CL%22.%22Codreg%22%3D"&amp;Agencia[[#This Row],[Filtro URL]])</f>
        <v>https://analytics.zoho.com/open-view/2395394000008416648?ZOHO_CRITERIA=%22Localiza%20CL%22.%22Codreg%22%3D3</v>
      </c>
      <c r="T32" s="111" t="str">
        <f>"100-C-"&amp;Agencia[[#This Row],[Filtro URL]]</f>
        <v>100-C-3</v>
      </c>
      <c r="U32" s="46" t="str">
        <f>+U31</f>
        <v>#1774B9</v>
      </c>
      <c r="V32" s="93" t="str">
        <f>+Agencia[[#This Row],[idcoleccion]]&amp;"-"&amp;Agencia[[#This Row],[id]]</f>
        <v>990-0021</v>
      </c>
      <c r="W32" s="93">
        <f>+VLOOKUP(Agencia[[#This Row],[Filtro URL]],Estructura!$X$4:$Y$500,2,0)</f>
        <v>99200003</v>
      </c>
      <c r="X32" s="93" t="str">
        <f>+VLOOKUP(Agencia[[#This Row],[tema]],Estructura!$A$4:$C$500,3,0)</f>
        <v>T-1049</v>
      </c>
      <c r="Y32" s="93" t="str">
        <f>+VLOOKUP(Agencia[[#This Row],[contenido]],Estructura!$E$4:$G$500,3,0)</f>
        <v>C-1018</v>
      </c>
      <c r="Z32" s="93" t="str">
        <f>+VLOOKUP(Agencia[[#This Row],[Filtro Integrado]],Estructura!$I$4:$K$500,3,0)</f>
        <v>FI-991</v>
      </c>
      <c r="AA32" s="93" t="str">
        <f>+VLOOKUP(Agencia[[#This Row],[Muestra]],Estructura!$M$4:$O$500,3,0)</f>
        <v>M-1031</v>
      </c>
    </row>
    <row r="33" spans="1:27" ht="71.400000000000006" x14ac:dyDescent="0.3">
      <c r="A33" s="21" t="s">
        <v>427</v>
      </c>
      <c r="B33" s="23">
        <f t="shared" ref="B33:B44" si="11">+B32</f>
        <v>990</v>
      </c>
      <c r="C33" s="24" t="str">
        <f t="shared" ref="C33:C44" si="12">+C32</f>
        <v>Agencia Información</v>
      </c>
      <c r="D33" s="72" t="str">
        <f t="shared" ref="D33:D44" si="13">+D32</f>
        <v>Educación</v>
      </c>
      <c r="E33" s="19">
        <v>4</v>
      </c>
      <c r="F33" s="10" t="s">
        <v>3606</v>
      </c>
      <c r="G33" s="18" t="s">
        <v>4290</v>
      </c>
      <c r="H33" s="33" t="str">
        <f t="shared" si="10"/>
        <v>Región</v>
      </c>
      <c r="I33" s="34" t="s">
        <v>371</v>
      </c>
      <c r="J33" s="23" t="str">
        <f t="shared" ref="J33:N44" si="14">+J32</f>
        <v>Comuna</v>
      </c>
      <c r="K33" s="23" t="str">
        <f t="shared" ref="K33:K44" si="15">+K32</f>
        <v>Alumnos sobre 450 pts</v>
      </c>
      <c r="L33" s="23" t="str">
        <f t="shared" ref="L33:L44" si="16">+L32</f>
        <v>Periodo 2001-2020</v>
      </c>
      <c r="M33" s="23" t="str">
        <f t="shared" ref="M33:M44" si="17">+M32</f>
        <v>Porcentaje</v>
      </c>
      <c r="N33" s="23" t="str">
        <f t="shared" ref="N33:N44" si="18">+N32</f>
        <v>Sistema Nacional de Información Municipal</v>
      </c>
      <c r="O33" s="26" t="str">
        <f>"Proporción de Alumnos de 4to Medio con más de 450 puntos en la PSU según dependencia de colegios en la "&amp;Agencia[[#This Row],[territorio]]</f>
        <v>Proporción de Alumnos de 4to Medio con más de 450 puntos en la PSU según dependencia de colegios en la Región de Coquimbo</v>
      </c>
      <c r="P33" s="112" t="s">
        <v>6204</v>
      </c>
      <c r="Q33" s="11" t="str">
        <f>+Q32</f>
        <v>Gráfico de Evolución</v>
      </c>
      <c r="R33"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Coquimbo,municipal,puntaje,alumnos,calidad,colegios municipales,colegios privados,colegios particulares,colegios subvencionados,colegios públicos,Agencia Información,Educación,PSU,Métricas de la Educación</v>
      </c>
      <c r="S33" s="83" t="str">
        <f>HYPERLINK("https://analytics.zoho.com/open-view/2395394000008416648?ZOHO_CRITERIA=%22Localiza%20CL%22.%22Codreg%22%3D"&amp;Agencia[[#This Row],[Filtro URL]])</f>
        <v>https://analytics.zoho.com/open-view/2395394000008416648?ZOHO_CRITERIA=%22Localiza%20CL%22.%22Codreg%22%3D4</v>
      </c>
      <c r="T33" s="111" t="str">
        <f>"100-C-"&amp;Agencia[[#This Row],[Filtro URL]]</f>
        <v>100-C-4</v>
      </c>
      <c r="U33" s="46" t="str">
        <f>+U32</f>
        <v>#1774B9</v>
      </c>
      <c r="V33" s="93" t="str">
        <f>+Agencia[[#This Row],[idcoleccion]]&amp;"-"&amp;Agencia[[#This Row],[id]]</f>
        <v>990-0022</v>
      </c>
      <c r="W33" s="93">
        <f>+VLOOKUP(Agencia[[#This Row],[Filtro URL]],Estructura!$X$4:$Y$500,2,0)</f>
        <v>99200004</v>
      </c>
      <c r="X33" s="93" t="str">
        <f>+VLOOKUP(Agencia[[#This Row],[tema]],Estructura!$A$4:$C$500,3,0)</f>
        <v>T-1049</v>
      </c>
      <c r="Y33" s="93" t="str">
        <f>+VLOOKUP(Agencia[[#This Row],[contenido]],Estructura!$E$4:$G$500,3,0)</f>
        <v>C-1018</v>
      </c>
      <c r="Z33" s="93" t="str">
        <f>+VLOOKUP(Agencia[[#This Row],[Filtro Integrado]],Estructura!$I$4:$K$500,3,0)</f>
        <v>FI-991</v>
      </c>
      <c r="AA33" s="93" t="str">
        <f>+VLOOKUP(Agencia[[#This Row],[Muestra]],Estructura!$M$4:$O$500,3,0)</f>
        <v>M-1031</v>
      </c>
    </row>
    <row r="34" spans="1:27" ht="71.400000000000006" x14ac:dyDescent="0.3">
      <c r="A34" s="21" t="s">
        <v>430</v>
      </c>
      <c r="B34" s="23">
        <f t="shared" si="11"/>
        <v>990</v>
      </c>
      <c r="C34" s="24" t="str">
        <f t="shared" si="12"/>
        <v>Agencia Información</v>
      </c>
      <c r="D34" s="72" t="str">
        <f t="shared" si="13"/>
        <v>Educación</v>
      </c>
      <c r="E34" s="19">
        <v>5</v>
      </c>
      <c r="F34" s="10" t="s">
        <v>3606</v>
      </c>
      <c r="G34" s="18" t="s">
        <v>4290</v>
      </c>
      <c r="H34" s="33" t="str">
        <f t="shared" si="10"/>
        <v>Región</v>
      </c>
      <c r="I34" s="34" t="s">
        <v>372</v>
      </c>
      <c r="J34" s="23" t="str">
        <f t="shared" si="14"/>
        <v>Comuna</v>
      </c>
      <c r="K34" s="23" t="str">
        <f t="shared" si="15"/>
        <v>Alumnos sobre 450 pts</v>
      </c>
      <c r="L34" s="23" t="str">
        <f t="shared" si="16"/>
        <v>Periodo 2001-2020</v>
      </c>
      <c r="M34" s="23" t="str">
        <f t="shared" si="17"/>
        <v>Porcentaje</v>
      </c>
      <c r="N34" s="23" t="str">
        <f t="shared" si="18"/>
        <v>Sistema Nacional de Información Municipal</v>
      </c>
      <c r="O34" s="26" t="str">
        <f>"Proporción de Alumnos de 4to Medio con más de 450 puntos en la PSU según dependencia de colegios en la "&amp;Agencia[[#This Row],[territorio]]</f>
        <v>Proporción de Alumnos de 4to Medio con más de 450 puntos en la PSU según dependencia de colegios en la Región de Valparaíso</v>
      </c>
      <c r="P34" s="113" t="s">
        <v>6205</v>
      </c>
      <c r="Q34" s="27" t="str">
        <f>+Q33</f>
        <v>Gráfico de Evolución</v>
      </c>
      <c r="R34"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Valparaíso,municipal,puntaje,alumnos,calidad,colegios municipales,colegios privados,colegios particulares,colegios subvencionados,colegios públicos,Agencia Información,Educación,PSU,Métricas de la Educación</v>
      </c>
      <c r="S34" s="83" t="str">
        <f>HYPERLINK("https://analytics.zoho.com/open-view/2395394000008416648?ZOHO_CRITERIA=%22Localiza%20CL%22.%22Codreg%22%3D"&amp;Agencia[[#This Row],[Filtro URL]])</f>
        <v>https://analytics.zoho.com/open-view/2395394000008416648?ZOHO_CRITERIA=%22Localiza%20CL%22.%22Codreg%22%3D5</v>
      </c>
      <c r="T34" s="111" t="str">
        <f>"100-C-"&amp;Agencia[[#This Row],[Filtro URL]]</f>
        <v>100-C-5</v>
      </c>
      <c r="U34" s="95" t="str">
        <f>+U33</f>
        <v>#1774B9</v>
      </c>
      <c r="V34" s="93" t="str">
        <f>+Agencia[[#This Row],[idcoleccion]]&amp;"-"&amp;Agencia[[#This Row],[id]]</f>
        <v>990-0023</v>
      </c>
      <c r="W34" s="93">
        <f>+VLOOKUP(Agencia[[#This Row],[Filtro URL]],Estructura!$X$4:$Y$500,2,0)</f>
        <v>99200005</v>
      </c>
      <c r="X34" s="93" t="str">
        <f>+VLOOKUP(Agencia[[#This Row],[tema]],Estructura!$A$4:$C$500,3,0)</f>
        <v>T-1049</v>
      </c>
      <c r="Y34" s="93" t="str">
        <f>+VLOOKUP(Agencia[[#This Row],[contenido]],Estructura!$E$4:$G$500,3,0)</f>
        <v>C-1018</v>
      </c>
      <c r="Z34" s="93" t="str">
        <f>+VLOOKUP(Agencia[[#This Row],[Filtro Integrado]],Estructura!$I$4:$K$500,3,0)</f>
        <v>FI-991</v>
      </c>
      <c r="AA34" s="93" t="str">
        <f>+VLOOKUP(Agencia[[#This Row],[Muestra]],Estructura!$M$4:$O$500,3,0)</f>
        <v>M-1031</v>
      </c>
    </row>
    <row r="35" spans="1:27" ht="71.400000000000006" x14ac:dyDescent="0.3">
      <c r="A35" s="21" t="s">
        <v>431</v>
      </c>
      <c r="B35" s="23">
        <f t="shared" si="11"/>
        <v>990</v>
      </c>
      <c r="C35" s="24" t="str">
        <f t="shared" si="12"/>
        <v>Agencia Información</v>
      </c>
      <c r="D35" s="72" t="str">
        <f t="shared" si="13"/>
        <v>Educación</v>
      </c>
      <c r="E35" s="19">
        <v>6</v>
      </c>
      <c r="F35" s="10" t="s">
        <v>3606</v>
      </c>
      <c r="G35" s="18" t="s">
        <v>4290</v>
      </c>
      <c r="H35" s="33" t="str">
        <f t="shared" si="10"/>
        <v>Región</v>
      </c>
      <c r="I35" s="34" t="s">
        <v>373</v>
      </c>
      <c r="J35" s="23" t="str">
        <f t="shared" si="14"/>
        <v>Comuna</v>
      </c>
      <c r="K35" s="23" t="str">
        <f t="shared" si="15"/>
        <v>Alumnos sobre 450 pts</v>
      </c>
      <c r="L35" s="23" t="str">
        <f t="shared" si="16"/>
        <v>Periodo 2001-2020</v>
      </c>
      <c r="M35" s="23" t="str">
        <f t="shared" si="17"/>
        <v>Porcentaje</v>
      </c>
      <c r="N35" s="23" t="str">
        <f t="shared" si="18"/>
        <v>Sistema Nacional de Información Municipal</v>
      </c>
      <c r="O35" s="26" t="str">
        <f>"Proporción de Alumnos de 4to Medio con más de 450 puntos en la PSU según dependencia de colegios en la "&amp;Agencia[[#This Row],[territorio]]</f>
        <v>Proporción de Alumnos de 4to Medio con más de 450 puntos en la PSU según dependencia de colegios en la Región de O'Higgins</v>
      </c>
      <c r="P35" s="112" t="s">
        <v>6198</v>
      </c>
      <c r="Q35" s="11" t="str">
        <f t="shared" ref="Q35:Q44" si="19">+Q34</f>
        <v>Gráfico de Evolución</v>
      </c>
      <c r="R35"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O'Higgins,municipal,puntaje,alumnos,calidad,colegios municipales,colegios privados,colegios particulares,colegios subvencionados,colegios públicos,Agencia Información,Educación,PSU,Métricas de la Educación</v>
      </c>
      <c r="S35" s="83" t="str">
        <f>HYPERLINK("https://analytics.zoho.com/open-view/2395394000008416648?ZOHO_CRITERIA=%22Localiza%20CL%22.%22Codreg%22%3D"&amp;Agencia[[#This Row],[Filtro URL]])</f>
        <v>https://analytics.zoho.com/open-view/2395394000008416648?ZOHO_CRITERIA=%22Localiza%20CL%22.%22Codreg%22%3D6</v>
      </c>
      <c r="T35" s="111" t="str">
        <f>"100-C-"&amp;Agencia[[#This Row],[Filtro URL]]</f>
        <v>100-C-6</v>
      </c>
      <c r="U35" s="46" t="str">
        <f t="shared" ref="U35:U44" si="20">+U34</f>
        <v>#1774B9</v>
      </c>
      <c r="V35" s="93" t="str">
        <f>+Agencia[[#This Row],[idcoleccion]]&amp;"-"&amp;Agencia[[#This Row],[id]]</f>
        <v>990-0024</v>
      </c>
      <c r="W35" s="93">
        <f>+VLOOKUP(Agencia[[#This Row],[Filtro URL]],Estructura!$X$4:$Y$500,2,0)</f>
        <v>99200006</v>
      </c>
      <c r="X35" s="93" t="str">
        <f>+VLOOKUP(Agencia[[#This Row],[tema]],Estructura!$A$4:$C$500,3,0)</f>
        <v>T-1049</v>
      </c>
      <c r="Y35" s="93" t="str">
        <f>+VLOOKUP(Agencia[[#This Row],[contenido]],Estructura!$E$4:$G$500,3,0)</f>
        <v>C-1018</v>
      </c>
      <c r="Z35" s="93" t="str">
        <f>+VLOOKUP(Agencia[[#This Row],[Filtro Integrado]],Estructura!$I$4:$K$500,3,0)</f>
        <v>FI-991</v>
      </c>
      <c r="AA35" s="93" t="str">
        <f>+VLOOKUP(Agencia[[#This Row],[Muestra]],Estructura!$M$4:$O$500,3,0)</f>
        <v>M-1031</v>
      </c>
    </row>
    <row r="36" spans="1:27" ht="71.400000000000006" x14ac:dyDescent="0.3">
      <c r="A36" s="21" t="s">
        <v>432</v>
      </c>
      <c r="B36" s="23">
        <f t="shared" si="11"/>
        <v>990</v>
      </c>
      <c r="C36" s="24" t="str">
        <f t="shared" si="12"/>
        <v>Agencia Información</v>
      </c>
      <c r="D36" s="72" t="str">
        <f t="shared" si="13"/>
        <v>Educación</v>
      </c>
      <c r="E36" s="19">
        <v>7</v>
      </c>
      <c r="F36" s="10" t="s">
        <v>3606</v>
      </c>
      <c r="G36" s="18" t="s">
        <v>4290</v>
      </c>
      <c r="H36" s="33" t="str">
        <f t="shared" si="10"/>
        <v>Región</v>
      </c>
      <c r="I36" s="34" t="s">
        <v>374</v>
      </c>
      <c r="J36" s="23" t="str">
        <f t="shared" si="14"/>
        <v>Comuna</v>
      </c>
      <c r="K36" s="23" t="str">
        <f t="shared" si="15"/>
        <v>Alumnos sobre 450 pts</v>
      </c>
      <c r="L36" s="23" t="str">
        <f t="shared" si="16"/>
        <v>Periodo 2001-2020</v>
      </c>
      <c r="M36" s="23" t="str">
        <f t="shared" si="17"/>
        <v>Porcentaje</v>
      </c>
      <c r="N36" s="23" t="str">
        <f t="shared" si="18"/>
        <v>Sistema Nacional de Información Municipal</v>
      </c>
      <c r="O36" s="26" t="str">
        <f>"Proporción de Alumnos de 4to Medio con más de 450 puntos en la PSU según dependencia de colegios en la "&amp;Agencia[[#This Row],[territorio]]</f>
        <v>Proporción de Alumnos de 4to Medio con más de 450 puntos en la PSU según dependencia de colegios en la Región de Maule</v>
      </c>
      <c r="P36" s="112" t="s">
        <v>6206</v>
      </c>
      <c r="Q36" s="11" t="str">
        <f t="shared" si="19"/>
        <v>Gráfico de Evolución</v>
      </c>
      <c r="R36"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Maule,municipal,puntaje,alumnos,calidad,colegios municipales,colegios privados,colegios particulares,colegios subvencionados,colegios públicos,Agencia Información,Educación,PSU,Métricas de la Educación</v>
      </c>
      <c r="S36" s="83" t="str">
        <f>HYPERLINK("https://analytics.zoho.com/open-view/2395394000008416648?ZOHO_CRITERIA=%22Localiza%20CL%22.%22Codreg%22%3D"&amp;Agencia[[#This Row],[Filtro URL]])</f>
        <v>https://analytics.zoho.com/open-view/2395394000008416648?ZOHO_CRITERIA=%22Localiza%20CL%22.%22Codreg%22%3D7</v>
      </c>
      <c r="T36" s="111" t="str">
        <f>"100-C-"&amp;Agencia[[#This Row],[Filtro URL]]</f>
        <v>100-C-7</v>
      </c>
      <c r="U36" s="46" t="str">
        <f t="shared" si="20"/>
        <v>#1774B9</v>
      </c>
      <c r="V36" s="93" t="str">
        <f>+Agencia[[#This Row],[idcoleccion]]&amp;"-"&amp;Agencia[[#This Row],[id]]</f>
        <v>990-0025</v>
      </c>
      <c r="W36" s="93">
        <f>+VLOOKUP(Agencia[[#This Row],[Filtro URL]],Estructura!$X$4:$Y$500,2,0)</f>
        <v>99200007</v>
      </c>
      <c r="X36" s="93" t="str">
        <f>+VLOOKUP(Agencia[[#This Row],[tema]],Estructura!$A$4:$C$500,3,0)</f>
        <v>T-1049</v>
      </c>
      <c r="Y36" s="93" t="str">
        <f>+VLOOKUP(Agencia[[#This Row],[contenido]],Estructura!$E$4:$G$500,3,0)</f>
        <v>C-1018</v>
      </c>
      <c r="Z36" s="93" t="str">
        <f>+VLOOKUP(Agencia[[#This Row],[Filtro Integrado]],Estructura!$I$4:$K$500,3,0)</f>
        <v>FI-991</v>
      </c>
      <c r="AA36" s="93" t="str">
        <f>+VLOOKUP(Agencia[[#This Row],[Muestra]],Estructura!$M$4:$O$500,3,0)</f>
        <v>M-1031</v>
      </c>
    </row>
    <row r="37" spans="1:27" ht="71.400000000000006" x14ac:dyDescent="0.3">
      <c r="A37" s="21" t="s">
        <v>433</v>
      </c>
      <c r="B37" s="23">
        <f t="shared" si="11"/>
        <v>990</v>
      </c>
      <c r="C37" s="24" t="str">
        <f t="shared" si="12"/>
        <v>Agencia Información</v>
      </c>
      <c r="D37" s="72" t="str">
        <f t="shared" si="13"/>
        <v>Educación</v>
      </c>
      <c r="E37" s="19">
        <v>8</v>
      </c>
      <c r="F37" s="10" t="s">
        <v>3606</v>
      </c>
      <c r="G37" s="18" t="s">
        <v>4290</v>
      </c>
      <c r="H37" s="33" t="str">
        <f t="shared" si="10"/>
        <v>Región</v>
      </c>
      <c r="I37" s="34" t="s">
        <v>375</v>
      </c>
      <c r="J37" s="23" t="str">
        <f t="shared" si="14"/>
        <v>Comuna</v>
      </c>
      <c r="K37" s="23" t="str">
        <f t="shared" si="15"/>
        <v>Alumnos sobre 450 pts</v>
      </c>
      <c r="L37" s="23" t="str">
        <f t="shared" si="16"/>
        <v>Periodo 2001-2020</v>
      </c>
      <c r="M37" s="23" t="str">
        <f t="shared" si="17"/>
        <v>Porcentaje</v>
      </c>
      <c r="N37" s="23" t="str">
        <f t="shared" si="18"/>
        <v>Sistema Nacional de Información Municipal</v>
      </c>
      <c r="O37" s="26" t="str">
        <f>"Proporción de Alumnos de 4to Medio con más de 450 puntos en la PSU según dependencia de colegios en la "&amp;Agencia[[#This Row],[territorio]]</f>
        <v>Proporción de Alumnos de 4to Medio con más de 450 puntos en la PSU según dependencia de colegios en la Región del Biobío</v>
      </c>
      <c r="P37" s="112" t="s">
        <v>6207</v>
      </c>
      <c r="Q37" s="11" t="str">
        <f t="shared" si="19"/>
        <v>Gráfico de Evolución</v>
      </c>
      <c r="R37"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del Biobío,municipal,puntaje,alumnos,calidad,colegios municipales,colegios privados,colegios particulares,colegios subvencionados,colegios públicos,Agencia Información,Educación,PSU,Métricas de la Educación</v>
      </c>
      <c r="S37" s="83" t="str">
        <f>HYPERLINK("https://analytics.zoho.com/open-view/2395394000008416648?ZOHO_CRITERIA=%22Localiza%20CL%22.%22Codreg%22%3D"&amp;Agencia[[#This Row],[Filtro URL]])</f>
        <v>https://analytics.zoho.com/open-view/2395394000008416648?ZOHO_CRITERIA=%22Localiza%20CL%22.%22Codreg%22%3D8</v>
      </c>
      <c r="T37" s="111" t="str">
        <f>"100-C-"&amp;Agencia[[#This Row],[Filtro URL]]</f>
        <v>100-C-8</v>
      </c>
      <c r="U37" s="46" t="str">
        <f t="shared" si="20"/>
        <v>#1774B9</v>
      </c>
      <c r="V37" s="93" t="str">
        <f>+Agencia[[#This Row],[idcoleccion]]&amp;"-"&amp;Agencia[[#This Row],[id]]</f>
        <v>990-0026</v>
      </c>
      <c r="W37" s="93">
        <f>+VLOOKUP(Agencia[[#This Row],[Filtro URL]],Estructura!$X$4:$Y$500,2,0)</f>
        <v>99200008</v>
      </c>
      <c r="X37" s="93" t="str">
        <f>+VLOOKUP(Agencia[[#This Row],[tema]],Estructura!$A$4:$C$500,3,0)</f>
        <v>T-1049</v>
      </c>
      <c r="Y37" s="93" t="str">
        <f>+VLOOKUP(Agencia[[#This Row],[contenido]],Estructura!$E$4:$G$500,3,0)</f>
        <v>C-1018</v>
      </c>
      <c r="Z37" s="93" t="str">
        <f>+VLOOKUP(Agencia[[#This Row],[Filtro Integrado]],Estructura!$I$4:$K$500,3,0)</f>
        <v>FI-991</v>
      </c>
      <c r="AA37" s="93" t="str">
        <f>+VLOOKUP(Agencia[[#This Row],[Muestra]],Estructura!$M$4:$O$500,3,0)</f>
        <v>M-1031</v>
      </c>
    </row>
    <row r="38" spans="1:27" ht="71.400000000000006" x14ac:dyDescent="0.3">
      <c r="A38" s="21" t="s">
        <v>434</v>
      </c>
      <c r="B38" s="23">
        <f t="shared" si="11"/>
        <v>990</v>
      </c>
      <c r="C38" s="24" t="str">
        <f t="shared" si="12"/>
        <v>Agencia Información</v>
      </c>
      <c r="D38" s="72" t="str">
        <f t="shared" si="13"/>
        <v>Educación</v>
      </c>
      <c r="E38" s="19">
        <v>9</v>
      </c>
      <c r="F38" s="10" t="s">
        <v>3606</v>
      </c>
      <c r="G38" s="18" t="s">
        <v>4290</v>
      </c>
      <c r="H38" s="33" t="str">
        <f t="shared" si="10"/>
        <v>Región</v>
      </c>
      <c r="I38" s="34" t="s">
        <v>376</v>
      </c>
      <c r="J38" s="23" t="str">
        <f t="shared" si="14"/>
        <v>Comuna</v>
      </c>
      <c r="K38" s="23" t="str">
        <f t="shared" si="15"/>
        <v>Alumnos sobre 450 pts</v>
      </c>
      <c r="L38" s="23" t="str">
        <f t="shared" si="16"/>
        <v>Periodo 2001-2020</v>
      </c>
      <c r="M38" s="23" t="str">
        <f t="shared" si="17"/>
        <v>Porcentaje</v>
      </c>
      <c r="N38" s="23" t="str">
        <f t="shared" si="18"/>
        <v>Sistema Nacional de Información Municipal</v>
      </c>
      <c r="O38" s="26" t="str">
        <f>"Proporción de Alumnos de 4to Medio con más de 450 puntos en la PSU según dependencia de colegios en la "&amp;Agencia[[#This Row],[territorio]]</f>
        <v>Proporción de Alumnos de 4to Medio con más de 450 puntos en la PSU según dependencia de colegios en la Región de La Araucanía</v>
      </c>
      <c r="P38" s="112" t="s">
        <v>6208</v>
      </c>
      <c r="Q38" s="11" t="str">
        <f t="shared" si="19"/>
        <v>Gráfico de Evolución</v>
      </c>
      <c r="R38"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La Araucanía,municipal,puntaje,alumnos,calidad,colegios municipales,colegios privados,colegios particulares,colegios subvencionados,colegios públicos,Agencia Información,Educación,PSU,Métricas de la Educación</v>
      </c>
      <c r="S38" s="83" t="str">
        <f>HYPERLINK("https://analytics.zoho.com/open-view/2395394000008416648?ZOHO_CRITERIA=%22Localiza%20CL%22.%22Codreg%22%3D"&amp;Agencia[[#This Row],[Filtro URL]])</f>
        <v>https://analytics.zoho.com/open-view/2395394000008416648?ZOHO_CRITERIA=%22Localiza%20CL%22.%22Codreg%22%3D9</v>
      </c>
      <c r="T38" s="111" t="str">
        <f>"100-C-"&amp;Agencia[[#This Row],[Filtro URL]]</f>
        <v>100-C-9</v>
      </c>
      <c r="U38" s="46" t="str">
        <f t="shared" si="20"/>
        <v>#1774B9</v>
      </c>
      <c r="V38" s="93" t="str">
        <f>+Agencia[[#This Row],[idcoleccion]]&amp;"-"&amp;Agencia[[#This Row],[id]]</f>
        <v>990-0027</v>
      </c>
      <c r="W38" s="93">
        <f>+VLOOKUP(Agencia[[#This Row],[Filtro URL]],Estructura!$X$4:$Y$500,2,0)</f>
        <v>99200009</v>
      </c>
      <c r="X38" s="93" t="str">
        <f>+VLOOKUP(Agencia[[#This Row],[tema]],Estructura!$A$4:$C$500,3,0)</f>
        <v>T-1049</v>
      </c>
      <c r="Y38" s="93" t="str">
        <f>+VLOOKUP(Agencia[[#This Row],[contenido]],Estructura!$E$4:$G$500,3,0)</f>
        <v>C-1018</v>
      </c>
      <c r="Z38" s="93" t="str">
        <f>+VLOOKUP(Agencia[[#This Row],[Filtro Integrado]],Estructura!$I$4:$K$500,3,0)</f>
        <v>FI-991</v>
      </c>
      <c r="AA38" s="93" t="str">
        <f>+VLOOKUP(Agencia[[#This Row],[Muestra]],Estructura!$M$4:$O$500,3,0)</f>
        <v>M-1031</v>
      </c>
    </row>
    <row r="39" spans="1:27" ht="71.400000000000006" x14ac:dyDescent="0.3">
      <c r="A39" s="21" t="s">
        <v>435</v>
      </c>
      <c r="B39" s="23">
        <f t="shared" si="11"/>
        <v>990</v>
      </c>
      <c r="C39" s="24" t="str">
        <f t="shared" si="12"/>
        <v>Agencia Información</v>
      </c>
      <c r="D39" s="72" t="str">
        <f t="shared" si="13"/>
        <v>Educación</v>
      </c>
      <c r="E39" s="19">
        <v>10</v>
      </c>
      <c r="F39" s="10" t="s">
        <v>3606</v>
      </c>
      <c r="G39" s="18" t="s">
        <v>4290</v>
      </c>
      <c r="H39" s="33" t="str">
        <f t="shared" si="10"/>
        <v>Región</v>
      </c>
      <c r="I39" s="34" t="s">
        <v>377</v>
      </c>
      <c r="J39" s="23" t="str">
        <f t="shared" si="14"/>
        <v>Comuna</v>
      </c>
      <c r="K39" s="23" t="str">
        <f t="shared" si="15"/>
        <v>Alumnos sobre 450 pts</v>
      </c>
      <c r="L39" s="23" t="str">
        <f t="shared" si="16"/>
        <v>Periodo 2001-2020</v>
      </c>
      <c r="M39" s="23" t="str">
        <f t="shared" si="17"/>
        <v>Porcentaje</v>
      </c>
      <c r="N39" s="23" t="str">
        <f t="shared" si="18"/>
        <v>Sistema Nacional de Información Municipal</v>
      </c>
      <c r="O39" s="26" t="str">
        <f>"Proporción de Alumnos de 4to Medio con más de 450 puntos en la PSU según dependencia de colegios en la "&amp;Agencia[[#This Row],[territorio]]</f>
        <v>Proporción de Alumnos de 4to Medio con más de 450 puntos en la PSU según dependencia de colegios en la Región de Los Lagos</v>
      </c>
      <c r="P39" s="112" t="s">
        <v>6209</v>
      </c>
      <c r="Q39" s="11" t="str">
        <f t="shared" si="19"/>
        <v>Gráfico de Evolución</v>
      </c>
      <c r="R39"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Los Lagos,municipal,puntaje,alumnos,calidad,colegios municipales,colegios privados,colegios particulares,colegios subvencionados,colegios públicos,Agencia Información,Educación,PSU,Métricas de la Educación</v>
      </c>
      <c r="S39" s="83" t="str">
        <f>HYPERLINK("https://analytics.zoho.com/open-view/2395394000008416648?ZOHO_CRITERIA=%22Localiza%20CL%22.%22Codreg%22%3D"&amp;Agencia[[#This Row],[Filtro URL]])</f>
        <v>https://analytics.zoho.com/open-view/2395394000008416648?ZOHO_CRITERIA=%22Localiza%20CL%22.%22Codreg%22%3D10</v>
      </c>
      <c r="T39" s="111" t="str">
        <f>"100-C-"&amp;Agencia[[#This Row],[Filtro URL]]</f>
        <v>100-C-10</v>
      </c>
      <c r="U39" s="46" t="str">
        <f t="shared" si="20"/>
        <v>#1774B9</v>
      </c>
      <c r="V39" s="93" t="str">
        <f>+Agencia[[#This Row],[idcoleccion]]&amp;"-"&amp;Agencia[[#This Row],[id]]</f>
        <v>990-0028</v>
      </c>
      <c r="W39" s="93">
        <f>+VLOOKUP(Agencia[[#This Row],[Filtro URL]],Estructura!$X$4:$Y$500,2,0)</f>
        <v>99200010</v>
      </c>
      <c r="X39" s="93" t="str">
        <f>+VLOOKUP(Agencia[[#This Row],[tema]],Estructura!$A$4:$C$500,3,0)</f>
        <v>T-1049</v>
      </c>
      <c r="Y39" s="93" t="str">
        <f>+VLOOKUP(Agencia[[#This Row],[contenido]],Estructura!$E$4:$G$500,3,0)</f>
        <v>C-1018</v>
      </c>
      <c r="Z39" s="93" t="str">
        <f>+VLOOKUP(Agencia[[#This Row],[Filtro Integrado]],Estructura!$I$4:$K$500,3,0)</f>
        <v>FI-991</v>
      </c>
      <c r="AA39" s="93" t="str">
        <f>+VLOOKUP(Agencia[[#This Row],[Muestra]],Estructura!$M$4:$O$500,3,0)</f>
        <v>M-1031</v>
      </c>
    </row>
    <row r="40" spans="1:27" ht="71.400000000000006" x14ac:dyDescent="0.3">
      <c r="A40" s="21" t="s">
        <v>436</v>
      </c>
      <c r="B40" s="23">
        <f>+B39</f>
        <v>990</v>
      </c>
      <c r="C40" s="136" t="str">
        <f t="shared" si="12"/>
        <v>Agencia Información</v>
      </c>
      <c r="D40" s="136" t="str">
        <f t="shared" si="13"/>
        <v>Educación</v>
      </c>
      <c r="E40" s="19">
        <v>12</v>
      </c>
      <c r="F40" s="10" t="s">
        <v>3606</v>
      </c>
      <c r="G40" s="18" t="s">
        <v>4290</v>
      </c>
      <c r="H40" s="33" t="s">
        <v>16</v>
      </c>
      <c r="I40" s="34" t="s">
        <v>379</v>
      </c>
      <c r="J40" s="136" t="str">
        <f t="shared" si="14"/>
        <v>Comuna</v>
      </c>
      <c r="K40" s="136" t="str">
        <f t="shared" si="14"/>
        <v>Alumnos sobre 450 pts</v>
      </c>
      <c r="L40" s="136" t="str">
        <f t="shared" si="14"/>
        <v>Periodo 2001-2020</v>
      </c>
      <c r="M40" s="136" t="str">
        <f t="shared" si="14"/>
        <v>Porcentaje</v>
      </c>
      <c r="N40" s="136" t="str">
        <f t="shared" si="14"/>
        <v>Sistema Nacional de Información Municipal</v>
      </c>
      <c r="O40" s="26" t="str">
        <f>"Proporción de Alumnos de 4to Medio con más de 450 puntos en la PSU según dependencia de colegios en la "&amp;Agencia[[#This Row],[territorio]]</f>
        <v>Proporción de Alumnos de 4to Medio con más de 450 puntos en la PSU según dependencia de colegios en la Región de Magallanes</v>
      </c>
      <c r="P40" s="112" t="s">
        <v>6210</v>
      </c>
      <c r="Q40" s="136" t="str">
        <f t="shared" si="19"/>
        <v>Gráfico de Evolución</v>
      </c>
      <c r="R40"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Magallanes,municipal,puntaje,alumnos,calidad,colegios municipales,colegios privados,colegios particulares,colegios subvencionados,colegios públicos,Agencia Información,Educación,PSU,Métricas de la Educación</v>
      </c>
      <c r="S40" s="83" t="str">
        <f>HYPERLINK("https://analytics.zoho.com/open-view/2395394000008416648?ZOHO_CRITERIA=%22Localiza%20CL%22.%22Codreg%22%3D"&amp;Agencia[[#This Row],[Filtro URL]])</f>
        <v>https://analytics.zoho.com/open-view/2395394000008416648?ZOHO_CRITERIA=%22Localiza%20CL%22.%22Codreg%22%3D12</v>
      </c>
      <c r="T40" s="111" t="str">
        <f>"100-C-"&amp;Agencia[[#This Row],[Filtro URL]]</f>
        <v>100-C-12</v>
      </c>
      <c r="U40" s="46" t="str">
        <f>+U39</f>
        <v>#1774B9</v>
      </c>
      <c r="V40" s="93" t="str">
        <f>+Agencia[[#This Row],[idcoleccion]]&amp;"-"&amp;Agencia[[#This Row],[id]]</f>
        <v>990-0029</v>
      </c>
      <c r="W40" s="93">
        <f>+VLOOKUP(Agencia[[#This Row],[Filtro URL]],Estructura!$X$4:$Y$500,2,0)</f>
        <v>99200012</v>
      </c>
      <c r="X40" s="93" t="str">
        <f>+VLOOKUP(Agencia[[#This Row],[tema]],Estructura!$A$4:$C$500,3,0)</f>
        <v>T-1049</v>
      </c>
      <c r="Y40" s="93" t="str">
        <f>+VLOOKUP(Agencia[[#This Row],[contenido]],Estructura!$E$4:$G$500,3,0)</f>
        <v>C-1018</v>
      </c>
      <c r="Z40" s="93" t="str">
        <f>+VLOOKUP(Agencia[[#This Row],[Filtro Integrado]],Estructura!$I$4:$K$500,3,0)</f>
        <v>FI-991</v>
      </c>
      <c r="AA40" s="93" t="str">
        <f>+VLOOKUP(Agencia[[#This Row],[Muestra]],Estructura!$M$4:$O$500,3,0)</f>
        <v>M-1031</v>
      </c>
    </row>
    <row r="41" spans="1:27" ht="71.400000000000006" x14ac:dyDescent="0.3">
      <c r="A41" s="21" t="s">
        <v>437</v>
      </c>
      <c r="B41" s="23">
        <f t="shared" si="11"/>
        <v>990</v>
      </c>
      <c r="C41" s="24" t="str">
        <f t="shared" si="12"/>
        <v>Agencia Información</v>
      </c>
      <c r="D41" s="72" t="str">
        <f t="shared" si="13"/>
        <v>Educación</v>
      </c>
      <c r="E41" s="19">
        <v>13</v>
      </c>
      <c r="F41" s="10" t="s">
        <v>3606</v>
      </c>
      <c r="G41" s="18" t="s">
        <v>4290</v>
      </c>
      <c r="H41" s="33" t="str">
        <f t="shared" si="10"/>
        <v>Región</v>
      </c>
      <c r="I41" s="34" t="s">
        <v>380</v>
      </c>
      <c r="J41" s="23" t="str">
        <f t="shared" si="14"/>
        <v>Comuna</v>
      </c>
      <c r="K41" s="23" t="str">
        <f t="shared" si="15"/>
        <v>Alumnos sobre 450 pts</v>
      </c>
      <c r="L41" s="23" t="str">
        <f t="shared" si="16"/>
        <v>Periodo 2001-2020</v>
      </c>
      <c r="M41" s="23" t="str">
        <f t="shared" si="17"/>
        <v>Porcentaje</v>
      </c>
      <c r="N41" s="23" t="str">
        <f t="shared" si="18"/>
        <v>Sistema Nacional de Información Municipal</v>
      </c>
      <c r="O41" s="26" t="str">
        <f>"Proporción de Alumnos de 4to Medio con más de 450 puntos en la PSU según dependencia de colegios en la "&amp;Agencia[[#This Row],[territorio]]</f>
        <v>Proporción de Alumnos de 4to Medio con más de 450 puntos en la PSU según dependencia de colegios en la Región Metropolitana</v>
      </c>
      <c r="P41" s="112" t="s">
        <v>6211</v>
      </c>
      <c r="Q41" s="11" t="str">
        <f t="shared" si="19"/>
        <v>Gráfico de Evolución</v>
      </c>
      <c r="R41"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Metropolitana,municipal,puntaje,alumnos,calidad,colegios municipales,colegios privados,colegios particulares,colegios subvencionados,colegios públicos,Agencia Información,Educación,PSU,Métricas de la Educación</v>
      </c>
      <c r="S41" s="83" t="str">
        <f>HYPERLINK("https://analytics.zoho.com/open-view/2395394000008416648?ZOHO_CRITERIA=%22Localiza%20CL%22.%22Codreg%22%3D"&amp;Agencia[[#This Row],[Filtro URL]])</f>
        <v>https://analytics.zoho.com/open-view/2395394000008416648?ZOHO_CRITERIA=%22Localiza%20CL%22.%22Codreg%22%3D13</v>
      </c>
      <c r="T41" s="111" t="str">
        <f>"200-C-"&amp;Agencia[[#This Row],[Filtro URL]]</f>
        <v>200-C-13</v>
      </c>
      <c r="U41" s="46" t="str">
        <f t="shared" si="20"/>
        <v>#1774B9</v>
      </c>
      <c r="V41" s="93" t="str">
        <f>+Agencia[[#This Row],[idcoleccion]]&amp;"-"&amp;Agencia[[#This Row],[id]]</f>
        <v>990-0030</v>
      </c>
      <c r="W41" s="93">
        <f>+VLOOKUP(Agencia[[#This Row],[Filtro URL]],Estructura!$X$4:$Y$500,2,0)</f>
        <v>99200013</v>
      </c>
      <c r="X41" s="93" t="str">
        <f>+VLOOKUP(Agencia[[#This Row],[tema]],Estructura!$A$4:$C$500,3,0)</f>
        <v>T-1049</v>
      </c>
      <c r="Y41" s="93" t="str">
        <f>+VLOOKUP(Agencia[[#This Row],[contenido]],Estructura!$E$4:$G$500,3,0)</f>
        <v>C-1018</v>
      </c>
      <c r="Z41" s="93" t="str">
        <f>+VLOOKUP(Agencia[[#This Row],[Filtro Integrado]],Estructura!$I$4:$K$500,3,0)</f>
        <v>FI-991</v>
      </c>
      <c r="AA41" s="93" t="str">
        <f>+VLOOKUP(Agencia[[#This Row],[Muestra]],Estructura!$M$4:$O$500,3,0)</f>
        <v>M-1031</v>
      </c>
    </row>
    <row r="42" spans="1:27" ht="71.400000000000006" x14ac:dyDescent="0.3">
      <c r="A42" s="21" t="s">
        <v>438</v>
      </c>
      <c r="B42" s="23">
        <f t="shared" si="11"/>
        <v>990</v>
      </c>
      <c r="C42" s="24" t="str">
        <f t="shared" si="12"/>
        <v>Agencia Información</v>
      </c>
      <c r="D42" s="72" t="str">
        <f t="shared" si="13"/>
        <v>Educación</v>
      </c>
      <c r="E42" s="19">
        <v>14</v>
      </c>
      <c r="F42" s="10" t="s">
        <v>3606</v>
      </c>
      <c r="G42" s="18" t="s">
        <v>4290</v>
      </c>
      <c r="H42" s="33" t="str">
        <f t="shared" si="10"/>
        <v>Región</v>
      </c>
      <c r="I42" s="34" t="s">
        <v>381</v>
      </c>
      <c r="J42" s="23" t="str">
        <f t="shared" si="14"/>
        <v>Comuna</v>
      </c>
      <c r="K42" s="23" t="str">
        <f t="shared" si="15"/>
        <v>Alumnos sobre 450 pts</v>
      </c>
      <c r="L42" s="23" t="str">
        <f t="shared" si="16"/>
        <v>Periodo 2001-2020</v>
      </c>
      <c r="M42" s="23" t="str">
        <f t="shared" si="17"/>
        <v>Porcentaje</v>
      </c>
      <c r="N42" s="23" t="str">
        <f t="shared" si="18"/>
        <v>Sistema Nacional de Información Municipal</v>
      </c>
      <c r="O42" s="26" t="str">
        <f>"Proporción de Alumnos de 4to Medio con más de 450 puntos en la PSU según dependencia de colegios en la "&amp;Agencia[[#This Row],[territorio]]</f>
        <v>Proporción de Alumnos de 4to Medio con más de 450 puntos en la PSU según dependencia de colegios en la Región de Los Ríos</v>
      </c>
      <c r="P42" s="112" t="s">
        <v>6199</v>
      </c>
      <c r="Q42" s="11" t="str">
        <f t="shared" si="19"/>
        <v>Gráfico de Evolución</v>
      </c>
      <c r="R42"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Los Ríos,municipal,puntaje,alumnos,calidad,colegios municipales,colegios privados,colegios particulares,colegios subvencionados,colegios públicos,Agencia Información,Educación,PSU,Métricas de la Educación</v>
      </c>
      <c r="S42" s="83" t="str">
        <f>HYPERLINK("https://analytics.zoho.com/open-view/2395394000008416648?ZOHO_CRITERIA=%22Localiza%20CL%22.%22Codreg%22%3D"&amp;Agencia[[#This Row],[Filtro URL]])</f>
        <v>https://analytics.zoho.com/open-view/2395394000008416648?ZOHO_CRITERIA=%22Localiza%20CL%22.%22Codreg%22%3D14</v>
      </c>
      <c r="T42" s="111" t="str">
        <f>"100-C-"&amp;Agencia[[#This Row],[Filtro URL]]</f>
        <v>100-C-14</v>
      </c>
      <c r="U42" s="46" t="str">
        <f t="shared" si="20"/>
        <v>#1774B9</v>
      </c>
      <c r="V42" s="93" t="str">
        <f>+Agencia[[#This Row],[idcoleccion]]&amp;"-"&amp;Agencia[[#This Row],[id]]</f>
        <v>990-0031</v>
      </c>
      <c r="W42" s="93">
        <f>+VLOOKUP(Agencia[[#This Row],[Filtro URL]],Estructura!$X$4:$Y$500,2,0)</f>
        <v>99200014</v>
      </c>
      <c r="X42" s="93" t="str">
        <f>+VLOOKUP(Agencia[[#This Row],[tema]],Estructura!$A$4:$C$500,3,0)</f>
        <v>T-1049</v>
      </c>
      <c r="Y42" s="93" t="str">
        <f>+VLOOKUP(Agencia[[#This Row],[contenido]],Estructura!$E$4:$G$500,3,0)</f>
        <v>C-1018</v>
      </c>
      <c r="Z42" s="93" t="str">
        <f>+VLOOKUP(Agencia[[#This Row],[Filtro Integrado]],Estructura!$I$4:$K$500,3,0)</f>
        <v>FI-991</v>
      </c>
      <c r="AA42" s="93" t="str">
        <f>+VLOOKUP(Agencia[[#This Row],[Muestra]],Estructura!$M$4:$O$500,3,0)</f>
        <v>M-1031</v>
      </c>
    </row>
    <row r="43" spans="1:27" ht="71.400000000000006" x14ac:dyDescent="0.3">
      <c r="A43" s="21" t="s">
        <v>439</v>
      </c>
      <c r="B43" s="23">
        <f t="shared" si="11"/>
        <v>990</v>
      </c>
      <c r="C43" s="24" t="str">
        <f t="shared" si="12"/>
        <v>Agencia Información</v>
      </c>
      <c r="D43" s="72" t="str">
        <f t="shared" si="13"/>
        <v>Educación</v>
      </c>
      <c r="E43" s="19">
        <v>15</v>
      </c>
      <c r="F43" s="10" t="s">
        <v>3606</v>
      </c>
      <c r="G43" s="18" t="s">
        <v>4290</v>
      </c>
      <c r="H43" s="33" t="str">
        <f t="shared" si="10"/>
        <v>Región</v>
      </c>
      <c r="I43" s="34" t="s">
        <v>382</v>
      </c>
      <c r="J43" s="23" t="str">
        <f t="shared" si="14"/>
        <v>Comuna</v>
      </c>
      <c r="K43" s="23" t="str">
        <f t="shared" si="15"/>
        <v>Alumnos sobre 450 pts</v>
      </c>
      <c r="L43" s="23" t="str">
        <f t="shared" si="16"/>
        <v>Periodo 2001-2020</v>
      </c>
      <c r="M43" s="23" t="str">
        <f t="shared" si="17"/>
        <v>Porcentaje</v>
      </c>
      <c r="N43" s="23" t="str">
        <f t="shared" si="18"/>
        <v>Sistema Nacional de Información Municipal</v>
      </c>
      <c r="O43" s="26" t="str">
        <f>"Proporción de Alumnos de 4to Medio con más de 450 puntos en la PSU según dependencia de colegios en la "&amp;Agencia[[#This Row],[territorio]]</f>
        <v>Proporción de Alumnos de 4to Medio con más de 450 puntos en la PSU según dependencia de colegios en la Región de Arica y Parinacota</v>
      </c>
      <c r="P43" s="112" t="s">
        <v>6200</v>
      </c>
      <c r="Q43" s="11" t="str">
        <f t="shared" si="19"/>
        <v>Gráfico de Evolución</v>
      </c>
      <c r="R43"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Arica y Parinacota,municipal,puntaje,alumnos,calidad,colegios municipales,colegios privados,colegios particulares,colegios subvencionados,colegios públicos,Agencia Información,Educación,PSU,Métricas de la Educación</v>
      </c>
      <c r="S43" s="83" t="str">
        <f>HYPERLINK("https://analytics.zoho.com/open-view/2395394000008416648?ZOHO_CRITERIA=%22Localiza%20CL%22.%22Codreg%22%3D"&amp;Agencia[[#This Row],[Filtro URL]])</f>
        <v>https://analytics.zoho.com/open-view/2395394000008416648?ZOHO_CRITERIA=%22Localiza%20CL%22.%22Codreg%22%3D15</v>
      </c>
      <c r="T43" s="111" t="str">
        <f>"100-C-"&amp;Agencia[[#This Row],[Filtro URL]]</f>
        <v>100-C-15</v>
      </c>
      <c r="U43" s="46" t="str">
        <f t="shared" si="20"/>
        <v>#1774B9</v>
      </c>
      <c r="V43" s="93" t="str">
        <f>+Agencia[[#This Row],[idcoleccion]]&amp;"-"&amp;Agencia[[#This Row],[id]]</f>
        <v>990-0032</v>
      </c>
      <c r="W43" s="93">
        <f>+VLOOKUP(Agencia[[#This Row],[Filtro URL]],Estructura!$X$4:$Y$500,2,0)</f>
        <v>99200015</v>
      </c>
      <c r="X43" s="93" t="str">
        <f>+VLOOKUP(Agencia[[#This Row],[tema]],Estructura!$A$4:$C$500,3,0)</f>
        <v>T-1049</v>
      </c>
      <c r="Y43" s="93" t="str">
        <f>+VLOOKUP(Agencia[[#This Row],[contenido]],Estructura!$E$4:$G$500,3,0)</f>
        <v>C-1018</v>
      </c>
      <c r="Z43" s="93" t="str">
        <f>+VLOOKUP(Agencia[[#This Row],[Filtro Integrado]],Estructura!$I$4:$K$500,3,0)</f>
        <v>FI-991</v>
      </c>
      <c r="AA43" s="93" t="str">
        <f>+VLOOKUP(Agencia[[#This Row],[Muestra]],Estructura!$M$4:$O$500,3,0)</f>
        <v>M-1031</v>
      </c>
    </row>
    <row r="44" spans="1:27" ht="71.400000000000006" x14ac:dyDescent="0.3">
      <c r="A44" s="21" t="s">
        <v>440</v>
      </c>
      <c r="B44" s="23">
        <f t="shared" si="11"/>
        <v>990</v>
      </c>
      <c r="C44" s="24" t="str">
        <f t="shared" si="12"/>
        <v>Agencia Información</v>
      </c>
      <c r="D44" s="72" t="str">
        <f t="shared" si="13"/>
        <v>Educación</v>
      </c>
      <c r="E44" s="19">
        <v>16</v>
      </c>
      <c r="F44" s="10" t="s">
        <v>3606</v>
      </c>
      <c r="G44" s="18" t="s">
        <v>4290</v>
      </c>
      <c r="H44" s="33" t="str">
        <f t="shared" si="10"/>
        <v>Región</v>
      </c>
      <c r="I44" s="34" t="s">
        <v>383</v>
      </c>
      <c r="J44" s="23" t="str">
        <f t="shared" si="14"/>
        <v>Comuna</v>
      </c>
      <c r="K44" s="23" t="str">
        <f t="shared" si="15"/>
        <v>Alumnos sobre 450 pts</v>
      </c>
      <c r="L44" s="23" t="str">
        <f t="shared" si="16"/>
        <v>Periodo 2001-2020</v>
      </c>
      <c r="M44" s="23" t="str">
        <f t="shared" si="17"/>
        <v>Porcentaje</v>
      </c>
      <c r="N44" s="23" t="str">
        <f t="shared" si="18"/>
        <v>Sistema Nacional de Información Municipal</v>
      </c>
      <c r="O44" s="26" t="str">
        <f>"Proporción de Alumnos de 4to Medio con más de 450 puntos en la PSU según dependencia de colegios en la "&amp;Agencia[[#This Row],[territorio]]</f>
        <v>Proporción de Alumnos de 4to Medio con más de 450 puntos en la PSU según dependencia de colegios en la Región de Ñuble</v>
      </c>
      <c r="P44" s="112" t="s">
        <v>6212</v>
      </c>
      <c r="Q44" s="11" t="str">
        <f t="shared" si="19"/>
        <v>Gráfico de Evolución</v>
      </c>
      <c r="R44" s="144" t="str">
        <f>Agencia[[#This Row],[territorio]]&amp;",municipal,puntaje,alumnos,calidad,colegios municipales,colegios privados,colegios particulares,colegios subvencionados,colegios públicos,"&amp;Agencia[[#This Row],[coleccion]]&amp;","&amp;Agencia[[#This Row],[sector]]&amp;","&amp;Agencia[[#This Row],[tema]]&amp;","&amp;Agencia[[#This Row],[contenido]]</f>
        <v>Región de Ñuble,municipal,puntaje,alumnos,calidad,colegios municipales,colegios privados,colegios particulares,colegios subvencionados,colegios públicos,Agencia Información,Educación,PSU,Métricas de la Educación</v>
      </c>
      <c r="S44" s="83" t="str">
        <f>HYPERLINK("https://analytics.zoho.com/open-view/2395394000008416648?ZOHO_CRITERIA=%22Localiza%20CL%22.%22Codreg%22%3D"&amp;Agencia[[#This Row],[Filtro URL]])</f>
        <v>https://analytics.zoho.com/open-view/2395394000008416648?ZOHO_CRITERIA=%22Localiza%20CL%22.%22Codreg%22%3D16</v>
      </c>
      <c r="T44" s="111" t="str">
        <f>"100-C-"&amp;Agencia[[#This Row],[Filtro URL]]</f>
        <v>100-C-16</v>
      </c>
      <c r="U44" s="46" t="str">
        <f t="shared" si="20"/>
        <v>#1774B9</v>
      </c>
      <c r="V44" s="93" t="str">
        <f>+Agencia[[#This Row],[idcoleccion]]&amp;"-"&amp;Agencia[[#This Row],[id]]</f>
        <v>990-0033</v>
      </c>
      <c r="W44" s="93">
        <f>+VLOOKUP(Agencia[[#This Row],[Filtro URL]],Estructura!$X$4:$Y$500,2,0)</f>
        <v>99200016</v>
      </c>
      <c r="X44" s="93" t="str">
        <f>+VLOOKUP(Agencia[[#This Row],[tema]],Estructura!$A$4:$C$500,3,0)</f>
        <v>T-1049</v>
      </c>
      <c r="Y44" s="93" t="str">
        <f>+VLOOKUP(Agencia[[#This Row],[contenido]],Estructura!$E$4:$G$500,3,0)</f>
        <v>C-1018</v>
      </c>
      <c r="Z44" s="93" t="str">
        <f>+VLOOKUP(Agencia[[#This Row],[Filtro Integrado]],Estructura!$I$4:$K$500,3,0)</f>
        <v>FI-991</v>
      </c>
      <c r="AA44" s="93" t="str">
        <f>+VLOOKUP(Agencia[[#This Row],[Muestra]],Estructura!$M$4:$O$500,3,0)</f>
        <v>M-1031</v>
      </c>
    </row>
    <row r="45" spans="1:27" ht="48" x14ac:dyDescent="0.3">
      <c r="A45" s="21" t="s">
        <v>441</v>
      </c>
      <c r="B45" s="23">
        <f t="shared" ref="B45:B57" si="21">+B44</f>
        <v>990</v>
      </c>
      <c r="C45" s="24" t="str">
        <f t="shared" ref="C45:C57" si="22">+C44</f>
        <v>Agencia Información</v>
      </c>
      <c r="D45" s="72" t="s">
        <v>459</v>
      </c>
      <c r="E45" s="14">
        <v>0</v>
      </c>
      <c r="F45" s="24" t="s">
        <v>460</v>
      </c>
      <c r="G45" s="25" t="s">
        <v>1877</v>
      </c>
      <c r="H45" s="31" t="s">
        <v>20</v>
      </c>
      <c r="I45" s="32" t="s">
        <v>15</v>
      </c>
      <c r="J45" s="23" t="s">
        <v>956</v>
      </c>
      <c r="K45" s="23" t="s">
        <v>800</v>
      </c>
      <c r="L45" s="23" t="s">
        <v>1547</v>
      </c>
      <c r="M45" s="23" t="s">
        <v>458</v>
      </c>
      <c r="N45" s="23" t="s">
        <v>456</v>
      </c>
      <c r="O45" s="20" t="str">
        <f>+"Evolución de denuncias por violación en "&amp;I45&amp;" en el "&amp;Agencia[[#This Row],[temporalidad]]</f>
        <v>Evolución de denuncias por violación en Chile en el Periodo 2008-2020</v>
      </c>
      <c r="P45" s="112" t="s">
        <v>7198</v>
      </c>
      <c r="Q45" s="11" t="s">
        <v>784</v>
      </c>
      <c r="R45" s="20" t="str">
        <f>Agencia[[#This Row],[territorio]]&amp;",comunas,violencia,mujer,violacion,denuncias,frecuencia,evolución,"&amp;Agencia[[#This Row],[coleccion]]&amp;","&amp;Agencia[[#This Row],[sector]]&amp;","&amp;Agencia[[#This Row],[tema]]&amp;","&amp;Agencia[[#This Row],[contenido]]</f>
        <v>Chile,comunas,violencia,mujer,violacion,denuncias,frecuencia,evolución,Agencia Información,Mujeres,Violaciones,Violencia Contra la Mujer</v>
      </c>
      <c r="S45" s="37" t="s">
        <v>983</v>
      </c>
      <c r="T45" s="108" t="s">
        <v>957</v>
      </c>
      <c r="U45" s="46" t="str">
        <f t="shared" ref="U45:U57" si="23">+U44</f>
        <v>#1774B9</v>
      </c>
      <c r="V45" s="93" t="str">
        <f>+Agencia[[#This Row],[idcoleccion]]&amp;"-"&amp;Agencia[[#This Row],[id]]</f>
        <v>990-0034</v>
      </c>
      <c r="W45" s="93">
        <f>+VLOOKUP(Agencia[[#This Row],[Filtro URL]],Estructura!$X$4:$Y$500,2,0)</f>
        <v>99100000</v>
      </c>
      <c r="X45" s="93" t="str">
        <f>+VLOOKUP(Agencia[[#This Row],[tema]],Estructura!$A$4:$C$500,3,0)</f>
        <v>T-1018</v>
      </c>
      <c r="Y45" s="93" t="str">
        <f>+VLOOKUP(Agencia[[#This Row],[contenido]],Estructura!$E$4:$G$500,3,0)</f>
        <v>C-996</v>
      </c>
      <c r="Z45" s="93" t="str">
        <f>+VLOOKUP(Agencia[[#This Row],[Filtro Integrado]],Estructura!$I$4:$K$500,3,0)</f>
        <v>FI-994</v>
      </c>
      <c r="AA45" s="93" t="str">
        <f>+VLOOKUP(Agencia[[#This Row],[Muestra]],Estructura!$M$4:$O$500,3,0)</f>
        <v>M-991</v>
      </c>
    </row>
    <row r="46" spans="1:27" ht="57.6" x14ac:dyDescent="0.3">
      <c r="A46" s="21" t="s">
        <v>442</v>
      </c>
      <c r="B46" s="23">
        <f t="shared" si="21"/>
        <v>990</v>
      </c>
      <c r="C46" s="24" t="str">
        <f t="shared" si="22"/>
        <v>Agencia Información</v>
      </c>
      <c r="D46" s="72" t="str">
        <f t="shared" ref="D46:D57" si="24">+D45</f>
        <v>Mujeres</v>
      </c>
      <c r="E46" s="19">
        <v>1</v>
      </c>
      <c r="F46" s="24" t="s">
        <v>460</v>
      </c>
      <c r="G46" s="25" t="s">
        <v>1877</v>
      </c>
      <c r="H46" s="33" t="s">
        <v>16</v>
      </c>
      <c r="I46" s="34" t="s">
        <v>368</v>
      </c>
      <c r="J46" s="23" t="s">
        <v>18</v>
      </c>
      <c r="K46" s="23" t="s">
        <v>800</v>
      </c>
      <c r="L46" s="23" t="str">
        <f t="shared" ref="L46:L57" si="25">+L45</f>
        <v>Periodo 2008-2020</v>
      </c>
      <c r="M46" s="23" t="str">
        <f t="shared" ref="M46:M57" si="26">+M45</f>
        <v>Número de Denuncias</v>
      </c>
      <c r="N46" s="23" t="str">
        <f t="shared" ref="N46:N57" si="27">+N45</f>
        <v>Centro de Estudios y Análisis del Delito (CEAD) de la Subsecretaría de Prevención del Delito</v>
      </c>
      <c r="O46" s="20" t="str">
        <f>+"Evolución de denuncias por violación en la "&amp;I46&amp;" en el "&amp;Agencia[[#This Row],[temporalidad]]</f>
        <v>Evolución de denuncias por violación en la Región de Tarapacá en el Periodo 2008-2020</v>
      </c>
      <c r="P46" s="112" t="s">
        <v>7199</v>
      </c>
      <c r="Q46" s="11" t="str">
        <f t="shared" ref="Q46:Q57" si="28">+Q45</f>
        <v>Gráfico de Evolución</v>
      </c>
      <c r="R46" s="148" t="str">
        <f>Agencia[[#This Row],[territorio]]&amp;",comunas,violencia,mujer,violacion,denuncias,frecuencia,evolución,"&amp;Agencia[[#This Row],[coleccion]]&amp;","&amp;Agencia[[#This Row],[sector]]&amp;","&amp;Agencia[[#This Row],[tema]]&amp;","&amp;Agencia[[#This Row],[contenido]]</f>
        <v>Región de Tarapacá,comunas,violencia,mujer,violacion,denuncias,frecuencia,evolución,Agencia Información,Mujeres,Violaciones,Violencia Contra la Mujer</v>
      </c>
      <c r="S46" s="37" t="str">
        <f>HYPERLINK("https://analytics.zoho.com/open-view/2395394000008231335?ZOHO_CRITERIA=%22Localiza%20CL%22.%22Codreg%22%3D"&amp;Agencia[[#This Row],[Filtro URL]])</f>
        <v>https://analytics.zoho.com/open-view/2395394000008231335?ZOHO_CRITERIA=%22Localiza%20CL%22.%22Codreg%22%3D1</v>
      </c>
      <c r="T46" s="111" t="str">
        <f>"100-C-"&amp;Agencia[[#This Row],[Filtro URL]]</f>
        <v>100-C-1</v>
      </c>
      <c r="U46" s="46" t="str">
        <f t="shared" si="23"/>
        <v>#1774B9</v>
      </c>
      <c r="V46" s="93" t="str">
        <f>+Agencia[[#This Row],[idcoleccion]]&amp;"-"&amp;Agencia[[#This Row],[id]]</f>
        <v>990-0035</v>
      </c>
      <c r="W46" s="93">
        <f>+VLOOKUP(Agencia[[#This Row],[Filtro URL]],Estructura!$X$4:$Y$500,2,0)</f>
        <v>99200001</v>
      </c>
      <c r="X46" s="93" t="str">
        <f>+VLOOKUP(Agencia[[#This Row],[tema]],Estructura!$A$4:$C$500,3,0)</f>
        <v>T-1018</v>
      </c>
      <c r="Y46" s="93" t="str">
        <f>+VLOOKUP(Agencia[[#This Row],[contenido]],Estructura!$E$4:$G$500,3,0)</f>
        <v>C-996</v>
      </c>
      <c r="Z46" s="93" t="str">
        <f>+VLOOKUP(Agencia[[#This Row],[Filtro Integrado]],Estructura!$I$4:$K$500,3,0)</f>
        <v>FI-991</v>
      </c>
      <c r="AA46" s="93" t="str">
        <f>+VLOOKUP(Agencia[[#This Row],[Muestra]],Estructura!$M$4:$O$500,3,0)</f>
        <v>M-991</v>
      </c>
    </row>
    <row r="47" spans="1:27" ht="57.6" x14ac:dyDescent="0.3">
      <c r="A47" s="21" t="s">
        <v>443</v>
      </c>
      <c r="B47" s="23">
        <f t="shared" si="21"/>
        <v>990</v>
      </c>
      <c r="C47" s="24" t="str">
        <f t="shared" si="22"/>
        <v>Agencia Información</v>
      </c>
      <c r="D47" s="72" t="str">
        <f t="shared" si="24"/>
        <v>Mujeres</v>
      </c>
      <c r="E47" s="19">
        <v>2</v>
      </c>
      <c r="F47" s="24" t="s">
        <v>460</v>
      </c>
      <c r="G47" s="25" t="s">
        <v>1877</v>
      </c>
      <c r="H47" s="33" t="s">
        <v>16</v>
      </c>
      <c r="I47" s="34" t="s">
        <v>369</v>
      </c>
      <c r="J47" s="23" t="str">
        <f t="shared" ref="J47:J57" si="29">+J46</f>
        <v>Comuna</v>
      </c>
      <c r="K47" s="23" t="str">
        <f t="shared" ref="K47:K57" si="30">+K46</f>
        <v>Denuncias por violación por comuna</v>
      </c>
      <c r="L47" s="23" t="str">
        <f t="shared" si="25"/>
        <v>Periodo 2008-2020</v>
      </c>
      <c r="M47" s="23" t="str">
        <f t="shared" si="26"/>
        <v>Número de Denuncias</v>
      </c>
      <c r="N47" s="23" t="str">
        <f t="shared" si="27"/>
        <v>Centro de Estudios y Análisis del Delito (CEAD) de la Subsecretaría de Prevención del Delito</v>
      </c>
      <c r="O47" s="20" t="str">
        <f>+"Distribución comunal de denuncias por violación en la "&amp;I47&amp;" en el "&amp;Agencia[[#This Row],[temporalidad]]</f>
        <v>Distribución comunal de denuncias por violación en la Región de Antofagasta en el Periodo 2008-2020</v>
      </c>
      <c r="P47" s="112" t="s">
        <v>7200</v>
      </c>
      <c r="Q47" s="11" t="str">
        <f t="shared" si="28"/>
        <v>Gráfico de Evolución</v>
      </c>
      <c r="R47" s="148" t="str">
        <f>Agencia[[#This Row],[territorio]]&amp;",comunas,violencia,mujer,violacion,denuncias,frecuencia,evolución,"&amp;Agencia[[#This Row],[coleccion]]&amp;","&amp;Agencia[[#This Row],[sector]]&amp;","&amp;Agencia[[#This Row],[tema]]&amp;","&amp;Agencia[[#This Row],[contenido]]</f>
        <v>Región de Antofagasta,comunas,violencia,mujer,violacion,denuncias,frecuencia,evolución,Agencia Información,Mujeres,Violaciones,Violencia Contra la Mujer</v>
      </c>
      <c r="S47" s="37" t="str">
        <f>HYPERLINK("https://analytics.zoho.com/open-view/2395394000008231335?ZOHO_CRITERIA=%22Localiza%20CL%22.%22Codreg%22%3D"&amp;Agencia[[#This Row],[Filtro URL]])</f>
        <v>https://analytics.zoho.com/open-view/2395394000008231335?ZOHO_CRITERIA=%22Localiza%20CL%22.%22Codreg%22%3D2</v>
      </c>
      <c r="T47" s="111" t="str">
        <f>"100-C-"&amp;Agencia[[#This Row],[Filtro URL]]</f>
        <v>100-C-2</v>
      </c>
      <c r="U47" s="46" t="str">
        <f t="shared" si="23"/>
        <v>#1774B9</v>
      </c>
      <c r="V47" s="93" t="str">
        <f>+Agencia[[#This Row],[idcoleccion]]&amp;"-"&amp;Agencia[[#This Row],[id]]</f>
        <v>990-0036</v>
      </c>
      <c r="W47" s="93">
        <f>+VLOOKUP(Agencia[[#This Row],[Filtro URL]],Estructura!$X$4:$Y$500,2,0)</f>
        <v>99200002</v>
      </c>
      <c r="X47" s="93" t="str">
        <f>+VLOOKUP(Agencia[[#This Row],[tema]],Estructura!$A$4:$C$500,3,0)</f>
        <v>T-1018</v>
      </c>
      <c r="Y47" s="93" t="str">
        <f>+VLOOKUP(Agencia[[#This Row],[contenido]],Estructura!$E$4:$G$500,3,0)</f>
        <v>C-996</v>
      </c>
      <c r="Z47" s="93" t="str">
        <f>+VLOOKUP(Agencia[[#This Row],[Filtro Integrado]],Estructura!$I$4:$K$500,3,0)</f>
        <v>FI-991</v>
      </c>
      <c r="AA47" s="93" t="str">
        <f>+VLOOKUP(Agencia[[#This Row],[Muestra]],Estructura!$M$4:$O$500,3,0)</f>
        <v>M-991</v>
      </c>
    </row>
    <row r="48" spans="1:27" ht="57.6" x14ac:dyDescent="0.3">
      <c r="A48" s="21" t="s">
        <v>444</v>
      </c>
      <c r="B48" s="23">
        <f t="shared" si="21"/>
        <v>990</v>
      </c>
      <c r="C48" s="24" t="str">
        <f t="shared" si="22"/>
        <v>Agencia Información</v>
      </c>
      <c r="D48" s="72" t="str">
        <f t="shared" si="24"/>
        <v>Mujeres</v>
      </c>
      <c r="E48" s="19">
        <v>3</v>
      </c>
      <c r="F48" s="24" t="s">
        <v>460</v>
      </c>
      <c r="G48" s="25" t="s">
        <v>1877</v>
      </c>
      <c r="H48" s="33" t="s">
        <v>16</v>
      </c>
      <c r="I48" s="34" t="s">
        <v>370</v>
      </c>
      <c r="J48" s="23" t="str">
        <f t="shared" si="29"/>
        <v>Comuna</v>
      </c>
      <c r="K48" s="23" t="str">
        <f t="shared" si="30"/>
        <v>Denuncias por violación por comuna</v>
      </c>
      <c r="L48" s="23" t="str">
        <f t="shared" si="25"/>
        <v>Periodo 2008-2020</v>
      </c>
      <c r="M48" s="23" t="str">
        <f t="shared" si="26"/>
        <v>Número de Denuncias</v>
      </c>
      <c r="N48" s="23" t="str">
        <f t="shared" si="27"/>
        <v>Centro de Estudios y Análisis del Delito (CEAD) de la Subsecretaría de Prevención del Delito</v>
      </c>
      <c r="O48" s="20" t="str">
        <f>+"Distribución comunal de denuncias por violación en la "&amp;I48&amp;" en el "&amp;Agencia[[#This Row],[temporalidad]]</f>
        <v>Distribución comunal de denuncias por violación en la Región de Atacama en el Periodo 2008-2020</v>
      </c>
      <c r="P48" s="112" t="s">
        <v>7201</v>
      </c>
      <c r="Q48" s="11" t="str">
        <f t="shared" si="28"/>
        <v>Gráfico de Evolución</v>
      </c>
      <c r="R48" s="148" t="str">
        <f>Agencia[[#This Row],[territorio]]&amp;",comunas,violencia,mujer,violacion,denuncias,frecuencia,evolución,"&amp;Agencia[[#This Row],[coleccion]]&amp;","&amp;Agencia[[#This Row],[sector]]&amp;","&amp;Agencia[[#This Row],[tema]]&amp;","&amp;Agencia[[#This Row],[contenido]]</f>
        <v>Región de Atacama,comunas,violencia,mujer,violacion,denuncias,frecuencia,evolución,Agencia Información,Mujeres,Violaciones,Violencia Contra la Mujer</v>
      </c>
      <c r="S48" s="37" t="str">
        <f>HYPERLINK("https://analytics.zoho.com/open-view/2395394000008231335?ZOHO_CRITERIA=%22Localiza%20CL%22.%22Codreg%22%3D"&amp;Agencia[[#This Row],[Filtro URL]])</f>
        <v>https://analytics.zoho.com/open-view/2395394000008231335?ZOHO_CRITERIA=%22Localiza%20CL%22.%22Codreg%22%3D3</v>
      </c>
      <c r="T48" s="111" t="str">
        <f>"100-C-"&amp;Agencia[[#This Row],[Filtro URL]]</f>
        <v>100-C-3</v>
      </c>
      <c r="U48" s="46" t="str">
        <f t="shared" si="23"/>
        <v>#1774B9</v>
      </c>
      <c r="V48" s="93" t="str">
        <f>+Agencia[[#This Row],[idcoleccion]]&amp;"-"&amp;Agencia[[#This Row],[id]]</f>
        <v>990-0037</v>
      </c>
      <c r="W48" s="93">
        <f>+VLOOKUP(Agencia[[#This Row],[Filtro URL]],Estructura!$X$4:$Y$500,2,0)</f>
        <v>99200003</v>
      </c>
      <c r="X48" s="93" t="str">
        <f>+VLOOKUP(Agencia[[#This Row],[tema]],Estructura!$A$4:$C$500,3,0)</f>
        <v>T-1018</v>
      </c>
      <c r="Y48" s="93" t="str">
        <f>+VLOOKUP(Agencia[[#This Row],[contenido]],Estructura!$E$4:$G$500,3,0)</f>
        <v>C-996</v>
      </c>
      <c r="Z48" s="93" t="str">
        <f>+VLOOKUP(Agencia[[#This Row],[Filtro Integrado]],Estructura!$I$4:$K$500,3,0)</f>
        <v>FI-991</v>
      </c>
      <c r="AA48" s="93" t="str">
        <f>+VLOOKUP(Agencia[[#This Row],[Muestra]],Estructura!$M$4:$O$500,3,0)</f>
        <v>M-991</v>
      </c>
    </row>
    <row r="49" spans="1:27" ht="57.6" x14ac:dyDescent="0.3">
      <c r="A49" s="21" t="s">
        <v>445</v>
      </c>
      <c r="B49" s="23">
        <f t="shared" si="21"/>
        <v>990</v>
      </c>
      <c r="C49" s="24" t="str">
        <f t="shared" si="22"/>
        <v>Agencia Información</v>
      </c>
      <c r="D49" s="72" t="str">
        <f t="shared" si="24"/>
        <v>Mujeres</v>
      </c>
      <c r="E49" s="19">
        <v>4</v>
      </c>
      <c r="F49" s="24" t="s">
        <v>460</v>
      </c>
      <c r="G49" s="25" t="s">
        <v>1877</v>
      </c>
      <c r="H49" s="33" t="s">
        <v>16</v>
      </c>
      <c r="I49" s="34" t="s">
        <v>371</v>
      </c>
      <c r="J49" s="23" t="str">
        <f t="shared" si="29"/>
        <v>Comuna</v>
      </c>
      <c r="K49" s="23" t="str">
        <f t="shared" si="30"/>
        <v>Denuncias por violación por comuna</v>
      </c>
      <c r="L49" s="23" t="str">
        <f t="shared" si="25"/>
        <v>Periodo 2008-2020</v>
      </c>
      <c r="M49" s="23" t="str">
        <f t="shared" si="26"/>
        <v>Número de Denuncias</v>
      </c>
      <c r="N49" s="23" t="str">
        <f t="shared" si="27"/>
        <v>Centro de Estudios y Análisis del Delito (CEAD) de la Subsecretaría de Prevención del Delito</v>
      </c>
      <c r="O49" s="20" t="str">
        <f>+"Distribución comunal de denuncias por violación en la "&amp;I49&amp;" en el "&amp;Agencia[[#This Row],[temporalidad]]</f>
        <v>Distribución comunal de denuncias por violación en la Región de Coquimbo en el Periodo 2008-2020</v>
      </c>
      <c r="P49" s="112" t="s">
        <v>7202</v>
      </c>
      <c r="Q49" s="11" t="str">
        <f t="shared" si="28"/>
        <v>Gráfico de Evolución</v>
      </c>
      <c r="R49" s="148" t="str">
        <f>Agencia[[#This Row],[territorio]]&amp;",comunas,violencia,mujer,violacion,denuncias,frecuencia,evolución,"&amp;Agencia[[#This Row],[coleccion]]&amp;","&amp;Agencia[[#This Row],[sector]]&amp;","&amp;Agencia[[#This Row],[tema]]&amp;","&amp;Agencia[[#This Row],[contenido]]</f>
        <v>Región de Coquimbo,comunas,violencia,mujer,violacion,denuncias,frecuencia,evolución,Agencia Información,Mujeres,Violaciones,Violencia Contra la Mujer</v>
      </c>
      <c r="S49" s="37" t="str">
        <f>HYPERLINK("https://analytics.zoho.com/open-view/2395394000008231335?ZOHO_CRITERIA=%22Localiza%20CL%22.%22Codreg%22%3D"&amp;Agencia[[#This Row],[Filtro URL]])</f>
        <v>https://analytics.zoho.com/open-view/2395394000008231335?ZOHO_CRITERIA=%22Localiza%20CL%22.%22Codreg%22%3D4</v>
      </c>
      <c r="T49" s="111" t="str">
        <f>"100-C-"&amp;Agencia[[#This Row],[Filtro URL]]</f>
        <v>100-C-4</v>
      </c>
      <c r="U49" s="46" t="str">
        <f t="shared" si="23"/>
        <v>#1774B9</v>
      </c>
      <c r="V49" s="93" t="str">
        <f>+Agencia[[#This Row],[idcoleccion]]&amp;"-"&amp;Agencia[[#This Row],[id]]</f>
        <v>990-0038</v>
      </c>
      <c r="W49" s="93">
        <f>+VLOOKUP(Agencia[[#This Row],[Filtro URL]],Estructura!$X$4:$Y$500,2,0)</f>
        <v>99200004</v>
      </c>
      <c r="X49" s="93" t="str">
        <f>+VLOOKUP(Agencia[[#This Row],[tema]],Estructura!$A$4:$C$500,3,0)</f>
        <v>T-1018</v>
      </c>
      <c r="Y49" s="93" t="str">
        <f>+VLOOKUP(Agencia[[#This Row],[contenido]],Estructura!$E$4:$G$500,3,0)</f>
        <v>C-996</v>
      </c>
      <c r="Z49" s="93" t="str">
        <f>+VLOOKUP(Agencia[[#This Row],[Filtro Integrado]],Estructura!$I$4:$K$500,3,0)</f>
        <v>FI-991</v>
      </c>
      <c r="AA49" s="93" t="str">
        <f>+VLOOKUP(Agencia[[#This Row],[Muestra]],Estructura!$M$4:$O$500,3,0)</f>
        <v>M-991</v>
      </c>
    </row>
    <row r="50" spans="1:27" ht="57.6" x14ac:dyDescent="0.3">
      <c r="A50" s="21" t="s">
        <v>446</v>
      </c>
      <c r="B50" s="23">
        <f t="shared" si="21"/>
        <v>990</v>
      </c>
      <c r="C50" s="24" t="str">
        <f t="shared" si="22"/>
        <v>Agencia Información</v>
      </c>
      <c r="D50" s="72" t="str">
        <f t="shared" si="24"/>
        <v>Mujeres</v>
      </c>
      <c r="E50" s="19">
        <v>5</v>
      </c>
      <c r="F50" s="24" t="s">
        <v>460</v>
      </c>
      <c r="G50" s="25" t="s">
        <v>1877</v>
      </c>
      <c r="H50" s="33" t="s">
        <v>16</v>
      </c>
      <c r="I50" s="34" t="s">
        <v>372</v>
      </c>
      <c r="J50" s="23" t="str">
        <f t="shared" si="29"/>
        <v>Comuna</v>
      </c>
      <c r="K50" s="23" t="str">
        <f t="shared" si="30"/>
        <v>Denuncias por violación por comuna</v>
      </c>
      <c r="L50" s="23" t="str">
        <f t="shared" si="25"/>
        <v>Periodo 2008-2020</v>
      </c>
      <c r="M50" s="23" t="str">
        <f t="shared" si="26"/>
        <v>Número de Denuncias</v>
      </c>
      <c r="N50" s="23" t="str">
        <f t="shared" si="27"/>
        <v>Centro de Estudios y Análisis del Delito (CEAD) de la Subsecretaría de Prevención del Delito</v>
      </c>
      <c r="O50" s="20" t="str">
        <f>+"Distribución comunal de denuncias por violación en la "&amp;I50&amp;" en el "&amp;Agencia[[#This Row],[temporalidad]]</f>
        <v>Distribución comunal de denuncias por violación en la Región de Valparaíso en el Periodo 2008-2020</v>
      </c>
      <c r="P50" s="112" t="s">
        <v>7203</v>
      </c>
      <c r="Q50" s="11" t="str">
        <f t="shared" si="28"/>
        <v>Gráfico de Evolución</v>
      </c>
      <c r="R50" s="148" t="str">
        <f>Agencia[[#This Row],[territorio]]&amp;",comunas,violencia,mujer,violacion,denuncias,frecuencia,evolución,"&amp;Agencia[[#This Row],[coleccion]]&amp;","&amp;Agencia[[#This Row],[sector]]&amp;","&amp;Agencia[[#This Row],[tema]]&amp;","&amp;Agencia[[#This Row],[contenido]]</f>
        <v>Región de Valparaíso,comunas,violencia,mujer,violacion,denuncias,frecuencia,evolución,Agencia Información,Mujeres,Violaciones,Violencia Contra la Mujer</v>
      </c>
      <c r="S50" s="37" t="str">
        <f>HYPERLINK("https://analytics.zoho.com/open-view/2395394000008231335?ZOHO_CRITERIA=%22Localiza%20CL%22.%22Codreg%22%3D"&amp;Agencia[[#This Row],[Filtro URL]])</f>
        <v>https://analytics.zoho.com/open-view/2395394000008231335?ZOHO_CRITERIA=%22Localiza%20CL%22.%22Codreg%22%3D5</v>
      </c>
      <c r="T50" s="111" t="str">
        <f>"100-C-"&amp;Agencia[[#This Row],[Filtro URL]]</f>
        <v>100-C-5</v>
      </c>
      <c r="U50" s="46" t="str">
        <f t="shared" si="23"/>
        <v>#1774B9</v>
      </c>
      <c r="V50" s="93" t="str">
        <f>+Agencia[[#This Row],[idcoleccion]]&amp;"-"&amp;Agencia[[#This Row],[id]]</f>
        <v>990-0039</v>
      </c>
      <c r="W50" s="93">
        <f>+VLOOKUP(Agencia[[#This Row],[Filtro URL]],Estructura!$X$4:$Y$500,2,0)</f>
        <v>99200005</v>
      </c>
      <c r="X50" s="93" t="str">
        <f>+VLOOKUP(Agencia[[#This Row],[tema]],Estructura!$A$4:$C$500,3,0)</f>
        <v>T-1018</v>
      </c>
      <c r="Y50" s="93" t="str">
        <f>+VLOOKUP(Agencia[[#This Row],[contenido]],Estructura!$E$4:$G$500,3,0)</f>
        <v>C-996</v>
      </c>
      <c r="Z50" s="93" t="str">
        <f>+VLOOKUP(Agencia[[#This Row],[Filtro Integrado]],Estructura!$I$4:$K$500,3,0)</f>
        <v>FI-991</v>
      </c>
      <c r="AA50" s="93" t="str">
        <f>+VLOOKUP(Agencia[[#This Row],[Muestra]],Estructura!$M$4:$O$500,3,0)</f>
        <v>M-991</v>
      </c>
    </row>
    <row r="51" spans="1:27" ht="57.6" x14ac:dyDescent="0.3">
      <c r="A51" s="21" t="s">
        <v>447</v>
      </c>
      <c r="B51" s="23">
        <f t="shared" si="21"/>
        <v>990</v>
      </c>
      <c r="C51" s="24" t="str">
        <f t="shared" si="22"/>
        <v>Agencia Información</v>
      </c>
      <c r="D51" s="72" t="str">
        <f t="shared" si="24"/>
        <v>Mujeres</v>
      </c>
      <c r="E51" s="19">
        <v>6</v>
      </c>
      <c r="F51" s="24" t="s">
        <v>460</v>
      </c>
      <c r="G51" s="25" t="s">
        <v>1877</v>
      </c>
      <c r="H51" s="33" t="s">
        <v>16</v>
      </c>
      <c r="I51" s="34" t="s">
        <v>373</v>
      </c>
      <c r="J51" s="23" t="str">
        <f t="shared" si="29"/>
        <v>Comuna</v>
      </c>
      <c r="K51" s="23" t="str">
        <f t="shared" si="30"/>
        <v>Denuncias por violación por comuna</v>
      </c>
      <c r="L51" s="23" t="str">
        <f t="shared" si="25"/>
        <v>Periodo 2008-2020</v>
      </c>
      <c r="M51" s="23" t="str">
        <f t="shared" si="26"/>
        <v>Número de Denuncias</v>
      </c>
      <c r="N51" s="23" t="str">
        <f t="shared" si="27"/>
        <v>Centro de Estudios y Análisis del Delito (CEAD) de la Subsecretaría de Prevención del Delito</v>
      </c>
      <c r="O51" s="20" t="str">
        <f>+"Distribución comunal de denuncias por violación en la "&amp;I51&amp;" en el "&amp;Agencia[[#This Row],[temporalidad]]</f>
        <v>Distribución comunal de denuncias por violación en la Región de O'Higgins en el Periodo 2008-2020</v>
      </c>
      <c r="P51" s="112" t="s">
        <v>7204</v>
      </c>
      <c r="Q51" s="11" t="str">
        <f t="shared" si="28"/>
        <v>Gráfico de Evolución</v>
      </c>
      <c r="R51" s="148" t="str">
        <f>Agencia[[#This Row],[territorio]]&amp;",comunas,violencia,mujer,violacion,denuncias,frecuencia,evolución,"&amp;Agencia[[#This Row],[coleccion]]&amp;","&amp;Agencia[[#This Row],[sector]]&amp;","&amp;Agencia[[#This Row],[tema]]&amp;","&amp;Agencia[[#This Row],[contenido]]</f>
        <v>Región de O'Higgins,comunas,violencia,mujer,violacion,denuncias,frecuencia,evolución,Agencia Información,Mujeres,Violaciones,Violencia Contra la Mujer</v>
      </c>
      <c r="S51" s="37" t="str">
        <f>HYPERLINK("https://analytics.zoho.com/open-view/2395394000008231335?ZOHO_CRITERIA=%22Localiza%20CL%22.%22Codreg%22%3D"&amp;Agencia[[#This Row],[Filtro URL]])</f>
        <v>https://analytics.zoho.com/open-view/2395394000008231335?ZOHO_CRITERIA=%22Localiza%20CL%22.%22Codreg%22%3D6</v>
      </c>
      <c r="T51" s="111" t="str">
        <f>"100-C-"&amp;Agencia[[#This Row],[Filtro URL]]</f>
        <v>100-C-6</v>
      </c>
      <c r="U51" s="46" t="str">
        <f t="shared" si="23"/>
        <v>#1774B9</v>
      </c>
      <c r="V51" s="93" t="str">
        <f>+Agencia[[#This Row],[idcoleccion]]&amp;"-"&amp;Agencia[[#This Row],[id]]</f>
        <v>990-0040</v>
      </c>
      <c r="W51" s="93">
        <f>+VLOOKUP(Agencia[[#This Row],[Filtro URL]],Estructura!$X$4:$Y$500,2,0)</f>
        <v>99200006</v>
      </c>
      <c r="X51" s="93" t="str">
        <f>+VLOOKUP(Agencia[[#This Row],[tema]],Estructura!$A$4:$C$500,3,0)</f>
        <v>T-1018</v>
      </c>
      <c r="Y51" s="93" t="str">
        <f>+VLOOKUP(Agencia[[#This Row],[contenido]],Estructura!$E$4:$G$500,3,0)</f>
        <v>C-996</v>
      </c>
      <c r="Z51" s="93" t="str">
        <f>+VLOOKUP(Agencia[[#This Row],[Filtro Integrado]],Estructura!$I$4:$K$500,3,0)</f>
        <v>FI-991</v>
      </c>
      <c r="AA51" s="93" t="str">
        <f>+VLOOKUP(Agencia[[#This Row],[Muestra]],Estructura!$M$4:$O$500,3,0)</f>
        <v>M-991</v>
      </c>
    </row>
    <row r="52" spans="1:27" ht="57.6" x14ac:dyDescent="0.3">
      <c r="A52" s="21" t="s">
        <v>448</v>
      </c>
      <c r="B52" s="23">
        <f t="shared" si="21"/>
        <v>990</v>
      </c>
      <c r="C52" s="24" t="str">
        <f t="shared" si="22"/>
        <v>Agencia Información</v>
      </c>
      <c r="D52" s="72" t="str">
        <f t="shared" si="24"/>
        <v>Mujeres</v>
      </c>
      <c r="E52" s="19">
        <v>7</v>
      </c>
      <c r="F52" s="24" t="s">
        <v>460</v>
      </c>
      <c r="G52" s="25" t="s">
        <v>1877</v>
      </c>
      <c r="H52" s="33" t="s">
        <v>16</v>
      </c>
      <c r="I52" s="34" t="s">
        <v>374</v>
      </c>
      <c r="J52" s="23" t="str">
        <f t="shared" si="29"/>
        <v>Comuna</v>
      </c>
      <c r="K52" s="23" t="str">
        <f t="shared" si="30"/>
        <v>Denuncias por violación por comuna</v>
      </c>
      <c r="L52" s="23" t="str">
        <f t="shared" si="25"/>
        <v>Periodo 2008-2020</v>
      </c>
      <c r="M52" s="23" t="str">
        <f t="shared" si="26"/>
        <v>Número de Denuncias</v>
      </c>
      <c r="N52" s="23" t="str">
        <f t="shared" si="27"/>
        <v>Centro de Estudios y Análisis del Delito (CEAD) de la Subsecretaría de Prevención del Delito</v>
      </c>
      <c r="O52" s="20" t="str">
        <f>+"Distribución comunal de denuncias por violación en la "&amp;I52&amp;" en el "&amp;Agencia[[#This Row],[temporalidad]]</f>
        <v>Distribución comunal de denuncias por violación en la Región de Maule en el Periodo 2008-2020</v>
      </c>
      <c r="P52" s="112" t="s">
        <v>7205</v>
      </c>
      <c r="Q52" s="11" t="str">
        <f t="shared" si="28"/>
        <v>Gráfico de Evolución</v>
      </c>
      <c r="R52" s="148" t="str">
        <f>Agencia[[#This Row],[territorio]]&amp;",comunas,violencia,mujer,violacion,denuncias,frecuencia,evolución,"&amp;Agencia[[#This Row],[coleccion]]&amp;","&amp;Agencia[[#This Row],[sector]]&amp;","&amp;Agencia[[#This Row],[tema]]&amp;","&amp;Agencia[[#This Row],[contenido]]</f>
        <v>Región de Maule,comunas,violencia,mujer,violacion,denuncias,frecuencia,evolución,Agencia Información,Mujeres,Violaciones,Violencia Contra la Mujer</v>
      </c>
      <c r="S52" s="37" t="str">
        <f>HYPERLINK("https://analytics.zoho.com/open-view/2395394000008231335?ZOHO_CRITERIA=%22Localiza%20CL%22.%22Codreg%22%3D"&amp;Agencia[[#This Row],[Filtro URL]])</f>
        <v>https://analytics.zoho.com/open-view/2395394000008231335?ZOHO_CRITERIA=%22Localiza%20CL%22.%22Codreg%22%3D7</v>
      </c>
      <c r="T52" s="111" t="str">
        <f>"100-C-"&amp;Agencia[[#This Row],[Filtro URL]]</f>
        <v>100-C-7</v>
      </c>
      <c r="U52" s="46" t="str">
        <f t="shared" si="23"/>
        <v>#1774B9</v>
      </c>
      <c r="V52" s="93" t="str">
        <f>+Agencia[[#This Row],[idcoleccion]]&amp;"-"&amp;Agencia[[#This Row],[id]]</f>
        <v>990-0041</v>
      </c>
      <c r="W52" s="93">
        <f>+VLOOKUP(Agencia[[#This Row],[Filtro URL]],Estructura!$X$4:$Y$500,2,0)</f>
        <v>99200007</v>
      </c>
      <c r="X52" s="93" t="str">
        <f>+VLOOKUP(Agencia[[#This Row],[tema]],Estructura!$A$4:$C$500,3,0)</f>
        <v>T-1018</v>
      </c>
      <c r="Y52" s="93" t="str">
        <f>+VLOOKUP(Agencia[[#This Row],[contenido]],Estructura!$E$4:$G$500,3,0)</f>
        <v>C-996</v>
      </c>
      <c r="Z52" s="93" t="str">
        <f>+VLOOKUP(Agencia[[#This Row],[Filtro Integrado]],Estructura!$I$4:$K$500,3,0)</f>
        <v>FI-991</v>
      </c>
      <c r="AA52" s="93" t="str">
        <f>+VLOOKUP(Agencia[[#This Row],[Muestra]],Estructura!$M$4:$O$500,3,0)</f>
        <v>M-991</v>
      </c>
    </row>
    <row r="53" spans="1:27" ht="57.6" x14ac:dyDescent="0.3">
      <c r="A53" s="21" t="s">
        <v>449</v>
      </c>
      <c r="B53" s="23">
        <f t="shared" si="21"/>
        <v>990</v>
      </c>
      <c r="C53" s="24" t="str">
        <f t="shared" si="22"/>
        <v>Agencia Información</v>
      </c>
      <c r="D53" s="72" t="str">
        <f t="shared" si="24"/>
        <v>Mujeres</v>
      </c>
      <c r="E53" s="19">
        <v>8</v>
      </c>
      <c r="F53" s="24" t="s">
        <v>460</v>
      </c>
      <c r="G53" s="25" t="s">
        <v>1877</v>
      </c>
      <c r="H53" s="33" t="s">
        <v>16</v>
      </c>
      <c r="I53" s="34" t="s">
        <v>375</v>
      </c>
      <c r="J53" s="23" t="str">
        <f t="shared" si="29"/>
        <v>Comuna</v>
      </c>
      <c r="K53" s="23" t="str">
        <f t="shared" si="30"/>
        <v>Denuncias por violación por comuna</v>
      </c>
      <c r="L53" s="23" t="str">
        <f t="shared" si="25"/>
        <v>Periodo 2008-2020</v>
      </c>
      <c r="M53" s="23" t="str">
        <f t="shared" si="26"/>
        <v>Número de Denuncias</v>
      </c>
      <c r="N53" s="23" t="str">
        <f t="shared" si="27"/>
        <v>Centro de Estudios y Análisis del Delito (CEAD) de la Subsecretaría de Prevención del Delito</v>
      </c>
      <c r="O53" s="20" t="str">
        <f>+"Distribución comunal de denuncias por violación en la "&amp;I53&amp;" en el "&amp;Agencia[[#This Row],[temporalidad]]</f>
        <v>Distribución comunal de denuncias por violación en la Región del Biobío en el Periodo 2008-2020</v>
      </c>
      <c r="P53" s="112" t="s">
        <v>7206</v>
      </c>
      <c r="Q53" s="11" t="str">
        <f t="shared" si="28"/>
        <v>Gráfico de Evolución</v>
      </c>
      <c r="R53" s="148" t="str">
        <f>Agencia[[#This Row],[territorio]]&amp;",comunas,violencia,mujer,violacion,denuncias,frecuencia,evolución,"&amp;Agencia[[#This Row],[coleccion]]&amp;","&amp;Agencia[[#This Row],[sector]]&amp;","&amp;Agencia[[#This Row],[tema]]&amp;","&amp;Agencia[[#This Row],[contenido]]</f>
        <v>Región del Biobío,comunas,violencia,mujer,violacion,denuncias,frecuencia,evolución,Agencia Información,Mujeres,Violaciones,Violencia Contra la Mujer</v>
      </c>
      <c r="S53" s="37" t="str">
        <f>HYPERLINK("https://analytics.zoho.com/open-view/2395394000008231335?ZOHO_CRITERIA=%22Localiza%20CL%22.%22Codreg%22%3D"&amp;Agencia[[#This Row],[Filtro URL]])</f>
        <v>https://analytics.zoho.com/open-view/2395394000008231335?ZOHO_CRITERIA=%22Localiza%20CL%22.%22Codreg%22%3D8</v>
      </c>
      <c r="T53" s="111" t="str">
        <f>"100-C-"&amp;Agencia[[#This Row],[Filtro URL]]</f>
        <v>100-C-8</v>
      </c>
      <c r="U53" s="46" t="str">
        <f t="shared" si="23"/>
        <v>#1774B9</v>
      </c>
      <c r="V53" s="93" t="str">
        <f>+Agencia[[#This Row],[idcoleccion]]&amp;"-"&amp;Agencia[[#This Row],[id]]</f>
        <v>990-0042</v>
      </c>
      <c r="W53" s="93">
        <f>+VLOOKUP(Agencia[[#This Row],[Filtro URL]],Estructura!$X$4:$Y$500,2,0)</f>
        <v>99200008</v>
      </c>
      <c r="X53" s="93" t="str">
        <f>+VLOOKUP(Agencia[[#This Row],[tema]],Estructura!$A$4:$C$500,3,0)</f>
        <v>T-1018</v>
      </c>
      <c r="Y53" s="93" t="str">
        <f>+VLOOKUP(Agencia[[#This Row],[contenido]],Estructura!$E$4:$G$500,3,0)</f>
        <v>C-996</v>
      </c>
      <c r="Z53" s="93" t="str">
        <f>+VLOOKUP(Agencia[[#This Row],[Filtro Integrado]],Estructura!$I$4:$K$500,3,0)</f>
        <v>FI-991</v>
      </c>
      <c r="AA53" s="93" t="str">
        <f>+VLOOKUP(Agencia[[#This Row],[Muestra]],Estructura!$M$4:$O$500,3,0)</f>
        <v>M-991</v>
      </c>
    </row>
    <row r="54" spans="1:27" ht="57.6" x14ac:dyDescent="0.3">
      <c r="A54" s="21" t="s">
        <v>450</v>
      </c>
      <c r="B54" s="23">
        <f t="shared" si="21"/>
        <v>990</v>
      </c>
      <c r="C54" s="24" t="str">
        <f t="shared" si="22"/>
        <v>Agencia Información</v>
      </c>
      <c r="D54" s="72" t="str">
        <f t="shared" si="24"/>
        <v>Mujeres</v>
      </c>
      <c r="E54" s="19">
        <v>9</v>
      </c>
      <c r="F54" s="24" t="s">
        <v>460</v>
      </c>
      <c r="G54" s="25" t="s">
        <v>1877</v>
      </c>
      <c r="H54" s="33" t="s">
        <v>16</v>
      </c>
      <c r="I54" s="34" t="s">
        <v>376</v>
      </c>
      <c r="J54" s="23" t="str">
        <f t="shared" si="29"/>
        <v>Comuna</v>
      </c>
      <c r="K54" s="23" t="str">
        <f t="shared" si="30"/>
        <v>Denuncias por violación por comuna</v>
      </c>
      <c r="L54" s="23" t="str">
        <f t="shared" si="25"/>
        <v>Periodo 2008-2020</v>
      </c>
      <c r="M54" s="23" t="str">
        <f t="shared" si="26"/>
        <v>Número de Denuncias</v>
      </c>
      <c r="N54" s="23" t="str">
        <f t="shared" si="27"/>
        <v>Centro de Estudios y Análisis del Delito (CEAD) de la Subsecretaría de Prevención del Delito</v>
      </c>
      <c r="O54" s="20" t="str">
        <f>+"Distribución comunal de denuncias por violación en la "&amp;I54&amp;" en el "&amp;Agencia[[#This Row],[temporalidad]]</f>
        <v>Distribución comunal de denuncias por violación en la Región de La Araucanía en el Periodo 2008-2020</v>
      </c>
      <c r="P54" s="112" t="s">
        <v>7207</v>
      </c>
      <c r="Q54" s="11" t="str">
        <f t="shared" si="28"/>
        <v>Gráfico de Evolución</v>
      </c>
      <c r="R54" s="148" t="str">
        <f>Agencia[[#This Row],[territorio]]&amp;",comunas,violencia,mujer,violacion,denuncias,frecuencia,evolución,"&amp;Agencia[[#This Row],[coleccion]]&amp;","&amp;Agencia[[#This Row],[sector]]&amp;","&amp;Agencia[[#This Row],[tema]]&amp;","&amp;Agencia[[#This Row],[contenido]]</f>
        <v>Región de La Araucanía,comunas,violencia,mujer,violacion,denuncias,frecuencia,evolución,Agencia Información,Mujeres,Violaciones,Violencia Contra la Mujer</v>
      </c>
      <c r="S54" s="37" t="str">
        <f>HYPERLINK("https://analytics.zoho.com/open-view/2395394000008231335?ZOHO_CRITERIA=%22Localiza%20CL%22.%22Codreg%22%3D"&amp;Agencia[[#This Row],[Filtro URL]])</f>
        <v>https://analytics.zoho.com/open-view/2395394000008231335?ZOHO_CRITERIA=%22Localiza%20CL%22.%22Codreg%22%3D9</v>
      </c>
      <c r="T54" s="111" t="str">
        <f>"100-C-"&amp;Agencia[[#This Row],[Filtro URL]]</f>
        <v>100-C-9</v>
      </c>
      <c r="U54" s="46" t="str">
        <f t="shared" si="23"/>
        <v>#1774B9</v>
      </c>
      <c r="V54" s="93" t="str">
        <f>+Agencia[[#This Row],[idcoleccion]]&amp;"-"&amp;Agencia[[#This Row],[id]]</f>
        <v>990-0043</v>
      </c>
      <c r="W54" s="93">
        <f>+VLOOKUP(Agencia[[#This Row],[Filtro URL]],Estructura!$X$4:$Y$500,2,0)</f>
        <v>99200009</v>
      </c>
      <c r="X54" s="93" t="str">
        <f>+VLOOKUP(Agencia[[#This Row],[tema]],Estructura!$A$4:$C$500,3,0)</f>
        <v>T-1018</v>
      </c>
      <c r="Y54" s="93" t="str">
        <f>+VLOOKUP(Agencia[[#This Row],[contenido]],Estructura!$E$4:$G$500,3,0)</f>
        <v>C-996</v>
      </c>
      <c r="Z54" s="93" t="str">
        <f>+VLOOKUP(Agencia[[#This Row],[Filtro Integrado]],Estructura!$I$4:$K$500,3,0)</f>
        <v>FI-991</v>
      </c>
      <c r="AA54" s="93" t="str">
        <f>+VLOOKUP(Agencia[[#This Row],[Muestra]],Estructura!$M$4:$O$500,3,0)</f>
        <v>M-991</v>
      </c>
    </row>
    <row r="55" spans="1:27" ht="57.6" x14ac:dyDescent="0.3">
      <c r="A55" s="21" t="s">
        <v>451</v>
      </c>
      <c r="B55" s="23">
        <f t="shared" si="21"/>
        <v>990</v>
      </c>
      <c r="C55" s="24" t="str">
        <f t="shared" si="22"/>
        <v>Agencia Información</v>
      </c>
      <c r="D55" s="72" t="str">
        <f t="shared" si="24"/>
        <v>Mujeres</v>
      </c>
      <c r="E55" s="19">
        <v>10</v>
      </c>
      <c r="F55" s="24" t="s">
        <v>460</v>
      </c>
      <c r="G55" s="25" t="s">
        <v>1877</v>
      </c>
      <c r="H55" s="33" t="s">
        <v>16</v>
      </c>
      <c r="I55" s="34" t="s">
        <v>377</v>
      </c>
      <c r="J55" s="23" t="str">
        <f t="shared" si="29"/>
        <v>Comuna</v>
      </c>
      <c r="K55" s="23" t="str">
        <f t="shared" si="30"/>
        <v>Denuncias por violación por comuna</v>
      </c>
      <c r="L55" s="23" t="str">
        <f t="shared" si="25"/>
        <v>Periodo 2008-2020</v>
      </c>
      <c r="M55" s="23" t="str">
        <f t="shared" si="26"/>
        <v>Número de Denuncias</v>
      </c>
      <c r="N55" s="23" t="str">
        <f t="shared" si="27"/>
        <v>Centro de Estudios y Análisis del Delito (CEAD) de la Subsecretaría de Prevención del Delito</v>
      </c>
      <c r="O55" s="20" t="str">
        <f>+"Distribución comunal de denuncias por violación en la "&amp;I55&amp;" en el "&amp;Agencia[[#This Row],[temporalidad]]</f>
        <v>Distribución comunal de denuncias por violación en la Región de Los Lagos en el Periodo 2008-2020</v>
      </c>
      <c r="P55" s="112" t="s">
        <v>7208</v>
      </c>
      <c r="Q55" s="11" t="str">
        <f t="shared" si="28"/>
        <v>Gráfico de Evolución</v>
      </c>
      <c r="R55" s="148" t="str">
        <f>Agencia[[#This Row],[territorio]]&amp;",comunas,violencia,mujer,violacion,denuncias,frecuencia,evolución,"&amp;Agencia[[#This Row],[coleccion]]&amp;","&amp;Agencia[[#This Row],[sector]]&amp;","&amp;Agencia[[#This Row],[tema]]&amp;","&amp;Agencia[[#This Row],[contenido]]</f>
        <v>Región de Los Lagos,comunas,violencia,mujer,violacion,denuncias,frecuencia,evolución,Agencia Información,Mujeres,Violaciones,Violencia Contra la Mujer</v>
      </c>
      <c r="S55" s="37" t="str">
        <f>HYPERLINK("https://analytics.zoho.com/open-view/2395394000008231335?ZOHO_CRITERIA=%22Localiza%20CL%22.%22Codreg%22%3D"&amp;Agencia[[#This Row],[Filtro URL]])</f>
        <v>https://analytics.zoho.com/open-view/2395394000008231335?ZOHO_CRITERIA=%22Localiza%20CL%22.%22Codreg%22%3D10</v>
      </c>
      <c r="T55" s="111" t="str">
        <f>"100-C-"&amp;Agencia[[#This Row],[Filtro URL]]</f>
        <v>100-C-10</v>
      </c>
      <c r="U55" s="46" t="str">
        <f t="shared" si="23"/>
        <v>#1774B9</v>
      </c>
      <c r="V55" s="93" t="str">
        <f>+Agencia[[#This Row],[idcoleccion]]&amp;"-"&amp;Agencia[[#This Row],[id]]</f>
        <v>990-0044</v>
      </c>
      <c r="W55" s="93">
        <f>+VLOOKUP(Agencia[[#This Row],[Filtro URL]],Estructura!$X$4:$Y$500,2,0)</f>
        <v>99200010</v>
      </c>
      <c r="X55" s="93" t="str">
        <f>+VLOOKUP(Agencia[[#This Row],[tema]],Estructura!$A$4:$C$500,3,0)</f>
        <v>T-1018</v>
      </c>
      <c r="Y55" s="93" t="str">
        <f>+VLOOKUP(Agencia[[#This Row],[contenido]],Estructura!$E$4:$G$500,3,0)</f>
        <v>C-996</v>
      </c>
      <c r="Z55" s="93" t="str">
        <f>+VLOOKUP(Agencia[[#This Row],[Filtro Integrado]],Estructura!$I$4:$K$500,3,0)</f>
        <v>FI-991</v>
      </c>
      <c r="AA55" s="93" t="str">
        <f>+VLOOKUP(Agencia[[#This Row],[Muestra]],Estructura!$M$4:$O$500,3,0)</f>
        <v>M-991</v>
      </c>
    </row>
    <row r="56" spans="1:27" ht="57.6" x14ac:dyDescent="0.3">
      <c r="A56" s="21" t="s">
        <v>452</v>
      </c>
      <c r="B56" s="23">
        <f t="shared" si="21"/>
        <v>990</v>
      </c>
      <c r="C56" s="24" t="str">
        <f t="shared" si="22"/>
        <v>Agencia Información</v>
      </c>
      <c r="D56" s="72" t="str">
        <f t="shared" si="24"/>
        <v>Mujeres</v>
      </c>
      <c r="E56" s="19">
        <v>11</v>
      </c>
      <c r="F56" s="24" t="s">
        <v>460</v>
      </c>
      <c r="G56" s="25" t="s">
        <v>1877</v>
      </c>
      <c r="H56" s="33" t="s">
        <v>16</v>
      </c>
      <c r="I56" s="34" t="s">
        <v>378</v>
      </c>
      <c r="J56" s="23" t="str">
        <f t="shared" si="29"/>
        <v>Comuna</v>
      </c>
      <c r="K56" s="23" t="str">
        <f t="shared" si="30"/>
        <v>Denuncias por violación por comuna</v>
      </c>
      <c r="L56" s="23" t="str">
        <f t="shared" si="25"/>
        <v>Periodo 2008-2020</v>
      </c>
      <c r="M56" s="23" t="str">
        <f t="shared" si="26"/>
        <v>Número de Denuncias</v>
      </c>
      <c r="N56" s="23" t="str">
        <f t="shared" si="27"/>
        <v>Centro de Estudios y Análisis del Delito (CEAD) de la Subsecretaría de Prevención del Delito</v>
      </c>
      <c r="O56" s="20" t="str">
        <f>+"Distribución comunal de denuncias por violación en la "&amp;I56&amp;" en el "&amp;Agencia[[#This Row],[temporalidad]]</f>
        <v>Distribución comunal de denuncias por violación en la Región de Aysén en el Periodo 2008-2020</v>
      </c>
      <c r="P56" s="112" t="s">
        <v>7209</v>
      </c>
      <c r="Q56" s="11" t="str">
        <f t="shared" si="28"/>
        <v>Gráfico de Evolución</v>
      </c>
      <c r="R56" s="148" t="str">
        <f>Agencia[[#This Row],[territorio]]&amp;",comunas,violencia,mujer,violacion,denuncias,frecuencia,evolución,"&amp;Agencia[[#This Row],[coleccion]]&amp;","&amp;Agencia[[#This Row],[sector]]&amp;","&amp;Agencia[[#This Row],[tema]]&amp;","&amp;Agencia[[#This Row],[contenido]]</f>
        <v>Región de Aysén,comunas,violencia,mujer,violacion,denuncias,frecuencia,evolución,Agencia Información,Mujeres,Violaciones,Violencia Contra la Mujer</v>
      </c>
      <c r="S56" s="37" t="str">
        <f>HYPERLINK("https://analytics.zoho.com/open-view/2395394000008231335?ZOHO_CRITERIA=%22Localiza%20CL%22.%22Codreg%22%3D"&amp;Agencia[[#This Row],[Filtro URL]])</f>
        <v>https://analytics.zoho.com/open-view/2395394000008231335?ZOHO_CRITERIA=%22Localiza%20CL%22.%22Codreg%22%3D11</v>
      </c>
      <c r="T56" s="111" t="str">
        <f>"100-C-"&amp;Agencia[[#This Row],[Filtro URL]]</f>
        <v>100-C-11</v>
      </c>
      <c r="U56" s="46" t="str">
        <f t="shared" si="23"/>
        <v>#1774B9</v>
      </c>
      <c r="V56" s="93" t="str">
        <f>+Agencia[[#This Row],[idcoleccion]]&amp;"-"&amp;Agencia[[#This Row],[id]]</f>
        <v>990-0045</v>
      </c>
      <c r="W56" s="93">
        <f>+VLOOKUP(Agencia[[#This Row],[Filtro URL]],Estructura!$X$4:$Y$500,2,0)</f>
        <v>99200011</v>
      </c>
      <c r="X56" s="93" t="str">
        <f>+VLOOKUP(Agencia[[#This Row],[tema]],Estructura!$A$4:$C$500,3,0)</f>
        <v>T-1018</v>
      </c>
      <c r="Y56" s="93" t="str">
        <f>+VLOOKUP(Agencia[[#This Row],[contenido]],Estructura!$E$4:$G$500,3,0)</f>
        <v>C-996</v>
      </c>
      <c r="Z56" s="93" t="str">
        <f>+VLOOKUP(Agencia[[#This Row],[Filtro Integrado]],Estructura!$I$4:$K$500,3,0)</f>
        <v>FI-991</v>
      </c>
      <c r="AA56" s="93" t="str">
        <f>+VLOOKUP(Agencia[[#This Row],[Muestra]],Estructura!$M$4:$O$500,3,0)</f>
        <v>M-991</v>
      </c>
    </row>
    <row r="57" spans="1:27" ht="57.6" x14ac:dyDescent="0.3">
      <c r="A57" s="21" t="s">
        <v>453</v>
      </c>
      <c r="B57" s="23">
        <f t="shared" si="21"/>
        <v>990</v>
      </c>
      <c r="C57" s="24" t="str">
        <f t="shared" si="22"/>
        <v>Agencia Información</v>
      </c>
      <c r="D57" s="72" t="str">
        <f t="shared" si="24"/>
        <v>Mujeres</v>
      </c>
      <c r="E57" s="19">
        <v>12</v>
      </c>
      <c r="F57" s="24" t="s">
        <v>460</v>
      </c>
      <c r="G57" s="25" t="s">
        <v>1877</v>
      </c>
      <c r="H57" s="33" t="s">
        <v>16</v>
      </c>
      <c r="I57" s="34" t="s">
        <v>379</v>
      </c>
      <c r="J57" s="23" t="str">
        <f t="shared" si="29"/>
        <v>Comuna</v>
      </c>
      <c r="K57" s="23" t="str">
        <f t="shared" si="30"/>
        <v>Denuncias por violación por comuna</v>
      </c>
      <c r="L57" s="23" t="str">
        <f t="shared" si="25"/>
        <v>Periodo 2008-2020</v>
      </c>
      <c r="M57" s="23" t="str">
        <f t="shared" si="26"/>
        <v>Número de Denuncias</v>
      </c>
      <c r="N57" s="23" t="str">
        <f t="shared" si="27"/>
        <v>Centro de Estudios y Análisis del Delito (CEAD) de la Subsecretaría de Prevención del Delito</v>
      </c>
      <c r="O57" s="20" t="str">
        <f>+"Distribución comunal de denuncias por violación en la "&amp;I57&amp;" en el "&amp;Agencia[[#This Row],[temporalidad]]</f>
        <v>Distribución comunal de denuncias por violación en la Región de Magallanes en el Periodo 2008-2020</v>
      </c>
      <c r="P57" s="113" t="s">
        <v>7210</v>
      </c>
      <c r="Q57" s="27" t="str">
        <f t="shared" si="28"/>
        <v>Gráfico de Evolución</v>
      </c>
      <c r="R57" s="148" t="str">
        <f>Agencia[[#This Row],[territorio]]&amp;",comunas,violencia,mujer,violacion,denuncias,frecuencia,evolución,"&amp;Agencia[[#This Row],[coleccion]]&amp;","&amp;Agencia[[#This Row],[sector]]&amp;","&amp;Agencia[[#This Row],[tema]]&amp;","&amp;Agencia[[#This Row],[contenido]]</f>
        <v>Región de Magallanes,comunas,violencia,mujer,violacion,denuncias,frecuencia,evolución,Agencia Información,Mujeres,Violaciones,Violencia Contra la Mujer</v>
      </c>
      <c r="S57" s="37" t="str">
        <f>HYPERLINK("https://analytics.zoho.com/open-view/2395394000008231335?ZOHO_CRITERIA=%22Localiza%20CL%22.%22Codreg%22%3D"&amp;Agencia[[#This Row],[Filtro URL]])</f>
        <v>https://analytics.zoho.com/open-view/2395394000008231335?ZOHO_CRITERIA=%22Localiza%20CL%22.%22Codreg%22%3D12</v>
      </c>
      <c r="T57" s="111" t="str">
        <f>"100-C-"&amp;Agencia[[#This Row],[Filtro URL]]</f>
        <v>100-C-12</v>
      </c>
      <c r="U57" s="95" t="str">
        <f t="shared" si="23"/>
        <v>#1774B9</v>
      </c>
      <c r="V57" s="93" t="str">
        <f>+Agencia[[#This Row],[idcoleccion]]&amp;"-"&amp;Agencia[[#This Row],[id]]</f>
        <v>990-0046</v>
      </c>
      <c r="W57" s="93">
        <f>+VLOOKUP(Agencia[[#This Row],[Filtro URL]],Estructura!$X$4:$Y$500,2,0)</f>
        <v>99200012</v>
      </c>
      <c r="X57" s="93" t="str">
        <f>+VLOOKUP(Agencia[[#This Row],[tema]],Estructura!$A$4:$C$500,3,0)</f>
        <v>T-1018</v>
      </c>
      <c r="Y57" s="93" t="str">
        <f>+VLOOKUP(Agencia[[#This Row],[contenido]],Estructura!$E$4:$G$500,3,0)</f>
        <v>C-996</v>
      </c>
      <c r="Z57" s="93" t="str">
        <f>+VLOOKUP(Agencia[[#This Row],[Filtro Integrado]],Estructura!$I$4:$K$500,3,0)</f>
        <v>FI-991</v>
      </c>
      <c r="AA57" s="93" t="str">
        <f>+VLOOKUP(Agencia[[#This Row],[Muestra]],Estructura!$M$4:$O$500,3,0)</f>
        <v>M-991</v>
      </c>
    </row>
    <row r="58" spans="1:27" ht="57.6" x14ac:dyDescent="0.3">
      <c r="A58" s="21" t="s">
        <v>454</v>
      </c>
      <c r="B58" s="23">
        <f t="shared" ref="B58:D61" si="31">+B57</f>
        <v>990</v>
      </c>
      <c r="C58" s="24" t="str">
        <f t="shared" si="31"/>
        <v>Agencia Información</v>
      </c>
      <c r="D58" s="72" t="str">
        <f t="shared" si="31"/>
        <v>Mujeres</v>
      </c>
      <c r="E58" s="19">
        <v>13</v>
      </c>
      <c r="F58" s="24" t="s">
        <v>460</v>
      </c>
      <c r="G58" s="25" t="s">
        <v>1877</v>
      </c>
      <c r="H58" s="33" t="s">
        <v>16</v>
      </c>
      <c r="I58" s="34" t="s">
        <v>380</v>
      </c>
      <c r="J58" s="86" t="str">
        <f t="shared" ref="J58:N61" si="32">+J57</f>
        <v>Comuna</v>
      </c>
      <c r="K58" s="23" t="str">
        <f t="shared" si="32"/>
        <v>Denuncias por violación por comuna</v>
      </c>
      <c r="L58" s="23" t="str">
        <f t="shared" si="32"/>
        <v>Periodo 2008-2020</v>
      </c>
      <c r="M58" s="23" t="str">
        <f t="shared" si="32"/>
        <v>Número de Denuncias</v>
      </c>
      <c r="N58" s="23" t="str">
        <f t="shared" si="32"/>
        <v>Centro de Estudios y Análisis del Delito (CEAD) de la Subsecretaría de Prevención del Delito</v>
      </c>
      <c r="O58" s="20" t="str">
        <f>+"Distribución comunal de denuncias por violación en la "&amp;I58&amp;" en el "&amp;Agencia[[#This Row],[temporalidad]]</f>
        <v>Distribución comunal de denuncias por violación en la Región Metropolitana en el Periodo 2008-2020</v>
      </c>
      <c r="P58" s="112" t="s">
        <v>7211</v>
      </c>
      <c r="Q58" s="11" t="str">
        <f>+Q57</f>
        <v>Gráfico de Evolución</v>
      </c>
      <c r="R58" s="148" t="str">
        <f>Agencia[[#This Row],[territorio]]&amp;",comunas,violencia,mujer,violacion,denuncias,frecuencia,evolución,"&amp;Agencia[[#This Row],[coleccion]]&amp;","&amp;Agencia[[#This Row],[sector]]&amp;","&amp;Agencia[[#This Row],[tema]]&amp;","&amp;Agencia[[#This Row],[contenido]]</f>
        <v>Región Metropolitana,comunas,violencia,mujer,violacion,denuncias,frecuencia,evolución,Agencia Información,Mujeres,Violaciones,Violencia Contra la Mujer</v>
      </c>
      <c r="S58" s="37" t="str">
        <f>HYPERLINK("https://analytics.zoho.com/open-view/2395394000008231335?ZOHO_CRITERIA=%22Localiza%20CL%22.%22Codreg%22%3D"&amp;Agencia[[#This Row],[Filtro URL]])</f>
        <v>https://analytics.zoho.com/open-view/2395394000008231335?ZOHO_CRITERIA=%22Localiza%20CL%22.%22Codreg%22%3D13</v>
      </c>
      <c r="T58" s="111" t="str">
        <f>"200-C-"&amp;Agencia[[#This Row],[Filtro URL]]</f>
        <v>200-C-13</v>
      </c>
      <c r="U58" s="46" t="str">
        <f t="shared" ref="U58:U64" si="33">+U57</f>
        <v>#1774B9</v>
      </c>
      <c r="V58" s="93" t="str">
        <f>+Agencia[[#This Row],[idcoleccion]]&amp;"-"&amp;Agencia[[#This Row],[id]]</f>
        <v>990-0047</v>
      </c>
      <c r="W58" s="93">
        <f>+VLOOKUP(Agencia[[#This Row],[Filtro URL]],Estructura!$X$4:$Y$500,2,0)</f>
        <v>99200013</v>
      </c>
      <c r="X58" s="93" t="str">
        <f>+VLOOKUP(Agencia[[#This Row],[tema]],Estructura!$A$4:$C$500,3,0)</f>
        <v>T-1018</v>
      </c>
      <c r="Y58" s="93" t="str">
        <f>+VLOOKUP(Agencia[[#This Row],[contenido]],Estructura!$E$4:$G$500,3,0)</f>
        <v>C-996</v>
      </c>
      <c r="Z58" s="93" t="str">
        <f>+VLOOKUP(Agencia[[#This Row],[Filtro Integrado]],Estructura!$I$4:$K$500,3,0)</f>
        <v>FI-991</v>
      </c>
      <c r="AA58" s="93" t="str">
        <f>+VLOOKUP(Agencia[[#This Row],[Muestra]],Estructura!$M$4:$O$500,3,0)</f>
        <v>M-991</v>
      </c>
    </row>
    <row r="59" spans="1:27" ht="57.6" x14ac:dyDescent="0.3">
      <c r="A59" s="21" t="s">
        <v>455</v>
      </c>
      <c r="B59" s="23">
        <f t="shared" si="31"/>
        <v>990</v>
      </c>
      <c r="C59" s="24" t="str">
        <f t="shared" si="31"/>
        <v>Agencia Información</v>
      </c>
      <c r="D59" s="72" t="str">
        <f t="shared" si="31"/>
        <v>Mujeres</v>
      </c>
      <c r="E59" s="19">
        <v>14</v>
      </c>
      <c r="F59" s="24" t="s">
        <v>460</v>
      </c>
      <c r="G59" s="25" t="s">
        <v>1877</v>
      </c>
      <c r="H59" s="33" t="s">
        <v>16</v>
      </c>
      <c r="I59" s="34" t="s">
        <v>381</v>
      </c>
      <c r="J59" s="23" t="str">
        <f t="shared" si="32"/>
        <v>Comuna</v>
      </c>
      <c r="K59" s="23" t="str">
        <f t="shared" si="32"/>
        <v>Denuncias por violación por comuna</v>
      </c>
      <c r="L59" s="23" t="str">
        <f t="shared" si="32"/>
        <v>Periodo 2008-2020</v>
      </c>
      <c r="M59" s="23" t="str">
        <f t="shared" si="32"/>
        <v>Número de Denuncias</v>
      </c>
      <c r="N59" s="23" t="str">
        <f t="shared" si="32"/>
        <v>Centro de Estudios y Análisis del Delito (CEAD) de la Subsecretaría de Prevención del Delito</v>
      </c>
      <c r="O59" s="20" t="str">
        <f>+"Distribución comunal de denuncias por violación en la "&amp;I59&amp;" en el "&amp;Agencia[[#This Row],[temporalidad]]</f>
        <v>Distribución comunal de denuncias por violación en la Región de Los Ríos en el Periodo 2008-2020</v>
      </c>
      <c r="P59" s="112" t="s">
        <v>7212</v>
      </c>
      <c r="Q59" s="11" t="str">
        <f>+Q58</f>
        <v>Gráfico de Evolución</v>
      </c>
      <c r="R59" s="148" t="str">
        <f>Agencia[[#This Row],[territorio]]&amp;",comunas,violencia,mujer,violacion,denuncias,frecuencia,evolución,"&amp;Agencia[[#This Row],[coleccion]]&amp;","&amp;Agencia[[#This Row],[sector]]&amp;","&amp;Agencia[[#This Row],[tema]]&amp;","&amp;Agencia[[#This Row],[contenido]]</f>
        <v>Región de Los Ríos,comunas,violencia,mujer,violacion,denuncias,frecuencia,evolución,Agencia Información,Mujeres,Violaciones,Violencia Contra la Mujer</v>
      </c>
      <c r="S59" s="37" t="str">
        <f>HYPERLINK("https://analytics.zoho.com/open-view/2395394000008231335?ZOHO_CRITERIA=%22Localiza%20CL%22.%22Codreg%22%3D"&amp;Agencia[[#This Row],[Filtro URL]])</f>
        <v>https://analytics.zoho.com/open-view/2395394000008231335?ZOHO_CRITERIA=%22Localiza%20CL%22.%22Codreg%22%3D14</v>
      </c>
      <c r="T59" s="111" t="str">
        <f>"100-C-"&amp;Agencia[[#This Row],[Filtro URL]]</f>
        <v>100-C-14</v>
      </c>
      <c r="U59" s="46" t="str">
        <f t="shared" si="33"/>
        <v>#1774B9</v>
      </c>
      <c r="V59" s="93" t="str">
        <f>+Agencia[[#This Row],[idcoleccion]]&amp;"-"&amp;Agencia[[#This Row],[id]]</f>
        <v>990-0048</v>
      </c>
      <c r="W59" s="93">
        <f>+VLOOKUP(Agencia[[#This Row],[Filtro URL]],Estructura!$X$4:$Y$500,2,0)</f>
        <v>99200014</v>
      </c>
      <c r="X59" s="93" t="str">
        <f>+VLOOKUP(Agencia[[#This Row],[tema]],Estructura!$A$4:$C$500,3,0)</f>
        <v>T-1018</v>
      </c>
      <c r="Y59" s="93" t="str">
        <f>+VLOOKUP(Agencia[[#This Row],[contenido]],Estructura!$E$4:$G$500,3,0)</f>
        <v>C-996</v>
      </c>
      <c r="Z59" s="93" t="str">
        <f>+VLOOKUP(Agencia[[#This Row],[Filtro Integrado]],Estructura!$I$4:$K$500,3,0)</f>
        <v>FI-991</v>
      </c>
      <c r="AA59" s="93" t="str">
        <f>+VLOOKUP(Agencia[[#This Row],[Muestra]],Estructura!$M$4:$O$500,3,0)</f>
        <v>M-991</v>
      </c>
    </row>
    <row r="60" spans="1:27" ht="57.6" x14ac:dyDescent="0.3">
      <c r="A60" s="21" t="s">
        <v>461</v>
      </c>
      <c r="B60" s="23">
        <f t="shared" si="31"/>
        <v>990</v>
      </c>
      <c r="C60" s="24" t="str">
        <f t="shared" si="31"/>
        <v>Agencia Información</v>
      </c>
      <c r="D60" s="72" t="str">
        <f t="shared" si="31"/>
        <v>Mujeres</v>
      </c>
      <c r="E60" s="19">
        <v>15</v>
      </c>
      <c r="F60" s="24" t="s">
        <v>460</v>
      </c>
      <c r="G60" s="25" t="s">
        <v>1877</v>
      </c>
      <c r="H60" s="33" t="s">
        <v>16</v>
      </c>
      <c r="I60" s="34" t="s">
        <v>382</v>
      </c>
      <c r="J60" s="23" t="str">
        <f t="shared" si="32"/>
        <v>Comuna</v>
      </c>
      <c r="K60" s="23" t="str">
        <f t="shared" si="32"/>
        <v>Denuncias por violación por comuna</v>
      </c>
      <c r="L60" s="23" t="str">
        <f t="shared" si="32"/>
        <v>Periodo 2008-2020</v>
      </c>
      <c r="M60" s="23" t="str">
        <f t="shared" si="32"/>
        <v>Número de Denuncias</v>
      </c>
      <c r="N60" s="23" t="str">
        <f t="shared" si="32"/>
        <v>Centro de Estudios y Análisis del Delito (CEAD) de la Subsecretaría de Prevención del Delito</v>
      </c>
      <c r="O60" s="20" t="str">
        <f>+"Distribución comunal de denuncias por violación en la "&amp;I60&amp;" en el "&amp;Agencia[[#This Row],[temporalidad]]</f>
        <v>Distribución comunal de denuncias por violación en la Región de Arica y Parinacota en el Periodo 2008-2020</v>
      </c>
      <c r="P60" s="112" t="s">
        <v>7213</v>
      </c>
      <c r="Q60" s="11" t="str">
        <f>+Q59</f>
        <v>Gráfico de Evolución</v>
      </c>
      <c r="R60" s="148" t="str">
        <f>Agencia[[#This Row],[territorio]]&amp;",comunas,violencia,mujer,violacion,denuncias,frecuencia,evolución,"&amp;Agencia[[#This Row],[coleccion]]&amp;","&amp;Agencia[[#This Row],[sector]]&amp;","&amp;Agencia[[#This Row],[tema]]&amp;","&amp;Agencia[[#This Row],[contenido]]</f>
        <v>Región de Arica y Parinacota,comunas,violencia,mujer,violacion,denuncias,frecuencia,evolución,Agencia Información,Mujeres,Violaciones,Violencia Contra la Mujer</v>
      </c>
      <c r="S60" s="37" t="str">
        <f>HYPERLINK("https://analytics.zoho.com/open-view/2395394000008231335?ZOHO_CRITERIA=%22Localiza%20CL%22.%22Codreg%22%3D"&amp;Agencia[[#This Row],[Filtro URL]])</f>
        <v>https://analytics.zoho.com/open-view/2395394000008231335?ZOHO_CRITERIA=%22Localiza%20CL%22.%22Codreg%22%3D15</v>
      </c>
      <c r="T60" s="111" t="str">
        <f>"100-C-"&amp;Agencia[[#This Row],[Filtro URL]]</f>
        <v>100-C-15</v>
      </c>
      <c r="U60" s="46" t="str">
        <f t="shared" si="33"/>
        <v>#1774B9</v>
      </c>
      <c r="V60" s="93" t="str">
        <f>+Agencia[[#This Row],[idcoleccion]]&amp;"-"&amp;Agencia[[#This Row],[id]]</f>
        <v>990-0049</v>
      </c>
      <c r="W60" s="93">
        <f>+VLOOKUP(Agencia[[#This Row],[Filtro URL]],Estructura!$X$4:$Y$500,2,0)</f>
        <v>99200015</v>
      </c>
      <c r="X60" s="93" t="str">
        <f>+VLOOKUP(Agencia[[#This Row],[tema]],Estructura!$A$4:$C$500,3,0)</f>
        <v>T-1018</v>
      </c>
      <c r="Y60" s="93" t="str">
        <f>+VLOOKUP(Agencia[[#This Row],[contenido]],Estructura!$E$4:$G$500,3,0)</f>
        <v>C-996</v>
      </c>
      <c r="Z60" s="93" t="str">
        <f>+VLOOKUP(Agencia[[#This Row],[Filtro Integrado]],Estructura!$I$4:$K$500,3,0)</f>
        <v>FI-991</v>
      </c>
      <c r="AA60" s="93" t="str">
        <f>+VLOOKUP(Agencia[[#This Row],[Muestra]],Estructura!$M$4:$O$500,3,0)</f>
        <v>M-991</v>
      </c>
    </row>
    <row r="61" spans="1:27" ht="57.6" x14ac:dyDescent="0.3">
      <c r="A61" s="21" t="s">
        <v>462</v>
      </c>
      <c r="B61" s="23">
        <f t="shared" si="31"/>
        <v>990</v>
      </c>
      <c r="C61" s="24" t="str">
        <f t="shared" si="31"/>
        <v>Agencia Información</v>
      </c>
      <c r="D61" s="72" t="str">
        <f t="shared" si="31"/>
        <v>Mujeres</v>
      </c>
      <c r="E61" s="19">
        <v>16</v>
      </c>
      <c r="F61" s="24" t="s">
        <v>460</v>
      </c>
      <c r="G61" s="25" t="s">
        <v>1877</v>
      </c>
      <c r="H61" s="33" t="s">
        <v>16</v>
      </c>
      <c r="I61" s="34" t="s">
        <v>383</v>
      </c>
      <c r="J61" s="23" t="str">
        <f t="shared" si="32"/>
        <v>Comuna</v>
      </c>
      <c r="K61" s="23" t="str">
        <f t="shared" si="32"/>
        <v>Denuncias por violación por comuna</v>
      </c>
      <c r="L61" s="23" t="str">
        <f t="shared" si="32"/>
        <v>Periodo 2008-2020</v>
      </c>
      <c r="M61" s="23" t="str">
        <f t="shared" si="32"/>
        <v>Número de Denuncias</v>
      </c>
      <c r="N61" s="23" t="str">
        <f t="shared" si="32"/>
        <v>Centro de Estudios y Análisis del Delito (CEAD) de la Subsecretaría de Prevención del Delito</v>
      </c>
      <c r="O61" s="20" t="str">
        <f>+"Distribución comunal de denuncias por violación en la "&amp;I61&amp;" en el "&amp;Agencia[[#This Row],[temporalidad]]</f>
        <v>Distribución comunal de denuncias por violación en la Región de Ñuble en el Periodo 2008-2020</v>
      </c>
      <c r="P61" s="112" t="s">
        <v>7214</v>
      </c>
      <c r="Q61" s="11" t="str">
        <f>+Q60</f>
        <v>Gráfico de Evolución</v>
      </c>
      <c r="R61" s="148" t="str">
        <f>Agencia[[#This Row],[territorio]]&amp;",comunas,violencia,mujer,violacion,denuncias,frecuencia,evolución,"&amp;Agencia[[#This Row],[coleccion]]&amp;","&amp;Agencia[[#This Row],[sector]]&amp;","&amp;Agencia[[#This Row],[tema]]&amp;","&amp;Agencia[[#This Row],[contenido]]</f>
        <v>Región de Ñuble,comunas,violencia,mujer,violacion,denuncias,frecuencia,evolución,Agencia Información,Mujeres,Violaciones,Violencia Contra la Mujer</v>
      </c>
      <c r="S61" s="37" t="str">
        <f>HYPERLINK("https://analytics.zoho.com/open-view/2395394000008231335?ZOHO_CRITERIA=%22Localiza%20CL%22.%22Codreg%22%3D"&amp;Agencia[[#This Row],[Filtro URL]])</f>
        <v>https://analytics.zoho.com/open-view/2395394000008231335?ZOHO_CRITERIA=%22Localiza%20CL%22.%22Codreg%22%3D16</v>
      </c>
      <c r="T61" s="111" t="str">
        <f>"100-C-"&amp;Agencia[[#This Row],[Filtro URL]]</f>
        <v>100-C-16</v>
      </c>
      <c r="U61" s="46" t="str">
        <f t="shared" si="33"/>
        <v>#1774B9</v>
      </c>
      <c r="V61" s="93" t="str">
        <f>+Agencia[[#This Row],[idcoleccion]]&amp;"-"&amp;Agencia[[#This Row],[id]]</f>
        <v>990-0050</v>
      </c>
      <c r="W61" s="93">
        <f>+VLOOKUP(Agencia[[#This Row],[Filtro URL]],Estructura!$X$4:$Y$500,2,0)</f>
        <v>99200016</v>
      </c>
      <c r="X61" s="93" t="str">
        <f>+VLOOKUP(Agencia[[#This Row],[tema]],Estructura!$A$4:$C$500,3,0)</f>
        <v>T-1018</v>
      </c>
      <c r="Y61" s="93" t="str">
        <f>+VLOOKUP(Agencia[[#This Row],[contenido]],Estructura!$E$4:$G$500,3,0)</f>
        <v>C-996</v>
      </c>
      <c r="Z61" s="93" t="str">
        <f>+VLOOKUP(Agencia[[#This Row],[Filtro Integrado]],Estructura!$I$4:$K$500,3,0)</f>
        <v>FI-991</v>
      </c>
      <c r="AA61" s="93" t="str">
        <f>+VLOOKUP(Agencia[[#This Row],[Muestra]],Estructura!$M$4:$O$500,3,0)</f>
        <v>M-991</v>
      </c>
    </row>
    <row r="62" spans="1:27" ht="40.799999999999997" x14ac:dyDescent="0.3">
      <c r="A62" s="21" t="s">
        <v>463</v>
      </c>
      <c r="B62" s="23">
        <f>+B61</f>
        <v>990</v>
      </c>
      <c r="C62" s="24" t="str">
        <f>+C61</f>
        <v>Agencia Información</v>
      </c>
      <c r="D62" s="72" t="s">
        <v>404</v>
      </c>
      <c r="E62" s="14">
        <v>0</v>
      </c>
      <c r="F62" s="24" t="s">
        <v>1839</v>
      </c>
      <c r="G62" s="25" t="s">
        <v>1876</v>
      </c>
      <c r="H62" s="31" t="s">
        <v>20</v>
      </c>
      <c r="I62" s="32" t="s">
        <v>15</v>
      </c>
      <c r="J62" s="9" t="s">
        <v>18</v>
      </c>
      <c r="K62" s="9" t="s">
        <v>9293</v>
      </c>
      <c r="L62" s="45" t="s">
        <v>401</v>
      </c>
      <c r="M62" s="9" t="s">
        <v>581</v>
      </c>
      <c r="N62" s="9" t="s">
        <v>402</v>
      </c>
      <c r="O62" s="41" t="s">
        <v>986</v>
      </c>
      <c r="P62" s="112" t="s">
        <v>5849</v>
      </c>
      <c r="Q62" s="11" t="str">
        <f>+Q61</f>
        <v>Gráfico de Evolución</v>
      </c>
      <c r="R62" s="41" t="str">
        <f>Agencia[[#This Row],[territorio]]&amp;",encuesta,CASEN,ingreso,ingresos,ingresos promedio, ingreso mensual,nacional,"&amp;Agencia[[#This Row],[coleccion]]&amp;","&amp;Agencia[[#This Row],[sector]]&amp;","&amp;Agencia[[#This Row],[tema]]&amp;","&amp;Agencia[[#This Row],[contenido]]</f>
        <v>Chile,encuesta,CASEN,ingreso,ingresos,ingresos promedio, ingreso mensual,nacional,Agencia Información,Socioeconómico,Ingreso Promedio Nacional,Ingresos Históricos</v>
      </c>
      <c r="S62" s="37" t="s">
        <v>985</v>
      </c>
      <c r="T62" s="108">
        <v>0</v>
      </c>
      <c r="U62" s="46" t="str">
        <f t="shared" si="33"/>
        <v>#1774B9</v>
      </c>
      <c r="V62" s="93" t="str">
        <f>+Agencia[[#This Row],[idcoleccion]]&amp;"-"&amp;Agencia[[#This Row],[id]]</f>
        <v>990-0051</v>
      </c>
      <c r="W62" s="93">
        <f>+VLOOKUP(Agencia[[#This Row],[Filtro URL]],Estructura!$X$4:$Y$500,2,0)</f>
        <v>99100000</v>
      </c>
      <c r="X62" s="93" t="str">
        <f>+VLOOKUP(Agencia[[#This Row],[tema]],Estructura!$A$4:$C$500,3,0)</f>
        <v>T-994</v>
      </c>
      <c r="Y62" s="93" t="str">
        <f>+VLOOKUP(Agencia[[#This Row],[contenido]],Estructura!$E$4:$G$500,3,0)</f>
        <v>C-995</v>
      </c>
      <c r="Z62" s="93" t="str">
        <f>+VLOOKUP(Agencia[[#This Row],[Filtro Integrado]],Estructura!$I$4:$K$500,3,0)</f>
        <v>FI-991</v>
      </c>
      <c r="AA62" s="93" t="str">
        <f>+VLOOKUP(Agencia[[#This Row],[Muestra]],Estructura!$M$4:$O$500,3,0)</f>
        <v>M-1032</v>
      </c>
    </row>
    <row r="63" spans="1:27" ht="73.5" customHeight="1" x14ac:dyDescent="0.3">
      <c r="A63" s="21" t="s">
        <v>464</v>
      </c>
      <c r="B63" s="23">
        <f>+B62</f>
        <v>990</v>
      </c>
      <c r="C63" s="24" t="str">
        <f>+C62</f>
        <v>Agencia Información</v>
      </c>
      <c r="D63" s="72" t="s">
        <v>404</v>
      </c>
      <c r="E63" s="14">
        <v>0</v>
      </c>
      <c r="F63" s="25" t="s">
        <v>1837</v>
      </c>
      <c r="G63" s="25" t="s">
        <v>1876</v>
      </c>
      <c r="H63" s="31" t="s">
        <v>20</v>
      </c>
      <c r="I63" s="32" t="s">
        <v>15</v>
      </c>
      <c r="J63" s="9" t="s">
        <v>16</v>
      </c>
      <c r="K63" s="9" t="s">
        <v>9292</v>
      </c>
      <c r="L63" s="9" t="s">
        <v>401</v>
      </c>
      <c r="M63" s="9" t="s">
        <v>581</v>
      </c>
      <c r="N63" s="9" t="s">
        <v>402</v>
      </c>
      <c r="O63" s="11" t="str">
        <f>"Evolución de Ingreso Promedio Mensual por Etnia en "&amp;Agencia[[#This Row],[territorio]]&amp;" para el "&amp;Agencia[[#This Row],[temporalidad]]</f>
        <v>Evolución de Ingreso Promedio Mensual por Etnia en Chile para el Periodo 2006-2017</v>
      </c>
      <c r="P63" s="112" t="s">
        <v>5850</v>
      </c>
      <c r="Q63" s="11" t="s">
        <v>784</v>
      </c>
      <c r="R63" s="20" t="str">
        <f>Agencia[[#This Row],[territorio]]&amp;",encuesta,CASEN,ingreso,ingresos,ingreso promedio,ingreso mensual,etnia,región,mapuche,alacalufe,atacameño,aymara,coya,diaguita,pascuense,quechua,"&amp;Agencia[[#This Row],[coleccion]]&amp;","&amp;Agencia[[#This Row],[sector]]&amp;","&amp;Agencia[[#This Row],[tema]]&amp;","&amp;Agencia[[#This Row],[contenido]]</f>
        <v>Chile,encuesta,CASEN,ingreso,ingresos,ingreso promedio,ingreso mensual,etnia,región,mapuche,alacalufe,atacameño,aymara,coya,diaguita,pascuense,quechua,Agencia Información,Socioeconómico,Ingreso por etnia,Ingresos Históricos</v>
      </c>
      <c r="S63" s="37" t="s">
        <v>984</v>
      </c>
      <c r="T63" s="108" t="s">
        <v>957</v>
      </c>
      <c r="U63" s="46" t="str">
        <f t="shared" si="33"/>
        <v>#1774B9</v>
      </c>
      <c r="V63" s="93" t="str">
        <f>+Agencia[[#This Row],[idcoleccion]]&amp;"-"&amp;Agencia[[#This Row],[id]]</f>
        <v>990-0052</v>
      </c>
      <c r="W63" s="93">
        <f>+VLOOKUP(Agencia[[#This Row],[Filtro URL]],Estructura!$X$4:$Y$500,2,0)</f>
        <v>99100000</v>
      </c>
      <c r="X63" s="93" t="str">
        <f>+VLOOKUP(Agencia[[#This Row],[tema]],Estructura!$A$4:$C$500,3,0)</f>
        <v>T-1019</v>
      </c>
      <c r="Y63" s="93" t="str">
        <f>+VLOOKUP(Agencia[[#This Row],[contenido]],Estructura!$E$4:$G$500,3,0)</f>
        <v>C-995</v>
      </c>
      <c r="Z63" s="93" t="str">
        <f>+VLOOKUP(Agencia[[#This Row],[Filtro Integrado]],Estructura!$I$4:$K$500,3,0)</f>
        <v>FI-992</v>
      </c>
      <c r="AA63" s="93" t="str">
        <f>+VLOOKUP(Agencia[[#This Row],[Muestra]],Estructura!$M$4:$O$500,3,0)</f>
        <v>M-1030</v>
      </c>
    </row>
    <row r="64" spans="1:27" ht="71.400000000000006" x14ac:dyDescent="0.3">
      <c r="A64" s="21" t="s">
        <v>465</v>
      </c>
      <c r="B64" s="23">
        <f t="shared" ref="B64:C96" si="34">+B63</f>
        <v>990</v>
      </c>
      <c r="C64" s="24" t="str">
        <f t="shared" ref="C64:D94" si="35">+C63</f>
        <v>Agencia Información</v>
      </c>
      <c r="D64" s="72" t="str">
        <f t="shared" ref="D64:D79" si="36">+D63</f>
        <v>Socioeconómico</v>
      </c>
      <c r="E64" s="19">
        <v>1</v>
      </c>
      <c r="F64" s="25" t="s">
        <v>1837</v>
      </c>
      <c r="G64" s="25" t="s">
        <v>1876</v>
      </c>
      <c r="H64" s="33" t="s">
        <v>16</v>
      </c>
      <c r="I64" s="34" t="s">
        <v>368</v>
      </c>
      <c r="J64" s="9" t="str">
        <f>+J63</f>
        <v>Región</v>
      </c>
      <c r="K64" s="9" t="str">
        <f>+K63</f>
        <v>Ingresos Promedio Mensual</v>
      </c>
      <c r="L64" s="9" t="str">
        <f>+L63</f>
        <v>Periodo 2006-2017</v>
      </c>
      <c r="M64" s="9" t="str">
        <f>+M63</f>
        <v>CLP/mes</v>
      </c>
      <c r="N64" s="9" t="str">
        <f>+N63</f>
        <v>Encuestas CASEN</v>
      </c>
      <c r="O64" s="11" t="str">
        <f>"Evolución de Ingreso Promedio Mensual por Etnia en la "&amp;Agencia[[#This Row],[territorio]]&amp;" para el "&amp;Agencia[[#This Row],[temporalidad]]</f>
        <v>Evolución de Ingreso Promedio Mensual por Etnia en la Región de Tarapacá para el Periodo 2006-2017</v>
      </c>
      <c r="P64" s="112" t="s">
        <v>5851</v>
      </c>
      <c r="Q64" s="11" t="str">
        <f>+Q63</f>
        <v>Gráfico de Evolución</v>
      </c>
      <c r="R64"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Tarapacá,encuesta,CASEN,ingreso,ingresos,ingreso promedio,ingreso mensual,etnia,región,mapuche,alacalufe,atacameño,aymara,coya,diaguita,pascuense,quechua,Agencia Información,Socioeconómico,Ingreso por etnia,Ingresos Históricos</v>
      </c>
      <c r="S64" s="37" t="str">
        <f>HYPERLINK("https://analytics.zoho.com/open-view/2395394000008231605?ZOHO_CRITERIA=%22Localiza%20Chile%22.%22Codreg%22%3D"&amp;Agencia[[#This Row],[Filtro URL]])</f>
        <v>https://analytics.zoho.com/open-view/2395394000008231605?ZOHO_CRITERIA=%22Localiza%20Chile%22.%22Codreg%22%3D1</v>
      </c>
      <c r="T64" s="111" t="str">
        <f>"100-C-"&amp;Agencia[[#This Row],[Filtro URL]]</f>
        <v>100-C-1</v>
      </c>
      <c r="U64" s="46" t="str">
        <f t="shared" si="33"/>
        <v>#1774B9</v>
      </c>
      <c r="V64" s="93" t="str">
        <f>+Agencia[[#This Row],[idcoleccion]]&amp;"-"&amp;Agencia[[#This Row],[id]]</f>
        <v>990-0053</v>
      </c>
      <c r="W64" s="93">
        <f>+VLOOKUP(Agencia[[#This Row],[Filtro URL]],Estructura!$X$4:$Y$500,2,0)</f>
        <v>99200001</v>
      </c>
      <c r="X64" s="93" t="str">
        <f>+VLOOKUP(Agencia[[#This Row],[tema]],Estructura!$A$4:$C$500,3,0)</f>
        <v>T-1019</v>
      </c>
      <c r="Y64" s="93" t="str">
        <f>+VLOOKUP(Agencia[[#This Row],[contenido]],Estructura!$E$4:$G$500,3,0)</f>
        <v>C-995</v>
      </c>
      <c r="Z64" s="93" t="str">
        <f>+VLOOKUP(Agencia[[#This Row],[Filtro Integrado]],Estructura!$I$4:$K$500,3,0)</f>
        <v>FI-992</v>
      </c>
      <c r="AA64" s="93" t="str">
        <f>+VLOOKUP(Agencia[[#This Row],[Muestra]],Estructura!$M$4:$O$500,3,0)</f>
        <v>M-1030</v>
      </c>
    </row>
    <row r="65" spans="1:27" ht="71.400000000000006" x14ac:dyDescent="0.3">
      <c r="A65" s="21" t="s">
        <v>1400</v>
      </c>
      <c r="B65" s="23">
        <f t="shared" si="34"/>
        <v>990</v>
      </c>
      <c r="C65" s="24" t="str">
        <f t="shared" si="35"/>
        <v>Agencia Información</v>
      </c>
      <c r="D65" s="72" t="str">
        <f t="shared" si="36"/>
        <v>Socioeconómico</v>
      </c>
      <c r="E65" s="19">
        <v>2</v>
      </c>
      <c r="F65" s="25" t="s">
        <v>1837</v>
      </c>
      <c r="G65" s="25" t="s">
        <v>1876</v>
      </c>
      <c r="H65" s="33" t="s">
        <v>16</v>
      </c>
      <c r="I65" s="34" t="s">
        <v>369</v>
      </c>
      <c r="J65" s="9" t="str">
        <f t="shared" ref="J65:J79" si="37">+J64</f>
        <v>Región</v>
      </c>
      <c r="K65" s="9" t="str">
        <f t="shared" ref="K65:K79" si="38">+K64</f>
        <v>Ingresos Promedio Mensual</v>
      </c>
      <c r="L65" s="9" t="str">
        <f t="shared" ref="L65:L79" si="39">+L64</f>
        <v>Periodo 2006-2017</v>
      </c>
      <c r="M65" s="9" t="str">
        <f t="shared" ref="M65:M79" si="40">+M64</f>
        <v>CLP/mes</v>
      </c>
      <c r="N65" s="9" t="str">
        <f t="shared" ref="N65:N79" si="41">+N64</f>
        <v>Encuestas CASEN</v>
      </c>
      <c r="O65" s="11" t="str">
        <f>"Evolución de Ingreso Promedio Mensual por Etnia en la "&amp;Agencia[[#This Row],[territorio]]&amp;" para el "&amp;Agencia[[#This Row],[temporalidad]]</f>
        <v>Evolución de Ingreso Promedio Mensual por Etnia en la Región de Antofagasta para el Periodo 2006-2017</v>
      </c>
      <c r="P65" s="112" t="s">
        <v>5838</v>
      </c>
      <c r="Q65" s="11" t="str">
        <f t="shared" ref="Q65:Q79" si="42">+Q64</f>
        <v>Gráfico de Evolución</v>
      </c>
      <c r="R65"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Antofagasta,encuesta,CASEN,ingreso,ingresos,ingreso promedio,ingreso mensual,etnia,región,mapuche,alacalufe,atacameño,aymara,coya,diaguita,pascuense,quechua,Agencia Información,Socioeconómico,Ingreso por etnia,Ingresos Históricos</v>
      </c>
      <c r="S65" s="37" t="str">
        <f>HYPERLINK("https://analytics.zoho.com/open-view/2395394000008231605?ZOHO_CRITERIA=%22Localiza%20Chile%22.%22Codreg%22%3D"&amp;Agencia[[#This Row],[Filtro URL]])</f>
        <v>https://analytics.zoho.com/open-view/2395394000008231605?ZOHO_CRITERIA=%22Localiza%20Chile%22.%22Codreg%22%3D2</v>
      </c>
      <c r="T65" s="111" t="str">
        <f>"100-C-"&amp;Agencia[[#This Row],[Filtro URL]]</f>
        <v>100-C-2</v>
      </c>
      <c r="U65" s="46" t="str">
        <f t="shared" ref="U65:U79" si="43">+U64</f>
        <v>#1774B9</v>
      </c>
      <c r="V65" s="93" t="str">
        <f>+Agencia[[#This Row],[idcoleccion]]&amp;"-"&amp;Agencia[[#This Row],[id]]</f>
        <v>990-0054</v>
      </c>
      <c r="W65" s="93">
        <f>+VLOOKUP(Agencia[[#This Row],[Filtro URL]],Estructura!$X$4:$Y$500,2,0)</f>
        <v>99200002</v>
      </c>
      <c r="X65" s="93" t="str">
        <f>+VLOOKUP(Agencia[[#This Row],[tema]],Estructura!$A$4:$C$500,3,0)</f>
        <v>T-1019</v>
      </c>
      <c r="Y65" s="93" t="str">
        <f>+VLOOKUP(Agencia[[#This Row],[contenido]],Estructura!$E$4:$G$500,3,0)</f>
        <v>C-995</v>
      </c>
      <c r="Z65" s="93" t="str">
        <f>+VLOOKUP(Agencia[[#This Row],[Filtro Integrado]],Estructura!$I$4:$K$500,3,0)</f>
        <v>FI-992</v>
      </c>
      <c r="AA65" s="93" t="str">
        <f>+VLOOKUP(Agencia[[#This Row],[Muestra]],Estructura!$M$4:$O$500,3,0)</f>
        <v>M-1030</v>
      </c>
    </row>
    <row r="66" spans="1:27" ht="71.400000000000006" x14ac:dyDescent="0.3">
      <c r="A66" s="21" t="s">
        <v>1401</v>
      </c>
      <c r="B66" s="23">
        <f t="shared" si="34"/>
        <v>990</v>
      </c>
      <c r="C66" s="24" t="str">
        <f t="shared" si="35"/>
        <v>Agencia Información</v>
      </c>
      <c r="D66" s="72" t="str">
        <f t="shared" si="36"/>
        <v>Socioeconómico</v>
      </c>
      <c r="E66" s="19">
        <v>3</v>
      </c>
      <c r="F66" s="25" t="s">
        <v>1837</v>
      </c>
      <c r="G66" s="25" t="s">
        <v>1876</v>
      </c>
      <c r="H66" s="33" t="s">
        <v>16</v>
      </c>
      <c r="I66" s="34" t="s">
        <v>370</v>
      </c>
      <c r="J66" s="9" t="str">
        <f t="shared" si="37"/>
        <v>Región</v>
      </c>
      <c r="K66" s="9" t="str">
        <f t="shared" si="38"/>
        <v>Ingresos Promedio Mensual</v>
      </c>
      <c r="L66" s="9" t="str">
        <f t="shared" si="39"/>
        <v>Periodo 2006-2017</v>
      </c>
      <c r="M66" s="9" t="str">
        <f t="shared" si="40"/>
        <v>CLP/mes</v>
      </c>
      <c r="N66" s="9" t="str">
        <f t="shared" si="41"/>
        <v>Encuestas CASEN</v>
      </c>
      <c r="O66" s="11" t="str">
        <f>"Evolución de Ingreso Promedio Mensual por Etnia en la "&amp;Agencia[[#This Row],[territorio]]&amp;" para el "&amp;Agencia[[#This Row],[temporalidad]]</f>
        <v>Evolución de Ingreso Promedio Mensual por Etnia en la Región de Atacama para el Periodo 2006-2017</v>
      </c>
      <c r="P66" s="112" t="s">
        <v>5852</v>
      </c>
      <c r="Q66" s="11" t="str">
        <f t="shared" si="42"/>
        <v>Gráfico de Evolución</v>
      </c>
      <c r="R66"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Atacama,encuesta,CASEN,ingreso,ingresos,ingreso promedio,ingreso mensual,etnia,región,mapuche,alacalufe,atacameño,aymara,coya,diaguita,pascuense,quechua,Agencia Información,Socioeconómico,Ingreso por etnia,Ingresos Históricos</v>
      </c>
      <c r="S66" s="22" t="str">
        <f>HYPERLINK("https://analytics.zoho.com/open-view/2395394000008231605?ZOHO_CRITERIA=%22Localiza%20Chile%22.%22Codreg%22%3D"&amp;Agencia[[#This Row],[Filtro URL]])</f>
        <v>https://analytics.zoho.com/open-view/2395394000008231605?ZOHO_CRITERIA=%22Localiza%20Chile%22.%22Codreg%22%3D3</v>
      </c>
      <c r="T66" s="111" t="str">
        <f>"100-C-"&amp;Agencia[[#This Row],[Filtro URL]]</f>
        <v>100-C-3</v>
      </c>
      <c r="U66" s="46" t="str">
        <f t="shared" si="43"/>
        <v>#1774B9</v>
      </c>
      <c r="V66" s="93" t="str">
        <f>+Agencia[[#This Row],[idcoleccion]]&amp;"-"&amp;Agencia[[#This Row],[id]]</f>
        <v>990-0055</v>
      </c>
      <c r="W66" s="93">
        <f>+VLOOKUP(Agencia[[#This Row],[Filtro URL]],Estructura!$X$4:$Y$500,2,0)</f>
        <v>99200003</v>
      </c>
      <c r="X66" s="93" t="str">
        <f>+VLOOKUP(Agencia[[#This Row],[tema]],Estructura!$A$4:$C$500,3,0)</f>
        <v>T-1019</v>
      </c>
      <c r="Y66" s="93" t="str">
        <f>+VLOOKUP(Agencia[[#This Row],[contenido]],Estructura!$E$4:$G$500,3,0)</f>
        <v>C-995</v>
      </c>
      <c r="Z66" s="93" t="str">
        <f>+VLOOKUP(Agencia[[#This Row],[Filtro Integrado]],Estructura!$I$4:$K$500,3,0)</f>
        <v>FI-992</v>
      </c>
      <c r="AA66" s="93" t="str">
        <f>+VLOOKUP(Agencia[[#This Row],[Muestra]],Estructura!$M$4:$O$500,3,0)</f>
        <v>M-1030</v>
      </c>
    </row>
    <row r="67" spans="1:27" ht="71.400000000000006" x14ac:dyDescent="0.3">
      <c r="A67" s="21" t="s">
        <v>1402</v>
      </c>
      <c r="B67" s="23">
        <f t="shared" si="34"/>
        <v>990</v>
      </c>
      <c r="C67" s="24" t="str">
        <f t="shared" si="35"/>
        <v>Agencia Información</v>
      </c>
      <c r="D67" s="72" t="str">
        <f t="shared" si="36"/>
        <v>Socioeconómico</v>
      </c>
      <c r="E67" s="19">
        <v>4</v>
      </c>
      <c r="F67" s="25" t="s">
        <v>1837</v>
      </c>
      <c r="G67" s="25" t="s">
        <v>1876</v>
      </c>
      <c r="H67" s="33" t="s">
        <v>16</v>
      </c>
      <c r="I67" s="34" t="s">
        <v>371</v>
      </c>
      <c r="J67" s="9" t="str">
        <f t="shared" si="37"/>
        <v>Región</v>
      </c>
      <c r="K67" s="9" t="str">
        <f t="shared" si="38"/>
        <v>Ingresos Promedio Mensual</v>
      </c>
      <c r="L67" s="9" t="str">
        <f t="shared" si="39"/>
        <v>Periodo 2006-2017</v>
      </c>
      <c r="M67" s="9" t="str">
        <f t="shared" si="40"/>
        <v>CLP/mes</v>
      </c>
      <c r="N67" s="9" t="str">
        <f t="shared" si="41"/>
        <v>Encuestas CASEN</v>
      </c>
      <c r="O67" s="11" t="str">
        <f>"Evolución de Ingreso Promedio Mensual por Etnia en la "&amp;Agencia[[#This Row],[territorio]]&amp;" para el "&amp;Agencia[[#This Row],[temporalidad]]</f>
        <v>Evolución de Ingreso Promedio Mensual por Etnia en la Región de Coquimbo para el Periodo 2006-2017</v>
      </c>
      <c r="P67" s="112" t="s">
        <v>5853</v>
      </c>
      <c r="Q67" s="11" t="str">
        <f t="shared" si="42"/>
        <v>Gráfico de Evolución</v>
      </c>
      <c r="R67"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Coquimbo,encuesta,CASEN,ingreso,ingresos,ingreso promedio,ingreso mensual,etnia,región,mapuche,alacalufe,atacameño,aymara,coya,diaguita,pascuense,quechua,Agencia Información,Socioeconómico,Ingreso por etnia,Ingresos Históricos</v>
      </c>
      <c r="S67" s="22" t="str">
        <f>HYPERLINK("https://analytics.zoho.com/open-view/2395394000008231605?ZOHO_CRITERIA=%22Localiza%20Chile%22.%22Codreg%22%3D"&amp;Agencia[[#This Row],[Filtro URL]])</f>
        <v>https://analytics.zoho.com/open-view/2395394000008231605?ZOHO_CRITERIA=%22Localiza%20Chile%22.%22Codreg%22%3D4</v>
      </c>
      <c r="T67" s="111" t="str">
        <f>"100-C-"&amp;Agencia[[#This Row],[Filtro URL]]</f>
        <v>100-C-4</v>
      </c>
      <c r="U67" s="46" t="str">
        <f t="shared" si="43"/>
        <v>#1774B9</v>
      </c>
      <c r="V67" s="93" t="str">
        <f>+Agencia[[#This Row],[idcoleccion]]&amp;"-"&amp;Agencia[[#This Row],[id]]</f>
        <v>990-0056</v>
      </c>
      <c r="W67" s="93">
        <f>+VLOOKUP(Agencia[[#This Row],[Filtro URL]],Estructura!$X$4:$Y$500,2,0)</f>
        <v>99200004</v>
      </c>
      <c r="X67" s="93" t="str">
        <f>+VLOOKUP(Agencia[[#This Row],[tema]],Estructura!$A$4:$C$500,3,0)</f>
        <v>T-1019</v>
      </c>
      <c r="Y67" s="93" t="str">
        <f>+VLOOKUP(Agencia[[#This Row],[contenido]],Estructura!$E$4:$G$500,3,0)</f>
        <v>C-995</v>
      </c>
      <c r="Z67" s="93" t="str">
        <f>+VLOOKUP(Agencia[[#This Row],[Filtro Integrado]],Estructura!$I$4:$K$500,3,0)</f>
        <v>FI-992</v>
      </c>
      <c r="AA67" s="93" t="str">
        <f>+VLOOKUP(Agencia[[#This Row],[Muestra]],Estructura!$M$4:$O$500,3,0)</f>
        <v>M-1030</v>
      </c>
    </row>
    <row r="68" spans="1:27" ht="71.400000000000006" x14ac:dyDescent="0.3">
      <c r="A68" s="21" t="s">
        <v>1403</v>
      </c>
      <c r="B68" s="23">
        <f t="shared" si="34"/>
        <v>990</v>
      </c>
      <c r="C68" s="24" t="str">
        <f t="shared" si="35"/>
        <v>Agencia Información</v>
      </c>
      <c r="D68" s="72" t="str">
        <f t="shared" si="36"/>
        <v>Socioeconómico</v>
      </c>
      <c r="E68" s="19">
        <v>5</v>
      </c>
      <c r="F68" s="25" t="s">
        <v>1837</v>
      </c>
      <c r="G68" s="25" t="s">
        <v>1876</v>
      </c>
      <c r="H68" s="33" t="s">
        <v>16</v>
      </c>
      <c r="I68" s="34" t="s">
        <v>372</v>
      </c>
      <c r="J68" s="9" t="str">
        <f t="shared" si="37"/>
        <v>Región</v>
      </c>
      <c r="K68" s="9" t="str">
        <f t="shared" si="38"/>
        <v>Ingresos Promedio Mensual</v>
      </c>
      <c r="L68" s="9" t="str">
        <f t="shared" si="39"/>
        <v>Periodo 2006-2017</v>
      </c>
      <c r="M68" s="9" t="str">
        <f t="shared" si="40"/>
        <v>CLP/mes</v>
      </c>
      <c r="N68" s="9" t="str">
        <f t="shared" si="41"/>
        <v>Encuestas CASEN</v>
      </c>
      <c r="O68" s="11" t="str">
        <f>"Evolución de Ingreso Promedio Mensual por Etnia en la "&amp;Agencia[[#This Row],[territorio]]&amp;" para el "&amp;Agencia[[#This Row],[temporalidad]]</f>
        <v>Evolución de Ingreso Promedio Mensual por Etnia en la Región de Valparaíso para el Periodo 2006-2017</v>
      </c>
      <c r="P68" s="112" t="s">
        <v>5839</v>
      </c>
      <c r="Q68" s="11" t="str">
        <f t="shared" si="42"/>
        <v>Gráfico de Evolución</v>
      </c>
      <c r="R68"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Valparaíso,encuesta,CASEN,ingreso,ingresos,ingreso promedio,ingreso mensual,etnia,región,mapuche,alacalufe,atacameño,aymara,coya,diaguita,pascuense,quechua,Agencia Información,Socioeconómico,Ingreso por etnia,Ingresos Históricos</v>
      </c>
      <c r="S68" s="22" t="str">
        <f>HYPERLINK("https://analytics.zoho.com/open-view/2395394000008231605?ZOHO_CRITERIA=%22Localiza%20Chile%22.%22Codreg%22%3D"&amp;Agencia[[#This Row],[Filtro URL]])</f>
        <v>https://analytics.zoho.com/open-view/2395394000008231605?ZOHO_CRITERIA=%22Localiza%20Chile%22.%22Codreg%22%3D5</v>
      </c>
      <c r="T68" s="111" t="str">
        <f>"100-C-"&amp;Agencia[[#This Row],[Filtro URL]]</f>
        <v>100-C-5</v>
      </c>
      <c r="U68" s="46" t="str">
        <f t="shared" si="43"/>
        <v>#1774B9</v>
      </c>
      <c r="V68" s="93" t="str">
        <f>+Agencia[[#This Row],[idcoleccion]]&amp;"-"&amp;Agencia[[#This Row],[id]]</f>
        <v>990-0057</v>
      </c>
      <c r="W68" s="93">
        <f>+VLOOKUP(Agencia[[#This Row],[Filtro URL]],Estructura!$X$4:$Y$500,2,0)</f>
        <v>99200005</v>
      </c>
      <c r="X68" s="93" t="str">
        <f>+VLOOKUP(Agencia[[#This Row],[tema]],Estructura!$A$4:$C$500,3,0)</f>
        <v>T-1019</v>
      </c>
      <c r="Y68" s="93" t="str">
        <f>+VLOOKUP(Agencia[[#This Row],[contenido]],Estructura!$E$4:$G$500,3,0)</f>
        <v>C-995</v>
      </c>
      <c r="Z68" s="93" t="str">
        <f>+VLOOKUP(Agencia[[#This Row],[Filtro Integrado]],Estructura!$I$4:$K$500,3,0)</f>
        <v>FI-992</v>
      </c>
      <c r="AA68" s="93" t="str">
        <f>+VLOOKUP(Agencia[[#This Row],[Muestra]],Estructura!$M$4:$O$500,3,0)</f>
        <v>M-1030</v>
      </c>
    </row>
    <row r="69" spans="1:27" ht="71.400000000000006" x14ac:dyDescent="0.3">
      <c r="A69" s="21" t="s">
        <v>1404</v>
      </c>
      <c r="B69" s="23">
        <f t="shared" si="34"/>
        <v>990</v>
      </c>
      <c r="C69" s="24" t="str">
        <f t="shared" si="35"/>
        <v>Agencia Información</v>
      </c>
      <c r="D69" s="72" t="str">
        <f t="shared" si="36"/>
        <v>Socioeconómico</v>
      </c>
      <c r="E69" s="19">
        <v>6</v>
      </c>
      <c r="F69" s="25" t="s">
        <v>1837</v>
      </c>
      <c r="G69" s="25" t="s">
        <v>1876</v>
      </c>
      <c r="H69" s="33" t="s">
        <v>16</v>
      </c>
      <c r="I69" s="34" t="s">
        <v>373</v>
      </c>
      <c r="J69" s="9" t="str">
        <f t="shared" si="37"/>
        <v>Región</v>
      </c>
      <c r="K69" s="9" t="str">
        <f t="shared" si="38"/>
        <v>Ingresos Promedio Mensual</v>
      </c>
      <c r="L69" s="9" t="str">
        <f t="shared" si="39"/>
        <v>Periodo 2006-2017</v>
      </c>
      <c r="M69" s="9" t="str">
        <f t="shared" si="40"/>
        <v>CLP/mes</v>
      </c>
      <c r="N69" s="9" t="str">
        <f t="shared" si="41"/>
        <v>Encuestas CASEN</v>
      </c>
      <c r="O69" s="11" t="str">
        <f>"Evolución de Ingreso Promedio Mensual por Etnia en la "&amp;Agencia[[#This Row],[territorio]]&amp;" para el "&amp;Agencia[[#This Row],[temporalidad]]</f>
        <v>Evolución de Ingreso Promedio Mensual por Etnia en la Región de O'Higgins para el Periodo 2006-2017</v>
      </c>
      <c r="P69" s="112" t="s">
        <v>5840</v>
      </c>
      <c r="Q69" s="11" t="str">
        <f t="shared" si="42"/>
        <v>Gráfico de Evolución</v>
      </c>
      <c r="R69"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O'Higgins,encuesta,CASEN,ingreso,ingresos,ingreso promedio,ingreso mensual,etnia,región,mapuche,alacalufe,atacameño,aymara,coya,diaguita,pascuense,quechua,Agencia Información,Socioeconómico,Ingreso por etnia,Ingresos Históricos</v>
      </c>
      <c r="S69" s="22" t="str">
        <f>HYPERLINK("https://analytics.zoho.com/open-view/2395394000008231605?ZOHO_CRITERIA=%22Localiza%20Chile%22.%22Codreg%22%3D"&amp;Agencia[[#This Row],[Filtro URL]])</f>
        <v>https://analytics.zoho.com/open-view/2395394000008231605?ZOHO_CRITERIA=%22Localiza%20Chile%22.%22Codreg%22%3D6</v>
      </c>
      <c r="T69" s="111" t="str">
        <f>"100-C-"&amp;Agencia[[#This Row],[Filtro URL]]</f>
        <v>100-C-6</v>
      </c>
      <c r="U69" s="46" t="str">
        <f t="shared" si="43"/>
        <v>#1774B9</v>
      </c>
      <c r="V69" s="93" t="str">
        <f>+Agencia[[#This Row],[idcoleccion]]&amp;"-"&amp;Agencia[[#This Row],[id]]</f>
        <v>990-0058</v>
      </c>
      <c r="W69" s="93">
        <f>+VLOOKUP(Agencia[[#This Row],[Filtro URL]],Estructura!$X$4:$Y$500,2,0)</f>
        <v>99200006</v>
      </c>
      <c r="X69" s="93" t="str">
        <f>+VLOOKUP(Agencia[[#This Row],[tema]],Estructura!$A$4:$C$500,3,0)</f>
        <v>T-1019</v>
      </c>
      <c r="Y69" s="93" t="str">
        <f>+VLOOKUP(Agencia[[#This Row],[contenido]],Estructura!$E$4:$G$500,3,0)</f>
        <v>C-995</v>
      </c>
      <c r="Z69" s="93" t="str">
        <f>+VLOOKUP(Agencia[[#This Row],[Filtro Integrado]],Estructura!$I$4:$K$500,3,0)</f>
        <v>FI-992</v>
      </c>
      <c r="AA69" s="93" t="str">
        <f>+VLOOKUP(Agencia[[#This Row],[Muestra]],Estructura!$M$4:$O$500,3,0)</f>
        <v>M-1030</v>
      </c>
    </row>
    <row r="70" spans="1:27" ht="71.400000000000006" x14ac:dyDescent="0.3">
      <c r="A70" s="21" t="s">
        <v>1405</v>
      </c>
      <c r="B70" s="23">
        <f t="shared" si="34"/>
        <v>990</v>
      </c>
      <c r="C70" s="24" t="str">
        <f t="shared" si="35"/>
        <v>Agencia Información</v>
      </c>
      <c r="D70" s="72" t="str">
        <f t="shared" si="36"/>
        <v>Socioeconómico</v>
      </c>
      <c r="E70" s="19">
        <v>7</v>
      </c>
      <c r="F70" s="25" t="s">
        <v>1837</v>
      </c>
      <c r="G70" s="25" t="s">
        <v>1876</v>
      </c>
      <c r="H70" s="33" t="s">
        <v>16</v>
      </c>
      <c r="I70" s="34" t="s">
        <v>374</v>
      </c>
      <c r="J70" s="9" t="str">
        <f t="shared" si="37"/>
        <v>Región</v>
      </c>
      <c r="K70" s="9" t="str">
        <f t="shared" si="38"/>
        <v>Ingresos Promedio Mensual</v>
      </c>
      <c r="L70" s="9" t="str">
        <f t="shared" si="39"/>
        <v>Periodo 2006-2017</v>
      </c>
      <c r="M70" s="9" t="str">
        <f t="shared" si="40"/>
        <v>CLP/mes</v>
      </c>
      <c r="N70" s="9" t="str">
        <f t="shared" si="41"/>
        <v>Encuestas CASEN</v>
      </c>
      <c r="O70" s="11" t="str">
        <f>"Evolución de Ingreso Promedio Mensual por Etnia en la "&amp;Agencia[[#This Row],[territorio]]&amp;" para el "&amp;Agencia[[#This Row],[temporalidad]]</f>
        <v>Evolución de Ingreso Promedio Mensual por Etnia en la Región de Maule para el Periodo 2006-2017</v>
      </c>
      <c r="P70" s="112" t="s">
        <v>5854</v>
      </c>
      <c r="Q70" s="11" t="str">
        <f t="shared" si="42"/>
        <v>Gráfico de Evolución</v>
      </c>
      <c r="R70"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Maule,encuesta,CASEN,ingreso,ingresos,ingreso promedio,ingreso mensual,etnia,región,mapuche,alacalufe,atacameño,aymara,coya,diaguita,pascuense,quechua,Agencia Información,Socioeconómico,Ingreso por etnia,Ingresos Históricos</v>
      </c>
      <c r="S70" s="22" t="str">
        <f>HYPERLINK("https://analytics.zoho.com/open-view/2395394000008231605?ZOHO_CRITERIA=%22Localiza%20Chile%22.%22Codreg%22%3D"&amp;Agencia[[#This Row],[Filtro URL]])</f>
        <v>https://analytics.zoho.com/open-view/2395394000008231605?ZOHO_CRITERIA=%22Localiza%20Chile%22.%22Codreg%22%3D7</v>
      </c>
      <c r="T70" s="111" t="str">
        <f>"100-C-"&amp;Agencia[[#This Row],[Filtro URL]]</f>
        <v>100-C-7</v>
      </c>
      <c r="U70" s="46" t="str">
        <f t="shared" si="43"/>
        <v>#1774B9</v>
      </c>
      <c r="V70" s="93" t="str">
        <f>+Agencia[[#This Row],[idcoleccion]]&amp;"-"&amp;Agencia[[#This Row],[id]]</f>
        <v>990-0059</v>
      </c>
      <c r="W70" s="93">
        <f>+VLOOKUP(Agencia[[#This Row],[Filtro URL]],Estructura!$X$4:$Y$500,2,0)</f>
        <v>99200007</v>
      </c>
      <c r="X70" s="93" t="str">
        <f>+VLOOKUP(Agencia[[#This Row],[tema]],Estructura!$A$4:$C$500,3,0)</f>
        <v>T-1019</v>
      </c>
      <c r="Y70" s="93" t="str">
        <f>+VLOOKUP(Agencia[[#This Row],[contenido]],Estructura!$E$4:$G$500,3,0)</f>
        <v>C-995</v>
      </c>
      <c r="Z70" s="93" t="str">
        <f>+VLOOKUP(Agencia[[#This Row],[Filtro Integrado]],Estructura!$I$4:$K$500,3,0)</f>
        <v>FI-992</v>
      </c>
      <c r="AA70" s="93" t="str">
        <f>+VLOOKUP(Agencia[[#This Row],[Muestra]],Estructura!$M$4:$O$500,3,0)</f>
        <v>M-1030</v>
      </c>
    </row>
    <row r="71" spans="1:27" ht="71.400000000000006" x14ac:dyDescent="0.3">
      <c r="A71" s="21" t="s">
        <v>1406</v>
      </c>
      <c r="B71" s="23">
        <f t="shared" si="34"/>
        <v>990</v>
      </c>
      <c r="C71" s="24" t="str">
        <f t="shared" si="35"/>
        <v>Agencia Información</v>
      </c>
      <c r="D71" s="72" t="str">
        <f t="shared" si="36"/>
        <v>Socioeconómico</v>
      </c>
      <c r="E71" s="19">
        <v>8</v>
      </c>
      <c r="F71" s="25" t="s">
        <v>1837</v>
      </c>
      <c r="G71" s="25" t="s">
        <v>1876</v>
      </c>
      <c r="H71" s="33" t="s">
        <v>16</v>
      </c>
      <c r="I71" s="34" t="s">
        <v>375</v>
      </c>
      <c r="J71" s="9" t="str">
        <f t="shared" si="37"/>
        <v>Región</v>
      </c>
      <c r="K71" s="9" t="str">
        <f t="shared" si="38"/>
        <v>Ingresos Promedio Mensual</v>
      </c>
      <c r="L71" s="9" t="str">
        <f t="shared" si="39"/>
        <v>Periodo 2006-2017</v>
      </c>
      <c r="M71" s="9" t="str">
        <f t="shared" si="40"/>
        <v>CLP/mes</v>
      </c>
      <c r="N71" s="9" t="str">
        <f t="shared" si="41"/>
        <v>Encuestas CASEN</v>
      </c>
      <c r="O71" s="11" t="str">
        <f>"Evolución de Ingreso Promedio Mensual por Etnia en la "&amp;Agencia[[#This Row],[territorio]]&amp;" para el "&amp;Agencia[[#This Row],[temporalidad]]</f>
        <v>Evolución de Ingreso Promedio Mensual por Etnia en la Región del Biobío para el Periodo 2006-2017</v>
      </c>
      <c r="P71" s="112" t="s">
        <v>5855</v>
      </c>
      <c r="Q71" s="11" t="str">
        <f t="shared" si="42"/>
        <v>Gráfico de Evolución</v>
      </c>
      <c r="R71"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del Biobío,encuesta,CASEN,ingreso,ingresos,ingreso promedio,ingreso mensual,etnia,región,mapuche,alacalufe,atacameño,aymara,coya,diaguita,pascuense,quechua,Agencia Información,Socioeconómico,Ingreso por etnia,Ingresos Históricos</v>
      </c>
      <c r="S71" s="22" t="str">
        <f>HYPERLINK("https://analytics.zoho.com/open-view/2395394000008231605?ZOHO_CRITERIA=%22Localiza%20Chile%22.%22Codreg%22%3D"&amp;Agencia[[#This Row],[Filtro URL]])</f>
        <v>https://analytics.zoho.com/open-view/2395394000008231605?ZOHO_CRITERIA=%22Localiza%20Chile%22.%22Codreg%22%3D8</v>
      </c>
      <c r="T71" s="111" t="str">
        <f>"100-C-"&amp;Agencia[[#This Row],[Filtro URL]]</f>
        <v>100-C-8</v>
      </c>
      <c r="U71" s="46" t="str">
        <f t="shared" si="43"/>
        <v>#1774B9</v>
      </c>
      <c r="V71" s="93" t="str">
        <f>+Agencia[[#This Row],[idcoleccion]]&amp;"-"&amp;Agencia[[#This Row],[id]]</f>
        <v>990-0060</v>
      </c>
      <c r="W71" s="93">
        <f>+VLOOKUP(Agencia[[#This Row],[Filtro URL]],Estructura!$X$4:$Y$500,2,0)</f>
        <v>99200008</v>
      </c>
      <c r="X71" s="93" t="str">
        <f>+VLOOKUP(Agencia[[#This Row],[tema]],Estructura!$A$4:$C$500,3,0)</f>
        <v>T-1019</v>
      </c>
      <c r="Y71" s="93" t="str">
        <f>+VLOOKUP(Agencia[[#This Row],[contenido]],Estructura!$E$4:$G$500,3,0)</f>
        <v>C-995</v>
      </c>
      <c r="Z71" s="93" t="str">
        <f>+VLOOKUP(Agencia[[#This Row],[Filtro Integrado]],Estructura!$I$4:$K$500,3,0)</f>
        <v>FI-992</v>
      </c>
      <c r="AA71" s="93" t="str">
        <f>+VLOOKUP(Agencia[[#This Row],[Muestra]],Estructura!$M$4:$O$500,3,0)</f>
        <v>M-1030</v>
      </c>
    </row>
    <row r="72" spans="1:27" ht="71.400000000000006" x14ac:dyDescent="0.3">
      <c r="A72" s="21" t="s">
        <v>1407</v>
      </c>
      <c r="B72" s="23">
        <f t="shared" si="34"/>
        <v>990</v>
      </c>
      <c r="C72" s="24" t="str">
        <f t="shared" si="35"/>
        <v>Agencia Información</v>
      </c>
      <c r="D72" s="72" t="str">
        <f t="shared" si="36"/>
        <v>Socioeconómico</v>
      </c>
      <c r="E72" s="19">
        <v>9</v>
      </c>
      <c r="F72" s="25" t="s">
        <v>1837</v>
      </c>
      <c r="G72" s="25" t="s">
        <v>1876</v>
      </c>
      <c r="H72" s="33" t="s">
        <v>16</v>
      </c>
      <c r="I72" s="34" t="s">
        <v>376</v>
      </c>
      <c r="J72" s="9" t="str">
        <f t="shared" si="37"/>
        <v>Región</v>
      </c>
      <c r="K72" s="9" t="str">
        <f t="shared" si="38"/>
        <v>Ingresos Promedio Mensual</v>
      </c>
      <c r="L72" s="9" t="str">
        <f t="shared" si="39"/>
        <v>Periodo 2006-2017</v>
      </c>
      <c r="M72" s="9" t="str">
        <f t="shared" si="40"/>
        <v>CLP/mes</v>
      </c>
      <c r="N72" s="9" t="str">
        <f t="shared" si="41"/>
        <v>Encuestas CASEN</v>
      </c>
      <c r="O72" s="11" t="str">
        <f>"Evolución de Ingreso Promedio Mensual por Etnia en la "&amp;Agencia[[#This Row],[territorio]]&amp;" para el "&amp;Agencia[[#This Row],[temporalidad]]</f>
        <v>Evolución de Ingreso Promedio Mensual por Etnia en la Región de La Araucanía para el Periodo 2006-2017</v>
      </c>
      <c r="P72" s="112" t="s">
        <v>5841</v>
      </c>
      <c r="Q72" s="11" t="str">
        <f t="shared" si="42"/>
        <v>Gráfico de Evolución</v>
      </c>
      <c r="R72"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La Araucanía,encuesta,CASEN,ingreso,ingresos,ingreso promedio,ingreso mensual,etnia,región,mapuche,alacalufe,atacameño,aymara,coya,diaguita,pascuense,quechua,Agencia Información,Socioeconómico,Ingreso por etnia,Ingresos Históricos</v>
      </c>
      <c r="S72" s="22" t="str">
        <f>HYPERLINK("https://analytics.zoho.com/open-view/2395394000008231605?ZOHO_CRITERIA=%22Localiza%20Chile%22.%22Codreg%22%3D"&amp;Agencia[[#This Row],[Filtro URL]])</f>
        <v>https://analytics.zoho.com/open-view/2395394000008231605?ZOHO_CRITERIA=%22Localiza%20Chile%22.%22Codreg%22%3D9</v>
      </c>
      <c r="T72" s="111" t="str">
        <f>"100-C-"&amp;Agencia[[#This Row],[Filtro URL]]</f>
        <v>100-C-9</v>
      </c>
      <c r="U72" s="46" t="str">
        <f t="shared" si="43"/>
        <v>#1774B9</v>
      </c>
      <c r="V72" s="93" t="str">
        <f>+Agencia[[#This Row],[idcoleccion]]&amp;"-"&amp;Agencia[[#This Row],[id]]</f>
        <v>990-0061</v>
      </c>
      <c r="W72" s="93">
        <f>+VLOOKUP(Agencia[[#This Row],[Filtro URL]],Estructura!$X$4:$Y$500,2,0)</f>
        <v>99200009</v>
      </c>
      <c r="X72" s="93" t="str">
        <f>+VLOOKUP(Agencia[[#This Row],[tema]],Estructura!$A$4:$C$500,3,0)</f>
        <v>T-1019</v>
      </c>
      <c r="Y72" s="93" t="str">
        <f>+VLOOKUP(Agencia[[#This Row],[contenido]],Estructura!$E$4:$G$500,3,0)</f>
        <v>C-995</v>
      </c>
      <c r="Z72" s="93" t="str">
        <f>+VLOOKUP(Agencia[[#This Row],[Filtro Integrado]],Estructura!$I$4:$K$500,3,0)</f>
        <v>FI-992</v>
      </c>
      <c r="AA72" s="93" t="str">
        <f>+VLOOKUP(Agencia[[#This Row],[Muestra]],Estructura!$M$4:$O$500,3,0)</f>
        <v>M-1030</v>
      </c>
    </row>
    <row r="73" spans="1:27" ht="71.400000000000006" x14ac:dyDescent="0.3">
      <c r="A73" s="21" t="s">
        <v>1408</v>
      </c>
      <c r="B73" s="23">
        <f t="shared" si="34"/>
        <v>990</v>
      </c>
      <c r="C73" s="24" t="str">
        <f t="shared" si="35"/>
        <v>Agencia Información</v>
      </c>
      <c r="D73" s="72" t="str">
        <f t="shared" si="36"/>
        <v>Socioeconómico</v>
      </c>
      <c r="E73" s="19">
        <v>10</v>
      </c>
      <c r="F73" s="25" t="s">
        <v>1837</v>
      </c>
      <c r="G73" s="25" t="s">
        <v>1876</v>
      </c>
      <c r="H73" s="33" t="s">
        <v>16</v>
      </c>
      <c r="I73" s="34" t="s">
        <v>377</v>
      </c>
      <c r="J73" s="9" t="str">
        <f t="shared" si="37"/>
        <v>Región</v>
      </c>
      <c r="K73" s="9" t="str">
        <f t="shared" si="38"/>
        <v>Ingresos Promedio Mensual</v>
      </c>
      <c r="L73" s="9" t="str">
        <f t="shared" si="39"/>
        <v>Periodo 2006-2017</v>
      </c>
      <c r="M73" s="9" t="str">
        <f t="shared" si="40"/>
        <v>CLP/mes</v>
      </c>
      <c r="N73" s="9" t="str">
        <f t="shared" si="41"/>
        <v>Encuestas CASEN</v>
      </c>
      <c r="O73" s="11" t="str">
        <f>"Evolución de Ingreso Promedio Mensual por Etnia en la "&amp;Agencia[[#This Row],[territorio]]&amp;" para el "&amp;Agencia[[#This Row],[temporalidad]]</f>
        <v>Evolución de Ingreso Promedio Mensual por Etnia en la Región de Los Lagos para el Periodo 2006-2017</v>
      </c>
      <c r="P73" s="112" t="s">
        <v>5856</v>
      </c>
      <c r="Q73" s="11" t="str">
        <f t="shared" si="42"/>
        <v>Gráfico de Evolución</v>
      </c>
      <c r="R73"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Los Lagos,encuesta,CASEN,ingreso,ingresos,ingreso promedio,ingreso mensual,etnia,región,mapuche,alacalufe,atacameño,aymara,coya,diaguita,pascuense,quechua,Agencia Información,Socioeconómico,Ingreso por etnia,Ingresos Históricos</v>
      </c>
      <c r="S73" s="22" t="str">
        <f>HYPERLINK("https://analytics.zoho.com/open-view/2395394000008231605?ZOHO_CRITERIA=%22Localiza%20Chile%22.%22Codreg%22%3D"&amp;Agencia[[#This Row],[Filtro URL]])</f>
        <v>https://analytics.zoho.com/open-view/2395394000008231605?ZOHO_CRITERIA=%22Localiza%20Chile%22.%22Codreg%22%3D10</v>
      </c>
      <c r="T73" s="111" t="str">
        <f>"100-C-"&amp;Agencia[[#This Row],[Filtro URL]]</f>
        <v>100-C-10</v>
      </c>
      <c r="U73" s="46" t="str">
        <f t="shared" si="43"/>
        <v>#1774B9</v>
      </c>
      <c r="V73" s="93" t="str">
        <f>+Agencia[[#This Row],[idcoleccion]]&amp;"-"&amp;Agencia[[#This Row],[id]]</f>
        <v>990-0062</v>
      </c>
      <c r="W73" s="93">
        <f>+VLOOKUP(Agencia[[#This Row],[Filtro URL]],Estructura!$X$4:$Y$500,2,0)</f>
        <v>99200010</v>
      </c>
      <c r="X73" s="93" t="str">
        <f>+VLOOKUP(Agencia[[#This Row],[tema]],Estructura!$A$4:$C$500,3,0)</f>
        <v>T-1019</v>
      </c>
      <c r="Y73" s="93" t="str">
        <f>+VLOOKUP(Agencia[[#This Row],[contenido]],Estructura!$E$4:$G$500,3,0)</f>
        <v>C-995</v>
      </c>
      <c r="Z73" s="93" t="str">
        <f>+VLOOKUP(Agencia[[#This Row],[Filtro Integrado]],Estructura!$I$4:$K$500,3,0)</f>
        <v>FI-992</v>
      </c>
      <c r="AA73" s="93" t="str">
        <f>+VLOOKUP(Agencia[[#This Row],[Muestra]],Estructura!$M$4:$O$500,3,0)</f>
        <v>M-1030</v>
      </c>
    </row>
    <row r="74" spans="1:27" ht="71.400000000000006" x14ac:dyDescent="0.3">
      <c r="A74" s="21" t="s">
        <v>1409</v>
      </c>
      <c r="B74" s="23">
        <f t="shared" si="34"/>
        <v>990</v>
      </c>
      <c r="C74" s="24" t="str">
        <f t="shared" si="35"/>
        <v>Agencia Información</v>
      </c>
      <c r="D74" s="72" t="str">
        <f t="shared" si="36"/>
        <v>Socioeconómico</v>
      </c>
      <c r="E74" s="19">
        <v>11</v>
      </c>
      <c r="F74" s="25" t="s">
        <v>1837</v>
      </c>
      <c r="G74" s="25" t="s">
        <v>1876</v>
      </c>
      <c r="H74" s="33" t="s">
        <v>16</v>
      </c>
      <c r="I74" s="34" t="s">
        <v>378</v>
      </c>
      <c r="J74" s="9" t="str">
        <f t="shared" si="37"/>
        <v>Región</v>
      </c>
      <c r="K74" s="9" t="str">
        <f t="shared" si="38"/>
        <v>Ingresos Promedio Mensual</v>
      </c>
      <c r="L74" s="9" t="str">
        <f t="shared" si="39"/>
        <v>Periodo 2006-2017</v>
      </c>
      <c r="M74" s="9" t="str">
        <f t="shared" si="40"/>
        <v>CLP/mes</v>
      </c>
      <c r="N74" s="9" t="str">
        <f t="shared" si="41"/>
        <v>Encuestas CASEN</v>
      </c>
      <c r="O74" s="11" t="str">
        <f>"Evolución de Ingreso Promedio Mensual por Etnia en la "&amp;Agencia[[#This Row],[territorio]]&amp;" para el "&amp;Agencia[[#This Row],[temporalidad]]</f>
        <v>Evolución de Ingreso Promedio Mensual por Etnia en la Región de Aysén para el Periodo 2006-2017</v>
      </c>
      <c r="P74" s="112" t="s">
        <v>5857</v>
      </c>
      <c r="Q74" s="11" t="str">
        <f t="shared" si="42"/>
        <v>Gráfico de Evolución</v>
      </c>
      <c r="R74"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Aysén,encuesta,CASEN,ingreso,ingresos,ingreso promedio,ingreso mensual,etnia,región,mapuche,alacalufe,atacameño,aymara,coya,diaguita,pascuense,quechua,Agencia Información,Socioeconómico,Ingreso por etnia,Ingresos Históricos</v>
      </c>
      <c r="S74" s="22" t="str">
        <f>HYPERLINK("https://analytics.zoho.com/open-view/2395394000008231605?ZOHO_CRITERIA=%22Localiza%20Chile%22.%22Codreg%22%3D"&amp;Agencia[[#This Row],[Filtro URL]])</f>
        <v>https://analytics.zoho.com/open-view/2395394000008231605?ZOHO_CRITERIA=%22Localiza%20Chile%22.%22Codreg%22%3D11</v>
      </c>
      <c r="T74" s="111" t="str">
        <f>"100-C-"&amp;Agencia[[#This Row],[Filtro URL]]</f>
        <v>100-C-11</v>
      </c>
      <c r="U74" s="46" t="str">
        <f t="shared" si="43"/>
        <v>#1774B9</v>
      </c>
      <c r="V74" s="93" t="str">
        <f>+Agencia[[#This Row],[idcoleccion]]&amp;"-"&amp;Agencia[[#This Row],[id]]</f>
        <v>990-0063</v>
      </c>
      <c r="W74" s="93">
        <f>+VLOOKUP(Agencia[[#This Row],[Filtro URL]],Estructura!$X$4:$Y$500,2,0)</f>
        <v>99200011</v>
      </c>
      <c r="X74" s="93" t="str">
        <f>+VLOOKUP(Agencia[[#This Row],[tema]],Estructura!$A$4:$C$500,3,0)</f>
        <v>T-1019</v>
      </c>
      <c r="Y74" s="93" t="str">
        <f>+VLOOKUP(Agencia[[#This Row],[contenido]],Estructura!$E$4:$G$500,3,0)</f>
        <v>C-995</v>
      </c>
      <c r="Z74" s="93" t="str">
        <f>+VLOOKUP(Agencia[[#This Row],[Filtro Integrado]],Estructura!$I$4:$K$500,3,0)</f>
        <v>FI-992</v>
      </c>
      <c r="AA74" s="93" t="str">
        <f>+VLOOKUP(Agencia[[#This Row],[Muestra]],Estructura!$M$4:$O$500,3,0)</f>
        <v>M-1030</v>
      </c>
    </row>
    <row r="75" spans="1:27" ht="71.400000000000006" x14ac:dyDescent="0.3">
      <c r="A75" s="21" t="s">
        <v>1410</v>
      </c>
      <c r="B75" s="23">
        <f t="shared" si="34"/>
        <v>990</v>
      </c>
      <c r="C75" s="24" t="str">
        <f t="shared" si="35"/>
        <v>Agencia Información</v>
      </c>
      <c r="D75" s="72" t="str">
        <f t="shared" si="36"/>
        <v>Socioeconómico</v>
      </c>
      <c r="E75" s="19">
        <v>12</v>
      </c>
      <c r="F75" s="25" t="s">
        <v>1837</v>
      </c>
      <c r="G75" s="25" t="s">
        <v>1876</v>
      </c>
      <c r="H75" s="33" t="s">
        <v>16</v>
      </c>
      <c r="I75" s="34" t="s">
        <v>379</v>
      </c>
      <c r="J75" s="9" t="str">
        <f t="shared" si="37"/>
        <v>Región</v>
      </c>
      <c r="K75" s="9" t="str">
        <f t="shared" si="38"/>
        <v>Ingresos Promedio Mensual</v>
      </c>
      <c r="L75" s="9" t="str">
        <f t="shared" si="39"/>
        <v>Periodo 2006-2017</v>
      </c>
      <c r="M75" s="9" t="str">
        <f t="shared" si="40"/>
        <v>CLP/mes</v>
      </c>
      <c r="N75" s="9" t="str">
        <f t="shared" si="41"/>
        <v>Encuestas CASEN</v>
      </c>
      <c r="O75" s="11" t="str">
        <f>"Evolución de Ingreso Promedio Mensual por Etnia en la "&amp;Agencia[[#This Row],[territorio]]&amp;" para el "&amp;Agencia[[#This Row],[temporalidad]]</f>
        <v>Evolución de Ingreso Promedio Mensual por Etnia en la Región de Magallanes para el Periodo 2006-2017</v>
      </c>
      <c r="P75" s="112" t="s">
        <v>5842</v>
      </c>
      <c r="Q75" s="11" t="str">
        <f t="shared" si="42"/>
        <v>Gráfico de Evolución</v>
      </c>
      <c r="R75"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Magallanes,encuesta,CASEN,ingreso,ingresos,ingreso promedio,ingreso mensual,etnia,región,mapuche,alacalufe,atacameño,aymara,coya,diaguita,pascuense,quechua,Agencia Información,Socioeconómico,Ingreso por etnia,Ingresos Históricos</v>
      </c>
      <c r="S75" s="22" t="str">
        <f>HYPERLINK("https://analytics.zoho.com/open-view/2395394000008231605?ZOHO_CRITERIA=%22Localiza%20Chile%22.%22Codreg%22%3D"&amp;Agencia[[#This Row],[Filtro URL]])</f>
        <v>https://analytics.zoho.com/open-view/2395394000008231605?ZOHO_CRITERIA=%22Localiza%20Chile%22.%22Codreg%22%3D12</v>
      </c>
      <c r="T75" s="111" t="str">
        <f>"100-C-"&amp;Agencia[[#This Row],[Filtro URL]]</f>
        <v>100-C-12</v>
      </c>
      <c r="U75" s="46" t="str">
        <f t="shared" si="43"/>
        <v>#1774B9</v>
      </c>
      <c r="V75" s="93" t="str">
        <f>+Agencia[[#This Row],[idcoleccion]]&amp;"-"&amp;Agencia[[#This Row],[id]]</f>
        <v>990-0064</v>
      </c>
      <c r="W75" s="93">
        <f>+VLOOKUP(Agencia[[#This Row],[Filtro URL]],Estructura!$X$4:$Y$500,2,0)</f>
        <v>99200012</v>
      </c>
      <c r="X75" s="93" t="str">
        <f>+VLOOKUP(Agencia[[#This Row],[tema]],Estructura!$A$4:$C$500,3,0)</f>
        <v>T-1019</v>
      </c>
      <c r="Y75" s="93" t="str">
        <f>+VLOOKUP(Agencia[[#This Row],[contenido]],Estructura!$E$4:$G$500,3,0)</f>
        <v>C-995</v>
      </c>
      <c r="Z75" s="93" t="str">
        <f>+VLOOKUP(Agencia[[#This Row],[Filtro Integrado]],Estructura!$I$4:$K$500,3,0)</f>
        <v>FI-992</v>
      </c>
      <c r="AA75" s="93" t="str">
        <f>+VLOOKUP(Agencia[[#This Row],[Muestra]],Estructura!$M$4:$O$500,3,0)</f>
        <v>M-1030</v>
      </c>
    </row>
    <row r="76" spans="1:27" ht="71.400000000000006" x14ac:dyDescent="0.3">
      <c r="A76" s="21" t="s">
        <v>1411</v>
      </c>
      <c r="B76" s="23">
        <f t="shared" si="34"/>
        <v>990</v>
      </c>
      <c r="C76" s="24" t="str">
        <f t="shared" si="35"/>
        <v>Agencia Información</v>
      </c>
      <c r="D76" s="72" t="str">
        <f t="shared" si="36"/>
        <v>Socioeconómico</v>
      </c>
      <c r="E76" s="19">
        <v>13</v>
      </c>
      <c r="F76" s="25" t="s">
        <v>1837</v>
      </c>
      <c r="G76" s="25" t="s">
        <v>1876</v>
      </c>
      <c r="H76" s="33" t="s">
        <v>16</v>
      </c>
      <c r="I76" s="34" t="s">
        <v>380</v>
      </c>
      <c r="J76" s="9" t="str">
        <f t="shared" si="37"/>
        <v>Región</v>
      </c>
      <c r="K76" s="9" t="str">
        <f t="shared" si="38"/>
        <v>Ingresos Promedio Mensual</v>
      </c>
      <c r="L76" s="9" t="str">
        <f t="shared" si="39"/>
        <v>Periodo 2006-2017</v>
      </c>
      <c r="M76" s="9" t="str">
        <f t="shared" si="40"/>
        <v>CLP/mes</v>
      </c>
      <c r="N76" s="9" t="str">
        <f t="shared" si="41"/>
        <v>Encuestas CASEN</v>
      </c>
      <c r="O76" s="11" t="str">
        <f>"Evolución de Ingreso Promedio Mensual por Etnia en la "&amp;Agencia[[#This Row],[territorio]]&amp;" para el "&amp;Agencia[[#This Row],[temporalidad]]</f>
        <v>Evolución de Ingreso Promedio Mensual por Etnia en la Región Metropolitana para el Periodo 2006-2017</v>
      </c>
      <c r="P76" s="112" t="s">
        <v>5843</v>
      </c>
      <c r="Q76" s="11" t="str">
        <f t="shared" si="42"/>
        <v>Gráfico de Evolución</v>
      </c>
      <c r="R76"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Metropolitana,encuesta,CASEN,ingreso,ingresos,ingreso promedio,ingreso mensual,etnia,región,mapuche,alacalufe,atacameño,aymara,coya,diaguita,pascuense,quechua,Agencia Información,Socioeconómico,Ingreso por etnia,Ingresos Históricos</v>
      </c>
      <c r="S76" s="22" t="str">
        <f>HYPERLINK("https://analytics.zoho.com/open-view/2395394000008231605?ZOHO_CRITERIA=%22Localiza%20Chile%22.%22Codreg%22%3D"&amp;Agencia[[#This Row],[Filtro URL]])</f>
        <v>https://analytics.zoho.com/open-view/2395394000008231605?ZOHO_CRITERIA=%22Localiza%20Chile%22.%22Codreg%22%3D13</v>
      </c>
      <c r="T76" s="111" t="str">
        <f>"200-C-"&amp;Agencia[[#This Row],[Filtro URL]]</f>
        <v>200-C-13</v>
      </c>
      <c r="U76" s="46" t="str">
        <f t="shared" si="43"/>
        <v>#1774B9</v>
      </c>
      <c r="V76" s="93" t="str">
        <f>+Agencia[[#This Row],[idcoleccion]]&amp;"-"&amp;Agencia[[#This Row],[id]]</f>
        <v>990-0065</v>
      </c>
      <c r="W76" s="93">
        <f>+VLOOKUP(Agencia[[#This Row],[Filtro URL]],Estructura!$X$4:$Y$500,2,0)</f>
        <v>99200013</v>
      </c>
      <c r="X76" s="93" t="str">
        <f>+VLOOKUP(Agencia[[#This Row],[tema]],Estructura!$A$4:$C$500,3,0)</f>
        <v>T-1019</v>
      </c>
      <c r="Y76" s="93" t="str">
        <f>+VLOOKUP(Agencia[[#This Row],[contenido]],Estructura!$E$4:$G$500,3,0)</f>
        <v>C-995</v>
      </c>
      <c r="Z76" s="93" t="str">
        <f>+VLOOKUP(Agencia[[#This Row],[Filtro Integrado]],Estructura!$I$4:$K$500,3,0)</f>
        <v>FI-992</v>
      </c>
      <c r="AA76" s="93" t="str">
        <f>+VLOOKUP(Agencia[[#This Row],[Muestra]],Estructura!$M$4:$O$500,3,0)</f>
        <v>M-1030</v>
      </c>
    </row>
    <row r="77" spans="1:27" ht="71.400000000000006" x14ac:dyDescent="0.3">
      <c r="A77" s="21" t="s">
        <v>1412</v>
      </c>
      <c r="B77" s="23">
        <f t="shared" si="34"/>
        <v>990</v>
      </c>
      <c r="C77" s="24" t="str">
        <f t="shared" si="35"/>
        <v>Agencia Información</v>
      </c>
      <c r="D77" s="72" t="str">
        <f t="shared" si="36"/>
        <v>Socioeconómico</v>
      </c>
      <c r="E77" s="19">
        <v>14</v>
      </c>
      <c r="F77" s="25" t="s">
        <v>1837</v>
      </c>
      <c r="G77" s="25" t="s">
        <v>1876</v>
      </c>
      <c r="H77" s="33" t="s">
        <v>16</v>
      </c>
      <c r="I77" s="34" t="s">
        <v>381</v>
      </c>
      <c r="J77" s="9" t="str">
        <f t="shared" si="37"/>
        <v>Región</v>
      </c>
      <c r="K77" s="9" t="str">
        <f t="shared" si="38"/>
        <v>Ingresos Promedio Mensual</v>
      </c>
      <c r="L77" s="9" t="str">
        <f t="shared" si="39"/>
        <v>Periodo 2006-2017</v>
      </c>
      <c r="M77" s="9" t="str">
        <f t="shared" si="40"/>
        <v>CLP/mes</v>
      </c>
      <c r="N77" s="9" t="str">
        <f t="shared" si="41"/>
        <v>Encuestas CASEN</v>
      </c>
      <c r="O77" s="11" t="str">
        <f>"Evolución de Ingreso Promedio Mensual por Etnia en la "&amp;Agencia[[#This Row],[territorio]]&amp;" para el "&amp;Agencia[[#This Row],[temporalidad]]</f>
        <v>Evolución de Ingreso Promedio Mensual por Etnia en la Región de Los Ríos para el Periodo 2006-2017</v>
      </c>
      <c r="P77" s="112" t="s">
        <v>5858</v>
      </c>
      <c r="Q77" s="11" t="str">
        <f t="shared" si="42"/>
        <v>Gráfico de Evolución</v>
      </c>
      <c r="R77"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Los Ríos,encuesta,CASEN,ingreso,ingresos,ingreso promedio,ingreso mensual,etnia,región,mapuche,alacalufe,atacameño,aymara,coya,diaguita,pascuense,quechua,Agencia Información,Socioeconómico,Ingreso por etnia,Ingresos Históricos</v>
      </c>
      <c r="S77" s="22" t="str">
        <f>HYPERLINK("https://analytics.zoho.com/open-view/2395394000008231605?ZOHO_CRITERIA=%22Localiza%20Chile%22.%22Codreg%22%3D"&amp;Agencia[[#This Row],[Filtro URL]])</f>
        <v>https://analytics.zoho.com/open-view/2395394000008231605?ZOHO_CRITERIA=%22Localiza%20Chile%22.%22Codreg%22%3D14</v>
      </c>
      <c r="T77" s="111" t="str">
        <f>"100-C-"&amp;Agencia[[#This Row],[Filtro URL]]</f>
        <v>100-C-14</v>
      </c>
      <c r="U77" s="46" t="str">
        <f t="shared" si="43"/>
        <v>#1774B9</v>
      </c>
      <c r="V77" s="93" t="str">
        <f>+Agencia[[#This Row],[idcoleccion]]&amp;"-"&amp;Agencia[[#This Row],[id]]</f>
        <v>990-0066</v>
      </c>
      <c r="W77" s="93">
        <f>+VLOOKUP(Agencia[[#This Row],[Filtro URL]],Estructura!$X$4:$Y$500,2,0)</f>
        <v>99200014</v>
      </c>
      <c r="X77" s="93" t="str">
        <f>+VLOOKUP(Agencia[[#This Row],[tema]],Estructura!$A$4:$C$500,3,0)</f>
        <v>T-1019</v>
      </c>
      <c r="Y77" s="93" t="str">
        <f>+VLOOKUP(Agencia[[#This Row],[contenido]],Estructura!$E$4:$G$500,3,0)</f>
        <v>C-995</v>
      </c>
      <c r="Z77" s="93" t="str">
        <f>+VLOOKUP(Agencia[[#This Row],[Filtro Integrado]],Estructura!$I$4:$K$500,3,0)</f>
        <v>FI-992</v>
      </c>
      <c r="AA77" s="93" t="str">
        <f>+VLOOKUP(Agencia[[#This Row],[Muestra]],Estructura!$M$4:$O$500,3,0)</f>
        <v>M-1030</v>
      </c>
    </row>
    <row r="78" spans="1:27" ht="71.400000000000006" x14ac:dyDescent="0.3">
      <c r="A78" s="21" t="s">
        <v>1413</v>
      </c>
      <c r="B78" s="23">
        <f t="shared" si="34"/>
        <v>990</v>
      </c>
      <c r="C78" s="24" t="str">
        <f t="shared" si="35"/>
        <v>Agencia Información</v>
      </c>
      <c r="D78" s="72" t="str">
        <f t="shared" si="36"/>
        <v>Socioeconómico</v>
      </c>
      <c r="E78" s="19">
        <v>15</v>
      </c>
      <c r="F78" s="25" t="s">
        <v>1837</v>
      </c>
      <c r="G78" s="25" t="s">
        <v>1876</v>
      </c>
      <c r="H78" s="33" t="s">
        <v>16</v>
      </c>
      <c r="I78" s="34" t="s">
        <v>382</v>
      </c>
      <c r="J78" s="9" t="str">
        <f t="shared" si="37"/>
        <v>Región</v>
      </c>
      <c r="K78" s="9" t="str">
        <f t="shared" si="38"/>
        <v>Ingresos Promedio Mensual</v>
      </c>
      <c r="L78" s="9" t="str">
        <f t="shared" si="39"/>
        <v>Periodo 2006-2017</v>
      </c>
      <c r="M78" s="9" t="str">
        <f t="shared" si="40"/>
        <v>CLP/mes</v>
      </c>
      <c r="N78" s="9" t="str">
        <f t="shared" si="41"/>
        <v>Encuestas CASEN</v>
      </c>
      <c r="O78" s="11" t="str">
        <f>"Evolución de Ingreso Promedio Mensual por Etnia en la "&amp;Agencia[[#This Row],[territorio]]&amp;" para el "&amp;Agencia[[#This Row],[temporalidad]]</f>
        <v>Evolución de Ingreso Promedio Mensual por Etnia en la Región de Arica y Parinacota para el Periodo 2006-2017</v>
      </c>
      <c r="P78" s="112" t="s">
        <v>5844</v>
      </c>
      <c r="Q78" s="11" t="str">
        <f t="shared" si="42"/>
        <v>Gráfico de Evolución</v>
      </c>
      <c r="R78"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Arica y Parinacota,encuesta,CASEN,ingreso,ingresos,ingreso promedio,ingreso mensual,etnia,región,mapuche,alacalufe,atacameño,aymara,coya,diaguita,pascuense,quechua,Agencia Información,Socioeconómico,Ingreso por etnia,Ingresos Históricos</v>
      </c>
      <c r="S78" s="22" t="str">
        <f>HYPERLINK("https://analytics.zoho.com/open-view/2395394000008231605?ZOHO_CRITERIA=%22Localiza%20Chile%22.%22Codreg%22%3D"&amp;Agencia[[#This Row],[Filtro URL]])</f>
        <v>https://analytics.zoho.com/open-view/2395394000008231605?ZOHO_CRITERIA=%22Localiza%20Chile%22.%22Codreg%22%3D15</v>
      </c>
      <c r="T78" s="111" t="str">
        <f>"100-C-"&amp;Agencia[[#This Row],[Filtro URL]]</f>
        <v>100-C-15</v>
      </c>
      <c r="U78" s="46" t="str">
        <f t="shared" si="43"/>
        <v>#1774B9</v>
      </c>
      <c r="V78" s="93" t="str">
        <f>+Agencia[[#This Row],[idcoleccion]]&amp;"-"&amp;Agencia[[#This Row],[id]]</f>
        <v>990-0067</v>
      </c>
      <c r="W78" s="93">
        <f>+VLOOKUP(Agencia[[#This Row],[Filtro URL]],Estructura!$X$4:$Y$500,2,0)</f>
        <v>99200015</v>
      </c>
      <c r="X78" s="93" t="str">
        <f>+VLOOKUP(Agencia[[#This Row],[tema]],Estructura!$A$4:$C$500,3,0)</f>
        <v>T-1019</v>
      </c>
      <c r="Y78" s="93" t="str">
        <f>+VLOOKUP(Agencia[[#This Row],[contenido]],Estructura!$E$4:$G$500,3,0)</f>
        <v>C-995</v>
      </c>
      <c r="Z78" s="93" t="str">
        <f>+VLOOKUP(Agencia[[#This Row],[Filtro Integrado]],Estructura!$I$4:$K$500,3,0)</f>
        <v>FI-992</v>
      </c>
      <c r="AA78" s="93" t="str">
        <f>+VLOOKUP(Agencia[[#This Row],[Muestra]],Estructura!$M$4:$O$500,3,0)</f>
        <v>M-1030</v>
      </c>
    </row>
    <row r="79" spans="1:27" ht="71.400000000000006" x14ac:dyDescent="0.3">
      <c r="A79" s="21" t="s">
        <v>1414</v>
      </c>
      <c r="B79" s="23">
        <f t="shared" si="34"/>
        <v>990</v>
      </c>
      <c r="C79" s="24" t="str">
        <f t="shared" si="35"/>
        <v>Agencia Información</v>
      </c>
      <c r="D79" s="72" t="str">
        <f t="shared" si="36"/>
        <v>Socioeconómico</v>
      </c>
      <c r="E79" s="19">
        <v>16</v>
      </c>
      <c r="F79" s="25" t="s">
        <v>1837</v>
      </c>
      <c r="G79" s="25" t="s">
        <v>1876</v>
      </c>
      <c r="H79" s="33" t="s">
        <v>16</v>
      </c>
      <c r="I79" s="34" t="s">
        <v>383</v>
      </c>
      <c r="J79" s="9" t="str">
        <f t="shared" si="37"/>
        <v>Región</v>
      </c>
      <c r="K79" s="9" t="str">
        <f t="shared" si="38"/>
        <v>Ingresos Promedio Mensual</v>
      </c>
      <c r="L79" s="9" t="str">
        <f t="shared" si="39"/>
        <v>Periodo 2006-2017</v>
      </c>
      <c r="M79" s="9" t="str">
        <f t="shared" si="40"/>
        <v>CLP/mes</v>
      </c>
      <c r="N79" s="9" t="str">
        <f t="shared" si="41"/>
        <v>Encuestas CASEN</v>
      </c>
      <c r="O79" s="11" t="str">
        <f>"Evolución de Ingreso Promedio Mensual por Etnia en la "&amp;Agencia[[#This Row],[territorio]]&amp;" para el "&amp;Agencia[[#This Row],[temporalidad]]</f>
        <v>Evolución de Ingreso Promedio Mensual por Etnia en la Región de Ñuble para el Periodo 2006-2017</v>
      </c>
      <c r="P79" s="112" t="s">
        <v>5859</v>
      </c>
      <c r="Q79" s="11" t="str">
        <f t="shared" si="42"/>
        <v>Gráfico de Evolución</v>
      </c>
      <c r="R79" s="148" t="str">
        <f>Agencia[[#This Row],[territorio]]&amp;",encuesta,CASEN,ingreso,ingresos,ingreso promedio,ingreso mensual,etnia,región,mapuche,alacalufe,atacameño,aymara,coya,diaguita,pascuense,quechua,"&amp;Agencia[[#This Row],[coleccion]]&amp;","&amp;Agencia[[#This Row],[sector]]&amp;","&amp;Agencia[[#This Row],[tema]]&amp;","&amp;Agencia[[#This Row],[contenido]]</f>
        <v>Región de Ñuble,encuesta,CASEN,ingreso,ingresos,ingreso promedio,ingreso mensual,etnia,región,mapuche,alacalufe,atacameño,aymara,coya,diaguita,pascuense,quechua,Agencia Información,Socioeconómico,Ingreso por etnia,Ingresos Históricos</v>
      </c>
      <c r="S79" s="22" t="str">
        <f>HYPERLINK("https://analytics.zoho.com/open-view/2395394000008231605?ZOHO_CRITERIA=%22Localiza%20Chile%22.%22Codreg%22%3D"&amp;Agencia[[#This Row],[Filtro URL]])</f>
        <v>https://analytics.zoho.com/open-view/2395394000008231605?ZOHO_CRITERIA=%22Localiza%20Chile%22.%22Codreg%22%3D16</v>
      </c>
      <c r="T79" s="111" t="str">
        <f>"100-C-"&amp;Agencia[[#This Row],[Filtro URL]]</f>
        <v>100-C-16</v>
      </c>
      <c r="U79" s="46" t="str">
        <f t="shared" si="43"/>
        <v>#1774B9</v>
      </c>
      <c r="V79" s="93" t="str">
        <f>+Agencia[[#This Row],[idcoleccion]]&amp;"-"&amp;Agencia[[#This Row],[id]]</f>
        <v>990-0068</v>
      </c>
      <c r="W79" s="93">
        <f>+VLOOKUP(Agencia[[#This Row],[Filtro URL]],Estructura!$X$4:$Y$500,2,0)</f>
        <v>99200016</v>
      </c>
      <c r="X79" s="93" t="str">
        <f>+VLOOKUP(Agencia[[#This Row],[tema]],Estructura!$A$4:$C$500,3,0)</f>
        <v>T-1019</v>
      </c>
      <c r="Y79" s="93" t="str">
        <f>+VLOOKUP(Agencia[[#This Row],[contenido]],Estructura!$E$4:$G$500,3,0)</f>
        <v>C-995</v>
      </c>
      <c r="Z79" s="93" t="str">
        <f>+VLOOKUP(Agencia[[#This Row],[Filtro Integrado]],Estructura!$I$4:$K$500,3,0)</f>
        <v>FI-992</v>
      </c>
      <c r="AA79" s="93" t="str">
        <f>+VLOOKUP(Agencia[[#This Row],[Muestra]],Estructura!$M$4:$O$500,3,0)</f>
        <v>M-1030</v>
      </c>
    </row>
    <row r="80" spans="1:27" ht="51" x14ac:dyDescent="0.3">
      <c r="A80" s="21" t="s">
        <v>1415</v>
      </c>
      <c r="B80" s="23">
        <f t="shared" si="34"/>
        <v>990</v>
      </c>
      <c r="C80" s="24" t="str">
        <f t="shared" si="35"/>
        <v>Agencia Información</v>
      </c>
      <c r="D80" s="72" t="s">
        <v>502</v>
      </c>
      <c r="E80" s="14">
        <v>0</v>
      </c>
      <c r="F80" s="24" t="s">
        <v>421</v>
      </c>
      <c r="G80" s="25" t="s">
        <v>3605</v>
      </c>
      <c r="H80" s="31" t="s">
        <v>20</v>
      </c>
      <c r="I80" s="32" t="s">
        <v>15</v>
      </c>
      <c r="J80" s="9" t="s">
        <v>16</v>
      </c>
      <c r="K80" s="9" t="s">
        <v>9288</v>
      </c>
      <c r="L80" s="9" t="s">
        <v>500</v>
      </c>
      <c r="M80" s="36" t="s">
        <v>585</v>
      </c>
      <c r="N80" s="9" t="s">
        <v>428</v>
      </c>
      <c r="O80" s="26" t="str">
        <f>"Ranking Comunal 2020: Número de Alumnos por Docente en Aula, variación "&amp;Agencia[[#This Row],[temporalidad]]</f>
        <v>Ranking Comunal 2020: Número de Alumnos por Docente en Aula, variación Periodo 2019-2020</v>
      </c>
      <c r="P80" s="113" t="s">
        <v>501</v>
      </c>
      <c r="Q80" s="27" t="s">
        <v>504</v>
      </c>
      <c r="R80" s="20" t="str">
        <f>Agencia[[#This Row],[territorio]]&amp;",municipal,alumnos,calidad,colegios,municipales,públicos,docentes,aula,sala,"&amp;Agencia[[#This Row],[coleccion]]&amp;","&amp;Agencia[[#This Row],[sector]]&amp;","&amp;Agencia[[#This Row],[tema]]&amp;","&amp;Agencia[[#This Row],[contenido]]</f>
        <v>Chile,municipal,alumnos,calidad,colegios,municipales,públicos,docentes,aula,sala,Agencia Información,Gobiernos locales,Indicadores de Calidad de Educación Municipal,Gestión Municipal de Educación</v>
      </c>
      <c r="S80" s="35" t="s">
        <v>503</v>
      </c>
      <c r="T80" s="108" t="s">
        <v>957</v>
      </c>
      <c r="U80" s="95" t="str">
        <f>+U79</f>
        <v>#1774B9</v>
      </c>
      <c r="V80" s="93" t="str">
        <f>+Agencia[[#This Row],[idcoleccion]]&amp;"-"&amp;Agencia[[#This Row],[id]]</f>
        <v>990-0069</v>
      </c>
      <c r="W80" s="93">
        <f>+VLOOKUP(Agencia[[#This Row],[Filtro URL]],Estructura!$X$4:$Y$500,2,0)</f>
        <v>99100000</v>
      </c>
      <c r="X80" s="93" t="str">
        <f>+VLOOKUP(Agencia[[#This Row],[tema]],Estructura!$A$4:$C$500,3,0)</f>
        <v>T-992</v>
      </c>
      <c r="Y80" s="93" t="str">
        <f>+VLOOKUP(Agencia[[#This Row],[contenido]],Estructura!$E$4:$G$500,3,0)</f>
        <v>C-1019</v>
      </c>
      <c r="Z80" s="93" t="str">
        <f>+VLOOKUP(Agencia[[#This Row],[Filtro Integrado]],Estructura!$I$4:$K$500,3,0)</f>
        <v>FI-992</v>
      </c>
      <c r="AA80" s="93" t="str">
        <f>+VLOOKUP(Agencia[[#This Row],[Muestra]],Estructura!$M$4:$O$500,3,0)</f>
        <v>M-1033</v>
      </c>
    </row>
    <row r="81" spans="1:27" ht="61.2" x14ac:dyDescent="0.3">
      <c r="A81" s="21" t="s">
        <v>466</v>
      </c>
      <c r="B81" s="23">
        <f t="shared" si="34"/>
        <v>990</v>
      </c>
      <c r="C81" s="24" t="str">
        <f t="shared" si="35"/>
        <v>Agencia Información</v>
      </c>
      <c r="D81" s="72" t="str">
        <f t="shared" si="35"/>
        <v>Gobiernos locales</v>
      </c>
      <c r="E81" s="19">
        <v>1</v>
      </c>
      <c r="F81" s="24" t="s">
        <v>421</v>
      </c>
      <c r="G81" s="25" t="s">
        <v>3605</v>
      </c>
      <c r="H81" s="33" t="s">
        <v>16</v>
      </c>
      <c r="I81" s="34" t="s">
        <v>368</v>
      </c>
      <c r="J81" s="9" t="s">
        <v>403</v>
      </c>
      <c r="K81" s="9" t="str">
        <f>+K80</f>
        <v>Alumnos por docente</v>
      </c>
      <c r="L81" s="9" t="str">
        <f t="shared" ref="L81:L95" si="44">+L80</f>
        <v>Periodo 2019-2020</v>
      </c>
      <c r="M81" s="9" t="str">
        <f t="shared" ref="M81:M95" si="45">+M80</f>
        <v>Número de Alumnos</v>
      </c>
      <c r="N81" s="9" t="str">
        <f t="shared" ref="N81:N95" si="46">+N80</f>
        <v>Sistema Nacional de Información Municipal</v>
      </c>
      <c r="O81" s="26" t="str">
        <f>"Ranking Comunal "&amp;Agencia[[#This Row],[territorio]]&amp;" 2020: Número de Alumnos por Docente en Aula, variación "&amp;Agencia[[#This Row],[temporalidad]]</f>
        <v>Ranking Comunal Región de Tarapacá 2020: Número de Alumnos por Docente en Aula, variación Periodo 2019-2020</v>
      </c>
      <c r="P81" s="112" t="s">
        <v>6408</v>
      </c>
      <c r="Q81" s="11" t="str">
        <f t="shared" ref="Q81:Q95" si="47">+Q80</f>
        <v>Ranking</v>
      </c>
      <c r="R81" s="148" t="str">
        <f>Agencia[[#This Row],[territorio]]&amp;",municipal,alumnos,calidad,colegios,municipales,públicos,docentes,aula,sala,"&amp;Agencia[[#This Row],[coleccion]]&amp;","&amp;Agencia[[#This Row],[sector]]&amp;","&amp;Agencia[[#This Row],[tema]]&amp;","&amp;Agencia[[#This Row],[contenido]]</f>
        <v>Región de Tarapacá,municipal,alumnos,calidad,colegios,municipales,públicos,docentes,aula,sala,Agencia Información,Gobiernos locales,Indicadores de Calidad de Educación Municipal,Gestión Municipal de Educación</v>
      </c>
      <c r="S81" s="37" t="str">
        <f>HYPERLINK("https://analytics.zoho.com/open-view/2395394000008643713?ZOHO_CRITERIA=%22Localiza%20CL%22.%22Codreg%22%3D"&amp;Agencia[[#This Row],[Filtro URL]])</f>
        <v>https://analytics.zoho.com/open-view/2395394000008643713?ZOHO_CRITERIA=%22Localiza%20CL%22.%22Codreg%22%3D1</v>
      </c>
      <c r="T81" s="111" t="str">
        <f>"100-C-"&amp;Agencia[[#This Row],[Filtro URL]]</f>
        <v>100-C-1</v>
      </c>
      <c r="U81" s="46" t="str">
        <f t="shared" ref="U81:U94" si="48">+U80</f>
        <v>#1774B9</v>
      </c>
      <c r="V81" s="93" t="str">
        <f>+Agencia[[#This Row],[idcoleccion]]&amp;"-"&amp;Agencia[[#This Row],[id]]</f>
        <v>990-0070</v>
      </c>
      <c r="W81" s="93">
        <f>+VLOOKUP(Agencia[[#This Row],[Filtro URL]],Estructura!$X$4:$Y$500,2,0)</f>
        <v>99200001</v>
      </c>
      <c r="X81" s="93" t="str">
        <f>+VLOOKUP(Agencia[[#This Row],[tema]],Estructura!$A$4:$C$500,3,0)</f>
        <v>T-992</v>
      </c>
      <c r="Y81" s="93" t="str">
        <f>+VLOOKUP(Agencia[[#This Row],[contenido]],Estructura!$E$4:$G$500,3,0)</f>
        <v>C-1019</v>
      </c>
      <c r="Z81" s="93" t="str">
        <f>+VLOOKUP(Agencia[[#This Row],[Filtro Integrado]],Estructura!$I$4:$K$500,3,0)</f>
        <v>FI-993</v>
      </c>
      <c r="AA81" s="93" t="str">
        <f>+VLOOKUP(Agencia[[#This Row],[Muestra]],Estructura!$M$4:$O$500,3,0)</f>
        <v>M-1033</v>
      </c>
    </row>
    <row r="82" spans="1:27" ht="61.2" x14ac:dyDescent="0.3">
      <c r="A82" s="21" t="s">
        <v>467</v>
      </c>
      <c r="B82" s="23">
        <f t="shared" si="34"/>
        <v>990</v>
      </c>
      <c r="C82" s="24" t="str">
        <f t="shared" si="35"/>
        <v>Agencia Información</v>
      </c>
      <c r="D82" s="72" t="str">
        <f t="shared" ref="D82:D94" si="49">+D81</f>
        <v>Gobiernos locales</v>
      </c>
      <c r="E82" s="19">
        <v>2</v>
      </c>
      <c r="F82" s="24" t="s">
        <v>421</v>
      </c>
      <c r="G82" s="25" t="s">
        <v>3605</v>
      </c>
      <c r="H82" s="33" t="s">
        <v>16</v>
      </c>
      <c r="I82" s="34" t="s">
        <v>369</v>
      </c>
      <c r="J82" s="9" t="str">
        <f t="shared" ref="J82:J94" si="50">+J81</f>
        <v>Ninguno</v>
      </c>
      <c r="K82" s="9" t="str">
        <f t="shared" ref="K82:K95" si="51">+K81</f>
        <v>Alumnos por docente</v>
      </c>
      <c r="L82" s="9" t="str">
        <f t="shared" si="44"/>
        <v>Periodo 2019-2020</v>
      </c>
      <c r="M82" s="9" t="str">
        <f t="shared" si="45"/>
        <v>Número de Alumnos</v>
      </c>
      <c r="N82" s="9" t="str">
        <f t="shared" si="46"/>
        <v>Sistema Nacional de Información Municipal</v>
      </c>
      <c r="O82" s="26" t="str">
        <f>"Ranking Comunal "&amp;Agencia[[#This Row],[territorio]]&amp;" 2020: Número de Alumnos por Docente en Aula, variación "&amp;Agencia[[#This Row],[temporalidad]]</f>
        <v>Ranking Comunal Región de Antofagasta 2020: Número de Alumnos por Docente en Aula, variación Periodo 2019-2020</v>
      </c>
      <c r="P82" s="112" t="s">
        <v>6406</v>
      </c>
      <c r="Q82" s="11" t="str">
        <f t="shared" si="47"/>
        <v>Ranking</v>
      </c>
      <c r="R82" s="148" t="str">
        <f>Agencia[[#This Row],[territorio]]&amp;",municipal,alumnos,calidad,colegios,municipales,públicos,docentes,aula,sala,"&amp;Agencia[[#This Row],[coleccion]]&amp;","&amp;Agencia[[#This Row],[sector]]&amp;","&amp;Agencia[[#This Row],[tema]]&amp;","&amp;Agencia[[#This Row],[contenido]]</f>
        <v>Región de Antofagasta,municipal,alumnos,calidad,colegios,municipales,públicos,docentes,aula,sala,Agencia Información,Gobiernos locales,Indicadores de Calidad de Educación Municipal,Gestión Municipal de Educación</v>
      </c>
      <c r="S82" s="37" t="str">
        <f>HYPERLINK("https://analytics.zoho.com/open-view/2395394000008643713?ZOHO_CRITERIA=%22Localiza%20CL%22.%22Codreg%22%3D"&amp;Agencia[[#This Row],[Filtro URL]])</f>
        <v>https://analytics.zoho.com/open-view/2395394000008643713?ZOHO_CRITERIA=%22Localiza%20CL%22.%22Codreg%22%3D2</v>
      </c>
      <c r="T82" s="111" t="str">
        <f>"100-C-"&amp;Agencia[[#This Row],[Filtro URL]]</f>
        <v>100-C-2</v>
      </c>
      <c r="U82" s="46" t="str">
        <f t="shared" si="48"/>
        <v>#1774B9</v>
      </c>
      <c r="V82" s="93" t="str">
        <f>+Agencia[[#This Row],[idcoleccion]]&amp;"-"&amp;Agencia[[#This Row],[id]]</f>
        <v>990-0071</v>
      </c>
      <c r="W82" s="93">
        <f>+VLOOKUP(Agencia[[#This Row],[Filtro URL]],Estructura!$X$4:$Y$500,2,0)</f>
        <v>99200002</v>
      </c>
      <c r="X82" s="93" t="str">
        <f>+VLOOKUP(Agencia[[#This Row],[tema]],Estructura!$A$4:$C$500,3,0)</f>
        <v>T-992</v>
      </c>
      <c r="Y82" s="93" t="str">
        <f>+VLOOKUP(Agencia[[#This Row],[contenido]],Estructura!$E$4:$G$500,3,0)</f>
        <v>C-1019</v>
      </c>
      <c r="Z82" s="93" t="str">
        <f>+VLOOKUP(Agencia[[#This Row],[Filtro Integrado]],Estructura!$I$4:$K$500,3,0)</f>
        <v>FI-993</v>
      </c>
      <c r="AA82" s="93" t="str">
        <f>+VLOOKUP(Agencia[[#This Row],[Muestra]],Estructura!$M$4:$O$500,3,0)</f>
        <v>M-1033</v>
      </c>
    </row>
    <row r="83" spans="1:27" ht="61.2" x14ac:dyDescent="0.3">
      <c r="A83" s="21" t="s">
        <v>468</v>
      </c>
      <c r="B83" s="23">
        <f t="shared" si="34"/>
        <v>990</v>
      </c>
      <c r="C83" s="24" t="str">
        <f t="shared" si="35"/>
        <v>Agencia Información</v>
      </c>
      <c r="D83" s="72" t="str">
        <f t="shared" si="49"/>
        <v>Gobiernos locales</v>
      </c>
      <c r="E83" s="19">
        <v>3</v>
      </c>
      <c r="F83" s="24" t="s">
        <v>421</v>
      </c>
      <c r="G83" s="25" t="s">
        <v>3605</v>
      </c>
      <c r="H83" s="33" t="s">
        <v>16</v>
      </c>
      <c r="I83" s="34" t="s">
        <v>370</v>
      </c>
      <c r="J83" s="9" t="str">
        <f t="shared" si="50"/>
        <v>Ninguno</v>
      </c>
      <c r="K83" s="9" t="str">
        <f t="shared" si="51"/>
        <v>Alumnos por docente</v>
      </c>
      <c r="L83" s="9" t="str">
        <f t="shared" si="44"/>
        <v>Periodo 2019-2020</v>
      </c>
      <c r="M83" s="9" t="str">
        <f t="shared" si="45"/>
        <v>Número de Alumnos</v>
      </c>
      <c r="N83" s="9" t="str">
        <f t="shared" si="46"/>
        <v>Sistema Nacional de Información Municipal</v>
      </c>
      <c r="O83" s="26" t="str">
        <f>"Ranking Comunal "&amp;Agencia[[#This Row],[territorio]]&amp;" 2020: Número de Alumnos por Docente en Aula, variación "&amp;Agencia[[#This Row],[temporalidad]]</f>
        <v>Ranking Comunal Región de Atacama 2020: Número de Alumnos por Docente en Aula, variación Periodo 2019-2020</v>
      </c>
      <c r="P83" s="112" t="s">
        <v>6409</v>
      </c>
      <c r="Q83" s="11" t="str">
        <f t="shared" si="47"/>
        <v>Ranking</v>
      </c>
      <c r="R83" s="148" t="str">
        <f>Agencia[[#This Row],[territorio]]&amp;",municipal,alumnos,calidad,colegios,municipales,públicos,docentes,aula,sala,"&amp;Agencia[[#This Row],[coleccion]]&amp;","&amp;Agencia[[#This Row],[sector]]&amp;","&amp;Agencia[[#This Row],[tema]]&amp;","&amp;Agencia[[#This Row],[contenido]]</f>
        <v>Región de Atacama,municipal,alumnos,calidad,colegios,municipales,públicos,docentes,aula,sala,Agencia Información,Gobiernos locales,Indicadores de Calidad de Educación Municipal,Gestión Municipal de Educación</v>
      </c>
      <c r="S83" s="37" t="str">
        <f>HYPERLINK("https://analytics.zoho.com/open-view/2395394000008643713?ZOHO_CRITERIA=%22Localiza%20CL%22.%22Codreg%22%3D"&amp;Agencia[[#This Row],[Filtro URL]])</f>
        <v>https://analytics.zoho.com/open-view/2395394000008643713?ZOHO_CRITERIA=%22Localiza%20CL%22.%22Codreg%22%3D3</v>
      </c>
      <c r="T83" s="111" t="str">
        <f>"100-C-"&amp;Agencia[[#This Row],[Filtro URL]]</f>
        <v>100-C-3</v>
      </c>
      <c r="U83" s="46" t="str">
        <f t="shared" si="48"/>
        <v>#1774B9</v>
      </c>
      <c r="V83" s="93" t="str">
        <f>+Agencia[[#This Row],[idcoleccion]]&amp;"-"&amp;Agencia[[#This Row],[id]]</f>
        <v>990-0072</v>
      </c>
      <c r="W83" s="93">
        <f>+VLOOKUP(Agencia[[#This Row],[Filtro URL]],Estructura!$X$4:$Y$500,2,0)</f>
        <v>99200003</v>
      </c>
      <c r="X83" s="93" t="str">
        <f>+VLOOKUP(Agencia[[#This Row],[tema]],Estructura!$A$4:$C$500,3,0)</f>
        <v>T-992</v>
      </c>
      <c r="Y83" s="93" t="str">
        <f>+VLOOKUP(Agencia[[#This Row],[contenido]],Estructura!$E$4:$G$500,3,0)</f>
        <v>C-1019</v>
      </c>
      <c r="Z83" s="93" t="str">
        <f>+VLOOKUP(Agencia[[#This Row],[Filtro Integrado]],Estructura!$I$4:$K$500,3,0)</f>
        <v>FI-993</v>
      </c>
      <c r="AA83" s="93" t="str">
        <f>+VLOOKUP(Agencia[[#This Row],[Muestra]],Estructura!$M$4:$O$500,3,0)</f>
        <v>M-1033</v>
      </c>
    </row>
    <row r="84" spans="1:27" ht="61.2" x14ac:dyDescent="0.3">
      <c r="A84" s="21" t="s">
        <v>469</v>
      </c>
      <c r="B84" s="23">
        <f t="shared" si="34"/>
        <v>990</v>
      </c>
      <c r="C84" s="24" t="str">
        <f t="shared" si="35"/>
        <v>Agencia Información</v>
      </c>
      <c r="D84" s="72" t="str">
        <f t="shared" si="49"/>
        <v>Gobiernos locales</v>
      </c>
      <c r="E84" s="19">
        <v>4</v>
      </c>
      <c r="F84" s="24" t="s">
        <v>421</v>
      </c>
      <c r="G84" s="25" t="s">
        <v>3605</v>
      </c>
      <c r="H84" s="33" t="s">
        <v>16</v>
      </c>
      <c r="I84" s="34" t="s">
        <v>371</v>
      </c>
      <c r="J84" s="9" t="str">
        <f t="shared" si="50"/>
        <v>Ninguno</v>
      </c>
      <c r="K84" s="9" t="str">
        <f t="shared" si="51"/>
        <v>Alumnos por docente</v>
      </c>
      <c r="L84" s="9" t="str">
        <f t="shared" si="44"/>
        <v>Periodo 2019-2020</v>
      </c>
      <c r="M84" s="9" t="str">
        <f t="shared" si="45"/>
        <v>Número de Alumnos</v>
      </c>
      <c r="N84" s="9" t="str">
        <f t="shared" si="46"/>
        <v>Sistema Nacional de Información Municipal</v>
      </c>
      <c r="O84" s="26" t="str">
        <f>"Ranking Comunal "&amp;Agencia[[#This Row],[territorio]]&amp;" 2020: Número de Alumnos por Docente en Aula, variación "&amp;Agencia[[#This Row],[temporalidad]]</f>
        <v>Ranking Comunal Región de Coquimbo 2020: Número de Alumnos por Docente en Aula, variación Periodo 2019-2020</v>
      </c>
      <c r="P84" s="112" t="s">
        <v>6407</v>
      </c>
      <c r="Q84" s="11" t="str">
        <f t="shared" si="47"/>
        <v>Ranking</v>
      </c>
      <c r="R84" s="148" t="str">
        <f>Agencia[[#This Row],[territorio]]&amp;",municipal,alumnos,calidad,colegios,municipales,públicos,docentes,aula,sala,"&amp;Agencia[[#This Row],[coleccion]]&amp;","&amp;Agencia[[#This Row],[sector]]&amp;","&amp;Agencia[[#This Row],[tema]]&amp;","&amp;Agencia[[#This Row],[contenido]]</f>
        <v>Región de Coquimbo,municipal,alumnos,calidad,colegios,municipales,públicos,docentes,aula,sala,Agencia Información,Gobiernos locales,Indicadores de Calidad de Educación Municipal,Gestión Municipal de Educación</v>
      </c>
      <c r="S84" s="37" t="str">
        <f>HYPERLINK("https://analytics.zoho.com/open-view/2395394000008643713?ZOHO_CRITERIA=%22Localiza%20CL%22.%22Codreg%22%3D"&amp;Agencia[[#This Row],[Filtro URL]])</f>
        <v>https://analytics.zoho.com/open-view/2395394000008643713?ZOHO_CRITERIA=%22Localiza%20CL%22.%22Codreg%22%3D4</v>
      </c>
      <c r="T84" s="111" t="str">
        <f>"100-C-"&amp;Agencia[[#This Row],[Filtro URL]]</f>
        <v>100-C-4</v>
      </c>
      <c r="U84" s="46" t="str">
        <f t="shared" si="48"/>
        <v>#1774B9</v>
      </c>
      <c r="V84" s="93" t="str">
        <f>+Agencia[[#This Row],[idcoleccion]]&amp;"-"&amp;Agencia[[#This Row],[id]]</f>
        <v>990-0073</v>
      </c>
      <c r="W84" s="93">
        <f>+VLOOKUP(Agencia[[#This Row],[Filtro URL]],Estructura!$X$4:$Y$500,2,0)</f>
        <v>99200004</v>
      </c>
      <c r="X84" s="93" t="str">
        <f>+VLOOKUP(Agencia[[#This Row],[tema]],Estructura!$A$4:$C$500,3,0)</f>
        <v>T-992</v>
      </c>
      <c r="Y84" s="93" t="str">
        <f>+VLOOKUP(Agencia[[#This Row],[contenido]],Estructura!$E$4:$G$500,3,0)</f>
        <v>C-1019</v>
      </c>
      <c r="Z84" s="93" t="str">
        <f>+VLOOKUP(Agencia[[#This Row],[Filtro Integrado]],Estructura!$I$4:$K$500,3,0)</f>
        <v>FI-993</v>
      </c>
      <c r="AA84" s="93" t="str">
        <f>+VLOOKUP(Agencia[[#This Row],[Muestra]],Estructura!$M$4:$O$500,3,0)</f>
        <v>M-1033</v>
      </c>
    </row>
    <row r="85" spans="1:27" ht="61.2" x14ac:dyDescent="0.3">
      <c r="A85" s="21" t="s">
        <v>470</v>
      </c>
      <c r="B85" s="23">
        <f t="shared" si="34"/>
        <v>990</v>
      </c>
      <c r="C85" s="24" t="str">
        <f t="shared" si="35"/>
        <v>Agencia Información</v>
      </c>
      <c r="D85" s="72" t="str">
        <f t="shared" si="49"/>
        <v>Gobiernos locales</v>
      </c>
      <c r="E85" s="19">
        <v>5</v>
      </c>
      <c r="F85" s="24" t="s">
        <v>421</v>
      </c>
      <c r="G85" s="25" t="s">
        <v>3605</v>
      </c>
      <c r="H85" s="33" t="s">
        <v>16</v>
      </c>
      <c r="I85" s="34" t="s">
        <v>372</v>
      </c>
      <c r="J85" s="9" t="str">
        <f t="shared" si="50"/>
        <v>Ninguno</v>
      </c>
      <c r="K85" s="9" t="str">
        <f t="shared" si="51"/>
        <v>Alumnos por docente</v>
      </c>
      <c r="L85" s="9" t="str">
        <f t="shared" si="44"/>
        <v>Periodo 2019-2020</v>
      </c>
      <c r="M85" s="9" t="str">
        <f t="shared" si="45"/>
        <v>Número de Alumnos</v>
      </c>
      <c r="N85" s="9" t="str">
        <f t="shared" si="46"/>
        <v>Sistema Nacional de Información Municipal</v>
      </c>
      <c r="O85" s="26" t="str">
        <f>"Ranking Comunal "&amp;Agencia[[#This Row],[territorio]]&amp;" 2020: Número de Alumnos por Docente en Aula, variación "&amp;Agencia[[#This Row],[temporalidad]]</f>
        <v>Ranking Comunal Región de Valparaíso 2020: Número de Alumnos por Docente en Aula, variación Periodo 2019-2020</v>
      </c>
      <c r="P85" s="112" t="s">
        <v>6410</v>
      </c>
      <c r="Q85" s="11" t="str">
        <f t="shared" si="47"/>
        <v>Ranking</v>
      </c>
      <c r="R85" s="148" t="str">
        <f>Agencia[[#This Row],[territorio]]&amp;",municipal,alumnos,calidad,colegios,municipales,públicos,docentes,aula,sala,"&amp;Agencia[[#This Row],[coleccion]]&amp;","&amp;Agencia[[#This Row],[sector]]&amp;","&amp;Agencia[[#This Row],[tema]]&amp;","&amp;Agencia[[#This Row],[contenido]]</f>
        <v>Región de Valparaíso,municipal,alumnos,calidad,colegios,municipales,públicos,docentes,aula,sala,Agencia Información,Gobiernos locales,Indicadores de Calidad de Educación Municipal,Gestión Municipal de Educación</v>
      </c>
      <c r="S85" s="37" t="str">
        <f>HYPERLINK("https://analytics.zoho.com/open-view/2395394000008643713?ZOHO_CRITERIA=%22Localiza%20CL%22.%22Codreg%22%3D"&amp;Agencia[[#This Row],[Filtro URL]])</f>
        <v>https://analytics.zoho.com/open-view/2395394000008643713?ZOHO_CRITERIA=%22Localiza%20CL%22.%22Codreg%22%3D5</v>
      </c>
      <c r="T85" s="111" t="str">
        <f>"100-C-"&amp;Agencia[[#This Row],[Filtro URL]]</f>
        <v>100-C-5</v>
      </c>
      <c r="U85" s="46" t="str">
        <f t="shared" si="48"/>
        <v>#1774B9</v>
      </c>
      <c r="V85" s="93" t="str">
        <f>+Agencia[[#This Row],[idcoleccion]]&amp;"-"&amp;Agencia[[#This Row],[id]]</f>
        <v>990-0074</v>
      </c>
      <c r="W85" s="93">
        <f>+VLOOKUP(Agencia[[#This Row],[Filtro URL]],Estructura!$X$4:$Y$500,2,0)</f>
        <v>99200005</v>
      </c>
      <c r="X85" s="93" t="str">
        <f>+VLOOKUP(Agencia[[#This Row],[tema]],Estructura!$A$4:$C$500,3,0)</f>
        <v>T-992</v>
      </c>
      <c r="Y85" s="93" t="str">
        <f>+VLOOKUP(Agencia[[#This Row],[contenido]],Estructura!$E$4:$G$500,3,0)</f>
        <v>C-1019</v>
      </c>
      <c r="Z85" s="93" t="str">
        <f>+VLOOKUP(Agencia[[#This Row],[Filtro Integrado]],Estructura!$I$4:$K$500,3,0)</f>
        <v>FI-993</v>
      </c>
      <c r="AA85" s="93" t="str">
        <f>+VLOOKUP(Agencia[[#This Row],[Muestra]],Estructura!$M$4:$O$500,3,0)</f>
        <v>M-1033</v>
      </c>
    </row>
    <row r="86" spans="1:27" ht="61.2" x14ac:dyDescent="0.3">
      <c r="A86" s="21" t="s">
        <v>471</v>
      </c>
      <c r="B86" s="23">
        <f t="shared" si="34"/>
        <v>990</v>
      </c>
      <c r="C86" s="24" t="str">
        <f t="shared" si="35"/>
        <v>Agencia Información</v>
      </c>
      <c r="D86" s="72" t="str">
        <f t="shared" si="49"/>
        <v>Gobiernos locales</v>
      </c>
      <c r="E86" s="19">
        <v>6</v>
      </c>
      <c r="F86" s="24" t="s">
        <v>421</v>
      </c>
      <c r="G86" s="25" t="s">
        <v>3605</v>
      </c>
      <c r="H86" s="33" t="s">
        <v>16</v>
      </c>
      <c r="I86" s="34" t="s">
        <v>373</v>
      </c>
      <c r="J86" s="9" t="str">
        <f t="shared" si="50"/>
        <v>Ninguno</v>
      </c>
      <c r="K86" s="9" t="str">
        <f t="shared" si="51"/>
        <v>Alumnos por docente</v>
      </c>
      <c r="L86" s="9" t="str">
        <f t="shared" si="44"/>
        <v>Periodo 2019-2020</v>
      </c>
      <c r="M86" s="9" t="str">
        <f t="shared" si="45"/>
        <v>Número de Alumnos</v>
      </c>
      <c r="N86" s="9" t="str">
        <f t="shared" si="46"/>
        <v>Sistema Nacional de Información Municipal</v>
      </c>
      <c r="O86" s="26" t="str">
        <f>"Ranking Comunal "&amp;Agencia[[#This Row],[territorio]]&amp;" 2020: Número de Alumnos por Docente en Aula, variación "&amp;Agencia[[#This Row],[temporalidad]]</f>
        <v>Ranking Comunal Región de O'Higgins 2020: Número de Alumnos por Docente en Aula, variación Periodo 2019-2020</v>
      </c>
      <c r="P86" s="112" t="s">
        <v>6411</v>
      </c>
      <c r="Q86" s="11" t="str">
        <f t="shared" si="47"/>
        <v>Ranking</v>
      </c>
      <c r="R86" s="148" t="str">
        <f>Agencia[[#This Row],[territorio]]&amp;",municipal,alumnos,calidad,colegios,municipales,públicos,docentes,aula,sala,"&amp;Agencia[[#This Row],[coleccion]]&amp;","&amp;Agencia[[#This Row],[sector]]&amp;","&amp;Agencia[[#This Row],[tema]]&amp;","&amp;Agencia[[#This Row],[contenido]]</f>
        <v>Región de O'Higgins,municipal,alumnos,calidad,colegios,municipales,públicos,docentes,aula,sala,Agencia Información,Gobiernos locales,Indicadores de Calidad de Educación Municipal,Gestión Municipal de Educación</v>
      </c>
      <c r="S86" s="37" t="str">
        <f>HYPERLINK("https://analytics.zoho.com/open-view/2395394000008643713?ZOHO_CRITERIA=%22Localiza%20CL%22.%22Codreg%22%3D"&amp;Agencia[[#This Row],[Filtro URL]])</f>
        <v>https://analytics.zoho.com/open-view/2395394000008643713?ZOHO_CRITERIA=%22Localiza%20CL%22.%22Codreg%22%3D6</v>
      </c>
      <c r="T86" s="111" t="str">
        <f>"100-C-"&amp;Agencia[[#This Row],[Filtro URL]]</f>
        <v>100-C-6</v>
      </c>
      <c r="U86" s="46" t="str">
        <f t="shared" si="48"/>
        <v>#1774B9</v>
      </c>
      <c r="V86" s="93" t="str">
        <f>+Agencia[[#This Row],[idcoleccion]]&amp;"-"&amp;Agencia[[#This Row],[id]]</f>
        <v>990-0075</v>
      </c>
      <c r="W86" s="93">
        <f>+VLOOKUP(Agencia[[#This Row],[Filtro URL]],Estructura!$X$4:$Y$500,2,0)</f>
        <v>99200006</v>
      </c>
      <c r="X86" s="93" t="str">
        <f>+VLOOKUP(Agencia[[#This Row],[tema]],Estructura!$A$4:$C$500,3,0)</f>
        <v>T-992</v>
      </c>
      <c r="Y86" s="93" t="str">
        <f>+VLOOKUP(Agencia[[#This Row],[contenido]],Estructura!$E$4:$G$500,3,0)</f>
        <v>C-1019</v>
      </c>
      <c r="Z86" s="93" t="str">
        <f>+VLOOKUP(Agencia[[#This Row],[Filtro Integrado]],Estructura!$I$4:$K$500,3,0)</f>
        <v>FI-993</v>
      </c>
      <c r="AA86" s="93" t="str">
        <f>+VLOOKUP(Agencia[[#This Row],[Muestra]],Estructura!$M$4:$O$500,3,0)</f>
        <v>M-1033</v>
      </c>
    </row>
    <row r="87" spans="1:27" ht="61.2" x14ac:dyDescent="0.3">
      <c r="A87" s="21" t="s">
        <v>472</v>
      </c>
      <c r="B87" s="23">
        <f t="shared" si="34"/>
        <v>990</v>
      </c>
      <c r="C87" s="24" t="str">
        <f t="shared" si="35"/>
        <v>Agencia Información</v>
      </c>
      <c r="D87" s="72" t="str">
        <f t="shared" si="49"/>
        <v>Gobiernos locales</v>
      </c>
      <c r="E87" s="19">
        <v>7</v>
      </c>
      <c r="F87" s="24" t="s">
        <v>421</v>
      </c>
      <c r="G87" s="25" t="s">
        <v>3605</v>
      </c>
      <c r="H87" s="33" t="s">
        <v>16</v>
      </c>
      <c r="I87" s="34" t="s">
        <v>374</v>
      </c>
      <c r="J87" s="9" t="str">
        <f t="shared" si="50"/>
        <v>Ninguno</v>
      </c>
      <c r="K87" s="9" t="str">
        <f t="shared" si="51"/>
        <v>Alumnos por docente</v>
      </c>
      <c r="L87" s="9" t="str">
        <f t="shared" si="44"/>
        <v>Periodo 2019-2020</v>
      </c>
      <c r="M87" s="9" t="str">
        <f t="shared" si="45"/>
        <v>Número de Alumnos</v>
      </c>
      <c r="N87" s="9" t="str">
        <f t="shared" si="46"/>
        <v>Sistema Nacional de Información Municipal</v>
      </c>
      <c r="O87" s="26" t="str">
        <f>"Ranking Comunal "&amp;Agencia[[#This Row],[territorio]]&amp;" 2020: Número de Alumnos por Docente en Aula, variación "&amp;Agencia[[#This Row],[temporalidad]]</f>
        <v>Ranking Comunal Región de Maule 2020: Número de Alumnos por Docente en Aula, variación Periodo 2019-2020</v>
      </c>
      <c r="P87" s="112" t="s">
        <v>6412</v>
      </c>
      <c r="Q87" s="11" t="str">
        <f t="shared" si="47"/>
        <v>Ranking</v>
      </c>
      <c r="R87" s="148" t="str">
        <f>Agencia[[#This Row],[territorio]]&amp;",municipal,alumnos,calidad,colegios,municipales,públicos,docentes,aula,sala,"&amp;Agencia[[#This Row],[coleccion]]&amp;","&amp;Agencia[[#This Row],[sector]]&amp;","&amp;Agencia[[#This Row],[tema]]&amp;","&amp;Agencia[[#This Row],[contenido]]</f>
        <v>Región de Maule,municipal,alumnos,calidad,colegios,municipales,públicos,docentes,aula,sala,Agencia Información,Gobiernos locales,Indicadores de Calidad de Educación Municipal,Gestión Municipal de Educación</v>
      </c>
      <c r="S87" s="37" t="str">
        <f>HYPERLINK("https://analytics.zoho.com/open-view/2395394000008643713?ZOHO_CRITERIA=%22Localiza%20CL%22.%22Codreg%22%3D"&amp;Agencia[[#This Row],[Filtro URL]])</f>
        <v>https://analytics.zoho.com/open-view/2395394000008643713?ZOHO_CRITERIA=%22Localiza%20CL%22.%22Codreg%22%3D7</v>
      </c>
      <c r="T87" s="111" t="str">
        <f>"100-C-"&amp;Agencia[[#This Row],[Filtro URL]]</f>
        <v>100-C-7</v>
      </c>
      <c r="U87" s="46" t="str">
        <f t="shared" si="48"/>
        <v>#1774B9</v>
      </c>
      <c r="V87" s="93" t="str">
        <f>+Agencia[[#This Row],[idcoleccion]]&amp;"-"&amp;Agencia[[#This Row],[id]]</f>
        <v>990-0076</v>
      </c>
      <c r="W87" s="93">
        <f>+VLOOKUP(Agencia[[#This Row],[Filtro URL]],Estructura!$X$4:$Y$500,2,0)</f>
        <v>99200007</v>
      </c>
      <c r="X87" s="93" t="str">
        <f>+VLOOKUP(Agencia[[#This Row],[tema]],Estructura!$A$4:$C$500,3,0)</f>
        <v>T-992</v>
      </c>
      <c r="Y87" s="93" t="str">
        <f>+VLOOKUP(Agencia[[#This Row],[contenido]],Estructura!$E$4:$G$500,3,0)</f>
        <v>C-1019</v>
      </c>
      <c r="Z87" s="93" t="str">
        <f>+VLOOKUP(Agencia[[#This Row],[Filtro Integrado]],Estructura!$I$4:$K$500,3,0)</f>
        <v>FI-993</v>
      </c>
      <c r="AA87" s="93" t="str">
        <f>+VLOOKUP(Agencia[[#This Row],[Muestra]],Estructura!$M$4:$O$500,3,0)</f>
        <v>M-1033</v>
      </c>
    </row>
    <row r="88" spans="1:27" ht="61.2" x14ac:dyDescent="0.3">
      <c r="A88" s="21" t="s">
        <v>473</v>
      </c>
      <c r="B88" s="23">
        <f t="shared" si="34"/>
        <v>990</v>
      </c>
      <c r="C88" s="24" t="str">
        <f t="shared" si="35"/>
        <v>Agencia Información</v>
      </c>
      <c r="D88" s="72" t="str">
        <f t="shared" si="49"/>
        <v>Gobiernos locales</v>
      </c>
      <c r="E88" s="19">
        <v>8</v>
      </c>
      <c r="F88" s="24" t="s">
        <v>421</v>
      </c>
      <c r="G88" s="25" t="s">
        <v>3605</v>
      </c>
      <c r="H88" s="33" t="s">
        <v>16</v>
      </c>
      <c r="I88" s="34" t="s">
        <v>375</v>
      </c>
      <c r="J88" s="9" t="str">
        <f t="shared" si="50"/>
        <v>Ninguno</v>
      </c>
      <c r="K88" s="9" t="str">
        <f t="shared" si="51"/>
        <v>Alumnos por docente</v>
      </c>
      <c r="L88" s="9" t="str">
        <f t="shared" si="44"/>
        <v>Periodo 2019-2020</v>
      </c>
      <c r="M88" s="9" t="str">
        <f t="shared" si="45"/>
        <v>Número de Alumnos</v>
      </c>
      <c r="N88" s="9" t="str">
        <f t="shared" si="46"/>
        <v>Sistema Nacional de Información Municipal</v>
      </c>
      <c r="O88" s="26" t="str">
        <f>"Ranking Comunal "&amp;Agencia[[#This Row],[territorio]]&amp;" 2020: Número de Alumnos por Docente en Aula, variación "&amp;Agencia[[#This Row],[temporalidad]]</f>
        <v>Ranking Comunal Región del Biobío 2020: Número de Alumnos por Docente en Aula, variación Periodo 2019-2020</v>
      </c>
      <c r="P88" s="112" t="s">
        <v>6413</v>
      </c>
      <c r="Q88" s="11" t="str">
        <f t="shared" si="47"/>
        <v>Ranking</v>
      </c>
      <c r="R88" s="148" t="str">
        <f>Agencia[[#This Row],[territorio]]&amp;",municipal,alumnos,calidad,colegios,municipales,públicos,docentes,aula,sala,"&amp;Agencia[[#This Row],[coleccion]]&amp;","&amp;Agencia[[#This Row],[sector]]&amp;","&amp;Agencia[[#This Row],[tema]]&amp;","&amp;Agencia[[#This Row],[contenido]]</f>
        <v>Región del Biobío,municipal,alumnos,calidad,colegios,municipales,públicos,docentes,aula,sala,Agencia Información,Gobiernos locales,Indicadores de Calidad de Educación Municipal,Gestión Municipal de Educación</v>
      </c>
      <c r="S88" s="37" t="str">
        <f>HYPERLINK("https://analytics.zoho.com/open-view/2395394000008643713?ZOHO_CRITERIA=%22Localiza%20CL%22.%22Codreg%22%3D"&amp;Agencia[[#This Row],[Filtro URL]])</f>
        <v>https://analytics.zoho.com/open-view/2395394000008643713?ZOHO_CRITERIA=%22Localiza%20CL%22.%22Codreg%22%3D8</v>
      </c>
      <c r="T88" s="111" t="str">
        <f>"100-C-"&amp;Agencia[[#This Row],[Filtro URL]]</f>
        <v>100-C-8</v>
      </c>
      <c r="U88" s="46" t="str">
        <f t="shared" si="48"/>
        <v>#1774B9</v>
      </c>
      <c r="V88" s="93" t="str">
        <f>+Agencia[[#This Row],[idcoleccion]]&amp;"-"&amp;Agencia[[#This Row],[id]]</f>
        <v>990-0077</v>
      </c>
      <c r="W88" s="93">
        <f>+VLOOKUP(Agencia[[#This Row],[Filtro URL]],Estructura!$X$4:$Y$500,2,0)</f>
        <v>99200008</v>
      </c>
      <c r="X88" s="93" t="str">
        <f>+VLOOKUP(Agencia[[#This Row],[tema]],Estructura!$A$4:$C$500,3,0)</f>
        <v>T-992</v>
      </c>
      <c r="Y88" s="93" t="str">
        <f>+VLOOKUP(Agencia[[#This Row],[contenido]],Estructura!$E$4:$G$500,3,0)</f>
        <v>C-1019</v>
      </c>
      <c r="Z88" s="93" t="str">
        <f>+VLOOKUP(Agencia[[#This Row],[Filtro Integrado]],Estructura!$I$4:$K$500,3,0)</f>
        <v>FI-993</v>
      </c>
      <c r="AA88" s="93" t="str">
        <f>+VLOOKUP(Agencia[[#This Row],[Muestra]],Estructura!$M$4:$O$500,3,0)</f>
        <v>M-1033</v>
      </c>
    </row>
    <row r="89" spans="1:27" ht="61.2" x14ac:dyDescent="0.3">
      <c r="A89" s="21" t="s">
        <v>474</v>
      </c>
      <c r="B89" s="23">
        <f t="shared" si="34"/>
        <v>990</v>
      </c>
      <c r="C89" s="24" t="str">
        <f t="shared" si="35"/>
        <v>Agencia Información</v>
      </c>
      <c r="D89" s="72" t="str">
        <f t="shared" si="49"/>
        <v>Gobiernos locales</v>
      </c>
      <c r="E89" s="19">
        <v>9</v>
      </c>
      <c r="F89" s="24" t="s">
        <v>421</v>
      </c>
      <c r="G89" s="25" t="s">
        <v>3605</v>
      </c>
      <c r="H89" s="33" t="s">
        <v>16</v>
      </c>
      <c r="I89" s="34" t="s">
        <v>376</v>
      </c>
      <c r="J89" s="9" t="str">
        <f t="shared" si="50"/>
        <v>Ninguno</v>
      </c>
      <c r="K89" s="9" t="str">
        <f t="shared" si="51"/>
        <v>Alumnos por docente</v>
      </c>
      <c r="L89" s="9" t="str">
        <f t="shared" si="44"/>
        <v>Periodo 2019-2020</v>
      </c>
      <c r="M89" s="9" t="str">
        <f t="shared" si="45"/>
        <v>Número de Alumnos</v>
      </c>
      <c r="N89" s="9" t="str">
        <f t="shared" si="46"/>
        <v>Sistema Nacional de Información Municipal</v>
      </c>
      <c r="O89" s="26" t="str">
        <f>"Ranking Comunal "&amp;Agencia[[#This Row],[territorio]]&amp;" 2020: Número de Alumnos por Docente en Aula, variación "&amp;Agencia[[#This Row],[temporalidad]]</f>
        <v>Ranking Comunal Región de La Araucanía 2020: Número de Alumnos por Docente en Aula, variación Periodo 2019-2020</v>
      </c>
      <c r="P89" s="112" t="s">
        <v>6414</v>
      </c>
      <c r="Q89" s="11" t="str">
        <f t="shared" si="47"/>
        <v>Ranking</v>
      </c>
      <c r="R89" s="148" t="str">
        <f>Agencia[[#This Row],[territorio]]&amp;",municipal,alumnos,calidad,colegios,municipales,públicos,docentes,aula,sala,"&amp;Agencia[[#This Row],[coleccion]]&amp;","&amp;Agencia[[#This Row],[sector]]&amp;","&amp;Agencia[[#This Row],[tema]]&amp;","&amp;Agencia[[#This Row],[contenido]]</f>
        <v>Región de La Araucanía,municipal,alumnos,calidad,colegios,municipales,públicos,docentes,aula,sala,Agencia Información,Gobiernos locales,Indicadores de Calidad de Educación Municipal,Gestión Municipal de Educación</v>
      </c>
      <c r="S89" s="37" t="str">
        <f>HYPERLINK("https://analytics.zoho.com/open-view/2395394000008643713?ZOHO_CRITERIA=%22Localiza%20CL%22.%22Codreg%22%3D"&amp;Agencia[[#This Row],[Filtro URL]])</f>
        <v>https://analytics.zoho.com/open-view/2395394000008643713?ZOHO_CRITERIA=%22Localiza%20CL%22.%22Codreg%22%3D9</v>
      </c>
      <c r="T89" s="111" t="str">
        <f>"100-C-"&amp;Agencia[[#This Row],[Filtro URL]]</f>
        <v>100-C-9</v>
      </c>
      <c r="U89" s="46" t="str">
        <f t="shared" si="48"/>
        <v>#1774B9</v>
      </c>
      <c r="V89" s="93" t="str">
        <f>+Agencia[[#This Row],[idcoleccion]]&amp;"-"&amp;Agencia[[#This Row],[id]]</f>
        <v>990-0078</v>
      </c>
      <c r="W89" s="93">
        <f>+VLOOKUP(Agencia[[#This Row],[Filtro URL]],Estructura!$X$4:$Y$500,2,0)</f>
        <v>99200009</v>
      </c>
      <c r="X89" s="93" t="str">
        <f>+VLOOKUP(Agencia[[#This Row],[tema]],Estructura!$A$4:$C$500,3,0)</f>
        <v>T-992</v>
      </c>
      <c r="Y89" s="93" t="str">
        <f>+VLOOKUP(Agencia[[#This Row],[contenido]],Estructura!$E$4:$G$500,3,0)</f>
        <v>C-1019</v>
      </c>
      <c r="Z89" s="93" t="str">
        <f>+VLOOKUP(Agencia[[#This Row],[Filtro Integrado]],Estructura!$I$4:$K$500,3,0)</f>
        <v>FI-993</v>
      </c>
      <c r="AA89" s="93" t="str">
        <f>+VLOOKUP(Agencia[[#This Row],[Muestra]],Estructura!$M$4:$O$500,3,0)</f>
        <v>M-1033</v>
      </c>
    </row>
    <row r="90" spans="1:27" ht="61.2" x14ac:dyDescent="0.3">
      <c r="A90" s="21" t="s">
        <v>475</v>
      </c>
      <c r="B90" s="23">
        <f t="shared" si="34"/>
        <v>990</v>
      </c>
      <c r="C90" s="24" t="str">
        <f t="shared" si="35"/>
        <v>Agencia Información</v>
      </c>
      <c r="D90" s="72" t="str">
        <f t="shared" si="49"/>
        <v>Gobiernos locales</v>
      </c>
      <c r="E90" s="19">
        <v>10</v>
      </c>
      <c r="F90" s="24" t="s">
        <v>421</v>
      </c>
      <c r="G90" s="25" t="s">
        <v>3605</v>
      </c>
      <c r="H90" s="33" t="s">
        <v>16</v>
      </c>
      <c r="I90" s="34" t="s">
        <v>377</v>
      </c>
      <c r="J90" s="9" t="str">
        <f t="shared" si="50"/>
        <v>Ninguno</v>
      </c>
      <c r="K90" s="9" t="str">
        <f t="shared" si="51"/>
        <v>Alumnos por docente</v>
      </c>
      <c r="L90" s="9" t="str">
        <f t="shared" si="44"/>
        <v>Periodo 2019-2020</v>
      </c>
      <c r="M90" s="9" t="str">
        <f t="shared" si="45"/>
        <v>Número de Alumnos</v>
      </c>
      <c r="N90" s="9" t="str">
        <f t="shared" si="46"/>
        <v>Sistema Nacional de Información Municipal</v>
      </c>
      <c r="O90" s="26" t="str">
        <f>"Ranking Comunal "&amp;Agencia[[#This Row],[territorio]]&amp;" 2020: Número de Alumnos por Docente en Aula, variación "&amp;Agencia[[#This Row],[temporalidad]]</f>
        <v>Ranking Comunal Región de Los Lagos 2020: Número de Alumnos por Docente en Aula, variación Periodo 2019-2020</v>
      </c>
      <c r="P90" s="112" t="s">
        <v>6415</v>
      </c>
      <c r="Q90" s="11" t="str">
        <f t="shared" si="47"/>
        <v>Ranking</v>
      </c>
      <c r="R90" s="148" t="str">
        <f>Agencia[[#This Row],[territorio]]&amp;",municipal,alumnos,calidad,colegios,municipales,públicos,docentes,aula,sala,"&amp;Agencia[[#This Row],[coleccion]]&amp;","&amp;Agencia[[#This Row],[sector]]&amp;","&amp;Agencia[[#This Row],[tema]]&amp;","&amp;Agencia[[#This Row],[contenido]]</f>
        <v>Región de Los Lagos,municipal,alumnos,calidad,colegios,municipales,públicos,docentes,aula,sala,Agencia Información,Gobiernos locales,Indicadores de Calidad de Educación Municipal,Gestión Municipal de Educación</v>
      </c>
      <c r="S90" s="37" t="str">
        <f>HYPERLINK("https://analytics.zoho.com/open-view/2395394000008643713?ZOHO_CRITERIA=%22Localiza%20CL%22.%22Codreg%22%3D"&amp;Agencia[[#This Row],[Filtro URL]])</f>
        <v>https://analytics.zoho.com/open-view/2395394000008643713?ZOHO_CRITERIA=%22Localiza%20CL%22.%22Codreg%22%3D10</v>
      </c>
      <c r="T90" s="111" t="str">
        <f>"100-C-"&amp;Agencia[[#This Row],[Filtro URL]]</f>
        <v>100-C-10</v>
      </c>
      <c r="U90" s="46" t="str">
        <f t="shared" si="48"/>
        <v>#1774B9</v>
      </c>
      <c r="V90" s="93" t="str">
        <f>+Agencia[[#This Row],[idcoleccion]]&amp;"-"&amp;Agencia[[#This Row],[id]]</f>
        <v>990-0079</v>
      </c>
      <c r="W90" s="93">
        <f>+VLOOKUP(Agencia[[#This Row],[Filtro URL]],Estructura!$X$4:$Y$500,2,0)</f>
        <v>99200010</v>
      </c>
      <c r="X90" s="93" t="str">
        <f>+VLOOKUP(Agencia[[#This Row],[tema]],Estructura!$A$4:$C$500,3,0)</f>
        <v>T-992</v>
      </c>
      <c r="Y90" s="93" t="str">
        <f>+VLOOKUP(Agencia[[#This Row],[contenido]],Estructura!$E$4:$G$500,3,0)</f>
        <v>C-1019</v>
      </c>
      <c r="Z90" s="93" t="str">
        <f>+VLOOKUP(Agencia[[#This Row],[Filtro Integrado]],Estructura!$I$4:$K$500,3,0)</f>
        <v>FI-993</v>
      </c>
      <c r="AA90" s="93" t="str">
        <f>+VLOOKUP(Agencia[[#This Row],[Muestra]],Estructura!$M$4:$O$500,3,0)</f>
        <v>M-1033</v>
      </c>
    </row>
    <row r="91" spans="1:27" ht="61.2" x14ac:dyDescent="0.3">
      <c r="A91" s="21" t="s">
        <v>476</v>
      </c>
      <c r="B91" s="23">
        <f t="shared" si="34"/>
        <v>990</v>
      </c>
      <c r="C91" s="24" t="str">
        <f t="shared" si="35"/>
        <v>Agencia Información</v>
      </c>
      <c r="D91" s="72" t="str">
        <f t="shared" si="49"/>
        <v>Gobiernos locales</v>
      </c>
      <c r="E91" s="19">
        <v>11</v>
      </c>
      <c r="F91" s="24" t="s">
        <v>421</v>
      </c>
      <c r="G91" s="25" t="s">
        <v>3605</v>
      </c>
      <c r="H91" s="33" t="s">
        <v>16</v>
      </c>
      <c r="I91" s="34" t="s">
        <v>378</v>
      </c>
      <c r="J91" s="9" t="str">
        <f t="shared" si="50"/>
        <v>Ninguno</v>
      </c>
      <c r="K91" s="9" t="str">
        <f t="shared" si="51"/>
        <v>Alumnos por docente</v>
      </c>
      <c r="L91" s="9" t="str">
        <f t="shared" si="44"/>
        <v>Periodo 2019-2020</v>
      </c>
      <c r="M91" s="9" t="str">
        <f t="shared" si="45"/>
        <v>Número de Alumnos</v>
      </c>
      <c r="N91" s="9" t="str">
        <f t="shared" si="46"/>
        <v>Sistema Nacional de Información Municipal</v>
      </c>
      <c r="O91" s="26" t="str">
        <f>"Ranking Comunal "&amp;Agencia[[#This Row],[territorio]]&amp;" 2020: Número de Alumnos por Docente en Aula, variación "&amp;Agencia[[#This Row],[temporalidad]]</f>
        <v>Ranking Comunal Región de Aysén 2020: Número de Alumnos por Docente en Aula, variación Periodo 2019-2020</v>
      </c>
      <c r="P91" s="112" t="s">
        <v>6416</v>
      </c>
      <c r="Q91" s="11" t="str">
        <f t="shared" si="47"/>
        <v>Ranking</v>
      </c>
      <c r="R91" s="148" t="str">
        <f>Agencia[[#This Row],[territorio]]&amp;",municipal,alumnos,calidad,colegios,municipales,públicos,docentes,aula,sala,"&amp;Agencia[[#This Row],[coleccion]]&amp;","&amp;Agencia[[#This Row],[sector]]&amp;","&amp;Agencia[[#This Row],[tema]]&amp;","&amp;Agencia[[#This Row],[contenido]]</f>
        <v>Región de Aysén,municipal,alumnos,calidad,colegios,municipales,públicos,docentes,aula,sala,Agencia Información,Gobiernos locales,Indicadores de Calidad de Educación Municipal,Gestión Municipal de Educación</v>
      </c>
      <c r="S91" s="37" t="str">
        <f>HYPERLINK("https://analytics.zoho.com/open-view/2395394000008643713?ZOHO_CRITERIA=%22Localiza%20CL%22.%22Codreg%22%3D"&amp;Agencia[[#This Row],[Filtro URL]])</f>
        <v>https://analytics.zoho.com/open-view/2395394000008643713?ZOHO_CRITERIA=%22Localiza%20CL%22.%22Codreg%22%3D11</v>
      </c>
      <c r="T91" s="111" t="str">
        <f>"100-C-"&amp;Agencia[[#This Row],[Filtro URL]]</f>
        <v>100-C-11</v>
      </c>
      <c r="U91" s="46" t="str">
        <f t="shared" si="48"/>
        <v>#1774B9</v>
      </c>
      <c r="V91" s="93" t="str">
        <f>+Agencia[[#This Row],[idcoleccion]]&amp;"-"&amp;Agencia[[#This Row],[id]]</f>
        <v>990-0080</v>
      </c>
      <c r="W91" s="93">
        <f>+VLOOKUP(Agencia[[#This Row],[Filtro URL]],Estructura!$X$4:$Y$500,2,0)</f>
        <v>99200011</v>
      </c>
      <c r="X91" s="93" t="str">
        <f>+VLOOKUP(Agencia[[#This Row],[tema]],Estructura!$A$4:$C$500,3,0)</f>
        <v>T-992</v>
      </c>
      <c r="Y91" s="93" t="str">
        <f>+VLOOKUP(Agencia[[#This Row],[contenido]],Estructura!$E$4:$G$500,3,0)</f>
        <v>C-1019</v>
      </c>
      <c r="Z91" s="93" t="str">
        <f>+VLOOKUP(Agencia[[#This Row],[Filtro Integrado]],Estructura!$I$4:$K$500,3,0)</f>
        <v>FI-993</v>
      </c>
      <c r="AA91" s="93" t="str">
        <f>+VLOOKUP(Agencia[[#This Row],[Muestra]],Estructura!$M$4:$O$500,3,0)</f>
        <v>M-1033</v>
      </c>
    </row>
    <row r="92" spans="1:27" ht="61.2" x14ac:dyDescent="0.3">
      <c r="A92" s="21" t="s">
        <v>477</v>
      </c>
      <c r="B92" s="23">
        <f t="shared" si="34"/>
        <v>990</v>
      </c>
      <c r="C92" s="24" t="str">
        <f t="shared" si="35"/>
        <v>Agencia Información</v>
      </c>
      <c r="D92" s="72" t="str">
        <f t="shared" si="49"/>
        <v>Gobiernos locales</v>
      </c>
      <c r="E92" s="19">
        <v>12</v>
      </c>
      <c r="F92" s="24" t="s">
        <v>421</v>
      </c>
      <c r="G92" s="25" t="s">
        <v>3605</v>
      </c>
      <c r="H92" s="33" t="s">
        <v>16</v>
      </c>
      <c r="I92" s="34" t="s">
        <v>379</v>
      </c>
      <c r="J92" s="9" t="str">
        <f t="shared" si="50"/>
        <v>Ninguno</v>
      </c>
      <c r="K92" s="9" t="str">
        <f t="shared" si="51"/>
        <v>Alumnos por docente</v>
      </c>
      <c r="L92" s="9" t="str">
        <f t="shared" si="44"/>
        <v>Periodo 2019-2020</v>
      </c>
      <c r="M92" s="9" t="str">
        <f t="shared" si="45"/>
        <v>Número de Alumnos</v>
      </c>
      <c r="N92" s="9" t="str">
        <f t="shared" si="46"/>
        <v>Sistema Nacional de Información Municipal</v>
      </c>
      <c r="O92" s="26" t="str">
        <f>"Ranking Comunal "&amp;Agencia[[#This Row],[territorio]]&amp;" 2020: Número de Alumnos por Docente en Aula, variación "&amp;Agencia[[#This Row],[temporalidad]]</f>
        <v>Ranking Comunal Región de Magallanes 2020: Número de Alumnos por Docente en Aula, variación Periodo 2019-2020</v>
      </c>
      <c r="P92" s="112" t="s">
        <v>6417</v>
      </c>
      <c r="Q92" s="11" t="str">
        <f t="shared" si="47"/>
        <v>Ranking</v>
      </c>
      <c r="R92" s="148" t="str">
        <f>Agencia[[#This Row],[territorio]]&amp;",municipal,alumnos,calidad,colegios,municipales,públicos,docentes,aula,sala,"&amp;Agencia[[#This Row],[coleccion]]&amp;","&amp;Agencia[[#This Row],[sector]]&amp;","&amp;Agencia[[#This Row],[tema]]&amp;","&amp;Agencia[[#This Row],[contenido]]</f>
        <v>Región de Magallanes,municipal,alumnos,calidad,colegios,municipales,públicos,docentes,aula,sala,Agencia Información,Gobiernos locales,Indicadores de Calidad de Educación Municipal,Gestión Municipal de Educación</v>
      </c>
      <c r="S92" s="37" t="str">
        <f>HYPERLINK("https://analytics.zoho.com/open-view/2395394000008643713?ZOHO_CRITERIA=%22Localiza%20CL%22.%22Codreg%22%3D"&amp;Agencia[[#This Row],[Filtro URL]])</f>
        <v>https://analytics.zoho.com/open-view/2395394000008643713?ZOHO_CRITERIA=%22Localiza%20CL%22.%22Codreg%22%3D12</v>
      </c>
      <c r="T92" s="111" t="str">
        <f>"100-C-"&amp;Agencia[[#This Row],[Filtro URL]]</f>
        <v>100-C-12</v>
      </c>
      <c r="U92" s="46" t="str">
        <f t="shared" si="48"/>
        <v>#1774B9</v>
      </c>
      <c r="V92" s="93" t="str">
        <f>+Agencia[[#This Row],[idcoleccion]]&amp;"-"&amp;Agencia[[#This Row],[id]]</f>
        <v>990-0081</v>
      </c>
      <c r="W92" s="93">
        <f>+VLOOKUP(Agencia[[#This Row],[Filtro URL]],Estructura!$X$4:$Y$500,2,0)</f>
        <v>99200012</v>
      </c>
      <c r="X92" s="93" t="str">
        <f>+VLOOKUP(Agencia[[#This Row],[tema]],Estructura!$A$4:$C$500,3,0)</f>
        <v>T-992</v>
      </c>
      <c r="Y92" s="93" t="str">
        <f>+VLOOKUP(Agencia[[#This Row],[contenido]],Estructura!$E$4:$G$500,3,0)</f>
        <v>C-1019</v>
      </c>
      <c r="Z92" s="93" t="str">
        <f>+VLOOKUP(Agencia[[#This Row],[Filtro Integrado]],Estructura!$I$4:$K$500,3,0)</f>
        <v>FI-993</v>
      </c>
      <c r="AA92" s="93" t="str">
        <f>+VLOOKUP(Agencia[[#This Row],[Muestra]],Estructura!$M$4:$O$500,3,0)</f>
        <v>M-1033</v>
      </c>
    </row>
    <row r="93" spans="1:27" ht="61.2" x14ac:dyDescent="0.3">
      <c r="A93" s="21" t="s">
        <v>478</v>
      </c>
      <c r="B93" s="23">
        <f t="shared" si="34"/>
        <v>990</v>
      </c>
      <c r="C93" s="24" t="str">
        <f t="shared" si="35"/>
        <v>Agencia Información</v>
      </c>
      <c r="D93" s="72" t="str">
        <f t="shared" si="49"/>
        <v>Gobiernos locales</v>
      </c>
      <c r="E93" s="19">
        <v>13</v>
      </c>
      <c r="F93" s="24" t="s">
        <v>421</v>
      </c>
      <c r="G93" s="25" t="s">
        <v>3605</v>
      </c>
      <c r="H93" s="33" t="s">
        <v>16</v>
      </c>
      <c r="I93" s="34" t="s">
        <v>380</v>
      </c>
      <c r="J93" s="9" t="str">
        <f t="shared" si="50"/>
        <v>Ninguno</v>
      </c>
      <c r="K93" s="9" t="str">
        <f t="shared" si="51"/>
        <v>Alumnos por docente</v>
      </c>
      <c r="L93" s="9" t="str">
        <f t="shared" si="44"/>
        <v>Periodo 2019-2020</v>
      </c>
      <c r="M93" s="9" t="str">
        <f t="shared" si="45"/>
        <v>Número de Alumnos</v>
      </c>
      <c r="N93" s="9" t="str">
        <f t="shared" si="46"/>
        <v>Sistema Nacional de Información Municipal</v>
      </c>
      <c r="O93" s="26" t="str">
        <f>"Ranking Comunal "&amp;Agencia[[#This Row],[territorio]]&amp;" 2020: Número de Alumnos por Docente en Aula, variación "&amp;Agencia[[#This Row],[temporalidad]]</f>
        <v>Ranking Comunal Región Metropolitana 2020: Número de Alumnos por Docente en Aula, variación Periodo 2019-2020</v>
      </c>
      <c r="P93" s="112" t="s">
        <v>6418</v>
      </c>
      <c r="Q93" s="11" t="str">
        <f t="shared" si="47"/>
        <v>Ranking</v>
      </c>
      <c r="R93" s="148" t="str">
        <f>Agencia[[#This Row],[territorio]]&amp;",municipal,alumnos,calidad,colegios,municipales,públicos,docentes,aula,sala,"&amp;Agencia[[#This Row],[coleccion]]&amp;","&amp;Agencia[[#This Row],[sector]]&amp;","&amp;Agencia[[#This Row],[tema]]&amp;","&amp;Agencia[[#This Row],[contenido]]</f>
        <v>Región Metropolitana,municipal,alumnos,calidad,colegios,municipales,públicos,docentes,aula,sala,Agencia Información,Gobiernos locales,Indicadores de Calidad de Educación Municipal,Gestión Municipal de Educación</v>
      </c>
      <c r="S93" s="37" t="str">
        <f>HYPERLINK("https://analytics.zoho.com/open-view/2395394000008643713?ZOHO_CRITERIA=%22Localiza%20CL%22.%22Codreg%22%3D"&amp;Agencia[[#This Row],[Filtro URL]])</f>
        <v>https://analytics.zoho.com/open-view/2395394000008643713?ZOHO_CRITERIA=%22Localiza%20CL%22.%22Codreg%22%3D13</v>
      </c>
      <c r="T93" s="111" t="str">
        <f>"200-C-"&amp;Agencia[[#This Row],[Filtro URL]]</f>
        <v>200-C-13</v>
      </c>
      <c r="U93" s="46" t="str">
        <f t="shared" si="48"/>
        <v>#1774B9</v>
      </c>
      <c r="V93" s="93" t="str">
        <f>+Agencia[[#This Row],[idcoleccion]]&amp;"-"&amp;Agencia[[#This Row],[id]]</f>
        <v>990-0082</v>
      </c>
      <c r="W93" s="93">
        <f>+VLOOKUP(Agencia[[#This Row],[Filtro URL]],Estructura!$X$4:$Y$500,2,0)</f>
        <v>99200013</v>
      </c>
      <c r="X93" s="93" t="str">
        <f>+VLOOKUP(Agencia[[#This Row],[tema]],Estructura!$A$4:$C$500,3,0)</f>
        <v>T-992</v>
      </c>
      <c r="Y93" s="93" t="str">
        <f>+VLOOKUP(Agencia[[#This Row],[contenido]],Estructura!$E$4:$G$500,3,0)</f>
        <v>C-1019</v>
      </c>
      <c r="Z93" s="93" t="str">
        <f>+VLOOKUP(Agencia[[#This Row],[Filtro Integrado]],Estructura!$I$4:$K$500,3,0)</f>
        <v>FI-993</v>
      </c>
      <c r="AA93" s="93" t="str">
        <f>+VLOOKUP(Agencia[[#This Row],[Muestra]],Estructura!$M$4:$O$500,3,0)</f>
        <v>M-1033</v>
      </c>
    </row>
    <row r="94" spans="1:27" ht="61.2" x14ac:dyDescent="0.3">
      <c r="A94" s="21" t="s">
        <v>479</v>
      </c>
      <c r="B94" s="23">
        <f t="shared" si="34"/>
        <v>990</v>
      </c>
      <c r="C94" s="24" t="str">
        <f t="shared" si="35"/>
        <v>Agencia Información</v>
      </c>
      <c r="D94" s="72" t="str">
        <f t="shared" si="49"/>
        <v>Gobiernos locales</v>
      </c>
      <c r="E94" s="19">
        <v>14</v>
      </c>
      <c r="F94" s="24" t="s">
        <v>421</v>
      </c>
      <c r="G94" s="25" t="s">
        <v>3605</v>
      </c>
      <c r="H94" s="33" t="s">
        <v>16</v>
      </c>
      <c r="I94" s="34" t="s">
        <v>381</v>
      </c>
      <c r="J94" s="9" t="str">
        <f t="shared" si="50"/>
        <v>Ninguno</v>
      </c>
      <c r="K94" s="9" t="str">
        <f t="shared" si="51"/>
        <v>Alumnos por docente</v>
      </c>
      <c r="L94" s="9" t="str">
        <f t="shared" si="44"/>
        <v>Periodo 2019-2020</v>
      </c>
      <c r="M94" s="9" t="str">
        <f t="shared" si="45"/>
        <v>Número de Alumnos</v>
      </c>
      <c r="N94" s="9" t="str">
        <f t="shared" si="46"/>
        <v>Sistema Nacional de Información Municipal</v>
      </c>
      <c r="O94" s="26" t="str">
        <f>"Ranking Comunal "&amp;Agencia[[#This Row],[territorio]]&amp;" 2020: Número de Alumnos por Docente en Aula, variación "&amp;Agencia[[#This Row],[temporalidad]]</f>
        <v>Ranking Comunal Región de Los Ríos 2020: Número de Alumnos por Docente en Aula, variación Periodo 2019-2020</v>
      </c>
      <c r="P94" s="112" t="s">
        <v>6419</v>
      </c>
      <c r="Q94" s="11" t="str">
        <f t="shared" si="47"/>
        <v>Ranking</v>
      </c>
      <c r="R94" s="148" t="str">
        <f>Agencia[[#This Row],[territorio]]&amp;",municipal,alumnos,calidad,colegios,municipales,públicos,docentes,aula,sala,"&amp;Agencia[[#This Row],[coleccion]]&amp;","&amp;Agencia[[#This Row],[sector]]&amp;","&amp;Agencia[[#This Row],[tema]]&amp;","&amp;Agencia[[#This Row],[contenido]]</f>
        <v>Región de Los Ríos,municipal,alumnos,calidad,colegios,municipales,públicos,docentes,aula,sala,Agencia Información,Gobiernos locales,Indicadores de Calidad de Educación Municipal,Gestión Municipal de Educación</v>
      </c>
      <c r="S94" s="37" t="str">
        <f>HYPERLINK("https://analytics.zoho.com/open-view/2395394000008643713?ZOHO_CRITERIA=%22Localiza%20CL%22.%22Codreg%22%3D"&amp;Agencia[[#This Row],[Filtro URL]])</f>
        <v>https://analytics.zoho.com/open-view/2395394000008643713?ZOHO_CRITERIA=%22Localiza%20CL%22.%22Codreg%22%3D14</v>
      </c>
      <c r="T94" s="111" t="str">
        <f>"100-C-"&amp;Agencia[[#This Row],[Filtro URL]]</f>
        <v>100-C-14</v>
      </c>
      <c r="U94" s="46" t="str">
        <f t="shared" si="48"/>
        <v>#1774B9</v>
      </c>
      <c r="V94" s="93" t="str">
        <f>+Agencia[[#This Row],[idcoleccion]]&amp;"-"&amp;Agencia[[#This Row],[id]]</f>
        <v>990-0083</v>
      </c>
      <c r="W94" s="93">
        <f>+VLOOKUP(Agencia[[#This Row],[Filtro URL]],Estructura!$X$4:$Y$500,2,0)</f>
        <v>99200014</v>
      </c>
      <c r="X94" s="93" t="str">
        <f>+VLOOKUP(Agencia[[#This Row],[tema]],Estructura!$A$4:$C$500,3,0)</f>
        <v>T-992</v>
      </c>
      <c r="Y94" s="93" t="str">
        <f>+VLOOKUP(Agencia[[#This Row],[contenido]],Estructura!$E$4:$G$500,3,0)</f>
        <v>C-1019</v>
      </c>
      <c r="Z94" s="93" t="str">
        <f>+VLOOKUP(Agencia[[#This Row],[Filtro Integrado]],Estructura!$I$4:$K$500,3,0)</f>
        <v>FI-993</v>
      </c>
      <c r="AA94" s="93" t="str">
        <f>+VLOOKUP(Agencia[[#This Row],[Muestra]],Estructura!$M$4:$O$500,3,0)</f>
        <v>M-1033</v>
      </c>
    </row>
    <row r="95" spans="1:27" ht="61.2" x14ac:dyDescent="0.3">
      <c r="A95" s="21" t="s">
        <v>480</v>
      </c>
      <c r="B95" s="23">
        <f>+B94</f>
        <v>990</v>
      </c>
      <c r="C95" s="24" t="str">
        <f>+C94</f>
        <v>Agencia Información</v>
      </c>
      <c r="D95" s="137" t="str">
        <f>+D94</f>
        <v>Gobiernos locales</v>
      </c>
      <c r="E95" s="19">
        <v>16</v>
      </c>
      <c r="F95" s="24" t="s">
        <v>421</v>
      </c>
      <c r="G95" s="25" t="s">
        <v>3605</v>
      </c>
      <c r="H95" s="33" t="s">
        <v>16</v>
      </c>
      <c r="I95" s="34" t="s">
        <v>383</v>
      </c>
      <c r="J95" s="136" t="str">
        <f>+J94</f>
        <v>Ninguno</v>
      </c>
      <c r="K95" s="136" t="str">
        <f t="shared" si="51"/>
        <v>Alumnos por docente</v>
      </c>
      <c r="L95" s="136" t="str">
        <f t="shared" si="44"/>
        <v>Periodo 2019-2020</v>
      </c>
      <c r="M95" s="137" t="str">
        <f t="shared" si="45"/>
        <v>Número de Alumnos</v>
      </c>
      <c r="N95" s="137" t="str">
        <f t="shared" si="46"/>
        <v>Sistema Nacional de Información Municipal</v>
      </c>
      <c r="O95" s="26" t="str">
        <f>"Ranking Comunal "&amp;Agencia[[#This Row],[territorio]]&amp;" 2020: Número de Alumnos por Docente en Aula, variación "&amp;Agencia[[#This Row],[temporalidad]]</f>
        <v>Ranking Comunal Región de Ñuble 2020: Número de Alumnos por Docente en Aula, variación Periodo 2019-2020</v>
      </c>
      <c r="P95" s="112" t="s">
        <v>6420</v>
      </c>
      <c r="Q95" s="137" t="str">
        <f t="shared" si="47"/>
        <v>Ranking</v>
      </c>
      <c r="R95" s="148" t="str">
        <f>Agencia[[#This Row],[territorio]]&amp;",municipal,alumnos,calidad,colegios,municipales,públicos,docentes,aula,sala,"&amp;Agencia[[#This Row],[coleccion]]&amp;","&amp;Agencia[[#This Row],[sector]]&amp;","&amp;Agencia[[#This Row],[tema]]&amp;","&amp;Agencia[[#This Row],[contenido]]</f>
        <v>Región de Ñuble,municipal,alumnos,calidad,colegios,municipales,públicos,docentes,aula,sala,Agencia Información,Gobiernos locales,Indicadores de Calidad de Educación Municipal,Gestión Municipal de Educación</v>
      </c>
      <c r="S95" s="37" t="str">
        <f>HYPERLINK("https://analytics.zoho.com/open-view/2395394000008643713?ZOHO_CRITERIA=%22Localiza%20CL%22.%22Codreg%22%3D"&amp;Agencia[[#This Row],[Filtro URL]])</f>
        <v>https://analytics.zoho.com/open-view/2395394000008643713?ZOHO_CRITERIA=%22Localiza%20CL%22.%22Codreg%22%3D16</v>
      </c>
      <c r="T95" s="111" t="str">
        <f>"100-C-"&amp;Agencia[[#This Row],[Filtro URL]]</f>
        <v>100-C-16</v>
      </c>
      <c r="U95" s="46" t="str">
        <f>+U94</f>
        <v>#1774B9</v>
      </c>
      <c r="V95" s="93" t="str">
        <f>+Agencia[[#This Row],[idcoleccion]]&amp;"-"&amp;Agencia[[#This Row],[id]]</f>
        <v>990-0084</v>
      </c>
      <c r="W95" s="93">
        <f>+VLOOKUP(Agencia[[#This Row],[Filtro URL]],Estructura!$X$4:$Y$500,2,0)</f>
        <v>99200016</v>
      </c>
      <c r="X95" s="93" t="str">
        <f>+VLOOKUP(Agencia[[#This Row],[tema]],Estructura!$A$4:$C$500,3,0)</f>
        <v>T-992</v>
      </c>
      <c r="Y95" s="93" t="str">
        <f>+VLOOKUP(Agencia[[#This Row],[contenido]],Estructura!$E$4:$G$500,3,0)</f>
        <v>C-1019</v>
      </c>
      <c r="Z95" s="93" t="str">
        <f>+VLOOKUP(Agencia[[#This Row],[Filtro Integrado]],Estructura!$I$4:$K$500,3,0)</f>
        <v>FI-993</v>
      </c>
      <c r="AA95" s="93" t="str">
        <f>+VLOOKUP(Agencia[[#This Row],[Muestra]],Estructura!$M$4:$O$500,3,0)</f>
        <v>M-1033</v>
      </c>
    </row>
    <row r="96" spans="1:27" ht="36" x14ac:dyDescent="0.3">
      <c r="A96" s="21" t="s">
        <v>481</v>
      </c>
      <c r="B96" s="23">
        <f t="shared" si="34"/>
        <v>990</v>
      </c>
      <c r="C96" s="24" t="str">
        <f t="shared" si="34"/>
        <v>Agencia Información</v>
      </c>
      <c r="D96" s="72" t="s">
        <v>568</v>
      </c>
      <c r="E96" s="14">
        <v>0</v>
      </c>
      <c r="F96" s="18" t="s">
        <v>5163</v>
      </c>
      <c r="G96" s="18" t="s">
        <v>569</v>
      </c>
      <c r="H96" s="31" t="s">
        <v>20</v>
      </c>
      <c r="I96" s="32" t="s">
        <v>15</v>
      </c>
      <c r="J96" s="9" t="s">
        <v>18</v>
      </c>
      <c r="K96" s="9" t="s">
        <v>9263</v>
      </c>
      <c r="L96" s="9" t="s">
        <v>570</v>
      </c>
      <c r="M96" s="9" t="s">
        <v>582</v>
      </c>
      <c r="N96" s="9" t="s">
        <v>2984</v>
      </c>
      <c r="O96" s="20" t="str">
        <f>"Evolución de Casos Activos de COVID-19 por 1 millón de habitantes en las comunas de "&amp;Agencia[[#This Row],[territorio]]&amp;" durante el "&amp;Agencia[[#This Row],[temporalidad]]</f>
        <v>Evolución de Casos Activos de COVID-19 por 1 millón de habitantes en las comunas de Chile durante el Periodo 2020-2021</v>
      </c>
      <c r="P96" s="120" t="s">
        <v>5365</v>
      </c>
      <c r="Q96" s="11" t="s">
        <v>784</v>
      </c>
      <c r="R96" s="20" t="str">
        <f>Agencia[[#This Row],[territorio]]&amp;",regional,comunal,región,comuna,casos activos,fallecidos,recuperados,"&amp;Agencia[[#This Row],[coleccion]]&amp;","&amp;Agencia[[#This Row],[sector]]&amp;","&amp;Agencia[[#This Row],[tema]]&amp;","&amp;Agencia[[#This Row],[contenido]]</f>
        <v>Chile,regional,comunal,región,comuna,casos activos,fallecidos,recuperados,Agencia Información,Salud,Casos Activos ,COVID-19</v>
      </c>
      <c r="S96" s="83" t="s">
        <v>1526</v>
      </c>
      <c r="T96" s="108" t="s">
        <v>957</v>
      </c>
      <c r="U96" s="46" t="str">
        <f t="shared" ref="U96:U114" si="52">+U95</f>
        <v>#1774B9</v>
      </c>
      <c r="V96" s="93" t="str">
        <f>+Agencia[[#This Row],[idcoleccion]]&amp;"-"&amp;Agencia[[#This Row],[id]]</f>
        <v>990-0085</v>
      </c>
      <c r="W96" s="93">
        <f>+VLOOKUP(Agencia[[#This Row],[Filtro URL]],Estructura!$X$4:$Y$500,2,0)</f>
        <v>99100000</v>
      </c>
      <c r="X96" s="93" t="str">
        <f>+VLOOKUP(Agencia[[#This Row],[tema]],Estructura!$A$4:$C$500,3,0)</f>
        <v>T-1080</v>
      </c>
      <c r="Y96" s="93" t="str">
        <f>+VLOOKUP(Agencia[[#This Row],[contenido]],Estructura!$E$4:$G$500,3,0)</f>
        <v>C-991</v>
      </c>
      <c r="Z96" s="93" t="str">
        <f>+VLOOKUP(Agencia[[#This Row],[Filtro Integrado]],Estructura!$I$4:$K$500,3,0)</f>
        <v>FI-991</v>
      </c>
      <c r="AA96" s="93" t="str">
        <f>+VLOOKUP(Agencia[[#This Row],[Muestra]],Estructura!$M$4:$O$500,3,0)</f>
        <v>M-1034</v>
      </c>
    </row>
    <row r="97" spans="1:27" ht="57.6" x14ac:dyDescent="0.3">
      <c r="A97" s="21" t="s">
        <v>482</v>
      </c>
      <c r="B97" s="23">
        <f t="shared" ref="B97:C112" si="53">+B96</f>
        <v>990</v>
      </c>
      <c r="C97" s="24" t="str">
        <f t="shared" si="53"/>
        <v>Agencia Información</v>
      </c>
      <c r="D97" s="72" t="str">
        <f t="shared" ref="D97:D160" si="54">+D96</f>
        <v>Salud</v>
      </c>
      <c r="E97" s="19">
        <v>1</v>
      </c>
      <c r="F97" s="69" t="s">
        <v>5163</v>
      </c>
      <c r="G97" s="18" t="s">
        <v>569</v>
      </c>
      <c r="H97" s="33" t="s">
        <v>16</v>
      </c>
      <c r="I97" s="34" t="s">
        <v>368</v>
      </c>
      <c r="J97" s="9" t="str">
        <f>+J96</f>
        <v>Comuna</v>
      </c>
      <c r="K97" s="9" t="str">
        <f>+K96</f>
        <v>Casos Activos por 1 millón de habitantes</v>
      </c>
      <c r="L97" s="9" t="str">
        <f>+L96</f>
        <v>Periodo 2020-2021</v>
      </c>
      <c r="M97" s="9" t="str">
        <f>+M96</f>
        <v>Número de Casos</v>
      </c>
      <c r="N97" s="9" t="str">
        <f>+N96</f>
        <v>Ministerio de Ciencia, Tecnología, Conocimiento e Innovación</v>
      </c>
      <c r="O97" s="20" t="str">
        <f>"Evolución de Casos Activos de COVID-19 por 1 millón de habitantes en las comunas de la "&amp;Agencia[[#This Row],[territorio]]&amp;" durante el "&amp;Agencia[[#This Row],[temporalidad]]</f>
        <v>Evolución de Casos Activos de COVID-19 por 1 millón de habitantes en las comunas de la Región de Tarapacá durante el Periodo 2020-2021</v>
      </c>
      <c r="P97" s="120" t="s">
        <v>5360</v>
      </c>
      <c r="Q97" s="11" t="str">
        <f t="shared" ref="Q97:Q112" si="55">+Q96</f>
        <v>Gráfico de Evolución</v>
      </c>
      <c r="R97" s="148" t="str">
        <f>Agencia[[#This Row],[territorio]]&amp;",regional,comunal,región,comuna,casos activos,fallecidos,recuperados,"&amp;Agencia[[#This Row],[coleccion]]&amp;","&amp;Agencia[[#This Row],[sector]]&amp;","&amp;Agencia[[#This Row],[tema]]&amp;","&amp;Agencia[[#This Row],[contenido]]</f>
        <v>Región de Tarapacá,regional,comunal,región,comuna,casos activos,fallecidos,recuperados,Agencia Información,Salud,Casos Activos ,COVID-19</v>
      </c>
      <c r="S97" s="37" t="str">
        <f>HYPERLINK("https://analytics.zoho.com/open-view/2395394000008645197?ZOHO_CRITERIA=%22Localiza_CL_Poblacion%22.%22Codreg%22%3D"&amp;Agencia[[#This Row],[Filtro URL]])</f>
        <v>https://analytics.zoho.com/open-view/2395394000008645197?ZOHO_CRITERIA=%22Localiza_CL_Poblacion%22.%22Codreg%22%3D1</v>
      </c>
      <c r="T97" s="111" t="str">
        <f>"100-C-"&amp;Agencia[[#This Row],[Filtro URL]]</f>
        <v>100-C-1</v>
      </c>
      <c r="U97" s="46" t="str">
        <f t="shared" si="52"/>
        <v>#1774B9</v>
      </c>
      <c r="V97" s="93" t="str">
        <f>+Agencia[[#This Row],[idcoleccion]]&amp;"-"&amp;Agencia[[#This Row],[id]]</f>
        <v>990-0086</v>
      </c>
      <c r="W97" s="93">
        <f>+VLOOKUP(Agencia[[#This Row],[Filtro URL]],Estructura!$X$4:$Y$500,2,0)</f>
        <v>99200001</v>
      </c>
      <c r="X97" s="93" t="str">
        <f>+VLOOKUP(Agencia[[#This Row],[tema]],Estructura!$A$4:$C$500,3,0)</f>
        <v>T-1080</v>
      </c>
      <c r="Y97" s="93" t="str">
        <f>+VLOOKUP(Agencia[[#This Row],[contenido]],Estructura!$E$4:$G$500,3,0)</f>
        <v>C-991</v>
      </c>
      <c r="Z97" s="93" t="str">
        <f>+VLOOKUP(Agencia[[#This Row],[Filtro Integrado]],Estructura!$I$4:$K$500,3,0)</f>
        <v>FI-991</v>
      </c>
      <c r="AA97" s="93" t="str">
        <f>+VLOOKUP(Agencia[[#This Row],[Muestra]],Estructura!$M$4:$O$500,3,0)</f>
        <v>M-1034</v>
      </c>
    </row>
    <row r="98" spans="1:27" ht="57.6" x14ac:dyDescent="0.3">
      <c r="A98" s="21" t="s">
        <v>483</v>
      </c>
      <c r="B98" s="23">
        <f t="shared" si="53"/>
        <v>990</v>
      </c>
      <c r="C98" s="24" t="str">
        <f t="shared" si="53"/>
        <v>Agencia Información</v>
      </c>
      <c r="D98" s="72" t="str">
        <f t="shared" si="54"/>
        <v>Salud</v>
      </c>
      <c r="E98" s="19">
        <v>2</v>
      </c>
      <c r="F98" s="69" t="s">
        <v>5163</v>
      </c>
      <c r="G98" s="18" t="s">
        <v>569</v>
      </c>
      <c r="H98" s="33" t="s">
        <v>16</v>
      </c>
      <c r="I98" s="34" t="s">
        <v>369</v>
      </c>
      <c r="J98" s="9" t="str">
        <f t="shared" ref="J98:J163" si="56">+J97</f>
        <v>Comuna</v>
      </c>
      <c r="K98" s="9" t="str">
        <f t="shared" ref="K98:K163" si="57">+K97</f>
        <v>Casos Activos por 1 millón de habitantes</v>
      </c>
      <c r="L98" s="9" t="str">
        <f t="shared" ref="L98:L163" si="58">+L97</f>
        <v>Periodo 2020-2021</v>
      </c>
      <c r="M98" s="9" t="str">
        <f t="shared" ref="M98:M163" si="59">+M97</f>
        <v>Número de Casos</v>
      </c>
      <c r="N98" s="9" t="str">
        <f t="shared" ref="N98:N163" si="60">+N97</f>
        <v>Ministerio de Ciencia, Tecnología, Conocimiento e Innovación</v>
      </c>
      <c r="O98" s="20" t="str">
        <f>"Evolución de Casos Activos de COVID-19 por 1 millón de habitantes en las comunas de la "&amp;Agencia[[#This Row],[territorio]]&amp;" durante el "&amp;Agencia[[#This Row],[temporalidad]]</f>
        <v>Evolución de Casos Activos de COVID-19 por 1 millón de habitantes en las comunas de la Región de Antofagasta durante el Periodo 2020-2021</v>
      </c>
      <c r="P98" s="120" t="s">
        <v>5366</v>
      </c>
      <c r="Q98" s="11" t="str">
        <f t="shared" si="55"/>
        <v>Gráfico de Evolución</v>
      </c>
      <c r="R98" s="148" t="str">
        <f>Agencia[[#This Row],[territorio]]&amp;",regional,comunal,región,comuna,casos activos,fallecidos,recuperados,"&amp;Agencia[[#This Row],[coleccion]]&amp;","&amp;Agencia[[#This Row],[sector]]&amp;","&amp;Agencia[[#This Row],[tema]]&amp;","&amp;Agencia[[#This Row],[contenido]]</f>
        <v>Región de Antofagasta,regional,comunal,región,comuna,casos activos,fallecidos,recuperados,Agencia Información,Salud,Casos Activos ,COVID-19</v>
      </c>
      <c r="S98" s="37" t="str">
        <f>HYPERLINK("https://analytics.zoho.com/open-view/2395394000008645197?ZOHO_CRITERIA=%22Localiza_CL_Poblacion%22.%22Codreg%22%3D"&amp;Agencia[[#This Row],[Filtro URL]])</f>
        <v>https://analytics.zoho.com/open-view/2395394000008645197?ZOHO_CRITERIA=%22Localiza_CL_Poblacion%22.%22Codreg%22%3D2</v>
      </c>
      <c r="T98" s="111" t="str">
        <f>"100-C-"&amp;Agencia[[#This Row],[Filtro URL]]</f>
        <v>100-C-2</v>
      </c>
      <c r="U98" s="46" t="str">
        <f t="shared" si="52"/>
        <v>#1774B9</v>
      </c>
      <c r="V98" s="93" t="str">
        <f>+Agencia[[#This Row],[idcoleccion]]&amp;"-"&amp;Agencia[[#This Row],[id]]</f>
        <v>990-0087</v>
      </c>
      <c r="W98" s="93">
        <f>+VLOOKUP(Agencia[[#This Row],[Filtro URL]],Estructura!$X$4:$Y$500,2,0)</f>
        <v>99200002</v>
      </c>
      <c r="X98" s="93" t="str">
        <f>+VLOOKUP(Agencia[[#This Row],[tema]],Estructura!$A$4:$C$500,3,0)</f>
        <v>T-1080</v>
      </c>
      <c r="Y98" s="93" t="str">
        <f>+VLOOKUP(Agencia[[#This Row],[contenido]],Estructura!$E$4:$G$500,3,0)</f>
        <v>C-991</v>
      </c>
      <c r="Z98" s="93" t="str">
        <f>+VLOOKUP(Agencia[[#This Row],[Filtro Integrado]],Estructura!$I$4:$K$500,3,0)</f>
        <v>FI-991</v>
      </c>
      <c r="AA98" s="93" t="str">
        <f>+VLOOKUP(Agencia[[#This Row],[Muestra]],Estructura!$M$4:$O$500,3,0)</f>
        <v>M-1034</v>
      </c>
    </row>
    <row r="99" spans="1:27" ht="57.6" x14ac:dyDescent="0.3">
      <c r="A99" s="21" t="s">
        <v>484</v>
      </c>
      <c r="B99" s="23">
        <f t="shared" si="53"/>
        <v>990</v>
      </c>
      <c r="C99" s="24" t="str">
        <f t="shared" si="53"/>
        <v>Agencia Información</v>
      </c>
      <c r="D99" s="72" t="str">
        <f t="shared" si="54"/>
        <v>Salud</v>
      </c>
      <c r="E99" s="19">
        <v>3</v>
      </c>
      <c r="F99" s="69" t="s">
        <v>5163</v>
      </c>
      <c r="G99" s="18" t="s">
        <v>569</v>
      </c>
      <c r="H99" s="33" t="s">
        <v>16</v>
      </c>
      <c r="I99" s="34" t="s">
        <v>370</v>
      </c>
      <c r="J99" s="9" t="str">
        <f t="shared" si="56"/>
        <v>Comuna</v>
      </c>
      <c r="K99" s="9" t="str">
        <f t="shared" si="57"/>
        <v>Casos Activos por 1 millón de habitantes</v>
      </c>
      <c r="L99" s="9" t="str">
        <f t="shared" si="58"/>
        <v>Periodo 2020-2021</v>
      </c>
      <c r="M99" s="9" t="str">
        <f t="shared" si="59"/>
        <v>Número de Casos</v>
      </c>
      <c r="N99" s="9" t="str">
        <f t="shared" si="60"/>
        <v>Ministerio de Ciencia, Tecnología, Conocimiento e Innovación</v>
      </c>
      <c r="O99" s="20" t="str">
        <f>"Evolución de Casos Activos de COVID-19 por 1 millón de habitantes en las comunas de la "&amp;Agencia[[#This Row],[territorio]]&amp;" durante el "&amp;Agencia[[#This Row],[temporalidad]]</f>
        <v>Evolución de Casos Activos de COVID-19 por 1 millón de habitantes en las comunas de la Región de Atacama durante el Periodo 2020-2021</v>
      </c>
      <c r="P99" s="120" t="s">
        <v>5367</v>
      </c>
      <c r="Q99" s="11" t="str">
        <f t="shared" si="55"/>
        <v>Gráfico de Evolución</v>
      </c>
      <c r="R99" s="148" t="str">
        <f>Agencia[[#This Row],[territorio]]&amp;",regional,comunal,región,comuna,casos activos,fallecidos,recuperados,"&amp;Agencia[[#This Row],[coleccion]]&amp;","&amp;Agencia[[#This Row],[sector]]&amp;","&amp;Agencia[[#This Row],[tema]]&amp;","&amp;Agencia[[#This Row],[contenido]]</f>
        <v>Región de Atacama,regional,comunal,región,comuna,casos activos,fallecidos,recuperados,Agencia Información,Salud,Casos Activos ,COVID-19</v>
      </c>
      <c r="S99" s="37" t="str">
        <f>HYPERLINK("https://analytics.zoho.com/open-view/2395394000008645197?ZOHO_CRITERIA=%22Localiza_CL_Poblacion%22.%22Codreg%22%3D"&amp;Agencia[[#This Row],[Filtro URL]])</f>
        <v>https://analytics.zoho.com/open-view/2395394000008645197?ZOHO_CRITERIA=%22Localiza_CL_Poblacion%22.%22Codreg%22%3D3</v>
      </c>
      <c r="T99" s="111" t="str">
        <f>"100-C-"&amp;Agencia[[#This Row],[Filtro URL]]</f>
        <v>100-C-3</v>
      </c>
      <c r="U99" s="46" t="str">
        <f t="shared" si="52"/>
        <v>#1774B9</v>
      </c>
      <c r="V99" s="93" t="str">
        <f>+Agencia[[#This Row],[idcoleccion]]&amp;"-"&amp;Agencia[[#This Row],[id]]</f>
        <v>990-0088</v>
      </c>
      <c r="W99" s="93">
        <f>+VLOOKUP(Agencia[[#This Row],[Filtro URL]],Estructura!$X$4:$Y$500,2,0)</f>
        <v>99200003</v>
      </c>
      <c r="X99" s="93" t="str">
        <f>+VLOOKUP(Agencia[[#This Row],[tema]],Estructura!$A$4:$C$500,3,0)</f>
        <v>T-1080</v>
      </c>
      <c r="Y99" s="93" t="str">
        <f>+VLOOKUP(Agencia[[#This Row],[contenido]],Estructura!$E$4:$G$500,3,0)</f>
        <v>C-991</v>
      </c>
      <c r="Z99" s="93" t="str">
        <f>+VLOOKUP(Agencia[[#This Row],[Filtro Integrado]],Estructura!$I$4:$K$500,3,0)</f>
        <v>FI-991</v>
      </c>
      <c r="AA99" s="93" t="str">
        <f>+VLOOKUP(Agencia[[#This Row],[Muestra]],Estructura!$M$4:$O$500,3,0)</f>
        <v>M-1034</v>
      </c>
    </row>
    <row r="100" spans="1:27" ht="57.6" x14ac:dyDescent="0.3">
      <c r="A100" s="21" t="s">
        <v>485</v>
      </c>
      <c r="B100" s="23">
        <f t="shared" si="53"/>
        <v>990</v>
      </c>
      <c r="C100" s="24" t="str">
        <f t="shared" si="53"/>
        <v>Agencia Información</v>
      </c>
      <c r="D100" s="72" t="str">
        <f t="shared" si="54"/>
        <v>Salud</v>
      </c>
      <c r="E100" s="19">
        <v>4</v>
      </c>
      <c r="F100" s="69" t="s">
        <v>5163</v>
      </c>
      <c r="G100" s="18" t="s">
        <v>569</v>
      </c>
      <c r="H100" s="33" t="s">
        <v>16</v>
      </c>
      <c r="I100" s="34" t="s">
        <v>371</v>
      </c>
      <c r="J100" s="9" t="str">
        <f t="shared" si="56"/>
        <v>Comuna</v>
      </c>
      <c r="K100" s="9" t="str">
        <f t="shared" si="57"/>
        <v>Casos Activos por 1 millón de habitantes</v>
      </c>
      <c r="L100" s="9" t="str">
        <f t="shared" si="58"/>
        <v>Periodo 2020-2021</v>
      </c>
      <c r="M100" s="9" t="str">
        <f t="shared" si="59"/>
        <v>Número de Casos</v>
      </c>
      <c r="N100" s="9" t="str">
        <f t="shared" si="60"/>
        <v>Ministerio de Ciencia, Tecnología, Conocimiento e Innovación</v>
      </c>
      <c r="O100" s="20" t="str">
        <f>"Evolución de Casos Activos de COVID-19 por 1 millón de habitantes en las comunas de la "&amp;Agencia[[#This Row],[territorio]]&amp;" durante el "&amp;Agencia[[#This Row],[temporalidad]]</f>
        <v>Evolución de Casos Activos de COVID-19 por 1 millón de habitantes en las comunas de la Región de Coquimbo durante el Periodo 2020-2021</v>
      </c>
      <c r="P100" s="120" t="s">
        <v>5361</v>
      </c>
      <c r="Q100" s="11" t="str">
        <f t="shared" si="55"/>
        <v>Gráfico de Evolución</v>
      </c>
      <c r="R100" s="148" t="str">
        <f>Agencia[[#This Row],[territorio]]&amp;",regional,comunal,región,comuna,casos activos,fallecidos,recuperados,"&amp;Agencia[[#This Row],[coleccion]]&amp;","&amp;Agencia[[#This Row],[sector]]&amp;","&amp;Agencia[[#This Row],[tema]]&amp;","&amp;Agencia[[#This Row],[contenido]]</f>
        <v>Región de Coquimbo,regional,comunal,región,comuna,casos activos,fallecidos,recuperados,Agencia Información,Salud,Casos Activos ,COVID-19</v>
      </c>
      <c r="S100" s="37" t="str">
        <f>HYPERLINK("https://analytics.zoho.com/open-view/2395394000008645197?ZOHO_CRITERIA=%22Localiza_CL_Poblacion%22.%22Codreg%22%3D"&amp;Agencia[[#This Row],[Filtro URL]])</f>
        <v>https://analytics.zoho.com/open-view/2395394000008645197?ZOHO_CRITERIA=%22Localiza_CL_Poblacion%22.%22Codreg%22%3D4</v>
      </c>
      <c r="T100" s="111" t="str">
        <f>"100-C-"&amp;Agencia[[#This Row],[Filtro URL]]</f>
        <v>100-C-4</v>
      </c>
      <c r="U100" s="46" t="str">
        <f t="shared" si="52"/>
        <v>#1774B9</v>
      </c>
      <c r="V100" s="93" t="str">
        <f>+Agencia[[#This Row],[idcoleccion]]&amp;"-"&amp;Agencia[[#This Row],[id]]</f>
        <v>990-0089</v>
      </c>
      <c r="W100" s="93">
        <f>+VLOOKUP(Agencia[[#This Row],[Filtro URL]],Estructura!$X$4:$Y$500,2,0)</f>
        <v>99200004</v>
      </c>
      <c r="X100" s="93" t="str">
        <f>+VLOOKUP(Agencia[[#This Row],[tema]],Estructura!$A$4:$C$500,3,0)</f>
        <v>T-1080</v>
      </c>
      <c r="Y100" s="93" t="str">
        <f>+VLOOKUP(Agencia[[#This Row],[contenido]],Estructura!$E$4:$G$500,3,0)</f>
        <v>C-991</v>
      </c>
      <c r="Z100" s="93" t="str">
        <f>+VLOOKUP(Agencia[[#This Row],[Filtro Integrado]],Estructura!$I$4:$K$500,3,0)</f>
        <v>FI-991</v>
      </c>
      <c r="AA100" s="93" t="str">
        <f>+VLOOKUP(Agencia[[#This Row],[Muestra]],Estructura!$M$4:$O$500,3,0)</f>
        <v>M-1034</v>
      </c>
    </row>
    <row r="101" spans="1:27" ht="57.6" x14ac:dyDescent="0.3">
      <c r="A101" s="21" t="s">
        <v>486</v>
      </c>
      <c r="B101" s="23">
        <f t="shared" si="53"/>
        <v>990</v>
      </c>
      <c r="C101" s="24" t="str">
        <f t="shared" si="53"/>
        <v>Agencia Información</v>
      </c>
      <c r="D101" s="72" t="str">
        <f t="shared" si="54"/>
        <v>Salud</v>
      </c>
      <c r="E101" s="19">
        <v>5</v>
      </c>
      <c r="F101" s="69" t="s">
        <v>5163</v>
      </c>
      <c r="G101" s="18" t="s">
        <v>569</v>
      </c>
      <c r="H101" s="33" t="s">
        <v>16</v>
      </c>
      <c r="I101" s="34" t="s">
        <v>372</v>
      </c>
      <c r="J101" s="9" t="str">
        <f t="shared" si="56"/>
        <v>Comuna</v>
      </c>
      <c r="K101" s="9" t="str">
        <f t="shared" si="57"/>
        <v>Casos Activos por 1 millón de habitantes</v>
      </c>
      <c r="L101" s="9" t="str">
        <f t="shared" si="58"/>
        <v>Periodo 2020-2021</v>
      </c>
      <c r="M101" s="9" t="str">
        <f t="shared" si="59"/>
        <v>Número de Casos</v>
      </c>
      <c r="N101" s="9" t="str">
        <f t="shared" si="60"/>
        <v>Ministerio de Ciencia, Tecnología, Conocimiento e Innovación</v>
      </c>
      <c r="O101" s="20" t="str">
        <f>"Evolución de Casos Activos de COVID-19 por 1 millón de habitantes en las comunas de la "&amp;Agencia[[#This Row],[territorio]]&amp;" durante el "&amp;Agencia[[#This Row],[temporalidad]]</f>
        <v>Evolución de Casos Activos de COVID-19 por 1 millón de habitantes en las comunas de la Región de Valparaíso durante el Periodo 2020-2021</v>
      </c>
      <c r="P101" s="120" t="s">
        <v>5362</v>
      </c>
      <c r="Q101" s="11" t="str">
        <f t="shared" si="55"/>
        <v>Gráfico de Evolución</v>
      </c>
      <c r="R101" s="148" t="str">
        <f>Agencia[[#This Row],[territorio]]&amp;",regional,comunal,región,comuna,casos activos,fallecidos,recuperados,"&amp;Agencia[[#This Row],[coleccion]]&amp;","&amp;Agencia[[#This Row],[sector]]&amp;","&amp;Agencia[[#This Row],[tema]]&amp;","&amp;Agencia[[#This Row],[contenido]]</f>
        <v>Región de Valparaíso,regional,comunal,región,comuna,casos activos,fallecidos,recuperados,Agencia Información,Salud,Casos Activos ,COVID-19</v>
      </c>
      <c r="S101" s="37" t="str">
        <f>HYPERLINK("https://analytics.zoho.com/open-view/2395394000008645197?ZOHO_CRITERIA=%22Localiza_CL_Poblacion%22.%22Codreg%22%3D"&amp;Agencia[[#This Row],[Filtro URL]])</f>
        <v>https://analytics.zoho.com/open-view/2395394000008645197?ZOHO_CRITERIA=%22Localiza_CL_Poblacion%22.%22Codreg%22%3D5</v>
      </c>
      <c r="T101" s="111" t="str">
        <f>"100-C-"&amp;Agencia[[#This Row],[Filtro URL]]</f>
        <v>100-C-5</v>
      </c>
      <c r="U101" s="46" t="str">
        <f t="shared" si="52"/>
        <v>#1774B9</v>
      </c>
      <c r="V101" s="93" t="str">
        <f>+Agencia[[#This Row],[idcoleccion]]&amp;"-"&amp;Agencia[[#This Row],[id]]</f>
        <v>990-0090</v>
      </c>
      <c r="W101" s="93">
        <f>+VLOOKUP(Agencia[[#This Row],[Filtro URL]],Estructura!$X$4:$Y$500,2,0)</f>
        <v>99200005</v>
      </c>
      <c r="X101" s="93" t="str">
        <f>+VLOOKUP(Agencia[[#This Row],[tema]],Estructura!$A$4:$C$500,3,0)</f>
        <v>T-1080</v>
      </c>
      <c r="Y101" s="93" t="str">
        <f>+VLOOKUP(Agencia[[#This Row],[contenido]],Estructura!$E$4:$G$500,3,0)</f>
        <v>C-991</v>
      </c>
      <c r="Z101" s="93" t="str">
        <f>+VLOOKUP(Agencia[[#This Row],[Filtro Integrado]],Estructura!$I$4:$K$500,3,0)</f>
        <v>FI-991</v>
      </c>
      <c r="AA101" s="93" t="str">
        <f>+VLOOKUP(Agencia[[#This Row],[Muestra]],Estructura!$M$4:$O$500,3,0)</f>
        <v>M-1034</v>
      </c>
    </row>
    <row r="102" spans="1:27" ht="57.6" x14ac:dyDescent="0.3">
      <c r="A102" s="21" t="s">
        <v>487</v>
      </c>
      <c r="B102" s="23">
        <f t="shared" si="53"/>
        <v>990</v>
      </c>
      <c r="C102" s="24" t="str">
        <f t="shared" si="53"/>
        <v>Agencia Información</v>
      </c>
      <c r="D102" s="72" t="str">
        <f t="shared" si="54"/>
        <v>Salud</v>
      </c>
      <c r="E102" s="19">
        <v>6</v>
      </c>
      <c r="F102" s="69" t="s">
        <v>5163</v>
      </c>
      <c r="G102" s="18" t="s">
        <v>569</v>
      </c>
      <c r="H102" s="33" t="s">
        <v>16</v>
      </c>
      <c r="I102" s="34" t="s">
        <v>373</v>
      </c>
      <c r="J102" s="9" t="str">
        <f t="shared" si="56"/>
        <v>Comuna</v>
      </c>
      <c r="K102" s="9" t="str">
        <f t="shared" si="57"/>
        <v>Casos Activos por 1 millón de habitantes</v>
      </c>
      <c r="L102" s="9" t="str">
        <f t="shared" si="58"/>
        <v>Periodo 2020-2021</v>
      </c>
      <c r="M102" s="9" t="str">
        <f t="shared" si="59"/>
        <v>Número de Casos</v>
      </c>
      <c r="N102" s="9" t="str">
        <f t="shared" si="60"/>
        <v>Ministerio de Ciencia, Tecnología, Conocimiento e Innovación</v>
      </c>
      <c r="O102" s="20" t="str">
        <f>"Evolución de Casos Activos de COVID-19 por 1 millón de habitantes en las comunas de la "&amp;Agencia[[#This Row],[territorio]]&amp;" durante el "&amp;Agencia[[#This Row],[temporalidad]]</f>
        <v>Evolución de Casos Activos de COVID-19 por 1 millón de habitantes en las comunas de la Región de O'Higgins durante el Periodo 2020-2021</v>
      </c>
      <c r="P102" s="120" t="s">
        <v>5368</v>
      </c>
      <c r="Q102" s="11" t="str">
        <f t="shared" si="55"/>
        <v>Gráfico de Evolución</v>
      </c>
      <c r="R102" s="148" t="str">
        <f>Agencia[[#This Row],[territorio]]&amp;",regional,comunal,región,comuna,casos activos,fallecidos,recuperados,"&amp;Agencia[[#This Row],[coleccion]]&amp;","&amp;Agencia[[#This Row],[sector]]&amp;","&amp;Agencia[[#This Row],[tema]]&amp;","&amp;Agencia[[#This Row],[contenido]]</f>
        <v>Región de O'Higgins,regional,comunal,región,comuna,casos activos,fallecidos,recuperados,Agencia Información,Salud,Casos Activos ,COVID-19</v>
      </c>
      <c r="S102" s="37" t="str">
        <f>HYPERLINK("https://analytics.zoho.com/open-view/2395394000008645197?ZOHO_CRITERIA=%22Localiza_CL_Poblacion%22.%22Codreg%22%3D"&amp;Agencia[[#This Row],[Filtro URL]])</f>
        <v>https://analytics.zoho.com/open-view/2395394000008645197?ZOHO_CRITERIA=%22Localiza_CL_Poblacion%22.%22Codreg%22%3D6</v>
      </c>
      <c r="T102" s="111" t="str">
        <f>"100-C-"&amp;Agencia[[#This Row],[Filtro URL]]</f>
        <v>100-C-6</v>
      </c>
      <c r="U102" s="46" t="str">
        <f t="shared" si="52"/>
        <v>#1774B9</v>
      </c>
      <c r="V102" s="93" t="str">
        <f>+Agencia[[#This Row],[idcoleccion]]&amp;"-"&amp;Agencia[[#This Row],[id]]</f>
        <v>990-0091</v>
      </c>
      <c r="W102" s="93">
        <f>+VLOOKUP(Agencia[[#This Row],[Filtro URL]],Estructura!$X$4:$Y$500,2,0)</f>
        <v>99200006</v>
      </c>
      <c r="X102" s="93" t="str">
        <f>+VLOOKUP(Agencia[[#This Row],[tema]],Estructura!$A$4:$C$500,3,0)</f>
        <v>T-1080</v>
      </c>
      <c r="Y102" s="93" t="str">
        <f>+VLOOKUP(Agencia[[#This Row],[contenido]],Estructura!$E$4:$G$500,3,0)</f>
        <v>C-991</v>
      </c>
      <c r="Z102" s="93" t="str">
        <f>+VLOOKUP(Agencia[[#This Row],[Filtro Integrado]],Estructura!$I$4:$K$500,3,0)</f>
        <v>FI-991</v>
      </c>
      <c r="AA102" s="93" t="str">
        <f>+VLOOKUP(Agencia[[#This Row],[Muestra]],Estructura!$M$4:$O$500,3,0)</f>
        <v>M-1034</v>
      </c>
    </row>
    <row r="103" spans="1:27" ht="57.6" x14ac:dyDescent="0.3">
      <c r="A103" s="21" t="s">
        <v>488</v>
      </c>
      <c r="B103" s="23">
        <f t="shared" si="53"/>
        <v>990</v>
      </c>
      <c r="C103" s="24" t="str">
        <f t="shared" si="53"/>
        <v>Agencia Información</v>
      </c>
      <c r="D103" s="72" t="str">
        <f t="shared" si="54"/>
        <v>Salud</v>
      </c>
      <c r="E103" s="19">
        <v>7</v>
      </c>
      <c r="F103" s="69" t="s">
        <v>5163</v>
      </c>
      <c r="G103" s="18" t="s">
        <v>569</v>
      </c>
      <c r="H103" s="33" t="s">
        <v>16</v>
      </c>
      <c r="I103" s="34" t="s">
        <v>374</v>
      </c>
      <c r="J103" s="9" t="str">
        <f t="shared" si="56"/>
        <v>Comuna</v>
      </c>
      <c r="K103" s="9" t="str">
        <f t="shared" si="57"/>
        <v>Casos Activos por 1 millón de habitantes</v>
      </c>
      <c r="L103" s="9" t="str">
        <f t="shared" si="58"/>
        <v>Periodo 2020-2021</v>
      </c>
      <c r="M103" s="9" t="str">
        <f t="shared" si="59"/>
        <v>Número de Casos</v>
      </c>
      <c r="N103" s="9" t="str">
        <f t="shared" si="60"/>
        <v>Ministerio de Ciencia, Tecnología, Conocimiento e Innovación</v>
      </c>
      <c r="O103" s="20" t="str">
        <f>"Evolución de Casos Activos de COVID-19 por 1 millón de habitantes en las comunas de la "&amp;Agencia[[#This Row],[territorio]]&amp;" durante el "&amp;Agencia[[#This Row],[temporalidad]]</f>
        <v>Evolución de Casos Activos de COVID-19 por 1 millón de habitantes en las comunas de la Región de Maule durante el Periodo 2020-2021</v>
      </c>
      <c r="P103" s="120" t="s">
        <v>5369</v>
      </c>
      <c r="Q103" s="11" t="str">
        <f t="shared" si="55"/>
        <v>Gráfico de Evolución</v>
      </c>
      <c r="R103" s="148" t="str">
        <f>Agencia[[#This Row],[territorio]]&amp;",regional,comunal,región,comuna,casos activos,fallecidos,recuperados,"&amp;Agencia[[#This Row],[coleccion]]&amp;","&amp;Agencia[[#This Row],[sector]]&amp;","&amp;Agencia[[#This Row],[tema]]&amp;","&amp;Agencia[[#This Row],[contenido]]</f>
        <v>Región de Maule,regional,comunal,región,comuna,casos activos,fallecidos,recuperados,Agencia Información,Salud,Casos Activos ,COVID-19</v>
      </c>
      <c r="S103" s="37" t="str">
        <f>HYPERLINK("https://analytics.zoho.com/open-view/2395394000008645197?ZOHO_CRITERIA=%22Localiza_CL_Poblacion%22.%22Codreg%22%3D"&amp;Agencia[[#This Row],[Filtro URL]])</f>
        <v>https://analytics.zoho.com/open-view/2395394000008645197?ZOHO_CRITERIA=%22Localiza_CL_Poblacion%22.%22Codreg%22%3D7</v>
      </c>
      <c r="T103" s="111" t="str">
        <f>"100-C-"&amp;Agencia[[#This Row],[Filtro URL]]</f>
        <v>100-C-7</v>
      </c>
      <c r="U103" s="46" t="str">
        <f t="shared" si="52"/>
        <v>#1774B9</v>
      </c>
      <c r="V103" s="93" t="str">
        <f>+Agencia[[#This Row],[idcoleccion]]&amp;"-"&amp;Agencia[[#This Row],[id]]</f>
        <v>990-0092</v>
      </c>
      <c r="W103" s="93">
        <f>+VLOOKUP(Agencia[[#This Row],[Filtro URL]],Estructura!$X$4:$Y$500,2,0)</f>
        <v>99200007</v>
      </c>
      <c r="X103" s="93" t="str">
        <f>+VLOOKUP(Agencia[[#This Row],[tema]],Estructura!$A$4:$C$500,3,0)</f>
        <v>T-1080</v>
      </c>
      <c r="Y103" s="93" t="str">
        <f>+VLOOKUP(Agencia[[#This Row],[contenido]],Estructura!$E$4:$G$500,3,0)</f>
        <v>C-991</v>
      </c>
      <c r="Z103" s="93" t="str">
        <f>+VLOOKUP(Agencia[[#This Row],[Filtro Integrado]],Estructura!$I$4:$K$500,3,0)</f>
        <v>FI-991</v>
      </c>
      <c r="AA103" s="93" t="str">
        <f>+VLOOKUP(Agencia[[#This Row],[Muestra]],Estructura!$M$4:$O$500,3,0)</f>
        <v>M-1034</v>
      </c>
    </row>
    <row r="104" spans="1:27" ht="57.6" x14ac:dyDescent="0.3">
      <c r="A104" s="21" t="s">
        <v>489</v>
      </c>
      <c r="B104" s="23">
        <f t="shared" si="53"/>
        <v>990</v>
      </c>
      <c r="C104" s="24" t="str">
        <f t="shared" si="53"/>
        <v>Agencia Información</v>
      </c>
      <c r="D104" s="72" t="str">
        <f t="shared" si="54"/>
        <v>Salud</v>
      </c>
      <c r="E104" s="19">
        <v>8</v>
      </c>
      <c r="F104" s="69" t="s">
        <v>5163</v>
      </c>
      <c r="G104" s="18" t="s">
        <v>569</v>
      </c>
      <c r="H104" s="33" t="s">
        <v>16</v>
      </c>
      <c r="I104" s="34" t="s">
        <v>375</v>
      </c>
      <c r="J104" s="9" t="str">
        <f t="shared" si="56"/>
        <v>Comuna</v>
      </c>
      <c r="K104" s="9" t="str">
        <f t="shared" si="57"/>
        <v>Casos Activos por 1 millón de habitantes</v>
      </c>
      <c r="L104" s="9" t="str">
        <f t="shared" si="58"/>
        <v>Periodo 2020-2021</v>
      </c>
      <c r="M104" s="9" t="str">
        <f t="shared" si="59"/>
        <v>Número de Casos</v>
      </c>
      <c r="N104" s="9" t="str">
        <f t="shared" si="60"/>
        <v>Ministerio de Ciencia, Tecnología, Conocimiento e Innovación</v>
      </c>
      <c r="O104" s="20" t="str">
        <f>"Evolución de Casos Activos de COVID-19 por 1 millón de habitantes en las comunas de la "&amp;Agencia[[#This Row],[territorio]]&amp;" durante el "&amp;Agencia[[#This Row],[temporalidad]]</f>
        <v>Evolución de Casos Activos de COVID-19 por 1 millón de habitantes en las comunas de la Región del Biobío durante el Periodo 2020-2021</v>
      </c>
      <c r="P104" s="120" t="s">
        <v>5363</v>
      </c>
      <c r="Q104" s="11" t="str">
        <f t="shared" si="55"/>
        <v>Gráfico de Evolución</v>
      </c>
      <c r="R104" s="148" t="str">
        <f>Agencia[[#This Row],[territorio]]&amp;",regional,comunal,región,comuna,casos activos,fallecidos,recuperados,"&amp;Agencia[[#This Row],[coleccion]]&amp;","&amp;Agencia[[#This Row],[sector]]&amp;","&amp;Agencia[[#This Row],[tema]]&amp;","&amp;Agencia[[#This Row],[contenido]]</f>
        <v>Región del Biobío,regional,comunal,región,comuna,casos activos,fallecidos,recuperados,Agencia Información,Salud,Casos Activos ,COVID-19</v>
      </c>
      <c r="S104" s="37" t="str">
        <f>HYPERLINK("https://analytics.zoho.com/open-view/2395394000008645197?ZOHO_CRITERIA=%22Localiza_CL_Poblacion%22.%22Codreg%22%3D"&amp;Agencia[[#This Row],[Filtro URL]])</f>
        <v>https://analytics.zoho.com/open-view/2395394000008645197?ZOHO_CRITERIA=%22Localiza_CL_Poblacion%22.%22Codreg%22%3D8</v>
      </c>
      <c r="T104" s="111" t="str">
        <f>"100-C-"&amp;Agencia[[#This Row],[Filtro URL]]</f>
        <v>100-C-8</v>
      </c>
      <c r="U104" s="46" t="str">
        <f t="shared" si="52"/>
        <v>#1774B9</v>
      </c>
      <c r="V104" s="93" t="str">
        <f>+Agencia[[#This Row],[idcoleccion]]&amp;"-"&amp;Agencia[[#This Row],[id]]</f>
        <v>990-0093</v>
      </c>
      <c r="W104" s="93">
        <f>+VLOOKUP(Agencia[[#This Row],[Filtro URL]],Estructura!$X$4:$Y$500,2,0)</f>
        <v>99200008</v>
      </c>
      <c r="X104" s="93" t="str">
        <f>+VLOOKUP(Agencia[[#This Row],[tema]],Estructura!$A$4:$C$500,3,0)</f>
        <v>T-1080</v>
      </c>
      <c r="Y104" s="93" t="str">
        <f>+VLOOKUP(Agencia[[#This Row],[contenido]],Estructura!$E$4:$G$500,3,0)</f>
        <v>C-991</v>
      </c>
      <c r="Z104" s="93" t="str">
        <f>+VLOOKUP(Agencia[[#This Row],[Filtro Integrado]],Estructura!$I$4:$K$500,3,0)</f>
        <v>FI-991</v>
      </c>
      <c r="AA104" s="93" t="str">
        <f>+VLOOKUP(Agencia[[#This Row],[Muestra]],Estructura!$M$4:$O$500,3,0)</f>
        <v>M-1034</v>
      </c>
    </row>
    <row r="105" spans="1:27" ht="57.6" x14ac:dyDescent="0.3">
      <c r="A105" s="21" t="s">
        <v>490</v>
      </c>
      <c r="B105" s="23">
        <f t="shared" si="53"/>
        <v>990</v>
      </c>
      <c r="C105" s="24" t="str">
        <f t="shared" si="53"/>
        <v>Agencia Información</v>
      </c>
      <c r="D105" s="72" t="str">
        <f t="shared" si="54"/>
        <v>Salud</v>
      </c>
      <c r="E105" s="19">
        <v>9</v>
      </c>
      <c r="F105" s="69" t="s">
        <v>5163</v>
      </c>
      <c r="G105" s="18" t="s">
        <v>569</v>
      </c>
      <c r="H105" s="33" t="s">
        <v>16</v>
      </c>
      <c r="I105" s="34" t="s">
        <v>376</v>
      </c>
      <c r="J105" s="9" t="str">
        <f t="shared" si="56"/>
        <v>Comuna</v>
      </c>
      <c r="K105" s="9" t="str">
        <f t="shared" si="57"/>
        <v>Casos Activos por 1 millón de habitantes</v>
      </c>
      <c r="L105" s="9" t="str">
        <f t="shared" si="58"/>
        <v>Periodo 2020-2021</v>
      </c>
      <c r="M105" s="9" t="str">
        <f t="shared" si="59"/>
        <v>Número de Casos</v>
      </c>
      <c r="N105" s="9" t="str">
        <f t="shared" si="60"/>
        <v>Ministerio de Ciencia, Tecnología, Conocimiento e Innovación</v>
      </c>
      <c r="O105" s="20" t="str">
        <f>"Evolución de Casos Activos de COVID-19 por 1 millón de habitantes en las comunas de la "&amp;Agencia[[#This Row],[territorio]]&amp;" durante el "&amp;Agencia[[#This Row],[temporalidad]]</f>
        <v>Evolución de Casos Activos de COVID-19 por 1 millón de habitantes en las comunas de la Región de La Araucanía durante el Periodo 2020-2021</v>
      </c>
      <c r="P105" s="120" t="s">
        <v>5370</v>
      </c>
      <c r="Q105" s="11" t="str">
        <f t="shared" si="55"/>
        <v>Gráfico de Evolución</v>
      </c>
      <c r="R105" s="148" t="str">
        <f>Agencia[[#This Row],[territorio]]&amp;",regional,comunal,región,comuna,casos activos,fallecidos,recuperados,"&amp;Agencia[[#This Row],[coleccion]]&amp;","&amp;Agencia[[#This Row],[sector]]&amp;","&amp;Agencia[[#This Row],[tema]]&amp;","&amp;Agencia[[#This Row],[contenido]]</f>
        <v>Región de La Araucanía,regional,comunal,región,comuna,casos activos,fallecidos,recuperados,Agencia Información,Salud,Casos Activos ,COVID-19</v>
      </c>
      <c r="S105" s="37" t="str">
        <f>HYPERLINK("https://analytics.zoho.com/open-view/2395394000008645197?ZOHO_CRITERIA=%22Localiza_CL_Poblacion%22.%22Codreg%22%3D"&amp;Agencia[[#This Row],[Filtro URL]])</f>
        <v>https://analytics.zoho.com/open-view/2395394000008645197?ZOHO_CRITERIA=%22Localiza_CL_Poblacion%22.%22Codreg%22%3D9</v>
      </c>
      <c r="T105" s="111" t="str">
        <f>"100-C-"&amp;Agencia[[#This Row],[Filtro URL]]</f>
        <v>100-C-9</v>
      </c>
      <c r="U105" s="46" t="str">
        <f t="shared" si="52"/>
        <v>#1774B9</v>
      </c>
      <c r="V105" s="93" t="str">
        <f>+Agencia[[#This Row],[idcoleccion]]&amp;"-"&amp;Agencia[[#This Row],[id]]</f>
        <v>990-0094</v>
      </c>
      <c r="W105" s="93">
        <f>+VLOOKUP(Agencia[[#This Row],[Filtro URL]],Estructura!$X$4:$Y$500,2,0)</f>
        <v>99200009</v>
      </c>
      <c r="X105" s="93" t="str">
        <f>+VLOOKUP(Agencia[[#This Row],[tema]],Estructura!$A$4:$C$500,3,0)</f>
        <v>T-1080</v>
      </c>
      <c r="Y105" s="93" t="str">
        <f>+VLOOKUP(Agencia[[#This Row],[contenido]],Estructura!$E$4:$G$500,3,0)</f>
        <v>C-991</v>
      </c>
      <c r="Z105" s="93" t="str">
        <f>+VLOOKUP(Agencia[[#This Row],[Filtro Integrado]],Estructura!$I$4:$K$500,3,0)</f>
        <v>FI-991</v>
      </c>
      <c r="AA105" s="93" t="str">
        <f>+VLOOKUP(Agencia[[#This Row],[Muestra]],Estructura!$M$4:$O$500,3,0)</f>
        <v>M-1034</v>
      </c>
    </row>
    <row r="106" spans="1:27" ht="57.6" x14ac:dyDescent="0.3">
      <c r="A106" s="21" t="s">
        <v>491</v>
      </c>
      <c r="B106" s="23">
        <f t="shared" si="53"/>
        <v>990</v>
      </c>
      <c r="C106" s="24" t="str">
        <f t="shared" si="53"/>
        <v>Agencia Información</v>
      </c>
      <c r="D106" s="72" t="str">
        <f t="shared" si="54"/>
        <v>Salud</v>
      </c>
      <c r="E106" s="19">
        <v>10</v>
      </c>
      <c r="F106" s="69" t="s">
        <v>5163</v>
      </c>
      <c r="G106" s="18" t="s">
        <v>569</v>
      </c>
      <c r="H106" s="33" t="s">
        <v>16</v>
      </c>
      <c r="I106" s="34" t="s">
        <v>377</v>
      </c>
      <c r="J106" s="9" t="str">
        <f t="shared" si="56"/>
        <v>Comuna</v>
      </c>
      <c r="K106" s="9" t="str">
        <f t="shared" si="57"/>
        <v>Casos Activos por 1 millón de habitantes</v>
      </c>
      <c r="L106" s="9" t="str">
        <f t="shared" si="58"/>
        <v>Periodo 2020-2021</v>
      </c>
      <c r="M106" s="9" t="str">
        <f t="shared" si="59"/>
        <v>Número de Casos</v>
      </c>
      <c r="N106" s="9" t="str">
        <f t="shared" si="60"/>
        <v>Ministerio de Ciencia, Tecnología, Conocimiento e Innovación</v>
      </c>
      <c r="O106" s="20" t="str">
        <f>"Evolución de Casos Activos de COVID-19 por 1 millón de habitantes en las comunas de la "&amp;Agencia[[#This Row],[territorio]]&amp;" durante el "&amp;Agencia[[#This Row],[temporalidad]]</f>
        <v>Evolución de Casos Activos de COVID-19 por 1 millón de habitantes en las comunas de la Región de Los Lagos durante el Periodo 2020-2021</v>
      </c>
      <c r="P106" s="120" t="s">
        <v>5371</v>
      </c>
      <c r="Q106" s="11" t="str">
        <f t="shared" si="55"/>
        <v>Gráfico de Evolución</v>
      </c>
      <c r="R106" s="148" t="str">
        <f>Agencia[[#This Row],[territorio]]&amp;",regional,comunal,región,comuna,casos activos,fallecidos,recuperados,"&amp;Agencia[[#This Row],[coleccion]]&amp;","&amp;Agencia[[#This Row],[sector]]&amp;","&amp;Agencia[[#This Row],[tema]]&amp;","&amp;Agencia[[#This Row],[contenido]]</f>
        <v>Región de Los Lagos,regional,comunal,región,comuna,casos activos,fallecidos,recuperados,Agencia Información,Salud,Casos Activos ,COVID-19</v>
      </c>
      <c r="S106" s="37" t="str">
        <f>HYPERLINK("https://analytics.zoho.com/open-view/2395394000008645197?ZOHO_CRITERIA=%22Localiza_CL_Poblacion%22.%22Codreg%22%3D"&amp;Agencia[[#This Row],[Filtro URL]])</f>
        <v>https://analytics.zoho.com/open-view/2395394000008645197?ZOHO_CRITERIA=%22Localiza_CL_Poblacion%22.%22Codreg%22%3D10</v>
      </c>
      <c r="T106" s="111" t="str">
        <f>"100-C-"&amp;Agencia[[#This Row],[Filtro URL]]</f>
        <v>100-C-10</v>
      </c>
      <c r="U106" s="46" t="str">
        <f t="shared" si="52"/>
        <v>#1774B9</v>
      </c>
      <c r="V106" s="93" t="str">
        <f>+Agencia[[#This Row],[idcoleccion]]&amp;"-"&amp;Agencia[[#This Row],[id]]</f>
        <v>990-0095</v>
      </c>
      <c r="W106" s="93">
        <f>+VLOOKUP(Agencia[[#This Row],[Filtro URL]],Estructura!$X$4:$Y$500,2,0)</f>
        <v>99200010</v>
      </c>
      <c r="X106" s="93" t="str">
        <f>+VLOOKUP(Agencia[[#This Row],[tema]],Estructura!$A$4:$C$500,3,0)</f>
        <v>T-1080</v>
      </c>
      <c r="Y106" s="93" t="str">
        <f>+VLOOKUP(Agencia[[#This Row],[contenido]],Estructura!$E$4:$G$500,3,0)</f>
        <v>C-991</v>
      </c>
      <c r="Z106" s="93" t="str">
        <f>+VLOOKUP(Agencia[[#This Row],[Filtro Integrado]],Estructura!$I$4:$K$500,3,0)</f>
        <v>FI-991</v>
      </c>
      <c r="AA106" s="93" t="str">
        <f>+VLOOKUP(Agencia[[#This Row],[Muestra]],Estructura!$M$4:$O$500,3,0)</f>
        <v>M-1034</v>
      </c>
    </row>
    <row r="107" spans="1:27" ht="57.6" x14ac:dyDescent="0.3">
      <c r="A107" s="21" t="s">
        <v>492</v>
      </c>
      <c r="B107" s="23">
        <f t="shared" si="53"/>
        <v>990</v>
      </c>
      <c r="C107" s="24" t="str">
        <f t="shared" si="53"/>
        <v>Agencia Información</v>
      </c>
      <c r="D107" s="72" t="str">
        <f t="shared" si="54"/>
        <v>Salud</v>
      </c>
      <c r="E107" s="19">
        <v>11</v>
      </c>
      <c r="F107" s="69" t="s">
        <v>5163</v>
      </c>
      <c r="G107" s="18" t="s">
        <v>569</v>
      </c>
      <c r="H107" s="33" t="s">
        <v>16</v>
      </c>
      <c r="I107" s="34" t="s">
        <v>378</v>
      </c>
      <c r="J107" s="9" t="str">
        <f t="shared" si="56"/>
        <v>Comuna</v>
      </c>
      <c r="K107" s="9" t="str">
        <f t="shared" si="57"/>
        <v>Casos Activos por 1 millón de habitantes</v>
      </c>
      <c r="L107" s="9" t="str">
        <f t="shared" si="58"/>
        <v>Periodo 2020-2021</v>
      </c>
      <c r="M107" s="9" t="str">
        <f t="shared" si="59"/>
        <v>Número de Casos</v>
      </c>
      <c r="N107" s="9" t="str">
        <f t="shared" si="60"/>
        <v>Ministerio de Ciencia, Tecnología, Conocimiento e Innovación</v>
      </c>
      <c r="O107" s="20" t="str">
        <f>"Evolución de Casos Activos de COVID-19 por 1 millón de habitantes en las comunas de la "&amp;Agencia[[#This Row],[territorio]]&amp;" durante el "&amp;Agencia[[#This Row],[temporalidad]]</f>
        <v>Evolución de Casos Activos de COVID-19 por 1 millón de habitantes en las comunas de la Región de Aysén durante el Periodo 2020-2021</v>
      </c>
      <c r="P107" s="120" t="s">
        <v>5372</v>
      </c>
      <c r="Q107" s="11" t="str">
        <f t="shared" si="55"/>
        <v>Gráfico de Evolución</v>
      </c>
      <c r="R107" s="148" t="str">
        <f>Agencia[[#This Row],[territorio]]&amp;",regional,comunal,región,comuna,casos activos,fallecidos,recuperados,"&amp;Agencia[[#This Row],[coleccion]]&amp;","&amp;Agencia[[#This Row],[sector]]&amp;","&amp;Agencia[[#This Row],[tema]]&amp;","&amp;Agencia[[#This Row],[contenido]]</f>
        <v>Región de Aysén,regional,comunal,región,comuna,casos activos,fallecidos,recuperados,Agencia Información,Salud,Casos Activos ,COVID-19</v>
      </c>
      <c r="S107" s="37" t="str">
        <f>HYPERLINK("https://analytics.zoho.com/open-view/2395394000008645197?ZOHO_CRITERIA=%22Localiza_CL_Poblacion%22.%22Codreg%22%3D"&amp;Agencia[[#This Row],[Filtro URL]])</f>
        <v>https://analytics.zoho.com/open-view/2395394000008645197?ZOHO_CRITERIA=%22Localiza_CL_Poblacion%22.%22Codreg%22%3D11</v>
      </c>
      <c r="T107" s="111" t="str">
        <f>"100-C-"&amp;Agencia[[#This Row],[Filtro URL]]</f>
        <v>100-C-11</v>
      </c>
      <c r="U107" s="46" t="str">
        <f t="shared" si="52"/>
        <v>#1774B9</v>
      </c>
      <c r="V107" s="93" t="str">
        <f>+Agencia[[#This Row],[idcoleccion]]&amp;"-"&amp;Agencia[[#This Row],[id]]</f>
        <v>990-0096</v>
      </c>
      <c r="W107" s="93">
        <f>+VLOOKUP(Agencia[[#This Row],[Filtro URL]],Estructura!$X$4:$Y$500,2,0)</f>
        <v>99200011</v>
      </c>
      <c r="X107" s="93" t="str">
        <f>+VLOOKUP(Agencia[[#This Row],[tema]],Estructura!$A$4:$C$500,3,0)</f>
        <v>T-1080</v>
      </c>
      <c r="Y107" s="93" t="str">
        <f>+VLOOKUP(Agencia[[#This Row],[contenido]],Estructura!$E$4:$G$500,3,0)</f>
        <v>C-991</v>
      </c>
      <c r="Z107" s="93" t="str">
        <f>+VLOOKUP(Agencia[[#This Row],[Filtro Integrado]],Estructura!$I$4:$K$500,3,0)</f>
        <v>FI-991</v>
      </c>
      <c r="AA107" s="93" t="str">
        <f>+VLOOKUP(Agencia[[#This Row],[Muestra]],Estructura!$M$4:$O$500,3,0)</f>
        <v>M-1034</v>
      </c>
    </row>
    <row r="108" spans="1:27" ht="61.2" x14ac:dyDescent="0.3">
      <c r="A108" s="21" t="s">
        <v>493</v>
      </c>
      <c r="B108" s="23">
        <f t="shared" si="53"/>
        <v>990</v>
      </c>
      <c r="C108" s="24" t="str">
        <f t="shared" si="53"/>
        <v>Agencia Información</v>
      </c>
      <c r="D108" s="72" t="str">
        <f t="shared" si="54"/>
        <v>Salud</v>
      </c>
      <c r="E108" s="19">
        <v>12</v>
      </c>
      <c r="F108" s="69" t="s">
        <v>5163</v>
      </c>
      <c r="G108" s="18" t="s">
        <v>569</v>
      </c>
      <c r="H108" s="33" t="s">
        <v>16</v>
      </c>
      <c r="I108" s="34" t="s">
        <v>379</v>
      </c>
      <c r="J108" s="9" t="str">
        <f t="shared" si="56"/>
        <v>Comuna</v>
      </c>
      <c r="K108" s="9" t="str">
        <f t="shared" si="57"/>
        <v>Casos Activos por 1 millón de habitantes</v>
      </c>
      <c r="L108" s="9" t="str">
        <f t="shared" si="58"/>
        <v>Periodo 2020-2021</v>
      </c>
      <c r="M108" s="9" t="str">
        <f t="shared" si="59"/>
        <v>Número de Casos</v>
      </c>
      <c r="N108" s="9" t="str">
        <f t="shared" si="60"/>
        <v>Ministerio de Ciencia, Tecnología, Conocimiento e Innovación</v>
      </c>
      <c r="O108" s="20" t="str">
        <f>"Evolución de Casos Activos de COVID-19 por 1 millón de habitantes en las comunas de la "&amp;Agencia[[#This Row],[territorio]]&amp;" durante el "&amp;Agencia[[#This Row],[temporalidad]]</f>
        <v>Evolución de Casos Activos de COVID-19 por 1 millón de habitantes en las comunas de la Región de Magallanes durante el Periodo 2020-2021</v>
      </c>
      <c r="P108" s="120" t="s">
        <v>5364</v>
      </c>
      <c r="Q108" s="11" t="str">
        <f t="shared" si="55"/>
        <v>Gráfico de Evolución</v>
      </c>
      <c r="R108" s="148" t="str">
        <f>Agencia[[#This Row],[territorio]]&amp;",regional,comunal,región,comuna,casos activos,fallecidos,recuperados,"&amp;Agencia[[#This Row],[coleccion]]&amp;","&amp;Agencia[[#This Row],[sector]]&amp;","&amp;Agencia[[#This Row],[tema]]&amp;","&amp;Agencia[[#This Row],[contenido]]</f>
        <v>Región de Magallanes,regional,comunal,región,comuna,casos activos,fallecidos,recuperados,Agencia Información,Salud,Casos Activos ,COVID-19</v>
      </c>
      <c r="S108" s="37" t="str">
        <f>HYPERLINK("https://analytics.zoho.com/open-view/2395394000008645197?ZOHO_CRITERIA=%22Localiza_CL_Poblacion%22.%22Codreg%22%3D"&amp;Agencia[[#This Row],[Filtro URL]])</f>
        <v>https://analytics.zoho.com/open-view/2395394000008645197?ZOHO_CRITERIA=%22Localiza_CL_Poblacion%22.%22Codreg%22%3D12</v>
      </c>
      <c r="T108" s="111" t="str">
        <f>"100-C-"&amp;Agencia[[#This Row],[Filtro URL]]</f>
        <v>100-C-12</v>
      </c>
      <c r="U108" s="46" t="str">
        <f t="shared" si="52"/>
        <v>#1774B9</v>
      </c>
      <c r="V108" s="93" t="str">
        <f>+Agencia[[#This Row],[idcoleccion]]&amp;"-"&amp;Agencia[[#This Row],[id]]</f>
        <v>990-0097</v>
      </c>
      <c r="W108" s="93">
        <f>+VLOOKUP(Agencia[[#This Row],[Filtro URL]],Estructura!$X$4:$Y$500,2,0)</f>
        <v>99200012</v>
      </c>
      <c r="X108" s="93" t="str">
        <f>+VLOOKUP(Agencia[[#This Row],[tema]],Estructura!$A$4:$C$500,3,0)</f>
        <v>T-1080</v>
      </c>
      <c r="Y108" s="93" t="str">
        <f>+VLOOKUP(Agencia[[#This Row],[contenido]],Estructura!$E$4:$G$500,3,0)</f>
        <v>C-991</v>
      </c>
      <c r="Z108" s="93" t="str">
        <f>+VLOOKUP(Agencia[[#This Row],[Filtro Integrado]],Estructura!$I$4:$K$500,3,0)</f>
        <v>FI-991</v>
      </c>
      <c r="AA108" s="93" t="str">
        <f>+VLOOKUP(Agencia[[#This Row],[Muestra]],Estructura!$M$4:$O$500,3,0)</f>
        <v>M-1034</v>
      </c>
    </row>
    <row r="109" spans="1:27" ht="57.6" x14ac:dyDescent="0.3">
      <c r="A109" s="21" t="s">
        <v>494</v>
      </c>
      <c r="B109" s="23">
        <f t="shared" si="53"/>
        <v>990</v>
      </c>
      <c r="C109" s="24" t="str">
        <f t="shared" si="53"/>
        <v>Agencia Información</v>
      </c>
      <c r="D109" s="72" t="str">
        <f t="shared" si="54"/>
        <v>Salud</v>
      </c>
      <c r="E109" s="19">
        <v>13</v>
      </c>
      <c r="F109" s="69" t="s">
        <v>5163</v>
      </c>
      <c r="G109" s="18" t="s">
        <v>569</v>
      </c>
      <c r="H109" s="33" t="s">
        <v>16</v>
      </c>
      <c r="I109" s="34" t="s">
        <v>380</v>
      </c>
      <c r="J109" s="9" t="str">
        <f t="shared" si="56"/>
        <v>Comuna</v>
      </c>
      <c r="K109" s="9" t="str">
        <f t="shared" si="57"/>
        <v>Casos Activos por 1 millón de habitantes</v>
      </c>
      <c r="L109" s="9" t="str">
        <f t="shared" si="58"/>
        <v>Periodo 2020-2021</v>
      </c>
      <c r="M109" s="9" t="str">
        <f t="shared" si="59"/>
        <v>Número de Casos</v>
      </c>
      <c r="N109" s="9" t="str">
        <f t="shared" si="60"/>
        <v>Ministerio de Ciencia, Tecnología, Conocimiento e Innovación</v>
      </c>
      <c r="O109" s="20" t="str">
        <f>"Evolución de Casos Activos de COVID-19 por 1 millón de habitantes en las comunas de la "&amp;Agencia[[#This Row],[territorio]]&amp;" durante el "&amp;Agencia[[#This Row],[temporalidad]]</f>
        <v>Evolución de Casos Activos de COVID-19 por 1 millón de habitantes en las comunas de la Región Metropolitana durante el Periodo 2020-2021</v>
      </c>
      <c r="P109" s="120" t="s">
        <v>5373</v>
      </c>
      <c r="Q109" s="11" t="str">
        <f t="shared" si="55"/>
        <v>Gráfico de Evolución</v>
      </c>
      <c r="R109" s="148" t="str">
        <f>Agencia[[#This Row],[territorio]]&amp;",regional,comunal,región,comuna,casos activos,fallecidos,recuperados,"&amp;Agencia[[#This Row],[coleccion]]&amp;","&amp;Agencia[[#This Row],[sector]]&amp;","&amp;Agencia[[#This Row],[tema]]&amp;","&amp;Agencia[[#This Row],[contenido]]</f>
        <v>Región Metropolitana,regional,comunal,región,comuna,casos activos,fallecidos,recuperados,Agencia Información,Salud,Casos Activos ,COVID-19</v>
      </c>
      <c r="S109" s="37" t="str">
        <f>HYPERLINK("https://analytics.zoho.com/open-view/2395394000008645197?ZOHO_CRITERIA=%22Localiza_CL_Poblacion%22.%22Codreg%22%3D"&amp;Agencia[[#This Row],[Filtro URL]])</f>
        <v>https://analytics.zoho.com/open-view/2395394000008645197?ZOHO_CRITERIA=%22Localiza_CL_Poblacion%22.%22Codreg%22%3D13</v>
      </c>
      <c r="T109" s="111" t="str">
        <f>"200-C-"&amp;Agencia[[#This Row],[Filtro URL]]</f>
        <v>200-C-13</v>
      </c>
      <c r="U109" s="46" t="str">
        <f t="shared" si="52"/>
        <v>#1774B9</v>
      </c>
      <c r="V109" s="93" t="str">
        <f>+Agencia[[#This Row],[idcoleccion]]&amp;"-"&amp;Agencia[[#This Row],[id]]</f>
        <v>990-0098</v>
      </c>
      <c r="W109" s="93">
        <f>+VLOOKUP(Agencia[[#This Row],[Filtro URL]],Estructura!$X$4:$Y$500,2,0)</f>
        <v>99200013</v>
      </c>
      <c r="X109" s="93" t="str">
        <f>+VLOOKUP(Agencia[[#This Row],[tema]],Estructura!$A$4:$C$500,3,0)</f>
        <v>T-1080</v>
      </c>
      <c r="Y109" s="93" t="str">
        <f>+VLOOKUP(Agencia[[#This Row],[contenido]],Estructura!$E$4:$G$500,3,0)</f>
        <v>C-991</v>
      </c>
      <c r="Z109" s="93" t="str">
        <f>+VLOOKUP(Agencia[[#This Row],[Filtro Integrado]],Estructura!$I$4:$K$500,3,0)</f>
        <v>FI-991</v>
      </c>
      <c r="AA109" s="93" t="str">
        <f>+VLOOKUP(Agencia[[#This Row],[Muestra]],Estructura!$M$4:$O$500,3,0)</f>
        <v>M-1034</v>
      </c>
    </row>
    <row r="110" spans="1:27" ht="57.6" x14ac:dyDescent="0.3">
      <c r="A110" s="21" t="s">
        <v>495</v>
      </c>
      <c r="B110" s="23">
        <f t="shared" si="53"/>
        <v>990</v>
      </c>
      <c r="C110" s="24" t="str">
        <f t="shared" si="53"/>
        <v>Agencia Información</v>
      </c>
      <c r="D110" s="72" t="str">
        <f t="shared" si="54"/>
        <v>Salud</v>
      </c>
      <c r="E110" s="19">
        <v>14</v>
      </c>
      <c r="F110" s="69" t="s">
        <v>5163</v>
      </c>
      <c r="G110" s="18" t="s">
        <v>569</v>
      </c>
      <c r="H110" s="33" t="s">
        <v>16</v>
      </c>
      <c r="I110" s="34" t="s">
        <v>381</v>
      </c>
      <c r="J110" s="9" t="str">
        <f t="shared" si="56"/>
        <v>Comuna</v>
      </c>
      <c r="K110" s="9" t="str">
        <f t="shared" si="57"/>
        <v>Casos Activos por 1 millón de habitantes</v>
      </c>
      <c r="L110" s="9" t="str">
        <f t="shared" si="58"/>
        <v>Periodo 2020-2021</v>
      </c>
      <c r="M110" s="9" t="str">
        <f t="shared" si="59"/>
        <v>Número de Casos</v>
      </c>
      <c r="N110" s="9" t="str">
        <f t="shared" si="60"/>
        <v>Ministerio de Ciencia, Tecnología, Conocimiento e Innovación</v>
      </c>
      <c r="O110" s="20" t="str">
        <f>"Evolución de Casos Activos de COVID-19 por 1 millón de habitantes en las comunas de la "&amp;Agencia[[#This Row],[territorio]]&amp;" durante el "&amp;Agencia[[#This Row],[temporalidad]]</f>
        <v>Evolución de Casos Activos de COVID-19 por 1 millón de habitantes en las comunas de la Región de Los Ríos durante el Periodo 2020-2021</v>
      </c>
      <c r="P110" s="120" t="s">
        <v>5374</v>
      </c>
      <c r="Q110" s="11" t="str">
        <f t="shared" si="55"/>
        <v>Gráfico de Evolución</v>
      </c>
      <c r="R110" s="148" t="str">
        <f>Agencia[[#This Row],[territorio]]&amp;",regional,comunal,región,comuna,casos activos,fallecidos,recuperados,"&amp;Agencia[[#This Row],[coleccion]]&amp;","&amp;Agencia[[#This Row],[sector]]&amp;","&amp;Agencia[[#This Row],[tema]]&amp;","&amp;Agencia[[#This Row],[contenido]]</f>
        <v>Región de Los Ríos,regional,comunal,región,comuna,casos activos,fallecidos,recuperados,Agencia Información,Salud,Casos Activos ,COVID-19</v>
      </c>
      <c r="S110" s="37" t="str">
        <f>HYPERLINK("https://analytics.zoho.com/open-view/2395394000008645197?ZOHO_CRITERIA=%22Localiza_CL_Poblacion%22.%22Codreg%22%3D"&amp;Agencia[[#This Row],[Filtro URL]])</f>
        <v>https://analytics.zoho.com/open-view/2395394000008645197?ZOHO_CRITERIA=%22Localiza_CL_Poblacion%22.%22Codreg%22%3D14</v>
      </c>
      <c r="T110" s="111" t="str">
        <f>"100-C-"&amp;Agencia[[#This Row],[Filtro URL]]</f>
        <v>100-C-14</v>
      </c>
      <c r="U110" s="46" t="str">
        <f t="shared" si="52"/>
        <v>#1774B9</v>
      </c>
      <c r="V110" s="93" t="str">
        <f>+Agencia[[#This Row],[idcoleccion]]&amp;"-"&amp;Agencia[[#This Row],[id]]</f>
        <v>990-0099</v>
      </c>
      <c r="W110" s="93">
        <f>+VLOOKUP(Agencia[[#This Row],[Filtro URL]],Estructura!$X$4:$Y$500,2,0)</f>
        <v>99200014</v>
      </c>
      <c r="X110" s="93" t="str">
        <f>+VLOOKUP(Agencia[[#This Row],[tema]],Estructura!$A$4:$C$500,3,0)</f>
        <v>T-1080</v>
      </c>
      <c r="Y110" s="93" t="str">
        <f>+VLOOKUP(Agencia[[#This Row],[contenido]],Estructura!$E$4:$G$500,3,0)</f>
        <v>C-991</v>
      </c>
      <c r="Z110" s="93" t="str">
        <f>+VLOOKUP(Agencia[[#This Row],[Filtro Integrado]],Estructura!$I$4:$K$500,3,0)</f>
        <v>FI-991</v>
      </c>
      <c r="AA110" s="93" t="str">
        <f>+VLOOKUP(Agencia[[#This Row],[Muestra]],Estructura!$M$4:$O$500,3,0)</f>
        <v>M-1034</v>
      </c>
    </row>
    <row r="111" spans="1:27" ht="57.6" x14ac:dyDescent="0.3">
      <c r="A111" s="21" t="s">
        <v>496</v>
      </c>
      <c r="B111" s="23">
        <f t="shared" si="53"/>
        <v>990</v>
      </c>
      <c r="C111" s="24" t="str">
        <f t="shared" si="53"/>
        <v>Agencia Información</v>
      </c>
      <c r="D111" s="72" t="str">
        <f t="shared" si="54"/>
        <v>Salud</v>
      </c>
      <c r="E111" s="19">
        <v>15</v>
      </c>
      <c r="F111" s="69" t="s">
        <v>5163</v>
      </c>
      <c r="G111" s="18" t="s">
        <v>569</v>
      </c>
      <c r="H111" s="33" t="s">
        <v>16</v>
      </c>
      <c r="I111" s="34" t="s">
        <v>382</v>
      </c>
      <c r="J111" s="9" t="str">
        <f t="shared" si="56"/>
        <v>Comuna</v>
      </c>
      <c r="K111" s="9" t="str">
        <f t="shared" si="57"/>
        <v>Casos Activos por 1 millón de habitantes</v>
      </c>
      <c r="L111" s="9" t="str">
        <f t="shared" si="58"/>
        <v>Periodo 2020-2021</v>
      </c>
      <c r="M111" s="9" t="str">
        <f t="shared" si="59"/>
        <v>Número de Casos</v>
      </c>
      <c r="N111" s="9" t="str">
        <f t="shared" si="60"/>
        <v>Ministerio de Ciencia, Tecnología, Conocimiento e Innovación</v>
      </c>
      <c r="O111" s="20" t="str">
        <f>"Evolución de Casos Activos de COVID-19 por 1 millón de habitantes en las comunas de la "&amp;Agencia[[#This Row],[territorio]]&amp;" durante el "&amp;Agencia[[#This Row],[temporalidad]]</f>
        <v>Evolución de Casos Activos de COVID-19 por 1 millón de habitantes en las comunas de la Región de Arica y Parinacota durante el Periodo 2020-2021</v>
      </c>
      <c r="P111" s="120" t="s">
        <v>5375</v>
      </c>
      <c r="Q111" s="11" t="str">
        <f t="shared" si="55"/>
        <v>Gráfico de Evolución</v>
      </c>
      <c r="R111" s="148" t="str">
        <f>Agencia[[#This Row],[territorio]]&amp;",regional,comunal,región,comuna,casos activos,fallecidos,recuperados,"&amp;Agencia[[#This Row],[coleccion]]&amp;","&amp;Agencia[[#This Row],[sector]]&amp;","&amp;Agencia[[#This Row],[tema]]&amp;","&amp;Agencia[[#This Row],[contenido]]</f>
        <v>Región de Arica y Parinacota,regional,comunal,región,comuna,casos activos,fallecidos,recuperados,Agencia Información,Salud,Casos Activos ,COVID-19</v>
      </c>
      <c r="S111" s="37" t="str">
        <f>HYPERLINK("https://analytics.zoho.com/open-view/2395394000008645197?ZOHO_CRITERIA=%22Localiza_CL_Poblacion%22.%22Codreg%22%3D"&amp;Agencia[[#This Row],[Filtro URL]])</f>
        <v>https://analytics.zoho.com/open-view/2395394000008645197?ZOHO_CRITERIA=%22Localiza_CL_Poblacion%22.%22Codreg%22%3D15</v>
      </c>
      <c r="T111" s="111" t="str">
        <f>"100-C-"&amp;Agencia[[#This Row],[Filtro URL]]</f>
        <v>100-C-15</v>
      </c>
      <c r="U111" s="46" t="str">
        <f t="shared" si="52"/>
        <v>#1774B9</v>
      </c>
      <c r="V111" s="93" t="str">
        <f>+Agencia[[#This Row],[idcoleccion]]&amp;"-"&amp;Agencia[[#This Row],[id]]</f>
        <v>990-0100</v>
      </c>
      <c r="W111" s="93">
        <f>+VLOOKUP(Agencia[[#This Row],[Filtro URL]],Estructura!$X$4:$Y$500,2,0)</f>
        <v>99200015</v>
      </c>
      <c r="X111" s="93" t="str">
        <f>+VLOOKUP(Agencia[[#This Row],[tema]],Estructura!$A$4:$C$500,3,0)</f>
        <v>T-1080</v>
      </c>
      <c r="Y111" s="93" t="str">
        <f>+VLOOKUP(Agencia[[#This Row],[contenido]],Estructura!$E$4:$G$500,3,0)</f>
        <v>C-991</v>
      </c>
      <c r="Z111" s="93" t="str">
        <f>+VLOOKUP(Agencia[[#This Row],[Filtro Integrado]],Estructura!$I$4:$K$500,3,0)</f>
        <v>FI-991</v>
      </c>
      <c r="AA111" s="93" t="str">
        <f>+VLOOKUP(Agencia[[#This Row],[Muestra]],Estructura!$M$4:$O$500,3,0)</f>
        <v>M-1034</v>
      </c>
    </row>
    <row r="112" spans="1:27" ht="57.6" x14ac:dyDescent="0.3">
      <c r="A112" s="21" t="s">
        <v>497</v>
      </c>
      <c r="B112" s="23">
        <f t="shared" si="53"/>
        <v>990</v>
      </c>
      <c r="C112" s="24" t="str">
        <f t="shared" si="53"/>
        <v>Agencia Información</v>
      </c>
      <c r="D112" s="72" t="str">
        <f t="shared" si="54"/>
        <v>Salud</v>
      </c>
      <c r="E112" s="19">
        <v>16</v>
      </c>
      <c r="F112" s="69" t="s">
        <v>5163</v>
      </c>
      <c r="G112" s="18" t="s">
        <v>569</v>
      </c>
      <c r="H112" s="33" t="s">
        <v>16</v>
      </c>
      <c r="I112" s="34" t="s">
        <v>383</v>
      </c>
      <c r="J112" s="9" t="str">
        <f t="shared" si="56"/>
        <v>Comuna</v>
      </c>
      <c r="K112" s="9" t="str">
        <f t="shared" si="57"/>
        <v>Casos Activos por 1 millón de habitantes</v>
      </c>
      <c r="L112" s="9" t="str">
        <f t="shared" si="58"/>
        <v>Periodo 2020-2021</v>
      </c>
      <c r="M112" s="9" t="str">
        <f t="shared" si="59"/>
        <v>Número de Casos</v>
      </c>
      <c r="N112" s="9" t="str">
        <f t="shared" si="60"/>
        <v>Ministerio de Ciencia, Tecnología, Conocimiento e Innovación</v>
      </c>
      <c r="O112" s="20" t="str">
        <f>"Evolución de Casos Activos de COVID-19 por 1 millón de habitantes en las comunas de la "&amp;Agencia[[#This Row],[territorio]]&amp;" durante el "&amp;Agencia[[#This Row],[temporalidad]]</f>
        <v>Evolución de Casos Activos de COVID-19 por 1 millón de habitantes en las comunas de la Región de Ñuble durante el Periodo 2020-2021</v>
      </c>
      <c r="P112" s="120" t="s">
        <v>5376</v>
      </c>
      <c r="Q112" s="11" t="str">
        <f t="shared" si="55"/>
        <v>Gráfico de Evolución</v>
      </c>
      <c r="R112" s="148" t="str">
        <f>Agencia[[#This Row],[territorio]]&amp;",regional,comunal,región,comuna,casos activos,fallecidos,recuperados,"&amp;Agencia[[#This Row],[coleccion]]&amp;","&amp;Agencia[[#This Row],[sector]]&amp;","&amp;Agencia[[#This Row],[tema]]&amp;","&amp;Agencia[[#This Row],[contenido]]</f>
        <v>Región de Ñuble,regional,comunal,región,comuna,casos activos,fallecidos,recuperados,Agencia Información,Salud,Casos Activos ,COVID-19</v>
      </c>
      <c r="S112" s="37" t="str">
        <f>HYPERLINK("https://analytics.zoho.com/open-view/2395394000008645197?ZOHO_CRITERIA=%22Localiza_CL_Poblacion%22.%22Codreg%22%3D"&amp;Agencia[[#This Row],[Filtro URL]])</f>
        <v>https://analytics.zoho.com/open-view/2395394000008645197?ZOHO_CRITERIA=%22Localiza_CL_Poblacion%22.%22Codreg%22%3D16</v>
      </c>
      <c r="T112" s="111" t="str">
        <f>"100-C-"&amp;Agencia[[#This Row],[Filtro URL]]</f>
        <v>100-C-16</v>
      </c>
      <c r="U112" s="46" t="str">
        <f t="shared" si="52"/>
        <v>#1774B9</v>
      </c>
      <c r="V112" s="93" t="str">
        <f>+Agencia[[#This Row],[idcoleccion]]&amp;"-"&amp;Agencia[[#This Row],[id]]</f>
        <v>990-0101</v>
      </c>
      <c r="W112" s="93">
        <f>+VLOOKUP(Agencia[[#This Row],[Filtro URL]],Estructura!$X$4:$Y$500,2,0)</f>
        <v>99200016</v>
      </c>
      <c r="X112" s="93" t="str">
        <f>+VLOOKUP(Agencia[[#This Row],[tema]],Estructura!$A$4:$C$500,3,0)</f>
        <v>T-1080</v>
      </c>
      <c r="Y112" s="93" t="str">
        <f>+VLOOKUP(Agencia[[#This Row],[contenido]],Estructura!$E$4:$G$500,3,0)</f>
        <v>C-991</v>
      </c>
      <c r="Z112" s="93" t="str">
        <f>+VLOOKUP(Agencia[[#This Row],[Filtro Integrado]],Estructura!$I$4:$K$500,3,0)</f>
        <v>FI-991</v>
      </c>
      <c r="AA112" s="93" t="str">
        <f>+VLOOKUP(Agencia[[#This Row],[Muestra]],Estructura!$M$4:$O$500,3,0)</f>
        <v>M-1034</v>
      </c>
    </row>
    <row r="113" spans="1:27" ht="48" customHeight="1" x14ac:dyDescent="0.3">
      <c r="A113" s="21" t="s">
        <v>498</v>
      </c>
      <c r="B113" s="23">
        <f>+B112</f>
        <v>990</v>
      </c>
      <c r="C113" s="24" t="str">
        <f>+C112</f>
        <v>Agencia Información</v>
      </c>
      <c r="D113" s="72" t="s">
        <v>571</v>
      </c>
      <c r="E113" s="14">
        <v>0</v>
      </c>
      <c r="F113" s="10" t="s">
        <v>572</v>
      </c>
      <c r="G113" s="10" t="s">
        <v>1878</v>
      </c>
      <c r="H113" s="31" t="s">
        <v>20</v>
      </c>
      <c r="I113" s="32" t="s">
        <v>15</v>
      </c>
      <c r="J113" s="9" t="s">
        <v>16</v>
      </c>
      <c r="K113" s="9" t="s">
        <v>9251</v>
      </c>
      <c r="L113" s="9" t="s">
        <v>573</v>
      </c>
      <c r="M113" s="9" t="s">
        <v>574</v>
      </c>
      <c r="N113" s="9" t="s">
        <v>575</v>
      </c>
      <c r="O113" s="20" t="str">
        <f>"Volumen de Exportaciones Frutícolas en "&amp;Agencia[[#This Row],[territorio]]&amp;", "&amp;Agencia[[#This Row],[temporalidad]]</f>
        <v>Volumen de Exportaciones Frutícolas en Chile, Periodo 2012-2020</v>
      </c>
      <c r="P113" s="112" t="s">
        <v>6561</v>
      </c>
      <c r="Q113" s="11" t="s">
        <v>586</v>
      </c>
      <c r="R113" s="20" t="str">
        <f>Agencia[[#This Row],[territorio]]&amp;",fruta,frutícola,toneladas,volumen,exportación,exportada,"&amp;Agencia[[#This Row],[coleccion]]&amp;","&amp;Agencia[[#This Row],[sector]]&amp;","&amp;Agencia[[#This Row],[tema]]&amp;","&amp;Agencia[[#This Row],[contenido]]</f>
        <v>Chile,fruta,frutícola,toneladas,volumen,exportación,exportada,Agencia Información,Agropecuario y Forestal,Exportaciones,Agricultura</v>
      </c>
      <c r="S113" s="37" t="s">
        <v>783</v>
      </c>
      <c r="T113" s="108">
        <v>0</v>
      </c>
      <c r="U113" s="46" t="str">
        <f t="shared" si="52"/>
        <v>#1774B9</v>
      </c>
      <c r="V113" s="93" t="str">
        <f>+Agencia[[#This Row],[idcoleccion]]&amp;"-"&amp;Agencia[[#This Row],[id]]</f>
        <v>990-0102</v>
      </c>
      <c r="W113" s="93">
        <f>+VLOOKUP(Agencia[[#This Row],[Filtro URL]],Estructura!$X$4:$Y$500,2,0)</f>
        <v>99100000</v>
      </c>
      <c r="X113" s="93" t="str">
        <f>+VLOOKUP(Agencia[[#This Row],[tema]],Estructura!$A$4:$C$500,3,0)</f>
        <v>T-1020</v>
      </c>
      <c r="Y113" s="93" t="str">
        <f>+VLOOKUP(Agencia[[#This Row],[contenido]],Estructura!$E$4:$G$500,3,0)</f>
        <v>C-997</v>
      </c>
      <c r="Z113" s="93" t="str">
        <f>+VLOOKUP(Agencia[[#This Row],[Filtro Integrado]],Estructura!$I$4:$K$500,3,0)</f>
        <v>FI-992</v>
      </c>
      <c r="AA113" s="93" t="str">
        <f>+VLOOKUP(Agencia[[#This Row],[Muestra]],Estructura!$M$4:$O$500,3,0)</f>
        <v>M-1035</v>
      </c>
    </row>
    <row r="114" spans="1:27" ht="51" x14ac:dyDescent="0.3">
      <c r="A114" s="21" t="s">
        <v>499</v>
      </c>
      <c r="B114" s="23">
        <f>+B113</f>
        <v>990</v>
      </c>
      <c r="C114" s="24" t="str">
        <f>+C113</f>
        <v>Agencia Información</v>
      </c>
      <c r="D114" s="72" t="s">
        <v>571</v>
      </c>
      <c r="E114" s="14">
        <v>0</v>
      </c>
      <c r="F114" s="10" t="s">
        <v>572</v>
      </c>
      <c r="G114" s="10" t="s">
        <v>1878</v>
      </c>
      <c r="H114" s="31" t="s">
        <v>20</v>
      </c>
      <c r="I114" s="32" t="s">
        <v>15</v>
      </c>
      <c r="J114" s="9" t="s">
        <v>403</v>
      </c>
      <c r="K114" s="9" t="s">
        <v>9251</v>
      </c>
      <c r="L114" s="9" t="s">
        <v>573</v>
      </c>
      <c r="M114" s="9" t="s">
        <v>574</v>
      </c>
      <c r="N114" s="9" t="s">
        <v>575</v>
      </c>
      <c r="O114" s="20" t="str">
        <f>"Volumen acumulado de Exportaciones Frutícolas por país de destino"&amp;", "&amp;Agencia[[#This Row],[temporalidad]]</f>
        <v>Volumen acumulado de Exportaciones Frutícolas por país de destino, Periodo 2012-2020</v>
      </c>
      <c r="P114" s="112" t="s">
        <v>6560</v>
      </c>
      <c r="Q114" s="11" t="s">
        <v>794</v>
      </c>
      <c r="R114" s="20" t="str">
        <f>Agencia[[#This Row],[territorio]]&amp;" fruta,frutícola,frutas.toneladas,volumen acumulado,exportación,país destino,"&amp;Agencia[[#This Row],[coleccion]]&amp;","&amp;Agencia[[#This Row],[sector]]&amp;","&amp;Agencia[[#This Row],[tema]]&amp;","&amp;Agencia[[#This Row],[contenido]]</f>
        <v>Chile fruta,frutícola,frutas.toneladas,volumen acumulado,exportación,país destino,Agencia Información,Agropecuario y Forestal,Exportaciones,Agricultura</v>
      </c>
      <c r="S114" s="37" t="s">
        <v>797</v>
      </c>
      <c r="T114" s="108">
        <v>0</v>
      </c>
      <c r="U114" s="46" t="str">
        <f t="shared" si="52"/>
        <v>#1774B9</v>
      </c>
      <c r="V114" s="93" t="str">
        <f>+Agencia[[#This Row],[idcoleccion]]&amp;"-"&amp;Agencia[[#This Row],[id]]</f>
        <v>990-0103</v>
      </c>
      <c r="W114" s="93">
        <f>+VLOOKUP(Agencia[[#This Row],[Filtro URL]],Estructura!$X$4:$Y$500,2,0)</f>
        <v>99100000</v>
      </c>
      <c r="X114" s="93" t="str">
        <f>+VLOOKUP(Agencia[[#This Row],[tema]],Estructura!$A$4:$C$500,3,0)</f>
        <v>T-1020</v>
      </c>
      <c r="Y114" s="93" t="str">
        <f>+VLOOKUP(Agencia[[#This Row],[contenido]],Estructura!$E$4:$G$500,3,0)</f>
        <v>C-997</v>
      </c>
      <c r="Z114" s="93" t="str">
        <f>+VLOOKUP(Agencia[[#This Row],[Filtro Integrado]],Estructura!$I$4:$K$500,3,0)</f>
        <v>FI-993</v>
      </c>
      <c r="AA114" s="93" t="str">
        <f>+VLOOKUP(Agencia[[#This Row],[Muestra]],Estructura!$M$4:$O$500,3,0)</f>
        <v>M-1035</v>
      </c>
    </row>
    <row r="115" spans="1:27" ht="40.799999999999997" x14ac:dyDescent="0.3">
      <c r="A115" s="21" t="s">
        <v>505</v>
      </c>
      <c r="B115" s="23">
        <f t="shared" ref="B115:C128" si="61">+B114</f>
        <v>990</v>
      </c>
      <c r="C115" s="24" t="str">
        <f t="shared" si="61"/>
        <v>Agencia Información</v>
      </c>
      <c r="D115" s="72" t="s">
        <v>459</v>
      </c>
      <c r="E115" s="14">
        <v>0</v>
      </c>
      <c r="F115" s="10" t="s">
        <v>577</v>
      </c>
      <c r="G115" s="10" t="s">
        <v>1877</v>
      </c>
      <c r="H115" s="31" t="s">
        <v>20</v>
      </c>
      <c r="I115" s="32" t="s">
        <v>15</v>
      </c>
      <c r="J115" s="9" t="s">
        <v>16</v>
      </c>
      <c r="K115" s="9" t="s">
        <v>801</v>
      </c>
      <c r="L115" s="9" t="s">
        <v>578</v>
      </c>
      <c r="M115" s="9" t="s">
        <v>579</v>
      </c>
      <c r="N115" s="9" t="s">
        <v>580</v>
      </c>
      <c r="O115" s="20" t="str">
        <f>"Sentencias Dictadas por delitos de Abuso Sexual en "&amp;Agencia[[#This Row],[territorio]]&amp;" para el "&amp;Agencia[[#This Row],[temporalidad]]</f>
        <v>Sentencias Dictadas por delitos de Abuso Sexual en Chile para el Periodo 2013-2019</v>
      </c>
      <c r="P115" s="112" t="s">
        <v>6870</v>
      </c>
      <c r="Q115" s="11" t="s">
        <v>784</v>
      </c>
      <c r="R115" s="20" t="str">
        <f>Agencia[[#This Row],[territorio]]&amp;",violencia,mujer,abuso,sexual,sentencia,menor,juzgado,"&amp;Agencia[[#This Row],[coleccion]]&amp;","&amp;Agencia[[#This Row],[sector]]&amp;","&amp;Agencia[[#This Row],[tema]]&amp;","&amp;Agencia[[#This Row],[contenido]]</f>
        <v>Chile,violencia,mujer,abuso,sexual,sentencia,menor,juzgado,Agencia Información,Mujeres,Abuso sexual,Violencia Contra la Mujer</v>
      </c>
      <c r="S115" s="37" t="s">
        <v>1527</v>
      </c>
      <c r="T115" s="108" t="s">
        <v>805</v>
      </c>
      <c r="U115" s="46" t="str">
        <f t="shared" ref="U115:U161" si="62">+U114</f>
        <v>#1774B9</v>
      </c>
      <c r="V115" s="93" t="str">
        <f>+Agencia[[#This Row],[idcoleccion]]&amp;"-"&amp;Agencia[[#This Row],[id]]</f>
        <v>990-0104</v>
      </c>
      <c r="W115" s="93">
        <f>+VLOOKUP(Agencia[[#This Row],[Filtro URL]],Estructura!$X$4:$Y$500,2,0)</f>
        <v>99100000</v>
      </c>
      <c r="X115" s="93" t="str">
        <f>+VLOOKUP(Agencia[[#This Row],[tema]],Estructura!$A$4:$C$500,3,0)</f>
        <v>T-1021</v>
      </c>
      <c r="Y115" s="93" t="str">
        <f>+VLOOKUP(Agencia[[#This Row],[contenido]],Estructura!$E$4:$G$500,3,0)</f>
        <v>C-996</v>
      </c>
      <c r="Z115" s="93" t="str">
        <f>+VLOOKUP(Agencia[[#This Row],[Filtro Integrado]],Estructura!$I$4:$K$500,3,0)</f>
        <v>FI-992</v>
      </c>
      <c r="AA115" s="93" t="str">
        <f>+VLOOKUP(Agencia[[#This Row],[Muestra]],Estructura!$M$4:$O$500,3,0)</f>
        <v>M-992</v>
      </c>
    </row>
    <row r="116" spans="1:27" ht="57.6" x14ac:dyDescent="0.3">
      <c r="A116" s="21" t="s">
        <v>506</v>
      </c>
      <c r="B116" s="23">
        <f t="shared" si="61"/>
        <v>990</v>
      </c>
      <c r="C116" s="24" t="str">
        <f t="shared" si="61"/>
        <v>Agencia Información</v>
      </c>
      <c r="D116" s="72" t="str">
        <f t="shared" si="54"/>
        <v>Mujeres</v>
      </c>
      <c r="E116" s="19">
        <v>1</v>
      </c>
      <c r="F116" s="10" t="s">
        <v>577</v>
      </c>
      <c r="G116" s="10" t="s">
        <v>1877</v>
      </c>
      <c r="H116" s="33" t="s">
        <v>16</v>
      </c>
      <c r="I116" s="34" t="s">
        <v>368</v>
      </c>
      <c r="J116" s="9" t="s">
        <v>403</v>
      </c>
      <c r="K116" s="9" t="str">
        <f t="shared" si="57"/>
        <v>Sentencias dictadas por delito por región</v>
      </c>
      <c r="L116" s="9" t="str">
        <f t="shared" si="58"/>
        <v>Periodo 2013-2019</v>
      </c>
      <c r="M116" s="9" t="str">
        <f t="shared" si="59"/>
        <v>Número de Sentencias</v>
      </c>
      <c r="N116" s="9" t="str">
        <f t="shared" si="60"/>
        <v>Poder Judicial</v>
      </c>
      <c r="O116" s="20" t="str">
        <f>"Sentencias Dictadas por delitos de Abuso Sexual en la "&amp;Agencia[[#This Row],[territorio]]&amp;" para el "&amp;Agencia[[#This Row],[temporalidad]]</f>
        <v>Sentencias Dictadas por delitos de Abuso Sexual en la Región de Tarapacá para el Periodo 2013-2019</v>
      </c>
      <c r="P116" s="112" t="s">
        <v>6871</v>
      </c>
      <c r="Q116" s="11" t="str">
        <f t="shared" ref="Q116:Q131" si="63">+Q115</f>
        <v>Gráfico de Evolución</v>
      </c>
      <c r="R116" s="148" t="str">
        <f>Agencia[[#This Row],[territorio]]&amp;",violencia,mujer,abuso,sexual,sentencia,menor,juzgado,"&amp;Agencia[[#This Row],[coleccion]]&amp;","&amp;Agencia[[#This Row],[sector]]&amp;","&amp;Agencia[[#This Row],[tema]]&amp;","&amp;Agencia[[#This Row],[contenido]]</f>
        <v>Región de Tarapacá,violencia,mujer,abuso,sexual,sentencia,menor,juzgado,Agencia Información,Mujeres,Abuso sexual,Violencia Contra la Mujer</v>
      </c>
      <c r="S116" s="39" t="str">
        <f>HYPERLINK("https://analytics.zoho.com/open-view/2395394000007166809?ZOHO_CRITERIA=%22Localiza%20CL%22.%22Codreg%22%3D"&amp;Agencia[[#This Row],[Filtro URL]])</f>
        <v>https://analytics.zoho.com/open-view/2395394000007166809?ZOHO_CRITERIA=%22Localiza%20CL%22.%22Codreg%22%3D1</v>
      </c>
      <c r="T116" s="108" t="str">
        <f>"100-R-"&amp;Agencia[[#This Row],[Filtro URL]]</f>
        <v>100-R-1</v>
      </c>
      <c r="U116" s="46" t="str">
        <f t="shared" si="62"/>
        <v>#1774B9</v>
      </c>
      <c r="V116" s="93" t="str">
        <f>+Agencia[[#This Row],[idcoleccion]]&amp;"-"&amp;Agencia[[#This Row],[id]]</f>
        <v>990-0105</v>
      </c>
      <c r="W116" s="93">
        <f>+VLOOKUP(Agencia[[#This Row],[Filtro URL]],Estructura!$X$4:$Y$500,2,0)</f>
        <v>99200001</v>
      </c>
      <c r="X116" s="93" t="str">
        <f>+VLOOKUP(Agencia[[#This Row],[tema]],Estructura!$A$4:$C$500,3,0)</f>
        <v>T-1021</v>
      </c>
      <c r="Y116" s="93" t="str">
        <f>+VLOOKUP(Agencia[[#This Row],[contenido]],Estructura!$E$4:$G$500,3,0)</f>
        <v>C-996</v>
      </c>
      <c r="Z116" s="93" t="str">
        <f>+VLOOKUP(Agencia[[#This Row],[Filtro Integrado]],Estructura!$I$4:$K$500,3,0)</f>
        <v>FI-993</v>
      </c>
      <c r="AA116" s="93" t="str">
        <f>+VLOOKUP(Agencia[[#This Row],[Muestra]],Estructura!$M$4:$O$500,3,0)</f>
        <v>M-992</v>
      </c>
    </row>
    <row r="117" spans="1:27" ht="57.6" x14ac:dyDescent="0.3">
      <c r="A117" s="21" t="s">
        <v>507</v>
      </c>
      <c r="B117" s="23">
        <f t="shared" si="61"/>
        <v>990</v>
      </c>
      <c r="C117" s="24" t="str">
        <f t="shared" si="61"/>
        <v>Agencia Información</v>
      </c>
      <c r="D117" s="72" t="str">
        <f t="shared" si="54"/>
        <v>Mujeres</v>
      </c>
      <c r="E117" s="19">
        <v>2</v>
      </c>
      <c r="F117" s="10" t="s">
        <v>577</v>
      </c>
      <c r="G117" s="10" t="s">
        <v>1877</v>
      </c>
      <c r="H117" s="33" t="s">
        <v>16</v>
      </c>
      <c r="I117" s="34" t="s">
        <v>369</v>
      </c>
      <c r="J117" s="9" t="str">
        <f t="shared" si="56"/>
        <v>Ninguno</v>
      </c>
      <c r="K117" s="9" t="str">
        <f t="shared" si="57"/>
        <v>Sentencias dictadas por delito por región</v>
      </c>
      <c r="L117" s="9" t="str">
        <f t="shared" si="58"/>
        <v>Periodo 2013-2019</v>
      </c>
      <c r="M117" s="9" t="str">
        <f t="shared" si="59"/>
        <v>Número de Sentencias</v>
      </c>
      <c r="N117" s="9" t="str">
        <f t="shared" si="60"/>
        <v>Poder Judicial</v>
      </c>
      <c r="O117" s="20" t="str">
        <f>"Sentencias Dictadas por delitos de Abuso Sexual en la "&amp;Agencia[[#This Row],[territorio]]&amp;" para el "&amp;Agencia[[#This Row],[temporalidad]]</f>
        <v>Sentencias Dictadas por delitos de Abuso Sexual en la Región de Antofagasta para el Periodo 2013-2019</v>
      </c>
      <c r="P117" s="112" t="s">
        <v>6872</v>
      </c>
      <c r="Q117" s="11" t="str">
        <f t="shared" si="63"/>
        <v>Gráfico de Evolución</v>
      </c>
      <c r="R117" s="148" t="str">
        <f>Agencia[[#This Row],[territorio]]&amp;",violencia,mujer,abuso,sexual,sentencia,menor,juzgado,"&amp;Agencia[[#This Row],[coleccion]]&amp;","&amp;Agencia[[#This Row],[sector]]&amp;","&amp;Agencia[[#This Row],[tema]]&amp;","&amp;Agencia[[#This Row],[contenido]]</f>
        <v>Región de Antofagasta,violencia,mujer,abuso,sexual,sentencia,menor,juzgado,Agencia Información,Mujeres,Abuso sexual,Violencia Contra la Mujer</v>
      </c>
      <c r="S117" s="39" t="str">
        <f>HYPERLINK("https://analytics.zoho.com/open-view/2395394000007166809?ZOHO_CRITERIA=%22Localiza%20CL%22.%22Codreg%22%3D"&amp;Agencia[[#This Row],[Filtro URL]])</f>
        <v>https://analytics.zoho.com/open-view/2395394000007166809?ZOHO_CRITERIA=%22Localiza%20CL%22.%22Codreg%22%3D2</v>
      </c>
      <c r="T117" s="108" t="str">
        <f>"100-R-"&amp;Agencia[[#This Row],[Filtro URL]]</f>
        <v>100-R-2</v>
      </c>
      <c r="U117" s="46" t="str">
        <f t="shared" si="62"/>
        <v>#1774B9</v>
      </c>
      <c r="V117" s="93" t="str">
        <f>+Agencia[[#This Row],[idcoleccion]]&amp;"-"&amp;Agencia[[#This Row],[id]]</f>
        <v>990-0106</v>
      </c>
      <c r="W117" s="93">
        <f>+VLOOKUP(Agencia[[#This Row],[Filtro URL]],Estructura!$X$4:$Y$500,2,0)</f>
        <v>99200002</v>
      </c>
      <c r="X117" s="93" t="str">
        <f>+VLOOKUP(Agencia[[#This Row],[tema]],Estructura!$A$4:$C$500,3,0)</f>
        <v>T-1021</v>
      </c>
      <c r="Y117" s="93" t="str">
        <f>+VLOOKUP(Agencia[[#This Row],[contenido]],Estructura!$E$4:$G$500,3,0)</f>
        <v>C-996</v>
      </c>
      <c r="Z117" s="93" t="str">
        <f>+VLOOKUP(Agencia[[#This Row],[Filtro Integrado]],Estructura!$I$4:$K$500,3,0)</f>
        <v>FI-993</v>
      </c>
      <c r="AA117" s="93" t="str">
        <f>+VLOOKUP(Agencia[[#This Row],[Muestra]],Estructura!$M$4:$O$500,3,0)</f>
        <v>M-992</v>
      </c>
    </row>
    <row r="118" spans="1:27" ht="57.6" x14ac:dyDescent="0.3">
      <c r="A118" s="21" t="s">
        <v>508</v>
      </c>
      <c r="B118" s="23">
        <f t="shared" si="61"/>
        <v>990</v>
      </c>
      <c r="C118" s="24" t="str">
        <f t="shared" si="61"/>
        <v>Agencia Información</v>
      </c>
      <c r="D118" s="72" t="str">
        <f t="shared" si="54"/>
        <v>Mujeres</v>
      </c>
      <c r="E118" s="19">
        <v>3</v>
      </c>
      <c r="F118" s="10" t="s">
        <v>577</v>
      </c>
      <c r="G118" s="10" t="s">
        <v>1877</v>
      </c>
      <c r="H118" s="33" t="s">
        <v>16</v>
      </c>
      <c r="I118" s="34" t="s">
        <v>370</v>
      </c>
      <c r="J118" s="9" t="str">
        <f t="shared" si="56"/>
        <v>Ninguno</v>
      </c>
      <c r="K118" s="9" t="str">
        <f t="shared" si="57"/>
        <v>Sentencias dictadas por delito por región</v>
      </c>
      <c r="L118" s="9" t="str">
        <f t="shared" si="58"/>
        <v>Periodo 2013-2019</v>
      </c>
      <c r="M118" s="9" t="str">
        <f t="shared" si="59"/>
        <v>Número de Sentencias</v>
      </c>
      <c r="N118" s="9" t="str">
        <f t="shared" si="60"/>
        <v>Poder Judicial</v>
      </c>
      <c r="O118" s="20" t="str">
        <f>"Sentencias Dictadas por delitos de Abuso Sexual en la "&amp;Agencia[[#This Row],[territorio]]&amp;" para el "&amp;Agencia[[#This Row],[temporalidad]]</f>
        <v>Sentencias Dictadas por delitos de Abuso Sexual en la Región de Atacama para el Periodo 2013-2019</v>
      </c>
      <c r="P118" s="112" t="s">
        <v>6873</v>
      </c>
      <c r="Q118" s="11" t="str">
        <f t="shared" si="63"/>
        <v>Gráfico de Evolución</v>
      </c>
      <c r="R118" s="148" t="str">
        <f>Agencia[[#This Row],[territorio]]&amp;",violencia,mujer,abuso,sexual,sentencia,menor,juzgado,"&amp;Agencia[[#This Row],[coleccion]]&amp;","&amp;Agencia[[#This Row],[sector]]&amp;","&amp;Agencia[[#This Row],[tema]]&amp;","&amp;Agencia[[#This Row],[contenido]]</f>
        <v>Región de Atacama,violencia,mujer,abuso,sexual,sentencia,menor,juzgado,Agencia Información,Mujeres,Abuso sexual,Violencia Contra la Mujer</v>
      </c>
      <c r="S118" s="39" t="str">
        <f>HYPERLINK("https://analytics.zoho.com/open-view/2395394000007166809?ZOHO_CRITERIA=%22Localiza%20CL%22.%22Codreg%22%3D"&amp;Agencia[[#This Row],[Filtro URL]])</f>
        <v>https://analytics.zoho.com/open-view/2395394000007166809?ZOHO_CRITERIA=%22Localiza%20CL%22.%22Codreg%22%3D3</v>
      </c>
      <c r="T118" s="108" t="str">
        <f>"100-R-"&amp;Agencia[[#This Row],[Filtro URL]]</f>
        <v>100-R-3</v>
      </c>
      <c r="U118" s="46" t="str">
        <f t="shared" si="62"/>
        <v>#1774B9</v>
      </c>
      <c r="V118" s="93" t="str">
        <f>+Agencia[[#This Row],[idcoleccion]]&amp;"-"&amp;Agencia[[#This Row],[id]]</f>
        <v>990-0107</v>
      </c>
      <c r="W118" s="93">
        <f>+VLOOKUP(Agencia[[#This Row],[Filtro URL]],Estructura!$X$4:$Y$500,2,0)</f>
        <v>99200003</v>
      </c>
      <c r="X118" s="93" t="str">
        <f>+VLOOKUP(Agencia[[#This Row],[tema]],Estructura!$A$4:$C$500,3,0)</f>
        <v>T-1021</v>
      </c>
      <c r="Y118" s="93" t="str">
        <f>+VLOOKUP(Agencia[[#This Row],[contenido]],Estructura!$E$4:$G$500,3,0)</f>
        <v>C-996</v>
      </c>
      <c r="Z118" s="93" t="str">
        <f>+VLOOKUP(Agencia[[#This Row],[Filtro Integrado]],Estructura!$I$4:$K$500,3,0)</f>
        <v>FI-993</v>
      </c>
      <c r="AA118" s="93" t="str">
        <f>+VLOOKUP(Agencia[[#This Row],[Muestra]],Estructura!$M$4:$O$500,3,0)</f>
        <v>M-992</v>
      </c>
    </row>
    <row r="119" spans="1:27" ht="57.6" x14ac:dyDescent="0.3">
      <c r="A119" s="21" t="s">
        <v>509</v>
      </c>
      <c r="B119" s="23">
        <f t="shared" si="61"/>
        <v>990</v>
      </c>
      <c r="C119" s="24" t="str">
        <f t="shared" si="61"/>
        <v>Agencia Información</v>
      </c>
      <c r="D119" s="72" t="str">
        <f t="shared" si="54"/>
        <v>Mujeres</v>
      </c>
      <c r="E119" s="19">
        <v>4</v>
      </c>
      <c r="F119" s="10" t="s">
        <v>577</v>
      </c>
      <c r="G119" s="10" t="s">
        <v>1877</v>
      </c>
      <c r="H119" s="33" t="s">
        <v>16</v>
      </c>
      <c r="I119" s="34" t="s">
        <v>371</v>
      </c>
      <c r="J119" s="9" t="str">
        <f t="shared" si="56"/>
        <v>Ninguno</v>
      </c>
      <c r="K119" s="9" t="str">
        <f t="shared" si="57"/>
        <v>Sentencias dictadas por delito por región</v>
      </c>
      <c r="L119" s="9" t="str">
        <f t="shared" si="58"/>
        <v>Periodo 2013-2019</v>
      </c>
      <c r="M119" s="9" t="str">
        <f t="shared" si="59"/>
        <v>Número de Sentencias</v>
      </c>
      <c r="N119" s="9" t="str">
        <f t="shared" si="60"/>
        <v>Poder Judicial</v>
      </c>
      <c r="O119" s="20" t="str">
        <f>"Sentencias Dictadas por delitos de Abuso Sexual en la "&amp;Agencia[[#This Row],[territorio]]&amp;" para el "&amp;Agencia[[#This Row],[temporalidad]]</f>
        <v>Sentencias Dictadas por delitos de Abuso Sexual en la Región de Coquimbo para el Periodo 2013-2019</v>
      </c>
      <c r="P119" s="112" t="s">
        <v>6874</v>
      </c>
      <c r="Q119" s="11" t="str">
        <f t="shared" si="63"/>
        <v>Gráfico de Evolución</v>
      </c>
      <c r="R119" s="148" t="str">
        <f>Agencia[[#This Row],[territorio]]&amp;",violencia,mujer,abuso,sexual,sentencia,menor,juzgado,"&amp;Agencia[[#This Row],[coleccion]]&amp;","&amp;Agencia[[#This Row],[sector]]&amp;","&amp;Agencia[[#This Row],[tema]]&amp;","&amp;Agencia[[#This Row],[contenido]]</f>
        <v>Región de Coquimbo,violencia,mujer,abuso,sexual,sentencia,menor,juzgado,Agencia Información,Mujeres,Abuso sexual,Violencia Contra la Mujer</v>
      </c>
      <c r="S119" s="39" t="str">
        <f>HYPERLINK("https://analytics.zoho.com/open-view/2395394000007166809?ZOHO_CRITERIA=%22Localiza%20CL%22.%22Codreg%22%3D"&amp;Agencia[[#This Row],[Filtro URL]])</f>
        <v>https://analytics.zoho.com/open-view/2395394000007166809?ZOHO_CRITERIA=%22Localiza%20CL%22.%22Codreg%22%3D4</v>
      </c>
      <c r="T119" s="108" t="str">
        <f>"100-R-"&amp;Agencia[[#This Row],[Filtro URL]]</f>
        <v>100-R-4</v>
      </c>
      <c r="U119" s="46" t="str">
        <f t="shared" si="62"/>
        <v>#1774B9</v>
      </c>
      <c r="V119" s="93" t="str">
        <f>+Agencia[[#This Row],[idcoleccion]]&amp;"-"&amp;Agencia[[#This Row],[id]]</f>
        <v>990-0108</v>
      </c>
      <c r="W119" s="93">
        <f>+VLOOKUP(Agencia[[#This Row],[Filtro URL]],Estructura!$X$4:$Y$500,2,0)</f>
        <v>99200004</v>
      </c>
      <c r="X119" s="93" t="str">
        <f>+VLOOKUP(Agencia[[#This Row],[tema]],Estructura!$A$4:$C$500,3,0)</f>
        <v>T-1021</v>
      </c>
      <c r="Y119" s="93" t="str">
        <f>+VLOOKUP(Agencia[[#This Row],[contenido]],Estructura!$E$4:$G$500,3,0)</f>
        <v>C-996</v>
      </c>
      <c r="Z119" s="93" t="str">
        <f>+VLOOKUP(Agencia[[#This Row],[Filtro Integrado]],Estructura!$I$4:$K$500,3,0)</f>
        <v>FI-993</v>
      </c>
      <c r="AA119" s="93" t="str">
        <f>+VLOOKUP(Agencia[[#This Row],[Muestra]],Estructura!$M$4:$O$500,3,0)</f>
        <v>M-992</v>
      </c>
    </row>
    <row r="120" spans="1:27" ht="57.6" x14ac:dyDescent="0.3">
      <c r="A120" s="21" t="s">
        <v>510</v>
      </c>
      <c r="B120" s="23">
        <f t="shared" si="61"/>
        <v>990</v>
      </c>
      <c r="C120" s="24" t="str">
        <f t="shared" si="61"/>
        <v>Agencia Información</v>
      </c>
      <c r="D120" s="72" t="str">
        <f t="shared" si="54"/>
        <v>Mujeres</v>
      </c>
      <c r="E120" s="19">
        <v>5</v>
      </c>
      <c r="F120" s="10" t="s">
        <v>577</v>
      </c>
      <c r="G120" s="10" t="s">
        <v>1877</v>
      </c>
      <c r="H120" s="33" t="s">
        <v>16</v>
      </c>
      <c r="I120" s="34" t="s">
        <v>372</v>
      </c>
      <c r="J120" s="9" t="str">
        <f t="shared" si="56"/>
        <v>Ninguno</v>
      </c>
      <c r="K120" s="9" t="str">
        <f t="shared" si="57"/>
        <v>Sentencias dictadas por delito por región</v>
      </c>
      <c r="L120" s="9" t="str">
        <f t="shared" si="58"/>
        <v>Periodo 2013-2019</v>
      </c>
      <c r="M120" s="9" t="str">
        <f t="shared" si="59"/>
        <v>Número de Sentencias</v>
      </c>
      <c r="N120" s="9" t="str">
        <f t="shared" si="60"/>
        <v>Poder Judicial</v>
      </c>
      <c r="O120" s="20" t="str">
        <f>"Sentencias Dictadas por delitos de Abuso Sexual en la "&amp;Agencia[[#This Row],[territorio]]&amp;" para el "&amp;Agencia[[#This Row],[temporalidad]]</f>
        <v>Sentencias Dictadas por delitos de Abuso Sexual en la Región de Valparaíso para el Periodo 2013-2019</v>
      </c>
      <c r="P120" s="112" t="s">
        <v>6875</v>
      </c>
      <c r="Q120" s="11" t="str">
        <f t="shared" si="63"/>
        <v>Gráfico de Evolución</v>
      </c>
      <c r="R120" s="148" t="str">
        <f>Agencia[[#This Row],[territorio]]&amp;",violencia,mujer,abuso,sexual,sentencia,menor,juzgado,"&amp;Agencia[[#This Row],[coleccion]]&amp;","&amp;Agencia[[#This Row],[sector]]&amp;","&amp;Agencia[[#This Row],[tema]]&amp;","&amp;Agencia[[#This Row],[contenido]]</f>
        <v>Región de Valparaíso,violencia,mujer,abuso,sexual,sentencia,menor,juzgado,Agencia Información,Mujeres,Abuso sexual,Violencia Contra la Mujer</v>
      </c>
      <c r="S120" s="39" t="str">
        <f>HYPERLINK("https://analytics.zoho.com/open-view/2395394000007166809?ZOHO_CRITERIA=%22Localiza%20CL%22.%22Codreg%22%3D"&amp;Agencia[[#This Row],[Filtro URL]])</f>
        <v>https://analytics.zoho.com/open-view/2395394000007166809?ZOHO_CRITERIA=%22Localiza%20CL%22.%22Codreg%22%3D5</v>
      </c>
      <c r="T120" s="108" t="str">
        <f>"100-R-"&amp;Agencia[[#This Row],[Filtro URL]]</f>
        <v>100-R-5</v>
      </c>
      <c r="U120" s="46" t="str">
        <f t="shared" si="62"/>
        <v>#1774B9</v>
      </c>
      <c r="V120" s="93" t="str">
        <f>+Agencia[[#This Row],[idcoleccion]]&amp;"-"&amp;Agencia[[#This Row],[id]]</f>
        <v>990-0109</v>
      </c>
      <c r="W120" s="93">
        <f>+VLOOKUP(Agencia[[#This Row],[Filtro URL]],Estructura!$X$4:$Y$500,2,0)</f>
        <v>99200005</v>
      </c>
      <c r="X120" s="93" t="str">
        <f>+VLOOKUP(Agencia[[#This Row],[tema]],Estructura!$A$4:$C$500,3,0)</f>
        <v>T-1021</v>
      </c>
      <c r="Y120" s="93" t="str">
        <f>+VLOOKUP(Agencia[[#This Row],[contenido]],Estructura!$E$4:$G$500,3,0)</f>
        <v>C-996</v>
      </c>
      <c r="Z120" s="93" t="str">
        <f>+VLOOKUP(Agencia[[#This Row],[Filtro Integrado]],Estructura!$I$4:$K$500,3,0)</f>
        <v>FI-993</v>
      </c>
      <c r="AA120" s="93" t="str">
        <f>+VLOOKUP(Agencia[[#This Row],[Muestra]],Estructura!$M$4:$O$500,3,0)</f>
        <v>M-992</v>
      </c>
    </row>
    <row r="121" spans="1:27" ht="57.6" x14ac:dyDescent="0.3">
      <c r="A121" s="21" t="s">
        <v>511</v>
      </c>
      <c r="B121" s="23">
        <f t="shared" si="61"/>
        <v>990</v>
      </c>
      <c r="C121" s="24" t="str">
        <f t="shared" si="61"/>
        <v>Agencia Información</v>
      </c>
      <c r="D121" s="72" t="str">
        <f t="shared" si="54"/>
        <v>Mujeres</v>
      </c>
      <c r="E121" s="19">
        <v>6</v>
      </c>
      <c r="F121" s="10" t="s">
        <v>577</v>
      </c>
      <c r="G121" s="10" t="s">
        <v>1877</v>
      </c>
      <c r="H121" s="33" t="s">
        <v>16</v>
      </c>
      <c r="I121" s="34" t="s">
        <v>373</v>
      </c>
      <c r="J121" s="9" t="str">
        <f t="shared" si="56"/>
        <v>Ninguno</v>
      </c>
      <c r="K121" s="9" t="str">
        <f t="shared" si="57"/>
        <v>Sentencias dictadas por delito por región</v>
      </c>
      <c r="L121" s="9" t="str">
        <f t="shared" si="58"/>
        <v>Periodo 2013-2019</v>
      </c>
      <c r="M121" s="9" t="str">
        <f t="shared" si="59"/>
        <v>Número de Sentencias</v>
      </c>
      <c r="N121" s="9" t="str">
        <f t="shared" si="60"/>
        <v>Poder Judicial</v>
      </c>
      <c r="O121" s="20" t="str">
        <f>"Sentencias Dictadas por delitos de Abuso Sexual en la "&amp;Agencia[[#This Row],[territorio]]&amp;" para el "&amp;Agencia[[#This Row],[temporalidad]]</f>
        <v>Sentencias Dictadas por delitos de Abuso Sexual en la Región de O'Higgins para el Periodo 2013-2019</v>
      </c>
      <c r="P121" s="112" t="s">
        <v>6876</v>
      </c>
      <c r="Q121" s="11" t="str">
        <f t="shared" si="63"/>
        <v>Gráfico de Evolución</v>
      </c>
      <c r="R121" s="148" t="str">
        <f>Agencia[[#This Row],[territorio]]&amp;",violencia,mujer,abuso,sexual,sentencia,menor,juzgado,"&amp;Agencia[[#This Row],[coleccion]]&amp;","&amp;Agencia[[#This Row],[sector]]&amp;","&amp;Agencia[[#This Row],[tema]]&amp;","&amp;Agencia[[#This Row],[contenido]]</f>
        <v>Región de O'Higgins,violencia,mujer,abuso,sexual,sentencia,menor,juzgado,Agencia Información,Mujeres,Abuso sexual,Violencia Contra la Mujer</v>
      </c>
      <c r="S121" s="39" t="str">
        <f>HYPERLINK("https://analytics.zoho.com/open-view/2395394000007166809?ZOHO_CRITERIA=%22Localiza%20CL%22.%22Codreg%22%3D"&amp;Agencia[[#This Row],[Filtro URL]])</f>
        <v>https://analytics.zoho.com/open-view/2395394000007166809?ZOHO_CRITERIA=%22Localiza%20CL%22.%22Codreg%22%3D6</v>
      </c>
      <c r="T121" s="108" t="str">
        <f>"100-R-"&amp;Agencia[[#This Row],[Filtro URL]]</f>
        <v>100-R-6</v>
      </c>
      <c r="U121" s="46" t="str">
        <f t="shared" si="62"/>
        <v>#1774B9</v>
      </c>
      <c r="V121" s="93" t="str">
        <f>+Agencia[[#This Row],[idcoleccion]]&amp;"-"&amp;Agencia[[#This Row],[id]]</f>
        <v>990-0110</v>
      </c>
      <c r="W121" s="93">
        <f>+VLOOKUP(Agencia[[#This Row],[Filtro URL]],Estructura!$X$4:$Y$500,2,0)</f>
        <v>99200006</v>
      </c>
      <c r="X121" s="93" t="str">
        <f>+VLOOKUP(Agencia[[#This Row],[tema]],Estructura!$A$4:$C$500,3,0)</f>
        <v>T-1021</v>
      </c>
      <c r="Y121" s="93" t="str">
        <f>+VLOOKUP(Agencia[[#This Row],[contenido]],Estructura!$E$4:$G$500,3,0)</f>
        <v>C-996</v>
      </c>
      <c r="Z121" s="93" t="str">
        <f>+VLOOKUP(Agencia[[#This Row],[Filtro Integrado]],Estructura!$I$4:$K$500,3,0)</f>
        <v>FI-993</v>
      </c>
      <c r="AA121" s="93" t="str">
        <f>+VLOOKUP(Agencia[[#This Row],[Muestra]],Estructura!$M$4:$O$500,3,0)</f>
        <v>M-992</v>
      </c>
    </row>
    <row r="122" spans="1:27" ht="57.6" x14ac:dyDescent="0.3">
      <c r="A122" s="21" t="s">
        <v>512</v>
      </c>
      <c r="B122" s="23">
        <f t="shared" si="61"/>
        <v>990</v>
      </c>
      <c r="C122" s="24" t="str">
        <f t="shared" si="61"/>
        <v>Agencia Información</v>
      </c>
      <c r="D122" s="72" t="str">
        <f t="shared" si="54"/>
        <v>Mujeres</v>
      </c>
      <c r="E122" s="19">
        <v>7</v>
      </c>
      <c r="F122" s="10" t="s">
        <v>577</v>
      </c>
      <c r="G122" s="10" t="s">
        <v>1877</v>
      </c>
      <c r="H122" s="33" t="s">
        <v>16</v>
      </c>
      <c r="I122" s="34" t="s">
        <v>374</v>
      </c>
      <c r="J122" s="9" t="str">
        <f t="shared" si="56"/>
        <v>Ninguno</v>
      </c>
      <c r="K122" s="9" t="str">
        <f t="shared" si="57"/>
        <v>Sentencias dictadas por delito por región</v>
      </c>
      <c r="L122" s="9" t="str">
        <f t="shared" si="58"/>
        <v>Periodo 2013-2019</v>
      </c>
      <c r="M122" s="9" t="str">
        <f t="shared" si="59"/>
        <v>Número de Sentencias</v>
      </c>
      <c r="N122" s="9" t="str">
        <f t="shared" si="60"/>
        <v>Poder Judicial</v>
      </c>
      <c r="O122" s="20" t="str">
        <f>"Sentencias Dictadas por delitos de Abuso Sexual en la "&amp;Agencia[[#This Row],[territorio]]&amp;" para el "&amp;Agencia[[#This Row],[temporalidad]]</f>
        <v>Sentencias Dictadas por delitos de Abuso Sexual en la Región de Maule para el Periodo 2013-2019</v>
      </c>
      <c r="P122" s="112" t="s">
        <v>6877</v>
      </c>
      <c r="Q122" s="11" t="str">
        <f t="shared" si="63"/>
        <v>Gráfico de Evolución</v>
      </c>
      <c r="R122" s="148" t="str">
        <f>Agencia[[#This Row],[territorio]]&amp;",violencia,mujer,abuso,sexual,sentencia,menor,juzgado,"&amp;Agencia[[#This Row],[coleccion]]&amp;","&amp;Agencia[[#This Row],[sector]]&amp;","&amp;Agencia[[#This Row],[tema]]&amp;","&amp;Agencia[[#This Row],[contenido]]</f>
        <v>Región de Maule,violencia,mujer,abuso,sexual,sentencia,menor,juzgado,Agencia Información,Mujeres,Abuso sexual,Violencia Contra la Mujer</v>
      </c>
      <c r="S122" s="39" t="str">
        <f>HYPERLINK("https://analytics.zoho.com/open-view/2395394000007166809?ZOHO_CRITERIA=%22Localiza%20CL%22.%22Codreg%22%3D"&amp;Agencia[[#This Row],[Filtro URL]])</f>
        <v>https://analytics.zoho.com/open-view/2395394000007166809?ZOHO_CRITERIA=%22Localiza%20CL%22.%22Codreg%22%3D7</v>
      </c>
      <c r="T122" s="108" t="str">
        <f>"100-R-"&amp;Agencia[[#This Row],[Filtro URL]]</f>
        <v>100-R-7</v>
      </c>
      <c r="U122" s="46" t="str">
        <f t="shared" si="62"/>
        <v>#1774B9</v>
      </c>
      <c r="V122" s="93" t="str">
        <f>+Agencia[[#This Row],[idcoleccion]]&amp;"-"&amp;Agencia[[#This Row],[id]]</f>
        <v>990-0111</v>
      </c>
      <c r="W122" s="93">
        <f>+VLOOKUP(Agencia[[#This Row],[Filtro URL]],Estructura!$X$4:$Y$500,2,0)</f>
        <v>99200007</v>
      </c>
      <c r="X122" s="93" t="str">
        <f>+VLOOKUP(Agencia[[#This Row],[tema]],Estructura!$A$4:$C$500,3,0)</f>
        <v>T-1021</v>
      </c>
      <c r="Y122" s="93" t="str">
        <f>+VLOOKUP(Agencia[[#This Row],[contenido]],Estructura!$E$4:$G$500,3,0)</f>
        <v>C-996</v>
      </c>
      <c r="Z122" s="93" t="str">
        <f>+VLOOKUP(Agencia[[#This Row],[Filtro Integrado]],Estructura!$I$4:$K$500,3,0)</f>
        <v>FI-993</v>
      </c>
      <c r="AA122" s="93" t="str">
        <f>+VLOOKUP(Agencia[[#This Row],[Muestra]],Estructura!$M$4:$O$500,3,0)</f>
        <v>M-992</v>
      </c>
    </row>
    <row r="123" spans="1:27" ht="57.6" x14ac:dyDescent="0.3">
      <c r="A123" s="21" t="s">
        <v>513</v>
      </c>
      <c r="B123" s="23">
        <f t="shared" si="61"/>
        <v>990</v>
      </c>
      <c r="C123" s="24" t="str">
        <f t="shared" si="61"/>
        <v>Agencia Información</v>
      </c>
      <c r="D123" s="72" t="str">
        <f t="shared" si="54"/>
        <v>Mujeres</v>
      </c>
      <c r="E123" s="19">
        <v>8</v>
      </c>
      <c r="F123" s="10" t="s">
        <v>577</v>
      </c>
      <c r="G123" s="10" t="s">
        <v>1877</v>
      </c>
      <c r="H123" s="33" t="s">
        <v>16</v>
      </c>
      <c r="I123" s="34" t="s">
        <v>375</v>
      </c>
      <c r="J123" s="9" t="str">
        <f t="shared" si="56"/>
        <v>Ninguno</v>
      </c>
      <c r="K123" s="9" t="str">
        <f t="shared" si="57"/>
        <v>Sentencias dictadas por delito por región</v>
      </c>
      <c r="L123" s="9" t="str">
        <f t="shared" si="58"/>
        <v>Periodo 2013-2019</v>
      </c>
      <c r="M123" s="9" t="str">
        <f t="shared" si="59"/>
        <v>Número de Sentencias</v>
      </c>
      <c r="N123" s="9" t="str">
        <f t="shared" si="60"/>
        <v>Poder Judicial</v>
      </c>
      <c r="O123" s="20" t="str">
        <f>"Sentencias Dictadas por delitos de Abuso Sexual en la "&amp;Agencia[[#This Row],[territorio]]&amp;" para el "&amp;Agencia[[#This Row],[temporalidad]]</f>
        <v>Sentencias Dictadas por delitos de Abuso Sexual en la Región del Biobío para el Periodo 2013-2019</v>
      </c>
      <c r="P123" s="112" t="s">
        <v>6878</v>
      </c>
      <c r="Q123" s="11" t="str">
        <f t="shared" si="63"/>
        <v>Gráfico de Evolución</v>
      </c>
      <c r="R123" s="148" t="str">
        <f>Agencia[[#This Row],[territorio]]&amp;",violencia,mujer,abuso,sexual,sentencia,menor,juzgado,"&amp;Agencia[[#This Row],[coleccion]]&amp;","&amp;Agencia[[#This Row],[sector]]&amp;","&amp;Agencia[[#This Row],[tema]]&amp;","&amp;Agencia[[#This Row],[contenido]]</f>
        <v>Región del Biobío,violencia,mujer,abuso,sexual,sentencia,menor,juzgado,Agencia Información,Mujeres,Abuso sexual,Violencia Contra la Mujer</v>
      </c>
      <c r="S123" s="39" t="str">
        <f>HYPERLINK("https://analytics.zoho.com/open-view/2395394000007166809?ZOHO_CRITERIA=%22Localiza%20CL%22.%22Codreg%22%3D"&amp;Agencia[[#This Row],[Filtro URL]])</f>
        <v>https://analytics.zoho.com/open-view/2395394000007166809?ZOHO_CRITERIA=%22Localiza%20CL%22.%22Codreg%22%3D8</v>
      </c>
      <c r="T123" s="108" t="str">
        <f>"100-R-"&amp;Agencia[[#This Row],[Filtro URL]]</f>
        <v>100-R-8</v>
      </c>
      <c r="U123" s="46" t="str">
        <f t="shared" si="62"/>
        <v>#1774B9</v>
      </c>
      <c r="V123" s="93" t="str">
        <f>+Agencia[[#This Row],[idcoleccion]]&amp;"-"&amp;Agencia[[#This Row],[id]]</f>
        <v>990-0112</v>
      </c>
      <c r="W123" s="93">
        <f>+VLOOKUP(Agencia[[#This Row],[Filtro URL]],Estructura!$X$4:$Y$500,2,0)</f>
        <v>99200008</v>
      </c>
      <c r="X123" s="93" t="str">
        <f>+VLOOKUP(Agencia[[#This Row],[tema]],Estructura!$A$4:$C$500,3,0)</f>
        <v>T-1021</v>
      </c>
      <c r="Y123" s="93" t="str">
        <f>+VLOOKUP(Agencia[[#This Row],[contenido]],Estructura!$E$4:$G$500,3,0)</f>
        <v>C-996</v>
      </c>
      <c r="Z123" s="93" t="str">
        <f>+VLOOKUP(Agencia[[#This Row],[Filtro Integrado]],Estructura!$I$4:$K$500,3,0)</f>
        <v>FI-993</v>
      </c>
      <c r="AA123" s="93" t="str">
        <f>+VLOOKUP(Agencia[[#This Row],[Muestra]],Estructura!$M$4:$O$500,3,0)</f>
        <v>M-992</v>
      </c>
    </row>
    <row r="124" spans="1:27" ht="57.6" x14ac:dyDescent="0.3">
      <c r="A124" s="21" t="s">
        <v>514</v>
      </c>
      <c r="B124" s="23">
        <f t="shared" si="61"/>
        <v>990</v>
      </c>
      <c r="C124" s="24" t="str">
        <f t="shared" si="61"/>
        <v>Agencia Información</v>
      </c>
      <c r="D124" s="72" t="str">
        <f t="shared" si="54"/>
        <v>Mujeres</v>
      </c>
      <c r="E124" s="19">
        <v>9</v>
      </c>
      <c r="F124" s="10" t="s">
        <v>577</v>
      </c>
      <c r="G124" s="10" t="s">
        <v>1877</v>
      </c>
      <c r="H124" s="33" t="s">
        <v>16</v>
      </c>
      <c r="I124" s="34" t="s">
        <v>376</v>
      </c>
      <c r="J124" s="9" t="str">
        <f t="shared" si="56"/>
        <v>Ninguno</v>
      </c>
      <c r="K124" s="9" t="str">
        <f t="shared" si="57"/>
        <v>Sentencias dictadas por delito por región</v>
      </c>
      <c r="L124" s="9" t="str">
        <f t="shared" si="58"/>
        <v>Periodo 2013-2019</v>
      </c>
      <c r="M124" s="9" t="str">
        <f t="shared" si="59"/>
        <v>Número de Sentencias</v>
      </c>
      <c r="N124" s="9" t="str">
        <f t="shared" si="60"/>
        <v>Poder Judicial</v>
      </c>
      <c r="O124" s="20" t="str">
        <f>"Sentencias Dictadas por delitos de Abuso Sexual en la "&amp;Agencia[[#This Row],[territorio]]&amp;" para el "&amp;Agencia[[#This Row],[temporalidad]]</f>
        <v>Sentencias Dictadas por delitos de Abuso Sexual en la Región de La Araucanía para el Periodo 2013-2019</v>
      </c>
      <c r="P124" s="112" t="s">
        <v>6879</v>
      </c>
      <c r="Q124" s="11" t="str">
        <f t="shared" si="63"/>
        <v>Gráfico de Evolución</v>
      </c>
      <c r="R124" s="148" t="str">
        <f>Agencia[[#This Row],[territorio]]&amp;",violencia,mujer,abuso,sexual,sentencia,menor,juzgado,"&amp;Agencia[[#This Row],[coleccion]]&amp;","&amp;Agencia[[#This Row],[sector]]&amp;","&amp;Agencia[[#This Row],[tema]]&amp;","&amp;Agencia[[#This Row],[contenido]]</f>
        <v>Región de La Araucanía,violencia,mujer,abuso,sexual,sentencia,menor,juzgado,Agencia Información,Mujeres,Abuso sexual,Violencia Contra la Mujer</v>
      </c>
      <c r="S124" s="39" t="str">
        <f>HYPERLINK("https://analytics.zoho.com/open-view/2395394000007166809?ZOHO_CRITERIA=%22Localiza%20CL%22.%22Codreg%22%3D"&amp;Agencia[[#This Row],[Filtro URL]])</f>
        <v>https://analytics.zoho.com/open-view/2395394000007166809?ZOHO_CRITERIA=%22Localiza%20CL%22.%22Codreg%22%3D9</v>
      </c>
      <c r="T124" s="108" t="str">
        <f>"100-R-"&amp;Agencia[[#This Row],[Filtro URL]]</f>
        <v>100-R-9</v>
      </c>
      <c r="U124" s="46" t="str">
        <f t="shared" si="62"/>
        <v>#1774B9</v>
      </c>
      <c r="V124" s="93" t="str">
        <f>+Agencia[[#This Row],[idcoleccion]]&amp;"-"&amp;Agencia[[#This Row],[id]]</f>
        <v>990-0113</v>
      </c>
      <c r="W124" s="93">
        <f>+VLOOKUP(Agencia[[#This Row],[Filtro URL]],Estructura!$X$4:$Y$500,2,0)</f>
        <v>99200009</v>
      </c>
      <c r="X124" s="93" t="str">
        <f>+VLOOKUP(Agencia[[#This Row],[tema]],Estructura!$A$4:$C$500,3,0)</f>
        <v>T-1021</v>
      </c>
      <c r="Y124" s="93" t="str">
        <f>+VLOOKUP(Agencia[[#This Row],[contenido]],Estructura!$E$4:$G$500,3,0)</f>
        <v>C-996</v>
      </c>
      <c r="Z124" s="93" t="str">
        <f>+VLOOKUP(Agencia[[#This Row],[Filtro Integrado]],Estructura!$I$4:$K$500,3,0)</f>
        <v>FI-993</v>
      </c>
      <c r="AA124" s="93" t="str">
        <f>+VLOOKUP(Agencia[[#This Row],[Muestra]],Estructura!$M$4:$O$500,3,0)</f>
        <v>M-992</v>
      </c>
    </row>
    <row r="125" spans="1:27" ht="57.6" x14ac:dyDescent="0.3">
      <c r="A125" s="21" t="s">
        <v>515</v>
      </c>
      <c r="B125" s="23">
        <f t="shared" si="61"/>
        <v>990</v>
      </c>
      <c r="C125" s="24" t="str">
        <f t="shared" si="61"/>
        <v>Agencia Información</v>
      </c>
      <c r="D125" s="72" t="str">
        <f t="shared" si="54"/>
        <v>Mujeres</v>
      </c>
      <c r="E125" s="19">
        <v>10</v>
      </c>
      <c r="F125" s="10" t="s">
        <v>577</v>
      </c>
      <c r="G125" s="10" t="s">
        <v>1877</v>
      </c>
      <c r="H125" s="33" t="s">
        <v>16</v>
      </c>
      <c r="I125" s="34" t="s">
        <v>377</v>
      </c>
      <c r="J125" s="9" t="str">
        <f t="shared" si="56"/>
        <v>Ninguno</v>
      </c>
      <c r="K125" s="9" t="str">
        <f t="shared" si="57"/>
        <v>Sentencias dictadas por delito por región</v>
      </c>
      <c r="L125" s="9" t="str">
        <f t="shared" si="58"/>
        <v>Periodo 2013-2019</v>
      </c>
      <c r="M125" s="9" t="str">
        <f t="shared" si="59"/>
        <v>Número de Sentencias</v>
      </c>
      <c r="N125" s="9" t="str">
        <f t="shared" si="60"/>
        <v>Poder Judicial</v>
      </c>
      <c r="O125" s="20" t="str">
        <f>"Sentencias Dictadas por delitos de Abuso Sexual en la "&amp;Agencia[[#This Row],[territorio]]&amp;" para el "&amp;Agencia[[#This Row],[temporalidad]]</f>
        <v>Sentencias Dictadas por delitos de Abuso Sexual en la Región de Los Lagos para el Periodo 2013-2019</v>
      </c>
      <c r="P125" s="112" t="s">
        <v>6880</v>
      </c>
      <c r="Q125" s="11" t="str">
        <f t="shared" si="63"/>
        <v>Gráfico de Evolución</v>
      </c>
      <c r="R125" s="148" t="str">
        <f>Agencia[[#This Row],[territorio]]&amp;",violencia,mujer,abuso,sexual,sentencia,menor,juzgado,"&amp;Agencia[[#This Row],[coleccion]]&amp;","&amp;Agencia[[#This Row],[sector]]&amp;","&amp;Agencia[[#This Row],[tema]]&amp;","&amp;Agencia[[#This Row],[contenido]]</f>
        <v>Región de Los Lagos,violencia,mujer,abuso,sexual,sentencia,menor,juzgado,Agencia Información,Mujeres,Abuso sexual,Violencia Contra la Mujer</v>
      </c>
      <c r="S125" s="39" t="str">
        <f>HYPERLINK("https://analytics.zoho.com/open-view/2395394000007166809?ZOHO_CRITERIA=%22Localiza%20CL%22.%22Codreg%22%3D"&amp;Agencia[[#This Row],[Filtro URL]])</f>
        <v>https://analytics.zoho.com/open-view/2395394000007166809?ZOHO_CRITERIA=%22Localiza%20CL%22.%22Codreg%22%3D10</v>
      </c>
      <c r="T125" s="108" t="str">
        <f>"100-R-"&amp;Agencia[[#This Row],[Filtro URL]]</f>
        <v>100-R-10</v>
      </c>
      <c r="U125" s="46" t="str">
        <f t="shared" si="62"/>
        <v>#1774B9</v>
      </c>
      <c r="V125" s="93" t="str">
        <f>+Agencia[[#This Row],[idcoleccion]]&amp;"-"&amp;Agencia[[#This Row],[id]]</f>
        <v>990-0114</v>
      </c>
      <c r="W125" s="93">
        <f>+VLOOKUP(Agencia[[#This Row],[Filtro URL]],Estructura!$X$4:$Y$500,2,0)</f>
        <v>99200010</v>
      </c>
      <c r="X125" s="93" t="str">
        <f>+VLOOKUP(Agencia[[#This Row],[tema]],Estructura!$A$4:$C$500,3,0)</f>
        <v>T-1021</v>
      </c>
      <c r="Y125" s="93" t="str">
        <f>+VLOOKUP(Agencia[[#This Row],[contenido]],Estructura!$E$4:$G$500,3,0)</f>
        <v>C-996</v>
      </c>
      <c r="Z125" s="93" t="str">
        <f>+VLOOKUP(Agencia[[#This Row],[Filtro Integrado]],Estructura!$I$4:$K$500,3,0)</f>
        <v>FI-993</v>
      </c>
      <c r="AA125" s="93" t="str">
        <f>+VLOOKUP(Agencia[[#This Row],[Muestra]],Estructura!$M$4:$O$500,3,0)</f>
        <v>M-992</v>
      </c>
    </row>
    <row r="126" spans="1:27" ht="57.6" x14ac:dyDescent="0.3">
      <c r="A126" s="21" t="s">
        <v>516</v>
      </c>
      <c r="B126" s="23">
        <f t="shared" si="61"/>
        <v>990</v>
      </c>
      <c r="C126" s="24" t="str">
        <f t="shared" si="61"/>
        <v>Agencia Información</v>
      </c>
      <c r="D126" s="72" t="str">
        <f t="shared" si="54"/>
        <v>Mujeres</v>
      </c>
      <c r="E126" s="19">
        <v>11</v>
      </c>
      <c r="F126" s="10" t="s">
        <v>577</v>
      </c>
      <c r="G126" s="10" t="s">
        <v>1877</v>
      </c>
      <c r="H126" s="33" t="s">
        <v>16</v>
      </c>
      <c r="I126" s="34" t="s">
        <v>378</v>
      </c>
      <c r="J126" s="9" t="str">
        <f t="shared" si="56"/>
        <v>Ninguno</v>
      </c>
      <c r="K126" s="9" t="str">
        <f t="shared" si="57"/>
        <v>Sentencias dictadas por delito por región</v>
      </c>
      <c r="L126" s="9" t="str">
        <f t="shared" si="58"/>
        <v>Periodo 2013-2019</v>
      </c>
      <c r="M126" s="9" t="str">
        <f t="shared" si="59"/>
        <v>Número de Sentencias</v>
      </c>
      <c r="N126" s="9" t="str">
        <f t="shared" si="60"/>
        <v>Poder Judicial</v>
      </c>
      <c r="O126" s="20" t="str">
        <f>"Sentencias Dictadas por delitos de Abuso Sexual en la "&amp;Agencia[[#This Row],[territorio]]&amp;" para el "&amp;Agencia[[#This Row],[temporalidad]]</f>
        <v>Sentencias Dictadas por delitos de Abuso Sexual en la Región de Aysén para el Periodo 2013-2019</v>
      </c>
      <c r="P126" s="112" t="s">
        <v>6881</v>
      </c>
      <c r="Q126" s="11" t="str">
        <f t="shared" si="63"/>
        <v>Gráfico de Evolución</v>
      </c>
      <c r="R126" s="148" t="str">
        <f>Agencia[[#This Row],[territorio]]&amp;",violencia,mujer,abuso,sexual,sentencia,menor,juzgado,"&amp;Agencia[[#This Row],[coleccion]]&amp;","&amp;Agencia[[#This Row],[sector]]&amp;","&amp;Agencia[[#This Row],[tema]]&amp;","&amp;Agencia[[#This Row],[contenido]]</f>
        <v>Región de Aysén,violencia,mujer,abuso,sexual,sentencia,menor,juzgado,Agencia Información,Mujeres,Abuso sexual,Violencia Contra la Mujer</v>
      </c>
      <c r="S126" s="39" t="str">
        <f>HYPERLINK("https://analytics.zoho.com/open-view/2395394000007166809?ZOHO_CRITERIA=%22Localiza%20CL%22.%22Codreg%22%3D"&amp;Agencia[[#This Row],[Filtro URL]])</f>
        <v>https://analytics.zoho.com/open-view/2395394000007166809?ZOHO_CRITERIA=%22Localiza%20CL%22.%22Codreg%22%3D11</v>
      </c>
      <c r="T126" s="108" t="str">
        <f>"100-R-"&amp;Agencia[[#This Row],[Filtro URL]]</f>
        <v>100-R-11</v>
      </c>
      <c r="U126" s="46" t="str">
        <f t="shared" si="62"/>
        <v>#1774B9</v>
      </c>
      <c r="V126" s="93" t="str">
        <f>+Agencia[[#This Row],[idcoleccion]]&amp;"-"&amp;Agencia[[#This Row],[id]]</f>
        <v>990-0115</v>
      </c>
      <c r="W126" s="93">
        <f>+VLOOKUP(Agencia[[#This Row],[Filtro URL]],Estructura!$X$4:$Y$500,2,0)</f>
        <v>99200011</v>
      </c>
      <c r="X126" s="93" t="str">
        <f>+VLOOKUP(Agencia[[#This Row],[tema]],Estructura!$A$4:$C$500,3,0)</f>
        <v>T-1021</v>
      </c>
      <c r="Y126" s="93" t="str">
        <f>+VLOOKUP(Agencia[[#This Row],[contenido]],Estructura!$E$4:$G$500,3,0)</f>
        <v>C-996</v>
      </c>
      <c r="Z126" s="93" t="str">
        <f>+VLOOKUP(Agencia[[#This Row],[Filtro Integrado]],Estructura!$I$4:$K$500,3,0)</f>
        <v>FI-993</v>
      </c>
      <c r="AA126" s="93" t="str">
        <f>+VLOOKUP(Agencia[[#This Row],[Muestra]],Estructura!$M$4:$O$500,3,0)</f>
        <v>M-992</v>
      </c>
    </row>
    <row r="127" spans="1:27" ht="57.6" x14ac:dyDescent="0.3">
      <c r="A127" s="21" t="s">
        <v>517</v>
      </c>
      <c r="B127" s="23">
        <f t="shared" si="61"/>
        <v>990</v>
      </c>
      <c r="C127" s="24" t="str">
        <f t="shared" si="61"/>
        <v>Agencia Información</v>
      </c>
      <c r="D127" s="72" t="str">
        <f t="shared" si="54"/>
        <v>Mujeres</v>
      </c>
      <c r="E127" s="19">
        <v>12</v>
      </c>
      <c r="F127" s="10" t="s">
        <v>577</v>
      </c>
      <c r="G127" s="10" t="s">
        <v>1877</v>
      </c>
      <c r="H127" s="33" t="s">
        <v>16</v>
      </c>
      <c r="I127" s="34" t="s">
        <v>379</v>
      </c>
      <c r="J127" s="9" t="str">
        <f t="shared" si="56"/>
        <v>Ninguno</v>
      </c>
      <c r="K127" s="9" t="str">
        <f t="shared" si="57"/>
        <v>Sentencias dictadas por delito por región</v>
      </c>
      <c r="L127" s="9" t="str">
        <f t="shared" si="58"/>
        <v>Periodo 2013-2019</v>
      </c>
      <c r="M127" s="9" t="str">
        <f t="shared" si="59"/>
        <v>Número de Sentencias</v>
      </c>
      <c r="N127" s="9" t="str">
        <f t="shared" si="60"/>
        <v>Poder Judicial</v>
      </c>
      <c r="O127" s="20" t="str">
        <f>"Sentencias Dictadas por delitos de Abuso Sexual en la "&amp;Agencia[[#This Row],[territorio]]&amp;" para el "&amp;Agencia[[#This Row],[temporalidad]]</f>
        <v>Sentencias Dictadas por delitos de Abuso Sexual en la Región de Magallanes para el Periodo 2013-2019</v>
      </c>
      <c r="P127" s="112" t="s">
        <v>6882</v>
      </c>
      <c r="Q127" s="11" t="str">
        <f t="shared" si="63"/>
        <v>Gráfico de Evolución</v>
      </c>
      <c r="R127" s="148" t="str">
        <f>Agencia[[#This Row],[territorio]]&amp;",violencia,mujer,abuso,sexual,sentencia,menor,juzgado,"&amp;Agencia[[#This Row],[coleccion]]&amp;","&amp;Agencia[[#This Row],[sector]]&amp;","&amp;Agencia[[#This Row],[tema]]&amp;","&amp;Agencia[[#This Row],[contenido]]</f>
        <v>Región de Magallanes,violencia,mujer,abuso,sexual,sentencia,menor,juzgado,Agencia Información,Mujeres,Abuso sexual,Violencia Contra la Mujer</v>
      </c>
      <c r="S127" s="39" t="str">
        <f>HYPERLINK("https://analytics.zoho.com/open-view/2395394000007166809?ZOHO_CRITERIA=%22Localiza%20CL%22.%22Codreg%22%3D"&amp;Agencia[[#This Row],[Filtro URL]])</f>
        <v>https://analytics.zoho.com/open-view/2395394000007166809?ZOHO_CRITERIA=%22Localiza%20CL%22.%22Codreg%22%3D12</v>
      </c>
      <c r="T127" s="108" t="str">
        <f>"100-R-"&amp;Agencia[[#This Row],[Filtro URL]]</f>
        <v>100-R-12</v>
      </c>
      <c r="U127" s="46" t="str">
        <f t="shared" si="62"/>
        <v>#1774B9</v>
      </c>
      <c r="V127" s="93" t="str">
        <f>+Agencia[[#This Row],[idcoleccion]]&amp;"-"&amp;Agencia[[#This Row],[id]]</f>
        <v>990-0116</v>
      </c>
      <c r="W127" s="93">
        <f>+VLOOKUP(Agencia[[#This Row],[Filtro URL]],Estructura!$X$4:$Y$500,2,0)</f>
        <v>99200012</v>
      </c>
      <c r="X127" s="93" t="str">
        <f>+VLOOKUP(Agencia[[#This Row],[tema]],Estructura!$A$4:$C$500,3,0)</f>
        <v>T-1021</v>
      </c>
      <c r="Y127" s="93" t="str">
        <f>+VLOOKUP(Agencia[[#This Row],[contenido]],Estructura!$E$4:$G$500,3,0)</f>
        <v>C-996</v>
      </c>
      <c r="Z127" s="93" t="str">
        <f>+VLOOKUP(Agencia[[#This Row],[Filtro Integrado]],Estructura!$I$4:$K$500,3,0)</f>
        <v>FI-993</v>
      </c>
      <c r="AA127" s="93" t="str">
        <f>+VLOOKUP(Agencia[[#This Row],[Muestra]],Estructura!$M$4:$O$500,3,0)</f>
        <v>M-992</v>
      </c>
    </row>
    <row r="128" spans="1:27" ht="57.6" x14ac:dyDescent="0.3">
      <c r="A128" s="21" t="s">
        <v>518</v>
      </c>
      <c r="B128" s="23">
        <f t="shared" si="61"/>
        <v>990</v>
      </c>
      <c r="C128" s="24" t="str">
        <f t="shared" si="61"/>
        <v>Agencia Información</v>
      </c>
      <c r="D128" s="72" t="str">
        <f t="shared" si="54"/>
        <v>Mujeres</v>
      </c>
      <c r="E128" s="19">
        <v>13</v>
      </c>
      <c r="F128" s="10" t="s">
        <v>577</v>
      </c>
      <c r="G128" s="10" t="s">
        <v>1877</v>
      </c>
      <c r="H128" s="33" t="s">
        <v>16</v>
      </c>
      <c r="I128" s="34" t="s">
        <v>380</v>
      </c>
      <c r="J128" s="9" t="str">
        <f t="shared" si="56"/>
        <v>Ninguno</v>
      </c>
      <c r="K128" s="9" t="str">
        <f t="shared" si="57"/>
        <v>Sentencias dictadas por delito por región</v>
      </c>
      <c r="L128" s="9" t="str">
        <f t="shared" si="58"/>
        <v>Periodo 2013-2019</v>
      </c>
      <c r="M128" s="9" t="str">
        <f t="shared" si="59"/>
        <v>Número de Sentencias</v>
      </c>
      <c r="N128" s="9" t="str">
        <f t="shared" si="60"/>
        <v>Poder Judicial</v>
      </c>
      <c r="O128" s="20" t="str">
        <f>"Sentencias Dictadas por delitos de Abuso Sexual en la "&amp;Agencia[[#This Row],[territorio]]&amp;" para el "&amp;Agencia[[#This Row],[temporalidad]]</f>
        <v>Sentencias Dictadas por delitos de Abuso Sexual en la Región Metropolitana para el Periodo 2013-2019</v>
      </c>
      <c r="P128" s="112" t="s">
        <v>6883</v>
      </c>
      <c r="Q128" s="11" t="str">
        <f t="shared" si="63"/>
        <v>Gráfico de Evolución</v>
      </c>
      <c r="R128" s="148" t="str">
        <f>Agencia[[#This Row],[territorio]]&amp;",violencia,mujer,abuso,sexual,sentencia,menor,juzgado,"&amp;Agencia[[#This Row],[coleccion]]&amp;","&amp;Agencia[[#This Row],[sector]]&amp;","&amp;Agencia[[#This Row],[tema]]&amp;","&amp;Agencia[[#This Row],[contenido]]</f>
        <v>Región Metropolitana,violencia,mujer,abuso,sexual,sentencia,menor,juzgado,Agencia Información,Mujeres,Abuso sexual,Violencia Contra la Mujer</v>
      </c>
      <c r="S128" s="39" t="str">
        <f>HYPERLINK("https://analytics.zoho.com/open-view/2395394000007166809?ZOHO_CRITERIA=%22Localiza%20CL%22.%22Codreg%22%3D"&amp;Agencia[[#This Row],[Filtro URL]])</f>
        <v>https://analytics.zoho.com/open-view/2395394000007166809?ZOHO_CRITERIA=%22Localiza%20CL%22.%22Codreg%22%3D13</v>
      </c>
      <c r="T128" s="108" t="str">
        <f>"200-R-"&amp;Agencia[[#This Row],[Filtro URL]]</f>
        <v>200-R-13</v>
      </c>
      <c r="U128" s="46" t="str">
        <f t="shared" si="62"/>
        <v>#1774B9</v>
      </c>
      <c r="V128" s="93" t="str">
        <f>+Agencia[[#This Row],[idcoleccion]]&amp;"-"&amp;Agencia[[#This Row],[id]]</f>
        <v>990-0117</v>
      </c>
      <c r="W128" s="93">
        <f>+VLOOKUP(Agencia[[#This Row],[Filtro URL]],Estructura!$X$4:$Y$500,2,0)</f>
        <v>99200013</v>
      </c>
      <c r="X128" s="93" t="str">
        <f>+VLOOKUP(Agencia[[#This Row],[tema]],Estructura!$A$4:$C$500,3,0)</f>
        <v>T-1021</v>
      </c>
      <c r="Y128" s="93" t="str">
        <f>+VLOOKUP(Agencia[[#This Row],[contenido]],Estructura!$E$4:$G$500,3,0)</f>
        <v>C-996</v>
      </c>
      <c r="Z128" s="93" t="str">
        <f>+VLOOKUP(Agencia[[#This Row],[Filtro Integrado]],Estructura!$I$4:$K$500,3,0)</f>
        <v>FI-993</v>
      </c>
      <c r="AA128" s="93" t="str">
        <f>+VLOOKUP(Agencia[[#This Row],[Muestra]],Estructura!$M$4:$O$500,3,0)</f>
        <v>M-992</v>
      </c>
    </row>
    <row r="129" spans="1:27" ht="57.6" x14ac:dyDescent="0.3">
      <c r="A129" s="21" t="s">
        <v>519</v>
      </c>
      <c r="B129" s="23">
        <f t="shared" ref="B129:C136" si="64">+B128</f>
        <v>990</v>
      </c>
      <c r="C129" s="24" t="str">
        <f t="shared" si="64"/>
        <v>Agencia Información</v>
      </c>
      <c r="D129" s="72" t="str">
        <f t="shared" si="54"/>
        <v>Mujeres</v>
      </c>
      <c r="E129" s="19">
        <v>14</v>
      </c>
      <c r="F129" s="10" t="s">
        <v>577</v>
      </c>
      <c r="G129" s="10" t="s">
        <v>1877</v>
      </c>
      <c r="H129" s="33" t="s">
        <v>16</v>
      </c>
      <c r="I129" s="34" t="s">
        <v>381</v>
      </c>
      <c r="J129" s="9" t="str">
        <f t="shared" si="56"/>
        <v>Ninguno</v>
      </c>
      <c r="K129" s="9" t="str">
        <f t="shared" si="57"/>
        <v>Sentencias dictadas por delito por región</v>
      </c>
      <c r="L129" s="9" t="str">
        <f t="shared" si="58"/>
        <v>Periodo 2013-2019</v>
      </c>
      <c r="M129" s="9" t="str">
        <f t="shared" si="59"/>
        <v>Número de Sentencias</v>
      </c>
      <c r="N129" s="9" t="str">
        <f t="shared" si="60"/>
        <v>Poder Judicial</v>
      </c>
      <c r="O129" s="20" t="str">
        <f>"Sentencias Dictadas por delitos de Abuso Sexual en la "&amp;Agencia[[#This Row],[territorio]]&amp;" para el "&amp;Agencia[[#This Row],[temporalidad]]</f>
        <v>Sentencias Dictadas por delitos de Abuso Sexual en la Región de Los Ríos para el Periodo 2013-2019</v>
      </c>
      <c r="P129" s="112" t="s">
        <v>6884</v>
      </c>
      <c r="Q129" s="11" t="str">
        <f t="shared" si="63"/>
        <v>Gráfico de Evolución</v>
      </c>
      <c r="R129" s="148" t="str">
        <f>Agencia[[#This Row],[territorio]]&amp;",violencia,mujer,abuso,sexual,sentencia,menor,juzgado,"&amp;Agencia[[#This Row],[coleccion]]&amp;","&amp;Agencia[[#This Row],[sector]]&amp;","&amp;Agencia[[#This Row],[tema]]&amp;","&amp;Agencia[[#This Row],[contenido]]</f>
        <v>Región de Los Ríos,violencia,mujer,abuso,sexual,sentencia,menor,juzgado,Agencia Información,Mujeres,Abuso sexual,Violencia Contra la Mujer</v>
      </c>
      <c r="S129" s="39" t="str">
        <f>HYPERLINK("https://analytics.zoho.com/open-view/2395394000007166809?ZOHO_CRITERIA=%22Localiza%20CL%22.%22Codreg%22%3D"&amp;Agencia[[#This Row],[Filtro URL]])</f>
        <v>https://analytics.zoho.com/open-view/2395394000007166809?ZOHO_CRITERIA=%22Localiza%20CL%22.%22Codreg%22%3D14</v>
      </c>
      <c r="T129" s="108" t="str">
        <f>"100-R-"&amp;Agencia[[#This Row],[Filtro URL]]</f>
        <v>100-R-14</v>
      </c>
      <c r="U129" s="46" t="str">
        <f t="shared" si="62"/>
        <v>#1774B9</v>
      </c>
      <c r="V129" s="93" t="str">
        <f>+Agencia[[#This Row],[idcoleccion]]&amp;"-"&amp;Agencia[[#This Row],[id]]</f>
        <v>990-0118</v>
      </c>
      <c r="W129" s="93">
        <f>+VLOOKUP(Agencia[[#This Row],[Filtro URL]],Estructura!$X$4:$Y$500,2,0)</f>
        <v>99200014</v>
      </c>
      <c r="X129" s="93" t="str">
        <f>+VLOOKUP(Agencia[[#This Row],[tema]],Estructura!$A$4:$C$500,3,0)</f>
        <v>T-1021</v>
      </c>
      <c r="Y129" s="93" t="str">
        <f>+VLOOKUP(Agencia[[#This Row],[contenido]],Estructura!$E$4:$G$500,3,0)</f>
        <v>C-996</v>
      </c>
      <c r="Z129" s="93" t="str">
        <f>+VLOOKUP(Agencia[[#This Row],[Filtro Integrado]],Estructura!$I$4:$K$500,3,0)</f>
        <v>FI-993</v>
      </c>
      <c r="AA129" s="93" t="str">
        <f>+VLOOKUP(Agencia[[#This Row],[Muestra]],Estructura!$M$4:$O$500,3,0)</f>
        <v>M-992</v>
      </c>
    </row>
    <row r="130" spans="1:27" ht="57.6" x14ac:dyDescent="0.3">
      <c r="A130" s="21" t="s">
        <v>520</v>
      </c>
      <c r="B130" s="23">
        <f t="shared" si="64"/>
        <v>990</v>
      </c>
      <c r="C130" s="24" t="str">
        <f t="shared" si="64"/>
        <v>Agencia Información</v>
      </c>
      <c r="D130" s="72" t="str">
        <f t="shared" si="54"/>
        <v>Mujeres</v>
      </c>
      <c r="E130" s="19">
        <v>15</v>
      </c>
      <c r="F130" s="10" t="s">
        <v>577</v>
      </c>
      <c r="G130" s="10" t="s">
        <v>1877</v>
      </c>
      <c r="H130" s="33" t="s">
        <v>16</v>
      </c>
      <c r="I130" s="34" t="s">
        <v>382</v>
      </c>
      <c r="J130" s="9" t="str">
        <f t="shared" si="56"/>
        <v>Ninguno</v>
      </c>
      <c r="K130" s="9" t="str">
        <f t="shared" si="57"/>
        <v>Sentencias dictadas por delito por región</v>
      </c>
      <c r="L130" s="9" t="str">
        <f t="shared" si="58"/>
        <v>Periodo 2013-2019</v>
      </c>
      <c r="M130" s="9" t="str">
        <f t="shared" si="59"/>
        <v>Número de Sentencias</v>
      </c>
      <c r="N130" s="9" t="str">
        <f t="shared" si="60"/>
        <v>Poder Judicial</v>
      </c>
      <c r="O130" s="20" t="str">
        <f>"Sentencias Dictadas por delitos de Abuso Sexual en la "&amp;Agencia[[#This Row],[territorio]]&amp;" para el "&amp;Agencia[[#This Row],[temporalidad]]</f>
        <v>Sentencias Dictadas por delitos de Abuso Sexual en la Región de Arica y Parinacota para el Periodo 2013-2019</v>
      </c>
      <c r="P130" s="112" t="s">
        <v>6885</v>
      </c>
      <c r="Q130" s="11" t="str">
        <f t="shared" si="63"/>
        <v>Gráfico de Evolución</v>
      </c>
      <c r="R130" s="148" t="str">
        <f>Agencia[[#This Row],[territorio]]&amp;",violencia,mujer,abuso,sexual,sentencia,menor,juzgado,"&amp;Agencia[[#This Row],[coleccion]]&amp;","&amp;Agencia[[#This Row],[sector]]&amp;","&amp;Agencia[[#This Row],[tema]]&amp;","&amp;Agencia[[#This Row],[contenido]]</f>
        <v>Región de Arica y Parinacota,violencia,mujer,abuso,sexual,sentencia,menor,juzgado,Agencia Información,Mujeres,Abuso sexual,Violencia Contra la Mujer</v>
      </c>
      <c r="S130" s="39" t="str">
        <f>HYPERLINK("https://analytics.zoho.com/open-view/2395394000007166809?ZOHO_CRITERIA=%22Localiza%20CL%22.%22Codreg%22%3D"&amp;Agencia[[#This Row],[Filtro URL]])</f>
        <v>https://analytics.zoho.com/open-view/2395394000007166809?ZOHO_CRITERIA=%22Localiza%20CL%22.%22Codreg%22%3D15</v>
      </c>
      <c r="T130" s="108" t="str">
        <f>"100-R-"&amp;Agencia[[#This Row],[Filtro URL]]</f>
        <v>100-R-15</v>
      </c>
      <c r="U130" s="46" t="str">
        <f t="shared" si="62"/>
        <v>#1774B9</v>
      </c>
      <c r="V130" s="93" t="str">
        <f>+Agencia[[#This Row],[idcoleccion]]&amp;"-"&amp;Agencia[[#This Row],[id]]</f>
        <v>990-0119</v>
      </c>
      <c r="W130" s="93">
        <f>+VLOOKUP(Agencia[[#This Row],[Filtro URL]],Estructura!$X$4:$Y$500,2,0)</f>
        <v>99200015</v>
      </c>
      <c r="X130" s="93" t="str">
        <f>+VLOOKUP(Agencia[[#This Row],[tema]],Estructura!$A$4:$C$500,3,0)</f>
        <v>T-1021</v>
      </c>
      <c r="Y130" s="93" t="str">
        <f>+VLOOKUP(Agencia[[#This Row],[contenido]],Estructura!$E$4:$G$500,3,0)</f>
        <v>C-996</v>
      </c>
      <c r="Z130" s="93" t="str">
        <f>+VLOOKUP(Agencia[[#This Row],[Filtro Integrado]],Estructura!$I$4:$K$500,3,0)</f>
        <v>FI-993</v>
      </c>
      <c r="AA130" s="93" t="str">
        <f>+VLOOKUP(Agencia[[#This Row],[Muestra]],Estructura!$M$4:$O$500,3,0)</f>
        <v>M-992</v>
      </c>
    </row>
    <row r="131" spans="1:27" ht="57.6" x14ac:dyDescent="0.3">
      <c r="A131" s="21" t="s">
        <v>521</v>
      </c>
      <c r="B131" s="23">
        <f t="shared" si="64"/>
        <v>990</v>
      </c>
      <c r="C131" s="24" t="str">
        <f t="shared" si="64"/>
        <v>Agencia Información</v>
      </c>
      <c r="D131" s="72" t="str">
        <f t="shared" si="54"/>
        <v>Mujeres</v>
      </c>
      <c r="E131" s="19">
        <v>16</v>
      </c>
      <c r="F131" s="10" t="s">
        <v>577</v>
      </c>
      <c r="G131" s="10" t="s">
        <v>1877</v>
      </c>
      <c r="H131" s="33" t="s">
        <v>16</v>
      </c>
      <c r="I131" s="34" t="s">
        <v>383</v>
      </c>
      <c r="J131" s="9" t="str">
        <f t="shared" si="56"/>
        <v>Ninguno</v>
      </c>
      <c r="K131" s="9" t="str">
        <f t="shared" si="57"/>
        <v>Sentencias dictadas por delito por región</v>
      </c>
      <c r="L131" s="9" t="str">
        <f t="shared" si="58"/>
        <v>Periodo 2013-2019</v>
      </c>
      <c r="M131" s="9" t="str">
        <f t="shared" si="59"/>
        <v>Número de Sentencias</v>
      </c>
      <c r="N131" s="9" t="str">
        <f t="shared" si="60"/>
        <v>Poder Judicial</v>
      </c>
      <c r="O131" s="20" t="str">
        <f>"Sentencias Dictadas por delitos de Abuso Sexual en la "&amp;Agencia[[#This Row],[territorio]]&amp;" para el "&amp;Agencia[[#This Row],[temporalidad]]</f>
        <v>Sentencias Dictadas por delitos de Abuso Sexual en la Región de Ñuble para el Periodo 2013-2019</v>
      </c>
      <c r="P131" s="112" t="s">
        <v>6886</v>
      </c>
      <c r="Q131" s="11" t="str">
        <f t="shared" si="63"/>
        <v>Gráfico de Evolución</v>
      </c>
      <c r="R131" s="148" t="str">
        <f>Agencia[[#This Row],[territorio]]&amp;",violencia,mujer,abuso,sexual,sentencia,menor,juzgado,"&amp;Agencia[[#This Row],[coleccion]]&amp;","&amp;Agencia[[#This Row],[sector]]&amp;","&amp;Agencia[[#This Row],[tema]]&amp;","&amp;Agencia[[#This Row],[contenido]]</f>
        <v>Región de Ñuble,violencia,mujer,abuso,sexual,sentencia,menor,juzgado,Agencia Información,Mujeres,Abuso sexual,Violencia Contra la Mujer</v>
      </c>
      <c r="S131" s="39" t="str">
        <f>HYPERLINK("https://analytics.zoho.com/open-view/2395394000007166809?ZOHO_CRITERIA=%22Localiza%20CL%22.%22Codreg%22%3D"&amp;Agencia[[#This Row],[Filtro URL]])</f>
        <v>https://analytics.zoho.com/open-view/2395394000007166809?ZOHO_CRITERIA=%22Localiza%20CL%22.%22Codreg%22%3D16</v>
      </c>
      <c r="T131" s="108" t="str">
        <f>"100-R-"&amp;Agencia[[#This Row],[Filtro URL]]</f>
        <v>100-R-16</v>
      </c>
      <c r="U131" s="46" t="str">
        <f t="shared" si="62"/>
        <v>#1774B9</v>
      </c>
      <c r="V131" s="93" t="str">
        <f>+Agencia[[#This Row],[idcoleccion]]&amp;"-"&amp;Agencia[[#This Row],[id]]</f>
        <v>990-0120</v>
      </c>
      <c r="W131" s="93">
        <f>+VLOOKUP(Agencia[[#This Row],[Filtro URL]],Estructura!$X$4:$Y$500,2,0)</f>
        <v>99200016</v>
      </c>
      <c r="X131" s="93" t="str">
        <f>+VLOOKUP(Agencia[[#This Row],[tema]],Estructura!$A$4:$C$500,3,0)</f>
        <v>T-1021</v>
      </c>
      <c r="Y131" s="93" t="str">
        <f>+VLOOKUP(Agencia[[#This Row],[contenido]],Estructura!$E$4:$G$500,3,0)</f>
        <v>C-996</v>
      </c>
      <c r="Z131" s="93" t="str">
        <f>+VLOOKUP(Agencia[[#This Row],[Filtro Integrado]],Estructura!$I$4:$K$500,3,0)</f>
        <v>FI-993</v>
      </c>
      <c r="AA131" s="93" t="str">
        <f>+VLOOKUP(Agencia[[#This Row],[Muestra]],Estructura!$M$4:$O$500,3,0)</f>
        <v>M-992</v>
      </c>
    </row>
    <row r="132" spans="1:27" ht="71.400000000000006" x14ac:dyDescent="0.3">
      <c r="A132" s="21" t="s">
        <v>522</v>
      </c>
      <c r="B132" s="23">
        <f t="shared" si="64"/>
        <v>990</v>
      </c>
      <c r="C132" s="24" t="str">
        <f t="shared" si="64"/>
        <v>Agencia Información</v>
      </c>
      <c r="D132" s="72" t="s">
        <v>785</v>
      </c>
      <c r="E132" s="14">
        <v>0</v>
      </c>
      <c r="F132" s="10" t="s">
        <v>5178</v>
      </c>
      <c r="G132" s="10" t="s">
        <v>5177</v>
      </c>
      <c r="H132" s="31" t="s">
        <v>20</v>
      </c>
      <c r="I132" s="32" t="s">
        <v>15</v>
      </c>
      <c r="J132" s="9" t="s">
        <v>403</v>
      </c>
      <c r="K132" s="9" t="s">
        <v>5181</v>
      </c>
      <c r="L132" s="9" t="s">
        <v>570</v>
      </c>
      <c r="M132" s="9" t="s">
        <v>5179</v>
      </c>
      <c r="N132" s="9" t="s">
        <v>5180</v>
      </c>
      <c r="O132" s="20" t="s">
        <v>5182</v>
      </c>
      <c r="P132" s="112" t="s">
        <v>5184</v>
      </c>
      <c r="Q132" s="46" t="s">
        <v>590</v>
      </c>
      <c r="R132" s="20" t="str">
        <f>Agencia[[#This Row],[territorio]]&amp;",establecimientos,larga,estadía,adultos,mayores,autorizados,cupos,número,distribución,región,comuna,"&amp;Agencia[[#This Row],[coleccion]]&amp;","&amp;Agencia[[#This Row],[sector]]&amp;","&amp;Agencia[[#This Row],[tema]]&amp;","&amp;Agencia[[#This Row],[contenido]]</f>
        <v>Chile,establecimientos,larga,estadía,adultos,mayores,autorizados,cupos,número,distribución,región,comuna,Agencia Información,Social,Establecimientos Larga Estadía para Adultos Mayores (ELEAM),Protección Adultos Mayores</v>
      </c>
      <c r="S132" s="123" t="s">
        <v>5183</v>
      </c>
      <c r="T132" s="108">
        <v>0</v>
      </c>
      <c r="U132" s="46" t="str">
        <f t="shared" si="62"/>
        <v>#1774B9</v>
      </c>
      <c r="V132" s="93" t="str">
        <f>+Agencia[[#This Row],[idcoleccion]]&amp;"-"&amp;Agencia[[#This Row],[id]]</f>
        <v>990-0121</v>
      </c>
      <c r="W132" s="93">
        <f>+VLOOKUP(Agencia[[#This Row],[Filtro URL]],Estructura!$X$4:$Y$500,2,0)</f>
        <v>99100000</v>
      </c>
      <c r="X132" s="93" t="str">
        <f>+VLOOKUP(Agencia[[#This Row],[tema]],Estructura!$A$4:$C$500,3,0)</f>
        <v>T-1081</v>
      </c>
      <c r="Y132" s="93" t="str">
        <f>+VLOOKUP(Agencia[[#This Row],[contenido]],Estructura!$E$4:$G$500,3,0)</f>
        <v>C-1027</v>
      </c>
      <c r="Z132" s="93" t="str">
        <f>+VLOOKUP(Agencia[[#This Row],[Filtro Integrado]],Estructura!$I$4:$K$500,3,0)</f>
        <v>FI-993</v>
      </c>
      <c r="AA132" s="93" t="str">
        <f>+VLOOKUP(Agencia[[#This Row],[Muestra]],Estructura!$M$4:$O$500,3,0)</f>
        <v>M-1036</v>
      </c>
    </row>
    <row r="133" spans="1:27" ht="51" x14ac:dyDescent="0.3">
      <c r="A133" s="21" t="s">
        <v>523</v>
      </c>
      <c r="B133" s="23">
        <f t="shared" si="64"/>
        <v>990</v>
      </c>
      <c r="C133" s="24" t="str">
        <f t="shared" si="64"/>
        <v>Agencia Información</v>
      </c>
      <c r="D133" s="72" t="str">
        <f t="shared" si="54"/>
        <v>Social</v>
      </c>
      <c r="E133" s="14">
        <v>0</v>
      </c>
      <c r="F133" s="10" t="s">
        <v>610</v>
      </c>
      <c r="G133" s="10" t="s">
        <v>1900</v>
      </c>
      <c r="H133" s="31" t="s">
        <v>20</v>
      </c>
      <c r="I133" s="32" t="s">
        <v>15</v>
      </c>
      <c r="J133" s="36" t="s">
        <v>403</v>
      </c>
      <c r="K133" s="9" t="s">
        <v>9284</v>
      </c>
      <c r="L133" s="9" t="str">
        <f t="shared" si="58"/>
        <v>Periodo 2020-2021</v>
      </c>
      <c r="M133" s="66" t="s">
        <v>5179</v>
      </c>
      <c r="N133" s="9" t="s">
        <v>588</v>
      </c>
      <c r="O133" s="20" t="s">
        <v>589</v>
      </c>
      <c r="P133" s="112" t="s">
        <v>6942</v>
      </c>
      <c r="Q133" s="11" t="s">
        <v>590</v>
      </c>
      <c r="R133" s="20" t="str">
        <f>Agencia[[#This Row],[territorio]]&amp;",programas,desempeño,gobierno,servicio,evaluación,instituciones,público,ministerio,"&amp;Agencia[[#This Row],[coleccion]]&amp;","&amp;Agencia[[#This Row],[sector]]&amp;","&amp;Agencia[[#This Row],[tema]]&amp;","&amp;Agencia[[#This Row],[contenido]]</f>
        <v>Chile,programas,desempeño,gobierno,servicio,evaluación,instituciones,público,ministerio,Agencia Información,Social,Resultados de evaluaciones,Evaluación de Programas</v>
      </c>
      <c r="S133" s="39" t="s">
        <v>5171</v>
      </c>
      <c r="T133" s="108">
        <v>0</v>
      </c>
      <c r="U133" s="46" t="str">
        <f t="shared" si="62"/>
        <v>#1774B9</v>
      </c>
      <c r="V133" s="93" t="str">
        <f>+Agencia[[#This Row],[idcoleccion]]&amp;"-"&amp;Agencia[[#This Row],[id]]</f>
        <v>990-0122</v>
      </c>
      <c r="W133" s="93">
        <f>+VLOOKUP(Agencia[[#This Row],[Filtro URL]],Estructura!$X$4:$Y$500,2,0)</f>
        <v>99100000</v>
      </c>
      <c r="X133" s="93" t="str">
        <f>+VLOOKUP(Agencia[[#This Row],[tema]],Estructura!$A$4:$C$500,3,0)</f>
        <v>T-995</v>
      </c>
      <c r="Y133" s="93" t="str">
        <f>+VLOOKUP(Agencia[[#This Row],[contenido]],Estructura!$E$4:$G$500,3,0)</f>
        <v>C-1006</v>
      </c>
      <c r="Z133" s="93" t="str">
        <f>+VLOOKUP(Agencia[[#This Row],[Filtro Integrado]],Estructura!$I$4:$K$500,3,0)</f>
        <v>FI-993</v>
      </c>
      <c r="AA133" s="93" t="str">
        <f>+VLOOKUP(Agencia[[#This Row],[Muestra]],Estructura!$M$4:$O$500,3,0)</f>
        <v>M-1037</v>
      </c>
    </row>
    <row r="134" spans="1:27" ht="40.799999999999997" x14ac:dyDescent="0.3">
      <c r="A134" s="21" t="s">
        <v>524</v>
      </c>
      <c r="B134" s="23">
        <f t="shared" si="64"/>
        <v>990</v>
      </c>
      <c r="C134" s="24" t="str">
        <f t="shared" si="64"/>
        <v>Agencia Información</v>
      </c>
      <c r="D134" s="72" t="s">
        <v>571</v>
      </c>
      <c r="E134" s="14">
        <v>0</v>
      </c>
      <c r="F134" s="10" t="s">
        <v>1498</v>
      </c>
      <c r="G134" s="10" t="s">
        <v>1899</v>
      </c>
      <c r="H134" s="31" t="s">
        <v>20</v>
      </c>
      <c r="I134" s="32" t="s">
        <v>15</v>
      </c>
      <c r="J134" s="9" t="s">
        <v>403</v>
      </c>
      <c r="K134" s="9" t="s">
        <v>9286</v>
      </c>
      <c r="L134" s="36" t="s">
        <v>592</v>
      </c>
      <c r="M134" s="9" t="s">
        <v>594</v>
      </c>
      <c r="N134" s="9" t="s">
        <v>591</v>
      </c>
      <c r="O134" s="20" t="s">
        <v>595</v>
      </c>
      <c r="P134" s="112" t="s">
        <v>6454</v>
      </c>
      <c r="Q134" s="11" t="s">
        <v>593</v>
      </c>
      <c r="R134" s="20" t="str">
        <f>Agencia[[#This Row],[territorio]]&amp;",incendios,plantaciones,forestales,superficie,hectáreas,comuna,"&amp;Agencia[[#This Row],[coleccion]]&amp;","&amp;Agencia[[#This Row],[sector]]&amp;","&amp;Agencia[[#This Row],[tema]]&amp;","&amp;Agencia[[#This Row],[contenido]]</f>
        <v>Chile,incendios,plantaciones,forestales,superficie,hectáreas,comuna,Agencia Información,Agropecuario y Forestal,Incendios Forestales,Forestal</v>
      </c>
      <c r="S134" s="39" t="s">
        <v>1528</v>
      </c>
      <c r="T134" s="108">
        <v>0</v>
      </c>
      <c r="U134" s="46" t="str">
        <f t="shared" si="62"/>
        <v>#1774B9</v>
      </c>
      <c r="V134" s="93" t="str">
        <f>+Agencia[[#This Row],[idcoleccion]]&amp;"-"&amp;Agencia[[#This Row],[id]]</f>
        <v>990-0123</v>
      </c>
      <c r="W134" s="93">
        <f>+VLOOKUP(Agencia[[#This Row],[Filtro URL]],Estructura!$X$4:$Y$500,2,0)</f>
        <v>99100000</v>
      </c>
      <c r="X134" s="93" t="str">
        <f>+VLOOKUP(Agencia[[#This Row],[tema]],Estructura!$A$4:$C$500,3,0)</f>
        <v>T-1035</v>
      </c>
      <c r="Y134" s="93" t="str">
        <f>+VLOOKUP(Agencia[[#This Row],[contenido]],Estructura!$E$4:$G$500,3,0)</f>
        <v>C-1007</v>
      </c>
      <c r="Z134" s="93" t="str">
        <f>+VLOOKUP(Agencia[[#This Row],[Filtro Integrado]],Estructura!$I$4:$K$500,3,0)</f>
        <v>FI-993</v>
      </c>
      <c r="AA134" s="93" t="str">
        <f>+VLOOKUP(Agencia[[#This Row],[Muestra]],Estructura!$M$4:$O$500,3,0)</f>
        <v>M-1038</v>
      </c>
    </row>
    <row r="135" spans="1:27" ht="67.5" customHeight="1" x14ac:dyDescent="0.3">
      <c r="A135" s="21" t="s">
        <v>525</v>
      </c>
      <c r="B135" s="23">
        <f t="shared" si="64"/>
        <v>990</v>
      </c>
      <c r="C135" s="24" t="str">
        <f t="shared" si="64"/>
        <v>Agencia Información</v>
      </c>
      <c r="D135" s="72" t="s">
        <v>571</v>
      </c>
      <c r="E135" s="14">
        <v>0</v>
      </c>
      <c r="F135" s="10" t="s">
        <v>598</v>
      </c>
      <c r="G135" s="10" t="s">
        <v>1878</v>
      </c>
      <c r="H135" s="31" t="s">
        <v>20</v>
      </c>
      <c r="I135" s="32" t="s">
        <v>15</v>
      </c>
      <c r="J135" s="9" t="s">
        <v>599</v>
      </c>
      <c r="K135" s="9" t="s">
        <v>9252</v>
      </c>
      <c r="L135" s="9" t="s">
        <v>596</v>
      </c>
      <c r="M135" s="9" t="s">
        <v>597</v>
      </c>
      <c r="N135" s="9" t="s">
        <v>601</v>
      </c>
      <c r="O135" s="20" t="str">
        <f>"Precios diarios de hortalizas en mercados mayoristas de "&amp;Agencia[[#This Row],[territorio]]&amp;", "&amp;Agencia[[#This Row],[temporalidad]]</f>
        <v>Precios diarios de hortalizas en mercados mayoristas de Chile, Año 2021</v>
      </c>
      <c r="P135" s="112" t="s">
        <v>602</v>
      </c>
      <c r="Q135" s="11" t="s">
        <v>576</v>
      </c>
      <c r="R135" s="20" t="str">
        <f>Agencia[[#This Row],[territorio]]&amp;",hortaliza,hortalizas,precio diario,precio,pesos chilenos.CLP,kilo,mercado mayorista,terminal,"&amp;Agencia[[#This Row],[coleccion]]&amp;","&amp;Agencia[[#This Row],[sector]]&amp;","&amp;Agencia[[#This Row],[tema]]&amp;","&amp;Agencia[[#This Row],[contenido]]</f>
        <v>Chile,hortaliza,hortalizas,precio diario,precio,pesos chilenos.CLP,kilo,mercado mayorista,terminal,Agencia Información,Agropecuario y Forestal,Precios,Agricultura</v>
      </c>
      <c r="S135" s="39" t="s">
        <v>1529</v>
      </c>
      <c r="T135" s="108" t="s">
        <v>805</v>
      </c>
      <c r="U135" s="46" t="str">
        <f>+U134</f>
        <v>#1774B9</v>
      </c>
      <c r="V135" s="93" t="str">
        <f>+Agencia[[#This Row],[idcoleccion]]&amp;"-"&amp;Agencia[[#This Row],[id]]</f>
        <v>990-0124</v>
      </c>
      <c r="W135" s="93">
        <f>+VLOOKUP(Agencia[[#This Row],[Filtro URL]],Estructura!$X$4:$Y$500,2,0)</f>
        <v>99100000</v>
      </c>
      <c r="X135" s="93" t="str">
        <f>+VLOOKUP(Agencia[[#This Row],[tema]],Estructura!$A$4:$C$500,3,0)</f>
        <v>T-1022</v>
      </c>
      <c r="Y135" s="93" t="str">
        <f>+VLOOKUP(Agencia[[#This Row],[contenido]],Estructura!$E$4:$G$500,3,0)</f>
        <v>C-997</v>
      </c>
      <c r="Z135" s="93" t="str">
        <f>+VLOOKUP(Agencia[[#This Row],[Filtro Integrado]],Estructura!$I$4:$K$500,3,0)</f>
        <v>FI-995</v>
      </c>
      <c r="AA135" s="93" t="str">
        <f>+VLOOKUP(Agencia[[#This Row],[Muestra]],Estructura!$M$4:$O$500,3,0)</f>
        <v>M-1039</v>
      </c>
    </row>
    <row r="136" spans="1:27" ht="57.6" x14ac:dyDescent="0.3">
      <c r="A136" s="21" t="s">
        <v>526</v>
      </c>
      <c r="B136" s="9">
        <f t="shared" si="64"/>
        <v>990</v>
      </c>
      <c r="C136" s="24" t="str">
        <f t="shared" si="64"/>
        <v>Agencia Información</v>
      </c>
      <c r="D136" s="67" t="str">
        <f>+D135</f>
        <v>Agropecuario y Forestal</v>
      </c>
      <c r="E136" s="19">
        <v>4</v>
      </c>
      <c r="F136" s="10" t="s">
        <v>598</v>
      </c>
      <c r="G136" s="10" t="s">
        <v>1878</v>
      </c>
      <c r="H136" s="33" t="s">
        <v>16</v>
      </c>
      <c r="I136" s="34" t="s">
        <v>371</v>
      </c>
      <c r="J136" s="9" t="str">
        <f>+J135</f>
        <v>Hortaliza</v>
      </c>
      <c r="K136" s="142" t="s">
        <v>9252</v>
      </c>
      <c r="L136" s="9" t="str">
        <f>+L135</f>
        <v>Año 2021</v>
      </c>
      <c r="M136" s="9" t="str">
        <f>+M135</f>
        <v>CLP/Kg</v>
      </c>
      <c r="N136" s="9" t="str">
        <f>+N135</f>
        <v>Oficina de Estudios y Políticas Agrarias (ODEPA)</v>
      </c>
      <c r="O136" s="20" t="str">
        <f>"Precios diarios de hortalizas en mercados mayoristas de la "&amp;Agencia[[#This Row],[territorio]]&amp;", "&amp;Agencia[[#This Row],[temporalidad]]</f>
        <v>Precios diarios de hortalizas en mercados mayoristas de la Región de Coquimbo, Año 2021</v>
      </c>
      <c r="P136" s="112" t="s">
        <v>6542</v>
      </c>
      <c r="Q136" s="11" t="str">
        <f>+Q135</f>
        <v>Gráfico</v>
      </c>
      <c r="R136" s="148" t="str">
        <f>Agencia[[#This Row],[territorio]]&amp;",hortaliza,hortalizas,precio diario,precio,pesos chilenos.CLP,kilo,mercado mayorista,terminal,"&amp;Agencia[[#This Row],[coleccion]]&amp;","&amp;Agencia[[#This Row],[sector]]&amp;","&amp;Agencia[[#This Row],[tema]]&amp;","&amp;Agencia[[#This Row],[contenido]]</f>
        <v>Región de Coquimbo,hortaliza,hortalizas,precio diario,precio,pesos chilenos.CLP,kilo,mercado mayorista,terminal,Agencia Información,Agropecuario y Forestal,Precios,Agricultura</v>
      </c>
      <c r="S136" s="39" t="str">
        <f>HYPERLINK("https://analytics.zoho.com/open-view/2395394000008646229?ZOHO_CRITERIA=%22Hortaliza%20Consolidado%22.%22Codreg%22%3D"&amp;Agencia[[#This Row],[Filtro URL]])</f>
        <v>https://analytics.zoho.com/open-view/2395394000008646229?ZOHO_CRITERIA=%22Hortaliza%20Consolidado%22.%22Codreg%22%3D4</v>
      </c>
      <c r="T136" s="108" t="str">
        <f>"100-R-"&amp;Agencia[[#This Row],[Filtro URL]]</f>
        <v>100-R-4</v>
      </c>
      <c r="U136" s="46" t="str">
        <f>+U135</f>
        <v>#1774B9</v>
      </c>
      <c r="V136" s="93" t="str">
        <f>+Agencia[[#This Row],[idcoleccion]]&amp;"-"&amp;Agencia[[#This Row],[id]]</f>
        <v>990-0125</v>
      </c>
      <c r="W136" s="93">
        <f>+VLOOKUP(Agencia[[#This Row],[Filtro URL]],Estructura!$X$4:$Y$500,2,0)</f>
        <v>99200004</v>
      </c>
      <c r="X136" s="93" t="str">
        <f>+VLOOKUP(Agencia[[#This Row],[tema]],Estructura!$A$4:$C$500,3,0)</f>
        <v>T-1022</v>
      </c>
      <c r="Y136" s="93" t="str">
        <f>+VLOOKUP(Agencia[[#This Row],[contenido]],Estructura!$E$4:$G$500,3,0)</f>
        <v>C-997</v>
      </c>
      <c r="Z136" s="93" t="str">
        <f>+VLOOKUP(Agencia[[#This Row],[Filtro Integrado]],Estructura!$I$4:$K$500,3,0)</f>
        <v>FI-995</v>
      </c>
      <c r="AA136" s="93" t="str">
        <f>+VLOOKUP(Agencia[[#This Row],[Muestra]],Estructura!$M$4:$O$500,3,0)</f>
        <v>M-1039</v>
      </c>
    </row>
    <row r="137" spans="1:27" ht="57.6" x14ac:dyDescent="0.3">
      <c r="A137" s="21" t="s">
        <v>527</v>
      </c>
      <c r="B137" s="9">
        <f t="shared" ref="B137:D144" si="65">+B136</f>
        <v>990</v>
      </c>
      <c r="C137" s="24" t="str">
        <f t="shared" si="65"/>
        <v>Agencia Información</v>
      </c>
      <c r="D137" s="67" t="str">
        <f t="shared" si="65"/>
        <v>Agropecuario y Forestal</v>
      </c>
      <c r="E137" s="19">
        <v>5</v>
      </c>
      <c r="F137" s="10" t="s">
        <v>598</v>
      </c>
      <c r="G137" s="10" t="s">
        <v>1878</v>
      </c>
      <c r="H137" s="33" t="s">
        <v>16</v>
      </c>
      <c r="I137" s="34" t="s">
        <v>372</v>
      </c>
      <c r="J137" s="9" t="str">
        <f t="shared" ref="J137:J144" si="66">+J136</f>
        <v>Hortaliza</v>
      </c>
      <c r="K137" s="9" t="str">
        <f>+K136</f>
        <v>Precios diarios de hortalizas</v>
      </c>
      <c r="L137" s="9" t="str">
        <f>+L136</f>
        <v>Año 2021</v>
      </c>
      <c r="M137" s="9" t="str">
        <f t="shared" ref="M137:M144" si="67">+M136</f>
        <v>CLP/Kg</v>
      </c>
      <c r="N137" s="9" t="str">
        <f t="shared" ref="N137:N144" si="68">+N136</f>
        <v>Oficina de Estudios y Políticas Agrarias (ODEPA)</v>
      </c>
      <c r="O137" s="20" t="str">
        <f>"Precios diarios de hortalizas en mercados mayoristas de la "&amp;Agencia[[#This Row],[territorio]]&amp;", "&amp;Agencia[[#This Row],[temporalidad]]</f>
        <v>Precios diarios de hortalizas en mercados mayoristas de la Región de Valparaíso, Año 2021</v>
      </c>
      <c r="P137" s="112" t="s">
        <v>6543</v>
      </c>
      <c r="Q137" s="11" t="str">
        <f>+Q135</f>
        <v>Gráfico</v>
      </c>
      <c r="R137" s="148" t="str">
        <f>Agencia[[#This Row],[territorio]]&amp;",hortaliza,hortalizas,precio diario,precio,pesos chilenos.CLP,kilo,mercado mayorista,terminal,"&amp;Agencia[[#This Row],[coleccion]]&amp;","&amp;Agencia[[#This Row],[sector]]&amp;","&amp;Agencia[[#This Row],[tema]]&amp;","&amp;Agencia[[#This Row],[contenido]]</f>
        <v>Región de Valparaíso,hortaliza,hortalizas,precio diario,precio,pesos chilenos.CLP,kilo,mercado mayorista,terminal,Agencia Información,Agropecuario y Forestal,Precios,Agricultura</v>
      </c>
      <c r="S137" s="39" t="str">
        <f>HYPERLINK("https://analytics.zoho.com/open-view/2395394000008646229?ZOHO_CRITERIA=%22Hortaliza%20Consolidado%22.%22Codreg%22%3D"&amp;Agencia[[#This Row],[Filtro URL]])</f>
        <v>https://analytics.zoho.com/open-view/2395394000008646229?ZOHO_CRITERIA=%22Hortaliza%20Consolidado%22.%22Codreg%22%3D5</v>
      </c>
      <c r="T137" s="108" t="str">
        <f>"100-R-"&amp;Agencia[[#This Row],[Filtro URL]]</f>
        <v>100-R-5</v>
      </c>
      <c r="U137" s="46" t="str">
        <f>+U135</f>
        <v>#1774B9</v>
      </c>
      <c r="V137" s="93" t="str">
        <f>+Agencia[[#This Row],[idcoleccion]]&amp;"-"&amp;Agencia[[#This Row],[id]]</f>
        <v>990-0126</v>
      </c>
      <c r="W137" s="93">
        <f>+VLOOKUP(Agencia[[#This Row],[Filtro URL]],Estructura!$X$4:$Y$500,2,0)</f>
        <v>99200005</v>
      </c>
      <c r="X137" s="93" t="str">
        <f>+VLOOKUP(Agencia[[#This Row],[tema]],Estructura!$A$4:$C$500,3,0)</f>
        <v>T-1022</v>
      </c>
      <c r="Y137" s="93" t="str">
        <f>+VLOOKUP(Agencia[[#This Row],[contenido]],Estructura!$E$4:$G$500,3,0)</f>
        <v>C-997</v>
      </c>
      <c r="Z137" s="93" t="str">
        <f>+VLOOKUP(Agencia[[#This Row],[Filtro Integrado]],Estructura!$I$4:$K$500,3,0)</f>
        <v>FI-995</v>
      </c>
      <c r="AA137" s="93" t="str">
        <f>+VLOOKUP(Agencia[[#This Row],[Muestra]],Estructura!$M$4:$O$500,3,0)</f>
        <v>M-1039</v>
      </c>
    </row>
    <row r="138" spans="1:27" ht="57.6" x14ac:dyDescent="0.3">
      <c r="A138" s="21" t="s">
        <v>1549</v>
      </c>
      <c r="B138" s="9">
        <f t="shared" si="65"/>
        <v>990</v>
      </c>
      <c r="C138" s="24" t="str">
        <f t="shared" si="65"/>
        <v>Agencia Información</v>
      </c>
      <c r="D138" s="67" t="str">
        <f t="shared" si="65"/>
        <v>Agropecuario y Forestal</v>
      </c>
      <c r="E138" s="19">
        <v>7</v>
      </c>
      <c r="F138" s="10" t="s">
        <v>598</v>
      </c>
      <c r="G138" s="10" t="s">
        <v>1878</v>
      </c>
      <c r="H138" s="33" t="s">
        <v>16</v>
      </c>
      <c r="I138" s="34" t="s">
        <v>374</v>
      </c>
      <c r="J138" s="9" t="str">
        <f t="shared" si="66"/>
        <v>Hortaliza</v>
      </c>
      <c r="K138" s="9" t="str">
        <f t="shared" ref="K138:K144" si="69">+K137</f>
        <v>Precios diarios de hortalizas</v>
      </c>
      <c r="L138" s="9" t="str">
        <f t="shared" ref="L138:L144" si="70">+L137</f>
        <v>Año 2021</v>
      </c>
      <c r="M138" s="9" t="str">
        <f t="shared" si="67"/>
        <v>CLP/Kg</v>
      </c>
      <c r="N138" s="9" t="str">
        <f t="shared" si="68"/>
        <v>Oficina de Estudios y Políticas Agrarias (ODEPA)</v>
      </c>
      <c r="O138" s="20" t="str">
        <f>"Precios diarios de hortalizas en mercados mayoristas de la "&amp;Agencia[[#This Row],[territorio]]&amp;", "&amp;Agencia[[#This Row],[temporalidad]]</f>
        <v>Precios diarios de hortalizas en mercados mayoristas de la Región de Maule, Año 2021</v>
      </c>
      <c r="P138" s="112" t="s">
        <v>6544</v>
      </c>
      <c r="Q138" s="11" t="str">
        <f>+Q135</f>
        <v>Gráfico</v>
      </c>
      <c r="R138" s="148" t="str">
        <f>Agencia[[#This Row],[territorio]]&amp;",hortaliza,hortalizas,precio diario,precio,pesos chilenos.CLP,kilo,mercado mayorista,terminal,"&amp;Agencia[[#This Row],[coleccion]]&amp;","&amp;Agencia[[#This Row],[sector]]&amp;","&amp;Agencia[[#This Row],[tema]]&amp;","&amp;Agencia[[#This Row],[contenido]]</f>
        <v>Región de Maule,hortaliza,hortalizas,precio diario,precio,pesos chilenos.CLP,kilo,mercado mayorista,terminal,Agencia Información,Agropecuario y Forestal,Precios,Agricultura</v>
      </c>
      <c r="S138" s="39" t="str">
        <f>HYPERLINK("https://analytics.zoho.com/open-view/2395394000008646229?ZOHO_CRITERIA=%22Hortaliza%20Consolidado%22.%22Codreg%22%3D"&amp;Agencia[[#This Row],[Filtro URL]])</f>
        <v>https://analytics.zoho.com/open-view/2395394000008646229?ZOHO_CRITERIA=%22Hortaliza%20Consolidado%22.%22Codreg%22%3D7</v>
      </c>
      <c r="T138" s="108" t="str">
        <f>"100-R-"&amp;Agencia[[#This Row],[Filtro URL]]</f>
        <v>100-R-7</v>
      </c>
      <c r="U138" s="46" t="str">
        <f>+U135</f>
        <v>#1774B9</v>
      </c>
      <c r="V138" s="93" t="str">
        <f>+Agencia[[#This Row],[idcoleccion]]&amp;"-"&amp;Agencia[[#This Row],[id]]</f>
        <v>990-0127</v>
      </c>
      <c r="W138" s="93">
        <f>+VLOOKUP(Agencia[[#This Row],[Filtro URL]],Estructura!$X$4:$Y$500,2,0)</f>
        <v>99200007</v>
      </c>
      <c r="X138" s="93" t="str">
        <f>+VLOOKUP(Agencia[[#This Row],[tema]],Estructura!$A$4:$C$500,3,0)</f>
        <v>T-1022</v>
      </c>
      <c r="Y138" s="93" t="str">
        <f>+VLOOKUP(Agencia[[#This Row],[contenido]],Estructura!$E$4:$G$500,3,0)</f>
        <v>C-997</v>
      </c>
      <c r="Z138" s="93" t="str">
        <f>+VLOOKUP(Agencia[[#This Row],[Filtro Integrado]],Estructura!$I$4:$K$500,3,0)</f>
        <v>FI-995</v>
      </c>
      <c r="AA138" s="93" t="str">
        <f>+VLOOKUP(Agencia[[#This Row],[Muestra]],Estructura!$M$4:$O$500,3,0)</f>
        <v>M-1039</v>
      </c>
    </row>
    <row r="139" spans="1:27" ht="57.6" x14ac:dyDescent="0.3">
      <c r="A139" s="21" t="s">
        <v>1550</v>
      </c>
      <c r="B139" s="9">
        <f t="shared" si="65"/>
        <v>990</v>
      </c>
      <c r="C139" s="24" t="str">
        <f t="shared" si="65"/>
        <v>Agencia Información</v>
      </c>
      <c r="D139" s="67" t="str">
        <f t="shared" si="65"/>
        <v>Agropecuario y Forestal</v>
      </c>
      <c r="E139" s="19">
        <v>8</v>
      </c>
      <c r="F139" s="10" t="s">
        <v>598</v>
      </c>
      <c r="G139" s="10" t="s">
        <v>1878</v>
      </c>
      <c r="H139" s="33" t="s">
        <v>16</v>
      </c>
      <c r="I139" s="34" t="s">
        <v>375</v>
      </c>
      <c r="J139" s="9" t="str">
        <f t="shared" si="66"/>
        <v>Hortaliza</v>
      </c>
      <c r="K139" s="9" t="str">
        <f t="shared" si="69"/>
        <v>Precios diarios de hortalizas</v>
      </c>
      <c r="L139" s="9" t="str">
        <f t="shared" si="70"/>
        <v>Año 2021</v>
      </c>
      <c r="M139" s="9" t="str">
        <f t="shared" si="67"/>
        <v>CLP/Kg</v>
      </c>
      <c r="N139" s="9" t="str">
        <f t="shared" si="68"/>
        <v>Oficina de Estudios y Políticas Agrarias (ODEPA)</v>
      </c>
      <c r="O139" s="20" t="str">
        <f>"Precios diarios de hortalizas en mercados mayoristas de la "&amp;Agencia[[#This Row],[territorio]]&amp;", "&amp;Agencia[[#This Row],[temporalidad]]</f>
        <v>Precios diarios de hortalizas en mercados mayoristas de la Región del Biobío, Año 2021</v>
      </c>
      <c r="P139" s="112" t="s">
        <v>6545</v>
      </c>
      <c r="Q139" s="11" t="str">
        <f>+Q135</f>
        <v>Gráfico</v>
      </c>
      <c r="R139" s="148" t="str">
        <f>Agencia[[#This Row],[territorio]]&amp;",hortaliza,hortalizas,precio diario,precio,pesos chilenos.CLP,kilo,mercado mayorista,terminal,"&amp;Agencia[[#This Row],[coleccion]]&amp;","&amp;Agencia[[#This Row],[sector]]&amp;","&amp;Agencia[[#This Row],[tema]]&amp;","&amp;Agencia[[#This Row],[contenido]]</f>
        <v>Región del Biobío,hortaliza,hortalizas,precio diario,precio,pesos chilenos.CLP,kilo,mercado mayorista,terminal,Agencia Información,Agropecuario y Forestal,Precios,Agricultura</v>
      </c>
      <c r="S139" s="39" t="str">
        <f>HYPERLINK("https://analytics.zoho.com/open-view/2395394000008646229?ZOHO_CRITERIA=%22Hortaliza%20Consolidado%22.%22Codreg%22%3D"&amp;Agencia[[#This Row],[Filtro URL]])</f>
        <v>https://analytics.zoho.com/open-view/2395394000008646229?ZOHO_CRITERIA=%22Hortaliza%20Consolidado%22.%22Codreg%22%3D8</v>
      </c>
      <c r="T139" s="108" t="str">
        <f>"100-R-"&amp;Agencia[[#This Row],[Filtro URL]]</f>
        <v>100-R-8</v>
      </c>
      <c r="U139" s="46" t="str">
        <f>+U135</f>
        <v>#1774B9</v>
      </c>
      <c r="V139" s="93" t="str">
        <f>+Agencia[[#This Row],[idcoleccion]]&amp;"-"&amp;Agencia[[#This Row],[id]]</f>
        <v>990-0128</v>
      </c>
      <c r="W139" s="93">
        <f>+VLOOKUP(Agencia[[#This Row],[Filtro URL]],Estructura!$X$4:$Y$500,2,0)</f>
        <v>99200008</v>
      </c>
      <c r="X139" s="93" t="str">
        <f>+VLOOKUP(Agencia[[#This Row],[tema]],Estructura!$A$4:$C$500,3,0)</f>
        <v>T-1022</v>
      </c>
      <c r="Y139" s="93" t="str">
        <f>+VLOOKUP(Agencia[[#This Row],[contenido]],Estructura!$E$4:$G$500,3,0)</f>
        <v>C-997</v>
      </c>
      <c r="Z139" s="93" t="str">
        <f>+VLOOKUP(Agencia[[#This Row],[Filtro Integrado]],Estructura!$I$4:$K$500,3,0)</f>
        <v>FI-995</v>
      </c>
      <c r="AA139" s="93" t="str">
        <f>+VLOOKUP(Agencia[[#This Row],[Muestra]],Estructura!$M$4:$O$500,3,0)</f>
        <v>M-1039</v>
      </c>
    </row>
    <row r="140" spans="1:27" ht="61.2" x14ac:dyDescent="0.3">
      <c r="A140" s="21" t="s">
        <v>1551</v>
      </c>
      <c r="B140" s="9">
        <f t="shared" si="65"/>
        <v>990</v>
      </c>
      <c r="C140" s="24" t="str">
        <f t="shared" si="65"/>
        <v>Agencia Información</v>
      </c>
      <c r="D140" s="67" t="str">
        <f t="shared" si="65"/>
        <v>Agropecuario y Forestal</v>
      </c>
      <c r="E140" s="19">
        <v>9</v>
      </c>
      <c r="F140" s="10" t="s">
        <v>598</v>
      </c>
      <c r="G140" s="10" t="s">
        <v>1878</v>
      </c>
      <c r="H140" s="33" t="s">
        <v>16</v>
      </c>
      <c r="I140" s="34" t="s">
        <v>376</v>
      </c>
      <c r="J140" s="9" t="str">
        <f t="shared" si="66"/>
        <v>Hortaliza</v>
      </c>
      <c r="K140" s="9" t="str">
        <f t="shared" si="69"/>
        <v>Precios diarios de hortalizas</v>
      </c>
      <c r="L140" s="9" t="str">
        <f t="shared" si="70"/>
        <v>Año 2021</v>
      </c>
      <c r="M140" s="9" t="str">
        <f t="shared" si="67"/>
        <v>CLP/Kg</v>
      </c>
      <c r="N140" s="9" t="str">
        <f t="shared" si="68"/>
        <v>Oficina de Estudios y Políticas Agrarias (ODEPA)</v>
      </c>
      <c r="O140" s="20" t="str">
        <f>"Precios diarios de hortalizas en mercados mayoristas de la "&amp;Agencia[[#This Row],[territorio]]&amp;", "&amp;Agencia[[#This Row],[temporalidad]]</f>
        <v>Precios diarios de hortalizas en mercados mayoristas de la Región de La Araucanía, Año 2021</v>
      </c>
      <c r="P140" s="112" t="s">
        <v>6546</v>
      </c>
      <c r="Q140" s="11" t="str">
        <f>+Q135</f>
        <v>Gráfico</v>
      </c>
      <c r="R140" s="148" t="str">
        <f>Agencia[[#This Row],[territorio]]&amp;",hortaliza,hortalizas,precio diario,precio,pesos chilenos.CLP,kilo,mercado mayorista,terminal,"&amp;Agencia[[#This Row],[coleccion]]&amp;","&amp;Agencia[[#This Row],[sector]]&amp;","&amp;Agencia[[#This Row],[tema]]&amp;","&amp;Agencia[[#This Row],[contenido]]</f>
        <v>Región de La Araucanía,hortaliza,hortalizas,precio diario,precio,pesos chilenos.CLP,kilo,mercado mayorista,terminal,Agencia Información,Agropecuario y Forestal,Precios,Agricultura</v>
      </c>
      <c r="S140" s="39" t="str">
        <f>HYPERLINK("https://analytics.zoho.com/open-view/2395394000008646229?ZOHO_CRITERIA=%22Hortaliza%20Consolidado%22.%22Codreg%22%3D"&amp;Agencia[[#This Row],[Filtro URL]])</f>
        <v>https://analytics.zoho.com/open-view/2395394000008646229?ZOHO_CRITERIA=%22Hortaliza%20Consolidado%22.%22Codreg%22%3D9</v>
      </c>
      <c r="T140" s="108" t="str">
        <f>"100-R-"&amp;Agencia[[#This Row],[Filtro URL]]</f>
        <v>100-R-9</v>
      </c>
      <c r="U140" s="46" t="str">
        <f>+U135</f>
        <v>#1774B9</v>
      </c>
      <c r="V140" s="93" t="str">
        <f>+Agencia[[#This Row],[idcoleccion]]&amp;"-"&amp;Agencia[[#This Row],[id]]</f>
        <v>990-0129</v>
      </c>
      <c r="W140" s="93">
        <f>+VLOOKUP(Agencia[[#This Row],[Filtro URL]],Estructura!$X$4:$Y$500,2,0)</f>
        <v>99200009</v>
      </c>
      <c r="X140" s="93" t="str">
        <f>+VLOOKUP(Agencia[[#This Row],[tema]],Estructura!$A$4:$C$500,3,0)</f>
        <v>T-1022</v>
      </c>
      <c r="Y140" s="93" t="str">
        <f>+VLOOKUP(Agencia[[#This Row],[contenido]],Estructura!$E$4:$G$500,3,0)</f>
        <v>C-997</v>
      </c>
      <c r="Z140" s="93" t="str">
        <f>+VLOOKUP(Agencia[[#This Row],[Filtro Integrado]],Estructura!$I$4:$K$500,3,0)</f>
        <v>FI-995</v>
      </c>
      <c r="AA140" s="93" t="str">
        <f>+VLOOKUP(Agencia[[#This Row],[Muestra]],Estructura!$M$4:$O$500,3,0)</f>
        <v>M-1039</v>
      </c>
    </row>
    <row r="141" spans="1:27" ht="57.6" x14ac:dyDescent="0.3">
      <c r="A141" s="21" t="s">
        <v>528</v>
      </c>
      <c r="B141" s="9">
        <f t="shared" si="65"/>
        <v>990</v>
      </c>
      <c r="C141" s="24" t="str">
        <f t="shared" si="65"/>
        <v>Agencia Información</v>
      </c>
      <c r="D141" s="67" t="str">
        <f t="shared" si="65"/>
        <v>Agropecuario y Forestal</v>
      </c>
      <c r="E141" s="19">
        <v>10</v>
      </c>
      <c r="F141" s="10" t="s">
        <v>598</v>
      </c>
      <c r="G141" s="10" t="s">
        <v>1878</v>
      </c>
      <c r="H141" s="33" t="s">
        <v>16</v>
      </c>
      <c r="I141" s="34" t="s">
        <v>377</v>
      </c>
      <c r="J141" s="9" t="str">
        <f t="shared" si="66"/>
        <v>Hortaliza</v>
      </c>
      <c r="K141" s="9" t="str">
        <f t="shared" si="69"/>
        <v>Precios diarios de hortalizas</v>
      </c>
      <c r="L141" s="9" t="str">
        <f t="shared" si="70"/>
        <v>Año 2021</v>
      </c>
      <c r="M141" s="9" t="str">
        <f t="shared" si="67"/>
        <v>CLP/Kg</v>
      </c>
      <c r="N141" s="9" t="str">
        <f t="shared" si="68"/>
        <v>Oficina de Estudios y Políticas Agrarias (ODEPA)</v>
      </c>
      <c r="O141" s="20" t="str">
        <f>"Precios diarios de hortalizas en mercados mayoristas de la "&amp;Agencia[[#This Row],[territorio]]&amp;", "&amp;Agencia[[#This Row],[temporalidad]]</f>
        <v>Precios diarios de hortalizas en mercados mayoristas de la Región de Los Lagos, Año 2021</v>
      </c>
      <c r="P141" s="112" t="s">
        <v>6547</v>
      </c>
      <c r="Q141" s="11" t="str">
        <f>+Q135</f>
        <v>Gráfico</v>
      </c>
      <c r="R141" s="148" t="str">
        <f>Agencia[[#This Row],[territorio]]&amp;",hortaliza,hortalizas,precio diario,precio,pesos chilenos.CLP,kilo,mercado mayorista,terminal,"&amp;Agencia[[#This Row],[coleccion]]&amp;","&amp;Agencia[[#This Row],[sector]]&amp;","&amp;Agencia[[#This Row],[tema]]&amp;","&amp;Agencia[[#This Row],[contenido]]</f>
        <v>Región de Los Lagos,hortaliza,hortalizas,precio diario,precio,pesos chilenos.CLP,kilo,mercado mayorista,terminal,Agencia Información,Agropecuario y Forestal,Precios,Agricultura</v>
      </c>
      <c r="S141" s="39" t="str">
        <f>HYPERLINK("https://analytics.zoho.com/open-view/2395394000008646229?ZOHO_CRITERIA=%22Hortaliza%20Consolidado%22.%22Codreg%22%3D"&amp;Agencia[[#This Row],[Filtro URL]])</f>
        <v>https://analytics.zoho.com/open-view/2395394000008646229?ZOHO_CRITERIA=%22Hortaliza%20Consolidado%22.%22Codreg%22%3D10</v>
      </c>
      <c r="T141" s="108" t="str">
        <f>"100-R-"&amp;Agencia[[#This Row],[Filtro URL]]</f>
        <v>100-R-10</v>
      </c>
      <c r="U141" s="46" t="str">
        <f>+U135</f>
        <v>#1774B9</v>
      </c>
      <c r="V141" s="93" t="str">
        <f>+Agencia[[#This Row],[idcoleccion]]&amp;"-"&amp;Agencia[[#This Row],[id]]</f>
        <v>990-0130</v>
      </c>
      <c r="W141" s="93">
        <f>+VLOOKUP(Agencia[[#This Row],[Filtro URL]],Estructura!$X$4:$Y$500,2,0)</f>
        <v>99200010</v>
      </c>
      <c r="X141" s="93" t="str">
        <f>+VLOOKUP(Agencia[[#This Row],[tema]],Estructura!$A$4:$C$500,3,0)</f>
        <v>T-1022</v>
      </c>
      <c r="Y141" s="93" t="str">
        <f>+VLOOKUP(Agencia[[#This Row],[contenido]],Estructura!$E$4:$G$500,3,0)</f>
        <v>C-997</v>
      </c>
      <c r="Z141" s="93" t="str">
        <f>+VLOOKUP(Agencia[[#This Row],[Filtro Integrado]],Estructura!$I$4:$K$500,3,0)</f>
        <v>FI-995</v>
      </c>
      <c r="AA141" s="93" t="str">
        <f>+VLOOKUP(Agencia[[#This Row],[Muestra]],Estructura!$M$4:$O$500,3,0)</f>
        <v>M-1039</v>
      </c>
    </row>
    <row r="142" spans="1:27" ht="61.2" x14ac:dyDescent="0.3">
      <c r="A142" s="21" t="s">
        <v>529</v>
      </c>
      <c r="B142" s="9">
        <f t="shared" si="65"/>
        <v>990</v>
      </c>
      <c r="C142" s="24" t="str">
        <f t="shared" si="65"/>
        <v>Agencia Información</v>
      </c>
      <c r="D142" s="67" t="str">
        <f t="shared" si="65"/>
        <v>Agropecuario y Forestal</v>
      </c>
      <c r="E142" s="19">
        <v>13</v>
      </c>
      <c r="F142" s="10" t="s">
        <v>598</v>
      </c>
      <c r="G142" s="10" t="s">
        <v>1878</v>
      </c>
      <c r="H142" s="33" t="s">
        <v>16</v>
      </c>
      <c r="I142" s="34" t="s">
        <v>380</v>
      </c>
      <c r="J142" s="9" t="str">
        <f t="shared" si="66"/>
        <v>Hortaliza</v>
      </c>
      <c r="K142" s="9" t="str">
        <f t="shared" si="69"/>
        <v>Precios diarios de hortalizas</v>
      </c>
      <c r="L142" s="9" t="str">
        <f t="shared" si="70"/>
        <v>Año 2021</v>
      </c>
      <c r="M142" s="9" t="str">
        <f t="shared" si="67"/>
        <v>CLP/Kg</v>
      </c>
      <c r="N142" s="9" t="str">
        <f t="shared" si="68"/>
        <v>Oficina de Estudios y Políticas Agrarias (ODEPA)</v>
      </c>
      <c r="O142" s="20" t="str">
        <f>"Precios diarios de hortalizas en mercados mayoristas de la "&amp;Agencia[[#This Row],[territorio]]&amp;", "&amp;Agencia[[#This Row],[temporalidad]]</f>
        <v>Precios diarios de hortalizas en mercados mayoristas de la Región Metropolitana, Año 2021</v>
      </c>
      <c r="P142" s="76" t="s">
        <v>6548</v>
      </c>
      <c r="Q142" s="11" t="str">
        <f>+Q135</f>
        <v>Gráfico</v>
      </c>
      <c r="R142" s="148" t="str">
        <f>Agencia[[#This Row],[territorio]]&amp;",hortaliza,hortalizas,precio diario,precio,pesos chilenos.CLP,kilo,mercado mayorista,terminal,"&amp;Agencia[[#This Row],[coleccion]]&amp;","&amp;Agencia[[#This Row],[sector]]&amp;","&amp;Agencia[[#This Row],[tema]]&amp;","&amp;Agencia[[#This Row],[contenido]]</f>
        <v>Región Metropolitana,hortaliza,hortalizas,precio diario,precio,pesos chilenos.CLP,kilo,mercado mayorista,terminal,Agencia Información,Agropecuario y Forestal,Precios,Agricultura</v>
      </c>
      <c r="S142" s="39" t="str">
        <f>HYPERLINK("https://analytics.zoho.com/open-view/2395394000008646229?ZOHO_CRITERIA=%22Hortaliza%20Consolidado%22.%22Codreg%22%3D"&amp;Agencia[[#This Row],[Filtro URL]])</f>
        <v>https://analytics.zoho.com/open-view/2395394000008646229?ZOHO_CRITERIA=%22Hortaliza%20Consolidado%22.%22Codreg%22%3D13</v>
      </c>
      <c r="T142" s="108" t="str">
        <f>"200-R-"&amp;Agencia[[#This Row],[Filtro URL]]</f>
        <v>200-R-13</v>
      </c>
      <c r="U142" s="46" t="str">
        <f>+U135</f>
        <v>#1774B9</v>
      </c>
      <c r="V142" s="93" t="str">
        <f>+Agencia[[#This Row],[idcoleccion]]&amp;"-"&amp;Agencia[[#This Row],[id]]</f>
        <v>990-0131</v>
      </c>
      <c r="W142" s="93">
        <f>+VLOOKUP(Agencia[[#This Row],[Filtro URL]],Estructura!$X$4:$Y$500,2,0)</f>
        <v>99200013</v>
      </c>
      <c r="X142" s="93" t="str">
        <f>+VLOOKUP(Agencia[[#This Row],[tema]],Estructura!$A$4:$C$500,3,0)</f>
        <v>T-1022</v>
      </c>
      <c r="Y142" s="93" t="str">
        <f>+VLOOKUP(Agencia[[#This Row],[contenido]],Estructura!$E$4:$G$500,3,0)</f>
        <v>C-997</v>
      </c>
      <c r="Z142" s="93" t="str">
        <f>+VLOOKUP(Agencia[[#This Row],[Filtro Integrado]],Estructura!$I$4:$K$500,3,0)</f>
        <v>FI-995</v>
      </c>
      <c r="AA142" s="93" t="str">
        <f>+VLOOKUP(Agencia[[#This Row],[Muestra]],Estructura!$M$4:$O$500,3,0)</f>
        <v>M-1039</v>
      </c>
    </row>
    <row r="143" spans="1:27" ht="61.2" x14ac:dyDescent="0.3">
      <c r="A143" s="21" t="s">
        <v>1552</v>
      </c>
      <c r="B143" s="9">
        <f t="shared" si="65"/>
        <v>990</v>
      </c>
      <c r="C143" s="24" t="str">
        <f t="shared" si="65"/>
        <v>Agencia Información</v>
      </c>
      <c r="D143" s="67" t="str">
        <f>+D142</f>
        <v>Agropecuario y Forestal</v>
      </c>
      <c r="E143" s="19">
        <v>15</v>
      </c>
      <c r="F143" s="10" t="s">
        <v>598</v>
      </c>
      <c r="G143" s="10" t="s">
        <v>1878</v>
      </c>
      <c r="H143" s="33" t="s">
        <v>16</v>
      </c>
      <c r="I143" s="34" t="s">
        <v>382</v>
      </c>
      <c r="J143" s="9" t="str">
        <f t="shared" si="66"/>
        <v>Hortaliza</v>
      </c>
      <c r="K143" s="9" t="str">
        <f t="shared" si="69"/>
        <v>Precios diarios de hortalizas</v>
      </c>
      <c r="L143" s="9" t="str">
        <f t="shared" si="70"/>
        <v>Año 2021</v>
      </c>
      <c r="M143" s="9" t="str">
        <f t="shared" si="67"/>
        <v>CLP/Kg</v>
      </c>
      <c r="N143" s="9" t="str">
        <f t="shared" si="68"/>
        <v>Oficina de Estudios y Políticas Agrarias (ODEPA)</v>
      </c>
      <c r="O143" s="20" t="str">
        <f>"Precios diarios de hortalizas en mercados mayoristas de la "&amp;Agencia[[#This Row],[territorio]]&amp;", "&amp;Agencia[[#This Row],[temporalidad]]</f>
        <v>Precios diarios de hortalizas en mercados mayoristas de la Región de Arica y Parinacota, Año 2021</v>
      </c>
      <c r="P143" s="112" t="s">
        <v>6549</v>
      </c>
      <c r="Q143" s="11" t="str">
        <f>+Q135</f>
        <v>Gráfico</v>
      </c>
      <c r="R143" s="148" t="str">
        <f>Agencia[[#This Row],[territorio]]&amp;",hortaliza,hortalizas,precio diario,precio,pesos chilenos.CLP,kilo,mercado mayorista,terminal,"&amp;Agencia[[#This Row],[coleccion]]&amp;","&amp;Agencia[[#This Row],[sector]]&amp;","&amp;Agencia[[#This Row],[tema]]&amp;","&amp;Agencia[[#This Row],[contenido]]</f>
        <v>Región de Arica y Parinacota,hortaliza,hortalizas,precio diario,precio,pesos chilenos.CLP,kilo,mercado mayorista,terminal,Agencia Información,Agropecuario y Forestal,Precios,Agricultura</v>
      </c>
      <c r="S143" s="39" t="str">
        <f>HYPERLINK("https://analytics.zoho.com/open-view/2395394000008646229?ZOHO_CRITERIA=%22Hortaliza%20Consolidado%22.%22Codreg%22%3D"&amp;Agencia[[#This Row],[Filtro URL]])</f>
        <v>https://analytics.zoho.com/open-view/2395394000008646229?ZOHO_CRITERIA=%22Hortaliza%20Consolidado%22.%22Codreg%22%3D15</v>
      </c>
      <c r="T143" s="108" t="str">
        <f>"100-R-"&amp;Agencia[[#This Row],[Filtro URL]]</f>
        <v>100-R-15</v>
      </c>
      <c r="U143" s="46" t="str">
        <f>+U135</f>
        <v>#1774B9</v>
      </c>
      <c r="V143" s="93" t="str">
        <f>+Agencia[[#This Row],[idcoleccion]]&amp;"-"&amp;Agencia[[#This Row],[id]]</f>
        <v>990-0132</v>
      </c>
      <c r="W143" s="93">
        <f>+VLOOKUP(Agencia[[#This Row],[Filtro URL]],Estructura!$X$4:$Y$500,2,0)</f>
        <v>99200015</v>
      </c>
      <c r="X143" s="93" t="str">
        <f>+VLOOKUP(Agencia[[#This Row],[tema]],Estructura!$A$4:$C$500,3,0)</f>
        <v>T-1022</v>
      </c>
      <c r="Y143" s="93" t="str">
        <f>+VLOOKUP(Agencia[[#This Row],[contenido]],Estructura!$E$4:$G$500,3,0)</f>
        <v>C-997</v>
      </c>
      <c r="Z143" s="93" t="str">
        <f>+VLOOKUP(Agencia[[#This Row],[Filtro Integrado]],Estructura!$I$4:$K$500,3,0)</f>
        <v>FI-995</v>
      </c>
      <c r="AA143" s="93" t="str">
        <f>+VLOOKUP(Agencia[[#This Row],[Muestra]],Estructura!$M$4:$O$500,3,0)</f>
        <v>M-1039</v>
      </c>
    </row>
    <row r="144" spans="1:27" ht="57.6" x14ac:dyDescent="0.3">
      <c r="A144" s="21" t="s">
        <v>530</v>
      </c>
      <c r="B144" s="9">
        <f t="shared" si="65"/>
        <v>990</v>
      </c>
      <c r="C144" s="24" t="str">
        <f t="shared" si="65"/>
        <v>Agencia Información</v>
      </c>
      <c r="D144" s="67" t="str">
        <f>+D143</f>
        <v>Agropecuario y Forestal</v>
      </c>
      <c r="E144" s="19">
        <v>16</v>
      </c>
      <c r="F144" s="10" t="s">
        <v>598</v>
      </c>
      <c r="G144" s="10" t="s">
        <v>1878</v>
      </c>
      <c r="H144" s="33" t="s">
        <v>16</v>
      </c>
      <c r="I144" s="34" t="s">
        <v>383</v>
      </c>
      <c r="J144" s="9" t="str">
        <f t="shared" si="66"/>
        <v>Hortaliza</v>
      </c>
      <c r="K144" s="9" t="str">
        <f t="shared" si="69"/>
        <v>Precios diarios de hortalizas</v>
      </c>
      <c r="L144" s="9" t="str">
        <f t="shared" si="70"/>
        <v>Año 2021</v>
      </c>
      <c r="M144" s="9" t="str">
        <f t="shared" si="67"/>
        <v>CLP/Kg</v>
      </c>
      <c r="N144" s="9" t="str">
        <f t="shared" si="68"/>
        <v>Oficina de Estudios y Políticas Agrarias (ODEPA)</v>
      </c>
      <c r="O144" s="20" t="str">
        <f>"Precios diarios de hortalizas en mercados mayoristas de la "&amp;Agencia[[#This Row],[territorio]]&amp;", "&amp;Agencia[[#This Row],[temporalidad]]</f>
        <v>Precios diarios de hortalizas en mercados mayoristas de la Región de Ñuble, Año 2021</v>
      </c>
      <c r="P144" s="112" t="s">
        <v>6550</v>
      </c>
      <c r="Q144" s="11" t="str">
        <f>+Q135</f>
        <v>Gráfico</v>
      </c>
      <c r="R144" s="148" t="str">
        <f>Agencia[[#This Row],[territorio]]&amp;",hortaliza,hortalizas,precio diario,precio,pesos chilenos.CLP,kilo,mercado mayorista,terminal,"&amp;Agencia[[#This Row],[coleccion]]&amp;","&amp;Agencia[[#This Row],[sector]]&amp;","&amp;Agencia[[#This Row],[tema]]&amp;","&amp;Agencia[[#This Row],[contenido]]</f>
        <v>Región de Ñuble,hortaliza,hortalizas,precio diario,precio,pesos chilenos.CLP,kilo,mercado mayorista,terminal,Agencia Información,Agropecuario y Forestal,Precios,Agricultura</v>
      </c>
      <c r="S144" s="39" t="str">
        <f>HYPERLINK("https://analytics.zoho.com/open-view/2395394000008646229?ZOHO_CRITERIA=%22Hortaliza%20Consolidado%22.%22Codreg%22%3D"&amp;Agencia[[#This Row],[Filtro URL]])</f>
        <v>https://analytics.zoho.com/open-view/2395394000008646229?ZOHO_CRITERIA=%22Hortaliza%20Consolidado%22.%22Codreg%22%3D16</v>
      </c>
      <c r="T144" s="108" t="str">
        <f>"100-R-"&amp;Agencia[[#This Row],[Filtro URL]]</f>
        <v>100-R-16</v>
      </c>
      <c r="U144" s="46" t="str">
        <f>+U135</f>
        <v>#1774B9</v>
      </c>
      <c r="V144" s="93" t="str">
        <f>+Agencia[[#This Row],[idcoleccion]]&amp;"-"&amp;Agencia[[#This Row],[id]]</f>
        <v>990-0133</v>
      </c>
      <c r="W144" s="93">
        <f>+VLOOKUP(Agencia[[#This Row],[Filtro URL]],Estructura!$X$4:$Y$500,2,0)</f>
        <v>99200016</v>
      </c>
      <c r="X144" s="93" t="str">
        <f>+VLOOKUP(Agencia[[#This Row],[tema]],Estructura!$A$4:$C$500,3,0)</f>
        <v>T-1022</v>
      </c>
      <c r="Y144" s="93" t="str">
        <f>+VLOOKUP(Agencia[[#This Row],[contenido]],Estructura!$E$4:$G$500,3,0)</f>
        <v>C-997</v>
      </c>
      <c r="Z144" s="93" t="str">
        <f>+VLOOKUP(Agencia[[#This Row],[Filtro Integrado]],Estructura!$I$4:$K$500,3,0)</f>
        <v>FI-995</v>
      </c>
      <c r="AA144" s="93" t="str">
        <f>+VLOOKUP(Agencia[[#This Row],[Muestra]],Estructura!$M$4:$O$500,3,0)</f>
        <v>M-1039</v>
      </c>
    </row>
    <row r="145" spans="1:27" ht="51" x14ac:dyDescent="0.3">
      <c r="A145" s="21" t="s">
        <v>531</v>
      </c>
      <c r="B145" s="23">
        <f t="shared" ref="B145:B155" si="71">+B135</f>
        <v>990</v>
      </c>
      <c r="C145" s="24" t="str">
        <f t="shared" ref="C145:C158" si="72">+C144</f>
        <v>Agencia Información</v>
      </c>
      <c r="D145" s="72" t="s">
        <v>571</v>
      </c>
      <c r="E145" s="14">
        <v>0</v>
      </c>
      <c r="F145" s="10" t="s">
        <v>598</v>
      </c>
      <c r="G145" s="10" t="s">
        <v>1878</v>
      </c>
      <c r="H145" s="31" t="s">
        <v>20</v>
      </c>
      <c r="I145" s="32" t="s">
        <v>15</v>
      </c>
      <c r="J145" s="9" t="s">
        <v>600</v>
      </c>
      <c r="K145" s="9" t="s">
        <v>9253</v>
      </c>
      <c r="L145" s="9" t="str">
        <f>+L135</f>
        <v>Año 2021</v>
      </c>
      <c r="M145" s="9" t="str">
        <f>+M135</f>
        <v>CLP/Kg</v>
      </c>
      <c r="N145" s="9" t="s">
        <v>601</v>
      </c>
      <c r="O145" s="20" t="str">
        <f>"Precios diarios de frutas en mercados mayoristas de "&amp;Agencia[[#This Row],[territorio]]&amp;", "&amp;Agencia[[#This Row],[temporalidad]]</f>
        <v>Precios diarios de frutas en mercados mayoristas de Chile, Año 2021</v>
      </c>
      <c r="P145" s="112" t="s">
        <v>981</v>
      </c>
      <c r="Q145" s="11" t="s">
        <v>576</v>
      </c>
      <c r="R145" s="20" t="str">
        <f>Agencia[[#This Row],[territorio]]&amp;",fruta,frutas.precio,precio diario,pesos chilenos,CLP,kilo,mercado mayorista,terminal,"&amp;Agencia[[#This Row],[coleccion]]&amp;","&amp;Agencia[[#This Row],[sector]]&amp;","&amp;Agencia[[#This Row],[tema]]&amp;","&amp;Agencia[[#This Row],[contenido]]</f>
        <v>Chile,fruta,frutas.precio,precio diario,pesos chilenos,CLP,kilo,mercado mayorista,terminal,Agencia Información,Agropecuario y Forestal,Precios,Agricultura</v>
      </c>
      <c r="S145" s="39" t="s">
        <v>1530</v>
      </c>
      <c r="T145" s="108" t="s">
        <v>805</v>
      </c>
      <c r="U145" s="46" t="str">
        <f>+U135</f>
        <v>#1774B9</v>
      </c>
      <c r="V145" s="93" t="str">
        <f>+Agencia[[#This Row],[idcoleccion]]&amp;"-"&amp;Agencia[[#This Row],[id]]</f>
        <v>990-0134</v>
      </c>
      <c r="W145" s="93">
        <f>+VLOOKUP(Agencia[[#This Row],[Filtro URL]],Estructura!$X$4:$Y$500,2,0)</f>
        <v>99100000</v>
      </c>
      <c r="X145" s="93" t="str">
        <f>+VLOOKUP(Agencia[[#This Row],[tema]],Estructura!$A$4:$C$500,3,0)</f>
        <v>T-1022</v>
      </c>
      <c r="Y145" s="93" t="str">
        <f>+VLOOKUP(Agencia[[#This Row],[contenido]],Estructura!$E$4:$G$500,3,0)</f>
        <v>C-997</v>
      </c>
      <c r="Z145" s="93" t="str">
        <f>+VLOOKUP(Agencia[[#This Row],[Filtro Integrado]],Estructura!$I$4:$K$500,3,0)</f>
        <v>FI-996</v>
      </c>
      <c r="AA145" s="93" t="str">
        <f>+VLOOKUP(Agencia[[#This Row],[Muestra]],Estructura!$M$4:$O$500,3,0)</f>
        <v>M-1040</v>
      </c>
    </row>
    <row r="146" spans="1:27" ht="57.6" x14ac:dyDescent="0.3">
      <c r="A146" s="21" t="s">
        <v>532</v>
      </c>
      <c r="B146" s="23">
        <f t="shared" si="71"/>
        <v>990</v>
      </c>
      <c r="C146" s="24" t="str">
        <f>+C145</f>
        <v>Agencia Información</v>
      </c>
      <c r="D146" s="72" t="str">
        <f>+D145</f>
        <v>Agropecuario y Forestal</v>
      </c>
      <c r="E146" s="19">
        <v>4</v>
      </c>
      <c r="F146" s="10" t="s">
        <v>598</v>
      </c>
      <c r="G146" s="10" t="s">
        <v>1878</v>
      </c>
      <c r="H146" s="33" t="s">
        <v>16</v>
      </c>
      <c r="I146" s="34" t="s">
        <v>371</v>
      </c>
      <c r="J146" s="9" t="str">
        <f>+J145</f>
        <v>Fruta</v>
      </c>
      <c r="K146" s="9" t="str">
        <f>+K145</f>
        <v>Precios diarios de frutas</v>
      </c>
      <c r="L146" s="9" t="str">
        <f>+L145</f>
        <v>Año 2021</v>
      </c>
      <c r="M146" s="9" t="str">
        <f>+M145</f>
        <v>CLP/Kg</v>
      </c>
      <c r="N146" s="9" t="str">
        <f>+N145</f>
        <v>Oficina de Estudios y Políticas Agrarias (ODEPA)</v>
      </c>
      <c r="O146" s="20" t="str">
        <f>"Precios diarios de frutas en mercados mayoristas de la "&amp;Agencia[[#This Row],[territorio]]&amp;", "&amp;Agencia[[#This Row],[temporalidad]]</f>
        <v>Precios diarios de frutas en mercados mayoristas de la Región de Coquimbo, Año 2021</v>
      </c>
      <c r="P146" s="112" t="s">
        <v>6551</v>
      </c>
      <c r="Q146" s="11" t="str">
        <f>+Q145</f>
        <v>Gráfico</v>
      </c>
      <c r="R146" s="148" t="str">
        <f>Agencia[[#This Row],[territorio]]&amp;",fruta,frutas.precio,precio diario,pesos chilenos,CLP,kilo,mercado mayorista,terminal,"&amp;Agencia[[#This Row],[coleccion]]&amp;","&amp;Agencia[[#This Row],[sector]]&amp;","&amp;Agencia[[#This Row],[tema]]&amp;","&amp;Agencia[[#This Row],[contenido]]</f>
        <v>Región de Coquimbo,fruta,frutas.precio,precio diario,pesos chilenos,CLP,kilo,mercado mayorista,terminal,Agencia Información,Agropecuario y Forestal,Precios,Agricultura</v>
      </c>
      <c r="S146" s="39" t="str">
        <f>HYPERLINK("https://analytics.zoho.com/open-view/2395394000008646880?ZOHO_CRITERIA=%22Fruta%20Consolidado%22.%22Codreg%22%3D"&amp;Agencia[[#This Row],[Filtro URL]])</f>
        <v>https://analytics.zoho.com/open-view/2395394000008646880?ZOHO_CRITERIA=%22Fruta%20Consolidado%22.%22Codreg%22%3D4</v>
      </c>
      <c r="T146" s="108" t="str">
        <f>"100-R-"&amp;Agencia[[#This Row],[Filtro URL]]</f>
        <v>100-R-4</v>
      </c>
      <c r="U146" s="46" t="str">
        <f>+U145</f>
        <v>#1774B9</v>
      </c>
      <c r="V146" s="93" t="str">
        <f>+Agencia[[#This Row],[idcoleccion]]&amp;"-"&amp;Agencia[[#This Row],[id]]</f>
        <v>990-0135</v>
      </c>
      <c r="W146" s="93">
        <f>+VLOOKUP(Agencia[[#This Row],[Filtro URL]],Estructura!$X$4:$Y$500,2,0)</f>
        <v>99200004</v>
      </c>
      <c r="X146" s="93" t="str">
        <f>+VLOOKUP(Agencia[[#This Row],[tema]],Estructura!$A$4:$C$500,3,0)</f>
        <v>T-1022</v>
      </c>
      <c r="Y146" s="93" t="str">
        <f>+VLOOKUP(Agencia[[#This Row],[contenido]],Estructura!$E$4:$G$500,3,0)</f>
        <v>C-997</v>
      </c>
      <c r="Z146" s="93" t="str">
        <f>+VLOOKUP(Agencia[[#This Row],[Filtro Integrado]],Estructura!$I$4:$K$500,3,0)</f>
        <v>FI-996</v>
      </c>
      <c r="AA146" s="93" t="str">
        <f>+VLOOKUP(Agencia[[#This Row],[Muestra]],Estructura!$M$4:$O$500,3,0)</f>
        <v>M-1040</v>
      </c>
    </row>
    <row r="147" spans="1:27" ht="57.6" x14ac:dyDescent="0.3">
      <c r="A147" s="21" t="s">
        <v>533</v>
      </c>
      <c r="B147" s="23">
        <f t="shared" si="71"/>
        <v>990</v>
      </c>
      <c r="C147" s="24" t="str">
        <f t="shared" si="72"/>
        <v>Agencia Información</v>
      </c>
      <c r="D147" s="72" t="str">
        <f t="shared" ref="D147:D154" si="73">+D146</f>
        <v>Agropecuario y Forestal</v>
      </c>
      <c r="E147" s="19">
        <v>5</v>
      </c>
      <c r="F147" s="10" t="s">
        <v>598</v>
      </c>
      <c r="G147" s="10" t="s">
        <v>1878</v>
      </c>
      <c r="H147" s="33" t="s">
        <v>16</v>
      </c>
      <c r="I147" s="34" t="s">
        <v>372</v>
      </c>
      <c r="J147" s="9" t="str">
        <f t="shared" ref="J147:J154" si="74">+J146</f>
        <v>Fruta</v>
      </c>
      <c r="K147" s="9" t="str">
        <f t="shared" ref="K147:K154" si="75">+K146</f>
        <v>Precios diarios de frutas</v>
      </c>
      <c r="L147" s="9" t="str">
        <f t="shared" ref="L147:L154" si="76">+L146</f>
        <v>Año 2021</v>
      </c>
      <c r="M147" s="9" t="str">
        <f t="shared" ref="M147:M154" si="77">+M146</f>
        <v>CLP/Kg</v>
      </c>
      <c r="N147" s="9" t="str">
        <f t="shared" ref="N147:N154" si="78">+N146</f>
        <v>Oficina de Estudios y Políticas Agrarias (ODEPA)</v>
      </c>
      <c r="O147" s="20" t="str">
        <f>"Precios diarios de frutas en mercados mayoristas de la "&amp;Agencia[[#This Row],[territorio]]&amp;", "&amp;Agencia[[#This Row],[temporalidad]]</f>
        <v>Precios diarios de frutas en mercados mayoristas de la Región de Valparaíso, Año 2021</v>
      </c>
      <c r="P147" s="112" t="s">
        <v>6552</v>
      </c>
      <c r="Q147" s="11" t="str">
        <f>+Q145</f>
        <v>Gráfico</v>
      </c>
      <c r="R147" s="148" t="str">
        <f>Agencia[[#This Row],[territorio]]&amp;",fruta,frutas.precio,precio diario,pesos chilenos,CLP,kilo,mercado mayorista,terminal,"&amp;Agencia[[#This Row],[coleccion]]&amp;","&amp;Agencia[[#This Row],[sector]]&amp;","&amp;Agencia[[#This Row],[tema]]&amp;","&amp;Agencia[[#This Row],[contenido]]</f>
        <v>Región de Valparaíso,fruta,frutas.precio,precio diario,pesos chilenos,CLP,kilo,mercado mayorista,terminal,Agencia Información,Agropecuario y Forestal,Precios,Agricultura</v>
      </c>
      <c r="S147" s="39" t="str">
        <f>HYPERLINK("https://analytics.zoho.com/open-view/2395394000008646880?ZOHO_CRITERIA=%22Fruta%20Consolidado%22.%22Codreg%22%3D"&amp;Agencia[[#This Row],[Filtro URL]])</f>
        <v>https://analytics.zoho.com/open-view/2395394000008646880?ZOHO_CRITERIA=%22Fruta%20Consolidado%22.%22Codreg%22%3D5</v>
      </c>
      <c r="T147" s="108" t="str">
        <f>"100-R-"&amp;Agencia[[#This Row],[Filtro URL]]</f>
        <v>100-R-5</v>
      </c>
      <c r="U147" s="46" t="str">
        <f>+U145</f>
        <v>#1774B9</v>
      </c>
      <c r="V147" s="93" t="str">
        <f>+Agencia[[#This Row],[idcoleccion]]&amp;"-"&amp;Agencia[[#This Row],[id]]</f>
        <v>990-0136</v>
      </c>
      <c r="W147" s="93">
        <f>+VLOOKUP(Agencia[[#This Row],[Filtro URL]],Estructura!$X$4:$Y$500,2,0)</f>
        <v>99200005</v>
      </c>
      <c r="X147" s="93" t="str">
        <f>+VLOOKUP(Agencia[[#This Row],[tema]],Estructura!$A$4:$C$500,3,0)</f>
        <v>T-1022</v>
      </c>
      <c r="Y147" s="93" t="str">
        <f>+VLOOKUP(Agencia[[#This Row],[contenido]],Estructura!$E$4:$G$500,3,0)</f>
        <v>C-997</v>
      </c>
      <c r="Z147" s="93" t="str">
        <f>+VLOOKUP(Agencia[[#This Row],[Filtro Integrado]],Estructura!$I$4:$K$500,3,0)</f>
        <v>FI-996</v>
      </c>
      <c r="AA147" s="93" t="str">
        <f>+VLOOKUP(Agencia[[#This Row],[Muestra]],Estructura!$M$4:$O$500,3,0)</f>
        <v>M-1040</v>
      </c>
    </row>
    <row r="148" spans="1:27" ht="57.6" x14ac:dyDescent="0.3">
      <c r="A148" s="21" t="s">
        <v>1553</v>
      </c>
      <c r="B148" s="23">
        <f t="shared" si="71"/>
        <v>990</v>
      </c>
      <c r="C148" s="24" t="str">
        <f t="shared" si="72"/>
        <v>Agencia Información</v>
      </c>
      <c r="D148" s="72" t="str">
        <f t="shared" si="73"/>
        <v>Agropecuario y Forestal</v>
      </c>
      <c r="E148" s="19">
        <v>7</v>
      </c>
      <c r="F148" s="10" t="s">
        <v>598</v>
      </c>
      <c r="G148" s="10" t="s">
        <v>1878</v>
      </c>
      <c r="H148" s="33" t="s">
        <v>16</v>
      </c>
      <c r="I148" s="34" t="s">
        <v>374</v>
      </c>
      <c r="J148" s="9" t="str">
        <f t="shared" si="74"/>
        <v>Fruta</v>
      </c>
      <c r="K148" s="9" t="str">
        <f t="shared" si="75"/>
        <v>Precios diarios de frutas</v>
      </c>
      <c r="L148" s="9" t="str">
        <f t="shared" si="76"/>
        <v>Año 2021</v>
      </c>
      <c r="M148" s="9" t="str">
        <f t="shared" si="77"/>
        <v>CLP/Kg</v>
      </c>
      <c r="N148" s="9" t="str">
        <f t="shared" si="78"/>
        <v>Oficina de Estudios y Políticas Agrarias (ODEPA)</v>
      </c>
      <c r="O148" s="20" t="str">
        <f>"Precios diarios de frutas en mercados mayoristas de la "&amp;Agencia[[#This Row],[territorio]]&amp;", "&amp;Agencia[[#This Row],[temporalidad]]</f>
        <v>Precios diarios de frutas en mercados mayoristas de la Región de Maule, Año 2021</v>
      </c>
      <c r="P148" s="112" t="s">
        <v>6553</v>
      </c>
      <c r="Q148" s="11" t="str">
        <f>+Q145</f>
        <v>Gráfico</v>
      </c>
      <c r="R148" s="148" t="str">
        <f>Agencia[[#This Row],[territorio]]&amp;",fruta,frutas.precio,precio diario,pesos chilenos,CLP,kilo,mercado mayorista,terminal,"&amp;Agencia[[#This Row],[coleccion]]&amp;","&amp;Agencia[[#This Row],[sector]]&amp;","&amp;Agencia[[#This Row],[tema]]&amp;","&amp;Agencia[[#This Row],[contenido]]</f>
        <v>Región de Maule,fruta,frutas.precio,precio diario,pesos chilenos,CLP,kilo,mercado mayorista,terminal,Agencia Información,Agropecuario y Forestal,Precios,Agricultura</v>
      </c>
      <c r="S148" s="39" t="str">
        <f>HYPERLINK("https://analytics.zoho.com/open-view/2395394000008646880?ZOHO_CRITERIA=%22Fruta%20Consolidado%22.%22Codreg%22%3D"&amp;Agencia[[#This Row],[Filtro URL]])</f>
        <v>https://analytics.zoho.com/open-view/2395394000008646880?ZOHO_CRITERIA=%22Fruta%20Consolidado%22.%22Codreg%22%3D7</v>
      </c>
      <c r="T148" s="108" t="str">
        <f>"100-R-"&amp;Agencia[[#This Row],[Filtro URL]]</f>
        <v>100-R-7</v>
      </c>
      <c r="U148" s="46" t="str">
        <f>+U145</f>
        <v>#1774B9</v>
      </c>
      <c r="V148" s="93" t="str">
        <f>+Agencia[[#This Row],[idcoleccion]]&amp;"-"&amp;Agencia[[#This Row],[id]]</f>
        <v>990-0137</v>
      </c>
      <c r="W148" s="93">
        <f>+VLOOKUP(Agencia[[#This Row],[Filtro URL]],Estructura!$X$4:$Y$500,2,0)</f>
        <v>99200007</v>
      </c>
      <c r="X148" s="93" t="str">
        <f>+VLOOKUP(Agencia[[#This Row],[tema]],Estructura!$A$4:$C$500,3,0)</f>
        <v>T-1022</v>
      </c>
      <c r="Y148" s="93" t="str">
        <f>+VLOOKUP(Agencia[[#This Row],[contenido]],Estructura!$E$4:$G$500,3,0)</f>
        <v>C-997</v>
      </c>
      <c r="Z148" s="93" t="str">
        <f>+VLOOKUP(Agencia[[#This Row],[Filtro Integrado]],Estructura!$I$4:$K$500,3,0)</f>
        <v>FI-996</v>
      </c>
      <c r="AA148" s="93" t="str">
        <f>+VLOOKUP(Agencia[[#This Row],[Muestra]],Estructura!$M$4:$O$500,3,0)</f>
        <v>M-1040</v>
      </c>
    </row>
    <row r="149" spans="1:27" ht="57.6" x14ac:dyDescent="0.3">
      <c r="A149" s="21" t="s">
        <v>1554</v>
      </c>
      <c r="B149" s="23">
        <f t="shared" si="71"/>
        <v>990</v>
      </c>
      <c r="C149" s="24" t="str">
        <f t="shared" si="72"/>
        <v>Agencia Información</v>
      </c>
      <c r="D149" s="72" t="str">
        <f t="shared" si="73"/>
        <v>Agropecuario y Forestal</v>
      </c>
      <c r="E149" s="19">
        <v>8</v>
      </c>
      <c r="F149" s="10" t="s">
        <v>598</v>
      </c>
      <c r="G149" s="10" t="s">
        <v>1878</v>
      </c>
      <c r="H149" s="33" t="s">
        <v>16</v>
      </c>
      <c r="I149" s="34" t="s">
        <v>375</v>
      </c>
      <c r="J149" s="9" t="str">
        <f t="shared" si="74"/>
        <v>Fruta</v>
      </c>
      <c r="K149" s="9" t="str">
        <f t="shared" si="75"/>
        <v>Precios diarios de frutas</v>
      </c>
      <c r="L149" s="9" t="str">
        <f t="shared" si="76"/>
        <v>Año 2021</v>
      </c>
      <c r="M149" s="9" t="str">
        <f t="shared" si="77"/>
        <v>CLP/Kg</v>
      </c>
      <c r="N149" s="9" t="str">
        <f t="shared" si="78"/>
        <v>Oficina de Estudios y Políticas Agrarias (ODEPA)</v>
      </c>
      <c r="O149" s="20" t="str">
        <f>"Precios diarios de frutas en mercados mayoristas de la "&amp;Agencia[[#This Row],[territorio]]&amp;", "&amp;Agencia[[#This Row],[temporalidad]]</f>
        <v>Precios diarios de frutas en mercados mayoristas de la Región del Biobío, Año 2021</v>
      </c>
      <c r="P149" s="112" t="s">
        <v>6554</v>
      </c>
      <c r="Q149" s="11" t="str">
        <f>+Q145</f>
        <v>Gráfico</v>
      </c>
      <c r="R149" s="148" t="str">
        <f>Agencia[[#This Row],[territorio]]&amp;",fruta,frutas.precio,precio diario,pesos chilenos,CLP,kilo,mercado mayorista,terminal,"&amp;Agencia[[#This Row],[coleccion]]&amp;","&amp;Agencia[[#This Row],[sector]]&amp;","&amp;Agencia[[#This Row],[tema]]&amp;","&amp;Agencia[[#This Row],[contenido]]</f>
        <v>Región del Biobío,fruta,frutas.precio,precio diario,pesos chilenos,CLP,kilo,mercado mayorista,terminal,Agencia Información,Agropecuario y Forestal,Precios,Agricultura</v>
      </c>
      <c r="S149" s="39" t="str">
        <f>HYPERLINK("https://analytics.zoho.com/open-view/2395394000008646880?ZOHO_CRITERIA=%22Fruta%20Consolidado%22.%22Codreg%22%3D"&amp;Agencia[[#This Row],[Filtro URL]])</f>
        <v>https://analytics.zoho.com/open-view/2395394000008646880?ZOHO_CRITERIA=%22Fruta%20Consolidado%22.%22Codreg%22%3D8</v>
      </c>
      <c r="T149" s="108" t="str">
        <f>"100-R-"&amp;Agencia[[#This Row],[Filtro URL]]</f>
        <v>100-R-8</v>
      </c>
      <c r="U149" s="46" t="str">
        <f>+U145</f>
        <v>#1774B9</v>
      </c>
      <c r="V149" s="93" t="str">
        <f>+Agencia[[#This Row],[idcoleccion]]&amp;"-"&amp;Agencia[[#This Row],[id]]</f>
        <v>990-0138</v>
      </c>
      <c r="W149" s="93">
        <f>+VLOOKUP(Agencia[[#This Row],[Filtro URL]],Estructura!$X$4:$Y$500,2,0)</f>
        <v>99200008</v>
      </c>
      <c r="X149" s="93" t="str">
        <f>+VLOOKUP(Agencia[[#This Row],[tema]],Estructura!$A$4:$C$500,3,0)</f>
        <v>T-1022</v>
      </c>
      <c r="Y149" s="93" t="str">
        <f>+VLOOKUP(Agencia[[#This Row],[contenido]],Estructura!$E$4:$G$500,3,0)</f>
        <v>C-997</v>
      </c>
      <c r="Z149" s="93" t="str">
        <f>+VLOOKUP(Agencia[[#This Row],[Filtro Integrado]],Estructura!$I$4:$K$500,3,0)</f>
        <v>FI-996</v>
      </c>
      <c r="AA149" s="93" t="str">
        <f>+VLOOKUP(Agencia[[#This Row],[Muestra]],Estructura!$M$4:$O$500,3,0)</f>
        <v>M-1040</v>
      </c>
    </row>
    <row r="150" spans="1:27" ht="57.6" x14ac:dyDescent="0.3">
      <c r="A150" s="21" t="s">
        <v>534</v>
      </c>
      <c r="B150" s="23">
        <f t="shared" si="71"/>
        <v>990</v>
      </c>
      <c r="C150" s="24" t="str">
        <f t="shared" si="72"/>
        <v>Agencia Información</v>
      </c>
      <c r="D150" s="72" t="str">
        <f t="shared" si="73"/>
        <v>Agropecuario y Forestal</v>
      </c>
      <c r="E150" s="19">
        <v>9</v>
      </c>
      <c r="F150" s="10" t="s">
        <v>598</v>
      </c>
      <c r="G150" s="10" t="s">
        <v>1878</v>
      </c>
      <c r="H150" s="33" t="s">
        <v>16</v>
      </c>
      <c r="I150" s="34" t="s">
        <v>376</v>
      </c>
      <c r="J150" s="9" t="str">
        <f t="shared" si="74"/>
        <v>Fruta</v>
      </c>
      <c r="K150" s="9" t="str">
        <f t="shared" si="75"/>
        <v>Precios diarios de frutas</v>
      </c>
      <c r="L150" s="9" t="str">
        <f t="shared" si="76"/>
        <v>Año 2021</v>
      </c>
      <c r="M150" s="9" t="str">
        <f t="shared" si="77"/>
        <v>CLP/Kg</v>
      </c>
      <c r="N150" s="9" t="str">
        <f t="shared" si="78"/>
        <v>Oficina de Estudios y Políticas Agrarias (ODEPA)</v>
      </c>
      <c r="O150" s="20" t="str">
        <f>"Precios diarios de frutas en mercados mayoristas de la "&amp;Agencia[[#This Row],[territorio]]&amp;", "&amp;Agencia[[#This Row],[temporalidad]]</f>
        <v>Precios diarios de frutas en mercados mayoristas de la Región de La Araucanía, Año 2021</v>
      </c>
      <c r="P150" s="112" t="s">
        <v>6555</v>
      </c>
      <c r="Q150" s="11" t="str">
        <f>+Q145</f>
        <v>Gráfico</v>
      </c>
      <c r="R150" s="148" t="str">
        <f>Agencia[[#This Row],[territorio]]&amp;",fruta,frutas.precio,precio diario,pesos chilenos,CLP,kilo,mercado mayorista,terminal,"&amp;Agencia[[#This Row],[coleccion]]&amp;","&amp;Agencia[[#This Row],[sector]]&amp;","&amp;Agencia[[#This Row],[tema]]&amp;","&amp;Agencia[[#This Row],[contenido]]</f>
        <v>Región de La Araucanía,fruta,frutas.precio,precio diario,pesos chilenos,CLP,kilo,mercado mayorista,terminal,Agencia Información,Agropecuario y Forestal,Precios,Agricultura</v>
      </c>
      <c r="S150" s="39" t="str">
        <f>HYPERLINK("https://analytics.zoho.com/open-view/2395394000008646880?ZOHO_CRITERIA=%22Fruta%20Consolidado%22.%22Codreg%22%3D"&amp;Agencia[[#This Row],[Filtro URL]])</f>
        <v>https://analytics.zoho.com/open-view/2395394000008646880?ZOHO_CRITERIA=%22Fruta%20Consolidado%22.%22Codreg%22%3D9</v>
      </c>
      <c r="T150" s="108" t="str">
        <f>"100-R-"&amp;Agencia[[#This Row],[Filtro URL]]</f>
        <v>100-R-9</v>
      </c>
      <c r="U150" s="46" t="str">
        <f>+U145</f>
        <v>#1774B9</v>
      </c>
      <c r="V150" s="93" t="str">
        <f>+Agencia[[#This Row],[idcoleccion]]&amp;"-"&amp;Agencia[[#This Row],[id]]</f>
        <v>990-0139</v>
      </c>
      <c r="W150" s="93">
        <f>+VLOOKUP(Agencia[[#This Row],[Filtro URL]],Estructura!$X$4:$Y$500,2,0)</f>
        <v>99200009</v>
      </c>
      <c r="X150" s="93" t="str">
        <f>+VLOOKUP(Agencia[[#This Row],[tema]],Estructura!$A$4:$C$500,3,0)</f>
        <v>T-1022</v>
      </c>
      <c r="Y150" s="93" t="str">
        <f>+VLOOKUP(Agencia[[#This Row],[contenido]],Estructura!$E$4:$G$500,3,0)</f>
        <v>C-997</v>
      </c>
      <c r="Z150" s="93" t="str">
        <f>+VLOOKUP(Agencia[[#This Row],[Filtro Integrado]],Estructura!$I$4:$K$500,3,0)</f>
        <v>FI-996</v>
      </c>
      <c r="AA150" s="93" t="str">
        <f>+VLOOKUP(Agencia[[#This Row],[Muestra]],Estructura!$M$4:$O$500,3,0)</f>
        <v>M-1040</v>
      </c>
    </row>
    <row r="151" spans="1:27" ht="57.6" x14ac:dyDescent="0.3">
      <c r="A151" s="21" t="s">
        <v>1555</v>
      </c>
      <c r="B151" s="23">
        <f t="shared" si="71"/>
        <v>990</v>
      </c>
      <c r="C151" s="24" t="str">
        <f t="shared" si="72"/>
        <v>Agencia Información</v>
      </c>
      <c r="D151" s="72" t="str">
        <f t="shared" si="73"/>
        <v>Agropecuario y Forestal</v>
      </c>
      <c r="E151" s="19">
        <v>10</v>
      </c>
      <c r="F151" s="10" t="s">
        <v>598</v>
      </c>
      <c r="G151" s="10" t="s">
        <v>1878</v>
      </c>
      <c r="H151" s="33" t="s">
        <v>16</v>
      </c>
      <c r="I151" s="34" t="s">
        <v>377</v>
      </c>
      <c r="J151" s="9" t="str">
        <f t="shared" si="74"/>
        <v>Fruta</v>
      </c>
      <c r="K151" s="9" t="str">
        <f t="shared" si="75"/>
        <v>Precios diarios de frutas</v>
      </c>
      <c r="L151" s="9" t="str">
        <f t="shared" si="76"/>
        <v>Año 2021</v>
      </c>
      <c r="M151" s="9" t="str">
        <f t="shared" si="77"/>
        <v>CLP/Kg</v>
      </c>
      <c r="N151" s="9" t="str">
        <f t="shared" si="78"/>
        <v>Oficina de Estudios y Políticas Agrarias (ODEPA)</v>
      </c>
      <c r="O151" s="20" t="str">
        <f>"Precios diarios de frutas en mercados mayoristas de la "&amp;Agencia[[#This Row],[territorio]]&amp;", "&amp;Agencia[[#This Row],[temporalidad]]</f>
        <v>Precios diarios de frutas en mercados mayoristas de la Región de Los Lagos, Año 2021</v>
      </c>
      <c r="P151" s="112" t="s">
        <v>6556</v>
      </c>
      <c r="Q151" s="11" t="str">
        <f>+Q145</f>
        <v>Gráfico</v>
      </c>
      <c r="R151" s="148" t="str">
        <f>Agencia[[#This Row],[territorio]]&amp;",fruta,frutas.precio,precio diario,pesos chilenos,CLP,kilo,mercado mayorista,terminal,"&amp;Agencia[[#This Row],[coleccion]]&amp;","&amp;Agencia[[#This Row],[sector]]&amp;","&amp;Agencia[[#This Row],[tema]]&amp;","&amp;Agencia[[#This Row],[contenido]]</f>
        <v>Región de Los Lagos,fruta,frutas.precio,precio diario,pesos chilenos,CLP,kilo,mercado mayorista,terminal,Agencia Información,Agropecuario y Forestal,Precios,Agricultura</v>
      </c>
      <c r="S151" s="39" t="str">
        <f>HYPERLINK("https://analytics.zoho.com/open-view/2395394000008646880?ZOHO_CRITERIA=%22Fruta%20Consolidado%22.%22Codreg%22%3D"&amp;Agencia[[#This Row],[Filtro URL]])</f>
        <v>https://analytics.zoho.com/open-view/2395394000008646880?ZOHO_CRITERIA=%22Fruta%20Consolidado%22.%22Codreg%22%3D10</v>
      </c>
      <c r="T151" s="108" t="str">
        <f>"100-R-"&amp;Agencia[[#This Row],[Filtro URL]]</f>
        <v>100-R-10</v>
      </c>
      <c r="U151" s="46" t="str">
        <f>+U145</f>
        <v>#1774B9</v>
      </c>
      <c r="V151" s="93" t="str">
        <f>+Agencia[[#This Row],[idcoleccion]]&amp;"-"&amp;Agencia[[#This Row],[id]]</f>
        <v>990-0140</v>
      </c>
      <c r="W151" s="93">
        <f>+VLOOKUP(Agencia[[#This Row],[Filtro URL]],Estructura!$X$4:$Y$500,2,0)</f>
        <v>99200010</v>
      </c>
      <c r="X151" s="93" t="str">
        <f>+VLOOKUP(Agencia[[#This Row],[tema]],Estructura!$A$4:$C$500,3,0)</f>
        <v>T-1022</v>
      </c>
      <c r="Y151" s="93" t="str">
        <f>+VLOOKUP(Agencia[[#This Row],[contenido]],Estructura!$E$4:$G$500,3,0)</f>
        <v>C-997</v>
      </c>
      <c r="Z151" s="93" t="str">
        <f>+VLOOKUP(Agencia[[#This Row],[Filtro Integrado]],Estructura!$I$4:$K$500,3,0)</f>
        <v>FI-996</v>
      </c>
      <c r="AA151" s="93" t="str">
        <f>+VLOOKUP(Agencia[[#This Row],[Muestra]],Estructura!$M$4:$O$500,3,0)</f>
        <v>M-1040</v>
      </c>
    </row>
    <row r="152" spans="1:27" ht="57.6" x14ac:dyDescent="0.3">
      <c r="A152" s="21" t="s">
        <v>535</v>
      </c>
      <c r="B152" s="23">
        <f t="shared" si="71"/>
        <v>990</v>
      </c>
      <c r="C152" s="24" t="str">
        <f t="shared" si="72"/>
        <v>Agencia Información</v>
      </c>
      <c r="D152" s="72" t="str">
        <f t="shared" si="73"/>
        <v>Agropecuario y Forestal</v>
      </c>
      <c r="E152" s="19">
        <v>13</v>
      </c>
      <c r="F152" s="10" t="s">
        <v>598</v>
      </c>
      <c r="G152" s="10" t="s">
        <v>1878</v>
      </c>
      <c r="H152" s="33" t="s">
        <v>16</v>
      </c>
      <c r="I152" s="34" t="s">
        <v>380</v>
      </c>
      <c r="J152" s="9" t="str">
        <f t="shared" si="74"/>
        <v>Fruta</v>
      </c>
      <c r="K152" s="9" t="str">
        <f t="shared" si="75"/>
        <v>Precios diarios de frutas</v>
      </c>
      <c r="L152" s="9" t="str">
        <f t="shared" si="76"/>
        <v>Año 2021</v>
      </c>
      <c r="M152" s="9" t="str">
        <f t="shared" si="77"/>
        <v>CLP/Kg</v>
      </c>
      <c r="N152" s="9" t="str">
        <f t="shared" si="78"/>
        <v>Oficina de Estudios y Políticas Agrarias (ODEPA)</v>
      </c>
      <c r="O152" s="20" t="str">
        <f>"Precios diarios de frutas en mercados mayoristas de la "&amp;Agencia[[#This Row],[territorio]]&amp;", "&amp;Agencia[[#This Row],[temporalidad]]</f>
        <v>Precios diarios de frutas en mercados mayoristas de la Región Metropolitana, Año 2021</v>
      </c>
      <c r="P152" s="112" t="s">
        <v>6557</v>
      </c>
      <c r="Q152" s="11" t="str">
        <f>+Q145</f>
        <v>Gráfico</v>
      </c>
      <c r="R152" s="148" t="str">
        <f>Agencia[[#This Row],[territorio]]&amp;",fruta,frutas.precio,precio diario,pesos chilenos,CLP,kilo,mercado mayorista,terminal,"&amp;Agencia[[#This Row],[coleccion]]&amp;","&amp;Agencia[[#This Row],[sector]]&amp;","&amp;Agencia[[#This Row],[tema]]&amp;","&amp;Agencia[[#This Row],[contenido]]</f>
        <v>Región Metropolitana,fruta,frutas.precio,precio diario,pesos chilenos,CLP,kilo,mercado mayorista,terminal,Agencia Información,Agropecuario y Forestal,Precios,Agricultura</v>
      </c>
      <c r="S152" s="39" t="str">
        <f>HYPERLINK("https://analytics.zoho.com/open-view/2395394000008646880?ZOHO_CRITERIA=%22Fruta%20Consolidado%22.%22Codreg%22%3D"&amp;Agencia[[#This Row],[Filtro URL]])</f>
        <v>https://analytics.zoho.com/open-view/2395394000008646880?ZOHO_CRITERIA=%22Fruta%20Consolidado%22.%22Codreg%22%3D13</v>
      </c>
      <c r="T152" s="108" t="str">
        <f>"200-R-"&amp;Agencia[[#This Row],[Filtro URL]]</f>
        <v>200-R-13</v>
      </c>
      <c r="U152" s="46" t="str">
        <f>+U145</f>
        <v>#1774B9</v>
      </c>
      <c r="V152" s="93" t="str">
        <f>+Agencia[[#This Row],[idcoleccion]]&amp;"-"&amp;Agencia[[#This Row],[id]]</f>
        <v>990-0141</v>
      </c>
      <c r="W152" s="93">
        <f>+VLOOKUP(Agencia[[#This Row],[Filtro URL]],Estructura!$X$4:$Y$500,2,0)</f>
        <v>99200013</v>
      </c>
      <c r="X152" s="93" t="str">
        <f>+VLOOKUP(Agencia[[#This Row],[tema]],Estructura!$A$4:$C$500,3,0)</f>
        <v>T-1022</v>
      </c>
      <c r="Y152" s="93" t="str">
        <f>+VLOOKUP(Agencia[[#This Row],[contenido]],Estructura!$E$4:$G$500,3,0)</f>
        <v>C-997</v>
      </c>
      <c r="Z152" s="93" t="str">
        <f>+VLOOKUP(Agencia[[#This Row],[Filtro Integrado]],Estructura!$I$4:$K$500,3,0)</f>
        <v>FI-996</v>
      </c>
      <c r="AA152" s="93" t="str">
        <f>+VLOOKUP(Agencia[[#This Row],[Muestra]],Estructura!$M$4:$O$500,3,0)</f>
        <v>M-1040</v>
      </c>
    </row>
    <row r="153" spans="1:27" ht="61.2" x14ac:dyDescent="0.3">
      <c r="A153" s="21" t="s">
        <v>536</v>
      </c>
      <c r="B153" s="23">
        <f t="shared" si="71"/>
        <v>990</v>
      </c>
      <c r="C153" s="24" t="str">
        <f t="shared" si="72"/>
        <v>Agencia Información</v>
      </c>
      <c r="D153" s="72" t="str">
        <f t="shared" si="73"/>
        <v>Agropecuario y Forestal</v>
      </c>
      <c r="E153" s="19">
        <v>15</v>
      </c>
      <c r="F153" s="10" t="s">
        <v>598</v>
      </c>
      <c r="G153" s="10" t="s">
        <v>1878</v>
      </c>
      <c r="H153" s="33" t="s">
        <v>16</v>
      </c>
      <c r="I153" s="34" t="s">
        <v>382</v>
      </c>
      <c r="J153" s="9" t="str">
        <f t="shared" si="74"/>
        <v>Fruta</v>
      </c>
      <c r="K153" s="9" t="str">
        <f t="shared" si="75"/>
        <v>Precios diarios de frutas</v>
      </c>
      <c r="L153" s="9" t="str">
        <f t="shared" si="76"/>
        <v>Año 2021</v>
      </c>
      <c r="M153" s="9" t="str">
        <f t="shared" si="77"/>
        <v>CLP/Kg</v>
      </c>
      <c r="N153" s="9" t="str">
        <f t="shared" si="78"/>
        <v>Oficina de Estudios y Políticas Agrarias (ODEPA)</v>
      </c>
      <c r="O153" s="20" t="str">
        <f>"Precios diarios de frutas en mercados mayoristas de la "&amp;Agencia[[#This Row],[territorio]]&amp;", "&amp;Agencia[[#This Row],[temporalidad]]</f>
        <v>Precios diarios de frutas en mercados mayoristas de la Región de Arica y Parinacota, Año 2021</v>
      </c>
      <c r="P153" s="112" t="s">
        <v>6558</v>
      </c>
      <c r="Q153" s="11" t="str">
        <f>+Q145</f>
        <v>Gráfico</v>
      </c>
      <c r="R153" s="148" t="str">
        <f>Agencia[[#This Row],[territorio]]&amp;",fruta,frutas.precio,precio diario,pesos chilenos,CLP,kilo,mercado mayorista,terminal,"&amp;Agencia[[#This Row],[coleccion]]&amp;","&amp;Agencia[[#This Row],[sector]]&amp;","&amp;Agencia[[#This Row],[tema]]&amp;","&amp;Agencia[[#This Row],[contenido]]</f>
        <v>Región de Arica y Parinacota,fruta,frutas.precio,precio diario,pesos chilenos,CLP,kilo,mercado mayorista,terminal,Agencia Información,Agropecuario y Forestal,Precios,Agricultura</v>
      </c>
      <c r="S153" s="39" t="str">
        <f>HYPERLINK("https://analytics.zoho.com/open-view/2395394000008646880?ZOHO_CRITERIA=%22Fruta%20Consolidado%22.%22Codreg%22%3D"&amp;Agencia[[#This Row],[Filtro URL]])</f>
        <v>https://analytics.zoho.com/open-view/2395394000008646880?ZOHO_CRITERIA=%22Fruta%20Consolidado%22.%22Codreg%22%3D15</v>
      </c>
      <c r="T153" s="108" t="str">
        <f>"100-R-"&amp;Agencia[[#This Row],[Filtro URL]]</f>
        <v>100-R-15</v>
      </c>
      <c r="U153" s="46" t="str">
        <f>+U145</f>
        <v>#1774B9</v>
      </c>
      <c r="V153" s="93" t="str">
        <f>+Agencia[[#This Row],[idcoleccion]]&amp;"-"&amp;Agencia[[#This Row],[id]]</f>
        <v>990-0142</v>
      </c>
      <c r="W153" s="93">
        <f>+VLOOKUP(Agencia[[#This Row],[Filtro URL]],Estructura!$X$4:$Y$500,2,0)</f>
        <v>99200015</v>
      </c>
      <c r="X153" s="93" t="str">
        <f>+VLOOKUP(Agencia[[#This Row],[tema]],Estructura!$A$4:$C$500,3,0)</f>
        <v>T-1022</v>
      </c>
      <c r="Y153" s="93" t="str">
        <f>+VLOOKUP(Agencia[[#This Row],[contenido]],Estructura!$E$4:$G$500,3,0)</f>
        <v>C-997</v>
      </c>
      <c r="Z153" s="93" t="str">
        <f>+VLOOKUP(Agencia[[#This Row],[Filtro Integrado]],Estructura!$I$4:$K$500,3,0)</f>
        <v>FI-996</v>
      </c>
      <c r="AA153" s="93" t="str">
        <f>+VLOOKUP(Agencia[[#This Row],[Muestra]],Estructura!$M$4:$O$500,3,0)</f>
        <v>M-1040</v>
      </c>
    </row>
    <row r="154" spans="1:27" ht="57.6" x14ac:dyDescent="0.3">
      <c r="A154" s="21" t="s">
        <v>537</v>
      </c>
      <c r="B154" s="23">
        <f t="shared" si="71"/>
        <v>990</v>
      </c>
      <c r="C154" s="24" t="str">
        <f t="shared" si="72"/>
        <v>Agencia Información</v>
      </c>
      <c r="D154" s="72" t="str">
        <f t="shared" si="73"/>
        <v>Agropecuario y Forestal</v>
      </c>
      <c r="E154" s="19">
        <v>16</v>
      </c>
      <c r="F154" s="10" t="s">
        <v>598</v>
      </c>
      <c r="G154" s="10" t="s">
        <v>1878</v>
      </c>
      <c r="H154" s="33" t="s">
        <v>16</v>
      </c>
      <c r="I154" s="34" t="s">
        <v>383</v>
      </c>
      <c r="J154" s="9" t="str">
        <f t="shared" si="74"/>
        <v>Fruta</v>
      </c>
      <c r="K154" s="9" t="str">
        <f t="shared" si="75"/>
        <v>Precios diarios de frutas</v>
      </c>
      <c r="L154" s="9" t="str">
        <f t="shared" si="76"/>
        <v>Año 2021</v>
      </c>
      <c r="M154" s="9" t="str">
        <f t="shared" si="77"/>
        <v>CLP/Kg</v>
      </c>
      <c r="N154" s="9" t="str">
        <f t="shared" si="78"/>
        <v>Oficina de Estudios y Políticas Agrarias (ODEPA)</v>
      </c>
      <c r="O154" s="20" t="str">
        <f>"Precios diarios de frutas en mercados mayoristas de la "&amp;Agencia[[#This Row],[territorio]]&amp;", "&amp;Agencia[[#This Row],[temporalidad]]</f>
        <v>Precios diarios de frutas en mercados mayoristas de la Región de Ñuble, Año 2021</v>
      </c>
      <c r="P154" s="112" t="s">
        <v>6559</v>
      </c>
      <c r="Q154" s="11" t="str">
        <f>+Q145</f>
        <v>Gráfico</v>
      </c>
      <c r="R154" s="148" t="str">
        <f>Agencia[[#This Row],[territorio]]&amp;",fruta,frutas.precio,precio diario,pesos chilenos,CLP,kilo,mercado mayorista,terminal,"&amp;Agencia[[#This Row],[coleccion]]&amp;","&amp;Agencia[[#This Row],[sector]]&amp;","&amp;Agencia[[#This Row],[tema]]&amp;","&amp;Agencia[[#This Row],[contenido]]</f>
        <v>Región de Ñuble,fruta,frutas.precio,precio diario,pesos chilenos,CLP,kilo,mercado mayorista,terminal,Agencia Información,Agropecuario y Forestal,Precios,Agricultura</v>
      </c>
      <c r="S154" s="39" t="str">
        <f>HYPERLINK("https://analytics.zoho.com/open-view/2395394000008646880?ZOHO_CRITERIA=%22Fruta%20Consolidado%22.%22Codreg%22%3D"&amp;Agencia[[#This Row],[Filtro URL]])</f>
        <v>https://analytics.zoho.com/open-view/2395394000008646880?ZOHO_CRITERIA=%22Fruta%20Consolidado%22.%22Codreg%22%3D16</v>
      </c>
      <c r="T154" s="108" t="str">
        <f>"100-R-"&amp;Agencia[[#This Row],[Filtro URL]]</f>
        <v>100-R-16</v>
      </c>
      <c r="U154" s="46" t="str">
        <f>+U145</f>
        <v>#1774B9</v>
      </c>
      <c r="V154" s="93" t="str">
        <f>+Agencia[[#This Row],[idcoleccion]]&amp;"-"&amp;Agencia[[#This Row],[id]]</f>
        <v>990-0143</v>
      </c>
      <c r="W154" s="93">
        <f>+VLOOKUP(Agencia[[#This Row],[Filtro URL]],Estructura!$X$4:$Y$500,2,0)</f>
        <v>99200016</v>
      </c>
      <c r="X154" s="93" t="str">
        <f>+VLOOKUP(Agencia[[#This Row],[tema]],Estructura!$A$4:$C$500,3,0)</f>
        <v>T-1022</v>
      </c>
      <c r="Y154" s="93" t="str">
        <f>+VLOOKUP(Agencia[[#This Row],[contenido]],Estructura!$E$4:$G$500,3,0)</f>
        <v>C-997</v>
      </c>
      <c r="Z154" s="93" t="str">
        <f>+VLOOKUP(Agencia[[#This Row],[Filtro Integrado]],Estructura!$I$4:$K$500,3,0)</f>
        <v>FI-996</v>
      </c>
      <c r="AA154" s="93" t="str">
        <f>+VLOOKUP(Agencia[[#This Row],[Muestra]],Estructura!$M$4:$O$500,3,0)</f>
        <v>M-1040</v>
      </c>
    </row>
    <row r="155" spans="1:27" ht="30.6" x14ac:dyDescent="0.3">
      <c r="A155" s="21" t="s">
        <v>1556</v>
      </c>
      <c r="B155" s="23">
        <f t="shared" si="71"/>
        <v>990</v>
      </c>
      <c r="C155" s="24" t="str">
        <f t="shared" si="72"/>
        <v>Agencia Información</v>
      </c>
      <c r="D155" s="72" t="s">
        <v>603</v>
      </c>
      <c r="E155" s="14">
        <v>0</v>
      </c>
      <c r="F155" s="10" t="s">
        <v>605</v>
      </c>
      <c r="G155" s="10" t="s">
        <v>1896</v>
      </c>
      <c r="H155" s="31" t="s">
        <v>20</v>
      </c>
      <c r="I155" s="32" t="s">
        <v>15</v>
      </c>
      <c r="J155" s="9" t="s">
        <v>16</v>
      </c>
      <c r="K155" s="9" t="s">
        <v>1517</v>
      </c>
      <c r="L155" s="9" t="s">
        <v>596</v>
      </c>
      <c r="M155" s="9" t="s">
        <v>606</v>
      </c>
      <c r="N155" s="9" t="s">
        <v>607</v>
      </c>
      <c r="O155" s="20" t="s">
        <v>608</v>
      </c>
      <c r="P155" s="112" t="s">
        <v>604</v>
      </c>
      <c r="Q155" s="11" t="str">
        <f>+Q145</f>
        <v>Gráfico</v>
      </c>
      <c r="R155" s="20" t="str">
        <f>Agencia[[#This Row],[territorio]]&amp;",espacio,cultural,titularidad,privada,pública,"&amp;Agencia[[#This Row],[coleccion]]&amp;","&amp;Agencia[[#This Row],[sector]]&amp;","&amp;Agencia[[#This Row],[tema]]&amp;","&amp;Agencia[[#This Row],[contenido]]</f>
        <v>Chile,espacio,cultural,titularidad,privada,pública,Agencia Información,Arte y cultura,Titularidad de espacios culturales,Cultura</v>
      </c>
      <c r="S155" s="39" t="s">
        <v>609</v>
      </c>
      <c r="T155" s="108" t="s">
        <v>957</v>
      </c>
      <c r="U155" s="46" t="str">
        <f>+U145</f>
        <v>#1774B9</v>
      </c>
      <c r="V155" s="93" t="str">
        <f>+Agencia[[#This Row],[idcoleccion]]&amp;"-"&amp;Agencia[[#This Row],[id]]</f>
        <v>990-0144</v>
      </c>
      <c r="W155" s="93">
        <f>+VLOOKUP(Agencia[[#This Row],[Filtro URL]],Estructura!$X$4:$Y$500,2,0)</f>
        <v>99100000</v>
      </c>
      <c r="X155" s="93" t="str">
        <f>+VLOOKUP(Agencia[[#This Row],[tema]],Estructura!$A$4:$C$500,3,0)</f>
        <v>T-996</v>
      </c>
      <c r="Y155" s="93" t="str">
        <f>+VLOOKUP(Agencia[[#This Row],[contenido]],Estructura!$E$4:$G$500,3,0)</f>
        <v>C-1008</v>
      </c>
      <c r="Z155" s="93" t="str">
        <f>+VLOOKUP(Agencia[[#This Row],[Filtro Integrado]],Estructura!$I$4:$K$500,3,0)</f>
        <v>FI-992</v>
      </c>
      <c r="AA155" s="93" t="str">
        <f>+VLOOKUP(Agencia[[#This Row],[Muestra]],Estructura!$M$4:$O$500,3,0)</f>
        <v>M-1041</v>
      </c>
    </row>
    <row r="156" spans="1:27" ht="72" x14ac:dyDescent="0.3">
      <c r="A156" s="21" t="s">
        <v>1557</v>
      </c>
      <c r="B156" s="23">
        <f t="shared" ref="B156:B162" si="79">+B155</f>
        <v>990</v>
      </c>
      <c r="C156" s="24" t="str">
        <f t="shared" si="72"/>
        <v>Agencia Información</v>
      </c>
      <c r="D156" s="72" t="str">
        <f>+D155</f>
        <v>Arte y cultura</v>
      </c>
      <c r="E156" s="19">
        <v>1</v>
      </c>
      <c r="F156" s="10" t="s">
        <v>605</v>
      </c>
      <c r="G156" s="10" t="s">
        <v>1896</v>
      </c>
      <c r="H156" s="33" t="s">
        <v>16</v>
      </c>
      <c r="I156" s="34" t="s">
        <v>368</v>
      </c>
      <c r="J156" s="9" t="s">
        <v>18</v>
      </c>
      <c r="K156" s="9" t="str">
        <f>+K155</f>
        <v>Espacios culturales</v>
      </c>
      <c r="L156" s="9" t="str">
        <f>+L155</f>
        <v>Año 2021</v>
      </c>
      <c r="M156" s="9" t="str">
        <f>+M155</f>
        <v>Número de espacios culturales</v>
      </c>
      <c r="N156" s="9" t="str">
        <f>+N155</f>
        <v>Observatorio Cultural</v>
      </c>
      <c r="O156" s="20" t="str">
        <f>"Cantidad de Espacios Culturales en la "&amp;Agencia[[#This Row],[territorio]]&amp;" por Tipo de Titularidad y Comuna en el "&amp;Agencia[[#This Row],[temporalidad]]</f>
        <v>Cantidad de Espacios Culturales en la Región de Tarapacá por Tipo de Titularidad y Comuna en el Año 2021</v>
      </c>
      <c r="P156" s="112" t="s">
        <v>5554</v>
      </c>
      <c r="Q156" s="11" t="str">
        <f t="shared" ref="Q156:Q161" si="80">+Q155</f>
        <v>Gráfico</v>
      </c>
      <c r="R156" s="20" t="str">
        <f>Agencia[[#This Row],[territorio]]&amp;",espacio,cultural,titularidad,privada,pública,"&amp;Agencia[[#This Row],[coleccion]]&amp;","&amp;Agencia[[#This Row],[sector]]&amp;","&amp;Agencia[[#This Row],[tema]]&amp;","&amp;Agencia[[#This Row],[contenido]]</f>
        <v>Región de Tarapacá,espacio,cultural,titularidad,privada,pública,Agencia Información,Arte y cultura,Titularidad de espacios culturales,Cultura</v>
      </c>
      <c r="S15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v>
      </c>
      <c r="T156" s="111" t="str">
        <f>"100-C-"&amp;Agencia[[#This Row],[Filtro URL]]</f>
        <v>100-C-1</v>
      </c>
      <c r="U156" s="46" t="str">
        <f>+U155</f>
        <v>#1774B9</v>
      </c>
      <c r="V156" s="93" t="str">
        <f>+Agencia[[#This Row],[idcoleccion]]&amp;"-"&amp;Agencia[[#This Row],[id]]</f>
        <v>990-0145</v>
      </c>
      <c r="W156" s="93">
        <f>+VLOOKUP(Agencia[[#This Row],[Filtro URL]],Estructura!$X$4:$Y$500,2,0)</f>
        <v>99200001</v>
      </c>
      <c r="X156" s="93" t="str">
        <f>+VLOOKUP(Agencia[[#This Row],[tema]],Estructura!$A$4:$C$500,3,0)</f>
        <v>T-996</v>
      </c>
      <c r="Y156" s="93" t="str">
        <f>+VLOOKUP(Agencia[[#This Row],[contenido]],Estructura!$E$4:$G$500,3,0)</f>
        <v>C-1008</v>
      </c>
      <c r="Z156" s="93" t="str">
        <f>+VLOOKUP(Agencia[[#This Row],[Filtro Integrado]],Estructura!$I$4:$K$500,3,0)</f>
        <v>FI-991</v>
      </c>
      <c r="AA156" s="93" t="str">
        <f>+VLOOKUP(Agencia[[#This Row],[Muestra]],Estructura!$M$4:$O$500,3,0)</f>
        <v>M-1041</v>
      </c>
    </row>
    <row r="157" spans="1:27" ht="72" x14ac:dyDescent="0.3">
      <c r="A157" s="21" t="s">
        <v>1558</v>
      </c>
      <c r="B157" s="23">
        <f t="shared" si="79"/>
        <v>990</v>
      </c>
      <c r="C157" s="24" t="str">
        <f t="shared" si="72"/>
        <v>Agencia Información</v>
      </c>
      <c r="D157" s="72" t="str">
        <f t="shared" si="54"/>
        <v>Arte y cultura</v>
      </c>
      <c r="E157" s="19">
        <v>2</v>
      </c>
      <c r="F157" s="10" t="s">
        <v>605</v>
      </c>
      <c r="G157" s="10" t="s">
        <v>1896</v>
      </c>
      <c r="H157" s="33" t="s">
        <v>16</v>
      </c>
      <c r="I157" s="34" t="s">
        <v>369</v>
      </c>
      <c r="J157" s="9" t="str">
        <f t="shared" si="56"/>
        <v>Comuna</v>
      </c>
      <c r="K157" s="9" t="str">
        <f t="shared" si="57"/>
        <v>Espacios culturales</v>
      </c>
      <c r="L157" s="9" t="str">
        <f t="shared" si="58"/>
        <v>Año 2021</v>
      </c>
      <c r="M157" s="9" t="str">
        <f t="shared" si="59"/>
        <v>Número de espacios culturales</v>
      </c>
      <c r="N157" s="9" t="str">
        <f t="shared" si="60"/>
        <v>Observatorio Cultural</v>
      </c>
      <c r="O157" s="20" t="str">
        <f>"Cantidad de Espacios Culturales en la "&amp;Agencia[[#This Row],[territorio]]&amp;" por Tipo de Titularidad y Comuna en el "&amp;Agencia[[#This Row],[temporalidad]]</f>
        <v>Cantidad de Espacios Culturales en la Región de Antofagasta por Tipo de Titularidad y Comuna en el Año 2021</v>
      </c>
      <c r="P157" s="112" t="s">
        <v>5555</v>
      </c>
      <c r="Q157" s="11" t="str">
        <f t="shared" si="80"/>
        <v>Gráfico</v>
      </c>
      <c r="R157" s="148" t="str">
        <f>Agencia[[#This Row],[territorio]]&amp;",espacio,cultural,titularidad,privada,pública,"&amp;Agencia[[#This Row],[coleccion]]&amp;","&amp;Agencia[[#This Row],[sector]]&amp;","&amp;Agencia[[#This Row],[tema]]&amp;","&amp;Agencia[[#This Row],[contenido]]</f>
        <v>Región de Antofagasta,espacio,cultural,titularidad,privada,pública,Agencia Información,Arte y cultura,Titularidad de espacios culturales,Cultura</v>
      </c>
      <c r="S15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https://analytics.zoho.com/open-view/2395394000008378510?ZOHO_CRITERIA=%22Espacios_Culturales_Completo%201%22.%22C%C3%B3digo_Regi%C3%B3n%22%20%3D%202</v>
      </c>
      <c r="T157" s="111" t="str">
        <f>"100-C-"&amp;Agencia[[#This Row],[Filtro URL]]</f>
        <v>100-C-2</v>
      </c>
      <c r="U157" s="46" t="str">
        <f t="shared" si="62"/>
        <v>#1774B9</v>
      </c>
      <c r="V157" s="93" t="str">
        <f>+Agencia[[#This Row],[idcoleccion]]&amp;"-"&amp;Agencia[[#This Row],[id]]</f>
        <v>990-0146</v>
      </c>
      <c r="W157" s="93">
        <f>+VLOOKUP(Agencia[[#This Row],[Filtro URL]],Estructura!$X$4:$Y$500,2,0)</f>
        <v>99200002</v>
      </c>
      <c r="X157" s="93" t="str">
        <f>+VLOOKUP(Agencia[[#This Row],[tema]],Estructura!$A$4:$C$500,3,0)</f>
        <v>T-996</v>
      </c>
      <c r="Y157" s="93" t="str">
        <f>+VLOOKUP(Agencia[[#This Row],[contenido]],Estructura!$E$4:$G$500,3,0)</f>
        <v>C-1008</v>
      </c>
      <c r="Z157" s="93" t="str">
        <f>+VLOOKUP(Agencia[[#This Row],[Filtro Integrado]],Estructura!$I$4:$K$500,3,0)</f>
        <v>FI-991</v>
      </c>
      <c r="AA157" s="93" t="str">
        <f>+VLOOKUP(Agencia[[#This Row],[Muestra]],Estructura!$M$4:$O$500,3,0)</f>
        <v>M-1041</v>
      </c>
    </row>
    <row r="158" spans="1:27" ht="72" x14ac:dyDescent="0.3">
      <c r="A158" s="21" t="s">
        <v>538</v>
      </c>
      <c r="B158" s="23">
        <f t="shared" si="79"/>
        <v>990</v>
      </c>
      <c r="C158" s="24" t="str">
        <f t="shared" si="72"/>
        <v>Agencia Información</v>
      </c>
      <c r="D158" s="72" t="str">
        <f t="shared" si="54"/>
        <v>Arte y cultura</v>
      </c>
      <c r="E158" s="19">
        <v>3</v>
      </c>
      <c r="F158" s="10" t="s">
        <v>605</v>
      </c>
      <c r="G158" s="10" t="s">
        <v>1896</v>
      </c>
      <c r="H158" s="33" t="s">
        <v>16</v>
      </c>
      <c r="I158" s="34" t="s">
        <v>370</v>
      </c>
      <c r="J158" s="9" t="str">
        <f t="shared" si="56"/>
        <v>Comuna</v>
      </c>
      <c r="K158" s="9" t="str">
        <f t="shared" si="57"/>
        <v>Espacios culturales</v>
      </c>
      <c r="L158" s="9" t="str">
        <f t="shared" si="58"/>
        <v>Año 2021</v>
      </c>
      <c r="M158" s="9" t="str">
        <f t="shared" si="59"/>
        <v>Número de espacios culturales</v>
      </c>
      <c r="N158" s="9" t="str">
        <f t="shared" si="60"/>
        <v>Observatorio Cultural</v>
      </c>
      <c r="O158" s="20" t="str">
        <f>"Cantidad de Espacios Culturales en la "&amp;Agencia[[#This Row],[territorio]]&amp;" por Tipo de Titularidad y Comuna en el "&amp;Agencia[[#This Row],[temporalidad]]</f>
        <v>Cantidad de Espacios Culturales en la Región de Atacama por Tipo de Titularidad y Comuna en el Año 2021</v>
      </c>
      <c r="P158" s="112" t="s">
        <v>5556</v>
      </c>
      <c r="Q158" s="11" t="str">
        <f t="shared" si="80"/>
        <v>Gráfico</v>
      </c>
      <c r="R158" s="148" t="str">
        <f>Agencia[[#This Row],[territorio]]&amp;",espacio,cultural,titularidad,privada,pública,"&amp;Agencia[[#This Row],[coleccion]]&amp;","&amp;Agencia[[#This Row],[sector]]&amp;","&amp;Agencia[[#This Row],[tema]]&amp;","&amp;Agencia[[#This Row],[contenido]]</f>
        <v>Región de Atacama,espacio,cultural,titularidad,privada,pública,Agencia Información,Arte y cultura,Titularidad de espacios culturales,Cultura</v>
      </c>
      <c r="S15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https://analytics.zoho.com/open-view/2395394000008378510?ZOHO_CRITERIA=%22Espacios_Culturales_Completo%201%22.%22C%C3%B3digo_Regi%C3%B3n%22%20%3D%203</v>
      </c>
      <c r="T158" s="111" t="str">
        <f>"100-C-"&amp;Agencia[[#This Row],[Filtro URL]]</f>
        <v>100-C-3</v>
      </c>
      <c r="U158" s="46" t="str">
        <f t="shared" si="62"/>
        <v>#1774B9</v>
      </c>
      <c r="V158" s="93" t="str">
        <f>+Agencia[[#This Row],[idcoleccion]]&amp;"-"&amp;Agencia[[#This Row],[id]]</f>
        <v>990-0147</v>
      </c>
      <c r="W158" s="93">
        <f>+VLOOKUP(Agencia[[#This Row],[Filtro URL]],Estructura!$X$4:$Y$500,2,0)</f>
        <v>99200003</v>
      </c>
      <c r="X158" s="93" t="str">
        <f>+VLOOKUP(Agencia[[#This Row],[tema]],Estructura!$A$4:$C$500,3,0)</f>
        <v>T-996</v>
      </c>
      <c r="Y158" s="93" t="str">
        <f>+VLOOKUP(Agencia[[#This Row],[contenido]],Estructura!$E$4:$G$500,3,0)</f>
        <v>C-1008</v>
      </c>
      <c r="Z158" s="93" t="str">
        <f>+VLOOKUP(Agencia[[#This Row],[Filtro Integrado]],Estructura!$I$4:$K$500,3,0)</f>
        <v>FI-991</v>
      </c>
      <c r="AA158" s="93" t="str">
        <f>+VLOOKUP(Agencia[[#This Row],[Muestra]],Estructura!$M$4:$O$500,3,0)</f>
        <v>M-1041</v>
      </c>
    </row>
    <row r="159" spans="1:27" ht="72" x14ac:dyDescent="0.3">
      <c r="A159" s="21" t="s">
        <v>539</v>
      </c>
      <c r="B159" s="23">
        <f t="shared" si="79"/>
        <v>990</v>
      </c>
      <c r="C159" s="24" t="str">
        <f>+C158</f>
        <v>Agencia Información</v>
      </c>
      <c r="D159" s="72" t="str">
        <f t="shared" si="54"/>
        <v>Arte y cultura</v>
      </c>
      <c r="E159" s="19">
        <v>4</v>
      </c>
      <c r="F159" s="10" t="s">
        <v>605</v>
      </c>
      <c r="G159" s="10" t="s">
        <v>1896</v>
      </c>
      <c r="H159" s="33" t="s">
        <v>16</v>
      </c>
      <c r="I159" s="34" t="s">
        <v>371</v>
      </c>
      <c r="J159" s="9" t="str">
        <f t="shared" si="56"/>
        <v>Comuna</v>
      </c>
      <c r="K159" s="9" t="str">
        <f t="shared" si="57"/>
        <v>Espacios culturales</v>
      </c>
      <c r="L159" s="9" t="str">
        <f t="shared" si="58"/>
        <v>Año 2021</v>
      </c>
      <c r="M159" s="9" t="str">
        <f t="shared" si="59"/>
        <v>Número de espacios culturales</v>
      </c>
      <c r="N159" s="9" t="str">
        <f t="shared" si="60"/>
        <v>Observatorio Cultural</v>
      </c>
      <c r="O159" s="20" t="str">
        <f>"Cantidad de Espacios Culturales en la "&amp;Agencia[[#This Row],[territorio]]&amp;" por Tipo de Titularidad y Comuna en el "&amp;Agencia[[#This Row],[temporalidad]]</f>
        <v>Cantidad de Espacios Culturales en la Región de Coquimbo por Tipo de Titularidad y Comuna en el Año 2021</v>
      </c>
      <c r="P159" s="112" t="s">
        <v>5557</v>
      </c>
      <c r="Q159" s="11" t="str">
        <f t="shared" si="80"/>
        <v>Gráfico</v>
      </c>
      <c r="R159" s="148" t="str">
        <f>Agencia[[#This Row],[territorio]]&amp;",espacio,cultural,titularidad,privada,pública,"&amp;Agencia[[#This Row],[coleccion]]&amp;","&amp;Agencia[[#This Row],[sector]]&amp;","&amp;Agencia[[#This Row],[tema]]&amp;","&amp;Agencia[[#This Row],[contenido]]</f>
        <v>Región de Coquimbo,espacio,cultural,titularidad,privada,pública,Agencia Información,Arte y cultura,Titularidad de espacios culturales,Cultura</v>
      </c>
      <c r="S15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https://analytics.zoho.com/open-view/2395394000008378510?ZOHO_CRITERIA=%22Espacios_Culturales_Completo%201%22.%22C%C3%B3digo_Regi%C3%B3n%22%20%3D%204</v>
      </c>
      <c r="T159" s="111" t="str">
        <f>"100-C-"&amp;Agencia[[#This Row],[Filtro URL]]</f>
        <v>100-C-4</v>
      </c>
      <c r="U159" s="46" t="str">
        <f t="shared" si="62"/>
        <v>#1774B9</v>
      </c>
      <c r="V159" s="93" t="str">
        <f>+Agencia[[#This Row],[idcoleccion]]&amp;"-"&amp;Agencia[[#This Row],[id]]</f>
        <v>990-0148</v>
      </c>
      <c r="W159" s="93">
        <f>+VLOOKUP(Agencia[[#This Row],[Filtro URL]],Estructura!$X$4:$Y$500,2,0)</f>
        <v>99200004</v>
      </c>
      <c r="X159" s="93" t="str">
        <f>+VLOOKUP(Agencia[[#This Row],[tema]],Estructura!$A$4:$C$500,3,0)</f>
        <v>T-996</v>
      </c>
      <c r="Y159" s="93" t="str">
        <f>+VLOOKUP(Agencia[[#This Row],[contenido]],Estructura!$E$4:$G$500,3,0)</f>
        <v>C-1008</v>
      </c>
      <c r="Z159" s="93" t="str">
        <f>+VLOOKUP(Agencia[[#This Row],[Filtro Integrado]],Estructura!$I$4:$K$500,3,0)</f>
        <v>FI-991</v>
      </c>
      <c r="AA159" s="93" t="str">
        <f>+VLOOKUP(Agencia[[#This Row],[Muestra]],Estructura!$M$4:$O$500,3,0)</f>
        <v>M-1041</v>
      </c>
    </row>
    <row r="160" spans="1:27" ht="72" x14ac:dyDescent="0.3">
      <c r="A160" s="21" t="s">
        <v>1559</v>
      </c>
      <c r="B160" s="23">
        <f t="shared" si="79"/>
        <v>990</v>
      </c>
      <c r="C160" s="24" t="str">
        <f>+C159</f>
        <v>Agencia Información</v>
      </c>
      <c r="D160" s="72" t="str">
        <f t="shared" si="54"/>
        <v>Arte y cultura</v>
      </c>
      <c r="E160" s="19">
        <v>5</v>
      </c>
      <c r="F160" s="10" t="s">
        <v>605</v>
      </c>
      <c r="G160" s="10" t="s">
        <v>1896</v>
      </c>
      <c r="H160" s="33" t="s">
        <v>16</v>
      </c>
      <c r="I160" s="34" t="s">
        <v>372</v>
      </c>
      <c r="J160" s="9" t="str">
        <f t="shared" si="56"/>
        <v>Comuna</v>
      </c>
      <c r="K160" s="9" t="str">
        <f t="shared" si="57"/>
        <v>Espacios culturales</v>
      </c>
      <c r="L160" s="9" t="str">
        <f t="shared" si="58"/>
        <v>Año 2021</v>
      </c>
      <c r="M160" s="9" t="str">
        <f t="shared" si="59"/>
        <v>Número de espacios culturales</v>
      </c>
      <c r="N160" s="9" t="str">
        <f t="shared" si="60"/>
        <v>Observatorio Cultural</v>
      </c>
      <c r="O160" s="20" t="str">
        <f>"Cantidad de Espacios Culturales en la "&amp;Agencia[[#This Row],[territorio]]&amp;" por Tipo de Titularidad y Comuna en el "&amp;Agencia[[#This Row],[temporalidad]]</f>
        <v>Cantidad de Espacios Culturales en la Región de Valparaíso por Tipo de Titularidad y Comuna en el Año 2021</v>
      </c>
      <c r="P160" s="112" t="s">
        <v>5558</v>
      </c>
      <c r="Q160" s="11" t="str">
        <f t="shared" si="80"/>
        <v>Gráfico</v>
      </c>
      <c r="R160" s="148" t="str">
        <f>Agencia[[#This Row],[territorio]]&amp;",espacio,cultural,titularidad,privada,pública,"&amp;Agencia[[#This Row],[coleccion]]&amp;","&amp;Agencia[[#This Row],[sector]]&amp;","&amp;Agencia[[#This Row],[tema]]&amp;","&amp;Agencia[[#This Row],[contenido]]</f>
        <v>Región de Valparaíso,espacio,cultural,titularidad,privada,pública,Agencia Información,Arte y cultura,Titularidad de espacios culturales,Cultura</v>
      </c>
      <c r="S16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https://analytics.zoho.com/open-view/2395394000008378510?ZOHO_CRITERIA=%22Espacios_Culturales_Completo%201%22.%22C%C3%B3digo_Regi%C3%B3n%22%20%3D%205</v>
      </c>
      <c r="T160" s="111" t="str">
        <f>"100-C-"&amp;Agencia[[#This Row],[Filtro URL]]</f>
        <v>100-C-5</v>
      </c>
      <c r="U160" s="46" t="str">
        <f t="shared" si="62"/>
        <v>#1774B9</v>
      </c>
      <c r="V160" s="93" t="str">
        <f>+Agencia[[#This Row],[idcoleccion]]&amp;"-"&amp;Agencia[[#This Row],[id]]</f>
        <v>990-0149</v>
      </c>
      <c r="W160" s="93">
        <f>+VLOOKUP(Agencia[[#This Row],[Filtro URL]],Estructura!$X$4:$Y$500,2,0)</f>
        <v>99200005</v>
      </c>
      <c r="X160" s="93" t="str">
        <f>+VLOOKUP(Agencia[[#This Row],[tema]],Estructura!$A$4:$C$500,3,0)</f>
        <v>T-996</v>
      </c>
      <c r="Y160" s="93" t="str">
        <f>+VLOOKUP(Agencia[[#This Row],[contenido]],Estructura!$E$4:$G$500,3,0)</f>
        <v>C-1008</v>
      </c>
      <c r="Z160" s="93" t="str">
        <f>+VLOOKUP(Agencia[[#This Row],[Filtro Integrado]],Estructura!$I$4:$K$500,3,0)</f>
        <v>FI-991</v>
      </c>
      <c r="AA160" s="93" t="str">
        <f>+VLOOKUP(Agencia[[#This Row],[Muestra]],Estructura!$M$4:$O$500,3,0)</f>
        <v>M-1041</v>
      </c>
    </row>
    <row r="161" spans="1:27" ht="72" x14ac:dyDescent="0.3">
      <c r="A161" s="21" t="s">
        <v>540</v>
      </c>
      <c r="B161" s="23">
        <f t="shared" si="79"/>
        <v>990</v>
      </c>
      <c r="C161" s="24" t="str">
        <f>+C160</f>
        <v>Agencia Información</v>
      </c>
      <c r="D161" s="72" t="str">
        <f>+D160</f>
        <v>Arte y cultura</v>
      </c>
      <c r="E161" s="19">
        <v>6</v>
      </c>
      <c r="F161" s="10" t="s">
        <v>605</v>
      </c>
      <c r="G161" s="10" t="s">
        <v>1896</v>
      </c>
      <c r="H161" s="33" t="s">
        <v>16</v>
      </c>
      <c r="I161" s="34" t="s">
        <v>373</v>
      </c>
      <c r="J161" s="9" t="str">
        <f t="shared" si="56"/>
        <v>Comuna</v>
      </c>
      <c r="K161" s="9" t="str">
        <f t="shared" si="57"/>
        <v>Espacios culturales</v>
      </c>
      <c r="L161" s="9" t="str">
        <f t="shared" si="58"/>
        <v>Año 2021</v>
      </c>
      <c r="M161" s="9" t="str">
        <f t="shared" si="59"/>
        <v>Número de espacios culturales</v>
      </c>
      <c r="N161" s="9" t="str">
        <f t="shared" si="60"/>
        <v>Observatorio Cultural</v>
      </c>
      <c r="O161" s="20" t="str">
        <f>"Cantidad de Espacios Culturales en la "&amp;Agencia[[#This Row],[territorio]]&amp;" por Tipo de Titularidad y Comuna en el "&amp;Agencia[[#This Row],[temporalidad]]</f>
        <v>Cantidad de Espacios Culturales en la Región de O'Higgins por Tipo de Titularidad y Comuna en el Año 2021</v>
      </c>
      <c r="P161" s="112" t="s">
        <v>5559</v>
      </c>
      <c r="Q161" s="11" t="str">
        <f t="shared" si="80"/>
        <v>Gráfico</v>
      </c>
      <c r="R161" s="148" t="str">
        <f>Agencia[[#This Row],[territorio]]&amp;",espacio,cultural,titularidad,privada,pública,"&amp;Agencia[[#This Row],[coleccion]]&amp;","&amp;Agencia[[#This Row],[sector]]&amp;","&amp;Agencia[[#This Row],[tema]]&amp;","&amp;Agencia[[#This Row],[contenido]]</f>
        <v>Región de O'Higgins,espacio,cultural,titularidad,privada,pública,Agencia Información,Arte y cultura,Titularidad de espacios culturales,Cultura</v>
      </c>
      <c r="S16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https://analytics.zoho.com/open-view/2395394000008378510?ZOHO_CRITERIA=%22Espacios_Culturales_Completo%201%22.%22C%C3%B3digo_Regi%C3%B3n%22%20%3D%206</v>
      </c>
      <c r="T161" s="111" t="str">
        <f>"100-C-"&amp;Agencia[[#This Row],[Filtro URL]]</f>
        <v>100-C-6</v>
      </c>
      <c r="U161" s="46" t="str">
        <f t="shared" si="62"/>
        <v>#1774B9</v>
      </c>
      <c r="V161" s="93" t="str">
        <f>+Agencia[[#This Row],[idcoleccion]]&amp;"-"&amp;Agencia[[#This Row],[id]]</f>
        <v>990-0150</v>
      </c>
      <c r="W161" s="93">
        <f>+VLOOKUP(Agencia[[#This Row],[Filtro URL]],Estructura!$X$4:$Y$500,2,0)</f>
        <v>99200006</v>
      </c>
      <c r="X161" s="93" t="str">
        <f>+VLOOKUP(Agencia[[#This Row],[tema]],Estructura!$A$4:$C$500,3,0)</f>
        <v>T-996</v>
      </c>
      <c r="Y161" s="93" t="str">
        <f>+VLOOKUP(Agencia[[#This Row],[contenido]],Estructura!$E$4:$G$500,3,0)</f>
        <v>C-1008</v>
      </c>
      <c r="Z161" s="93" t="str">
        <f>+VLOOKUP(Agencia[[#This Row],[Filtro Integrado]],Estructura!$I$4:$K$500,3,0)</f>
        <v>FI-991</v>
      </c>
      <c r="AA161" s="93" t="str">
        <f>+VLOOKUP(Agencia[[#This Row],[Muestra]],Estructura!$M$4:$O$500,3,0)</f>
        <v>M-1041</v>
      </c>
    </row>
    <row r="162" spans="1:27" ht="72" x14ac:dyDescent="0.3">
      <c r="A162" s="21" t="s">
        <v>541</v>
      </c>
      <c r="B162" s="23">
        <f t="shared" si="79"/>
        <v>990</v>
      </c>
      <c r="C162" s="24" t="str">
        <f>+C161</f>
        <v>Agencia Información</v>
      </c>
      <c r="D162" s="72" t="str">
        <f>+D161</f>
        <v>Arte y cultura</v>
      </c>
      <c r="E162" s="19">
        <v>7</v>
      </c>
      <c r="F162" s="10" t="s">
        <v>605</v>
      </c>
      <c r="G162" s="10" t="s">
        <v>1896</v>
      </c>
      <c r="H162" s="33" t="s">
        <v>16</v>
      </c>
      <c r="I162" s="34" t="s">
        <v>374</v>
      </c>
      <c r="J162" s="9" t="str">
        <f t="shared" si="56"/>
        <v>Comuna</v>
      </c>
      <c r="K162" s="9" t="str">
        <f t="shared" si="57"/>
        <v>Espacios culturales</v>
      </c>
      <c r="L162" s="9" t="str">
        <f t="shared" si="58"/>
        <v>Año 2021</v>
      </c>
      <c r="M162" s="9" t="str">
        <f t="shared" si="59"/>
        <v>Número de espacios culturales</v>
      </c>
      <c r="N162" s="9" t="str">
        <f t="shared" si="60"/>
        <v>Observatorio Cultural</v>
      </c>
      <c r="O162" s="20" t="str">
        <f>"Cantidad de Espacios Culturales en la "&amp;Agencia[[#This Row],[territorio]]&amp;" por Tipo de Titularidad y Comuna en el "&amp;Agencia[[#This Row],[temporalidad]]</f>
        <v>Cantidad de Espacios Culturales en la Región de Maule por Tipo de Titularidad y Comuna en el Año 2021</v>
      </c>
      <c r="P162" s="112" t="s">
        <v>5560</v>
      </c>
      <c r="Q162" s="11" t="str">
        <f t="shared" ref="Q162:Q226" si="81">+Q161</f>
        <v>Gráfico</v>
      </c>
      <c r="R162" s="148" t="str">
        <f>Agencia[[#This Row],[territorio]]&amp;",espacio,cultural,titularidad,privada,pública,"&amp;Agencia[[#This Row],[coleccion]]&amp;","&amp;Agencia[[#This Row],[sector]]&amp;","&amp;Agencia[[#This Row],[tema]]&amp;","&amp;Agencia[[#This Row],[contenido]]</f>
        <v>Región de Maule,espacio,cultural,titularidad,privada,pública,Agencia Información,Arte y cultura,Titularidad de espacios culturales,Cultura</v>
      </c>
      <c r="S162"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https://analytics.zoho.com/open-view/2395394000008378510?ZOHO_CRITERIA=%22Espacios_Culturales_Completo%201%22.%22C%C3%B3digo_Regi%C3%B3n%22%20%3D%207</v>
      </c>
      <c r="T162" s="111" t="str">
        <f>"100-C-"&amp;Agencia[[#This Row],[Filtro URL]]</f>
        <v>100-C-7</v>
      </c>
      <c r="U162" s="46" t="str">
        <f t="shared" ref="U162:U174" si="82">+U161</f>
        <v>#1774B9</v>
      </c>
      <c r="V162" s="93" t="str">
        <f>+Agencia[[#This Row],[idcoleccion]]&amp;"-"&amp;Agencia[[#This Row],[id]]</f>
        <v>990-0151</v>
      </c>
      <c r="W162" s="93">
        <f>+VLOOKUP(Agencia[[#This Row],[Filtro URL]],Estructura!$X$4:$Y$500,2,0)</f>
        <v>99200007</v>
      </c>
      <c r="X162" s="93" t="str">
        <f>+VLOOKUP(Agencia[[#This Row],[tema]],Estructura!$A$4:$C$500,3,0)</f>
        <v>T-996</v>
      </c>
      <c r="Y162" s="93" t="str">
        <f>+VLOOKUP(Agencia[[#This Row],[contenido]],Estructura!$E$4:$G$500,3,0)</f>
        <v>C-1008</v>
      </c>
      <c r="Z162" s="93" t="str">
        <f>+VLOOKUP(Agencia[[#This Row],[Filtro Integrado]],Estructura!$I$4:$K$500,3,0)</f>
        <v>FI-991</v>
      </c>
      <c r="AA162" s="93" t="str">
        <f>+VLOOKUP(Agencia[[#This Row],[Muestra]],Estructura!$M$4:$O$500,3,0)</f>
        <v>M-1041</v>
      </c>
    </row>
    <row r="163" spans="1:27" ht="72" x14ac:dyDescent="0.3">
      <c r="A163" s="21" t="s">
        <v>542</v>
      </c>
      <c r="B163" s="23">
        <f t="shared" ref="B163:D174" si="83">+B162</f>
        <v>990</v>
      </c>
      <c r="C163" s="24" t="str">
        <f t="shared" si="83"/>
        <v>Agencia Información</v>
      </c>
      <c r="D163" s="72" t="str">
        <f t="shared" si="83"/>
        <v>Arte y cultura</v>
      </c>
      <c r="E163" s="19">
        <v>8</v>
      </c>
      <c r="F163" s="10" t="s">
        <v>605</v>
      </c>
      <c r="G163" s="10" t="s">
        <v>1896</v>
      </c>
      <c r="H163" s="33" t="s">
        <v>16</v>
      </c>
      <c r="I163" s="34" t="s">
        <v>375</v>
      </c>
      <c r="J163" s="9" t="str">
        <f t="shared" si="56"/>
        <v>Comuna</v>
      </c>
      <c r="K163" s="9" t="str">
        <f t="shared" si="57"/>
        <v>Espacios culturales</v>
      </c>
      <c r="L163" s="9" t="str">
        <f t="shared" si="58"/>
        <v>Año 2021</v>
      </c>
      <c r="M163" s="9" t="str">
        <f t="shared" si="59"/>
        <v>Número de espacios culturales</v>
      </c>
      <c r="N163" s="9" t="str">
        <f t="shared" si="60"/>
        <v>Observatorio Cultural</v>
      </c>
      <c r="O163" s="20" t="str">
        <f>"Cantidad de Espacios Culturales en la "&amp;Agencia[[#This Row],[territorio]]&amp;" por Tipo de Titularidad y Comuna en el "&amp;Agencia[[#This Row],[temporalidad]]</f>
        <v>Cantidad de Espacios Culturales en la Región del Biobío por Tipo de Titularidad y Comuna en el Año 2021</v>
      </c>
      <c r="P163" s="112" t="s">
        <v>5561</v>
      </c>
      <c r="Q163" s="11" t="str">
        <f t="shared" si="81"/>
        <v>Gráfico</v>
      </c>
      <c r="R163" s="148" t="str">
        <f>Agencia[[#This Row],[territorio]]&amp;",espacio,cultural,titularidad,privada,pública,"&amp;Agencia[[#This Row],[coleccion]]&amp;","&amp;Agencia[[#This Row],[sector]]&amp;","&amp;Agencia[[#This Row],[tema]]&amp;","&amp;Agencia[[#This Row],[contenido]]</f>
        <v>Región del Biobío,espacio,cultural,titularidad,privada,pública,Agencia Información,Arte y cultura,Titularidad de espacios culturales,Cultura</v>
      </c>
      <c r="S163"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https://analytics.zoho.com/open-view/2395394000008378510?ZOHO_CRITERIA=%22Espacios_Culturales_Completo%201%22.%22C%C3%B3digo_Regi%C3%B3n%22%20%3D%208</v>
      </c>
      <c r="T163" s="111" t="str">
        <f>"100-C-"&amp;Agencia[[#This Row],[Filtro URL]]</f>
        <v>100-C-8</v>
      </c>
      <c r="U163" s="46" t="str">
        <f t="shared" si="82"/>
        <v>#1774B9</v>
      </c>
      <c r="V163" s="93" t="str">
        <f>+Agencia[[#This Row],[idcoleccion]]&amp;"-"&amp;Agencia[[#This Row],[id]]</f>
        <v>990-0152</v>
      </c>
      <c r="W163" s="93">
        <f>+VLOOKUP(Agencia[[#This Row],[Filtro URL]],Estructura!$X$4:$Y$500,2,0)</f>
        <v>99200008</v>
      </c>
      <c r="X163" s="93" t="str">
        <f>+VLOOKUP(Agencia[[#This Row],[tema]],Estructura!$A$4:$C$500,3,0)</f>
        <v>T-996</v>
      </c>
      <c r="Y163" s="93" t="str">
        <f>+VLOOKUP(Agencia[[#This Row],[contenido]],Estructura!$E$4:$G$500,3,0)</f>
        <v>C-1008</v>
      </c>
      <c r="Z163" s="93" t="str">
        <f>+VLOOKUP(Agencia[[#This Row],[Filtro Integrado]],Estructura!$I$4:$K$500,3,0)</f>
        <v>FI-991</v>
      </c>
      <c r="AA163" s="93" t="str">
        <f>+VLOOKUP(Agencia[[#This Row],[Muestra]],Estructura!$M$4:$O$500,3,0)</f>
        <v>M-1041</v>
      </c>
    </row>
    <row r="164" spans="1:27" ht="72" x14ac:dyDescent="0.3">
      <c r="A164" s="21" t="s">
        <v>543</v>
      </c>
      <c r="B164" s="23">
        <f t="shared" si="83"/>
        <v>990</v>
      </c>
      <c r="C164" s="24" t="str">
        <f t="shared" si="83"/>
        <v>Agencia Información</v>
      </c>
      <c r="D164" s="72" t="str">
        <f t="shared" si="83"/>
        <v>Arte y cultura</v>
      </c>
      <c r="E164" s="19">
        <v>9</v>
      </c>
      <c r="F164" s="10" t="s">
        <v>605</v>
      </c>
      <c r="G164" s="10" t="s">
        <v>1896</v>
      </c>
      <c r="H164" s="33" t="s">
        <v>16</v>
      </c>
      <c r="I164" s="34" t="s">
        <v>376</v>
      </c>
      <c r="J164" s="9" t="str">
        <f t="shared" ref="J164:J224" si="84">+J163</f>
        <v>Comuna</v>
      </c>
      <c r="K164" s="9" t="str">
        <f t="shared" ref="K164:K226" si="85">+K163</f>
        <v>Espacios culturales</v>
      </c>
      <c r="L164" s="9" t="str">
        <f t="shared" ref="L164:L226" si="86">+L163</f>
        <v>Año 2021</v>
      </c>
      <c r="M164" s="9" t="str">
        <f t="shared" ref="M164:M226" si="87">+M163</f>
        <v>Número de espacios culturales</v>
      </c>
      <c r="N164" s="9" t="str">
        <f t="shared" ref="N164:N226" si="88">+N163</f>
        <v>Observatorio Cultural</v>
      </c>
      <c r="O164" s="20" t="str">
        <f>"Cantidad de Espacios Culturales en la "&amp;Agencia[[#This Row],[territorio]]&amp;" por Tipo de Titularidad y Comuna en el "&amp;Agencia[[#This Row],[temporalidad]]</f>
        <v>Cantidad de Espacios Culturales en la Región de La Araucanía por Tipo de Titularidad y Comuna en el Año 2021</v>
      </c>
      <c r="P164" s="112" t="s">
        <v>5562</v>
      </c>
      <c r="Q164" s="11" t="str">
        <f t="shared" si="81"/>
        <v>Gráfico</v>
      </c>
      <c r="R164" s="148" t="str">
        <f>Agencia[[#This Row],[territorio]]&amp;",espacio,cultural,titularidad,privada,pública,"&amp;Agencia[[#This Row],[coleccion]]&amp;","&amp;Agencia[[#This Row],[sector]]&amp;","&amp;Agencia[[#This Row],[tema]]&amp;","&amp;Agencia[[#This Row],[contenido]]</f>
        <v>Región de La Araucanía,espacio,cultural,titularidad,privada,pública,Agencia Información,Arte y cultura,Titularidad de espacios culturales,Cultura</v>
      </c>
      <c r="S164"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https://analytics.zoho.com/open-view/2395394000008378510?ZOHO_CRITERIA=%22Espacios_Culturales_Completo%201%22.%22C%C3%B3digo_Regi%C3%B3n%22%20%3D%209</v>
      </c>
      <c r="T164" s="111" t="str">
        <f>"100-C-"&amp;Agencia[[#This Row],[Filtro URL]]</f>
        <v>100-C-9</v>
      </c>
      <c r="U164" s="46" t="str">
        <f t="shared" si="82"/>
        <v>#1774B9</v>
      </c>
      <c r="V164" s="93" t="str">
        <f>+Agencia[[#This Row],[idcoleccion]]&amp;"-"&amp;Agencia[[#This Row],[id]]</f>
        <v>990-0153</v>
      </c>
      <c r="W164" s="93">
        <f>+VLOOKUP(Agencia[[#This Row],[Filtro URL]],Estructura!$X$4:$Y$500,2,0)</f>
        <v>99200009</v>
      </c>
      <c r="X164" s="93" t="str">
        <f>+VLOOKUP(Agencia[[#This Row],[tema]],Estructura!$A$4:$C$500,3,0)</f>
        <v>T-996</v>
      </c>
      <c r="Y164" s="93" t="str">
        <f>+VLOOKUP(Agencia[[#This Row],[contenido]],Estructura!$E$4:$G$500,3,0)</f>
        <v>C-1008</v>
      </c>
      <c r="Z164" s="93" t="str">
        <f>+VLOOKUP(Agencia[[#This Row],[Filtro Integrado]],Estructura!$I$4:$K$500,3,0)</f>
        <v>FI-991</v>
      </c>
      <c r="AA164" s="93" t="str">
        <f>+VLOOKUP(Agencia[[#This Row],[Muestra]],Estructura!$M$4:$O$500,3,0)</f>
        <v>M-1041</v>
      </c>
    </row>
    <row r="165" spans="1:27" ht="72" x14ac:dyDescent="0.3">
      <c r="A165" s="21" t="s">
        <v>1560</v>
      </c>
      <c r="B165" s="23">
        <f t="shared" si="83"/>
        <v>990</v>
      </c>
      <c r="C165" s="24" t="str">
        <f t="shared" si="83"/>
        <v>Agencia Información</v>
      </c>
      <c r="D165" s="72" t="str">
        <f t="shared" si="83"/>
        <v>Arte y cultura</v>
      </c>
      <c r="E165" s="19">
        <v>10</v>
      </c>
      <c r="F165" s="10" t="s">
        <v>605</v>
      </c>
      <c r="G165" s="10" t="s">
        <v>1896</v>
      </c>
      <c r="H165" s="33" t="s">
        <v>16</v>
      </c>
      <c r="I165" s="34" t="s">
        <v>377</v>
      </c>
      <c r="J165" s="9" t="str">
        <f t="shared" si="84"/>
        <v>Comuna</v>
      </c>
      <c r="K165" s="9" t="str">
        <f t="shared" si="85"/>
        <v>Espacios culturales</v>
      </c>
      <c r="L165" s="9" t="str">
        <f t="shared" si="86"/>
        <v>Año 2021</v>
      </c>
      <c r="M165" s="9" t="str">
        <f t="shared" si="87"/>
        <v>Número de espacios culturales</v>
      </c>
      <c r="N165" s="9" t="str">
        <f t="shared" si="88"/>
        <v>Observatorio Cultural</v>
      </c>
      <c r="O165" s="20" t="str">
        <f>"Cantidad de Espacios Culturales en la "&amp;Agencia[[#This Row],[territorio]]&amp;" por Tipo de Titularidad y Comuna en el "&amp;Agencia[[#This Row],[temporalidad]]</f>
        <v>Cantidad de Espacios Culturales en la Región de Los Lagos por Tipo de Titularidad y Comuna en el Año 2021</v>
      </c>
      <c r="P165" s="112" t="s">
        <v>5563</v>
      </c>
      <c r="Q165" s="11" t="str">
        <f t="shared" si="81"/>
        <v>Gráfico</v>
      </c>
      <c r="R165" s="148" t="str">
        <f>Agencia[[#This Row],[territorio]]&amp;",espacio,cultural,titularidad,privada,pública,"&amp;Agencia[[#This Row],[coleccion]]&amp;","&amp;Agencia[[#This Row],[sector]]&amp;","&amp;Agencia[[#This Row],[tema]]&amp;","&amp;Agencia[[#This Row],[contenido]]</f>
        <v>Región de Los Lagos,espacio,cultural,titularidad,privada,pública,Agencia Información,Arte y cultura,Titularidad de espacios culturales,Cultura</v>
      </c>
      <c r="S165"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https://analytics.zoho.com/open-view/2395394000008378510?ZOHO_CRITERIA=%22Espacios_Culturales_Completo%201%22.%22C%C3%B3digo_Regi%C3%B3n%22%20%3D%2010</v>
      </c>
      <c r="T165" s="111" t="str">
        <f>"100-C-"&amp;Agencia[[#This Row],[Filtro URL]]</f>
        <v>100-C-10</v>
      </c>
      <c r="U165" s="46" t="str">
        <f t="shared" si="82"/>
        <v>#1774B9</v>
      </c>
      <c r="V165" s="93" t="str">
        <f>+Agencia[[#This Row],[idcoleccion]]&amp;"-"&amp;Agencia[[#This Row],[id]]</f>
        <v>990-0154</v>
      </c>
      <c r="W165" s="93">
        <f>+VLOOKUP(Agencia[[#This Row],[Filtro URL]],Estructura!$X$4:$Y$500,2,0)</f>
        <v>99200010</v>
      </c>
      <c r="X165" s="93" t="str">
        <f>+VLOOKUP(Agencia[[#This Row],[tema]],Estructura!$A$4:$C$500,3,0)</f>
        <v>T-996</v>
      </c>
      <c r="Y165" s="93" t="str">
        <f>+VLOOKUP(Agencia[[#This Row],[contenido]],Estructura!$E$4:$G$500,3,0)</f>
        <v>C-1008</v>
      </c>
      <c r="Z165" s="93" t="str">
        <f>+VLOOKUP(Agencia[[#This Row],[Filtro Integrado]],Estructura!$I$4:$K$500,3,0)</f>
        <v>FI-991</v>
      </c>
      <c r="AA165" s="93" t="str">
        <f>+VLOOKUP(Agencia[[#This Row],[Muestra]],Estructura!$M$4:$O$500,3,0)</f>
        <v>M-1041</v>
      </c>
    </row>
    <row r="166" spans="1:27" ht="72" x14ac:dyDescent="0.3">
      <c r="A166" s="21" t="s">
        <v>1561</v>
      </c>
      <c r="B166" s="23">
        <f t="shared" si="83"/>
        <v>990</v>
      </c>
      <c r="C166" s="24" t="str">
        <f t="shared" si="83"/>
        <v>Agencia Información</v>
      </c>
      <c r="D166" s="72" t="str">
        <f t="shared" si="83"/>
        <v>Arte y cultura</v>
      </c>
      <c r="E166" s="19">
        <v>11</v>
      </c>
      <c r="F166" s="10" t="s">
        <v>605</v>
      </c>
      <c r="G166" s="10" t="s">
        <v>1896</v>
      </c>
      <c r="H166" s="33" t="s">
        <v>16</v>
      </c>
      <c r="I166" s="34" t="s">
        <v>378</v>
      </c>
      <c r="J166" s="9" t="str">
        <f t="shared" si="84"/>
        <v>Comuna</v>
      </c>
      <c r="K166" s="9" t="str">
        <f t="shared" si="85"/>
        <v>Espacios culturales</v>
      </c>
      <c r="L166" s="9" t="str">
        <f t="shared" si="86"/>
        <v>Año 2021</v>
      </c>
      <c r="M166" s="9" t="str">
        <f t="shared" si="87"/>
        <v>Número de espacios culturales</v>
      </c>
      <c r="N166" s="9" t="str">
        <f t="shared" si="88"/>
        <v>Observatorio Cultural</v>
      </c>
      <c r="O166" s="20" t="str">
        <f>"Cantidad de Espacios Culturales en la "&amp;Agencia[[#This Row],[territorio]]&amp;" por Tipo de Titularidad y Comuna en el "&amp;Agencia[[#This Row],[temporalidad]]</f>
        <v>Cantidad de Espacios Culturales en la Región de Aysén por Tipo de Titularidad y Comuna en el Año 2021</v>
      </c>
      <c r="P166" s="112" t="s">
        <v>5564</v>
      </c>
      <c r="Q166" s="11" t="str">
        <f t="shared" si="81"/>
        <v>Gráfico</v>
      </c>
      <c r="R166" s="148" t="str">
        <f>Agencia[[#This Row],[territorio]]&amp;",espacio,cultural,titularidad,privada,pública,"&amp;Agencia[[#This Row],[coleccion]]&amp;","&amp;Agencia[[#This Row],[sector]]&amp;","&amp;Agencia[[#This Row],[tema]]&amp;","&amp;Agencia[[#This Row],[contenido]]</f>
        <v>Región de Aysén,espacio,cultural,titularidad,privada,pública,Agencia Información,Arte y cultura,Titularidad de espacios culturales,Cultura</v>
      </c>
      <c r="S16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https://analytics.zoho.com/open-view/2395394000008378510?ZOHO_CRITERIA=%22Espacios_Culturales_Completo%201%22.%22C%C3%B3digo_Regi%C3%B3n%22%20%3D%2011</v>
      </c>
      <c r="T166" s="111" t="str">
        <f>"100-C-"&amp;Agencia[[#This Row],[Filtro URL]]</f>
        <v>100-C-11</v>
      </c>
      <c r="U166" s="46" t="str">
        <f t="shared" si="82"/>
        <v>#1774B9</v>
      </c>
      <c r="V166" s="93" t="str">
        <f>+Agencia[[#This Row],[idcoleccion]]&amp;"-"&amp;Agencia[[#This Row],[id]]</f>
        <v>990-0155</v>
      </c>
      <c r="W166" s="93">
        <f>+VLOOKUP(Agencia[[#This Row],[Filtro URL]],Estructura!$X$4:$Y$500,2,0)</f>
        <v>99200011</v>
      </c>
      <c r="X166" s="93" t="str">
        <f>+VLOOKUP(Agencia[[#This Row],[tema]],Estructura!$A$4:$C$500,3,0)</f>
        <v>T-996</v>
      </c>
      <c r="Y166" s="93" t="str">
        <f>+VLOOKUP(Agencia[[#This Row],[contenido]],Estructura!$E$4:$G$500,3,0)</f>
        <v>C-1008</v>
      </c>
      <c r="Z166" s="93" t="str">
        <f>+VLOOKUP(Agencia[[#This Row],[Filtro Integrado]],Estructura!$I$4:$K$500,3,0)</f>
        <v>FI-991</v>
      </c>
      <c r="AA166" s="93" t="str">
        <f>+VLOOKUP(Agencia[[#This Row],[Muestra]],Estructura!$M$4:$O$500,3,0)</f>
        <v>M-1041</v>
      </c>
    </row>
    <row r="167" spans="1:27" ht="72" x14ac:dyDescent="0.3">
      <c r="A167" s="21" t="s">
        <v>544</v>
      </c>
      <c r="B167" s="23">
        <f t="shared" si="83"/>
        <v>990</v>
      </c>
      <c r="C167" s="24" t="str">
        <f t="shared" si="83"/>
        <v>Agencia Información</v>
      </c>
      <c r="D167" s="72" t="str">
        <f t="shared" si="83"/>
        <v>Arte y cultura</v>
      </c>
      <c r="E167" s="19">
        <v>12</v>
      </c>
      <c r="F167" s="10" t="s">
        <v>605</v>
      </c>
      <c r="G167" s="10" t="s">
        <v>1896</v>
      </c>
      <c r="H167" s="33" t="s">
        <v>16</v>
      </c>
      <c r="I167" s="34" t="s">
        <v>379</v>
      </c>
      <c r="J167" s="9" t="str">
        <f t="shared" si="84"/>
        <v>Comuna</v>
      </c>
      <c r="K167" s="9" t="str">
        <f t="shared" si="85"/>
        <v>Espacios culturales</v>
      </c>
      <c r="L167" s="9" t="str">
        <f t="shared" si="86"/>
        <v>Año 2021</v>
      </c>
      <c r="M167" s="9" t="str">
        <f t="shared" si="87"/>
        <v>Número de espacios culturales</v>
      </c>
      <c r="N167" s="9" t="str">
        <f t="shared" si="88"/>
        <v>Observatorio Cultural</v>
      </c>
      <c r="O167" s="20" t="str">
        <f>"Cantidad de Espacios Culturales en la "&amp;Agencia[[#This Row],[territorio]]&amp;" por Tipo de Titularidad y Comuna en el "&amp;Agencia[[#This Row],[temporalidad]]</f>
        <v>Cantidad de Espacios Culturales en la Región de Magallanes por Tipo de Titularidad y Comuna en el Año 2021</v>
      </c>
      <c r="P167" s="112" t="s">
        <v>5565</v>
      </c>
      <c r="Q167" s="11" t="str">
        <f t="shared" si="81"/>
        <v>Gráfico</v>
      </c>
      <c r="R167" s="148" t="str">
        <f>Agencia[[#This Row],[territorio]]&amp;",espacio,cultural,titularidad,privada,pública,"&amp;Agencia[[#This Row],[coleccion]]&amp;","&amp;Agencia[[#This Row],[sector]]&amp;","&amp;Agencia[[#This Row],[tema]]&amp;","&amp;Agencia[[#This Row],[contenido]]</f>
        <v>Región de Magallanes,espacio,cultural,titularidad,privada,pública,Agencia Información,Arte y cultura,Titularidad de espacios culturales,Cultura</v>
      </c>
      <c r="S16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https://analytics.zoho.com/open-view/2395394000008378510?ZOHO_CRITERIA=%22Espacios_Culturales_Completo%201%22.%22C%C3%B3digo_Regi%C3%B3n%22%20%3D%2012</v>
      </c>
      <c r="T167" s="111" t="str">
        <f>"100-C-"&amp;Agencia[[#This Row],[Filtro URL]]</f>
        <v>100-C-12</v>
      </c>
      <c r="U167" s="46" t="str">
        <f t="shared" si="82"/>
        <v>#1774B9</v>
      </c>
      <c r="V167" s="93" t="str">
        <f>+Agencia[[#This Row],[idcoleccion]]&amp;"-"&amp;Agencia[[#This Row],[id]]</f>
        <v>990-0156</v>
      </c>
      <c r="W167" s="93">
        <f>+VLOOKUP(Agencia[[#This Row],[Filtro URL]],Estructura!$X$4:$Y$500,2,0)</f>
        <v>99200012</v>
      </c>
      <c r="X167" s="93" t="str">
        <f>+VLOOKUP(Agencia[[#This Row],[tema]],Estructura!$A$4:$C$500,3,0)</f>
        <v>T-996</v>
      </c>
      <c r="Y167" s="93" t="str">
        <f>+VLOOKUP(Agencia[[#This Row],[contenido]],Estructura!$E$4:$G$500,3,0)</f>
        <v>C-1008</v>
      </c>
      <c r="Z167" s="93" t="str">
        <f>+VLOOKUP(Agencia[[#This Row],[Filtro Integrado]],Estructura!$I$4:$K$500,3,0)</f>
        <v>FI-991</v>
      </c>
      <c r="AA167" s="93" t="str">
        <f>+VLOOKUP(Agencia[[#This Row],[Muestra]],Estructura!$M$4:$O$500,3,0)</f>
        <v>M-1041</v>
      </c>
    </row>
    <row r="168" spans="1:27" ht="72" x14ac:dyDescent="0.3">
      <c r="A168" s="21" t="s">
        <v>1562</v>
      </c>
      <c r="B168" s="23">
        <f t="shared" si="83"/>
        <v>990</v>
      </c>
      <c r="C168" s="24" t="str">
        <f t="shared" si="83"/>
        <v>Agencia Información</v>
      </c>
      <c r="D168" s="72" t="str">
        <f t="shared" si="83"/>
        <v>Arte y cultura</v>
      </c>
      <c r="E168" s="19">
        <v>13</v>
      </c>
      <c r="F168" s="10" t="s">
        <v>605</v>
      </c>
      <c r="G168" s="10" t="s">
        <v>1896</v>
      </c>
      <c r="H168" s="33" t="s">
        <v>16</v>
      </c>
      <c r="I168" s="34" t="s">
        <v>380</v>
      </c>
      <c r="J168" s="9" t="str">
        <f t="shared" si="84"/>
        <v>Comuna</v>
      </c>
      <c r="K168" s="9" t="str">
        <f t="shared" si="85"/>
        <v>Espacios culturales</v>
      </c>
      <c r="L168" s="9" t="str">
        <f t="shared" si="86"/>
        <v>Año 2021</v>
      </c>
      <c r="M168" s="9" t="str">
        <f t="shared" si="87"/>
        <v>Número de espacios culturales</v>
      </c>
      <c r="N168" s="9" t="str">
        <f t="shared" si="88"/>
        <v>Observatorio Cultural</v>
      </c>
      <c r="O168" s="20" t="str">
        <f>"Cantidad de Espacios Culturales en la "&amp;Agencia[[#This Row],[territorio]]&amp;" por Tipo de Titularidad y Comuna en el "&amp;Agencia[[#This Row],[temporalidad]]</f>
        <v>Cantidad de Espacios Culturales en la Región Metropolitana por Tipo de Titularidad y Comuna en el Año 2021</v>
      </c>
      <c r="P168" s="112" t="s">
        <v>5545</v>
      </c>
      <c r="Q168" s="11" t="str">
        <f t="shared" si="81"/>
        <v>Gráfico</v>
      </c>
      <c r="R168" s="148" t="str">
        <f>Agencia[[#This Row],[territorio]]&amp;",espacio,cultural,titularidad,privada,pública,"&amp;Agencia[[#This Row],[coleccion]]&amp;","&amp;Agencia[[#This Row],[sector]]&amp;","&amp;Agencia[[#This Row],[tema]]&amp;","&amp;Agencia[[#This Row],[contenido]]</f>
        <v>Región Metropolitana,espacio,cultural,titularidad,privada,pública,Agencia Información,Arte y cultura,Titularidad de espacios culturales,Cultura</v>
      </c>
      <c r="S16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https://analytics.zoho.com/open-view/2395394000008378510?ZOHO_CRITERIA=%22Espacios_Culturales_Completo%201%22.%22C%C3%B3digo_Regi%C3%B3n%22%20%3D%2013</v>
      </c>
      <c r="T168" s="111" t="str">
        <f>"200-C-"&amp;Agencia[[#This Row],[Filtro URL]]</f>
        <v>200-C-13</v>
      </c>
      <c r="U168" s="46" t="str">
        <f t="shared" si="82"/>
        <v>#1774B9</v>
      </c>
      <c r="V168" s="93" t="str">
        <f>+Agencia[[#This Row],[idcoleccion]]&amp;"-"&amp;Agencia[[#This Row],[id]]</f>
        <v>990-0157</v>
      </c>
      <c r="W168" s="93">
        <f>+VLOOKUP(Agencia[[#This Row],[Filtro URL]],Estructura!$X$4:$Y$500,2,0)</f>
        <v>99200013</v>
      </c>
      <c r="X168" s="93" t="str">
        <f>+VLOOKUP(Agencia[[#This Row],[tema]],Estructura!$A$4:$C$500,3,0)</f>
        <v>T-996</v>
      </c>
      <c r="Y168" s="93" t="str">
        <f>+VLOOKUP(Agencia[[#This Row],[contenido]],Estructura!$E$4:$G$500,3,0)</f>
        <v>C-1008</v>
      </c>
      <c r="Z168" s="93" t="str">
        <f>+VLOOKUP(Agencia[[#This Row],[Filtro Integrado]],Estructura!$I$4:$K$500,3,0)</f>
        <v>FI-991</v>
      </c>
      <c r="AA168" s="93" t="str">
        <f>+VLOOKUP(Agencia[[#This Row],[Muestra]],Estructura!$M$4:$O$500,3,0)</f>
        <v>M-1041</v>
      </c>
    </row>
    <row r="169" spans="1:27" ht="72" x14ac:dyDescent="0.3">
      <c r="A169" s="21" t="s">
        <v>545</v>
      </c>
      <c r="B169" s="23">
        <f t="shared" si="83"/>
        <v>990</v>
      </c>
      <c r="C169" s="24" t="str">
        <f t="shared" si="83"/>
        <v>Agencia Información</v>
      </c>
      <c r="D169" s="72" t="str">
        <f t="shared" si="83"/>
        <v>Arte y cultura</v>
      </c>
      <c r="E169" s="19">
        <v>14</v>
      </c>
      <c r="F169" s="10" t="s">
        <v>605</v>
      </c>
      <c r="G169" s="10" t="s">
        <v>1896</v>
      </c>
      <c r="H169" s="33" t="s">
        <v>16</v>
      </c>
      <c r="I169" s="34" t="s">
        <v>381</v>
      </c>
      <c r="J169" s="9" t="str">
        <f t="shared" si="84"/>
        <v>Comuna</v>
      </c>
      <c r="K169" s="9" t="str">
        <f t="shared" si="85"/>
        <v>Espacios culturales</v>
      </c>
      <c r="L169" s="9" t="str">
        <f t="shared" si="86"/>
        <v>Año 2021</v>
      </c>
      <c r="M169" s="9" t="str">
        <f t="shared" si="87"/>
        <v>Número de espacios culturales</v>
      </c>
      <c r="N169" s="9" t="str">
        <f t="shared" si="88"/>
        <v>Observatorio Cultural</v>
      </c>
      <c r="O169" s="20" t="str">
        <f>"Cantidad de Espacios Culturales en la "&amp;Agencia[[#This Row],[territorio]]&amp;" por Tipo de Titularidad y Comuna en el "&amp;Agencia[[#This Row],[temporalidad]]</f>
        <v>Cantidad de Espacios Culturales en la Región de Los Ríos por Tipo de Titularidad y Comuna en el Año 2021</v>
      </c>
      <c r="P169" s="112" t="s">
        <v>5566</v>
      </c>
      <c r="Q169" s="11" t="str">
        <f t="shared" si="81"/>
        <v>Gráfico</v>
      </c>
      <c r="R169" s="148" t="str">
        <f>Agencia[[#This Row],[territorio]]&amp;",espacio,cultural,titularidad,privada,pública,"&amp;Agencia[[#This Row],[coleccion]]&amp;","&amp;Agencia[[#This Row],[sector]]&amp;","&amp;Agencia[[#This Row],[tema]]&amp;","&amp;Agencia[[#This Row],[contenido]]</f>
        <v>Región de Los Ríos,espacio,cultural,titularidad,privada,pública,Agencia Información,Arte y cultura,Titularidad de espacios culturales,Cultura</v>
      </c>
      <c r="S16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https://analytics.zoho.com/open-view/2395394000008378510?ZOHO_CRITERIA=%22Espacios_Culturales_Completo%201%22.%22C%C3%B3digo_Regi%C3%B3n%22%20%3D%2014</v>
      </c>
      <c r="T169" s="111" t="str">
        <f>"100-C-"&amp;Agencia[[#This Row],[Filtro URL]]</f>
        <v>100-C-14</v>
      </c>
      <c r="U169" s="46" t="str">
        <f t="shared" si="82"/>
        <v>#1774B9</v>
      </c>
      <c r="V169" s="93" t="str">
        <f>+Agencia[[#This Row],[idcoleccion]]&amp;"-"&amp;Agencia[[#This Row],[id]]</f>
        <v>990-0158</v>
      </c>
      <c r="W169" s="93">
        <f>+VLOOKUP(Agencia[[#This Row],[Filtro URL]],Estructura!$X$4:$Y$500,2,0)</f>
        <v>99200014</v>
      </c>
      <c r="X169" s="93" t="str">
        <f>+VLOOKUP(Agencia[[#This Row],[tema]],Estructura!$A$4:$C$500,3,0)</f>
        <v>T-996</v>
      </c>
      <c r="Y169" s="93" t="str">
        <f>+VLOOKUP(Agencia[[#This Row],[contenido]],Estructura!$E$4:$G$500,3,0)</f>
        <v>C-1008</v>
      </c>
      <c r="Z169" s="93" t="str">
        <f>+VLOOKUP(Agencia[[#This Row],[Filtro Integrado]],Estructura!$I$4:$K$500,3,0)</f>
        <v>FI-991</v>
      </c>
      <c r="AA169" s="93" t="str">
        <f>+VLOOKUP(Agencia[[#This Row],[Muestra]],Estructura!$M$4:$O$500,3,0)</f>
        <v>M-1041</v>
      </c>
    </row>
    <row r="170" spans="1:27" ht="72" x14ac:dyDescent="0.3">
      <c r="A170" s="21" t="s">
        <v>546</v>
      </c>
      <c r="B170" s="23">
        <f t="shared" si="83"/>
        <v>990</v>
      </c>
      <c r="C170" s="24" t="str">
        <f t="shared" si="83"/>
        <v>Agencia Información</v>
      </c>
      <c r="D170" s="72" t="str">
        <f t="shared" si="83"/>
        <v>Arte y cultura</v>
      </c>
      <c r="E170" s="19">
        <v>15</v>
      </c>
      <c r="F170" s="10" t="s">
        <v>605</v>
      </c>
      <c r="G170" s="10" t="s">
        <v>1896</v>
      </c>
      <c r="H170" s="33" t="s">
        <v>16</v>
      </c>
      <c r="I170" s="34" t="s">
        <v>382</v>
      </c>
      <c r="J170" s="9" t="str">
        <f t="shared" si="84"/>
        <v>Comuna</v>
      </c>
      <c r="K170" s="9" t="str">
        <f t="shared" si="85"/>
        <v>Espacios culturales</v>
      </c>
      <c r="L170" s="9" t="str">
        <f t="shared" si="86"/>
        <v>Año 2021</v>
      </c>
      <c r="M170" s="9" t="str">
        <f t="shared" si="87"/>
        <v>Número de espacios culturales</v>
      </c>
      <c r="N170" s="9" t="str">
        <f t="shared" si="88"/>
        <v>Observatorio Cultural</v>
      </c>
      <c r="O170" s="20" t="str">
        <f>"Cantidad de Espacios Culturales en la "&amp;Agencia[[#This Row],[territorio]]&amp;" por Tipo de Titularidad y Comuna en el "&amp;Agencia[[#This Row],[temporalidad]]</f>
        <v>Cantidad de Espacios Culturales en la Región de Arica y Parinacota por Tipo de Titularidad y Comuna en el Año 2021</v>
      </c>
      <c r="P170" s="112" t="s">
        <v>5567</v>
      </c>
      <c r="Q170" s="11" t="str">
        <f t="shared" si="81"/>
        <v>Gráfico</v>
      </c>
      <c r="R170" s="148" t="str">
        <f>Agencia[[#This Row],[territorio]]&amp;",espacio,cultural,titularidad,privada,pública,"&amp;Agencia[[#This Row],[coleccion]]&amp;","&amp;Agencia[[#This Row],[sector]]&amp;","&amp;Agencia[[#This Row],[tema]]&amp;","&amp;Agencia[[#This Row],[contenido]]</f>
        <v>Región de Arica y Parinacota,espacio,cultural,titularidad,privada,pública,Agencia Información,Arte y cultura,Titularidad de espacios culturales,Cultura</v>
      </c>
      <c r="S17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https://analytics.zoho.com/open-view/2395394000008378510?ZOHO_CRITERIA=%22Espacios_Culturales_Completo%201%22.%22C%C3%B3digo_Regi%C3%B3n%22%20%3D%2015</v>
      </c>
      <c r="T170" s="111" t="str">
        <f>"100-C-"&amp;Agencia[[#This Row],[Filtro URL]]</f>
        <v>100-C-15</v>
      </c>
      <c r="U170" s="46" t="str">
        <f t="shared" si="82"/>
        <v>#1774B9</v>
      </c>
      <c r="V170" s="93" t="str">
        <f>+Agencia[[#This Row],[idcoleccion]]&amp;"-"&amp;Agencia[[#This Row],[id]]</f>
        <v>990-0159</v>
      </c>
      <c r="W170" s="93">
        <f>+VLOOKUP(Agencia[[#This Row],[Filtro URL]],Estructura!$X$4:$Y$500,2,0)</f>
        <v>99200015</v>
      </c>
      <c r="X170" s="93" t="str">
        <f>+VLOOKUP(Agencia[[#This Row],[tema]],Estructura!$A$4:$C$500,3,0)</f>
        <v>T-996</v>
      </c>
      <c r="Y170" s="93" t="str">
        <f>+VLOOKUP(Agencia[[#This Row],[contenido]],Estructura!$E$4:$G$500,3,0)</f>
        <v>C-1008</v>
      </c>
      <c r="Z170" s="93" t="str">
        <f>+VLOOKUP(Agencia[[#This Row],[Filtro Integrado]],Estructura!$I$4:$K$500,3,0)</f>
        <v>FI-991</v>
      </c>
      <c r="AA170" s="93" t="str">
        <f>+VLOOKUP(Agencia[[#This Row],[Muestra]],Estructura!$M$4:$O$500,3,0)</f>
        <v>M-1041</v>
      </c>
    </row>
    <row r="171" spans="1:27" ht="72" x14ac:dyDescent="0.3">
      <c r="A171" s="21" t="s">
        <v>547</v>
      </c>
      <c r="B171" s="23">
        <f t="shared" si="83"/>
        <v>990</v>
      </c>
      <c r="C171" s="24" t="str">
        <f t="shared" si="83"/>
        <v>Agencia Información</v>
      </c>
      <c r="D171" s="72" t="str">
        <f t="shared" si="83"/>
        <v>Arte y cultura</v>
      </c>
      <c r="E171" s="19">
        <v>16</v>
      </c>
      <c r="F171" s="10" t="s">
        <v>605</v>
      </c>
      <c r="G171" s="10" t="s">
        <v>1896</v>
      </c>
      <c r="H171" s="33" t="s">
        <v>16</v>
      </c>
      <c r="I171" s="34" t="s">
        <v>383</v>
      </c>
      <c r="J171" s="9" t="str">
        <f t="shared" si="84"/>
        <v>Comuna</v>
      </c>
      <c r="K171" s="9" t="str">
        <f t="shared" si="85"/>
        <v>Espacios culturales</v>
      </c>
      <c r="L171" s="9" t="str">
        <f t="shared" si="86"/>
        <v>Año 2021</v>
      </c>
      <c r="M171" s="9" t="str">
        <f t="shared" si="87"/>
        <v>Número de espacios culturales</v>
      </c>
      <c r="N171" s="9" t="str">
        <f t="shared" si="88"/>
        <v>Observatorio Cultural</v>
      </c>
      <c r="O171" s="20" t="str">
        <f>"Cantidad de Espacios Culturales en la "&amp;Agencia[[#This Row],[territorio]]&amp;" por Tipo de Titularidad y Comuna en el "&amp;Agencia[[#This Row],[temporalidad]]</f>
        <v>Cantidad de Espacios Culturales en la Región de Ñuble por Tipo de Titularidad y Comuna en el Año 2021</v>
      </c>
      <c r="P171" s="112" t="s">
        <v>5568</v>
      </c>
      <c r="Q171" s="11" t="str">
        <f t="shared" si="81"/>
        <v>Gráfico</v>
      </c>
      <c r="R171" s="148" t="str">
        <f>Agencia[[#This Row],[territorio]]&amp;",espacio,cultural,titularidad,privada,pública,"&amp;Agencia[[#This Row],[coleccion]]&amp;","&amp;Agencia[[#This Row],[sector]]&amp;","&amp;Agencia[[#This Row],[tema]]&amp;","&amp;Agencia[[#This Row],[contenido]]</f>
        <v>Región de Ñuble,espacio,cultural,titularidad,privada,pública,Agencia Información,Arte y cultura,Titularidad de espacios culturales,Cultura</v>
      </c>
      <c r="S17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https://analytics.zoho.com/open-view/2395394000008378510?ZOHO_CRITERIA=%22Espacios_Culturales_Completo%201%22.%22C%C3%B3digo_Regi%C3%B3n%22%20%3D%2016</v>
      </c>
      <c r="T171" s="111" t="str">
        <f>"100-C-"&amp;Agencia[[#This Row],[Filtro URL]]</f>
        <v>100-C-16</v>
      </c>
      <c r="U171" s="46" t="str">
        <f t="shared" si="82"/>
        <v>#1774B9</v>
      </c>
      <c r="V171" s="93" t="str">
        <f>+Agencia[[#This Row],[idcoleccion]]&amp;"-"&amp;Agencia[[#This Row],[id]]</f>
        <v>990-0160</v>
      </c>
      <c r="W171" s="93">
        <f>+VLOOKUP(Agencia[[#This Row],[Filtro URL]],Estructura!$X$4:$Y$500,2,0)</f>
        <v>99200016</v>
      </c>
      <c r="X171" s="93" t="str">
        <f>+VLOOKUP(Agencia[[#This Row],[tema]],Estructura!$A$4:$C$500,3,0)</f>
        <v>T-996</v>
      </c>
      <c r="Y171" s="93" t="str">
        <f>+VLOOKUP(Agencia[[#This Row],[contenido]],Estructura!$E$4:$G$500,3,0)</f>
        <v>C-1008</v>
      </c>
      <c r="Z171" s="93" t="str">
        <f>+VLOOKUP(Agencia[[#This Row],[Filtro Integrado]],Estructura!$I$4:$K$500,3,0)</f>
        <v>FI-991</v>
      </c>
      <c r="AA171" s="93" t="str">
        <f>+VLOOKUP(Agencia[[#This Row],[Muestra]],Estructura!$M$4:$O$500,3,0)</f>
        <v>M-1041</v>
      </c>
    </row>
    <row r="172" spans="1:27" ht="72" x14ac:dyDescent="0.3">
      <c r="A172" s="21" t="s">
        <v>548</v>
      </c>
      <c r="B172" s="23">
        <f t="shared" si="83"/>
        <v>990</v>
      </c>
      <c r="C172" s="24" t="str">
        <f t="shared" si="83"/>
        <v>Agencia Información</v>
      </c>
      <c r="D172" s="72" t="s">
        <v>785</v>
      </c>
      <c r="E172" s="14">
        <v>0</v>
      </c>
      <c r="F172" s="10" t="s">
        <v>4288</v>
      </c>
      <c r="G172" s="10" t="s">
        <v>1879</v>
      </c>
      <c r="H172" s="31" t="s">
        <v>20</v>
      </c>
      <c r="I172" s="32" t="s">
        <v>15</v>
      </c>
      <c r="J172" s="9" t="s">
        <v>16</v>
      </c>
      <c r="K172" s="9" t="s">
        <v>9274</v>
      </c>
      <c r="L172" s="36" t="s">
        <v>1547</v>
      </c>
      <c r="M172" s="9" t="s">
        <v>423</v>
      </c>
      <c r="N172" s="9" t="s">
        <v>456</v>
      </c>
      <c r="O172" s="20" t="str">
        <f>"Variación Anual de Frecuencia de Delitos de Mayor Connotación Social en "&amp;Agencia[[#This Row],[territorio]]&amp;", "&amp; Agencia[[#This Row],[temporalidad]]</f>
        <v>Variación Anual de Frecuencia de Delitos de Mayor Connotación Social en Chile, Periodo 2008-2020</v>
      </c>
      <c r="P172" s="112" t="s">
        <v>5258</v>
      </c>
      <c r="Q172" s="11" t="s">
        <v>590</v>
      </c>
      <c r="R172" s="20" t="str">
        <f>Agencia[[#This Row],[territorio]]&amp;",delitos,mayor,connotación,social,variación,anual,frecuencia,"&amp;Agencia[[#This Row],[coleccion]]&amp;","&amp;Agencia[[#This Row],[sector]]&amp;","&amp;Agencia[[#This Row],[tema]]&amp;","&amp;Agencia[[#This Row],[contenido]]</f>
        <v>Chile,delitos,mayor,connotación,social,variación,anual,frecuencia,Agencia Información,Social,Delitos de Mayor Connotación Social (DMCS),Delincuencia</v>
      </c>
      <c r="S172" s="37" t="s">
        <v>819</v>
      </c>
      <c r="T172" s="108" t="s">
        <v>957</v>
      </c>
      <c r="U172" s="46" t="str">
        <f t="shared" si="82"/>
        <v>#1774B9</v>
      </c>
      <c r="V172" s="93" t="str">
        <f>+Agencia[[#This Row],[idcoleccion]]&amp;"-"&amp;Agencia[[#This Row],[id]]</f>
        <v>990-0161</v>
      </c>
      <c r="W172" s="93">
        <f>+VLOOKUP(Agencia[[#This Row],[Filtro URL]],Estructura!$X$4:$Y$500,2,0)</f>
        <v>99100000</v>
      </c>
      <c r="X172" s="93" t="str">
        <f>+VLOOKUP(Agencia[[#This Row],[tema]],Estructura!$A$4:$C$500,3,0)</f>
        <v>T-1050</v>
      </c>
      <c r="Y172" s="93" t="str">
        <f>+VLOOKUP(Agencia[[#This Row],[contenido]],Estructura!$E$4:$G$500,3,0)</f>
        <v>C-998</v>
      </c>
      <c r="Z172" s="93" t="str">
        <f>+VLOOKUP(Agencia[[#This Row],[Filtro Integrado]],Estructura!$I$4:$K$500,3,0)</f>
        <v>FI-992</v>
      </c>
      <c r="AA172" s="93" t="str">
        <f>+VLOOKUP(Agencia[[#This Row],[Muestra]],Estructura!$M$4:$O$500,3,0)</f>
        <v>M-1042</v>
      </c>
    </row>
    <row r="173" spans="1:27" ht="72" x14ac:dyDescent="0.3">
      <c r="A173" s="21" t="s">
        <v>549</v>
      </c>
      <c r="B173" s="23">
        <f t="shared" si="83"/>
        <v>990</v>
      </c>
      <c r="C173" s="24" t="str">
        <f t="shared" si="83"/>
        <v>Agencia Información</v>
      </c>
      <c r="D173" s="72" t="str">
        <f t="shared" si="83"/>
        <v>Social</v>
      </c>
      <c r="E173" s="19">
        <v>1</v>
      </c>
      <c r="F173" s="67" t="s">
        <v>4288</v>
      </c>
      <c r="G173" s="10" t="s">
        <v>1879</v>
      </c>
      <c r="H173" s="33" t="s">
        <v>16</v>
      </c>
      <c r="I173" s="34" t="s">
        <v>368</v>
      </c>
      <c r="J173" s="9" t="s">
        <v>18</v>
      </c>
      <c r="K173" s="9" t="str">
        <f t="shared" si="85"/>
        <v>Delitos</v>
      </c>
      <c r="L173" s="9" t="str">
        <f t="shared" si="86"/>
        <v>Periodo 2008-2020</v>
      </c>
      <c r="M173" s="9" t="str">
        <f t="shared" si="87"/>
        <v>Porcentaje (%)</v>
      </c>
      <c r="N173" s="9" t="str">
        <f t="shared" si="88"/>
        <v>Centro de Estudios y Análisis del Delito (CEAD) de la Subsecretaría de Prevención del Delito</v>
      </c>
      <c r="O173" s="20" t="str">
        <f>"Variación Anual de Frecuencia de Delitos de Mayor Connotación Social en la "&amp;Agencia[[#This Row],[territorio]]&amp;", "&amp; Agencia[[#This Row],[temporalidad]]</f>
        <v>Variación Anual de Frecuencia de Delitos de Mayor Connotación Social en la Región de Tarapacá, Periodo 2008-2020</v>
      </c>
      <c r="P173" s="112" t="s">
        <v>5259</v>
      </c>
      <c r="Q173" s="11" t="str">
        <f t="shared" si="81"/>
        <v>Dashboard</v>
      </c>
      <c r="R173" s="148" t="str">
        <f>Agencia[[#This Row],[territorio]]&amp;",delitos,mayor,connotación,social,variación,anual,frecuencia,"&amp;Agencia[[#This Row],[coleccion]]&amp;","&amp;Agencia[[#This Row],[sector]]&amp;","&amp;Agencia[[#This Row],[tema]]&amp;","&amp;Agencia[[#This Row],[contenido]]</f>
        <v>Región de Tarapacá,delitos,mayor,connotación,social,variación,anual,frecuencia,Agencia Información,Social,Delitos de Mayor Connotación Social (DMCS),Delincuencia</v>
      </c>
      <c r="S173" s="37" t="s">
        <v>861</v>
      </c>
      <c r="T173" s="111" t="str">
        <f>"100-C-"&amp;Agencia[[#This Row],[Filtro URL]]</f>
        <v>100-C-1</v>
      </c>
      <c r="U173" s="46" t="str">
        <f t="shared" si="82"/>
        <v>#1774B9</v>
      </c>
      <c r="V173" s="93" t="str">
        <f>+Agencia[[#This Row],[idcoleccion]]&amp;"-"&amp;Agencia[[#This Row],[id]]</f>
        <v>990-0162</v>
      </c>
      <c r="W173" s="93">
        <f>+VLOOKUP(Agencia[[#This Row],[Filtro URL]],Estructura!$X$4:$Y$500,2,0)</f>
        <v>99200001</v>
      </c>
      <c r="X173" s="93" t="str">
        <f>+VLOOKUP(Agencia[[#This Row],[tema]],Estructura!$A$4:$C$500,3,0)</f>
        <v>T-1050</v>
      </c>
      <c r="Y173" s="93" t="str">
        <f>+VLOOKUP(Agencia[[#This Row],[contenido]],Estructura!$E$4:$G$500,3,0)</f>
        <v>C-998</v>
      </c>
      <c r="Z173" s="93" t="str">
        <f>+VLOOKUP(Agencia[[#This Row],[Filtro Integrado]],Estructura!$I$4:$K$500,3,0)</f>
        <v>FI-991</v>
      </c>
      <c r="AA173" s="93" t="str">
        <f>+VLOOKUP(Agencia[[#This Row],[Muestra]],Estructura!$M$4:$O$500,3,0)</f>
        <v>M-1042</v>
      </c>
    </row>
    <row r="174" spans="1:27" ht="86.4" x14ac:dyDescent="0.3">
      <c r="A174" s="21" t="s">
        <v>550</v>
      </c>
      <c r="B174" s="23">
        <f t="shared" si="83"/>
        <v>990</v>
      </c>
      <c r="C174" s="24" t="str">
        <f t="shared" si="83"/>
        <v>Agencia Información</v>
      </c>
      <c r="D174" s="72" t="str">
        <f t="shared" si="83"/>
        <v>Social</v>
      </c>
      <c r="E174" s="19">
        <v>2</v>
      </c>
      <c r="F174" s="67" t="s">
        <v>4288</v>
      </c>
      <c r="G174" s="10" t="s">
        <v>1879</v>
      </c>
      <c r="H174" s="33" t="s">
        <v>16</v>
      </c>
      <c r="I174" s="34" t="s">
        <v>369</v>
      </c>
      <c r="J174" s="9" t="str">
        <f t="shared" si="84"/>
        <v>Comuna</v>
      </c>
      <c r="K174" s="9" t="str">
        <f t="shared" si="85"/>
        <v>Delitos</v>
      </c>
      <c r="L174" s="9" t="str">
        <f t="shared" si="86"/>
        <v>Periodo 2008-2020</v>
      </c>
      <c r="M174" s="9" t="str">
        <f t="shared" si="87"/>
        <v>Porcentaje (%)</v>
      </c>
      <c r="N174" s="9" t="str">
        <f t="shared" si="88"/>
        <v>Centro de Estudios y Análisis del Delito (CEAD) de la Subsecretaría de Prevención del Delito</v>
      </c>
      <c r="O174" s="20" t="str">
        <f>"Variación Anual de Frecuencia de Delitos de Mayor Connotación Social en la "&amp;Agencia[[#This Row],[territorio]]&amp;", "&amp; Agencia[[#This Row],[temporalidad]]</f>
        <v>Variación Anual de Frecuencia de Delitos de Mayor Connotación Social en la Región de Antofagasta, Periodo 2008-2020</v>
      </c>
      <c r="P174" s="112" t="s">
        <v>5260</v>
      </c>
      <c r="Q174" s="11" t="str">
        <f t="shared" si="81"/>
        <v>Dashboard</v>
      </c>
      <c r="R174" s="148" t="str">
        <f>Agencia[[#This Row],[territorio]]&amp;",delitos,mayor,connotación,social,variación,anual,frecuencia,"&amp;Agencia[[#This Row],[coleccion]]&amp;","&amp;Agencia[[#This Row],[sector]]&amp;","&amp;Agencia[[#This Row],[tema]]&amp;","&amp;Agencia[[#This Row],[contenido]]</f>
        <v>Región de Antofagasta,delitos,mayor,connotación,social,variación,anual,frecuencia,Agencia Información,Social,Delitos de Mayor Connotación Social (DMCS),Delincuencia</v>
      </c>
      <c r="S174" s="83" t="s">
        <v>5176</v>
      </c>
      <c r="T174" s="111" t="str">
        <f>"100-C-"&amp;Agencia[[#This Row],[Filtro URL]]</f>
        <v>100-C-2</v>
      </c>
      <c r="U174" s="46" t="str">
        <f t="shared" si="82"/>
        <v>#1774B9</v>
      </c>
      <c r="V174" s="93" t="str">
        <f>+Agencia[[#This Row],[idcoleccion]]&amp;"-"&amp;Agencia[[#This Row],[id]]</f>
        <v>990-0163</v>
      </c>
      <c r="W174" s="93">
        <f>+VLOOKUP(Agencia[[#This Row],[Filtro URL]],Estructura!$X$4:$Y$500,2,0)</f>
        <v>99200002</v>
      </c>
      <c r="X174" s="93" t="str">
        <f>+VLOOKUP(Agencia[[#This Row],[tema]],Estructura!$A$4:$C$500,3,0)</f>
        <v>T-1050</v>
      </c>
      <c r="Y174" s="93" t="str">
        <f>+VLOOKUP(Agencia[[#This Row],[contenido]],Estructura!$E$4:$G$500,3,0)</f>
        <v>C-998</v>
      </c>
      <c r="Z174" s="93" t="str">
        <f>+VLOOKUP(Agencia[[#This Row],[Filtro Integrado]],Estructura!$I$4:$K$500,3,0)</f>
        <v>FI-991</v>
      </c>
      <c r="AA174" s="93" t="str">
        <f>+VLOOKUP(Agencia[[#This Row],[Muestra]],Estructura!$M$4:$O$500,3,0)</f>
        <v>M-1042</v>
      </c>
    </row>
    <row r="175" spans="1:27" ht="72" x14ac:dyDescent="0.3">
      <c r="A175" s="21" t="s">
        <v>551</v>
      </c>
      <c r="B175" s="23">
        <f t="shared" ref="B175:B188" si="89">+B174</f>
        <v>990</v>
      </c>
      <c r="C175" s="24" t="str">
        <f t="shared" ref="C175:C188" si="90">+C174</f>
        <v>Agencia Información</v>
      </c>
      <c r="D175" s="72" t="str">
        <f t="shared" ref="D175:D188" si="91">+D174</f>
        <v>Social</v>
      </c>
      <c r="E175" s="19">
        <v>3</v>
      </c>
      <c r="F175" s="67" t="s">
        <v>4288</v>
      </c>
      <c r="G175" s="10" t="s">
        <v>1879</v>
      </c>
      <c r="H175" s="33" t="s">
        <v>16</v>
      </c>
      <c r="I175" s="34" t="s">
        <v>370</v>
      </c>
      <c r="J175" s="9" t="str">
        <f t="shared" si="84"/>
        <v>Comuna</v>
      </c>
      <c r="K175" s="9" t="str">
        <f t="shared" si="85"/>
        <v>Delitos</v>
      </c>
      <c r="L175" s="9" t="str">
        <f t="shared" si="86"/>
        <v>Periodo 2008-2020</v>
      </c>
      <c r="M175" s="9" t="str">
        <f t="shared" si="87"/>
        <v>Porcentaje (%)</v>
      </c>
      <c r="N175" s="9" t="str">
        <f t="shared" si="88"/>
        <v>Centro de Estudios y Análisis del Delito (CEAD) de la Subsecretaría de Prevención del Delito</v>
      </c>
      <c r="O175" s="20" t="str">
        <f>"Variación Anual de Frecuencia de Delitos de Mayor Connotación Social en la "&amp;Agencia[[#This Row],[territorio]]&amp;", "&amp; Agencia[[#This Row],[temporalidad]]</f>
        <v>Variación Anual de Frecuencia de Delitos de Mayor Connotación Social en la Región de Atacama, Periodo 2008-2020</v>
      </c>
      <c r="P175" s="112" t="s">
        <v>5261</v>
      </c>
      <c r="Q175" s="11" t="str">
        <f t="shared" si="81"/>
        <v>Dashboard</v>
      </c>
      <c r="R175" s="148" t="str">
        <f>Agencia[[#This Row],[territorio]]&amp;",delitos,mayor,connotación,social,variación,anual,frecuencia,"&amp;Agencia[[#This Row],[coleccion]]&amp;","&amp;Agencia[[#This Row],[sector]]&amp;","&amp;Agencia[[#This Row],[tema]]&amp;","&amp;Agencia[[#This Row],[contenido]]</f>
        <v>Región de Atacama,delitos,mayor,connotación,social,variación,anual,frecuencia,Agencia Información,Social,Delitos de Mayor Connotación Social (DMCS),Delincuencia</v>
      </c>
      <c r="S175" s="37" t="s">
        <v>850</v>
      </c>
      <c r="T175" s="111" t="str">
        <f>"100-C-"&amp;Agencia[[#This Row],[Filtro URL]]</f>
        <v>100-C-3</v>
      </c>
      <c r="U175" s="46" t="str">
        <f t="shared" ref="U175:U207" si="92">+U174</f>
        <v>#1774B9</v>
      </c>
      <c r="V175" s="93" t="str">
        <f>+Agencia[[#This Row],[idcoleccion]]&amp;"-"&amp;Agencia[[#This Row],[id]]</f>
        <v>990-0164</v>
      </c>
      <c r="W175" s="93">
        <f>+VLOOKUP(Agencia[[#This Row],[Filtro URL]],Estructura!$X$4:$Y$500,2,0)</f>
        <v>99200003</v>
      </c>
      <c r="X175" s="93" t="str">
        <f>+VLOOKUP(Agencia[[#This Row],[tema]],Estructura!$A$4:$C$500,3,0)</f>
        <v>T-1050</v>
      </c>
      <c r="Y175" s="93" t="str">
        <f>+VLOOKUP(Agencia[[#This Row],[contenido]],Estructura!$E$4:$G$500,3,0)</f>
        <v>C-998</v>
      </c>
      <c r="Z175" s="93" t="str">
        <f>+VLOOKUP(Agencia[[#This Row],[Filtro Integrado]],Estructura!$I$4:$K$500,3,0)</f>
        <v>FI-991</v>
      </c>
      <c r="AA175" s="93" t="str">
        <f>+VLOOKUP(Agencia[[#This Row],[Muestra]],Estructura!$M$4:$O$500,3,0)</f>
        <v>M-1042</v>
      </c>
    </row>
    <row r="176" spans="1:27" ht="72" x14ac:dyDescent="0.3">
      <c r="A176" s="21" t="s">
        <v>552</v>
      </c>
      <c r="B176" s="23">
        <f t="shared" si="89"/>
        <v>990</v>
      </c>
      <c r="C176" s="24" t="str">
        <f t="shared" si="90"/>
        <v>Agencia Información</v>
      </c>
      <c r="D176" s="72" t="str">
        <f t="shared" si="91"/>
        <v>Social</v>
      </c>
      <c r="E176" s="19">
        <v>4</v>
      </c>
      <c r="F176" s="67" t="s">
        <v>4288</v>
      </c>
      <c r="G176" s="10" t="s">
        <v>1879</v>
      </c>
      <c r="H176" s="33" t="s">
        <v>16</v>
      </c>
      <c r="I176" s="34" t="s">
        <v>371</v>
      </c>
      <c r="J176" s="9" t="str">
        <f t="shared" si="84"/>
        <v>Comuna</v>
      </c>
      <c r="K176" s="9" t="str">
        <f t="shared" si="85"/>
        <v>Delitos</v>
      </c>
      <c r="L176" s="9" t="str">
        <f t="shared" si="86"/>
        <v>Periodo 2008-2020</v>
      </c>
      <c r="M176" s="9" t="str">
        <f t="shared" si="87"/>
        <v>Porcentaje (%)</v>
      </c>
      <c r="N176" s="9" t="str">
        <f t="shared" si="88"/>
        <v>Centro de Estudios y Análisis del Delito (CEAD) de la Subsecretaría de Prevención del Delito</v>
      </c>
      <c r="O176" s="20" t="str">
        <f>"Variación Anual de Frecuencia de Delitos de Mayor Connotación Social en la "&amp;Agencia[[#This Row],[territorio]]&amp;", "&amp; Agencia[[#This Row],[temporalidad]]</f>
        <v>Variación Anual de Frecuencia de Delitos de Mayor Connotación Social en la Región de Coquimbo, Periodo 2008-2020</v>
      </c>
      <c r="P176" s="112" t="s">
        <v>5262</v>
      </c>
      <c r="Q176" s="11" t="str">
        <f t="shared" si="81"/>
        <v>Dashboard</v>
      </c>
      <c r="R176" s="148" t="str">
        <f>Agencia[[#This Row],[territorio]]&amp;",delitos,mayor,connotación,social,variación,anual,frecuencia,"&amp;Agencia[[#This Row],[coleccion]]&amp;","&amp;Agencia[[#This Row],[sector]]&amp;","&amp;Agencia[[#This Row],[tema]]&amp;","&amp;Agencia[[#This Row],[contenido]]</f>
        <v>Región de Coquimbo,delitos,mayor,connotación,social,variación,anual,frecuencia,Agencia Información,Social,Delitos de Mayor Connotación Social (DMCS),Delincuencia</v>
      </c>
      <c r="S176" s="37" t="s">
        <v>853</v>
      </c>
      <c r="T176" s="111" t="str">
        <f>"100-C-"&amp;Agencia[[#This Row],[Filtro URL]]</f>
        <v>100-C-4</v>
      </c>
      <c r="U176" s="46" t="str">
        <f t="shared" si="92"/>
        <v>#1774B9</v>
      </c>
      <c r="V176" s="93" t="str">
        <f>+Agencia[[#This Row],[idcoleccion]]&amp;"-"&amp;Agencia[[#This Row],[id]]</f>
        <v>990-0165</v>
      </c>
      <c r="W176" s="93">
        <f>+VLOOKUP(Agencia[[#This Row],[Filtro URL]],Estructura!$X$4:$Y$500,2,0)</f>
        <v>99200004</v>
      </c>
      <c r="X176" s="93" t="str">
        <f>+VLOOKUP(Agencia[[#This Row],[tema]],Estructura!$A$4:$C$500,3,0)</f>
        <v>T-1050</v>
      </c>
      <c r="Y176" s="93" t="str">
        <f>+VLOOKUP(Agencia[[#This Row],[contenido]],Estructura!$E$4:$G$500,3,0)</f>
        <v>C-998</v>
      </c>
      <c r="Z176" s="93" t="str">
        <f>+VLOOKUP(Agencia[[#This Row],[Filtro Integrado]],Estructura!$I$4:$K$500,3,0)</f>
        <v>FI-991</v>
      </c>
      <c r="AA176" s="93" t="str">
        <f>+VLOOKUP(Agencia[[#This Row],[Muestra]],Estructura!$M$4:$O$500,3,0)</f>
        <v>M-1042</v>
      </c>
    </row>
    <row r="177" spans="1:27" ht="72" x14ac:dyDescent="0.3">
      <c r="A177" s="21" t="s">
        <v>553</v>
      </c>
      <c r="B177" s="23">
        <f t="shared" si="89"/>
        <v>990</v>
      </c>
      <c r="C177" s="24" t="str">
        <f t="shared" si="90"/>
        <v>Agencia Información</v>
      </c>
      <c r="D177" s="72" t="str">
        <f t="shared" si="91"/>
        <v>Social</v>
      </c>
      <c r="E177" s="19">
        <v>5</v>
      </c>
      <c r="F177" s="67" t="s">
        <v>4288</v>
      </c>
      <c r="G177" s="10" t="s">
        <v>1879</v>
      </c>
      <c r="H177" s="33" t="s">
        <v>16</v>
      </c>
      <c r="I177" s="34" t="s">
        <v>372</v>
      </c>
      <c r="J177" s="9" t="str">
        <f t="shared" si="84"/>
        <v>Comuna</v>
      </c>
      <c r="K177" s="9" t="str">
        <f t="shared" si="85"/>
        <v>Delitos</v>
      </c>
      <c r="L177" s="9" t="str">
        <f t="shared" si="86"/>
        <v>Periodo 2008-2020</v>
      </c>
      <c r="M177" s="9" t="str">
        <f t="shared" si="87"/>
        <v>Porcentaje (%)</v>
      </c>
      <c r="N177" s="9" t="str">
        <f t="shared" si="88"/>
        <v>Centro de Estudios y Análisis del Delito (CEAD) de la Subsecretaría de Prevención del Delito</v>
      </c>
      <c r="O177" s="20" t="str">
        <f>"Variación Anual de Frecuencia de Delitos de Mayor Connotación Social en la "&amp;Agencia[[#This Row],[territorio]]&amp;", "&amp; Agencia[[#This Row],[temporalidad]]</f>
        <v>Variación Anual de Frecuencia de Delitos de Mayor Connotación Social en la Región de Valparaíso, Periodo 2008-2020</v>
      </c>
      <c r="P177" s="112" t="s">
        <v>5263</v>
      </c>
      <c r="Q177" s="11" t="str">
        <f t="shared" si="81"/>
        <v>Dashboard</v>
      </c>
      <c r="R177" s="148" t="str">
        <f>Agencia[[#This Row],[territorio]]&amp;",delitos,mayor,connotación,social,variación,anual,frecuencia,"&amp;Agencia[[#This Row],[coleccion]]&amp;","&amp;Agencia[[#This Row],[sector]]&amp;","&amp;Agencia[[#This Row],[tema]]&amp;","&amp;Agencia[[#This Row],[contenido]]</f>
        <v>Región de Valparaíso,delitos,mayor,connotación,social,variación,anual,frecuencia,Agencia Información,Social,Delitos de Mayor Connotación Social (DMCS),Delincuencia</v>
      </c>
      <c r="S177" s="37" t="s">
        <v>863</v>
      </c>
      <c r="T177" s="111" t="str">
        <f>"100-C-"&amp;Agencia[[#This Row],[Filtro URL]]</f>
        <v>100-C-5</v>
      </c>
      <c r="U177" s="46" t="str">
        <f t="shared" si="92"/>
        <v>#1774B9</v>
      </c>
      <c r="V177" s="93" t="str">
        <f>+Agencia[[#This Row],[idcoleccion]]&amp;"-"&amp;Agencia[[#This Row],[id]]</f>
        <v>990-0166</v>
      </c>
      <c r="W177" s="93">
        <f>+VLOOKUP(Agencia[[#This Row],[Filtro URL]],Estructura!$X$4:$Y$500,2,0)</f>
        <v>99200005</v>
      </c>
      <c r="X177" s="93" t="str">
        <f>+VLOOKUP(Agencia[[#This Row],[tema]],Estructura!$A$4:$C$500,3,0)</f>
        <v>T-1050</v>
      </c>
      <c r="Y177" s="93" t="str">
        <f>+VLOOKUP(Agencia[[#This Row],[contenido]],Estructura!$E$4:$G$500,3,0)</f>
        <v>C-998</v>
      </c>
      <c r="Z177" s="93" t="str">
        <f>+VLOOKUP(Agencia[[#This Row],[Filtro Integrado]],Estructura!$I$4:$K$500,3,0)</f>
        <v>FI-991</v>
      </c>
      <c r="AA177" s="93" t="str">
        <f>+VLOOKUP(Agencia[[#This Row],[Muestra]],Estructura!$M$4:$O$500,3,0)</f>
        <v>M-1042</v>
      </c>
    </row>
    <row r="178" spans="1:27" ht="72" x14ac:dyDescent="0.3">
      <c r="A178" s="21" t="s">
        <v>554</v>
      </c>
      <c r="B178" s="23">
        <f t="shared" si="89"/>
        <v>990</v>
      </c>
      <c r="C178" s="24" t="str">
        <f t="shared" si="90"/>
        <v>Agencia Información</v>
      </c>
      <c r="D178" s="72" t="str">
        <f t="shared" si="91"/>
        <v>Social</v>
      </c>
      <c r="E178" s="19">
        <v>6</v>
      </c>
      <c r="F178" s="67" t="s">
        <v>4288</v>
      </c>
      <c r="G178" s="10" t="s">
        <v>1879</v>
      </c>
      <c r="H178" s="33" t="s">
        <v>16</v>
      </c>
      <c r="I178" s="34" t="s">
        <v>373</v>
      </c>
      <c r="J178" s="9" t="str">
        <f t="shared" si="84"/>
        <v>Comuna</v>
      </c>
      <c r="K178" s="9" t="str">
        <f t="shared" si="85"/>
        <v>Delitos</v>
      </c>
      <c r="L178" s="9" t="str">
        <f t="shared" si="86"/>
        <v>Periodo 2008-2020</v>
      </c>
      <c r="M178" s="9" t="str">
        <f t="shared" si="87"/>
        <v>Porcentaje (%)</v>
      </c>
      <c r="N178" s="9" t="str">
        <f t="shared" si="88"/>
        <v>Centro de Estudios y Análisis del Delito (CEAD) de la Subsecretaría de Prevención del Delito</v>
      </c>
      <c r="O178" s="20" t="str">
        <f>"Variación Anual de Frecuencia de Delitos de Mayor Connotación Social en la "&amp;Agencia[[#This Row],[territorio]]&amp;", "&amp; Agencia[[#This Row],[temporalidad]]</f>
        <v>Variación Anual de Frecuencia de Delitos de Mayor Connotación Social en la Región de O'Higgins, Periodo 2008-2020</v>
      </c>
      <c r="P178" s="112" t="s">
        <v>5264</v>
      </c>
      <c r="Q178" s="11" t="str">
        <f t="shared" si="81"/>
        <v>Dashboard</v>
      </c>
      <c r="R178" s="148" t="str">
        <f>Agencia[[#This Row],[territorio]]&amp;",delitos,mayor,connotación,social,variación,anual,frecuencia,"&amp;Agencia[[#This Row],[coleccion]]&amp;","&amp;Agencia[[#This Row],[sector]]&amp;","&amp;Agencia[[#This Row],[tema]]&amp;","&amp;Agencia[[#This Row],[contenido]]</f>
        <v>Región de O'Higgins,delitos,mayor,connotación,social,variación,anual,frecuencia,Agencia Información,Social,Delitos de Mayor Connotación Social (DMCS),Delincuencia</v>
      </c>
      <c r="S178" s="37" t="s">
        <v>862</v>
      </c>
      <c r="T178" s="111" t="str">
        <f>"100-C-"&amp;Agencia[[#This Row],[Filtro URL]]</f>
        <v>100-C-6</v>
      </c>
      <c r="U178" s="46" t="str">
        <f t="shared" si="92"/>
        <v>#1774B9</v>
      </c>
      <c r="V178" s="93" t="str">
        <f>+Agencia[[#This Row],[idcoleccion]]&amp;"-"&amp;Agencia[[#This Row],[id]]</f>
        <v>990-0167</v>
      </c>
      <c r="W178" s="93">
        <f>+VLOOKUP(Agencia[[#This Row],[Filtro URL]],Estructura!$X$4:$Y$500,2,0)</f>
        <v>99200006</v>
      </c>
      <c r="X178" s="93" t="str">
        <f>+VLOOKUP(Agencia[[#This Row],[tema]],Estructura!$A$4:$C$500,3,0)</f>
        <v>T-1050</v>
      </c>
      <c r="Y178" s="93" t="str">
        <f>+VLOOKUP(Agencia[[#This Row],[contenido]],Estructura!$E$4:$G$500,3,0)</f>
        <v>C-998</v>
      </c>
      <c r="Z178" s="93" t="str">
        <f>+VLOOKUP(Agencia[[#This Row],[Filtro Integrado]],Estructura!$I$4:$K$500,3,0)</f>
        <v>FI-991</v>
      </c>
      <c r="AA178" s="93" t="str">
        <f>+VLOOKUP(Agencia[[#This Row],[Muestra]],Estructura!$M$4:$O$500,3,0)</f>
        <v>M-1042</v>
      </c>
    </row>
    <row r="179" spans="1:27" ht="72" x14ac:dyDescent="0.3">
      <c r="A179" s="21" t="s">
        <v>555</v>
      </c>
      <c r="B179" s="23">
        <f t="shared" si="89"/>
        <v>990</v>
      </c>
      <c r="C179" s="24" t="str">
        <f t="shared" si="90"/>
        <v>Agencia Información</v>
      </c>
      <c r="D179" s="72" t="str">
        <f t="shared" si="91"/>
        <v>Social</v>
      </c>
      <c r="E179" s="19">
        <v>7</v>
      </c>
      <c r="F179" s="67" t="s">
        <v>4288</v>
      </c>
      <c r="G179" s="10" t="s">
        <v>1879</v>
      </c>
      <c r="H179" s="33" t="s">
        <v>16</v>
      </c>
      <c r="I179" s="34" t="s">
        <v>374</v>
      </c>
      <c r="J179" s="9" t="str">
        <f t="shared" si="84"/>
        <v>Comuna</v>
      </c>
      <c r="K179" s="9" t="str">
        <f t="shared" si="85"/>
        <v>Delitos</v>
      </c>
      <c r="L179" s="9" t="str">
        <f t="shared" si="86"/>
        <v>Periodo 2008-2020</v>
      </c>
      <c r="M179" s="9" t="str">
        <f t="shared" si="87"/>
        <v>Porcentaje (%)</v>
      </c>
      <c r="N179" s="9" t="str">
        <f t="shared" si="88"/>
        <v>Centro de Estudios y Análisis del Delito (CEAD) de la Subsecretaría de Prevención del Delito</v>
      </c>
      <c r="O179" s="20" t="str">
        <f>"Variación Anual de Frecuencia de Delitos de Mayor Connotación Social en la "&amp;Agencia[[#This Row],[territorio]]&amp;", "&amp; Agencia[[#This Row],[temporalidad]]</f>
        <v>Variación Anual de Frecuencia de Delitos de Mayor Connotación Social en la Región de Maule, Periodo 2008-2020</v>
      </c>
      <c r="P179" s="112" t="s">
        <v>5265</v>
      </c>
      <c r="Q179" s="11" t="str">
        <f t="shared" si="81"/>
        <v>Dashboard</v>
      </c>
      <c r="R179" s="148" t="str">
        <f>Agencia[[#This Row],[territorio]]&amp;",delitos,mayor,connotación,social,variación,anual,frecuencia,"&amp;Agencia[[#This Row],[coleccion]]&amp;","&amp;Agencia[[#This Row],[sector]]&amp;","&amp;Agencia[[#This Row],[tema]]&amp;","&amp;Agencia[[#This Row],[contenido]]</f>
        <v>Región de Maule,delitos,mayor,connotación,social,variación,anual,frecuencia,Agencia Información,Social,Delitos de Mayor Connotación Social (DMCS),Delincuencia</v>
      </c>
      <c r="S179" s="37" t="s">
        <v>858</v>
      </c>
      <c r="T179" s="111" t="str">
        <f>"100-C-"&amp;Agencia[[#This Row],[Filtro URL]]</f>
        <v>100-C-7</v>
      </c>
      <c r="U179" s="46" t="str">
        <f t="shared" si="92"/>
        <v>#1774B9</v>
      </c>
      <c r="V179" s="93" t="str">
        <f>+Agencia[[#This Row],[idcoleccion]]&amp;"-"&amp;Agencia[[#This Row],[id]]</f>
        <v>990-0168</v>
      </c>
      <c r="W179" s="93">
        <f>+VLOOKUP(Agencia[[#This Row],[Filtro URL]],Estructura!$X$4:$Y$500,2,0)</f>
        <v>99200007</v>
      </c>
      <c r="X179" s="93" t="str">
        <f>+VLOOKUP(Agencia[[#This Row],[tema]],Estructura!$A$4:$C$500,3,0)</f>
        <v>T-1050</v>
      </c>
      <c r="Y179" s="93" t="str">
        <f>+VLOOKUP(Agencia[[#This Row],[contenido]],Estructura!$E$4:$G$500,3,0)</f>
        <v>C-998</v>
      </c>
      <c r="Z179" s="93" t="str">
        <f>+VLOOKUP(Agencia[[#This Row],[Filtro Integrado]],Estructura!$I$4:$K$500,3,0)</f>
        <v>FI-991</v>
      </c>
      <c r="AA179" s="93" t="str">
        <f>+VLOOKUP(Agencia[[#This Row],[Muestra]],Estructura!$M$4:$O$500,3,0)</f>
        <v>M-1042</v>
      </c>
    </row>
    <row r="180" spans="1:27" ht="72" x14ac:dyDescent="0.3">
      <c r="A180" s="21" t="s">
        <v>556</v>
      </c>
      <c r="B180" s="23">
        <f t="shared" si="89"/>
        <v>990</v>
      </c>
      <c r="C180" s="24" t="str">
        <f t="shared" si="90"/>
        <v>Agencia Información</v>
      </c>
      <c r="D180" s="72" t="str">
        <f t="shared" si="91"/>
        <v>Social</v>
      </c>
      <c r="E180" s="19">
        <v>8</v>
      </c>
      <c r="F180" s="67" t="s">
        <v>4288</v>
      </c>
      <c r="G180" s="10" t="s">
        <v>1879</v>
      </c>
      <c r="H180" s="33" t="s">
        <v>16</v>
      </c>
      <c r="I180" s="34" t="s">
        <v>375</v>
      </c>
      <c r="J180" s="9" t="str">
        <f t="shared" si="84"/>
        <v>Comuna</v>
      </c>
      <c r="K180" s="9" t="str">
        <f t="shared" si="85"/>
        <v>Delitos</v>
      </c>
      <c r="L180" s="9" t="str">
        <f t="shared" si="86"/>
        <v>Periodo 2008-2020</v>
      </c>
      <c r="M180" s="9" t="str">
        <f t="shared" si="87"/>
        <v>Porcentaje (%)</v>
      </c>
      <c r="N180" s="9" t="str">
        <f t="shared" si="88"/>
        <v>Centro de Estudios y Análisis del Delito (CEAD) de la Subsecretaría de Prevención del Delito</v>
      </c>
      <c r="O180" s="20" t="str">
        <f>"Variación Anual de Frecuencia de Delitos de Mayor Connotación Social en la "&amp;Agencia[[#This Row],[territorio]]&amp;", "&amp; Agencia[[#This Row],[temporalidad]]</f>
        <v>Variación Anual de Frecuencia de Delitos de Mayor Connotación Social en la Región del Biobío, Periodo 2008-2020</v>
      </c>
      <c r="P180" s="112" t="s">
        <v>5266</v>
      </c>
      <c r="Q180" s="11" t="str">
        <f t="shared" si="81"/>
        <v>Dashboard</v>
      </c>
      <c r="R180" s="148" t="str">
        <f>Agencia[[#This Row],[territorio]]&amp;",delitos,mayor,connotación,social,variación,anual,frecuencia,"&amp;Agencia[[#This Row],[coleccion]]&amp;","&amp;Agencia[[#This Row],[sector]]&amp;","&amp;Agencia[[#This Row],[tema]]&amp;","&amp;Agencia[[#This Row],[contenido]]</f>
        <v>Región del Biobío,delitos,mayor,connotación,social,variación,anual,frecuencia,Agencia Información,Social,Delitos de Mayor Connotación Social (DMCS),Delincuencia</v>
      </c>
      <c r="S180" s="37" t="s">
        <v>852</v>
      </c>
      <c r="T180" s="111" t="str">
        <f>"100-C-"&amp;Agencia[[#This Row],[Filtro URL]]</f>
        <v>100-C-8</v>
      </c>
      <c r="U180" s="46" t="str">
        <f t="shared" si="92"/>
        <v>#1774B9</v>
      </c>
      <c r="V180" s="93" t="str">
        <f>+Agencia[[#This Row],[idcoleccion]]&amp;"-"&amp;Agencia[[#This Row],[id]]</f>
        <v>990-0169</v>
      </c>
      <c r="W180" s="93">
        <f>+VLOOKUP(Agencia[[#This Row],[Filtro URL]],Estructura!$X$4:$Y$500,2,0)</f>
        <v>99200008</v>
      </c>
      <c r="X180" s="93" t="str">
        <f>+VLOOKUP(Agencia[[#This Row],[tema]],Estructura!$A$4:$C$500,3,0)</f>
        <v>T-1050</v>
      </c>
      <c r="Y180" s="93" t="str">
        <f>+VLOOKUP(Agencia[[#This Row],[contenido]],Estructura!$E$4:$G$500,3,0)</f>
        <v>C-998</v>
      </c>
      <c r="Z180" s="93" t="str">
        <f>+VLOOKUP(Agencia[[#This Row],[Filtro Integrado]],Estructura!$I$4:$K$500,3,0)</f>
        <v>FI-991</v>
      </c>
      <c r="AA180" s="93" t="str">
        <f>+VLOOKUP(Agencia[[#This Row],[Muestra]],Estructura!$M$4:$O$500,3,0)</f>
        <v>M-1042</v>
      </c>
    </row>
    <row r="181" spans="1:27" ht="72" x14ac:dyDescent="0.3">
      <c r="A181" s="21" t="s">
        <v>557</v>
      </c>
      <c r="B181" s="23">
        <f t="shared" si="89"/>
        <v>990</v>
      </c>
      <c r="C181" s="24" t="str">
        <f t="shared" si="90"/>
        <v>Agencia Información</v>
      </c>
      <c r="D181" s="72" t="str">
        <f t="shared" si="91"/>
        <v>Social</v>
      </c>
      <c r="E181" s="19">
        <v>9</v>
      </c>
      <c r="F181" s="67" t="s">
        <v>4288</v>
      </c>
      <c r="G181" s="10" t="s">
        <v>1879</v>
      </c>
      <c r="H181" s="33" t="s">
        <v>16</v>
      </c>
      <c r="I181" s="34" t="s">
        <v>376</v>
      </c>
      <c r="J181" s="9" t="str">
        <f t="shared" si="84"/>
        <v>Comuna</v>
      </c>
      <c r="K181" s="9" t="str">
        <f t="shared" si="85"/>
        <v>Delitos</v>
      </c>
      <c r="L181" s="9" t="str">
        <f t="shared" si="86"/>
        <v>Periodo 2008-2020</v>
      </c>
      <c r="M181" s="9" t="str">
        <f t="shared" si="87"/>
        <v>Porcentaje (%)</v>
      </c>
      <c r="N181" s="9" t="str">
        <f t="shared" si="88"/>
        <v>Centro de Estudios y Análisis del Delito (CEAD) de la Subsecretaría de Prevención del Delito</v>
      </c>
      <c r="O181" s="20" t="str">
        <f>"Variación Anual de Frecuencia de Delitos de Mayor Connotación Social en la "&amp;Agencia[[#This Row],[territorio]]&amp;", "&amp; Agencia[[#This Row],[temporalidad]]</f>
        <v>Variación Anual de Frecuencia de Delitos de Mayor Connotación Social en la Región de La Araucanía, Periodo 2008-2020</v>
      </c>
      <c r="P181" s="112" t="s">
        <v>5267</v>
      </c>
      <c r="Q181" s="11" t="str">
        <f t="shared" si="81"/>
        <v>Dashboard</v>
      </c>
      <c r="R181" s="148" t="str">
        <f>Agencia[[#This Row],[territorio]]&amp;",delitos,mayor,connotación,social,variación,anual,frecuencia,"&amp;Agencia[[#This Row],[coleccion]]&amp;","&amp;Agencia[[#This Row],[sector]]&amp;","&amp;Agencia[[#This Row],[tema]]&amp;","&amp;Agencia[[#This Row],[contenido]]</f>
        <v>Región de La Araucanía,delitos,mayor,connotación,social,variación,anual,frecuencia,Agencia Información,Social,Delitos de Mayor Connotación Social (DMCS),Delincuencia</v>
      </c>
      <c r="S181" s="37" t="s">
        <v>854</v>
      </c>
      <c r="T181" s="111" t="str">
        <f>"100-C-"&amp;Agencia[[#This Row],[Filtro URL]]</f>
        <v>100-C-9</v>
      </c>
      <c r="U181" s="46" t="str">
        <f t="shared" si="92"/>
        <v>#1774B9</v>
      </c>
      <c r="V181" s="93" t="str">
        <f>+Agencia[[#This Row],[idcoleccion]]&amp;"-"&amp;Agencia[[#This Row],[id]]</f>
        <v>990-0170</v>
      </c>
      <c r="W181" s="93">
        <f>+VLOOKUP(Agencia[[#This Row],[Filtro URL]],Estructura!$X$4:$Y$500,2,0)</f>
        <v>99200009</v>
      </c>
      <c r="X181" s="93" t="str">
        <f>+VLOOKUP(Agencia[[#This Row],[tema]],Estructura!$A$4:$C$500,3,0)</f>
        <v>T-1050</v>
      </c>
      <c r="Y181" s="93" t="str">
        <f>+VLOOKUP(Agencia[[#This Row],[contenido]],Estructura!$E$4:$G$500,3,0)</f>
        <v>C-998</v>
      </c>
      <c r="Z181" s="93" t="str">
        <f>+VLOOKUP(Agencia[[#This Row],[Filtro Integrado]],Estructura!$I$4:$K$500,3,0)</f>
        <v>FI-991</v>
      </c>
      <c r="AA181" s="93" t="str">
        <f>+VLOOKUP(Agencia[[#This Row],[Muestra]],Estructura!$M$4:$O$500,3,0)</f>
        <v>M-1042</v>
      </c>
    </row>
    <row r="182" spans="1:27" ht="72" x14ac:dyDescent="0.3">
      <c r="A182" s="21" t="s">
        <v>558</v>
      </c>
      <c r="B182" s="23">
        <f t="shared" si="89"/>
        <v>990</v>
      </c>
      <c r="C182" s="24" t="str">
        <f t="shared" si="90"/>
        <v>Agencia Información</v>
      </c>
      <c r="D182" s="72" t="str">
        <f t="shared" si="91"/>
        <v>Social</v>
      </c>
      <c r="E182" s="19">
        <v>10</v>
      </c>
      <c r="F182" s="67" t="s">
        <v>4288</v>
      </c>
      <c r="G182" s="10" t="s">
        <v>1879</v>
      </c>
      <c r="H182" s="33" t="s">
        <v>16</v>
      </c>
      <c r="I182" s="34" t="s">
        <v>377</v>
      </c>
      <c r="J182" s="9" t="str">
        <f t="shared" si="84"/>
        <v>Comuna</v>
      </c>
      <c r="K182" s="9" t="str">
        <f t="shared" si="85"/>
        <v>Delitos</v>
      </c>
      <c r="L182" s="9" t="str">
        <f t="shared" si="86"/>
        <v>Periodo 2008-2020</v>
      </c>
      <c r="M182" s="9" t="str">
        <f t="shared" si="87"/>
        <v>Porcentaje (%)</v>
      </c>
      <c r="N182" s="9" t="str">
        <f t="shared" si="88"/>
        <v>Centro de Estudios y Análisis del Delito (CEAD) de la Subsecretaría de Prevención del Delito</v>
      </c>
      <c r="O182" s="20" t="str">
        <f>"Variación Anual de Frecuencia de Delitos de Mayor Connotación Social en la "&amp;Agencia[[#This Row],[territorio]]&amp;", "&amp; Agencia[[#This Row],[temporalidad]]</f>
        <v>Variación Anual de Frecuencia de Delitos de Mayor Connotación Social en la Región de Los Lagos, Periodo 2008-2020</v>
      </c>
      <c r="P182" s="112" t="s">
        <v>5252</v>
      </c>
      <c r="Q182" s="11" t="str">
        <f t="shared" si="81"/>
        <v>Dashboard</v>
      </c>
      <c r="R182" s="148" t="str">
        <f>Agencia[[#This Row],[territorio]]&amp;",delitos,mayor,connotación,social,variación,anual,frecuencia,"&amp;Agencia[[#This Row],[coleccion]]&amp;","&amp;Agencia[[#This Row],[sector]]&amp;","&amp;Agencia[[#This Row],[tema]]&amp;","&amp;Agencia[[#This Row],[contenido]]</f>
        <v>Región de Los Lagos,delitos,mayor,connotación,social,variación,anual,frecuencia,Agencia Información,Social,Delitos de Mayor Connotación Social (DMCS),Delincuencia</v>
      </c>
      <c r="S182" s="37" t="s">
        <v>855</v>
      </c>
      <c r="T182" s="111" t="str">
        <f>"100-C-"&amp;Agencia[[#This Row],[Filtro URL]]</f>
        <v>100-C-10</v>
      </c>
      <c r="U182" s="46" t="str">
        <f t="shared" si="92"/>
        <v>#1774B9</v>
      </c>
      <c r="V182" s="93" t="str">
        <f>+Agencia[[#This Row],[idcoleccion]]&amp;"-"&amp;Agencia[[#This Row],[id]]</f>
        <v>990-0171</v>
      </c>
      <c r="W182" s="93">
        <f>+VLOOKUP(Agencia[[#This Row],[Filtro URL]],Estructura!$X$4:$Y$500,2,0)</f>
        <v>99200010</v>
      </c>
      <c r="X182" s="93" t="str">
        <f>+VLOOKUP(Agencia[[#This Row],[tema]],Estructura!$A$4:$C$500,3,0)</f>
        <v>T-1050</v>
      </c>
      <c r="Y182" s="93" t="str">
        <f>+VLOOKUP(Agencia[[#This Row],[contenido]],Estructura!$E$4:$G$500,3,0)</f>
        <v>C-998</v>
      </c>
      <c r="Z182" s="93" t="str">
        <f>+VLOOKUP(Agencia[[#This Row],[Filtro Integrado]],Estructura!$I$4:$K$500,3,0)</f>
        <v>FI-991</v>
      </c>
      <c r="AA182" s="93" t="str">
        <f>+VLOOKUP(Agencia[[#This Row],[Muestra]],Estructura!$M$4:$O$500,3,0)</f>
        <v>M-1042</v>
      </c>
    </row>
    <row r="183" spans="1:27" ht="72" x14ac:dyDescent="0.3">
      <c r="A183" s="21" t="s">
        <v>559</v>
      </c>
      <c r="B183" s="23">
        <f t="shared" si="89"/>
        <v>990</v>
      </c>
      <c r="C183" s="24" t="str">
        <f t="shared" si="90"/>
        <v>Agencia Información</v>
      </c>
      <c r="D183" s="72" t="str">
        <f t="shared" si="91"/>
        <v>Social</v>
      </c>
      <c r="E183" s="19">
        <v>11</v>
      </c>
      <c r="F183" s="67" t="s">
        <v>4288</v>
      </c>
      <c r="G183" s="10" t="s">
        <v>1879</v>
      </c>
      <c r="H183" s="33" t="s">
        <v>16</v>
      </c>
      <c r="I183" s="34" t="s">
        <v>378</v>
      </c>
      <c r="J183" s="9" t="str">
        <f t="shared" si="84"/>
        <v>Comuna</v>
      </c>
      <c r="K183" s="9" t="str">
        <f t="shared" si="85"/>
        <v>Delitos</v>
      </c>
      <c r="L183" s="9" t="str">
        <f t="shared" si="86"/>
        <v>Periodo 2008-2020</v>
      </c>
      <c r="M183" s="9" t="str">
        <f t="shared" si="87"/>
        <v>Porcentaje (%)</v>
      </c>
      <c r="N183" s="9" t="str">
        <f t="shared" si="88"/>
        <v>Centro de Estudios y Análisis del Delito (CEAD) de la Subsecretaría de Prevención del Delito</v>
      </c>
      <c r="O183" s="20" t="str">
        <f>"Variación Anual de Frecuencia de Delitos de Mayor Connotación Social en la "&amp;Agencia[[#This Row],[territorio]]&amp;", "&amp; Agencia[[#This Row],[temporalidad]]</f>
        <v>Variación Anual de Frecuencia de Delitos de Mayor Connotación Social en la Región de Aysén, Periodo 2008-2020</v>
      </c>
      <c r="P183" s="112" t="s">
        <v>5268</v>
      </c>
      <c r="Q183" s="11" t="str">
        <f t="shared" si="81"/>
        <v>Dashboard</v>
      </c>
      <c r="R183" s="148" t="str">
        <f>Agencia[[#This Row],[territorio]]&amp;",delitos,mayor,connotación,social,variación,anual,frecuencia,"&amp;Agencia[[#This Row],[coleccion]]&amp;","&amp;Agencia[[#This Row],[sector]]&amp;","&amp;Agencia[[#This Row],[tema]]&amp;","&amp;Agencia[[#This Row],[contenido]]</f>
        <v>Región de Aysén,delitos,mayor,connotación,social,variación,anual,frecuencia,Agencia Información,Social,Delitos de Mayor Connotación Social (DMCS),Delincuencia</v>
      </c>
      <c r="S183" s="37" t="s">
        <v>851</v>
      </c>
      <c r="T183" s="111" t="str">
        <f>"100-C-"&amp;Agencia[[#This Row],[Filtro URL]]</f>
        <v>100-C-11</v>
      </c>
      <c r="U183" s="46" t="str">
        <f t="shared" si="92"/>
        <v>#1774B9</v>
      </c>
      <c r="V183" s="93" t="str">
        <f>+Agencia[[#This Row],[idcoleccion]]&amp;"-"&amp;Agencia[[#This Row],[id]]</f>
        <v>990-0172</v>
      </c>
      <c r="W183" s="93">
        <f>+VLOOKUP(Agencia[[#This Row],[Filtro URL]],Estructura!$X$4:$Y$500,2,0)</f>
        <v>99200011</v>
      </c>
      <c r="X183" s="93" t="str">
        <f>+VLOOKUP(Agencia[[#This Row],[tema]],Estructura!$A$4:$C$500,3,0)</f>
        <v>T-1050</v>
      </c>
      <c r="Y183" s="93" t="str">
        <f>+VLOOKUP(Agencia[[#This Row],[contenido]],Estructura!$E$4:$G$500,3,0)</f>
        <v>C-998</v>
      </c>
      <c r="Z183" s="93" t="str">
        <f>+VLOOKUP(Agencia[[#This Row],[Filtro Integrado]],Estructura!$I$4:$K$500,3,0)</f>
        <v>FI-991</v>
      </c>
      <c r="AA183" s="93" t="str">
        <f>+VLOOKUP(Agencia[[#This Row],[Muestra]],Estructura!$M$4:$O$500,3,0)</f>
        <v>M-1042</v>
      </c>
    </row>
    <row r="184" spans="1:27" ht="72" x14ac:dyDescent="0.3">
      <c r="A184" s="21" t="s">
        <v>560</v>
      </c>
      <c r="B184" s="23">
        <f t="shared" si="89"/>
        <v>990</v>
      </c>
      <c r="C184" s="24" t="str">
        <f t="shared" si="90"/>
        <v>Agencia Información</v>
      </c>
      <c r="D184" s="72" t="str">
        <f t="shared" si="91"/>
        <v>Social</v>
      </c>
      <c r="E184" s="19">
        <v>12</v>
      </c>
      <c r="F184" s="67" t="s">
        <v>4288</v>
      </c>
      <c r="G184" s="10" t="s">
        <v>1879</v>
      </c>
      <c r="H184" s="33" t="s">
        <v>16</v>
      </c>
      <c r="I184" s="34" t="s">
        <v>379</v>
      </c>
      <c r="J184" s="9" t="str">
        <f t="shared" si="84"/>
        <v>Comuna</v>
      </c>
      <c r="K184" s="9" t="str">
        <f t="shared" si="85"/>
        <v>Delitos</v>
      </c>
      <c r="L184" s="9" t="str">
        <f t="shared" si="86"/>
        <v>Periodo 2008-2020</v>
      </c>
      <c r="M184" s="9" t="str">
        <f t="shared" si="87"/>
        <v>Porcentaje (%)</v>
      </c>
      <c r="N184" s="9" t="str">
        <f t="shared" si="88"/>
        <v>Centro de Estudios y Análisis del Delito (CEAD) de la Subsecretaría de Prevención del Delito</v>
      </c>
      <c r="O184" s="20" t="str">
        <f>"Variación Anual de Frecuencia de Delitos de Mayor Connotación Social en la "&amp;Agencia[[#This Row],[territorio]]&amp;", "&amp; Agencia[[#This Row],[temporalidad]]</f>
        <v>Variación Anual de Frecuencia de Delitos de Mayor Connotación Social en la Región de Magallanes, Periodo 2008-2020</v>
      </c>
      <c r="P184" s="112" t="s">
        <v>5257</v>
      </c>
      <c r="Q184" s="11" t="str">
        <f t="shared" si="81"/>
        <v>Dashboard</v>
      </c>
      <c r="R184" s="148" t="str">
        <f>Agencia[[#This Row],[territorio]]&amp;",delitos,mayor,connotación,social,variación,anual,frecuencia,"&amp;Agencia[[#This Row],[coleccion]]&amp;","&amp;Agencia[[#This Row],[sector]]&amp;","&amp;Agencia[[#This Row],[tema]]&amp;","&amp;Agencia[[#This Row],[contenido]]</f>
        <v>Región de Magallanes,delitos,mayor,connotación,social,variación,anual,frecuencia,Agencia Información,Social,Delitos de Mayor Connotación Social (DMCS),Delincuencia</v>
      </c>
      <c r="S184" s="37" t="s">
        <v>857</v>
      </c>
      <c r="T184" s="111" t="str">
        <f>"100-C-"&amp;Agencia[[#This Row],[Filtro URL]]</f>
        <v>100-C-12</v>
      </c>
      <c r="U184" s="46" t="str">
        <f t="shared" si="92"/>
        <v>#1774B9</v>
      </c>
      <c r="V184" s="93" t="str">
        <f>+Agencia[[#This Row],[idcoleccion]]&amp;"-"&amp;Agencia[[#This Row],[id]]</f>
        <v>990-0173</v>
      </c>
      <c r="W184" s="93">
        <f>+VLOOKUP(Agencia[[#This Row],[Filtro URL]],Estructura!$X$4:$Y$500,2,0)</f>
        <v>99200012</v>
      </c>
      <c r="X184" s="93" t="str">
        <f>+VLOOKUP(Agencia[[#This Row],[tema]],Estructura!$A$4:$C$500,3,0)</f>
        <v>T-1050</v>
      </c>
      <c r="Y184" s="93" t="str">
        <f>+VLOOKUP(Agencia[[#This Row],[contenido]],Estructura!$E$4:$G$500,3,0)</f>
        <v>C-998</v>
      </c>
      <c r="Z184" s="93" t="str">
        <f>+VLOOKUP(Agencia[[#This Row],[Filtro Integrado]],Estructura!$I$4:$K$500,3,0)</f>
        <v>FI-991</v>
      </c>
      <c r="AA184" s="93" t="str">
        <f>+VLOOKUP(Agencia[[#This Row],[Muestra]],Estructura!$M$4:$O$500,3,0)</f>
        <v>M-1042</v>
      </c>
    </row>
    <row r="185" spans="1:27" ht="72" x14ac:dyDescent="0.3">
      <c r="A185" s="21" t="s">
        <v>561</v>
      </c>
      <c r="B185" s="23">
        <f t="shared" si="89"/>
        <v>990</v>
      </c>
      <c r="C185" s="24" t="str">
        <f t="shared" si="90"/>
        <v>Agencia Información</v>
      </c>
      <c r="D185" s="72" t="str">
        <f t="shared" si="91"/>
        <v>Social</v>
      </c>
      <c r="E185" s="19">
        <v>13</v>
      </c>
      <c r="F185" s="67" t="s">
        <v>4288</v>
      </c>
      <c r="G185" s="10" t="s">
        <v>1879</v>
      </c>
      <c r="H185" s="33" t="s">
        <v>16</v>
      </c>
      <c r="I185" s="34" t="s">
        <v>380</v>
      </c>
      <c r="J185" s="9" t="str">
        <f t="shared" si="84"/>
        <v>Comuna</v>
      </c>
      <c r="K185" s="9" t="str">
        <f t="shared" si="85"/>
        <v>Delitos</v>
      </c>
      <c r="L185" s="9" t="str">
        <f t="shared" si="86"/>
        <v>Periodo 2008-2020</v>
      </c>
      <c r="M185" s="9" t="str">
        <f t="shared" si="87"/>
        <v>Porcentaje (%)</v>
      </c>
      <c r="N185" s="9" t="str">
        <f t="shared" si="88"/>
        <v>Centro de Estudios y Análisis del Delito (CEAD) de la Subsecretaría de Prevención del Delito</v>
      </c>
      <c r="O185" s="20" t="str">
        <f>"Variación Anual de Frecuencia de Delitos de Mayor Connotación Social en la "&amp;Agencia[[#This Row],[territorio]]&amp;", "&amp; Agencia[[#This Row],[temporalidad]]</f>
        <v>Variación Anual de Frecuencia de Delitos de Mayor Connotación Social en la Región Metropolitana, Periodo 2008-2020</v>
      </c>
      <c r="P185" s="112" t="s">
        <v>5256</v>
      </c>
      <c r="Q185" s="11" t="str">
        <f t="shared" si="81"/>
        <v>Dashboard</v>
      </c>
      <c r="R185" s="148" t="str">
        <f>Agencia[[#This Row],[territorio]]&amp;",delitos,mayor,connotación,social,variación,anual,frecuencia,"&amp;Agencia[[#This Row],[coleccion]]&amp;","&amp;Agencia[[#This Row],[sector]]&amp;","&amp;Agencia[[#This Row],[tema]]&amp;","&amp;Agencia[[#This Row],[contenido]]</f>
        <v>Región Metropolitana,delitos,mayor,connotación,social,variación,anual,frecuencia,Agencia Información,Social,Delitos de Mayor Connotación Social (DMCS),Delincuencia</v>
      </c>
      <c r="S185" s="37" t="s">
        <v>859</v>
      </c>
      <c r="T185" s="111" t="str">
        <f>"200-C-"&amp;Agencia[[#This Row],[Filtro URL]]</f>
        <v>200-C-13</v>
      </c>
      <c r="U185" s="46" t="str">
        <f t="shared" si="92"/>
        <v>#1774B9</v>
      </c>
      <c r="V185" s="93" t="str">
        <f>+Agencia[[#This Row],[idcoleccion]]&amp;"-"&amp;Agencia[[#This Row],[id]]</f>
        <v>990-0174</v>
      </c>
      <c r="W185" s="93">
        <f>+VLOOKUP(Agencia[[#This Row],[Filtro URL]],Estructura!$X$4:$Y$500,2,0)</f>
        <v>99200013</v>
      </c>
      <c r="X185" s="93" t="str">
        <f>+VLOOKUP(Agencia[[#This Row],[tema]],Estructura!$A$4:$C$500,3,0)</f>
        <v>T-1050</v>
      </c>
      <c r="Y185" s="93" t="str">
        <f>+VLOOKUP(Agencia[[#This Row],[contenido]],Estructura!$E$4:$G$500,3,0)</f>
        <v>C-998</v>
      </c>
      <c r="Z185" s="93" t="str">
        <f>+VLOOKUP(Agencia[[#This Row],[Filtro Integrado]],Estructura!$I$4:$K$500,3,0)</f>
        <v>FI-991</v>
      </c>
      <c r="AA185" s="93" t="str">
        <f>+VLOOKUP(Agencia[[#This Row],[Muestra]],Estructura!$M$4:$O$500,3,0)</f>
        <v>M-1042</v>
      </c>
    </row>
    <row r="186" spans="1:27" ht="72" x14ac:dyDescent="0.3">
      <c r="A186" s="21" t="s">
        <v>562</v>
      </c>
      <c r="B186" s="23">
        <f t="shared" si="89"/>
        <v>990</v>
      </c>
      <c r="C186" s="24" t="str">
        <f t="shared" si="90"/>
        <v>Agencia Información</v>
      </c>
      <c r="D186" s="72" t="str">
        <f t="shared" si="91"/>
        <v>Social</v>
      </c>
      <c r="E186" s="19">
        <v>14</v>
      </c>
      <c r="F186" s="67" t="s">
        <v>4288</v>
      </c>
      <c r="G186" s="10" t="s">
        <v>1879</v>
      </c>
      <c r="H186" s="33" t="s">
        <v>16</v>
      </c>
      <c r="I186" s="34" t="s">
        <v>381</v>
      </c>
      <c r="J186" s="9" t="str">
        <f t="shared" si="84"/>
        <v>Comuna</v>
      </c>
      <c r="K186" s="9" t="str">
        <f t="shared" si="85"/>
        <v>Delitos</v>
      </c>
      <c r="L186" s="9" t="str">
        <f t="shared" si="86"/>
        <v>Periodo 2008-2020</v>
      </c>
      <c r="M186" s="9" t="str">
        <f t="shared" si="87"/>
        <v>Porcentaje (%)</v>
      </c>
      <c r="N186" s="9" t="str">
        <f t="shared" si="88"/>
        <v>Centro de Estudios y Análisis del Delito (CEAD) de la Subsecretaría de Prevención del Delito</v>
      </c>
      <c r="O186" s="20" t="str">
        <f>"Variación Anual de Frecuencia de Delitos de Mayor Connotación Social en la "&amp;Agencia[[#This Row],[territorio]]&amp;", "&amp; Agencia[[#This Row],[temporalidad]]</f>
        <v>Variación Anual de Frecuencia de Delitos de Mayor Connotación Social en la Región de Los Ríos, Periodo 2008-2020</v>
      </c>
      <c r="P186" s="112" t="s">
        <v>5255</v>
      </c>
      <c r="Q186" s="11" t="str">
        <f t="shared" si="81"/>
        <v>Dashboard</v>
      </c>
      <c r="R186" s="148" t="str">
        <f>Agencia[[#This Row],[territorio]]&amp;",delitos,mayor,connotación,social,variación,anual,frecuencia,"&amp;Agencia[[#This Row],[coleccion]]&amp;","&amp;Agencia[[#This Row],[sector]]&amp;","&amp;Agencia[[#This Row],[tema]]&amp;","&amp;Agencia[[#This Row],[contenido]]</f>
        <v>Región de Los Ríos,delitos,mayor,connotación,social,variación,anual,frecuencia,Agencia Información,Social,Delitos de Mayor Connotación Social (DMCS),Delincuencia</v>
      </c>
      <c r="S186" s="37" t="s">
        <v>856</v>
      </c>
      <c r="T186" s="111" t="str">
        <f>"100-C-"&amp;Agencia[[#This Row],[Filtro URL]]</f>
        <v>100-C-14</v>
      </c>
      <c r="U186" s="46" t="str">
        <f t="shared" si="92"/>
        <v>#1774B9</v>
      </c>
      <c r="V186" s="93" t="str">
        <f>+Agencia[[#This Row],[idcoleccion]]&amp;"-"&amp;Agencia[[#This Row],[id]]</f>
        <v>990-0175</v>
      </c>
      <c r="W186" s="93">
        <f>+VLOOKUP(Agencia[[#This Row],[Filtro URL]],Estructura!$X$4:$Y$500,2,0)</f>
        <v>99200014</v>
      </c>
      <c r="X186" s="93" t="str">
        <f>+VLOOKUP(Agencia[[#This Row],[tema]],Estructura!$A$4:$C$500,3,0)</f>
        <v>T-1050</v>
      </c>
      <c r="Y186" s="93" t="str">
        <f>+VLOOKUP(Agencia[[#This Row],[contenido]],Estructura!$E$4:$G$500,3,0)</f>
        <v>C-998</v>
      </c>
      <c r="Z186" s="93" t="str">
        <f>+VLOOKUP(Agencia[[#This Row],[Filtro Integrado]],Estructura!$I$4:$K$500,3,0)</f>
        <v>FI-991</v>
      </c>
      <c r="AA186" s="93" t="str">
        <f>+VLOOKUP(Agencia[[#This Row],[Muestra]],Estructura!$M$4:$O$500,3,0)</f>
        <v>M-1042</v>
      </c>
    </row>
    <row r="187" spans="1:27" ht="72" x14ac:dyDescent="0.3">
      <c r="A187" s="21" t="s">
        <v>563</v>
      </c>
      <c r="B187" s="23">
        <f t="shared" si="89"/>
        <v>990</v>
      </c>
      <c r="C187" s="24" t="str">
        <f t="shared" si="90"/>
        <v>Agencia Información</v>
      </c>
      <c r="D187" s="72" t="str">
        <f t="shared" si="91"/>
        <v>Social</v>
      </c>
      <c r="E187" s="19">
        <v>15</v>
      </c>
      <c r="F187" s="67" t="s">
        <v>4288</v>
      </c>
      <c r="G187" s="10" t="s">
        <v>1879</v>
      </c>
      <c r="H187" s="33" t="s">
        <v>16</v>
      </c>
      <c r="I187" s="34" t="s">
        <v>382</v>
      </c>
      <c r="J187" s="9" t="str">
        <f t="shared" si="84"/>
        <v>Comuna</v>
      </c>
      <c r="K187" s="9" t="str">
        <f t="shared" si="85"/>
        <v>Delitos</v>
      </c>
      <c r="L187" s="9" t="str">
        <f t="shared" si="86"/>
        <v>Periodo 2008-2020</v>
      </c>
      <c r="M187" s="9" t="str">
        <f t="shared" si="87"/>
        <v>Porcentaje (%)</v>
      </c>
      <c r="N187" s="9" t="str">
        <f t="shared" si="88"/>
        <v>Centro de Estudios y Análisis del Delito (CEAD) de la Subsecretaría de Prevención del Delito</v>
      </c>
      <c r="O187" s="20" t="str">
        <f>"Variación Anual de Frecuencia de Delitos de Mayor Connotación Social en la "&amp;Agencia[[#This Row],[territorio]]&amp;", "&amp; Agencia[[#This Row],[temporalidad]]</f>
        <v>Variación Anual de Frecuencia de Delitos de Mayor Connotación Social en la Región de Arica y Parinacota, Periodo 2008-2020</v>
      </c>
      <c r="P187" s="112" t="s">
        <v>5254</v>
      </c>
      <c r="Q187" s="11" t="str">
        <f t="shared" si="81"/>
        <v>Dashboard</v>
      </c>
      <c r="R187" s="148" t="str">
        <f>Agencia[[#This Row],[territorio]]&amp;",delitos,mayor,connotación,social,variación,anual,frecuencia,"&amp;Agencia[[#This Row],[coleccion]]&amp;","&amp;Agencia[[#This Row],[sector]]&amp;","&amp;Agencia[[#This Row],[tema]]&amp;","&amp;Agencia[[#This Row],[contenido]]</f>
        <v>Región de Arica y Parinacota,delitos,mayor,connotación,social,variación,anual,frecuencia,Agencia Información,Social,Delitos de Mayor Connotación Social (DMCS),Delincuencia</v>
      </c>
      <c r="S187" s="37" t="s">
        <v>849</v>
      </c>
      <c r="T187" s="111" t="str">
        <f>"100-C-"&amp;Agencia[[#This Row],[Filtro URL]]</f>
        <v>100-C-15</v>
      </c>
      <c r="U187" s="46" t="str">
        <f t="shared" si="92"/>
        <v>#1774B9</v>
      </c>
      <c r="V187" s="93" t="str">
        <f>+Agencia[[#This Row],[idcoleccion]]&amp;"-"&amp;Agencia[[#This Row],[id]]</f>
        <v>990-0176</v>
      </c>
      <c r="W187" s="93">
        <f>+VLOOKUP(Agencia[[#This Row],[Filtro URL]],Estructura!$X$4:$Y$500,2,0)</f>
        <v>99200015</v>
      </c>
      <c r="X187" s="93" t="str">
        <f>+VLOOKUP(Agencia[[#This Row],[tema]],Estructura!$A$4:$C$500,3,0)</f>
        <v>T-1050</v>
      </c>
      <c r="Y187" s="93" t="str">
        <f>+VLOOKUP(Agencia[[#This Row],[contenido]],Estructura!$E$4:$G$500,3,0)</f>
        <v>C-998</v>
      </c>
      <c r="Z187" s="93" t="str">
        <f>+VLOOKUP(Agencia[[#This Row],[Filtro Integrado]],Estructura!$I$4:$K$500,3,0)</f>
        <v>FI-991</v>
      </c>
      <c r="AA187" s="93" t="str">
        <f>+VLOOKUP(Agencia[[#This Row],[Muestra]],Estructura!$M$4:$O$500,3,0)</f>
        <v>M-1042</v>
      </c>
    </row>
    <row r="188" spans="1:27" ht="72" x14ac:dyDescent="0.3">
      <c r="A188" s="21" t="s">
        <v>564</v>
      </c>
      <c r="B188" s="23">
        <f t="shared" si="89"/>
        <v>990</v>
      </c>
      <c r="C188" s="24" t="str">
        <f t="shared" si="90"/>
        <v>Agencia Información</v>
      </c>
      <c r="D188" s="72" t="str">
        <f t="shared" si="91"/>
        <v>Social</v>
      </c>
      <c r="E188" s="19">
        <v>16</v>
      </c>
      <c r="F188" s="67" t="s">
        <v>4288</v>
      </c>
      <c r="G188" s="10" t="s">
        <v>1879</v>
      </c>
      <c r="H188" s="33" t="s">
        <v>16</v>
      </c>
      <c r="I188" s="34" t="s">
        <v>383</v>
      </c>
      <c r="J188" s="9" t="str">
        <f t="shared" si="84"/>
        <v>Comuna</v>
      </c>
      <c r="K188" s="9" t="str">
        <f t="shared" si="85"/>
        <v>Delitos</v>
      </c>
      <c r="L188" s="9" t="str">
        <f t="shared" si="86"/>
        <v>Periodo 2008-2020</v>
      </c>
      <c r="M188" s="9" t="str">
        <f t="shared" si="87"/>
        <v>Porcentaje (%)</v>
      </c>
      <c r="N188" s="9" t="str">
        <f t="shared" si="88"/>
        <v>Centro de Estudios y Análisis del Delito (CEAD) de la Subsecretaría de Prevención del Delito</v>
      </c>
      <c r="O188" s="20" t="str">
        <f>"Variación Anual de Frecuencia de Delitos de Mayor Connotación Social en la "&amp;Agencia[[#This Row],[territorio]]&amp;", "&amp; Agencia[[#This Row],[temporalidad]]</f>
        <v>Variación Anual de Frecuencia de Delitos de Mayor Connotación Social en la Región de Ñuble, Periodo 2008-2020</v>
      </c>
      <c r="P188" s="112" t="s">
        <v>5253</v>
      </c>
      <c r="Q188" s="11" t="str">
        <f t="shared" si="81"/>
        <v>Dashboard</v>
      </c>
      <c r="R188" s="148" t="str">
        <f>Agencia[[#This Row],[territorio]]&amp;",delitos,mayor,connotación,social,variación,anual,frecuencia,"&amp;Agencia[[#This Row],[coleccion]]&amp;","&amp;Agencia[[#This Row],[sector]]&amp;","&amp;Agencia[[#This Row],[tema]]&amp;","&amp;Agencia[[#This Row],[contenido]]</f>
        <v>Región de Ñuble,delitos,mayor,connotación,social,variación,anual,frecuencia,Agencia Información,Social,Delitos de Mayor Connotación Social (DMCS),Delincuencia</v>
      </c>
      <c r="S188" s="37" t="s">
        <v>860</v>
      </c>
      <c r="T188" s="111" t="str">
        <f>"100-C-"&amp;Agencia[[#This Row],[Filtro URL]]</f>
        <v>100-C-16</v>
      </c>
      <c r="U188" s="46" t="str">
        <f t="shared" si="92"/>
        <v>#1774B9</v>
      </c>
      <c r="V188" s="93" t="str">
        <f>+Agencia[[#This Row],[idcoleccion]]&amp;"-"&amp;Agencia[[#This Row],[id]]</f>
        <v>990-0177</v>
      </c>
      <c r="W188" s="93">
        <f>+VLOOKUP(Agencia[[#This Row],[Filtro URL]],Estructura!$X$4:$Y$500,2,0)</f>
        <v>99200016</v>
      </c>
      <c r="X188" s="93" t="str">
        <f>+VLOOKUP(Agencia[[#This Row],[tema]],Estructura!$A$4:$C$500,3,0)</f>
        <v>T-1050</v>
      </c>
      <c r="Y188" s="93" t="str">
        <f>+VLOOKUP(Agencia[[#This Row],[contenido]],Estructura!$E$4:$G$500,3,0)</f>
        <v>C-998</v>
      </c>
      <c r="Z188" s="93" t="str">
        <f>+VLOOKUP(Agencia[[#This Row],[Filtro Integrado]],Estructura!$I$4:$K$500,3,0)</f>
        <v>FI-991</v>
      </c>
      <c r="AA188" s="93" t="str">
        <f>+VLOOKUP(Agencia[[#This Row],[Muestra]],Estructura!$M$4:$O$500,3,0)</f>
        <v>M-1042</v>
      </c>
    </row>
    <row r="189" spans="1:27" ht="40.799999999999997" x14ac:dyDescent="0.3">
      <c r="A189" s="21" t="s">
        <v>565</v>
      </c>
      <c r="B189" s="23">
        <f t="shared" ref="B189:B220" si="93">+B188</f>
        <v>990</v>
      </c>
      <c r="C189" s="24" t="str">
        <f t="shared" ref="C189:C220" si="94">+C188</f>
        <v>Agencia Información</v>
      </c>
      <c r="D189" s="72" t="s">
        <v>459</v>
      </c>
      <c r="E189" s="14">
        <v>0</v>
      </c>
      <c r="F189" s="10" t="s">
        <v>786</v>
      </c>
      <c r="G189" s="10" t="s">
        <v>1877</v>
      </c>
      <c r="H189" s="31" t="s">
        <v>20</v>
      </c>
      <c r="I189" s="32" t="s">
        <v>15</v>
      </c>
      <c r="J189" s="9" t="s">
        <v>403</v>
      </c>
      <c r="K189" s="9" t="s">
        <v>791</v>
      </c>
      <c r="L189" s="9" t="s">
        <v>790</v>
      </c>
      <c r="M189" s="9" t="s">
        <v>582</v>
      </c>
      <c r="N189" s="9" t="s">
        <v>792</v>
      </c>
      <c r="O189" s="20" t="s">
        <v>787</v>
      </c>
      <c r="P189" s="112" t="s">
        <v>788</v>
      </c>
      <c r="Q189" s="11" t="s">
        <v>784</v>
      </c>
      <c r="R189" s="20" t="str">
        <f>Agencia[[#This Row],[territorio]]&amp;",violencia,intrafamiliar,VIF,casos,fiscalía,mujeres,hombres,año,nacional,"&amp;Agencia[[#This Row],[coleccion]]&amp;","&amp;Agencia[[#This Row],[sector]]&amp;","&amp;Agencia[[#This Row],[tema]]&amp;","&amp;Agencia[[#This Row],[contenido]]</f>
        <v>Chile,violencia,intrafamiliar,VIF,casos,fiscalía,mujeres,hombres,año,nacional,Agencia Información,Mujeres,Violencia Intrafamiliar,Violencia Contra la Mujer</v>
      </c>
      <c r="S189" s="39" t="s">
        <v>789</v>
      </c>
      <c r="T189" s="108">
        <v>0</v>
      </c>
      <c r="U189" s="46" t="str">
        <f t="shared" si="92"/>
        <v>#1774B9</v>
      </c>
      <c r="V189" s="93" t="str">
        <f>+Agencia[[#This Row],[idcoleccion]]&amp;"-"&amp;Agencia[[#This Row],[id]]</f>
        <v>990-0178</v>
      </c>
      <c r="W189" s="93">
        <f>+VLOOKUP(Agencia[[#This Row],[Filtro URL]],Estructura!$X$4:$Y$500,2,0)</f>
        <v>99100000</v>
      </c>
      <c r="X189" s="93" t="str">
        <f>+VLOOKUP(Agencia[[#This Row],[tema]],Estructura!$A$4:$C$500,3,0)</f>
        <v>T-1023</v>
      </c>
      <c r="Y189" s="93" t="str">
        <f>+VLOOKUP(Agencia[[#This Row],[contenido]],Estructura!$E$4:$G$500,3,0)</f>
        <v>C-996</v>
      </c>
      <c r="Z189" s="93" t="str">
        <f>+VLOOKUP(Agencia[[#This Row],[Filtro Integrado]],Estructura!$I$4:$K$500,3,0)</f>
        <v>FI-993</v>
      </c>
      <c r="AA189" s="93" t="str">
        <f>+VLOOKUP(Agencia[[#This Row],[Muestra]],Estructura!$M$4:$O$500,3,0)</f>
        <v>M-993</v>
      </c>
    </row>
    <row r="190" spans="1:27" ht="40.799999999999997" x14ac:dyDescent="0.3">
      <c r="A190" s="21" t="s">
        <v>566</v>
      </c>
      <c r="B190" s="23">
        <f t="shared" si="93"/>
        <v>990</v>
      </c>
      <c r="C190" s="24" t="str">
        <f t="shared" si="94"/>
        <v>Agencia Información</v>
      </c>
      <c r="D190" s="72" t="s">
        <v>459</v>
      </c>
      <c r="E190" s="14">
        <v>0</v>
      </c>
      <c r="F190" s="10" t="s">
        <v>786</v>
      </c>
      <c r="G190" s="10" t="s">
        <v>1877</v>
      </c>
      <c r="H190" s="31" t="s">
        <v>20</v>
      </c>
      <c r="I190" s="32" t="s">
        <v>15</v>
      </c>
      <c r="J190" s="9" t="s">
        <v>16</v>
      </c>
      <c r="K190" s="9" t="s">
        <v>804</v>
      </c>
      <c r="L190" s="9" t="s">
        <v>790</v>
      </c>
      <c r="M190" s="9" t="s">
        <v>582</v>
      </c>
      <c r="N190" s="9" t="s">
        <v>792</v>
      </c>
      <c r="O190" s="20" t="str">
        <f>"Evolución trimestral de Casos de Violencia Intrafamiliar presentados frente a la Fiscalía Nacional en "&amp;Agencia[[#This Row],[territorio]]</f>
        <v>Evolución trimestral de Casos de Violencia Intrafamiliar presentados frente a la Fiscalía Nacional en Chile</v>
      </c>
      <c r="P190" s="112" t="s">
        <v>7215</v>
      </c>
      <c r="Q190" s="11" t="str">
        <f>+Q189</f>
        <v>Gráfico de Evolución</v>
      </c>
      <c r="R190" s="20" t="str">
        <f>Agencia[[#This Row],[territorio]]&amp;",violencia,intrafamiliar,VIF,casos,fiscalía,mujeres,hombres,año,regional,"&amp;Agencia[[#This Row],[coleccion]]&amp;","&amp;Agencia[[#This Row],[sector]]&amp;","&amp;Agencia[[#This Row],[tema]]&amp;","&amp;Agencia[[#This Row],[contenido]]</f>
        <v>Chile,violencia,intrafamiliar,VIF,casos,fiscalía,mujeres,hombres,año,regional,Agencia Información,Mujeres,Violencia Intrafamiliar,Violencia Contra la Mujer</v>
      </c>
      <c r="S190" s="39" t="s">
        <v>799</v>
      </c>
      <c r="T190" s="108" t="s">
        <v>805</v>
      </c>
      <c r="U190" s="46" t="str">
        <f>+U189</f>
        <v>#1774B9</v>
      </c>
      <c r="V190" s="93" t="str">
        <f>+Agencia[[#This Row],[idcoleccion]]&amp;"-"&amp;Agencia[[#This Row],[id]]</f>
        <v>990-0179</v>
      </c>
      <c r="W190" s="93">
        <f>+VLOOKUP(Agencia[[#This Row],[Filtro URL]],Estructura!$X$4:$Y$500,2,0)</f>
        <v>99100000</v>
      </c>
      <c r="X190" s="93" t="str">
        <f>+VLOOKUP(Agencia[[#This Row],[tema]],Estructura!$A$4:$C$500,3,0)</f>
        <v>T-1023</v>
      </c>
      <c r="Y190" s="93" t="str">
        <f>+VLOOKUP(Agencia[[#This Row],[contenido]],Estructura!$E$4:$G$500,3,0)</f>
        <v>C-996</v>
      </c>
      <c r="Z190" s="93" t="str">
        <f>+VLOOKUP(Agencia[[#This Row],[Filtro Integrado]],Estructura!$I$4:$K$500,3,0)</f>
        <v>FI-992</v>
      </c>
      <c r="AA190" s="93" t="str">
        <f>+VLOOKUP(Agencia[[#This Row],[Muestra]],Estructura!$M$4:$O$500,3,0)</f>
        <v>M-994</v>
      </c>
    </row>
    <row r="191" spans="1:27" ht="57.6" x14ac:dyDescent="0.3">
      <c r="A191" s="21" t="s">
        <v>567</v>
      </c>
      <c r="B191" s="23">
        <f t="shared" si="93"/>
        <v>990</v>
      </c>
      <c r="C191" s="24" t="str">
        <f t="shared" si="94"/>
        <v>Agencia Información</v>
      </c>
      <c r="D191" s="72" t="s">
        <v>459</v>
      </c>
      <c r="E191" s="19">
        <v>1</v>
      </c>
      <c r="F191" s="10" t="s">
        <v>786</v>
      </c>
      <c r="G191" s="10" t="s">
        <v>1877</v>
      </c>
      <c r="H191" s="33" t="s">
        <v>16</v>
      </c>
      <c r="I191" s="34" t="s">
        <v>368</v>
      </c>
      <c r="J191" s="9" t="str">
        <f>+J189</f>
        <v>Ninguno</v>
      </c>
      <c r="K191" s="9" t="str">
        <f>+K190</f>
        <v>Casos de VIF por región</v>
      </c>
      <c r="L191" s="9" t="str">
        <f>+L189</f>
        <v>Periodo 2019-2021</v>
      </c>
      <c r="M191" s="9" t="str">
        <f>+M189</f>
        <v>Número de Casos</v>
      </c>
      <c r="N191" s="9" t="s">
        <v>792</v>
      </c>
      <c r="O191" s="20" t="str">
        <f>"Evolución trimestral de Casos de Violencia Intrafamiliar presentados frente a la Fiscalía Nacional en la "&amp;Agencia[[#This Row],[territorio]]</f>
        <v>Evolución trimestral de Casos de Violencia Intrafamiliar presentados frente a la Fiscalía Nacional en la Región de Tarapacá</v>
      </c>
      <c r="P191" s="112" t="s">
        <v>7216</v>
      </c>
      <c r="Q191" s="11" t="str">
        <f>+Q189</f>
        <v>Gráfico de Evolución</v>
      </c>
      <c r="R191" s="70" t="str">
        <f>Agencia[[#This Row],[territorio]]&amp;",violencia,intrafamiliar,VIF,casos,fiscalía,mujeres,hombres,año,regional,"&amp;Agencia[[#This Row],[coleccion]]&amp;","&amp;Agencia[[#This Row],[sector]]&amp;","&amp;Agencia[[#This Row],[tema]]&amp;","&amp;Agencia[[#This Row],[contenido]]</f>
        <v>Región de Tarapacá,violencia,intrafamiliar,VIF,casos,fiscalía,mujeres,hombres,año,regional,Agencia Información,Mujeres,Violencia Intrafamiliar,Violencia Contra la Mujer</v>
      </c>
      <c r="S191" s="39" t="str">
        <f>HYPERLINK("https://analytics.zoho.com/open-view/2395394000007782059?ZOHO_CRITERIA=%22Trasposicion_27.4%22.%22Cod_Regi%C3%B3n%22%3D"&amp;Agencia[[#This Row],[Filtro URL]])</f>
        <v>https://analytics.zoho.com/open-view/2395394000007782059?ZOHO_CRITERIA=%22Trasposicion_27.4%22.%22Cod_Regi%C3%B3n%22%3D1</v>
      </c>
      <c r="T191" s="108" t="str">
        <f>"100-R-"&amp;Agencia[[#This Row],[Filtro URL]]</f>
        <v>100-R-1</v>
      </c>
      <c r="U191" s="46" t="str">
        <f>+U189</f>
        <v>#1774B9</v>
      </c>
      <c r="V191" s="93" t="str">
        <f>+Agencia[[#This Row],[idcoleccion]]&amp;"-"&amp;Agencia[[#This Row],[id]]</f>
        <v>990-0180</v>
      </c>
      <c r="W191" s="93">
        <f>+VLOOKUP(Agencia[[#This Row],[Filtro URL]],Estructura!$X$4:$Y$500,2,0)</f>
        <v>99200001</v>
      </c>
      <c r="X191" s="93" t="str">
        <f>+VLOOKUP(Agencia[[#This Row],[tema]],Estructura!$A$4:$C$500,3,0)</f>
        <v>T-1023</v>
      </c>
      <c r="Y191" s="93" t="str">
        <f>+VLOOKUP(Agencia[[#This Row],[contenido]],Estructura!$E$4:$G$500,3,0)</f>
        <v>C-996</v>
      </c>
      <c r="Z191" s="93" t="str">
        <f>+VLOOKUP(Agencia[[#This Row],[Filtro Integrado]],Estructura!$I$4:$K$500,3,0)</f>
        <v>FI-993</v>
      </c>
      <c r="AA191" s="93" t="str">
        <f>+VLOOKUP(Agencia[[#This Row],[Muestra]],Estructura!$M$4:$O$500,3,0)</f>
        <v>M-994</v>
      </c>
    </row>
    <row r="192" spans="1:27" ht="57.6" x14ac:dyDescent="0.3">
      <c r="A192" s="21" t="s">
        <v>611</v>
      </c>
      <c r="B192" s="23">
        <f t="shared" si="93"/>
        <v>990</v>
      </c>
      <c r="C192" s="24" t="str">
        <f t="shared" si="94"/>
        <v>Agencia Información</v>
      </c>
      <c r="D192" s="72" t="str">
        <f t="shared" ref="D192:D223" si="95">+D191</f>
        <v>Mujeres</v>
      </c>
      <c r="E192" s="19">
        <v>2</v>
      </c>
      <c r="F192" s="10" t="s">
        <v>786</v>
      </c>
      <c r="G192" s="10" t="s">
        <v>1877</v>
      </c>
      <c r="H192" s="33" t="s">
        <v>16</v>
      </c>
      <c r="I192" s="34" t="s">
        <v>369</v>
      </c>
      <c r="J192" s="9" t="str">
        <f t="shared" si="84"/>
        <v>Ninguno</v>
      </c>
      <c r="K192" s="9" t="str">
        <f t="shared" si="85"/>
        <v>Casos de VIF por región</v>
      </c>
      <c r="L192" s="9" t="str">
        <f t="shared" si="86"/>
        <v>Periodo 2019-2021</v>
      </c>
      <c r="M192" s="9" t="str">
        <f t="shared" si="87"/>
        <v>Número de Casos</v>
      </c>
      <c r="N192" s="9" t="str">
        <f t="shared" si="88"/>
        <v>Fiscalía Nacional</v>
      </c>
      <c r="O192" s="20" t="str">
        <f>"Evolución trimestral de Casos de Violencia Intrafamiliar presentados frente a la Fiscalía Nacional en la "&amp;Agencia[[#This Row],[territorio]]</f>
        <v>Evolución trimestral de Casos de Violencia Intrafamiliar presentados frente a la Fiscalía Nacional en la Región de Antofagasta</v>
      </c>
      <c r="P192" s="112" t="s">
        <v>7217</v>
      </c>
      <c r="Q192" s="11" t="str">
        <f t="shared" si="81"/>
        <v>Gráfico de Evolución</v>
      </c>
      <c r="R192" s="148" t="str">
        <f>Agencia[[#This Row],[territorio]]&amp;",violencia,intrafamiliar,VIF,casos,fiscalía,mujeres,hombres,año,regional,"&amp;Agencia[[#This Row],[coleccion]]&amp;","&amp;Agencia[[#This Row],[sector]]&amp;","&amp;Agencia[[#This Row],[tema]]&amp;","&amp;Agencia[[#This Row],[contenido]]</f>
        <v>Región de Antofagasta,violencia,intrafamiliar,VIF,casos,fiscalía,mujeres,hombres,año,regional,Agencia Información,Mujeres,Violencia Intrafamiliar,Violencia Contra la Mujer</v>
      </c>
      <c r="S192" s="39" t="str">
        <f>HYPERLINK("https://analytics.zoho.com/open-view/2395394000007782059?ZOHO_CRITERIA=%22Trasposicion_27.4%22.%22Cod_Regi%C3%B3n%22%3D"&amp;Agencia[[#This Row],[Filtro URL]])</f>
        <v>https://analytics.zoho.com/open-view/2395394000007782059?ZOHO_CRITERIA=%22Trasposicion_27.4%22.%22Cod_Regi%C3%B3n%22%3D2</v>
      </c>
      <c r="T192" s="108" t="str">
        <f>"100-R-"&amp;Agencia[[#This Row],[Filtro URL]]</f>
        <v>100-R-2</v>
      </c>
      <c r="U192" s="46" t="str">
        <f t="shared" si="92"/>
        <v>#1774B9</v>
      </c>
      <c r="V192" s="93" t="str">
        <f>+Agencia[[#This Row],[idcoleccion]]&amp;"-"&amp;Agencia[[#This Row],[id]]</f>
        <v>990-0181</v>
      </c>
      <c r="W192" s="93">
        <f>+VLOOKUP(Agencia[[#This Row],[Filtro URL]],Estructura!$X$4:$Y$500,2,0)</f>
        <v>99200002</v>
      </c>
      <c r="X192" s="93" t="str">
        <f>+VLOOKUP(Agencia[[#This Row],[tema]],Estructura!$A$4:$C$500,3,0)</f>
        <v>T-1023</v>
      </c>
      <c r="Y192" s="93" t="str">
        <f>+VLOOKUP(Agencia[[#This Row],[contenido]],Estructura!$E$4:$G$500,3,0)</f>
        <v>C-996</v>
      </c>
      <c r="Z192" s="93" t="str">
        <f>+VLOOKUP(Agencia[[#This Row],[Filtro Integrado]],Estructura!$I$4:$K$500,3,0)</f>
        <v>FI-993</v>
      </c>
      <c r="AA192" s="93" t="str">
        <f>+VLOOKUP(Agencia[[#This Row],[Muestra]],Estructura!$M$4:$O$500,3,0)</f>
        <v>M-994</v>
      </c>
    </row>
    <row r="193" spans="1:27" ht="57.6" x14ac:dyDescent="0.3">
      <c r="A193" s="21" t="s">
        <v>612</v>
      </c>
      <c r="B193" s="23">
        <f t="shared" si="93"/>
        <v>990</v>
      </c>
      <c r="C193" s="24" t="str">
        <f t="shared" si="94"/>
        <v>Agencia Información</v>
      </c>
      <c r="D193" s="72" t="str">
        <f t="shared" si="95"/>
        <v>Mujeres</v>
      </c>
      <c r="E193" s="19">
        <v>3</v>
      </c>
      <c r="F193" s="10" t="s">
        <v>786</v>
      </c>
      <c r="G193" s="10" t="s">
        <v>1877</v>
      </c>
      <c r="H193" s="33" t="s">
        <v>16</v>
      </c>
      <c r="I193" s="34" t="s">
        <v>370</v>
      </c>
      <c r="J193" s="9" t="str">
        <f t="shared" si="84"/>
        <v>Ninguno</v>
      </c>
      <c r="K193" s="9" t="str">
        <f t="shared" si="85"/>
        <v>Casos de VIF por región</v>
      </c>
      <c r="L193" s="9" t="str">
        <f t="shared" si="86"/>
        <v>Periodo 2019-2021</v>
      </c>
      <c r="M193" s="9" t="str">
        <f t="shared" si="87"/>
        <v>Número de Casos</v>
      </c>
      <c r="N193" s="9" t="str">
        <f t="shared" si="88"/>
        <v>Fiscalía Nacional</v>
      </c>
      <c r="O193" s="20" t="str">
        <f>"Evolución trimestral de Casos de Violencia Intrafamiliar presentados frente a la Fiscalía Nacional en la "&amp;Agencia[[#This Row],[territorio]]</f>
        <v>Evolución trimestral de Casos de Violencia Intrafamiliar presentados frente a la Fiscalía Nacional en la Región de Atacama</v>
      </c>
      <c r="P193" s="112" t="s">
        <v>7218</v>
      </c>
      <c r="Q193" s="11" t="str">
        <f t="shared" si="81"/>
        <v>Gráfico de Evolución</v>
      </c>
      <c r="R193" s="148" t="str">
        <f>Agencia[[#This Row],[territorio]]&amp;",violencia,intrafamiliar,VIF,casos,fiscalía,mujeres,hombres,año,regional,"&amp;Agencia[[#This Row],[coleccion]]&amp;","&amp;Agencia[[#This Row],[sector]]&amp;","&amp;Agencia[[#This Row],[tema]]&amp;","&amp;Agencia[[#This Row],[contenido]]</f>
        <v>Región de Atacama,violencia,intrafamiliar,VIF,casos,fiscalía,mujeres,hombres,año,regional,Agencia Información,Mujeres,Violencia Intrafamiliar,Violencia Contra la Mujer</v>
      </c>
      <c r="S193" s="39" t="str">
        <f>HYPERLINK("https://analytics.zoho.com/open-view/2395394000007782059?ZOHO_CRITERIA=%22Trasposicion_27.4%22.%22Cod_Regi%C3%B3n%22%3D"&amp;Agencia[[#This Row],[Filtro URL]])</f>
        <v>https://analytics.zoho.com/open-view/2395394000007782059?ZOHO_CRITERIA=%22Trasposicion_27.4%22.%22Cod_Regi%C3%B3n%22%3D3</v>
      </c>
      <c r="T193" s="108" t="str">
        <f>"100-R-"&amp;Agencia[[#This Row],[Filtro URL]]</f>
        <v>100-R-3</v>
      </c>
      <c r="U193" s="46" t="str">
        <f t="shared" si="92"/>
        <v>#1774B9</v>
      </c>
      <c r="V193" s="93" t="str">
        <f>+Agencia[[#This Row],[idcoleccion]]&amp;"-"&amp;Agencia[[#This Row],[id]]</f>
        <v>990-0182</v>
      </c>
      <c r="W193" s="93">
        <f>+VLOOKUP(Agencia[[#This Row],[Filtro URL]],Estructura!$X$4:$Y$500,2,0)</f>
        <v>99200003</v>
      </c>
      <c r="X193" s="93" t="str">
        <f>+VLOOKUP(Agencia[[#This Row],[tema]],Estructura!$A$4:$C$500,3,0)</f>
        <v>T-1023</v>
      </c>
      <c r="Y193" s="93" t="str">
        <f>+VLOOKUP(Agencia[[#This Row],[contenido]],Estructura!$E$4:$G$500,3,0)</f>
        <v>C-996</v>
      </c>
      <c r="Z193" s="93" t="str">
        <f>+VLOOKUP(Agencia[[#This Row],[Filtro Integrado]],Estructura!$I$4:$K$500,3,0)</f>
        <v>FI-993</v>
      </c>
      <c r="AA193" s="93" t="str">
        <f>+VLOOKUP(Agencia[[#This Row],[Muestra]],Estructura!$M$4:$O$500,3,0)</f>
        <v>M-994</v>
      </c>
    </row>
    <row r="194" spans="1:27" ht="57.6" x14ac:dyDescent="0.3">
      <c r="A194" s="21" t="s">
        <v>613</v>
      </c>
      <c r="B194" s="23">
        <f t="shared" si="93"/>
        <v>990</v>
      </c>
      <c r="C194" s="24" t="str">
        <f t="shared" si="94"/>
        <v>Agencia Información</v>
      </c>
      <c r="D194" s="72" t="str">
        <f t="shared" si="95"/>
        <v>Mujeres</v>
      </c>
      <c r="E194" s="19">
        <v>4</v>
      </c>
      <c r="F194" s="10" t="s">
        <v>786</v>
      </c>
      <c r="G194" s="10" t="s">
        <v>1877</v>
      </c>
      <c r="H194" s="33" t="s">
        <v>16</v>
      </c>
      <c r="I194" s="34" t="s">
        <v>371</v>
      </c>
      <c r="J194" s="9" t="str">
        <f t="shared" si="84"/>
        <v>Ninguno</v>
      </c>
      <c r="K194" s="9" t="str">
        <f t="shared" si="85"/>
        <v>Casos de VIF por región</v>
      </c>
      <c r="L194" s="9" t="str">
        <f t="shared" si="86"/>
        <v>Periodo 2019-2021</v>
      </c>
      <c r="M194" s="9" t="str">
        <f t="shared" si="87"/>
        <v>Número de Casos</v>
      </c>
      <c r="N194" s="9" t="str">
        <f t="shared" si="88"/>
        <v>Fiscalía Nacional</v>
      </c>
      <c r="O194" s="20" t="str">
        <f>"Evolución trimestral de Casos de Violencia Intrafamiliar presentados frente a la Fiscalía Nacional en la "&amp;Agencia[[#This Row],[territorio]]</f>
        <v>Evolución trimestral de Casos de Violencia Intrafamiliar presentados frente a la Fiscalía Nacional en la Región de Coquimbo</v>
      </c>
      <c r="P194" s="112" t="s">
        <v>7219</v>
      </c>
      <c r="Q194" s="11" t="str">
        <f t="shared" si="81"/>
        <v>Gráfico de Evolución</v>
      </c>
      <c r="R194" s="148" t="str">
        <f>Agencia[[#This Row],[territorio]]&amp;",violencia,intrafamiliar,VIF,casos,fiscalía,mujeres,hombres,año,regional,"&amp;Agencia[[#This Row],[coleccion]]&amp;","&amp;Agencia[[#This Row],[sector]]&amp;","&amp;Agencia[[#This Row],[tema]]&amp;","&amp;Agencia[[#This Row],[contenido]]</f>
        <v>Región de Coquimbo,violencia,intrafamiliar,VIF,casos,fiscalía,mujeres,hombres,año,regional,Agencia Información,Mujeres,Violencia Intrafamiliar,Violencia Contra la Mujer</v>
      </c>
      <c r="S194" s="39" t="str">
        <f>HYPERLINK("https://analytics.zoho.com/open-view/2395394000007782059?ZOHO_CRITERIA=%22Trasposicion_27.4%22.%22Cod_Regi%C3%B3n%22%3D"&amp;Agencia[[#This Row],[Filtro URL]])</f>
        <v>https://analytics.zoho.com/open-view/2395394000007782059?ZOHO_CRITERIA=%22Trasposicion_27.4%22.%22Cod_Regi%C3%B3n%22%3D4</v>
      </c>
      <c r="T194" s="108" t="str">
        <f>"100-R-"&amp;Agencia[[#This Row],[Filtro URL]]</f>
        <v>100-R-4</v>
      </c>
      <c r="U194" s="46" t="str">
        <f t="shared" si="92"/>
        <v>#1774B9</v>
      </c>
      <c r="V194" s="93" t="str">
        <f>+Agencia[[#This Row],[idcoleccion]]&amp;"-"&amp;Agencia[[#This Row],[id]]</f>
        <v>990-0183</v>
      </c>
      <c r="W194" s="93">
        <f>+VLOOKUP(Agencia[[#This Row],[Filtro URL]],Estructura!$X$4:$Y$500,2,0)</f>
        <v>99200004</v>
      </c>
      <c r="X194" s="93" t="str">
        <f>+VLOOKUP(Agencia[[#This Row],[tema]],Estructura!$A$4:$C$500,3,0)</f>
        <v>T-1023</v>
      </c>
      <c r="Y194" s="93" t="str">
        <f>+VLOOKUP(Agencia[[#This Row],[contenido]],Estructura!$E$4:$G$500,3,0)</f>
        <v>C-996</v>
      </c>
      <c r="Z194" s="93" t="str">
        <f>+VLOOKUP(Agencia[[#This Row],[Filtro Integrado]],Estructura!$I$4:$K$500,3,0)</f>
        <v>FI-993</v>
      </c>
      <c r="AA194" s="93" t="str">
        <f>+VLOOKUP(Agencia[[#This Row],[Muestra]],Estructura!$M$4:$O$500,3,0)</f>
        <v>M-994</v>
      </c>
    </row>
    <row r="195" spans="1:27" ht="57.6" x14ac:dyDescent="0.3">
      <c r="A195" s="21" t="s">
        <v>614</v>
      </c>
      <c r="B195" s="23">
        <f t="shared" si="93"/>
        <v>990</v>
      </c>
      <c r="C195" s="24" t="str">
        <f t="shared" si="94"/>
        <v>Agencia Información</v>
      </c>
      <c r="D195" s="72" t="str">
        <f t="shared" si="95"/>
        <v>Mujeres</v>
      </c>
      <c r="E195" s="19">
        <v>5</v>
      </c>
      <c r="F195" s="10" t="s">
        <v>786</v>
      </c>
      <c r="G195" s="10" t="s">
        <v>1877</v>
      </c>
      <c r="H195" s="33" t="s">
        <v>16</v>
      </c>
      <c r="I195" s="34" t="s">
        <v>372</v>
      </c>
      <c r="J195" s="9" t="str">
        <f t="shared" si="84"/>
        <v>Ninguno</v>
      </c>
      <c r="K195" s="9" t="str">
        <f t="shared" si="85"/>
        <v>Casos de VIF por región</v>
      </c>
      <c r="L195" s="9" t="str">
        <f t="shared" si="86"/>
        <v>Periodo 2019-2021</v>
      </c>
      <c r="M195" s="9" t="str">
        <f t="shared" si="87"/>
        <v>Número de Casos</v>
      </c>
      <c r="N195" s="9" t="str">
        <f t="shared" si="88"/>
        <v>Fiscalía Nacional</v>
      </c>
      <c r="O195" s="20" t="str">
        <f>"Evolución trimestral de Casos de Violencia Intrafamiliar presentados frente a la Fiscalía Nacional en la "&amp;Agencia[[#This Row],[territorio]]</f>
        <v>Evolución trimestral de Casos de Violencia Intrafamiliar presentados frente a la Fiscalía Nacional en la Región de Valparaíso</v>
      </c>
      <c r="P195" s="112" t="s">
        <v>7220</v>
      </c>
      <c r="Q195" s="11" t="str">
        <f t="shared" si="81"/>
        <v>Gráfico de Evolución</v>
      </c>
      <c r="R195" s="148" t="str">
        <f>Agencia[[#This Row],[territorio]]&amp;",violencia,intrafamiliar,VIF,casos,fiscalía,mujeres,hombres,año,regional,"&amp;Agencia[[#This Row],[coleccion]]&amp;","&amp;Agencia[[#This Row],[sector]]&amp;","&amp;Agencia[[#This Row],[tema]]&amp;","&amp;Agencia[[#This Row],[contenido]]</f>
        <v>Región de Valparaíso,violencia,intrafamiliar,VIF,casos,fiscalía,mujeres,hombres,año,regional,Agencia Información,Mujeres,Violencia Intrafamiliar,Violencia Contra la Mujer</v>
      </c>
      <c r="S195" s="39" t="str">
        <f>HYPERLINK("https://analytics.zoho.com/open-view/2395394000007782059?ZOHO_CRITERIA=%22Trasposicion_27.4%22.%22Cod_Regi%C3%B3n%22%3D"&amp;Agencia[[#This Row],[Filtro URL]])</f>
        <v>https://analytics.zoho.com/open-view/2395394000007782059?ZOHO_CRITERIA=%22Trasposicion_27.4%22.%22Cod_Regi%C3%B3n%22%3D5</v>
      </c>
      <c r="T195" s="108" t="str">
        <f>"100-R-"&amp;Agencia[[#This Row],[Filtro URL]]</f>
        <v>100-R-5</v>
      </c>
      <c r="U195" s="46" t="str">
        <f t="shared" si="92"/>
        <v>#1774B9</v>
      </c>
      <c r="V195" s="93" t="str">
        <f>+Agencia[[#This Row],[idcoleccion]]&amp;"-"&amp;Agencia[[#This Row],[id]]</f>
        <v>990-0184</v>
      </c>
      <c r="W195" s="93">
        <f>+VLOOKUP(Agencia[[#This Row],[Filtro URL]],Estructura!$X$4:$Y$500,2,0)</f>
        <v>99200005</v>
      </c>
      <c r="X195" s="93" t="str">
        <f>+VLOOKUP(Agencia[[#This Row],[tema]],Estructura!$A$4:$C$500,3,0)</f>
        <v>T-1023</v>
      </c>
      <c r="Y195" s="93" t="str">
        <f>+VLOOKUP(Agencia[[#This Row],[contenido]],Estructura!$E$4:$G$500,3,0)</f>
        <v>C-996</v>
      </c>
      <c r="Z195" s="93" t="str">
        <f>+VLOOKUP(Agencia[[#This Row],[Filtro Integrado]],Estructura!$I$4:$K$500,3,0)</f>
        <v>FI-993</v>
      </c>
      <c r="AA195" s="93" t="str">
        <f>+VLOOKUP(Agencia[[#This Row],[Muestra]],Estructura!$M$4:$O$500,3,0)</f>
        <v>M-994</v>
      </c>
    </row>
    <row r="196" spans="1:27" ht="57.6" x14ac:dyDescent="0.3">
      <c r="A196" s="21" t="s">
        <v>615</v>
      </c>
      <c r="B196" s="23">
        <f t="shared" si="93"/>
        <v>990</v>
      </c>
      <c r="C196" s="24" t="str">
        <f t="shared" si="94"/>
        <v>Agencia Información</v>
      </c>
      <c r="D196" s="72" t="str">
        <f t="shared" si="95"/>
        <v>Mujeres</v>
      </c>
      <c r="E196" s="19">
        <v>6</v>
      </c>
      <c r="F196" s="10" t="s">
        <v>786</v>
      </c>
      <c r="G196" s="10" t="s">
        <v>1877</v>
      </c>
      <c r="H196" s="33" t="s">
        <v>16</v>
      </c>
      <c r="I196" s="34" t="s">
        <v>373</v>
      </c>
      <c r="J196" s="9" t="str">
        <f t="shared" si="84"/>
        <v>Ninguno</v>
      </c>
      <c r="K196" s="9" t="str">
        <f t="shared" si="85"/>
        <v>Casos de VIF por región</v>
      </c>
      <c r="L196" s="9" t="str">
        <f t="shared" si="86"/>
        <v>Periodo 2019-2021</v>
      </c>
      <c r="M196" s="9" t="str">
        <f t="shared" si="87"/>
        <v>Número de Casos</v>
      </c>
      <c r="N196" s="9" t="str">
        <f t="shared" si="88"/>
        <v>Fiscalía Nacional</v>
      </c>
      <c r="O196" s="20" t="str">
        <f>"Evolución trimestral de Casos de Violencia Intrafamiliar presentados frente a la Fiscalía Nacional en la "&amp;Agencia[[#This Row],[territorio]]</f>
        <v>Evolución trimestral de Casos de Violencia Intrafamiliar presentados frente a la Fiscalía Nacional en la Región de O'Higgins</v>
      </c>
      <c r="P196" s="112" t="s">
        <v>7221</v>
      </c>
      <c r="Q196" s="11" t="str">
        <f t="shared" si="81"/>
        <v>Gráfico de Evolución</v>
      </c>
      <c r="R196" s="148" t="str">
        <f>Agencia[[#This Row],[territorio]]&amp;",violencia,intrafamiliar,VIF,casos,fiscalía,mujeres,hombres,año,regional,"&amp;Agencia[[#This Row],[coleccion]]&amp;","&amp;Agencia[[#This Row],[sector]]&amp;","&amp;Agencia[[#This Row],[tema]]&amp;","&amp;Agencia[[#This Row],[contenido]]</f>
        <v>Región de O'Higgins,violencia,intrafamiliar,VIF,casos,fiscalía,mujeres,hombres,año,regional,Agencia Información,Mujeres,Violencia Intrafamiliar,Violencia Contra la Mujer</v>
      </c>
      <c r="S196" s="39" t="str">
        <f>HYPERLINK("https://analytics.zoho.com/open-view/2395394000007782059?ZOHO_CRITERIA=%22Trasposicion_27.4%22.%22Cod_Regi%C3%B3n%22%3D"&amp;Agencia[[#This Row],[Filtro URL]])</f>
        <v>https://analytics.zoho.com/open-view/2395394000007782059?ZOHO_CRITERIA=%22Trasposicion_27.4%22.%22Cod_Regi%C3%B3n%22%3D6</v>
      </c>
      <c r="T196" s="108" t="str">
        <f>"100-R-"&amp;Agencia[[#This Row],[Filtro URL]]</f>
        <v>100-R-6</v>
      </c>
      <c r="U196" s="46" t="str">
        <f t="shared" si="92"/>
        <v>#1774B9</v>
      </c>
      <c r="V196" s="93" t="str">
        <f>+Agencia[[#This Row],[idcoleccion]]&amp;"-"&amp;Agencia[[#This Row],[id]]</f>
        <v>990-0185</v>
      </c>
      <c r="W196" s="93">
        <f>+VLOOKUP(Agencia[[#This Row],[Filtro URL]],Estructura!$X$4:$Y$500,2,0)</f>
        <v>99200006</v>
      </c>
      <c r="X196" s="93" t="str">
        <f>+VLOOKUP(Agencia[[#This Row],[tema]],Estructura!$A$4:$C$500,3,0)</f>
        <v>T-1023</v>
      </c>
      <c r="Y196" s="93" t="str">
        <f>+VLOOKUP(Agencia[[#This Row],[contenido]],Estructura!$E$4:$G$500,3,0)</f>
        <v>C-996</v>
      </c>
      <c r="Z196" s="93" t="str">
        <f>+VLOOKUP(Agencia[[#This Row],[Filtro Integrado]],Estructura!$I$4:$K$500,3,0)</f>
        <v>FI-993</v>
      </c>
      <c r="AA196" s="93" t="str">
        <f>+VLOOKUP(Agencia[[#This Row],[Muestra]],Estructura!$M$4:$O$500,3,0)</f>
        <v>M-994</v>
      </c>
    </row>
    <row r="197" spans="1:27" ht="57.6" x14ac:dyDescent="0.3">
      <c r="A197" s="21" t="s">
        <v>616</v>
      </c>
      <c r="B197" s="23">
        <f t="shared" si="93"/>
        <v>990</v>
      </c>
      <c r="C197" s="24" t="str">
        <f t="shared" si="94"/>
        <v>Agencia Información</v>
      </c>
      <c r="D197" s="72" t="str">
        <f t="shared" si="95"/>
        <v>Mujeres</v>
      </c>
      <c r="E197" s="19">
        <v>7</v>
      </c>
      <c r="F197" s="10" t="s">
        <v>786</v>
      </c>
      <c r="G197" s="10" t="s">
        <v>1877</v>
      </c>
      <c r="H197" s="33" t="s">
        <v>16</v>
      </c>
      <c r="I197" s="34" t="s">
        <v>374</v>
      </c>
      <c r="J197" s="9" t="str">
        <f t="shared" si="84"/>
        <v>Ninguno</v>
      </c>
      <c r="K197" s="9" t="str">
        <f t="shared" si="85"/>
        <v>Casos de VIF por región</v>
      </c>
      <c r="L197" s="9" t="str">
        <f t="shared" si="86"/>
        <v>Periodo 2019-2021</v>
      </c>
      <c r="M197" s="9" t="str">
        <f t="shared" si="87"/>
        <v>Número de Casos</v>
      </c>
      <c r="N197" s="9" t="str">
        <f t="shared" si="88"/>
        <v>Fiscalía Nacional</v>
      </c>
      <c r="O197" s="20" t="str">
        <f>"Evolución trimestral de Casos de Violencia Intrafamiliar presentados frente a la Fiscalía Nacional en la "&amp;Agencia[[#This Row],[territorio]]</f>
        <v>Evolución trimestral de Casos de Violencia Intrafamiliar presentados frente a la Fiscalía Nacional en la Región de Maule</v>
      </c>
      <c r="P197" s="112" t="s">
        <v>7222</v>
      </c>
      <c r="Q197" s="11" t="str">
        <f t="shared" si="81"/>
        <v>Gráfico de Evolución</v>
      </c>
      <c r="R197" s="148" t="str">
        <f>Agencia[[#This Row],[territorio]]&amp;",violencia,intrafamiliar,VIF,casos,fiscalía,mujeres,hombres,año,regional,"&amp;Agencia[[#This Row],[coleccion]]&amp;","&amp;Agencia[[#This Row],[sector]]&amp;","&amp;Agencia[[#This Row],[tema]]&amp;","&amp;Agencia[[#This Row],[contenido]]</f>
        <v>Región de Maule,violencia,intrafamiliar,VIF,casos,fiscalía,mujeres,hombres,año,regional,Agencia Información,Mujeres,Violencia Intrafamiliar,Violencia Contra la Mujer</v>
      </c>
      <c r="S197" s="39" t="str">
        <f>HYPERLINK("https://analytics.zoho.com/open-view/2395394000007782059?ZOHO_CRITERIA=%22Trasposicion_27.4%22.%22Cod_Regi%C3%B3n%22%3D"&amp;Agencia[[#This Row],[Filtro URL]])</f>
        <v>https://analytics.zoho.com/open-view/2395394000007782059?ZOHO_CRITERIA=%22Trasposicion_27.4%22.%22Cod_Regi%C3%B3n%22%3D7</v>
      </c>
      <c r="T197" s="108" t="str">
        <f>"100-R-"&amp;Agencia[[#This Row],[Filtro URL]]</f>
        <v>100-R-7</v>
      </c>
      <c r="U197" s="46" t="str">
        <f t="shared" si="92"/>
        <v>#1774B9</v>
      </c>
      <c r="V197" s="93" t="str">
        <f>+Agencia[[#This Row],[idcoleccion]]&amp;"-"&amp;Agencia[[#This Row],[id]]</f>
        <v>990-0186</v>
      </c>
      <c r="W197" s="93">
        <f>+VLOOKUP(Agencia[[#This Row],[Filtro URL]],Estructura!$X$4:$Y$500,2,0)</f>
        <v>99200007</v>
      </c>
      <c r="X197" s="93" t="str">
        <f>+VLOOKUP(Agencia[[#This Row],[tema]],Estructura!$A$4:$C$500,3,0)</f>
        <v>T-1023</v>
      </c>
      <c r="Y197" s="93" t="str">
        <f>+VLOOKUP(Agencia[[#This Row],[contenido]],Estructura!$E$4:$G$500,3,0)</f>
        <v>C-996</v>
      </c>
      <c r="Z197" s="93" t="str">
        <f>+VLOOKUP(Agencia[[#This Row],[Filtro Integrado]],Estructura!$I$4:$K$500,3,0)</f>
        <v>FI-993</v>
      </c>
      <c r="AA197" s="93" t="str">
        <f>+VLOOKUP(Agencia[[#This Row],[Muestra]],Estructura!$M$4:$O$500,3,0)</f>
        <v>M-994</v>
      </c>
    </row>
    <row r="198" spans="1:27" ht="57.6" x14ac:dyDescent="0.3">
      <c r="A198" s="21" t="s">
        <v>617</v>
      </c>
      <c r="B198" s="23">
        <f t="shared" si="93"/>
        <v>990</v>
      </c>
      <c r="C198" s="24" t="str">
        <f t="shared" si="94"/>
        <v>Agencia Información</v>
      </c>
      <c r="D198" s="72" t="str">
        <f t="shared" si="95"/>
        <v>Mujeres</v>
      </c>
      <c r="E198" s="19">
        <v>8</v>
      </c>
      <c r="F198" s="10" t="s">
        <v>786</v>
      </c>
      <c r="G198" s="10" t="s">
        <v>1877</v>
      </c>
      <c r="H198" s="33" t="s">
        <v>16</v>
      </c>
      <c r="I198" s="34" t="s">
        <v>375</v>
      </c>
      <c r="J198" s="9" t="str">
        <f t="shared" si="84"/>
        <v>Ninguno</v>
      </c>
      <c r="K198" s="9" t="str">
        <f t="shared" si="85"/>
        <v>Casos de VIF por región</v>
      </c>
      <c r="L198" s="9" t="str">
        <f t="shared" si="86"/>
        <v>Periodo 2019-2021</v>
      </c>
      <c r="M198" s="9" t="str">
        <f t="shared" si="87"/>
        <v>Número de Casos</v>
      </c>
      <c r="N198" s="9" t="str">
        <f t="shared" si="88"/>
        <v>Fiscalía Nacional</v>
      </c>
      <c r="O198" s="20" t="str">
        <f>"Evolución trimestral de Casos de Violencia Intrafamiliar presentados frente a la Fiscalía Nacional en la "&amp;Agencia[[#This Row],[territorio]]</f>
        <v>Evolución trimestral de Casos de Violencia Intrafamiliar presentados frente a la Fiscalía Nacional en la Región del Biobío</v>
      </c>
      <c r="P198" s="112" t="s">
        <v>7223</v>
      </c>
      <c r="Q198" s="11" t="str">
        <f t="shared" si="81"/>
        <v>Gráfico de Evolución</v>
      </c>
      <c r="R198" s="148" t="str">
        <f>Agencia[[#This Row],[territorio]]&amp;",violencia,intrafamiliar,VIF,casos,fiscalía,mujeres,hombres,año,regional,"&amp;Agencia[[#This Row],[coleccion]]&amp;","&amp;Agencia[[#This Row],[sector]]&amp;","&amp;Agencia[[#This Row],[tema]]&amp;","&amp;Agencia[[#This Row],[contenido]]</f>
        <v>Región del Biobío,violencia,intrafamiliar,VIF,casos,fiscalía,mujeres,hombres,año,regional,Agencia Información,Mujeres,Violencia Intrafamiliar,Violencia Contra la Mujer</v>
      </c>
      <c r="S198" s="39" t="str">
        <f>HYPERLINK("https://analytics.zoho.com/open-view/2395394000007782059?ZOHO_CRITERIA=%22Trasposicion_27.4%22.%22Cod_Regi%C3%B3n%22%3D"&amp;Agencia[[#This Row],[Filtro URL]])</f>
        <v>https://analytics.zoho.com/open-view/2395394000007782059?ZOHO_CRITERIA=%22Trasposicion_27.4%22.%22Cod_Regi%C3%B3n%22%3D8</v>
      </c>
      <c r="T198" s="108" t="str">
        <f>"100-R-"&amp;Agencia[[#This Row],[Filtro URL]]</f>
        <v>100-R-8</v>
      </c>
      <c r="U198" s="46" t="str">
        <f t="shared" si="92"/>
        <v>#1774B9</v>
      </c>
      <c r="V198" s="93" t="str">
        <f>+Agencia[[#This Row],[idcoleccion]]&amp;"-"&amp;Agencia[[#This Row],[id]]</f>
        <v>990-0187</v>
      </c>
      <c r="W198" s="93">
        <f>+VLOOKUP(Agencia[[#This Row],[Filtro URL]],Estructura!$X$4:$Y$500,2,0)</f>
        <v>99200008</v>
      </c>
      <c r="X198" s="93" t="str">
        <f>+VLOOKUP(Agencia[[#This Row],[tema]],Estructura!$A$4:$C$500,3,0)</f>
        <v>T-1023</v>
      </c>
      <c r="Y198" s="93" t="str">
        <f>+VLOOKUP(Agencia[[#This Row],[contenido]],Estructura!$E$4:$G$500,3,0)</f>
        <v>C-996</v>
      </c>
      <c r="Z198" s="93" t="str">
        <f>+VLOOKUP(Agencia[[#This Row],[Filtro Integrado]],Estructura!$I$4:$K$500,3,0)</f>
        <v>FI-993</v>
      </c>
      <c r="AA198" s="93" t="str">
        <f>+VLOOKUP(Agencia[[#This Row],[Muestra]],Estructura!$M$4:$O$500,3,0)</f>
        <v>M-994</v>
      </c>
    </row>
    <row r="199" spans="1:27" ht="57.6" x14ac:dyDescent="0.3">
      <c r="A199" s="21" t="s">
        <v>618</v>
      </c>
      <c r="B199" s="23">
        <f t="shared" si="93"/>
        <v>990</v>
      </c>
      <c r="C199" s="24" t="str">
        <f t="shared" si="94"/>
        <v>Agencia Información</v>
      </c>
      <c r="D199" s="72" t="str">
        <f t="shared" si="95"/>
        <v>Mujeres</v>
      </c>
      <c r="E199" s="19">
        <v>9</v>
      </c>
      <c r="F199" s="10" t="s">
        <v>786</v>
      </c>
      <c r="G199" s="10" t="s">
        <v>1877</v>
      </c>
      <c r="H199" s="33" t="s">
        <v>16</v>
      </c>
      <c r="I199" s="34" t="s">
        <v>376</v>
      </c>
      <c r="J199" s="9" t="str">
        <f t="shared" si="84"/>
        <v>Ninguno</v>
      </c>
      <c r="K199" s="9" t="str">
        <f t="shared" si="85"/>
        <v>Casos de VIF por región</v>
      </c>
      <c r="L199" s="9" t="str">
        <f t="shared" si="86"/>
        <v>Periodo 2019-2021</v>
      </c>
      <c r="M199" s="9" t="str">
        <f t="shared" si="87"/>
        <v>Número de Casos</v>
      </c>
      <c r="N199" s="9" t="str">
        <f t="shared" si="88"/>
        <v>Fiscalía Nacional</v>
      </c>
      <c r="O199" s="20" t="str">
        <f>"Evolución trimestral de Casos de Violencia Intrafamiliar presentados frente a la Fiscalía Nacional en la "&amp;Agencia[[#This Row],[territorio]]</f>
        <v>Evolución trimestral de Casos de Violencia Intrafamiliar presentados frente a la Fiscalía Nacional en la Región de La Araucanía</v>
      </c>
      <c r="P199" s="112" t="s">
        <v>7224</v>
      </c>
      <c r="Q199" s="11" t="str">
        <f t="shared" si="81"/>
        <v>Gráfico de Evolución</v>
      </c>
      <c r="R199" s="148" t="str">
        <f>Agencia[[#This Row],[territorio]]&amp;",violencia,intrafamiliar,VIF,casos,fiscalía,mujeres,hombres,año,regional,"&amp;Agencia[[#This Row],[coleccion]]&amp;","&amp;Agencia[[#This Row],[sector]]&amp;","&amp;Agencia[[#This Row],[tema]]&amp;","&amp;Agencia[[#This Row],[contenido]]</f>
        <v>Región de La Araucanía,violencia,intrafamiliar,VIF,casos,fiscalía,mujeres,hombres,año,regional,Agencia Información,Mujeres,Violencia Intrafamiliar,Violencia Contra la Mujer</v>
      </c>
      <c r="S199" s="39" t="str">
        <f>HYPERLINK("https://analytics.zoho.com/open-view/2395394000007782059?ZOHO_CRITERIA=%22Trasposicion_27.4%22.%22Cod_Regi%C3%B3n%22%3D"&amp;Agencia[[#This Row],[Filtro URL]])</f>
        <v>https://analytics.zoho.com/open-view/2395394000007782059?ZOHO_CRITERIA=%22Trasposicion_27.4%22.%22Cod_Regi%C3%B3n%22%3D9</v>
      </c>
      <c r="T199" s="108" t="str">
        <f>"100-R-"&amp;Agencia[[#This Row],[Filtro URL]]</f>
        <v>100-R-9</v>
      </c>
      <c r="U199" s="46" t="str">
        <f t="shared" si="92"/>
        <v>#1774B9</v>
      </c>
      <c r="V199" s="93" t="str">
        <f>+Agencia[[#This Row],[idcoleccion]]&amp;"-"&amp;Agencia[[#This Row],[id]]</f>
        <v>990-0188</v>
      </c>
      <c r="W199" s="93">
        <f>+VLOOKUP(Agencia[[#This Row],[Filtro URL]],Estructura!$X$4:$Y$500,2,0)</f>
        <v>99200009</v>
      </c>
      <c r="X199" s="93" t="str">
        <f>+VLOOKUP(Agencia[[#This Row],[tema]],Estructura!$A$4:$C$500,3,0)</f>
        <v>T-1023</v>
      </c>
      <c r="Y199" s="93" t="str">
        <f>+VLOOKUP(Agencia[[#This Row],[contenido]],Estructura!$E$4:$G$500,3,0)</f>
        <v>C-996</v>
      </c>
      <c r="Z199" s="93" t="str">
        <f>+VLOOKUP(Agencia[[#This Row],[Filtro Integrado]],Estructura!$I$4:$K$500,3,0)</f>
        <v>FI-993</v>
      </c>
      <c r="AA199" s="93" t="str">
        <f>+VLOOKUP(Agencia[[#This Row],[Muestra]],Estructura!$M$4:$O$500,3,0)</f>
        <v>M-994</v>
      </c>
    </row>
    <row r="200" spans="1:27" ht="57.6" x14ac:dyDescent="0.3">
      <c r="A200" s="21" t="s">
        <v>619</v>
      </c>
      <c r="B200" s="23">
        <f t="shared" si="93"/>
        <v>990</v>
      </c>
      <c r="C200" s="24" t="str">
        <f t="shared" si="94"/>
        <v>Agencia Información</v>
      </c>
      <c r="D200" s="72" t="str">
        <f t="shared" si="95"/>
        <v>Mujeres</v>
      </c>
      <c r="E200" s="19">
        <v>10</v>
      </c>
      <c r="F200" s="10" t="s">
        <v>786</v>
      </c>
      <c r="G200" s="10" t="s">
        <v>1877</v>
      </c>
      <c r="H200" s="33" t="s">
        <v>16</v>
      </c>
      <c r="I200" s="34" t="s">
        <v>377</v>
      </c>
      <c r="J200" s="9" t="str">
        <f t="shared" si="84"/>
        <v>Ninguno</v>
      </c>
      <c r="K200" s="9" t="str">
        <f t="shared" si="85"/>
        <v>Casos de VIF por región</v>
      </c>
      <c r="L200" s="9" t="str">
        <f t="shared" si="86"/>
        <v>Periodo 2019-2021</v>
      </c>
      <c r="M200" s="9" t="str">
        <f t="shared" si="87"/>
        <v>Número de Casos</v>
      </c>
      <c r="N200" s="9" t="str">
        <f t="shared" si="88"/>
        <v>Fiscalía Nacional</v>
      </c>
      <c r="O200" s="20" t="str">
        <f>"Evolución trimestral de Casos de Violencia Intrafamiliar presentados frente a la Fiscalía Nacional en la "&amp;Agencia[[#This Row],[territorio]]</f>
        <v>Evolución trimestral de Casos de Violencia Intrafamiliar presentados frente a la Fiscalía Nacional en la Región de Los Lagos</v>
      </c>
      <c r="P200" s="112" t="s">
        <v>7225</v>
      </c>
      <c r="Q200" s="11" t="str">
        <f t="shared" si="81"/>
        <v>Gráfico de Evolución</v>
      </c>
      <c r="R200" s="148" t="str">
        <f>Agencia[[#This Row],[territorio]]&amp;",violencia,intrafamiliar,VIF,casos,fiscalía,mujeres,hombres,año,regional,"&amp;Agencia[[#This Row],[coleccion]]&amp;","&amp;Agencia[[#This Row],[sector]]&amp;","&amp;Agencia[[#This Row],[tema]]&amp;","&amp;Agencia[[#This Row],[contenido]]</f>
        <v>Región de Los Lagos,violencia,intrafamiliar,VIF,casos,fiscalía,mujeres,hombres,año,regional,Agencia Información,Mujeres,Violencia Intrafamiliar,Violencia Contra la Mujer</v>
      </c>
      <c r="S200" s="39" t="str">
        <f>HYPERLINK("https://analytics.zoho.com/open-view/2395394000007782059?ZOHO_CRITERIA=%22Trasposicion_27.4%22.%22Cod_Regi%C3%B3n%22%3D"&amp;Agencia[[#This Row],[Filtro URL]])</f>
        <v>https://analytics.zoho.com/open-view/2395394000007782059?ZOHO_CRITERIA=%22Trasposicion_27.4%22.%22Cod_Regi%C3%B3n%22%3D10</v>
      </c>
      <c r="T200" s="108" t="str">
        <f>"100-R-"&amp;Agencia[[#This Row],[Filtro URL]]</f>
        <v>100-R-10</v>
      </c>
      <c r="U200" s="46" t="str">
        <f t="shared" si="92"/>
        <v>#1774B9</v>
      </c>
      <c r="V200" s="93" t="str">
        <f>+Agencia[[#This Row],[idcoleccion]]&amp;"-"&amp;Agencia[[#This Row],[id]]</f>
        <v>990-0189</v>
      </c>
      <c r="W200" s="93">
        <f>+VLOOKUP(Agencia[[#This Row],[Filtro URL]],Estructura!$X$4:$Y$500,2,0)</f>
        <v>99200010</v>
      </c>
      <c r="X200" s="93" t="str">
        <f>+VLOOKUP(Agencia[[#This Row],[tema]],Estructura!$A$4:$C$500,3,0)</f>
        <v>T-1023</v>
      </c>
      <c r="Y200" s="93" t="str">
        <f>+VLOOKUP(Agencia[[#This Row],[contenido]],Estructura!$E$4:$G$500,3,0)</f>
        <v>C-996</v>
      </c>
      <c r="Z200" s="93" t="str">
        <f>+VLOOKUP(Agencia[[#This Row],[Filtro Integrado]],Estructura!$I$4:$K$500,3,0)</f>
        <v>FI-993</v>
      </c>
      <c r="AA200" s="93" t="str">
        <f>+VLOOKUP(Agencia[[#This Row],[Muestra]],Estructura!$M$4:$O$500,3,0)</f>
        <v>M-994</v>
      </c>
    </row>
    <row r="201" spans="1:27" ht="57.6" x14ac:dyDescent="0.3">
      <c r="A201" s="21" t="s">
        <v>620</v>
      </c>
      <c r="B201" s="23">
        <f t="shared" si="93"/>
        <v>990</v>
      </c>
      <c r="C201" s="24" t="str">
        <f t="shared" si="94"/>
        <v>Agencia Información</v>
      </c>
      <c r="D201" s="72" t="str">
        <f t="shared" si="95"/>
        <v>Mujeres</v>
      </c>
      <c r="E201" s="19">
        <v>11</v>
      </c>
      <c r="F201" s="10" t="s">
        <v>786</v>
      </c>
      <c r="G201" s="10" t="s">
        <v>1877</v>
      </c>
      <c r="H201" s="33" t="s">
        <v>16</v>
      </c>
      <c r="I201" s="34" t="s">
        <v>378</v>
      </c>
      <c r="J201" s="9" t="str">
        <f t="shared" si="84"/>
        <v>Ninguno</v>
      </c>
      <c r="K201" s="9" t="str">
        <f t="shared" si="85"/>
        <v>Casos de VIF por región</v>
      </c>
      <c r="L201" s="9" t="str">
        <f t="shared" si="86"/>
        <v>Periodo 2019-2021</v>
      </c>
      <c r="M201" s="9" t="str">
        <f t="shared" si="87"/>
        <v>Número de Casos</v>
      </c>
      <c r="N201" s="9" t="str">
        <f t="shared" si="88"/>
        <v>Fiscalía Nacional</v>
      </c>
      <c r="O201" s="20" t="str">
        <f>"Evolución trimestral de Casos de Violencia Intrafamiliar presentados frente a la Fiscalía Nacional en la "&amp;Agencia[[#This Row],[territorio]]</f>
        <v>Evolución trimestral de Casos de Violencia Intrafamiliar presentados frente a la Fiscalía Nacional en la Región de Aysén</v>
      </c>
      <c r="P201" s="112" t="s">
        <v>7226</v>
      </c>
      <c r="Q201" s="11" t="str">
        <f t="shared" si="81"/>
        <v>Gráfico de Evolución</v>
      </c>
      <c r="R201" s="148" t="str">
        <f>Agencia[[#This Row],[territorio]]&amp;",violencia,intrafamiliar,VIF,casos,fiscalía,mujeres,hombres,año,regional,"&amp;Agencia[[#This Row],[coleccion]]&amp;","&amp;Agencia[[#This Row],[sector]]&amp;","&amp;Agencia[[#This Row],[tema]]&amp;","&amp;Agencia[[#This Row],[contenido]]</f>
        <v>Región de Aysén,violencia,intrafamiliar,VIF,casos,fiscalía,mujeres,hombres,año,regional,Agencia Información,Mujeres,Violencia Intrafamiliar,Violencia Contra la Mujer</v>
      </c>
      <c r="S201" s="39" t="str">
        <f>HYPERLINK("https://analytics.zoho.com/open-view/2395394000007782059?ZOHO_CRITERIA=%22Trasposicion_27.4%22.%22Cod_Regi%C3%B3n%22%3D"&amp;Agencia[[#This Row],[Filtro URL]])</f>
        <v>https://analytics.zoho.com/open-view/2395394000007782059?ZOHO_CRITERIA=%22Trasposicion_27.4%22.%22Cod_Regi%C3%B3n%22%3D11</v>
      </c>
      <c r="T201" s="108" t="str">
        <f>"100-R-"&amp;Agencia[[#This Row],[Filtro URL]]</f>
        <v>100-R-11</v>
      </c>
      <c r="U201" s="46" t="str">
        <f t="shared" si="92"/>
        <v>#1774B9</v>
      </c>
      <c r="V201" s="93" t="str">
        <f>+Agencia[[#This Row],[idcoleccion]]&amp;"-"&amp;Agencia[[#This Row],[id]]</f>
        <v>990-0190</v>
      </c>
      <c r="W201" s="93">
        <f>+VLOOKUP(Agencia[[#This Row],[Filtro URL]],Estructura!$X$4:$Y$500,2,0)</f>
        <v>99200011</v>
      </c>
      <c r="X201" s="93" t="str">
        <f>+VLOOKUP(Agencia[[#This Row],[tema]],Estructura!$A$4:$C$500,3,0)</f>
        <v>T-1023</v>
      </c>
      <c r="Y201" s="93" t="str">
        <f>+VLOOKUP(Agencia[[#This Row],[contenido]],Estructura!$E$4:$G$500,3,0)</f>
        <v>C-996</v>
      </c>
      <c r="Z201" s="93" t="str">
        <f>+VLOOKUP(Agencia[[#This Row],[Filtro Integrado]],Estructura!$I$4:$K$500,3,0)</f>
        <v>FI-993</v>
      </c>
      <c r="AA201" s="93" t="str">
        <f>+VLOOKUP(Agencia[[#This Row],[Muestra]],Estructura!$M$4:$O$500,3,0)</f>
        <v>M-994</v>
      </c>
    </row>
    <row r="202" spans="1:27" ht="57.6" x14ac:dyDescent="0.3">
      <c r="A202" s="21" t="s">
        <v>621</v>
      </c>
      <c r="B202" s="23">
        <f t="shared" si="93"/>
        <v>990</v>
      </c>
      <c r="C202" s="24" t="str">
        <f t="shared" si="94"/>
        <v>Agencia Información</v>
      </c>
      <c r="D202" s="72" t="str">
        <f t="shared" si="95"/>
        <v>Mujeres</v>
      </c>
      <c r="E202" s="19">
        <v>12</v>
      </c>
      <c r="F202" s="10" t="s">
        <v>786</v>
      </c>
      <c r="G202" s="10" t="s">
        <v>1877</v>
      </c>
      <c r="H202" s="33" t="s">
        <v>16</v>
      </c>
      <c r="I202" s="34" t="s">
        <v>379</v>
      </c>
      <c r="J202" s="9" t="str">
        <f t="shared" si="84"/>
        <v>Ninguno</v>
      </c>
      <c r="K202" s="9" t="str">
        <f t="shared" si="85"/>
        <v>Casos de VIF por región</v>
      </c>
      <c r="L202" s="9" t="str">
        <f t="shared" si="86"/>
        <v>Periodo 2019-2021</v>
      </c>
      <c r="M202" s="9" t="str">
        <f t="shared" si="87"/>
        <v>Número de Casos</v>
      </c>
      <c r="N202" s="9" t="str">
        <f t="shared" si="88"/>
        <v>Fiscalía Nacional</v>
      </c>
      <c r="O202" s="20" t="str">
        <f>"Evolución trimestral de Casos de Violencia Intrafamiliar presentados frente a la Fiscalía Nacional en la "&amp;Agencia[[#This Row],[territorio]]</f>
        <v>Evolución trimestral de Casos de Violencia Intrafamiliar presentados frente a la Fiscalía Nacional en la Región de Magallanes</v>
      </c>
      <c r="P202" s="112" t="s">
        <v>7227</v>
      </c>
      <c r="Q202" s="11" t="str">
        <f t="shared" si="81"/>
        <v>Gráfico de Evolución</v>
      </c>
      <c r="R202" s="148" t="str">
        <f>Agencia[[#This Row],[territorio]]&amp;",violencia,intrafamiliar,VIF,casos,fiscalía,mujeres,hombres,año,regional,"&amp;Agencia[[#This Row],[coleccion]]&amp;","&amp;Agencia[[#This Row],[sector]]&amp;","&amp;Agencia[[#This Row],[tema]]&amp;","&amp;Agencia[[#This Row],[contenido]]</f>
        <v>Región de Magallanes,violencia,intrafamiliar,VIF,casos,fiscalía,mujeres,hombres,año,regional,Agencia Información,Mujeres,Violencia Intrafamiliar,Violencia Contra la Mujer</v>
      </c>
      <c r="S202" s="39" t="str">
        <f>HYPERLINK("https://analytics.zoho.com/open-view/2395394000007782059?ZOHO_CRITERIA=%22Trasposicion_27.4%22.%22Cod_Regi%C3%B3n%22%3D"&amp;Agencia[[#This Row],[Filtro URL]])</f>
        <v>https://analytics.zoho.com/open-view/2395394000007782059?ZOHO_CRITERIA=%22Trasposicion_27.4%22.%22Cod_Regi%C3%B3n%22%3D12</v>
      </c>
      <c r="T202" s="108" t="str">
        <f>"100-R-"&amp;Agencia[[#This Row],[Filtro URL]]</f>
        <v>100-R-12</v>
      </c>
      <c r="U202" s="46" t="str">
        <f t="shared" si="92"/>
        <v>#1774B9</v>
      </c>
      <c r="V202" s="93" t="str">
        <f>+Agencia[[#This Row],[idcoleccion]]&amp;"-"&amp;Agencia[[#This Row],[id]]</f>
        <v>990-0191</v>
      </c>
      <c r="W202" s="93">
        <f>+VLOOKUP(Agencia[[#This Row],[Filtro URL]],Estructura!$X$4:$Y$500,2,0)</f>
        <v>99200012</v>
      </c>
      <c r="X202" s="93" t="str">
        <f>+VLOOKUP(Agencia[[#This Row],[tema]],Estructura!$A$4:$C$500,3,0)</f>
        <v>T-1023</v>
      </c>
      <c r="Y202" s="93" t="str">
        <f>+VLOOKUP(Agencia[[#This Row],[contenido]],Estructura!$E$4:$G$500,3,0)</f>
        <v>C-996</v>
      </c>
      <c r="Z202" s="93" t="str">
        <f>+VLOOKUP(Agencia[[#This Row],[Filtro Integrado]],Estructura!$I$4:$K$500,3,0)</f>
        <v>FI-993</v>
      </c>
      <c r="AA202" s="93" t="str">
        <f>+VLOOKUP(Agencia[[#This Row],[Muestra]],Estructura!$M$4:$O$500,3,0)</f>
        <v>M-994</v>
      </c>
    </row>
    <row r="203" spans="1:27" ht="57.6" x14ac:dyDescent="0.3">
      <c r="A203" s="21" t="s">
        <v>622</v>
      </c>
      <c r="B203" s="23">
        <f t="shared" si="93"/>
        <v>990</v>
      </c>
      <c r="C203" s="24" t="str">
        <f t="shared" si="94"/>
        <v>Agencia Información</v>
      </c>
      <c r="D203" s="72" t="str">
        <f t="shared" si="95"/>
        <v>Mujeres</v>
      </c>
      <c r="E203" s="19">
        <v>13</v>
      </c>
      <c r="F203" s="10" t="s">
        <v>786</v>
      </c>
      <c r="G203" s="10" t="s">
        <v>1877</v>
      </c>
      <c r="H203" s="33" t="s">
        <v>16</v>
      </c>
      <c r="I203" s="34" t="s">
        <v>380</v>
      </c>
      <c r="J203" s="9" t="str">
        <f t="shared" si="84"/>
        <v>Ninguno</v>
      </c>
      <c r="K203" s="9" t="str">
        <f t="shared" si="85"/>
        <v>Casos de VIF por región</v>
      </c>
      <c r="L203" s="9" t="str">
        <f t="shared" si="86"/>
        <v>Periodo 2019-2021</v>
      </c>
      <c r="M203" s="9" t="str">
        <f t="shared" si="87"/>
        <v>Número de Casos</v>
      </c>
      <c r="N203" s="9" t="str">
        <f t="shared" si="88"/>
        <v>Fiscalía Nacional</v>
      </c>
      <c r="O203" s="20" t="str">
        <f>"Evolución trimestral de Casos de Violencia Intrafamiliar presentados frente a la Fiscalía Nacional en la "&amp;Agencia[[#This Row],[territorio]]</f>
        <v>Evolución trimestral de Casos de Violencia Intrafamiliar presentados frente a la Fiscalía Nacional en la Región Metropolitana</v>
      </c>
      <c r="P203" s="112" t="s">
        <v>7228</v>
      </c>
      <c r="Q203" s="11" t="str">
        <f t="shared" si="81"/>
        <v>Gráfico de Evolución</v>
      </c>
      <c r="R203" s="148" t="str">
        <f>Agencia[[#This Row],[territorio]]&amp;",violencia,intrafamiliar,VIF,casos,fiscalía,mujeres,hombres,año,regional,"&amp;Agencia[[#This Row],[coleccion]]&amp;","&amp;Agencia[[#This Row],[sector]]&amp;","&amp;Agencia[[#This Row],[tema]]&amp;","&amp;Agencia[[#This Row],[contenido]]</f>
        <v>Región Metropolitana,violencia,intrafamiliar,VIF,casos,fiscalía,mujeres,hombres,año,regional,Agencia Información,Mujeres,Violencia Intrafamiliar,Violencia Contra la Mujer</v>
      </c>
      <c r="S203" s="39" t="str">
        <f>HYPERLINK("https://analytics.zoho.com/open-view/2395394000007782059?ZOHO_CRITERIA=%22Trasposicion_27.4%22.%22Cod_Regi%C3%B3n%22%3D"&amp;Agencia[[#This Row],[Filtro URL]])</f>
        <v>https://analytics.zoho.com/open-view/2395394000007782059?ZOHO_CRITERIA=%22Trasposicion_27.4%22.%22Cod_Regi%C3%B3n%22%3D13</v>
      </c>
      <c r="T203" s="108" t="str">
        <f>"200-R-"&amp;Agencia[[#This Row],[Filtro URL]]</f>
        <v>200-R-13</v>
      </c>
      <c r="U203" s="46" t="str">
        <f t="shared" si="92"/>
        <v>#1774B9</v>
      </c>
      <c r="V203" s="93" t="str">
        <f>+Agencia[[#This Row],[idcoleccion]]&amp;"-"&amp;Agencia[[#This Row],[id]]</f>
        <v>990-0192</v>
      </c>
      <c r="W203" s="93">
        <f>+VLOOKUP(Agencia[[#This Row],[Filtro URL]],Estructura!$X$4:$Y$500,2,0)</f>
        <v>99200013</v>
      </c>
      <c r="X203" s="93" t="str">
        <f>+VLOOKUP(Agencia[[#This Row],[tema]],Estructura!$A$4:$C$500,3,0)</f>
        <v>T-1023</v>
      </c>
      <c r="Y203" s="93" t="str">
        <f>+VLOOKUP(Agencia[[#This Row],[contenido]],Estructura!$E$4:$G$500,3,0)</f>
        <v>C-996</v>
      </c>
      <c r="Z203" s="93" t="str">
        <f>+VLOOKUP(Agencia[[#This Row],[Filtro Integrado]],Estructura!$I$4:$K$500,3,0)</f>
        <v>FI-993</v>
      </c>
      <c r="AA203" s="93" t="str">
        <f>+VLOOKUP(Agencia[[#This Row],[Muestra]],Estructura!$M$4:$O$500,3,0)</f>
        <v>M-994</v>
      </c>
    </row>
    <row r="204" spans="1:27" ht="57.6" x14ac:dyDescent="0.3">
      <c r="A204" s="21" t="s">
        <v>623</v>
      </c>
      <c r="B204" s="23">
        <f t="shared" si="93"/>
        <v>990</v>
      </c>
      <c r="C204" s="24" t="str">
        <f t="shared" si="94"/>
        <v>Agencia Información</v>
      </c>
      <c r="D204" s="72" t="str">
        <f t="shared" si="95"/>
        <v>Mujeres</v>
      </c>
      <c r="E204" s="19">
        <v>14</v>
      </c>
      <c r="F204" s="10" t="s">
        <v>786</v>
      </c>
      <c r="G204" s="10" t="s">
        <v>1877</v>
      </c>
      <c r="H204" s="33" t="s">
        <v>16</v>
      </c>
      <c r="I204" s="34" t="s">
        <v>381</v>
      </c>
      <c r="J204" s="9" t="str">
        <f t="shared" si="84"/>
        <v>Ninguno</v>
      </c>
      <c r="K204" s="9" t="str">
        <f t="shared" si="85"/>
        <v>Casos de VIF por región</v>
      </c>
      <c r="L204" s="9" t="str">
        <f t="shared" si="86"/>
        <v>Periodo 2019-2021</v>
      </c>
      <c r="M204" s="9" t="str">
        <f t="shared" si="87"/>
        <v>Número de Casos</v>
      </c>
      <c r="N204" s="9" t="str">
        <f t="shared" si="88"/>
        <v>Fiscalía Nacional</v>
      </c>
      <c r="O204" s="20" t="str">
        <f>"Evolución trimestral de Casos de Violencia Intrafamiliar presentados frente a la Fiscalía Nacional en la "&amp;Agencia[[#This Row],[territorio]]</f>
        <v>Evolución trimestral de Casos de Violencia Intrafamiliar presentados frente a la Fiscalía Nacional en la Región de Los Ríos</v>
      </c>
      <c r="P204" s="112" t="s">
        <v>7229</v>
      </c>
      <c r="Q204" s="11" t="str">
        <f t="shared" si="81"/>
        <v>Gráfico de Evolución</v>
      </c>
      <c r="R204" s="148" t="str">
        <f>Agencia[[#This Row],[territorio]]&amp;",violencia,intrafamiliar,VIF,casos,fiscalía,mujeres,hombres,año,regional,"&amp;Agencia[[#This Row],[coleccion]]&amp;","&amp;Agencia[[#This Row],[sector]]&amp;","&amp;Agencia[[#This Row],[tema]]&amp;","&amp;Agencia[[#This Row],[contenido]]</f>
        <v>Región de Los Ríos,violencia,intrafamiliar,VIF,casos,fiscalía,mujeres,hombres,año,regional,Agencia Información,Mujeres,Violencia Intrafamiliar,Violencia Contra la Mujer</v>
      </c>
      <c r="S204" s="39" t="str">
        <f>HYPERLINK("https://analytics.zoho.com/open-view/2395394000007782059?ZOHO_CRITERIA=%22Trasposicion_27.4%22.%22Cod_Regi%C3%B3n%22%3D"&amp;Agencia[[#This Row],[Filtro URL]])</f>
        <v>https://analytics.zoho.com/open-view/2395394000007782059?ZOHO_CRITERIA=%22Trasposicion_27.4%22.%22Cod_Regi%C3%B3n%22%3D14</v>
      </c>
      <c r="T204" s="108" t="str">
        <f>"100-R-"&amp;Agencia[[#This Row],[Filtro URL]]</f>
        <v>100-R-14</v>
      </c>
      <c r="U204" s="46" t="str">
        <f t="shared" si="92"/>
        <v>#1774B9</v>
      </c>
      <c r="V204" s="93" t="str">
        <f>+Agencia[[#This Row],[idcoleccion]]&amp;"-"&amp;Agencia[[#This Row],[id]]</f>
        <v>990-0193</v>
      </c>
      <c r="W204" s="93">
        <f>+VLOOKUP(Agencia[[#This Row],[Filtro URL]],Estructura!$X$4:$Y$500,2,0)</f>
        <v>99200014</v>
      </c>
      <c r="X204" s="93" t="str">
        <f>+VLOOKUP(Agencia[[#This Row],[tema]],Estructura!$A$4:$C$500,3,0)</f>
        <v>T-1023</v>
      </c>
      <c r="Y204" s="93" t="str">
        <f>+VLOOKUP(Agencia[[#This Row],[contenido]],Estructura!$E$4:$G$500,3,0)</f>
        <v>C-996</v>
      </c>
      <c r="Z204" s="93" t="str">
        <f>+VLOOKUP(Agencia[[#This Row],[Filtro Integrado]],Estructura!$I$4:$K$500,3,0)</f>
        <v>FI-993</v>
      </c>
      <c r="AA204" s="93" t="str">
        <f>+VLOOKUP(Agencia[[#This Row],[Muestra]],Estructura!$M$4:$O$500,3,0)</f>
        <v>M-994</v>
      </c>
    </row>
    <row r="205" spans="1:27" ht="57.6" x14ac:dyDescent="0.3">
      <c r="A205" s="21" t="s">
        <v>624</v>
      </c>
      <c r="B205" s="23">
        <f t="shared" si="93"/>
        <v>990</v>
      </c>
      <c r="C205" s="24" t="str">
        <f t="shared" si="94"/>
        <v>Agencia Información</v>
      </c>
      <c r="D205" s="72" t="str">
        <f t="shared" si="95"/>
        <v>Mujeres</v>
      </c>
      <c r="E205" s="19">
        <v>15</v>
      </c>
      <c r="F205" s="10" t="s">
        <v>786</v>
      </c>
      <c r="G205" s="10" t="s">
        <v>1877</v>
      </c>
      <c r="H205" s="33" t="s">
        <v>16</v>
      </c>
      <c r="I205" s="34" t="s">
        <v>382</v>
      </c>
      <c r="J205" s="9" t="str">
        <f t="shared" si="84"/>
        <v>Ninguno</v>
      </c>
      <c r="K205" s="9" t="str">
        <f t="shared" si="85"/>
        <v>Casos de VIF por región</v>
      </c>
      <c r="L205" s="9" t="str">
        <f t="shared" si="86"/>
        <v>Periodo 2019-2021</v>
      </c>
      <c r="M205" s="9" t="str">
        <f t="shared" si="87"/>
        <v>Número de Casos</v>
      </c>
      <c r="N205" s="9" t="str">
        <f t="shared" si="88"/>
        <v>Fiscalía Nacional</v>
      </c>
      <c r="O205" s="20" t="str">
        <f>"Evolución trimestral de Casos de Violencia Intrafamiliar presentados frente a la Fiscalía Nacional en la "&amp;Agencia[[#This Row],[territorio]]</f>
        <v>Evolución trimestral de Casos de Violencia Intrafamiliar presentados frente a la Fiscalía Nacional en la Región de Arica y Parinacota</v>
      </c>
      <c r="P205" s="112" t="s">
        <v>7230</v>
      </c>
      <c r="Q205" s="11" t="str">
        <f t="shared" si="81"/>
        <v>Gráfico de Evolución</v>
      </c>
      <c r="R205" s="148" t="str">
        <f>Agencia[[#This Row],[territorio]]&amp;",violencia,intrafamiliar,VIF,casos,fiscalía,mujeres,hombres,año,regional,"&amp;Agencia[[#This Row],[coleccion]]&amp;","&amp;Agencia[[#This Row],[sector]]&amp;","&amp;Agencia[[#This Row],[tema]]&amp;","&amp;Agencia[[#This Row],[contenido]]</f>
        <v>Región de Arica y Parinacota,violencia,intrafamiliar,VIF,casos,fiscalía,mujeres,hombres,año,regional,Agencia Información,Mujeres,Violencia Intrafamiliar,Violencia Contra la Mujer</v>
      </c>
      <c r="S205" s="39" t="str">
        <f>HYPERLINK("https://analytics.zoho.com/open-view/2395394000007782059?ZOHO_CRITERIA=%22Trasposicion_27.4%22.%22Cod_Regi%C3%B3n%22%3D"&amp;Agencia[[#This Row],[Filtro URL]])</f>
        <v>https://analytics.zoho.com/open-view/2395394000007782059?ZOHO_CRITERIA=%22Trasposicion_27.4%22.%22Cod_Regi%C3%B3n%22%3D15</v>
      </c>
      <c r="T205" s="108" t="str">
        <f>"100-R-"&amp;Agencia[[#This Row],[Filtro URL]]</f>
        <v>100-R-15</v>
      </c>
      <c r="U205" s="46" t="str">
        <f t="shared" si="92"/>
        <v>#1774B9</v>
      </c>
      <c r="V205" s="93" t="str">
        <f>+Agencia[[#This Row],[idcoleccion]]&amp;"-"&amp;Agencia[[#This Row],[id]]</f>
        <v>990-0194</v>
      </c>
      <c r="W205" s="93">
        <f>+VLOOKUP(Agencia[[#This Row],[Filtro URL]],Estructura!$X$4:$Y$500,2,0)</f>
        <v>99200015</v>
      </c>
      <c r="X205" s="93" t="str">
        <f>+VLOOKUP(Agencia[[#This Row],[tema]],Estructura!$A$4:$C$500,3,0)</f>
        <v>T-1023</v>
      </c>
      <c r="Y205" s="93" t="str">
        <f>+VLOOKUP(Agencia[[#This Row],[contenido]],Estructura!$E$4:$G$500,3,0)</f>
        <v>C-996</v>
      </c>
      <c r="Z205" s="93" t="str">
        <f>+VLOOKUP(Agencia[[#This Row],[Filtro Integrado]],Estructura!$I$4:$K$500,3,0)</f>
        <v>FI-993</v>
      </c>
      <c r="AA205" s="93" t="str">
        <f>+VLOOKUP(Agencia[[#This Row],[Muestra]],Estructura!$M$4:$O$500,3,0)</f>
        <v>M-994</v>
      </c>
    </row>
    <row r="206" spans="1:27" ht="57.6" x14ac:dyDescent="0.3">
      <c r="A206" s="21" t="s">
        <v>625</v>
      </c>
      <c r="B206" s="23">
        <f t="shared" si="93"/>
        <v>990</v>
      </c>
      <c r="C206" s="24" t="str">
        <f t="shared" si="94"/>
        <v>Agencia Información</v>
      </c>
      <c r="D206" s="72" t="str">
        <f t="shared" si="95"/>
        <v>Mujeres</v>
      </c>
      <c r="E206" s="19">
        <v>16</v>
      </c>
      <c r="F206" s="10" t="s">
        <v>786</v>
      </c>
      <c r="G206" s="10" t="s">
        <v>1877</v>
      </c>
      <c r="H206" s="33" t="s">
        <v>16</v>
      </c>
      <c r="I206" s="34" t="s">
        <v>383</v>
      </c>
      <c r="J206" s="9" t="str">
        <f t="shared" si="84"/>
        <v>Ninguno</v>
      </c>
      <c r="K206" s="9" t="str">
        <f t="shared" si="85"/>
        <v>Casos de VIF por región</v>
      </c>
      <c r="L206" s="9" t="str">
        <f t="shared" si="86"/>
        <v>Periodo 2019-2021</v>
      </c>
      <c r="M206" s="9" t="str">
        <f t="shared" si="87"/>
        <v>Número de Casos</v>
      </c>
      <c r="N206" s="9" t="str">
        <f t="shared" si="88"/>
        <v>Fiscalía Nacional</v>
      </c>
      <c r="O206" s="20" t="str">
        <f>"Evolución trimestral de Casos de Violencia Intrafamiliar presentados frente a la Fiscalía Nacional en la "&amp;Agencia[[#This Row],[territorio]]</f>
        <v>Evolución trimestral de Casos de Violencia Intrafamiliar presentados frente a la Fiscalía Nacional en la Región de Ñuble</v>
      </c>
      <c r="P206" s="112" t="s">
        <v>7231</v>
      </c>
      <c r="Q206" s="11" t="str">
        <f t="shared" si="81"/>
        <v>Gráfico de Evolución</v>
      </c>
      <c r="R206" s="148" t="str">
        <f>Agencia[[#This Row],[territorio]]&amp;",violencia,intrafamiliar,VIF,casos,fiscalía,mujeres,hombres,año,regional,"&amp;Agencia[[#This Row],[coleccion]]&amp;","&amp;Agencia[[#This Row],[sector]]&amp;","&amp;Agencia[[#This Row],[tema]]&amp;","&amp;Agencia[[#This Row],[contenido]]</f>
        <v>Región de Ñuble,violencia,intrafamiliar,VIF,casos,fiscalía,mujeres,hombres,año,regional,Agencia Información,Mujeres,Violencia Intrafamiliar,Violencia Contra la Mujer</v>
      </c>
      <c r="S206" s="39" t="str">
        <f>HYPERLINK("https://analytics.zoho.com/open-view/2395394000007782059?ZOHO_CRITERIA=%22Trasposicion_27.4%22.%22Cod_Regi%C3%B3n%22%3D"&amp;Agencia[[#This Row],[Filtro URL]])</f>
        <v>https://analytics.zoho.com/open-view/2395394000007782059?ZOHO_CRITERIA=%22Trasposicion_27.4%22.%22Cod_Regi%C3%B3n%22%3D16</v>
      </c>
      <c r="T206" s="108" t="str">
        <f>"100-R-"&amp;Agencia[[#This Row],[Filtro URL]]</f>
        <v>100-R-16</v>
      </c>
      <c r="U206" s="46" t="str">
        <f t="shared" si="92"/>
        <v>#1774B9</v>
      </c>
      <c r="V206" s="93" t="str">
        <f>+Agencia[[#This Row],[idcoleccion]]&amp;"-"&amp;Agencia[[#This Row],[id]]</f>
        <v>990-0195</v>
      </c>
      <c r="W206" s="93">
        <f>+VLOOKUP(Agencia[[#This Row],[Filtro URL]],Estructura!$X$4:$Y$500,2,0)</f>
        <v>99200016</v>
      </c>
      <c r="X206" s="93" t="str">
        <f>+VLOOKUP(Agencia[[#This Row],[tema]],Estructura!$A$4:$C$500,3,0)</f>
        <v>T-1023</v>
      </c>
      <c r="Y206" s="93" t="str">
        <f>+VLOOKUP(Agencia[[#This Row],[contenido]],Estructura!$E$4:$G$500,3,0)</f>
        <v>C-996</v>
      </c>
      <c r="Z206" s="93" t="str">
        <f>+VLOOKUP(Agencia[[#This Row],[Filtro Integrado]],Estructura!$I$4:$K$500,3,0)</f>
        <v>FI-993</v>
      </c>
      <c r="AA206" s="93" t="str">
        <f>+VLOOKUP(Agencia[[#This Row],[Muestra]],Estructura!$M$4:$O$500,3,0)</f>
        <v>M-994</v>
      </c>
    </row>
    <row r="207" spans="1:27" ht="61.2" x14ac:dyDescent="0.3">
      <c r="A207" s="21" t="s">
        <v>626</v>
      </c>
      <c r="B207" s="23">
        <f t="shared" si="93"/>
        <v>990</v>
      </c>
      <c r="C207" s="24" t="str">
        <f t="shared" si="94"/>
        <v>Agencia Información</v>
      </c>
      <c r="D207" s="72" t="str">
        <f t="shared" si="95"/>
        <v>Mujeres</v>
      </c>
      <c r="E207" s="14">
        <v>0</v>
      </c>
      <c r="F207" s="10" t="s">
        <v>786</v>
      </c>
      <c r="G207" s="10" t="s">
        <v>1877</v>
      </c>
      <c r="H207" s="31" t="s">
        <v>20</v>
      </c>
      <c r="I207" s="32" t="s">
        <v>15</v>
      </c>
      <c r="J207" s="36" t="s">
        <v>16</v>
      </c>
      <c r="K207" s="9" t="s">
        <v>803</v>
      </c>
      <c r="L207" s="9" t="s">
        <v>570</v>
      </c>
      <c r="M207" s="9" t="s">
        <v>458</v>
      </c>
      <c r="N207" s="9" t="s">
        <v>456</v>
      </c>
      <c r="O207" s="20" t="str">
        <f>"Cantidad de Denuncias por Violencia Intrafamiliar hacia la mujer, acumuladas en el "&amp;L207</f>
        <v>Cantidad de Denuncias por Violencia Intrafamiliar hacia la mujer, acumuladas en el Periodo 2020-2021</v>
      </c>
      <c r="P207" s="112" t="s">
        <v>793</v>
      </c>
      <c r="Q207" s="11" t="s">
        <v>794</v>
      </c>
      <c r="R207" s="20" t="str">
        <f>Agencia[[#This Row],[territorio]]&amp;",comunal,VIF,violencia,intrafamiliar,denuncias,CEAD,mujer,"&amp;Agencia[[#This Row],[coleccion]]&amp;","&amp;Agencia[[#This Row],[sector]]&amp;","&amp;Agencia[[#This Row],[tema]]&amp;","&amp;Agencia[[#This Row],[contenido]]</f>
        <v>Chile,comunal,VIF,violencia,intrafamiliar,denuncias,CEAD,mujer,Agencia Información,Mujeres,Violencia Intrafamiliar,Violencia Contra la Mujer</v>
      </c>
      <c r="S207" s="39" t="s">
        <v>798</v>
      </c>
      <c r="T207" s="108" t="s">
        <v>957</v>
      </c>
      <c r="U207" s="46" t="str">
        <f t="shared" si="92"/>
        <v>#1774B9</v>
      </c>
      <c r="V207" s="93" t="str">
        <f>+Agencia[[#This Row],[idcoleccion]]&amp;"-"&amp;Agencia[[#This Row],[id]]</f>
        <v>990-0196</v>
      </c>
      <c r="W207" s="93">
        <f>+VLOOKUP(Agencia[[#This Row],[Filtro URL]],Estructura!$X$4:$Y$500,2,0)</f>
        <v>99100000</v>
      </c>
      <c r="X207" s="93" t="str">
        <f>+VLOOKUP(Agencia[[#This Row],[tema]],Estructura!$A$4:$C$500,3,0)</f>
        <v>T-1023</v>
      </c>
      <c r="Y207" s="93" t="str">
        <f>+VLOOKUP(Agencia[[#This Row],[contenido]],Estructura!$E$4:$G$500,3,0)</f>
        <v>C-996</v>
      </c>
      <c r="Z207" s="93" t="str">
        <f>+VLOOKUP(Agencia[[#This Row],[Filtro Integrado]],Estructura!$I$4:$K$500,3,0)</f>
        <v>FI-992</v>
      </c>
      <c r="AA207" s="93" t="str">
        <f>+VLOOKUP(Agencia[[#This Row],[Muestra]],Estructura!$M$4:$O$500,3,0)</f>
        <v>M-995</v>
      </c>
    </row>
    <row r="208" spans="1:27" ht="57.6" x14ac:dyDescent="0.3">
      <c r="A208" s="21" t="s">
        <v>627</v>
      </c>
      <c r="B208" s="23">
        <f t="shared" si="93"/>
        <v>990</v>
      </c>
      <c r="C208" s="24" t="str">
        <f t="shared" si="94"/>
        <v>Agencia Información</v>
      </c>
      <c r="D208" s="72" t="str">
        <f t="shared" si="95"/>
        <v>Mujeres</v>
      </c>
      <c r="E208" s="19">
        <v>1</v>
      </c>
      <c r="F208" s="10" t="s">
        <v>786</v>
      </c>
      <c r="G208" s="10" t="s">
        <v>1877</v>
      </c>
      <c r="H208" s="33" t="s">
        <v>16</v>
      </c>
      <c r="I208" s="34" t="s">
        <v>368</v>
      </c>
      <c r="J208" s="36" t="s">
        <v>403</v>
      </c>
      <c r="K208" s="9" t="str">
        <f t="shared" si="85"/>
        <v>Casos de VIF por comuna</v>
      </c>
      <c r="L208" s="9" t="str">
        <f t="shared" si="86"/>
        <v>Periodo 2020-2021</v>
      </c>
      <c r="M208" s="9" t="str">
        <f t="shared" si="87"/>
        <v>Número de Denuncias</v>
      </c>
      <c r="N208" s="9" t="str">
        <f>+N207</f>
        <v>Centro de Estudios y Análisis del Delito (CEAD) de la Subsecretaría de Prevención del Delito</v>
      </c>
      <c r="O208" s="20" t="str">
        <f>"Cantidad de Denuncias por Violencia Intrafamiliar hacia la mujer, en la "&amp;Agencia[[#This Row],[territorio]] &amp;", acumuladas en el "&amp;Agencia[[#This Row],[temporalidad]]</f>
        <v>Cantidad de Denuncias por Violencia Intrafamiliar hacia la mujer, en la Región de Tarapacá, acumuladas en el Periodo 2020-2021</v>
      </c>
      <c r="P208" s="112" t="s">
        <v>7232</v>
      </c>
      <c r="Q208" s="11" t="str">
        <f t="shared" si="81"/>
        <v>Mapa de calor</v>
      </c>
      <c r="R208" s="20" t="str">
        <f>Agencia[[#This Row],[territorio]]&amp;",comunal,VIF,violencia,intrafamiliar,denuncias,CEAD,mujer,"&amp;Agencia[[#This Row],[coleccion]]&amp;","&amp;Agencia[[#This Row],[sector]]&amp;","&amp;Agencia[[#This Row],[tema]]&amp;","&amp;Agencia[[#This Row],[contenido]]</f>
        <v>Región de Tarapacá,comunal,VIF,violencia,intrafamiliar,denuncias,CEAD,mujer,Agencia Información,Mujeres,Violencia Intrafamiliar,Violencia Contra la Mujer</v>
      </c>
      <c r="S208" s="39" t="str">
        <f>HYPERLINK("https://analytics.zoho.com/open-view/2395394000007782100?ZOHO_CRITERIA=%22Localiza%20CL%22.%22Codreg%22%3D"&amp;Agencia[[#This Row],[Filtro URL]])</f>
        <v>https://analytics.zoho.com/open-view/2395394000007782100?ZOHO_CRITERIA=%22Localiza%20CL%22.%22Codreg%22%3D1</v>
      </c>
      <c r="T208" s="111" t="str">
        <f>"100-C-"&amp;Agencia[[#This Row],[Filtro URL]]</f>
        <v>100-C-1</v>
      </c>
      <c r="U208" s="46" t="str">
        <f t="shared" ref="U208:U236" si="96">+U207</f>
        <v>#1774B9</v>
      </c>
      <c r="V208" s="93" t="str">
        <f>+Agencia[[#This Row],[idcoleccion]]&amp;"-"&amp;Agencia[[#This Row],[id]]</f>
        <v>990-0197</v>
      </c>
      <c r="W208" s="93">
        <f>+VLOOKUP(Agencia[[#This Row],[Filtro URL]],Estructura!$X$4:$Y$500,2,0)</f>
        <v>99200001</v>
      </c>
      <c r="X208" s="93" t="str">
        <f>+VLOOKUP(Agencia[[#This Row],[tema]],Estructura!$A$4:$C$500,3,0)</f>
        <v>T-1023</v>
      </c>
      <c r="Y208" s="93" t="str">
        <f>+VLOOKUP(Agencia[[#This Row],[contenido]],Estructura!$E$4:$G$500,3,0)</f>
        <v>C-996</v>
      </c>
      <c r="Z208" s="93" t="str">
        <f>+VLOOKUP(Agencia[[#This Row],[Filtro Integrado]],Estructura!$I$4:$K$500,3,0)</f>
        <v>FI-993</v>
      </c>
      <c r="AA208" s="93" t="str">
        <f>+VLOOKUP(Agencia[[#This Row],[Muestra]],Estructura!$M$4:$O$500,3,0)</f>
        <v>M-995</v>
      </c>
    </row>
    <row r="209" spans="1:27" ht="57.6" x14ac:dyDescent="0.3">
      <c r="A209" s="21" t="s">
        <v>628</v>
      </c>
      <c r="B209" s="23">
        <f t="shared" si="93"/>
        <v>990</v>
      </c>
      <c r="C209" s="24" t="str">
        <f t="shared" si="94"/>
        <v>Agencia Información</v>
      </c>
      <c r="D209" s="72" t="str">
        <f t="shared" si="95"/>
        <v>Mujeres</v>
      </c>
      <c r="E209" s="19">
        <v>2</v>
      </c>
      <c r="F209" s="10" t="s">
        <v>786</v>
      </c>
      <c r="G209" s="10" t="s">
        <v>1877</v>
      </c>
      <c r="H209" s="33" t="s">
        <v>16</v>
      </c>
      <c r="I209" s="34" t="s">
        <v>369</v>
      </c>
      <c r="J209" s="36" t="str">
        <f t="shared" si="84"/>
        <v>Ninguno</v>
      </c>
      <c r="K209" s="9" t="str">
        <f t="shared" si="85"/>
        <v>Casos de VIF por comuna</v>
      </c>
      <c r="L209" s="9" t="str">
        <f t="shared" si="86"/>
        <v>Periodo 2020-2021</v>
      </c>
      <c r="M209" s="9" t="str">
        <f t="shared" si="87"/>
        <v>Número de Denuncias</v>
      </c>
      <c r="N209" s="9" t="str">
        <f t="shared" si="88"/>
        <v>Centro de Estudios y Análisis del Delito (CEAD) de la Subsecretaría de Prevención del Delito</v>
      </c>
      <c r="O209" s="20" t="str">
        <f>"Sentencias Dictadas por delitos de Abuso Sexual en la "&amp;Agencia[[#This Row],[territorio]]&amp;" para el "&amp;Agencia[[#This Row],[temporalidad]]</f>
        <v>Sentencias Dictadas por delitos de Abuso Sexual en la Región de Antofagasta para el Periodo 2020-2021</v>
      </c>
      <c r="P209" s="112" t="s">
        <v>7233</v>
      </c>
      <c r="Q209" s="11" t="str">
        <f t="shared" si="81"/>
        <v>Mapa de calor</v>
      </c>
      <c r="R209" s="148" t="str">
        <f>Agencia[[#This Row],[territorio]]&amp;",comunal,VIF,violencia,intrafamiliar,denuncias,CEAD,mujer,"&amp;Agencia[[#This Row],[coleccion]]&amp;","&amp;Agencia[[#This Row],[sector]]&amp;","&amp;Agencia[[#This Row],[tema]]&amp;","&amp;Agencia[[#This Row],[contenido]]</f>
        <v>Región de Antofagasta,comunal,VIF,violencia,intrafamiliar,denuncias,CEAD,mujer,Agencia Información,Mujeres,Violencia Intrafamiliar,Violencia Contra la Mujer</v>
      </c>
      <c r="S209" s="39" t="str">
        <f>HYPERLINK("https://analytics.zoho.com/open-view/2395394000007782100?ZOHO_CRITERIA=%22Localiza%20CL%22.%22Codreg%22%3D"&amp;Agencia[[#This Row],[Filtro URL]])</f>
        <v>https://analytics.zoho.com/open-view/2395394000007782100?ZOHO_CRITERIA=%22Localiza%20CL%22.%22Codreg%22%3D2</v>
      </c>
      <c r="T209" s="111" t="str">
        <f>"100-C-"&amp;Agencia[[#This Row],[Filtro URL]]</f>
        <v>100-C-2</v>
      </c>
      <c r="U209" s="46" t="str">
        <f t="shared" si="96"/>
        <v>#1774B9</v>
      </c>
      <c r="V209" s="93" t="str">
        <f>+Agencia[[#This Row],[idcoleccion]]&amp;"-"&amp;Agencia[[#This Row],[id]]</f>
        <v>990-0198</v>
      </c>
      <c r="W209" s="93">
        <f>+VLOOKUP(Agencia[[#This Row],[Filtro URL]],Estructura!$X$4:$Y$500,2,0)</f>
        <v>99200002</v>
      </c>
      <c r="X209" s="93" t="str">
        <f>+VLOOKUP(Agencia[[#This Row],[tema]],Estructura!$A$4:$C$500,3,0)</f>
        <v>T-1023</v>
      </c>
      <c r="Y209" s="93" t="str">
        <f>+VLOOKUP(Agencia[[#This Row],[contenido]],Estructura!$E$4:$G$500,3,0)</f>
        <v>C-996</v>
      </c>
      <c r="Z209" s="93" t="str">
        <f>+VLOOKUP(Agencia[[#This Row],[Filtro Integrado]],Estructura!$I$4:$K$500,3,0)</f>
        <v>FI-993</v>
      </c>
      <c r="AA209" s="93" t="str">
        <f>+VLOOKUP(Agencia[[#This Row],[Muestra]],Estructura!$M$4:$O$500,3,0)</f>
        <v>M-995</v>
      </c>
    </row>
    <row r="210" spans="1:27" ht="57.6" x14ac:dyDescent="0.3">
      <c r="A210" s="21" t="s">
        <v>629</v>
      </c>
      <c r="B210" s="23">
        <f t="shared" si="93"/>
        <v>990</v>
      </c>
      <c r="C210" s="24" t="str">
        <f t="shared" si="94"/>
        <v>Agencia Información</v>
      </c>
      <c r="D210" s="72" t="str">
        <f t="shared" si="95"/>
        <v>Mujeres</v>
      </c>
      <c r="E210" s="19">
        <v>3</v>
      </c>
      <c r="F210" s="10" t="s">
        <v>786</v>
      </c>
      <c r="G210" s="10" t="s">
        <v>1877</v>
      </c>
      <c r="H210" s="33" t="s">
        <v>16</v>
      </c>
      <c r="I210" s="34" t="s">
        <v>370</v>
      </c>
      <c r="J210" s="36" t="str">
        <f t="shared" si="84"/>
        <v>Ninguno</v>
      </c>
      <c r="K210" s="9" t="str">
        <f t="shared" si="85"/>
        <v>Casos de VIF por comuna</v>
      </c>
      <c r="L210" s="9" t="str">
        <f t="shared" si="86"/>
        <v>Periodo 2020-2021</v>
      </c>
      <c r="M210" s="9" t="str">
        <f t="shared" si="87"/>
        <v>Número de Denuncias</v>
      </c>
      <c r="N210" s="9" t="str">
        <f t="shared" si="88"/>
        <v>Centro de Estudios y Análisis del Delito (CEAD) de la Subsecretaría de Prevención del Delito</v>
      </c>
      <c r="O210" s="20" t="str">
        <f>"Sentencias Dictadas por delitos de Abuso Sexual en la "&amp;Agencia[[#This Row],[territorio]]&amp;" para el "&amp;Agencia[[#This Row],[temporalidad]]</f>
        <v>Sentencias Dictadas por delitos de Abuso Sexual en la Región de Atacama para el Periodo 2020-2021</v>
      </c>
      <c r="P210" s="112" t="s">
        <v>7234</v>
      </c>
      <c r="Q210" s="11" t="str">
        <f t="shared" si="81"/>
        <v>Mapa de calor</v>
      </c>
      <c r="R210" s="148" t="str">
        <f>Agencia[[#This Row],[territorio]]&amp;",comunal,VIF,violencia,intrafamiliar,denuncias,CEAD,mujer,"&amp;Agencia[[#This Row],[coleccion]]&amp;","&amp;Agencia[[#This Row],[sector]]&amp;","&amp;Agencia[[#This Row],[tema]]&amp;","&amp;Agencia[[#This Row],[contenido]]</f>
        <v>Región de Atacama,comunal,VIF,violencia,intrafamiliar,denuncias,CEAD,mujer,Agencia Información,Mujeres,Violencia Intrafamiliar,Violencia Contra la Mujer</v>
      </c>
      <c r="S210" s="39" t="str">
        <f>HYPERLINK("https://analytics.zoho.com/open-view/2395394000007782100?ZOHO_CRITERIA=%22Localiza%20CL%22.%22Codreg%22%3D"&amp;Agencia[[#This Row],[Filtro URL]])</f>
        <v>https://analytics.zoho.com/open-view/2395394000007782100?ZOHO_CRITERIA=%22Localiza%20CL%22.%22Codreg%22%3D3</v>
      </c>
      <c r="T210" s="111" t="str">
        <f>"100-C-"&amp;Agencia[[#This Row],[Filtro URL]]</f>
        <v>100-C-3</v>
      </c>
      <c r="U210" s="46" t="str">
        <f t="shared" si="96"/>
        <v>#1774B9</v>
      </c>
      <c r="V210" s="93" t="str">
        <f>+Agencia[[#This Row],[idcoleccion]]&amp;"-"&amp;Agencia[[#This Row],[id]]</f>
        <v>990-0199</v>
      </c>
      <c r="W210" s="93">
        <f>+VLOOKUP(Agencia[[#This Row],[Filtro URL]],Estructura!$X$4:$Y$500,2,0)</f>
        <v>99200003</v>
      </c>
      <c r="X210" s="93" t="str">
        <f>+VLOOKUP(Agencia[[#This Row],[tema]],Estructura!$A$4:$C$500,3,0)</f>
        <v>T-1023</v>
      </c>
      <c r="Y210" s="93" t="str">
        <f>+VLOOKUP(Agencia[[#This Row],[contenido]],Estructura!$E$4:$G$500,3,0)</f>
        <v>C-996</v>
      </c>
      <c r="Z210" s="93" t="str">
        <f>+VLOOKUP(Agencia[[#This Row],[Filtro Integrado]],Estructura!$I$4:$K$500,3,0)</f>
        <v>FI-993</v>
      </c>
      <c r="AA210" s="93" t="str">
        <f>+VLOOKUP(Agencia[[#This Row],[Muestra]],Estructura!$M$4:$O$500,3,0)</f>
        <v>M-995</v>
      </c>
    </row>
    <row r="211" spans="1:27" ht="57.6" x14ac:dyDescent="0.3">
      <c r="A211" s="21" t="s">
        <v>630</v>
      </c>
      <c r="B211" s="23">
        <f t="shared" si="93"/>
        <v>990</v>
      </c>
      <c r="C211" s="24" t="str">
        <f t="shared" si="94"/>
        <v>Agencia Información</v>
      </c>
      <c r="D211" s="72" t="str">
        <f t="shared" si="95"/>
        <v>Mujeres</v>
      </c>
      <c r="E211" s="19">
        <v>4</v>
      </c>
      <c r="F211" s="10" t="s">
        <v>786</v>
      </c>
      <c r="G211" s="10" t="s">
        <v>1877</v>
      </c>
      <c r="H211" s="33" t="s">
        <v>16</v>
      </c>
      <c r="I211" s="34" t="s">
        <v>371</v>
      </c>
      <c r="J211" s="36" t="str">
        <f t="shared" si="84"/>
        <v>Ninguno</v>
      </c>
      <c r="K211" s="9" t="str">
        <f t="shared" si="85"/>
        <v>Casos de VIF por comuna</v>
      </c>
      <c r="L211" s="9" t="str">
        <f t="shared" si="86"/>
        <v>Periodo 2020-2021</v>
      </c>
      <c r="M211" s="9" t="str">
        <f t="shared" si="87"/>
        <v>Número de Denuncias</v>
      </c>
      <c r="N211" s="9" t="str">
        <f t="shared" si="88"/>
        <v>Centro de Estudios y Análisis del Delito (CEAD) de la Subsecretaría de Prevención del Delito</v>
      </c>
      <c r="O211" s="20" t="str">
        <f>"Sentencias Dictadas por delitos de Abuso Sexual en la "&amp;Agencia[[#This Row],[territorio]]&amp;" para el "&amp;Agencia[[#This Row],[temporalidad]]</f>
        <v>Sentencias Dictadas por delitos de Abuso Sexual en la Región de Coquimbo para el Periodo 2020-2021</v>
      </c>
      <c r="P211" s="112" t="s">
        <v>7235</v>
      </c>
      <c r="Q211" s="11" t="str">
        <f t="shared" si="81"/>
        <v>Mapa de calor</v>
      </c>
      <c r="R211" s="148" t="str">
        <f>Agencia[[#This Row],[territorio]]&amp;",comunal,VIF,violencia,intrafamiliar,denuncias,CEAD,mujer,"&amp;Agencia[[#This Row],[coleccion]]&amp;","&amp;Agencia[[#This Row],[sector]]&amp;","&amp;Agencia[[#This Row],[tema]]&amp;","&amp;Agencia[[#This Row],[contenido]]</f>
        <v>Región de Coquimbo,comunal,VIF,violencia,intrafamiliar,denuncias,CEAD,mujer,Agencia Información,Mujeres,Violencia Intrafamiliar,Violencia Contra la Mujer</v>
      </c>
      <c r="S211" s="39" t="str">
        <f>HYPERLINK("https://analytics.zoho.com/open-view/2395394000007782100?ZOHO_CRITERIA=%22Localiza%20CL%22.%22Codreg%22%3D"&amp;Agencia[[#This Row],[Filtro URL]])</f>
        <v>https://analytics.zoho.com/open-view/2395394000007782100?ZOHO_CRITERIA=%22Localiza%20CL%22.%22Codreg%22%3D4</v>
      </c>
      <c r="T211" s="111" t="str">
        <f>"100-C-"&amp;Agencia[[#This Row],[Filtro URL]]</f>
        <v>100-C-4</v>
      </c>
      <c r="U211" s="46" t="str">
        <f t="shared" si="96"/>
        <v>#1774B9</v>
      </c>
      <c r="V211" s="93" t="str">
        <f>+Agencia[[#This Row],[idcoleccion]]&amp;"-"&amp;Agencia[[#This Row],[id]]</f>
        <v>990-0200</v>
      </c>
      <c r="W211" s="93">
        <f>+VLOOKUP(Agencia[[#This Row],[Filtro URL]],Estructura!$X$4:$Y$500,2,0)</f>
        <v>99200004</v>
      </c>
      <c r="X211" s="93" t="str">
        <f>+VLOOKUP(Agencia[[#This Row],[tema]],Estructura!$A$4:$C$500,3,0)</f>
        <v>T-1023</v>
      </c>
      <c r="Y211" s="93" t="str">
        <f>+VLOOKUP(Agencia[[#This Row],[contenido]],Estructura!$E$4:$G$500,3,0)</f>
        <v>C-996</v>
      </c>
      <c r="Z211" s="93" t="str">
        <f>+VLOOKUP(Agencia[[#This Row],[Filtro Integrado]],Estructura!$I$4:$K$500,3,0)</f>
        <v>FI-993</v>
      </c>
      <c r="AA211" s="93" t="str">
        <f>+VLOOKUP(Agencia[[#This Row],[Muestra]],Estructura!$M$4:$O$500,3,0)</f>
        <v>M-995</v>
      </c>
    </row>
    <row r="212" spans="1:27" ht="57.6" x14ac:dyDescent="0.3">
      <c r="A212" s="21" t="s">
        <v>631</v>
      </c>
      <c r="B212" s="23">
        <f t="shared" si="93"/>
        <v>990</v>
      </c>
      <c r="C212" s="24" t="str">
        <f t="shared" si="94"/>
        <v>Agencia Información</v>
      </c>
      <c r="D212" s="72" t="str">
        <f t="shared" si="95"/>
        <v>Mujeres</v>
      </c>
      <c r="E212" s="19">
        <v>5</v>
      </c>
      <c r="F212" s="10" t="s">
        <v>786</v>
      </c>
      <c r="G212" s="10" t="s">
        <v>1877</v>
      </c>
      <c r="H212" s="33" t="s">
        <v>16</v>
      </c>
      <c r="I212" s="34" t="s">
        <v>372</v>
      </c>
      <c r="J212" s="36" t="str">
        <f t="shared" si="84"/>
        <v>Ninguno</v>
      </c>
      <c r="K212" s="9" t="str">
        <f t="shared" si="85"/>
        <v>Casos de VIF por comuna</v>
      </c>
      <c r="L212" s="9" t="str">
        <f t="shared" si="86"/>
        <v>Periodo 2020-2021</v>
      </c>
      <c r="M212" s="9" t="str">
        <f t="shared" si="87"/>
        <v>Número de Denuncias</v>
      </c>
      <c r="N212" s="9" t="str">
        <f t="shared" si="88"/>
        <v>Centro de Estudios y Análisis del Delito (CEAD) de la Subsecretaría de Prevención del Delito</v>
      </c>
      <c r="O212" s="20" t="str">
        <f>"Sentencias Dictadas por delitos de Abuso Sexual en la "&amp;Agencia[[#This Row],[territorio]]&amp;" para el "&amp;Agencia[[#This Row],[temporalidad]]</f>
        <v>Sentencias Dictadas por delitos de Abuso Sexual en la Región de Valparaíso para el Periodo 2020-2021</v>
      </c>
      <c r="P212" s="112" t="s">
        <v>7236</v>
      </c>
      <c r="Q212" s="11" t="str">
        <f t="shared" si="81"/>
        <v>Mapa de calor</v>
      </c>
      <c r="R212" s="148" t="str">
        <f>Agencia[[#This Row],[territorio]]&amp;",comunal,VIF,violencia,intrafamiliar,denuncias,CEAD,mujer,"&amp;Agencia[[#This Row],[coleccion]]&amp;","&amp;Agencia[[#This Row],[sector]]&amp;","&amp;Agencia[[#This Row],[tema]]&amp;","&amp;Agencia[[#This Row],[contenido]]</f>
        <v>Región de Valparaíso,comunal,VIF,violencia,intrafamiliar,denuncias,CEAD,mujer,Agencia Información,Mujeres,Violencia Intrafamiliar,Violencia Contra la Mujer</v>
      </c>
      <c r="S212" s="39" t="str">
        <f>HYPERLINK("https://analytics.zoho.com/open-view/2395394000007782100?ZOHO_CRITERIA=%22Localiza%20CL%22.%22Codreg%22%3D"&amp;Agencia[[#This Row],[Filtro URL]])</f>
        <v>https://analytics.zoho.com/open-view/2395394000007782100?ZOHO_CRITERIA=%22Localiza%20CL%22.%22Codreg%22%3D5</v>
      </c>
      <c r="T212" s="111" t="str">
        <f>"100-C-"&amp;Agencia[[#This Row],[Filtro URL]]</f>
        <v>100-C-5</v>
      </c>
      <c r="U212" s="46" t="str">
        <f t="shared" si="96"/>
        <v>#1774B9</v>
      </c>
      <c r="V212" s="93" t="str">
        <f>+Agencia[[#This Row],[idcoleccion]]&amp;"-"&amp;Agencia[[#This Row],[id]]</f>
        <v>990-0201</v>
      </c>
      <c r="W212" s="93">
        <f>+VLOOKUP(Agencia[[#This Row],[Filtro URL]],Estructura!$X$4:$Y$500,2,0)</f>
        <v>99200005</v>
      </c>
      <c r="X212" s="93" t="str">
        <f>+VLOOKUP(Agencia[[#This Row],[tema]],Estructura!$A$4:$C$500,3,0)</f>
        <v>T-1023</v>
      </c>
      <c r="Y212" s="93" t="str">
        <f>+VLOOKUP(Agencia[[#This Row],[contenido]],Estructura!$E$4:$G$500,3,0)</f>
        <v>C-996</v>
      </c>
      <c r="Z212" s="93" t="str">
        <f>+VLOOKUP(Agencia[[#This Row],[Filtro Integrado]],Estructura!$I$4:$K$500,3,0)</f>
        <v>FI-993</v>
      </c>
      <c r="AA212" s="93" t="str">
        <f>+VLOOKUP(Agencia[[#This Row],[Muestra]],Estructura!$M$4:$O$500,3,0)</f>
        <v>M-995</v>
      </c>
    </row>
    <row r="213" spans="1:27" ht="57.6" x14ac:dyDescent="0.3">
      <c r="A213" s="21" t="s">
        <v>632</v>
      </c>
      <c r="B213" s="23">
        <f t="shared" si="93"/>
        <v>990</v>
      </c>
      <c r="C213" s="24" t="str">
        <f t="shared" si="94"/>
        <v>Agencia Información</v>
      </c>
      <c r="D213" s="72" t="str">
        <f t="shared" si="95"/>
        <v>Mujeres</v>
      </c>
      <c r="E213" s="19">
        <v>6</v>
      </c>
      <c r="F213" s="10" t="s">
        <v>786</v>
      </c>
      <c r="G213" s="10" t="s">
        <v>1877</v>
      </c>
      <c r="H213" s="33" t="s">
        <v>16</v>
      </c>
      <c r="I213" s="34" t="s">
        <v>373</v>
      </c>
      <c r="J213" s="36" t="str">
        <f t="shared" si="84"/>
        <v>Ninguno</v>
      </c>
      <c r="K213" s="9" t="str">
        <f t="shared" si="85"/>
        <v>Casos de VIF por comuna</v>
      </c>
      <c r="L213" s="9" t="str">
        <f t="shared" si="86"/>
        <v>Periodo 2020-2021</v>
      </c>
      <c r="M213" s="9" t="str">
        <f t="shared" si="87"/>
        <v>Número de Denuncias</v>
      </c>
      <c r="N213" s="9" t="str">
        <f t="shared" si="88"/>
        <v>Centro de Estudios y Análisis del Delito (CEAD) de la Subsecretaría de Prevención del Delito</v>
      </c>
      <c r="O213" s="20" t="str">
        <f>"Sentencias Dictadas por delitos de Abuso Sexual en la "&amp;Agencia[[#This Row],[territorio]]&amp;" para el "&amp;Agencia[[#This Row],[temporalidad]]</f>
        <v>Sentencias Dictadas por delitos de Abuso Sexual en la Región de O'Higgins para el Periodo 2020-2021</v>
      </c>
      <c r="P213" s="112" t="s">
        <v>7237</v>
      </c>
      <c r="Q213" s="11" t="str">
        <f t="shared" si="81"/>
        <v>Mapa de calor</v>
      </c>
      <c r="R213" s="148" t="str">
        <f>Agencia[[#This Row],[territorio]]&amp;",comunal,VIF,violencia,intrafamiliar,denuncias,CEAD,mujer,"&amp;Agencia[[#This Row],[coleccion]]&amp;","&amp;Agencia[[#This Row],[sector]]&amp;","&amp;Agencia[[#This Row],[tema]]&amp;","&amp;Agencia[[#This Row],[contenido]]</f>
        <v>Región de O'Higgins,comunal,VIF,violencia,intrafamiliar,denuncias,CEAD,mujer,Agencia Información,Mujeres,Violencia Intrafamiliar,Violencia Contra la Mujer</v>
      </c>
      <c r="S213" s="39" t="str">
        <f>HYPERLINK("https://analytics.zoho.com/open-view/2395394000007782100?ZOHO_CRITERIA=%22Localiza%20CL%22.%22Codreg%22%3D"&amp;Agencia[[#This Row],[Filtro URL]])</f>
        <v>https://analytics.zoho.com/open-view/2395394000007782100?ZOHO_CRITERIA=%22Localiza%20CL%22.%22Codreg%22%3D6</v>
      </c>
      <c r="T213" s="111" t="str">
        <f>"100-C-"&amp;Agencia[[#This Row],[Filtro URL]]</f>
        <v>100-C-6</v>
      </c>
      <c r="U213" s="46" t="str">
        <f t="shared" si="96"/>
        <v>#1774B9</v>
      </c>
      <c r="V213" s="93" t="str">
        <f>+Agencia[[#This Row],[idcoleccion]]&amp;"-"&amp;Agencia[[#This Row],[id]]</f>
        <v>990-0202</v>
      </c>
      <c r="W213" s="93">
        <f>+VLOOKUP(Agencia[[#This Row],[Filtro URL]],Estructura!$X$4:$Y$500,2,0)</f>
        <v>99200006</v>
      </c>
      <c r="X213" s="93" t="str">
        <f>+VLOOKUP(Agencia[[#This Row],[tema]],Estructura!$A$4:$C$500,3,0)</f>
        <v>T-1023</v>
      </c>
      <c r="Y213" s="93" t="str">
        <f>+VLOOKUP(Agencia[[#This Row],[contenido]],Estructura!$E$4:$G$500,3,0)</f>
        <v>C-996</v>
      </c>
      <c r="Z213" s="93" t="str">
        <f>+VLOOKUP(Agencia[[#This Row],[Filtro Integrado]],Estructura!$I$4:$K$500,3,0)</f>
        <v>FI-993</v>
      </c>
      <c r="AA213" s="93" t="str">
        <f>+VLOOKUP(Agencia[[#This Row],[Muestra]],Estructura!$M$4:$O$500,3,0)</f>
        <v>M-995</v>
      </c>
    </row>
    <row r="214" spans="1:27" ht="57.6" x14ac:dyDescent="0.3">
      <c r="A214" s="21" t="s">
        <v>633</v>
      </c>
      <c r="B214" s="23">
        <f t="shared" si="93"/>
        <v>990</v>
      </c>
      <c r="C214" s="24" t="str">
        <f t="shared" si="94"/>
        <v>Agencia Información</v>
      </c>
      <c r="D214" s="72" t="str">
        <f t="shared" si="95"/>
        <v>Mujeres</v>
      </c>
      <c r="E214" s="19">
        <v>7</v>
      </c>
      <c r="F214" s="10" t="s">
        <v>786</v>
      </c>
      <c r="G214" s="10" t="s">
        <v>1877</v>
      </c>
      <c r="H214" s="33" t="s">
        <v>16</v>
      </c>
      <c r="I214" s="34" t="s">
        <v>374</v>
      </c>
      <c r="J214" s="36" t="str">
        <f t="shared" si="84"/>
        <v>Ninguno</v>
      </c>
      <c r="K214" s="9" t="str">
        <f t="shared" si="85"/>
        <v>Casos de VIF por comuna</v>
      </c>
      <c r="L214" s="9" t="str">
        <f t="shared" si="86"/>
        <v>Periodo 2020-2021</v>
      </c>
      <c r="M214" s="9" t="str">
        <f t="shared" si="87"/>
        <v>Número de Denuncias</v>
      </c>
      <c r="N214" s="9" t="str">
        <f t="shared" si="88"/>
        <v>Centro de Estudios y Análisis del Delito (CEAD) de la Subsecretaría de Prevención del Delito</v>
      </c>
      <c r="O214" s="20" t="str">
        <f>"Sentencias Dictadas por delitos de Abuso Sexual en la "&amp;Agencia[[#This Row],[territorio]]&amp;" para el "&amp;Agencia[[#This Row],[temporalidad]]</f>
        <v>Sentencias Dictadas por delitos de Abuso Sexual en la Región de Maule para el Periodo 2020-2021</v>
      </c>
      <c r="P214" s="112" t="s">
        <v>7238</v>
      </c>
      <c r="Q214" s="11" t="str">
        <f t="shared" si="81"/>
        <v>Mapa de calor</v>
      </c>
      <c r="R214" s="148" t="str">
        <f>Agencia[[#This Row],[territorio]]&amp;",comunal,VIF,violencia,intrafamiliar,denuncias,CEAD,mujer,"&amp;Agencia[[#This Row],[coleccion]]&amp;","&amp;Agencia[[#This Row],[sector]]&amp;","&amp;Agencia[[#This Row],[tema]]&amp;","&amp;Agencia[[#This Row],[contenido]]</f>
        <v>Región de Maule,comunal,VIF,violencia,intrafamiliar,denuncias,CEAD,mujer,Agencia Información,Mujeres,Violencia Intrafamiliar,Violencia Contra la Mujer</v>
      </c>
      <c r="S214" s="39" t="str">
        <f>HYPERLINK("https://analytics.zoho.com/open-view/2395394000007782100?ZOHO_CRITERIA=%22Localiza%20CL%22.%22Codreg%22%3D"&amp;Agencia[[#This Row],[Filtro URL]])</f>
        <v>https://analytics.zoho.com/open-view/2395394000007782100?ZOHO_CRITERIA=%22Localiza%20CL%22.%22Codreg%22%3D7</v>
      </c>
      <c r="T214" s="111" t="str">
        <f>"100-C-"&amp;Agencia[[#This Row],[Filtro URL]]</f>
        <v>100-C-7</v>
      </c>
      <c r="U214" s="46" t="str">
        <f t="shared" si="96"/>
        <v>#1774B9</v>
      </c>
      <c r="V214" s="93" t="str">
        <f>+Agencia[[#This Row],[idcoleccion]]&amp;"-"&amp;Agencia[[#This Row],[id]]</f>
        <v>990-0203</v>
      </c>
      <c r="W214" s="93">
        <f>+VLOOKUP(Agencia[[#This Row],[Filtro URL]],Estructura!$X$4:$Y$500,2,0)</f>
        <v>99200007</v>
      </c>
      <c r="X214" s="93" t="str">
        <f>+VLOOKUP(Agencia[[#This Row],[tema]],Estructura!$A$4:$C$500,3,0)</f>
        <v>T-1023</v>
      </c>
      <c r="Y214" s="93" t="str">
        <f>+VLOOKUP(Agencia[[#This Row],[contenido]],Estructura!$E$4:$G$500,3,0)</f>
        <v>C-996</v>
      </c>
      <c r="Z214" s="93" t="str">
        <f>+VLOOKUP(Agencia[[#This Row],[Filtro Integrado]],Estructura!$I$4:$K$500,3,0)</f>
        <v>FI-993</v>
      </c>
      <c r="AA214" s="93" t="str">
        <f>+VLOOKUP(Agencia[[#This Row],[Muestra]],Estructura!$M$4:$O$500,3,0)</f>
        <v>M-995</v>
      </c>
    </row>
    <row r="215" spans="1:27" ht="57.6" x14ac:dyDescent="0.3">
      <c r="A215" s="21" t="s">
        <v>634</v>
      </c>
      <c r="B215" s="23">
        <f t="shared" si="93"/>
        <v>990</v>
      </c>
      <c r="C215" s="24" t="str">
        <f t="shared" si="94"/>
        <v>Agencia Información</v>
      </c>
      <c r="D215" s="72" t="str">
        <f t="shared" si="95"/>
        <v>Mujeres</v>
      </c>
      <c r="E215" s="19">
        <v>8</v>
      </c>
      <c r="F215" s="10" t="s">
        <v>786</v>
      </c>
      <c r="G215" s="10" t="s">
        <v>1877</v>
      </c>
      <c r="H215" s="33" t="s">
        <v>16</v>
      </c>
      <c r="I215" s="34" t="s">
        <v>375</v>
      </c>
      <c r="J215" s="36" t="str">
        <f t="shared" si="84"/>
        <v>Ninguno</v>
      </c>
      <c r="K215" s="9" t="str">
        <f t="shared" si="85"/>
        <v>Casos de VIF por comuna</v>
      </c>
      <c r="L215" s="9" t="str">
        <f t="shared" si="86"/>
        <v>Periodo 2020-2021</v>
      </c>
      <c r="M215" s="9" t="str">
        <f t="shared" si="87"/>
        <v>Número de Denuncias</v>
      </c>
      <c r="N215" s="9" t="str">
        <f t="shared" si="88"/>
        <v>Centro de Estudios y Análisis del Delito (CEAD) de la Subsecretaría de Prevención del Delito</v>
      </c>
      <c r="O215" s="20" t="str">
        <f>"Sentencias Dictadas por delitos de Abuso Sexual en la "&amp;Agencia[[#This Row],[territorio]]&amp;" para el "&amp;Agencia[[#This Row],[temporalidad]]</f>
        <v>Sentencias Dictadas por delitos de Abuso Sexual en la Región del Biobío para el Periodo 2020-2021</v>
      </c>
      <c r="P215" s="112" t="s">
        <v>7247</v>
      </c>
      <c r="Q215" s="11" t="str">
        <f t="shared" si="81"/>
        <v>Mapa de calor</v>
      </c>
      <c r="R215" s="148" t="str">
        <f>Agencia[[#This Row],[territorio]]&amp;",comunal,VIF,violencia,intrafamiliar,denuncias,CEAD,mujer,"&amp;Agencia[[#This Row],[coleccion]]&amp;","&amp;Agencia[[#This Row],[sector]]&amp;","&amp;Agencia[[#This Row],[tema]]&amp;","&amp;Agencia[[#This Row],[contenido]]</f>
        <v>Región del Biobío,comunal,VIF,violencia,intrafamiliar,denuncias,CEAD,mujer,Agencia Información,Mujeres,Violencia Intrafamiliar,Violencia Contra la Mujer</v>
      </c>
      <c r="S215" s="39" t="str">
        <f>HYPERLINK("https://analytics.zoho.com/open-view/2395394000007782100?ZOHO_CRITERIA=%22Localiza%20CL%22.%22Codreg%22%3D"&amp;Agencia[[#This Row],[Filtro URL]])</f>
        <v>https://analytics.zoho.com/open-view/2395394000007782100?ZOHO_CRITERIA=%22Localiza%20CL%22.%22Codreg%22%3D8</v>
      </c>
      <c r="T215" s="111" t="str">
        <f>"100-C-"&amp;Agencia[[#This Row],[Filtro URL]]</f>
        <v>100-C-8</v>
      </c>
      <c r="U215" s="46" t="str">
        <f t="shared" si="96"/>
        <v>#1774B9</v>
      </c>
      <c r="V215" s="93" t="str">
        <f>+Agencia[[#This Row],[idcoleccion]]&amp;"-"&amp;Agencia[[#This Row],[id]]</f>
        <v>990-0204</v>
      </c>
      <c r="W215" s="93">
        <f>+VLOOKUP(Agencia[[#This Row],[Filtro URL]],Estructura!$X$4:$Y$500,2,0)</f>
        <v>99200008</v>
      </c>
      <c r="X215" s="93" t="str">
        <f>+VLOOKUP(Agencia[[#This Row],[tema]],Estructura!$A$4:$C$500,3,0)</f>
        <v>T-1023</v>
      </c>
      <c r="Y215" s="93" t="str">
        <f>+VLOOKUP(Agencia[[#This Row],[contenido]],Estructura!$E$4:$G$500,3,0)</f>
        <v>C-996</v>
      </c>
      <c r="Z215" s="93" t="str">
        <f>+VLOOKUP(Agencia[[#This Row],[Filtro Integrado]],Estructura!$I$4:$K$500,3,0)</f>
        <v>FI-993</v>
      </c>
      <c r="AA215" s="93" t="str">
        <f>+VLOOKUP(Agencia[[#This Row],[Muestra]],Estructura!$M$4:$O$500,3,0)</f>
        <v>M-995</v>
      </c>
    </row>
    <row r="216" spans="1:27" ht="57.6" x14ac:dyDescent="0.3">
      <c r="A216" s="21" t="s">
        <v>635</v>
      </c>
      <c r="B216" s="23">
        <f t="shared" si="93"/>
        <v>990</v>
      </c>
      <c r="C216" s="24" t="str">
        <f t="shared" si="94"/>
        <v>Agencia Información</v>
      </c>
      <c r="D216" s="72" t="str">
        <f t="shared" si="95"/>
        <v>Mujeres</v>
      </c>
      <c r="E216" s="19">
        <v>9</v>
      </c>
      <c r="F216" s="10" t="s">
        <v>786</v>
      </c>
      <c r="G216" s="10" t="s">
        <v>1877</v>
      </c>
      <c r="H216" s="33" t="s">
        <v>16</v>
      </c>
      <c r="I216" s="34" t="s">
        <v>376</v>
      </c>
      <c r="J216" s="36" t="str">
        <f t="shared" si="84"/>
        <v>Ninguno</v>
      </c>
      <c r="K216" s="9" t="str">
        <f t="shared" si="85"/>
        <v>Casos de VIF por comuna</v>
      </c>
      <c r="L216" s="9" t="str">
        <f t="shared" si="86"/>
        <v>Periodo 2020-2021</v>
      </c>
      <c r="M216" s="9" t="str">
        <f t="shared" si="87"/>
        <v>Número de Denuncias</v>
      </c>
      <c r="N216" s="9" t="str">
        <f t="shared" si="88"/>
        <v>Centro de Estudios y Análisis del Delito (CEAD) de la Subsecretaría de Prevención del Delito</v>
      </c>
      <c r="O216" s="20" t="str">
        <f>"Sentencias Dictadas por delitos de Abuso Sexual en la "&amp;Agencia[[#This Row],[territorio]]&amp;" para el "&amp;Agencia[[#This Row],[temporalidad]]</f>
        <v>Sentencias Dictadas por delitos de Abuso Sexual en la Región de La Araucanía para el Periodo 2020-2021</v>
      </c>
      <c r="P216" s="112" t="s">
        <v>7239</v>
      </c>
      <c r="Q216" s="11" t="str">
        <f t="shared" si="81"/>
        <v>Mapa de calor</v>
      </c>
      <c r="R216" s="148" t="str">
        <f>Agencia[[#This Row],[territorio]]&amp;",comunal,VIF,violencia,intrafamiliar,denuncias,CEAD,mujer,"&amp;Agencia[[#This Row],[coleccion]]&amp;","&amp;Agencia[[#This Row],[sector]]&amp;","&amp;Agencia[[#This Row],[tema]]&amp;","&amp;Agencia[[#This Row],[contenido]]</f>
        <v>Región de La Araucanía,comunal,VIF,violencia,intrafamiliar,denuncias,CEAD,mujer,Agencia Información,Mujeres,Violencia Intrafamiliar,Violencia Contra la Mujer</v>
      </c>
      <c r="S216" s="39" t="str">
        <f>HYPERLINK("https://analytics.zoho.com/open-view/2395394000007782100?ZOHO_CRITERIA=%22Localiza%20CL%22.%22Codreg%22%3D"&amp;Agencia[[#This Row],[Filtro URL]])</f>
        <v>https://analytics.zoho.com/open-view/2395394000007782100?ZOHO_CRITERIA=%22Localiza%20CL%22.%22Codreg%22%3D9</v>
      </c>
      <c r="T216" s="111" t="str">
        <f>"100-C-"&amp;Agencia[[#This Row],[Filtro URL]]</f>
        <v>100-C-9</v>
      </c>
      <c r="U216" s="46" t="str">
        <f t="shared" si="96"/>
        <v>#1774B9</v>
      </c>
      <c r="V216" s="93" t="str">
        <f>+Agencia[[#This Row],[idcoleccion]]&amp;"-"&amp;Agencia[[#This Row],[id]]</f>
        <v>990-0205</v>
      </c>
      <c r="W216" s="93">
        <f>+VLOOKUP(Agencia[[#This Row],[Filtro URL]],Estructura!$X$4:$Y$500,2,0)</f>
        <v>99200009</v>
      </c>
      <c r="X216" s="93" t="str">
        <f>+VLOOKUP(Agencia[[#This Row],[tema]],Estructura!$A$4:$C$500,3,0)</f>
        <v>T-1023</v>
      </c>
      <c r="Y216" s="93" t="str">
        <f>+VLOOKUP(Agencia[[#This Row],[contenido]],Estructura!$E$4:$G$500,3,0)</f>
        <v>C-996</v>
      </c>
      <c r="Z216" s="93" t="str">
        <f>+VLOOKUP(Agencia[[#This Row],[Filtro Integrado]],Estructura!$I$4:$K$500,3,0)</f>
        <v>FI-993</v>
      </c>
      <c r="AA216" s="93" t="str">
        <f>+VLOOKUP(Agencia[[#This Row],[Muestra]],Estructura!$M$4:$O$500,3,0)</f>
        <v>M-995</v>
      </c>
    </row>
    <row r="217" spans="1:27" ht="57.6" x14ac:dyDescent="0.3">
      <c r="A217" s="21" t="s">
        <v>636</v>
      </c>
      <c r="B217" s="23">
        <f t="shared" si="93"/>
        <v>990</v>
      </c>
      <c r="C217" s="24" t="str">
        <f t="shared" si="94"/>
        <v>Agencia Información</v>
      </c>
      <c r="D217" s="72" t="str">
        <f t="shared" si="95"/>
        <v>Mujeres</v>
      </c>
      <c r="E217" s="19">
        <v>10</v>
      </c>
      <c r="F217" s="10" t="s">
        <v>786</v>
      </c>
      <c r="G217" s="10" t="s">
        <v>1877</v>
      </c>
      <c r="H217" s="33" t="s">
        <v>16</v>
      </c>
      <c r="I217" s="34" t="s">
        <v>377</v>
      </c>
      <c r="J217" s="36" t="str">
        <f t="shared" si="84"/>
        <v>Ninguno</v>
      </c>
      <c r="K217" s="9" t="str">
        <f t="shared" si="85"/>
        <v>Casos de VIF por comuna</v>
      </c>
      <c r="L217" s="9" t="str">
        <f t="shared" si="86"/>
        <v>Periodo 2020-2021</v>
      </c>
      <c r="M217" s="9" t="str">
        <f t="shared" si="87"/>
        <v>Número de Denuncias</v>
      </c>
      <c r="N217" s="9" t="str">
        <f t="shared" si="88"/>
        <v>Centro de Estudios y Análisis del Delito (CEAD) de la Subsecretaría de Prevención del Delito</v>
      </c>
      <c r="O217" s="20" t="str">
        <f>"Sentencias Dictadas por delitos de Abuso Sexual en la "&amp;Agencia[[#This Row],[territorio]]&amp;" para el "&amp;Agencia[[#This Row],[temporalidad]]</f>
        <v>Sentencias Dictadas por delitos de Abuso Sexual en la Región de Los Lagos para el Periodo 2020-2021</v>
      </c>
      <c r="P217" s="112" t="s">
        <v>7240</v>
      </c>
      <c r="Q217" s="11" t="str">
        <f t="shared" si="81"/>
        <v>Mapa de calor</v>
      </c>
      <c r="R217" s="148" t="str">
        <f>Agencia[[#This Row],[territorio]]&amp;",comunal,VIF,violencia,intrafamiliar,denuncias,CEAD,mujer,"&amp;Agencia[[#This Row],[coleccion]]&amp;","&amp;Agencia[[#This Row],[sector]]&amp;","&amp;Agencia[[#This Row],[tema]]&amp;","&amp;Agencia[[#This Row],[contenido]]</f>
        <v>Región de Los Lagos,comunal,VIF,violencia,intrafamiliar,denuncias,CEAD,mujer,Agencia Información,Mujeres,Violencia Intrafamiliar,Violencia Contra la Mujer</v>
      </c>
      <c r="S217" s="39" t="str">
        <f>HYPERLINK("https://analytics.zoho.com/open-view/2395394000007782100?ZOHO_CRITERIA=%22Localiza%20CL%22.%22Codreg%22%3D"&amp;Agencia[[#This Row],[Filtro URL]])</f>
        <v>https://analytics.zoho.com/open-view/2395394000007782100?ZOHO_CRITERIA=%22Localiza%20CL%22.%22Codreg%22%3D10</v>
      </c>
      <c r="T217" s="111" t="str">
        <f>"100-C-"&amp;Agencia[[#This Row],[Filtro URL]]</f>
        <v>100-C-10</v>
      </c>
      <c r="U217" s="46" t="str">
        <f t="shared" si="96"/>
        <v>#1774B9</v>
      </c>
      <c r="V217" s="93" t="str">
        <f>+Agencia[[#This Row],[idcoleccion]]&amp;"-"&amp;Agencia[[#This Row],[id]]</f>
        <v>990-0206</v>
      </c>
      <c r="W217" s="93">
        <f>+VLOOKUP(Agencia[[#This Row],[Filtro URL]],Estructura!$X$4:$Y$500,2,0)</f>
        <v>99200010</v>
      </c>
      <c r="X217" s="93" t="str">
        <f>+VLOOKUP(Agencia[[#This Row],[tema]],Estructura!$A$4:$C$500,3,0)</f>
        <v>T-1023</v>
      </c>
      <c r="Y217" s="93" t="str">
        <f>+VLOOKUP(Agencia[[#This Row],[contenido]],Estructura!$E$4:$G$500,3,0)</f>
        <v>C-996</v>
      </c>
      <c r="Z217" s="93" t="str">
        <f>+VLOOKUP(Agencia[[#This Row],[Filtro Integrado]],Estructura!$I$4:$K$500,3,0)</f>
        <v>FI-993</v>
      </c>
      <c r="AA217" s="93" t="str">
        <f>+VLOOKUP(Agencia[[#This Row],[Muestra]],Estructura!$M$4:$O$500,3,0)</f>
        <v>M-995</v>
      </c>
    </row>
    <row r="218" spans="1:27" ht="57.6" x14ac:dyDescent="0.3">
      <c r="A218" s="21" t="s">
        <v>637</v>
      </c>
      <c r="B218" s="23">
        <f t="shared" si="93"/>
        <v>990</v>
      </c>
      <c r="C218" s="24" t="str">
        <f t="shared" si="94"/>
        <v>Agencia Información</v>
      </c>
      <c r="D218" s="72" t="str">
        <f t="shared" si="95"/>
        <v>Mujeres</v>
      </c>
      <c r="E218" s="19">
        <v>11</v>
      </c>
      <c r="F218" s="10" t="s">
        <v>786</v>
      </c>
      <c r="G218" s="10" t="s">
        <v>1877</v>
      </c>
      <c r="H218" s="33" t="s">
        <v>16</v>
      </c>
      <c r="I218" s="34" t="s">
        <v>378</v>
      </c>
      <c r="J218" s="36" t="str">
        <f t="shared" si="84"/>
        <v>Ninguno</v>
      </c>
      <c r="K218" s="9" t="str">
        <f t="shared" si="85"/>
        <v>Casos de VIF por comuna</v>
      </c>
      <c r="L218" s="9" t="str">
        <f t="shared" si="86"/>
        <v>Periodo 2020-2021</v>
      </c>
      <c r="M218" s="9" t="str">
        <f t="shared" si="87"/>
        <v>Número de Denuncias</v>
      </c>
      <c r="N218" s="9" t="str">
        <f t="shared" si="88"/>
        <v>Centro de Estudios y Análisis del Delito (CEAD) de la Subsecretaría de Prevención del Delito</v>
      </c>
      <c r="O218" s="20" t="str">
        <f>"Sentencias Dictadas por delitos de Abuso Sexual en la "&amp;Agencia[[#This Row],[territorio]]&amp;" para el "&amp;Agencia[[#This Row],[temporalidad]]</f>
        <v>Sentencias Dictadas por delitos de Abuso Sexual en la Región de Aysén para el Periodo 2020-2021</v>
      </c>
      <c r="P218" s="112" t="s">
        <v>7241</v>
      </c>
      <c r="Q218" s="11" t="str">
        <f t="shared" si="81"/>
        <v>Mapa de calor</v>
      </c>
      <c r="R218" s="148" t="str">
        <f>Agencia[[#This Row],[territorio]]&amp;",comunal,VIF,violencia,intrafamiliar,denuncias,CEAD,mujer,"&amp;Agencia[[#This Row],[coleccion]]&amp;","&amp;Agencia[[#This Row],[sector]]&amp;","&amp;Agencia[[#This Row],[tema]]&amp;","&amp;Agencia[[#This Row],[contenido]]</f>
        <v>Región de Aysén,comunal,VIF,violencia,intrafamiliar,denuncias,CEAD,mujer,Agencia Información,Mujeres,Violencia Intrafamiliar,Violencia Contra la Mujer</v>
      </c>
      <c r="S218" s="39" t="str">
        <f>HYPERLINK("https://analytics.zoho.com/open-view/2395394000007782100?ZOHO_CRITERIA=%22Localiza%20CL%22.%22Codreg%22%3D"&amp;Agencia[[#This Row],[Filtro URL]])</f>
        <v>https://analytics.zoho.com/open-view/2395394000007782100?ZOHO_CRITERIA=%22Localiza%20CL%22.%22Codreg%22%3D11</v>
      </c>
      <c r="T218" s="111" t="str">
        <f>"100-C-"&amp;Agencia[[#This Row],[Filtro URL]]</f>
        <v>100-C-11</v>
      </c>
      <c r="U218" s="46" t="str">
        <f t="shared" si="96"/>
        <v>#1774B9</v>
      </c>
      <c r="V218" s="93" t="str">
        <f>+Agencia[[#This Row],[idcoleccion]]&amp;"-"&amp;Agencia[[#This Row],[id]]</f>
        <v>990-0207</v>
      </c>
      <c r="W218" s="93">
        <f>+VLOOKUP(Agencia[[#This Row],[Filtro URL]],Estructura!$X$4:$Y$500,2,0)</f>
        <v>99200011</v>
      </c>
      <c r="X218" s="93" t="str">
        <f>+VLOOKUP(Agencia[[#This Row],[tema]],Estructura!$A$4:$C$500,3,0)</f>
        <v>T-1023</v>
      </c>
      <c r="Y218" s="93" t="str">
        <f>+VLOOKUP(Agencia[[#This Row],[contenido]],Estructura!$E$4:$G$500,3,0)</f>
        <v>C-996</v>
      </c>
      <c r="Z218" s="93" t="str">
        <f>+VLOOKUP(Agencia[[#This Row],[Filtro Integrado]],Estructura!$I$4:$K$500,3,0)</f>
        <v>FI-993</v>
      </c>
      <c r="AA218" s="93" t="str">
        <f>+VLOOKUP(Agencia[[#This Row],[Muestra]],Estructura!$M$4:$O$500,3,0)</f>
        <v>M-995</v>
      </c>
    </row>
    <row r="219" spans="1:27" ht="57.6" x14ac:dyDescent="0.3">
      <c r="A219" s="21" t="s">
        <v>638</v>
      </c>
      <c r="B219" s="23">
        <f t="shared" si="93"/>
        <v>990</v>
      </c>
      <c r="C219" s="24" t="str">
        <f t="shared" si="94"/>
        <v>Agencia Información</v>
      </c>
      <c r="D219" s="72" t="str">
        <f t="shared" si="95"/>
        <v>Mujeres</v>
      </c>
      <c r="E219" s="19">
        <v>12</v>
      </c>
      <c r="F219" s="10" t="s">
        <v>786</v>
      </c>
      <c r="G219" s="10" t="s">
        <v>1877</v>
      </c>
      <c r="H219" s="33" t="s">
        <v>16</v>
      </c>
      <c r="I219" s="34" t="s">
        <v>379</v>
      </c>
      <c r="J219" s="36" t="str">
        <f t="shared" si="84"/>
        <v>Ninguno</v>
      </c>
      <c r="K219" s="9" t="str">
        <f t="shared" si="85"/>
        <v>Casos de VIF por comuna</v>
      </c>
      <c r="L219" s="9" t="str">
        <f t="shared" si="86"/>
        <v>Periodo 2020-2021</v>
      </c>
      <c r="M219" s="9" t="str">
        <f t="shared" si="87"/>
        <v>Número de Denuncias</v>
      </c>
      <c r="N219" s="9" t="str">
        <f t="shared" si="88"/>
        <v>Centro de Estudios y Análisis del Delito (CEAD) de la Subsecretaría de Prevención del Delito</v>
      </c>
      <c r="O219" s="20" t="str">
        <f>"Sentencias Dictadas por delitos de Abuso Sexual en la "&amp;Agencia[[#This Row],[territorio]]&amp;" para el "&amp;Agencia[[#This Row],[temporalidad]]</f>
        <v>Sentencias Dictadas por delitos de Abuso Sexual en la Región de Magallanes para el Periodo 2020-2021</v>
      </c>
      <c r="P219" s="112" t="s">
        <v>7242</v>
      </c>
      <c r="Q219" s="11" t="str">
        <f t="shared" si="81"/>
        <v>Mapa de calor</v>
      </c>
      <c r="R219" s="148" t="str">
        <f>Agencia[[#This Row],[territorio]]&amp;",comunal,VIF,violencia,intrafamiliar,denuncias,CEAD,mujer,"&amp;Agencia[[#This Row],[coleccion]]&amp;","&amp;Agencia[[#This Row],[sector]]&amp;","&amp;Agencia[[#This Row],[tema]]&amp;","&amp;Agencia[[#This Row],[contenido]]</f>
        <v>Región de Magallanes,comunal,VIF,violencia,intrafamiliar,denuncias,CEAD,mujer,Agencia Información,Mujeres,Violencia Intrafamiliar,Violencia Contra la Mujer</v>
      </c>
      <c r="S219" s="39" t="str">
        <f>HYPERLINK("https://analytics.zoho.com/open-view/2395394000007782100?ZOHO_CRITERIA=%22Localiza%20CL%22.%22Codreg%22%3D"&amp;Agencia[[#This Row],[Filtro URL]])</f>
        <v>https://analytics.zoho.com/open-view/2395394000007782100?ZOHO_CRITERIA=%22Localiza%20CL%22.%22Codreg%22%3D12</v>
      </c>
      <c r="T219" s="111" t="str">
        <f>"100-C-"&amp;Agencia[[#This Row],[Filtro URL]]</f>
        <v>100-C-12</v>
      </c>
      <c r="U219" s="46" t="str">
        <f t="shared" si="96"/>
        <v>#1774B9</v>
      </c>
      <c r="V219" s="93" t="str">
        <f>+Agencia[[#This Row],[idcoleccion]]&amp;"-"&amp;Agencia[[#This Row],[id]]</f>
        <v>990-0208</v>
      </c>
      <c r="W219" s="93">
        <f>+VLOOKUP(Agencia[[#This Row],[Filtro URL]],Estructura!$X$4:$Y$500,2,0)</f>
        <v>99200012</v>
      </c>
      <c r="X219" s="93" t="str">
        <f>+VLOOKUP(Agencia[[#This Row],[tema]],Estructura!$A$4:$C$500,3,0)</f>
        <v>T-1023</v>
      </c>
      <c r="Y219" s="93" t="str">
        <f>+VLOOKUP(Agencia[[#This Row],[contenido]],Estructura!$E$4:$G$500,3,0)</f>
        <v>C-996</v>
      </c>
      <c r="Z219" s="93" t="str">
        <f>+VLOOKUP(Agencia[[#This Row],[Filtro Integrado]],Estructura!$I$4:$K$500,3,0)</f>
        <v>FI-993</v>
      </c>
      <c r="AA219" s="93" t="str">
        <f>+VLOOKUP(Agencia[[#This Row],[Muestra]],Estructura!$M$4:$O$500,3,0)</f>
        <v>M-995</v>
      </c>
    </row>
    <row r="220" spans="1:27" ht="57.6" x14ac:dyDescent="0.3">
      <c r="A220" s="21" t="s">
        <v>639</v>
      </c>
      <c r="B220" s="23">
        <f t="shared" si="93"/>
        <v>990</v>
      </c>
      <c r="C220" s="24" t="str">
        <f t="shared" si="94"/>
        <v>Agencia Información</v>
      </c>
      <c r="D220" s="72" t="str">
        <f t="shared" si="95"/>
        <v>Mujeres</v>
      </c>
      <c r="E220" s="19">
        <v>13</v>
      </c>
      <c r="F220" s="10" t="s">
        <v>786</v>
      </c>
      <c r="G220" s="10" t="s">
        <v>1877</v>
      </c>
      <c r="H220" s="33" t="s">
        <v>16</v>
      </c>
      <c r="I220" s="34" t="s">
        <v>380</v>
      </c>
      <c r="J220" s="36" t="str">
        <f t="shared" si="84"/>
        <v>Ninguno</v>
      </c>
      <c r="K220" s="9" t="str">
        <f t="shared" si="85"/>
        <v>Casos de VIF por comuna</v>
      </c>
      <c r="L220" s="9" t="str">
        <f t="shared" si="86"/>
        <v>Periodo 2020-2021</v>
      </c>
      <c r="M220" s="9" t="str">
        <f t="shared" si="87"/>
        <v>Número de Denuncias</v>
      </c>
      <c r="N220" s="9" t="str">
        <f t="shared" si="88"/>
        <v>Centro de Estudios y Análisis del Delito (CEAD) de la Subsecretaría de Prevención del Delito</v>
      </c>
      <c r="O220" s="20" t="str">
        <f>"Sentencias Dictadas por delitos de Abuso Sexual en la "&amp;Agencia[[#This Row],[territorio]]&amp;" para el "&amp;Agencia[[#This Row],[temporalidad]]</f>
        <v>Sentencias Dictadas por delitos de Abuso Sexual en la Región Metropolitana para el Periodo 2020-2021</v>
      </c>
      <c r="P220" s="112" t="s">
        <v>7243</v>
      </c>
      <c r="Q220" s="11" t="str">
        <f t="shared" si="81"/>
        <v>Mapa de calor</v>
      </c>
      <c r="R220" s="148" t="str">
        <f>Agencia[[#This Row],[territorio]]&amp;",comunal,VIF,violencia,intrafamiliar,denuncias,CEAD,mujer,"&amp;Agencia[[#This Row],[coleccion]]&amp;","&amp;Agencia[[#This Row],[sector]]&amp;","&amp;Agencia[[#This Row],[tema]]&amp;","&amp;Agencia[[#This Row],[contenido]]</f>
        <v>Región Metropolitana,comunal,VIF,violencia,intrafamiliar,denuncias,CEAD,mujer,Agencia Información,Mujeres,Violencia Intrafamiliar,Violencia Contra la Mujer</v>
      </c>
      <c r="S220" s="39" t="str">
        <f>HYPERLINK("https://analytics.zoho.com/open-view/2395394000007782100?ZOHO_CRITERIA=%22Localiza%20CL%22.%22Codreg%22%3D"&amp;Agencia[[#This Row],[Filtro URL]])</f>
        <v>https://analytics.zoho.com/open-view/2395394000007782100?ZOHO_CRITERIA=%22Localiza%20CL%22.%22Codreg%22%3D13</v>
      </c>
      <c r="T220" s="111" t="str">
        <f>"200-C-"&amp;Agencia[[#This Row],[Filtro URL]]</f>
        <v>200-C-13</v>
      </c>
      <c r="U220" s="46" t="str">
        <f t="shared" si="96"/>
        <v>#1774B9</v>
      </c>
      <c r="V220" s="93" t="str">
        <f>+Agencia[[#This Row],[idcoleccion]]&amp;"-"&amp;Agencia[[#This Row],[id]]</f>
        <v>990-0209</v>
      </c>
      <c r="W220" s="93">
        <f>+VLOOKUP(Agencia[[#This Row],[Filtro URL]],Estructura!$X$4:$Y$500,2,0)</f>
        <v>99200013</v>
      </c>
      <c r="X220" s="93" t="str">
        <f>+VLOOKUP(Agencia[[#This Row],[tema]],Estructura!$A$4:$C$500,3,0)</f>
        <v>T-1023</v>
      </c>
      <c r="Y220" s="93" t="str">
        <f>+VLOOKUP(Agencia[[#This Row],[contenido]],Estructura!$E$4:$G$500,3,0)</f>
        <v>C-996</v>
      </c>
      <c r="Z220" s="93" t="str">
        <f>+VLOOKUP(Agencia[[#This Row],[Filtro Integrado]],Estructura!$I$4:$K$500,3,0)</f>
        <v>FI-993</v>
      </c>
      <c r="AA220" s="93" t="str">
        <f>+VLOOKUP(Agencia[[#This Row],[Muestra]],Estructura!$M$4:$O$500,3,0)</f>
        <v>M-995</v>
      </c>
    </row>
    <row r="221" spans="1:27" ht="57.6" x14ac:dyDescent="0.3">
      <c r="A221" s="21" t="s">
        <v>640</v>
      </c>
      <c r="B221" s="23">
        <f t="shared" ref="B221:B249" si="97">+B220</f>
        <v>990</v>
      </c>
      <c r="C221" s="24" t="str">
        <f t="shared" ref="C221:C249" si="98">+C220</f>
        <v>Agencia Información</v>
      </c>
      <c r="D221" s="72" t="str">
        <f t="shared" si="95"/>
        <v>Mujeres</v>
      </c>
      <c r="E221" s="19">
        <v>14</v>
      </c>
      <c r="F221" s="10" t="s">
        <v>786</v>
      </c>
      <c r="G221" s="10" t="s">
        <v>1877</v>
      </c>
      <c r="H221" s="33" t="s">
        <v>16</v>
      </c>
      <c r="I221" s="34" t="s">
        <v>381</v>
      </c>
      <c r="J221" s="36" t="str">
        <f t="shared" si="84"/>
        <v>Ninguno</v>
      </c>
      <c r="K221" s="9" t="str">
        <f t="shared" si="85"/>
        <v>Casos de VIF por comuna</v>
      </c>
      <c r="L221" s="9" t="str">
        <f t="shared" si="86"/>
        <v>Periodo 2020-2021</v>
      </c>
      <c r="M221" s="9" t="str">
        <f t="shared" si="87"/>
        <v>Número de Denuncias</v>
      </c>
      <c r="N221" s="9" t="str">
        <f t="shared" si="88"/>
        <v>Centro de Estudios y Análisis del Delito (CEAD) de la Subsecretaría de Prevención del Delito</v>
      </c>
      <c r="O221" s="20" t="str">
        <f>"Sentencias Dictadas por delitos de Abuso Sexual en la "&amp;Agencia[[#This Row],[territorio]]&amp;" para el "&amp;Agencia[[#This Row],[temporalidad]]</f>
        <v>Sentencias Dictadas por delitos de Abuso Sexual en la Región de Los Ríos para el Periodo 2020-2021</v>
      </c>
      <c r="P221" s="112" t="s">
        <v>7244</v>
      </c>
      <c r="Q221" s="11" t="str">
        <f t="shared" si="81"/>
        <v>Mapa de calor</v>
      </c>
      <c r="R221" s="148" t="str">
        <f>Agencia[[#This Row],[territorio]]&amp;",comunal,VIF,violencia,intrafamiliar,denuncias,CEAD,mujer,"&amp;Agencia[[#This Row],[coleccion]]&amp;","&amp;Agencia[[#This Row],[sector]]&amp;","&amp;Agencia[[#This Row],[tema]]&amp;","&amp;Agencia[[#This Row],[contenido]]</f>
        <v>Región de Los Ríos,comunal,VIF,violencia,intrafamiliar,denuncias,CEAD,mujer,Agencia Información,Mujeres,Violencia Intrafamiliar,Violencia Contra la Mujer</v>
      </c>
      <c r="S221" s="39" t="str">
        <f>HYPERLINK("https://analytics.zoho.com/open-view/2395394000007782100?ZOHO_CRITERIA=%22Localiza%20CL%22.%22Codreg%22%3D"&amp;Agencia[[#This Row],[Filtro URL]])</f>
        <v>https://analytics.zoho.com/open-view/2395394000007782100?ZOHO_CRITERIA=%22Localiza%20CL%22.%22Codreg%22%3D14</v>
      </c>
      <c r="T221" s="111" t="str">
        <f>"100-C-"&amp;Agencia[[#This Row],[Filtro URL]]</f>
        <v>100-C-14</v>
      </c>
      <c r="U221" s="46" t="str">
        <f t="shared" si="96"/>
        <v>#1774B9</v>
      </c>
      <c r="V221" s="93" t="str">
        <f>+Agencia[[#This Row],[idcoleccion]]&amp;"-"&amp;Agencia[[#This Row],[id]]</f>
        <v>990-0210</v>
      </c>
      <c r="W221" s="93">
        <f>+VLOOKUP(Agencia[[#This Row],[Filtro URL]],Estructura!$X$4:$Y$500,2,0)</f>
        <v>99200014</v>
      </c>
      <c r="X221" s="93" t="str">
        <f>+VLOOKUP(Agencia[[#This Row],[tema]],Estructura!$A$4:$C$500,3,0)</f>
        <v>T-1023</v>
      </c>
      <c r="Y221" s="93" t="str">
        <f>+VLOOKUP(Agencia[[#This Row],[contenido]],Estructura!$E$4:$G$500,3,0)</f>
        <v>C-996</v>
      </c>
      <c r="Z221" s="93" t="str">
        <f>+VLOOKUP(Agencia[[#This Row],[Filtro Integrado]],Estructura!$I$4:$K$500,3,0)</f>
        <v>FI-993</v>
      </c>
      <c r="AA221" s="93" t="str">
        <f>+VLOOKUP(Agencia[[#This Row],[Muestra]],Estructura!$M$4:$O$500,3,0)</f>
        <v>M-995</v>
      </c>
    </row>
    <row r="222" spans="1:27" ht="57.6" x14ac:dyDescent="0.3">
      <c r="A222" s="21" t="s">
        <v>641</v>
      </c>
      <c r="B222" s="23">
        <f t="shared" si="97"/>
        <v>990</v>
      </c>
      <c r="C222" s="24" t="str">
        <f t="shared" si="98"/>
        <v>Agencia Información</v>
      </c>
      <c r="D222" s="72" t="str">
        <f t="shared" si="95"/>
        <v>Mujeres</v>
      </c>
      <c r="E222" s="19">
        <v>15</v>
      </c>
      <c r="F222" s="10" t="s">
        <v>786</v>
      </c>
      <c r="G222" s="10" t="s">
        <v>1877</v>
      </c>
      <c r="H222" s="33" t="s">
        <v>16</v>
      </c>
      <c r="I222" s="34" t="s">
        <v>382</v>
      </c>
      <c r="J222" s="36" t="str">
        <f t="shared" si="84"/>
        <v>Ninguno</v>
      </c>
      <c r="K222" s="9" t="str">
        <f t="shared" si="85"/>
        <v>Casos de VIF por comuna</v>
      </c>
      <c r="L222" s="9" t="str">
        <f t="shared" si="86"/>
        <v>Periodo 2020-2021</v>
      </c>
      <c r="M222" s="9" t="str">
        <f t="shared" si="87"/>
        <v>Número de Denuncias</v>
      </c>
      <c r="N222" s="9" t="str">
        <f t="shared" si="88"/>
        <v>Centro de Estudios y Análisis del Delito (CEAD) de la Subsecretaría de Prevención del Delito</v>
      </c>
      <c r="O222" s="20" t="str">
        <f>"Sentencias Dictadas por delitos de Abuso Sexual en la "&amp;Agencia[[#This Row],[territorio]]&amp;" para el "&amp;Agencia[[#This Row],[temporalidad]]</f>
        <v>Sentencias Dictadas por delitos de Abuso Sexual en la Región de Arica y Parinacota para el Periodo 2020-2021</v>
      </c>
      <c r="P222" s="112" t="s">
        <v>7245</v>
      </c>
      <c r="Q222" s="11" t="str">
        <f t="shared" si="81"/>
        <v>Mapa de calor</v>
      </c>
      <c r="R222" s="148" t="str">
        <f>Agencia[[#This Row],[territorio]]&amp;",comunal,VIF,violencia,intrafamiliar,denuncias,CEAD,mujer,"&amp;Agencia[[#This Row],[coleccion]]&amp;","&amp;Agencia[[#This Row],[sector]]&amp;","&amp;Agencia[[#This Row],[tema]]&amp;","&amp;Agencia[[#This Row],[contenido]]</f>
        <v>Región de Arica y Parinacota,comunal,VIF,violencia,intrafamiliar,denuncias,CEAD,mujer,Agencia Información,Mujeres,Violencia Intrafamiliar,Violencia Contra la Mujer</v>
      </c>
      <c r="S222" s="39" t="str">
        <f>HYPERLINK("https://analytics.zoho.com/open-view/2395394000007782100?ZOHO_CRITERIA=%22Localiza%20CL%22.%22Codreg%22%3D"&amp;Agencia[[#This Row],[Filtro URL]])</f>
        <v>https://analytics.zoho.com/open-view/2395394000007782100?ZOHO_CRITERIA=%22Localiza%20CL%22.%22Codreg%22%3D15</v>
      </c>
      <c r="T222" s="111" t="str">
        <f>"100-C-"&amp;Agencia[[#This Row],[Filtro URL]]</f>
        <v>100-C-15</v>
      </c>
      <c r="U222" s="46" t="str">
        <f t="shared" si="96"/>
        <v>#1774B9</v>
      </c>
      <c r="V222" s="93" t="str">
        <f>+Agencia[[#This Row],[idcoleccion]]&amp;"-"&amp;Agencia[[#This Row],[id]]</f>
        <v>990-0211</v>
      </c>
      <c r="W222" s="93">
        <f>+VLOOKUP(Agencia[[#This Row],[Filtro URL]],Estructura!$X$4:$Y$500,2,0)</f>
        <v>99200015</v>
      </c>
      <c r="X222" s="93" t="str">
        <f>+VLOOKUP(Agencia[[#This Row],[tema]],Estructura!$A$4:$C$500,3,0)</f>
        <v>T-1023</v>
      </c>
      <c r="Y222" s="93" t="str">
        <f>+VLOOKUP(Agencia[[#This Row],[contenido]],Estructura!$E$4:$G$500,3,0)</f>
        <v>C-996</v>
      </c>
      <c r="Z222" s="93" t="str">
        <f>+VLOOKUP(Agencia[[#This Row],[Filtro Integrado]],Estructura!$I$4:$K$500,3,0)</f>
        <v>FI-993</v>
      </c>
      <c r="AA222" s="93" t="str">
        <f>+VLOOKUP(Agencia[[#This Row],[Muestra]],Estructura!$M$4:$O$500,3,0)</f>
        <v>M-995</v>
      </c>
    </row>
    <row r="223" spans="1:27" ht="57.6" x14ac:dyDescent="0.3">
      <c r="A223" s="21" t="s">
        <v>642</v>
      </c>
      <c r="B223" s="23">
        <f t="shared" si="97"/>
        <v>990</v>
      </c>
      <c r="C223" s="24" t="str">
        <f t="shared" si="98"/>
        <v>Agencia Información</v>
      </c>
      <c r="D223" s="72" t="str">
        <f t="shared" si="95"/>
        <v>Mujeres</v>
      </c>
      <c r="E223" s="19">
        <v>16</v>
      </c>
      <c r="F223" s="10" t="s">
        <v>786</v>
      </c>
      <c r="G223" s="10" t="s">
        <v>1877</v>
      </c>
      <c r="H223" s="33" t="s">
        <v>16</v>
      </c>
      <c r="I223" s="34" t="s">
        <v>383</v>
      </c>
      <c r="J223" s="36" t="str">
        <f t="shared" si="84"/>
        <v>Ninguno</v>
      </c>
      <c r="K223" s="9" t="str">
        <f t="shared" si="85"/>
        <v>Casos de VIF por comuna</v>
      </c>
      <c r="L223" s="9" t="str">
        <f t="shared" si="86"/>
        <v>Periodo 2020-2021</v>
      </c>
      <c r="M223" s="9" t="str">
        <f t="shared" si="87"/>
        <v>Número de Denuncias</v>
      </c>
      <c r="N223" s="9" t="str">
        <f t="shared" si="88"/>
        <v>Centro de Estudios y Análisis del Delito (CEAD) de la Subsecretaría de Prevención del Delito</v>
      </c>
      <c r="O223" s="20" t="str">
        <f>"Sentencias Dictadas por delitos de Abuso Sexual en la "&amp;Agencia[[#This Row],[territorio]]&amp;" para el "&amp;Agencia[[#This Row],[temporalidad]]</f>
        <v>Sentencias Dictadas por delitos de Abuso Sexual en la Región de Ñuble para el Periodo 2020-2021</v>
      </c>
      <c r="P223" s="112" t="s">
        <v>7246</v>
      </c>
      <c r="Q223" s="11" t="str">
        <f t="shared" si="81"/>
        <v>Mapa de calor</v>
      </c>
      <c r="R223" s="148" t="str">
        <f>Agencia[[#This Row],[territorio]]&amp;",comunal,VIF,violencia,intrafamiliar,denuncias,CEAD,mujer,"&amp;Agencia[[#This Row],[coleccion]]&amp;","&amp;Agencia[[#This Row],[sector]]&amp;","&amp;Agencia[[#This Row],[tema]]&amp;","&amp;Agencia[[#This Row],[contenido]]</f>
        <v>Región de Ñuble,comunal,VIF,violencia,intrafamiliar,denuncias,CEAD,mujer,Agencia Información,Mujeres,Violencia Intrafamiliar,Violencia Contra la Mujer</v>
      </c>
      <c r="S223" s="39" t="str">
        <f>HYPERLINK("https://analytics.zoho.com/open-view/2395394000007782100?ZOHO_CRITERIA=%22Localiza%20CL%22.%22Codreg%22%3D"&amp;Agencia[[#This Row],[Filtro URL]])</f>
        <v>https://analytics.zoho.com/open-view/2395394000007782100?ZOHO_CRITERIA=%22Localiza%20CL%22.%22Codreg%22%3D16</v>
      </c>
      <c r="T223" s="111" t="str">
        <f>"100-C-"&amp;Agencia[[#This Row],[Filtro URL]]</f>
        <v>100-C-16</v>
      </c>
      <c r="U223" s="46" t="str">
        <f t="shared" si="96"/>
        <v>#1774B9</v>
      </c>
      <c r="V223" s="93" t="str">
        <f>+Agencia[[#This Row],[idcoleccion]]&amp;"-"&amp;Agencia[[#This Row],[id]]</f>
        <v>990-0212</v>
      </c>
      <c r="W223" s="93">
        <f>+VLOOKUP(Agencia[[#This Row],[Filtro URL]],Estructura!$X$4:$Y$500,2,0)</f>
        <v>99200016</v>
      </c>
      <c r="X223" s="93" t="str">
        <f>+VLOOKUP(Agencia[[#This Row],[tema]],Estructura!$A$4:$C$500,3,0)</f>
        <v>T-1023</v>
      </c>
      <c r="Y223" s="93" t="str">
        <f>+VLOOKUP(Agencia[[#This Row],[contenido]],Estructura!$E$4:$G$500,3,0)</f>
        <v>C-996</v>
      </c>
      <c r="Z223" s="93" t="str">
        <f>+VLOOKUP(Agencia[[#This Row],[Filtro Integrado]],Estructura!$I$4:$K$500,3,0)</f>
        <v>FI-993</v>
      </c>
      <c r="AA223" s="93" t="str">
        <f>+VLOOKUP(Agencia[[#This Row],[Muestra]],Estructura!$M$4:$O$500,3,0)</f>
        <v>M-995</v>
      </c>
    </row>
    <row r="224" spans="1:27" ht="51" x14ac:dyDescent="0.3">
      <c r="A224" s="21" t="s">
        <v>643</v>
      </c>
      <c r="B224" s="23">
        <f t="shared" si="97"/>
        <v>990</v>
      </c>
      <c r="C224" s="24" t="str">
        <f t="shared" si="98"/>
        <v>Agencia Información</v>
      </c>
      <c r="D224" s="72" t="s">
        <v>571</v>
      </c>
      <c r="E224" s="14">
        <v>0</v>
      </c>
      <c r="F224" s="10" t="s">
        <v>795</v>
      </c>
      <c r="G224" s="10" t="s">
        <v>1878</v>
      </c>
      <c r="H224" s="31" t="s">
        <v>20</v>
      </c>
      <c r="I224" s="32" t="s">
        <v>15</v>
      </c>
      <c r="J224" s="9" t="str">
        <f t="shared" si="84"/>
        <v>Ninguno</v>
      </c>
      <c r="K224" s="9" t="s">
        <v>9269</v>
      </c>
      <c r="L224" s="9" t="s">
        <v>806</v>
      </c>
      <c r="M224" s="9" t="s">
        <v>574</v>
      </c>
      <c r="N224" s="9" t="s">
        <v>601</v>
      </c>
      <c r="O224" s="20" t="str">
        <f>"Toneladas de fruta producidas en "&amp;I224&amp;" por tipo de envase utilizado, "&amp;Agencia[[#This Row],[temporalidad]]</f>
        <v>Toneladas de fruta producidas en Chile por tipo de envase utilizado, Periodo 2018-2020</v>
      </c>
      <c r="P224" s="112" t="s">
        <v>796</v>
      </c>
      <c r="Q224" s="11" t="s">
        <v>807</v>
      </c>
      <c r="R224" s="20" t="str">
        <f>Agencia[[#This Row],[territorio]]&amp;"frutas,fruta,producida,producción,envases,envasada,embalaje,material,plástico,vidrio,madera,papel,cartón,metal,"&amp;Agencia[[#This Row],[coleccion]]&amp;","&amp;Agencia[[#This Row],[sector]]&amp;","&amp;Agencia[[#This Row],[tema]]&amp;","&amp;Agencia[[#This Row],[contenido]]</f>
        <v>Chilefrutas,fruta,producida,producción,envases,envasada,embalaje,material,plástico,vidrio,madera,papel,cartón,metal,Agencia Información,Agropecuario y Forestal,Producción,Agricultura</v>
      </c>
      <c r="S224" s="39" t="s">
        <v>808</v>
      </c>
      <c r="T224" s="108">
        <v>0</v>
      </c>
      <c r="U224" s="46" t="str">
        <f t="shared" si="96"/>
        <v>#1774B9</v>
      </c>
      <c r="V224" s="93" t="str">
        <f>+Agencia[[#This Row],[idcoleccion]]&amp;"-"&amp;Agencia[[#This Row],[id]]</f>
        <v>990-0213</v>
      </c>
      <c r="W224" s="93">
        <f>+VLOOKUP(Agencia[[#This Row],[Filtro URL]],Estructura!$X$4:$Y$500,2,0)</f>
        <v>99100000</v>
      </c>
      <c r="X224" s="93" t="str">
        <f>+VLOOKUP(Agencia[[#This Row],[tema]],Estructura!$A$4:$C$500,3,0)</f>
        <v>T-1024</v>
      </c>
      <c r="Y224" s="93" t="str">
        <f>+VLOOKUP(Agencia[[#This Row],[contenido]],Estructura!$E$4:$G$500,3,0)</f>
        <v>C-997</v>
      </c>
      <c r="Z224" s="93" t="str">
        <f>+VLOOKUP(Agencia[[#This Row],[Filtro Integrado]],Estructura!$I$4:$K$500,3,0)</f>
        <v>FI-993</v>
      </c>
      <c r="AA224" s="93" t="str">
        <f>+VLOOKUP(Agencia[[#This Row],[Muestra]],Estructura!$M$4:$O$500,3,0)</f>
        <v>M-1043</v>
      </c>
    </row>
    <row r="225" spans="1:27" ht="71.400000000000006" x14ac:dyDescent="0.3">
      <c r="A225" s="21" t="s">
        <v>644</v>
      </c>
      <c r="B225" s="23">
        <f t="shared" si="97"/>
        <v>990</v>
      </c>
      <c r="C225" s="24" t="str">
        <f t="shared" si="98"/>
        <v>Agencia Información</v>
      </c>
      <c r="D225" s="72" t="str">
        <f t="shared" ref="D225:D249" si="99">+D224</f>
        <v>Agropecuario y Forestal</v>
      </c>
      <c r="E225" s="14">
        <v>0</v>
      </c>
      <c r="F225" s="10" t="s">
        <v>572</v>
      </c>
      <c r="G225" s="10" t="s">
        <v>1878</v>
      </c>
      <c r="H225" s="31" t="s">
        <v>20</v>
      </c>
      <c r="I225" s="32" t="s">
        <v>15</v>
      </c>
      <c r="J225" s="9" t="s">
        <v>18</v>
      </c>
      <c r="K225" s="9" t="s">
        <v>9254</v>
      </c>
      <c r="L225" s="9" t="str">
        <f t="shared" si="86"/>
        <v>Periodo 2018-2020</v>
      </c>
      <c r="M225" s="9" t="str">
        <f t="shared" si="87"/>
        <v>Toneladas</v>
      </c>
      <c r="N225" s="9" t="s">
        <v>601</v>
      </c>
      <c r="O225" s="20" t="str">
        <f>"Proporción del destino de la fruta producida por "&amp;I225&amp;", en el "&amp;Agencia[[#This Row],[temporalidad]]</f>
        <v>Proporción del destino de la fruta producida por Chile, en el Periodo 2018-2020</v>
      </c>
      <c r="P225" s="112" t="s">
        <v>6564</v>
      </c>
      <c r="Q225" s="11" t="str">
        <f t="shared" si="81"/>
        <v xml:space="preserve">Gráfico </v>
      </c>
      <c r="R225" s="20"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Chilefruta,frutas,frutícola,producción,volumen,tonelada,europa,américa del norte,américa del sur,centro américa,asia,continente,destino,destino interno,destino externo,Agencia Información,Agropecuario y Forestal,Exportaciones,Agricultura</v>
      </c>
      <c r="S225" s="37" t="s">
        <v>809</v>
      </c>
      <c r="T225" s="108" t="s">
        <v>957</v>
      </c>
      <c r="U225" s="46" t="str">
        <f t="shared" si="96"/>
        <v>#1774B9</v>
      </c>
      <c r="V225" s="93" t="str">
        <f>+Agencia[[#This Row],[idcoleccion]]&amp;"-"&amp;Agencia[[#This Row],[id]]</f>
        <v>990-0214</v>
      </c>
      <c r="W225" s="93">
        <f>+VLOOKUP(Agencia[[#This Row],[Filtro URL]],Estructura!$X$4:$Y$500,2,0)</f>
        <v>99100000</v>
      </c>
      <c r="X225" s="93" t="str">
        <f>+VLOOKUP(Agencia[[#This Row],[tema]],Estructura!$A$4:$C$500,3,0)</f>
        <v>T-1020</v>
      </c>
      <c r="Y225" s="93" t="str">
        <f>+VLOOKUP(Agencia[[#This Row],[contenido]],Estructura!$E$4:$G$500,3,0)</f>
        <v>C-997</v>
      </c>
      <c r="Z225" s="93" t="str">
        <f>+VLOOKUP(Agencia[[#This Row],[Filtro Integrado]],Estructura!$I$4:$K$500,3,0)</f>
        <v>FI-991</v>
      </c>
      <c r="AA225" s="93" t="str">
        <f>+VLOOKUP(Agencia[[#This Row],[Muestra]],Estructura!$M$4:$O$500,3,0)</f>
        <v>M-1044</v>
      </c>
    </row>
    <row r="226" spans="1:27" ht="81.599999999999994" x14ac:dyDescent="0.3">
      <c r="A226" s="21" t="s">
        <v>645</v>
      </c>
      <c r="B226" s="23">
        <f t="shared" si="97"/>
        <v>990</v>
      </c>
      <c r="C226" s="24" t="str">
        <f t="shared" si="98"/>
        <v>Agencia Información</v>
      </c>
      <c r="D226" s="72" t="str">
        <f t="shared" si="99"/>
        <v>Agropecuario y Forestal</v>
      </c>
      <c r="E226" s="19">
        <v>1</v>
      </c>
      <c r="F226" s="10" t="s">
        <v>572</v>
      </c>
      <c r="G226" s="10" t="s">
        <v>1878</v>
      </c>
      <c r="H226" s="33" t="s">
        <v>16</v>
      </c>
      <c r="I226" s="34" t="s">
        <v>368</v>
      </c>
      <c r="J226" s="9" t="s">
        <v>18</v>
      </c>
      <c r="K226" s="9" t="str">
        <f t="shared" si="85"/>
        <v>Destino de fruta producida</v>
      </c>
      <c r="L226" s="9" t="str">
        <f t="shared" si="86"/>
        <v>Periodo 2018-2020</v>
      </c>
      <c r="M226" s="9" t="str">
        <f t="shared" si="87"/>
        <v>Toneladas</v>
      </c>
      <c r="N226" s="9" t="str">
        <f t="shared" si="88"/>
        <v>Oficina de Estudios y Políticas Agrarias (ODEPA)</v>
      </c>
      <c r="O226" s="20" t="str">
        <f>"Proporción del destino de la fruta producida por la "&amp;I226&amp;", en el "&amp;Agencia[[#This Row],[temporalidad]]</f>
        <v>Proporción del destino de la fruta producida por la Región de Tarapacá, en el Periodo 2018-2020</v>
      </c>
      <c r="P226" s="112" t="s">
        <v>6562</v>
      </c>
      <c r="Q226" s="11" t="str">
        <f t="shared" si="81"/>
        <v xml:space="preserve">Gráfico </v>
      </c>
      <c r="R226"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Tarapacáfruta,frutas,frutícola,producción,volumen,tonelada,europa,américa del norte,américa del sur,centro américa,asia,continente,destino,destino interno,destino externo,Agencia Información,Agropecuario y Forestal,Exportaciones,Agricultura</v>
      </c>
      <c r="S226" s="40" t="str">
        <f>HYPERLINK("https://analytics.zoho.com/open-view/2395394000008207486?ZOHO_CRITERIA=%224.6%22.%22C%C3%B3digo_Regi%C3%B3n%22%3D"&amp;Agencia[[#This Row],[Filtro URL]])</f>
        <v>https://analytics.zoho.com/open-view/2395394000008207486?ZOHO_CRITERIA=%224.6%22.%22C%C3%B3digo_Regi%C3%B3n%22%3D1</v>
      </c>
      <c r="T226" s="111" t="str">
        <f>"100-C-"&amp;Agencia[[#This Row],[Filtro URL]]</f>
        <v>100-C-1</v>
      </c>
      <c r="U226" s="46" t="str">
        <f t="shared" si="96"/>
        <v>#1774B9</v>
      </c>
      <c r="V226" s="93" t="str">
        <f>+Agencia[[#This Row],[idcoleccion]]&amp;"-"&amp;Agencia[[#This Row],[id]]</f>
        <v>990-0215</v>
      </c>
      <c r="W226" s="93">
        <f>+VLOOKUP(Agencia[[#This Row],[Filtro URL]],Estructura!$X$4:$Y$500,2,0)</f>
        <v>99200001</v>
      </c>
      <c r="X226" s="93" t="str">
        <f>+VLOOKUP(Agencia[[#This Row],[tema]],Estructura!$A$4:$C$500,3,0)</f>
        <v>T-1020</v>
      </c>
      <c r="Y226" s="93" t="str">
        <f>+VLOOKUP(Agencia[[#This Row],[contenido]],Estructura!$E$4:$G$500,3,0)</f>
        <v>C-997</v>
      </c>
      <c r="Z226" s="93" t="str">
        <f>+VLOOKUP(Agencia[[#This Row],[Filtro Integrado]],Estructura!$I$4:$K$500,3,0)</f>
        <v>FI-991</v>
      </c>
      <c r="AA226" s="93" t="str">
        <f>+VLOOKUP(Agencia[[#This Row],[Muestra]],Estructura!$M$4:$O$500,3,0)</f>
        <v>M-1044</v>
      </c>
    </row>
    <row r="227" spans="1:27" ht="81.599999999999994" x14ac:dyDescent="0.3">
      <c r="A227" s="21" t="s">
        <v>646</v>
      </c>
      <c r="B227" s="23">
        <f>+B226</f>
        <v>990</v>
      </c>
      <c r="C227" s="136" t="str">
        <f t="shared" si="98"/>
        <v>Agencia Información</v>
      </c>
      <c r="D227" s="136" t="str">
        <f t="shared" si="99"/>
        <v>Agropecuario y Forestal</v>
      </c>
      <c r="E227" s="19">
        <v>3</v>
      </c>
      <c r="F227" s="10" t="s">
        <v>572</v>
      </c>
      <c r="G227" s="10" t="s">
        <v>1878</v>
      </c>
      <c r="H227" s="33" t="s">
        <v>16</v>
      </c>
      <c r="I227" s="34" t="s">
        <v>370</v>
      </c>
      <c r="J227" s="136" t="str">
        <f t="shared" ref="J227:N227" si="100">+J226</f>
        <v>Comuna</v>
      </c>
      <c r="K227" s="136" t="str">
        <f t="shared" si="100"/>
        <v>Destino de fruta producida</v>
      </c>
      <c r="L227" s="136" t="str">
        <f t="shared" si="100"/>
        <v>Periodo 2018-2020</v>
      </c>
      <c r="M227" s="136" t="str">
        <f t="shared" si="100"/>
        <v>Toneladas</v>
      </c>
      <c r="N227" s="136" t="str">
        <f t="shared" si="100"/>
        <v>Oficina de Estudios y Políticas Agrarias (ODEPA)</v>
      </c>
      <c r="O227" s="20" t="str">
        <f>"Proporción del destino de la fruta producida por la "&amp;I227&amp;", en el "&amp;Agencia[[#This Row],[temporalidad]]</f>
        <v>Proporción del destino de la fruta producida por la Región de Atacama, en el Periodo 2018-2020</v>
      </c>
      <c r="P227" s="112" t="s">
        <v>6565</v>
      </c>
      <c r="Q227" s="137" t="str">
        <f t="shared" ref="Q227" si="101">+Q226</f>
        <v xml:space="preserve">Gráfico </v>
      </c>
      <c r="R227"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Atacamafruta,frutas,frutícola,producción,volumen,tonelada,europa,américa del norte,américa del sur,centro américa,asia,continente,destino,destino interno,destino externo,Agencia Información,Agropecuario y Forestal,Exportaciones,Agricultura</v>
      </c>
      <c r="S227" s="40" t="str">
        <f>HYPERLINK("https://analytics.zoho.com/open-view/2395394000008207486?ZOHO_CRITERIA=%224.6%22.%22C%C3%B3digo_Regi%C3%B3n%22%3D"&amp;Agencia[[#This Row],[Filtro URL]])</f>
        <v>https://analytics.zoho.com/open-view/2395394000008207486?ZOHO_CRITERIA=%224.6%22.%22C%C3%B3digo_Regi%C3%B3n%22%3D3</v>
      </c>
      <c r="T227" s="111" t="str">
        <f>"100-C-"&amp;Agencia[[#This Row],[Filtro URL]]</f>
        <v>100-C-3</v>
      </c>
      <c r="U227" s="46" t="str">
        <f>+U226</f>
        <v>#1774B9</v>
      </c>
      <c r="V227" s="93" t="str">
        <f>+Agencia[[#This Row],[idcoleccion]]&amp;"-"&amp;Agencia[[#This Row],[id]]</f>
        <v>990-0216</v>
      </c>
      <c r="W227" s="93">
        <f>+VLOOKUP(Agencia[[#This Row],[Filtro URL]],Estructura!$X$4:$Y$500,2,0)</f>
        <v>99200003</v>
      </c>
      <c r="X227" s="93" t="str">
        <f>+VLOOKUP(Agencia[[#This Row],[tema]],Estructura!$A$4:$C$500,3,0)</f>
        <v>T-1020</v>
      </c>
      <c r="Y227" s="93" t="str">
        <f>+VLOOKUP(Agencia[[#This Row],[contenido]],Estructura!$E$4:$G$500,3,0)</f>
        <v>C-997</v>
      </c>
      <c r="Z227" s="93" t="str">
        <f>+VLOOKUP(Agencia[[#This Row],[Filtro Integrado]],Estructura!$I$4:$K$500,3,0)</f>
        <v>FI-991</v>
      </c>
      <c r="AA227" s="93" t="str">
        <f>+VLOOKUP(Agencia[[#This Row],[Muestra]],Estructura!$M$4:$O$500,3,0)</f>
        <v>M-1044</v>
      </c>
    </row>
    <row r="228" spans="1:27" ht="81.599999999999994" x14ac:dyDescent="0.3">
      <c r="A228" s="21" t="s">
        <v>647</v>
      </c>
      <c r="B228" s="23">
        <f t="shared" si="97"/>
        <v>990</v>
      </c>
      <c r="C228" s="24" t="str">
        <f t="shared" si="98"/>
        <v>Agencia Información</v>
      </c>
      <c r="D228" s="72" t="str">
        <f t="shared" si="99"/>
        <v>Agropecuario y Forestal</v>
      </c>
      <c r="E228" s="19">
        <v>4</v>
      </c>
      <c r="F228" s="10" t="s">
        <v>572</v>
      </c>
      <c r="G228" s="10" t="s">
        <v>1878</v>
      </c>
      <c r="H228" s="33" t="s">
        <v>16</v>
      </c>
      <c r="I228" s="34" t="s">
        <v>371</v>
      </c>
      <c r="J228" s="9" t="str">
        <f t="shared" ref="J228:N238" si="102">+J227</f>
        <v>Comuna</v>
      </c>
      <c r="K228" s="9" t="str">
        <f t="shared" si="102"/>
        <v>Destino de fruta producida</v>
      </c>
      <c r="L228" s="9" t="str">
        <f t="shared" si="102"/>
        <v>Periodo 2018-2020</v>
      </c>
      <c r="M228" s="9" t="str">
        <f t="shared" si="102"/>
        <v>Toneladas</v>
      </c>
      <c r="N228" s="9" t="str">
        <f t="shared" si="102"/>
        <v>Oficina de Estudios y Políticas Agrarias (ODEPA)</v>
      </c>
      <c r="O228" s="20" t="str">
        <f>"Proporción del destino de la fruta producida por la "&amp;I228&amp;", en el "&amp;Agencia[[#This Row],[temporalidad]]</f>
        <v>Proporción del destino de la fruta producida por la Región de Coquimbo, en el Periodo 2018-2020</v>
      </c>
      <c r="P228" s="112" t="s">
        <v>6566</v>
      </c>
      <c r="Q228" s="11" t="str">
        <f t="shared" ref="Q228:Q281" si="103">+Q227</f>
        <v xml:space="preserve">Gráfico </v>
      </c>
      <c r="R228"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Coquimbofruta,frutas,frutícola,producción,volumen,tonelada,europa,américa del norte,américa del sur,centro américa,asia,continente,destino,destino interno,destino externo,Agencia Información,Agropecuario y Forestal,Exportaciones,Agricultura</v>
      </c>
      <c r="S228" s="40" t="str">
        <f>HYPERLINK("https://analytics.zoho.com/open-view/2395394000008207486?ZOHO_CRITERIA=%224.6%22.%22C%C3%B3digo_Regi%C3%B3n%22%3D"&amp;Agencia[[#This Row],[Filtro URL]])</f>
        <v>https://analytics.zoho.com/open-view/2395394000008207486?ZOHO_CRITERIA=%224.6%22.%22C%C3%B3digo_Regi%C3%B3n%22%3D4</v>
      </c>
      <c r="T228" s="111" t="str">
        <f>"100-C-"&amp;Agencia[[#This Row],[Filtro URL]]</f>
        <v>100-C-4</v>
      </c>
      <c r="U228" s="46" t="str">
        <f t="shared" si="96"/>
        <v>#1774B9</v>
      </c>
      <c r="V228" s="93" t="str">
        <f>+Agencia[[#This Row],[idcoleccion]]&amp;"-"&amp;Agencia[[#This Row],[id]]</f>
        <v>990-0217</v>
      </c>
      <c r="W228" s="93">
        <f>+VLOOKUP(Agencia[[#This Row],[Filtro URL]],Estructura!$X$4:$Y$500,2,0)</f>
        <v>99200004</v>
      </c>
      <c r="X228" s="93" t="str">
        <f>+VLOOKUP(Agencia[[#This Row],[tema]],Estructura!$A$4:$C$500,3,0)</f>
        <v>T-1020</v>
      </c>
      <c r="Y228" s="93" t="str">
        <f>+VLOOKUP(Agencia[[#This Row],[contenido]],Estructura!$E$4:$G$500,3,0)</f>
        <v>C-997</v>
      </c>
      <c r="Z228" s="93" t="str">
        <f>+VLOOKUP(Agencia[[#This Row],[Filtro Integrado]],Estructura!$I$4:$K$500,3,0)</f>
        <v>FI-991</v>
      </c>
      <c r="AA228" s="93" t="str">
        <f>+VLOOKUP(Agencia[[#This Row],[Muestra]],Estructura!$M$4:$O$500,3,0)</f>
        <v>M-1044</v>
      </c>
    </row>
    <row r="229" spans="1:27" ht="81.599999999999994" x14ac:dyDescent="0.3">
      <c r="A229" s="21" t="s">
        <v>648</v>
      </c>
      <c r="B229" s="23">
        <f t="shared" si="97"/>
        <v>990</v>
      </c>
      <c r="C229" s="24" t="str">
        <f t="shared" si="98"/>
        <v>Agencia Información</v>
      </c>
      <c r="D229" s="72" t="str">
        <f t="shared" si="99"/>
        <v>Agropecuario y Forestal</v>
      </c>
      <c r="E229" s="19">
        <v>5</v>
      </c>
      <c r="F229" s="10" t="s">
        <v>572</v>
      </c>
      <c r="G229" s="10" t="s">
        <v>1878</v>
      </c>
      <c r="H229" s="33" t="s">
        <v>16</v>
      </c>
      <c r="I229" s="34" t="s">
        <v>372</v>
      </c>
      <c r="J229" s="9" t="str">
        <f t="shared" si="102"/>
        <v>Comuna</v>
      </c>
      <c r="K229" s="9" t="str">
        <f t="shared" si="102"/>
        <v>Destino de fruta producida</v>
      </c>
      <c r="L229" s="9" t="str">
        <f t="shared" si="102"/>
        <v>Periodo 2018-2020</v>
      </c>
      <c r="M229" s="9" t="str">
        <f t="shared" si="102"/>
        <v>Toneladas</v>
      </c>
      <c r="N229" s="9" t="str">
        <f t="shared" si="102"/>
        <v>Oficina de Estudios y Políticas Agrarias (ODEPA)</v>
      </c>
      <c r="O229" s="20" t="str">
        <f>"Proporción del destino de la fruta producida por la "&amp;I229&amp;", en el "&amp;Agencia[[#This Row],[temporalidad]]</f>
        <v>Proporción del destino de la fruta producida por la Región de Valparaíso, en el Periodo 2018-2020</v>
      </c>
      <c r="P229" s="112" t="s">
        <v>6567</v>
      </c>
      <c r="Q229" s="11" t="str">
        <f t="shared" si="103"/>
        <v xml:space="preserve">Gráfico </v>
      </c>
      <c r="R229"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Valparaísofruta,frutas,frutícola,producción,volumen,tonelada,europa,américa del norte,américa del sur,centro américa,asia,continente,destino,destino interno,destino externo,Agencia Información,Agropecuario y Forestal,Exportaciones,Agricultura</v>
      </c>
      <c r="S229" s="40" t="str">
        <f>HYPERLINK("https://analytics.zoho.com/open-view/2395394000008207486?ZOHO_CRITERIA=%224.6%22.%22C%C3%B3digo_Regi%C3%B3n%22%3D"&amp;Agencia[[#This Row],[Filtro URL]])</f>
        <v>https://analytics.zoho.com/open-view/2395394000008207486?ZOHO_CRITERIA=%224.6%22.%22C%C3%B3digo_Regi%C3%B3n%22%3D5</v>
      </c>
      <c r="T229" s="111" t="str">
        <f>"100-C-"&amp;Agencia[[#This Row],[Filtro URL]]</f>
        <v>100-C-5</v>
      </c>
      <c r="U229" s="46" t="str">
        <f t="shared" si="96"/>
        <v>#1774B9</v>
      </c>
      <c r="V229" s="93" t="str">
        <f>+Agencia[[#This Row],[idcoleccion]]&amp;"-"&amp;Agencia[[#This Row],[id]]</f>
        <v>990-0218</v>
      </c>
      <c r="W229" s="93">
        <f>+VLOOKUP(Agencia[[#This Row],[Filtro URL]],Estructura!$X$4:$Y$500,2,0)</f>
        <v>99200005</v>
      </c>
      <c r="X229" s="93" t="str">
        <f>+VLOOKUP(Agencia[[#This Row],[tema]],Estructura!$A$4:$C$500,3,0)</f>
        <v>T-1020</v>
      </c>
      <c r="Y229" s="93" t="str">
        <f>+VLOOKUP(Agencia[[#This Row],[contenido]],Estructura!$E$4:$G$500,3,0)</f>
        <v>C-997</v>
      </c>
      <c r="Z229" s="93" t="str">
        <f>+VLOOKUP(Agencia[[#This Row],[Filtro Integrado]],Estructura!$I$4:$K$500,3,0)</f>
        <v>FI-991</v>
      </c>
      <c r="AA229" s="93" t="str">
        <f>+VLOOKUP(Agencia[[#This Row],[Muestra]],Estructura!$M$4:$O$500,3,0)</f>
        <v>M-1044</v>
      </c>
    </row>
    <row r="230" spans="1:27" ht="81.599999999999994" x14ac:dyDescent="0.3">
      <c r="A230" s="21" t="s">
        <v>649</v>
      </c>
      <c r="B230" s="23">
        <f t="shared" si="97"/>
        <v>990</v>
      </c>
      <c r="C230" s="24" t="str">
        <f t="shared" si="98"/>
        <v>Agencia Información</v>
      </c>
      <c r="D230" s="72" t="str">
        <f t="shared" si="99"/>
        <v>Agropecuario y Forestal</v>
      </c>
      <c r="E230" s="19">
        <v>6</v>
      </c>
      <c r="F230" s="10" t="s">
        <v>572</v>
      </c>
      <c r="G230" s="10" t="s">
        <v>1878</v>
      </c>
      <c r="H230" s="33" t="s">
        <v>16</v>
      </c>
      <c r="I230" s="34" t="s">
        <v>373</v>
      </c>
      <c r="J230" s="9" t="str">
        <f t="shared" si="102"/>
        <v>Comuna</v>
      </c>
      <c r="K230" s="9" t="str">
        <f t="shared" si="102"/>
        <v>Destino de fruta producida</v>
      </c>
      <c r="L230" s="9" t="str">
        <f t="shared" si="102"/>
        <v>Periodo 2018-2020</v>
      </c>
      <c r="M230" s="9" t="str">
        <f t="shared" si="102"/>
        <v>Toneladas</v>
      </c>
      <c r="N230" s="9" t="str">
        <f t="shared" si="102"/>
        <v>Oficina de Estudios y Políticas Agrarias (ODEPA)</v>
      </c>
      <c r="O230" s="20" t="str">
        <f>"Proporción del destino de la fruta producida por la "&amp;I230&amp;", en el "&amp;Agencia[[#This Row],[temporalidad]]</f>
        <v>Proporción del destino de la fruta producida por la Región de O'Higgins, en el Periodo 2018-2020</v>
      </c>
      <c r="P230" s="112" t="s">
        <v>6568</v>
      </c>
      <c r="Q230" s="11" t="str">
        <f t="shared" si="103"/>
        <v xml:space="preserve">Gráfico </v>
      </c>
      <c r="R230"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O'Higginsfruta,frutas,frutícola,producción,volumen,tonelada,europa,américa del norte,américa del sur,centro américa,asia,continente,destino,destino interno,destino externo,Agencia Información,Agropecuario y Forestal,Exportaciones,Agricultura</v>
      </c>
      <c r="S230" s="40" t="str">
        <f>HYPERLINK("https://analytics.zoho.com/open-view/2395394000008207486?ZOHO_CRITERIA=%224.6%22.%22C%C3%B3digo_Regi%C3%B3n%22%3D"&amp;Agencia[[#This Row],[Filtro URL]])</f>
        <v>https://analytics.zoho.com/open-view/2395394000008207486?ZOHO_CRITERIA=%224.6%22.%22C%C3%B3digo_Regi%C3%B3n%22%3D6</v>
      </c>
      <c r="T230" s="111" t="str">
        <f>"100-C-"&amp;Agencia[[#This Row],[Filtro URL]]</f>
        <v>100-C-6</v>
      </c>
      <c r="U230" s="46" t="str">
        <f t="shared" si="96"/>
        <v>#1774B9</v>
      </c>
      <c r="V230" s="93" t="str">
        <f>+Agencia[[#This Row],[idcoleccion]]&amp;"-"&amp;Agencia[[#This Row],[id]]</f>
        <v>990-0219</v>
      </c>
      <c r="W230" s="93">
        <f>+VLOOKUP(Agencia[[#This Row],[Filtro URL]],Estructura!$X$4:$Y$500,2,0)</f>
        <v>99200006</v>
      </c>
      <c r="X230" s="93" t="str">
        <f>+VLOOKUP(Agencia[[#This Row],[tema]],Estructura!$A$4:$C$500,3,0)</f>
        <v>T-1020</v>
      </c>
      <c r="Y230" s="93" t="str">
        <f>+VLOOKUP(Agencia[[#This Row],[contenido]],Estructura!$E$4:$G$500,3,0)</f>
        <v>C-997</v>
      </c>
      <c r="Z230" s="93" t="str">
        <f>+VLOOKUP(Agencia[[#This Row],[Filtro Integrado]],Estructura!$I$4:$K$500,3,0)</f>
        <v>FI-991</v>
      </c>
      <c r="AA230" s="93" t="str">
        <f>+VLOOKUP(Agencia[[#This Row],[Muestra]],Estructura!$M$4:$O$500,3,0)</f>
        <v>M-1044</v>
      </c>
    </row>
    <row r="231" spans="1:27" ht="81.599999999999994" x14ac:dyDescent="0.3">
      <c r="A231" s="21" t="s">
        <v>650</v>
      </c>
      <c r="B231" s="23">
        <f t="shared" si="97"/>
        <v>990</v>
      </c>
      <c r="C231" s="24" t="str">
        <f t="shared" si="98"/>
        <v>Agencia Información</v>
      </c>
      <c r="D231" s="72" t="str">
        <f t="shared" si="99"/>
        <v>Agropecuario y Forestal</v>
      </c>
      <c r="E231" s="19">
        <v>7</v>
      </c>
      <c r="F231" s="10" t="s">
        <v>572</v>
      </c>
      <c r="G231" s="10" t="s">
        <v>1878</v>
      </c>
      <c r="H231" s="33" t="s">
        <v>16</v>
      </c>
      <c r="I231" s="34" t="s">
        <v>374</v>
      </c>
      <c r="J231" s="9" t="str">
        <f t="shared" si="102"/>
        <v>Comuna</v>
      </c>
      <c r="K231" s="9" t="str">
        <f t="shared" si="102"/>
        <v>Destino de fruta producida</v>
      </c>
      <c r="L231" s="9" t="str">
        <f t="shared" si="102"/>
        <v>Periodo 2018-2020</v>
      </c>
      <c r="M231" s="9" t="str">
        <f t="shared" si="102"/>
        <v>Toneladas</v>
      </c>
      <c r="N231" s="9" t="str">
        <f t="shared" si="102"/>
        <v>Oficina de Estudios y Políticas Agrarias (ODEPA)</v>
      </c>
      <c r="O231" s="20" t="str">
        <f>"Proporción del destino de la fruta producida por la "&amp;I231&amp;", en el "&amp;Agencia[[#This Row],[temporalidad]]</f>
        <v>Proporción del destino de la fruta producida por la Región de Maule, en el Periodo 2018-2020</v>
      </c>
      <c r="P231" s="112" t="s">
        <v>6569</v>
      </c>
      <c r="Q231" s="11" t="str">
        <f t="shared" si="103"/>
        <v xml:space="preserve">Gráfico </v>
      </c>
      <c r="R231"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Maulefruta,frutas,frutícola,producción,volumen,tonelada,europa,américa del norte,américa del sur,centro américa,asia,continente,destino,destino interno,destino externo,Agencia Información,Agropecuario y Forestal,Exportaciones,Agricultura</v>
      </c>
      <c r="S231" s="40" t="str">
        <f>HYPERLINK("https://analytics.zoho.com/open-view/2395394000008207486?ZOHO_CRITERIA=%224.6%22.%22C%C3%B3digo_Regi%C3%B3n%22%3D"&amp;Agencia[[#This Row],[Filtro URL]])</f>
        <v>https://analytics.zoho.com/open-view/2395394000008207486?ZOHO_CRITERIA=%224.6%22.%22C%C3%B3digo_Regi%C3%B3n%22%3D7</v>
      </c>
      <c r="T231" s="111" t="str">
        <f>"100-C-"&amp;Agencia[[#This Row],[Filtro URL]]</f>
        <v>100-C-7</v>
      </c>
      <c r="U231" s="46" t="str">
        <f t="shared" si="96"/>
        <v>#1774B9</v>
      </c>
      <c r="V231" s="93" t="str">
        <f>+Agencia[[#This Row],[idcoleccion]]&amp;"-"&amp;Agencia[[#This Row],[id]]</f>
        <v>990-0220</v>
      </c>
      <c r="W231" s="93">
        <f>+VLOOKUP(Agencia[[#This Row],[Filtro URL]],Estructura!$X$4:$Y$500,2,0)</f>
        <v>99200007</v>
      </c>
      <c r="X231" s="93" t="str">
        <f>+VLOOKUP(Agencia[[#This Row],[tema]],Estructura!$A$4:$C$500,3,0)</f>
        <v>T-1020</v>
      </c>
      <c r="Y231" s="93" t="str">
        <f>+VLOOKUP(Agencia[[#This Row],[contenido]],Estructura!$E$4:$G$500,3,0)</f>
        <v>C-997</v>
      </c>
      <c r="Z231" s="93" t="str">
        <f>+VLOOKUP(Agencia[[#This Row],[Filtro Integrado]],Estructura!$I$4:$K$500,3,0)</f>
        <v>FI-991</v>
      </c>
      <c r="AA231" s="93" t="str">
        <f>+VLOOKUP(Agencia[[#This Row],[Muestra]],Estructura!$M$4:$O$500,3,0)</f>
        <v>M-1044</v>
      </c>
    </row>
    <row r="232" spans="1:27" ht="81.599999999999994" x14ac:dyDescent="0.3">
      <c r="A232" s="21" t="s">
        <v>651</v>
      </c>
      <c r="B232" s="23">
        <f t="shared" si="97"/>
        <v>990</v>
      </c>
      <c r="C232" s="24" t="str">
        <f t="shared" si="98"/>
        <v>Agencia Información</v>
      </c>
      <c r="D232" s="72" t="str">
        <f t="shared" si="99"/>
        <v>Agropecuario y Forestal</v>
      </c>
      <c r="E232" s="19">
        <v>8</v>
      </c>
      <c r="F232" s="10" t="s">
        <v>572</v>
      </c>
      <c r="G232" s="10" t="s">
        <v>1878</v>
      </c>
      <c r="H232" s="33" t="s">
        <v>16</v>
      </c>
      <c r="I232" s="34" t="s">
        <v>375</v>
      </c>
      <c r="J232" s="9" t="str">
        <f t="shared" si="102"/>
        <v>Comuna</v>
      </c>
      <c r="K232" s="9" t="str">
        <f t="shared" si="102"/>
        <v>Destino de fruta producida</v>
      </c>
      <c r="L232" s="9" t="str">
        <f t="shared" si="102"/>
        <v>Periodo 2018-2020</v>
      </c>
      <c r="M232" s="9" t="str">
        <f t="shared" si="102"/>
        <v>Toneladas</v>
      </c>
      <c r="N232" s="9" t="str">
        <f t="shared" si="102"/>
        <v>Oficina de Estudios y Políticas Agrarias (ODEPA)</v>
      </c>
      <c r="O232" s="20" t="str">
        <f>"Proporción del destino de la fruta producida por la "&amp;I232&amp;", en el "&amp;Agencia[[#This Row],[temporalidad]]</f>
        <v>Proporción del destino de la fruta producida por la Región del Biobío, en el Periodo 2018-2020</v>
      </c>
      <c r="P232" s="112" t="s">
        <v>6570</v>
      </c>
      <c r="Q232" s="11" t="str">
        <f t="shared" si="103"/>
        <v xml:space="preserve">Gráfico </v>
      </c>
      <c r="R232"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del Biobíofruta,frutas,frutícola,producción,volumen,tonelada,europa,américa del norte,américa del sur,centro américa,asia,continente,destino,destino interno,destino externo,Agencia Información,Agropecuario y Forestal,Exportaciones,Agricultura</v>
      </c>
      <c r="S232" s="40" t="str">
        <f>HYPERLINK("https://analytics.zoho.com/open-view/2395394000008207486?ZOHO_CRITERIA=%224.6%22.%22C%C3%B3digo_Regi%C3%B3n%22%3D"&amp;Agencia[[#This Row],[Filtro URL]])</f>
        <v>https://analytics.zoho.com/open-view/2395394000008207486?ZOHO_CRITERIA=%224.6%22.%22C%C3%B3digo_Regi%C3%B3n%22%3D8</v>
      </c>
      <c r="T232" s="111" t="str">
        <f>"100-C-"&amp;Agencia[[#This Row],[Filtro URL]]</f>
        <v>100-C-8</v>
      </c>
      <c r="U232" s="46" t="str">
        <f t="shared" si="96"/>
        <v>#1774B9</v>
      </c>
      <c r="V232" s="93" t="str">
        <f>+Agencia[[#This Row],[idcoleccion]]&amp;"-"&amp;Agencia[[#This Row],[id]]</f>
        <v>990-0221</v>
      </c>
      <c r="W232" s="93">
        <f>+VLOOKUP(Agencia[[#This Row],[Filtro URL]],Estructura!$X$4:$Y$500,2,0)</f>
        <v>99200008</v>
      </c>
      <c r="X232" s="93" t="str">
        <f>+VLOOKUP(Agencia[[#This Row],[tema]],Estructura!$A$4:$C$500,3,0)</f>
        <v>T-1020</v>
      </c>
      <c r="Y232" s="93" t="str">
        <f>+VLOOKUP(Agencia[[#This Row],[contenido]],Estructura!$E$4:$G$500,3,0)</f>
        <v>C-997</v>
      </c>
      <c r="Z232" s="93" t="str">
        <f>+VLOOKUP(Agencia[[#This Row],[Filtro Integrado]],Estructura!$I$4:$K$500,3,0)</f>
        <v>FI-991</v>
      </c>
      <c r="AA232" s="93" t="str">
        <f>+VLOOKUP(Agencia[[#This Row],[Muestra]],Estructura!$M$4:$O$500,3,0)</f>
        <v>M-1044</v>
      </c>
    </row>
    <row r="233" spans="1:27" ht="81.599999999999994" x14ac:dyDescent="0.3">
      <c r="A233" s="21" t="s">
        <v>652</v>
      </c>
      <c r="B233" s="23">
        <f t="shared" si="97"/>
        <v>990</v>
      </c>
      <c r="C233" s="24" t="str">
        <f t="shared" si="98"/>
        <v>Agencia Información</v>
      </c>
      <c r="D233" s="72" t="str">
        <f t="shared" si="99"/>
        <v>Agropecuario y Forestal</v>
      </c>
      <c r="E233" s="19">
        <v>9</v>
      </c>
      <c r="F233" s="10" t="s">
        <v>572</v>
      </c>
      <c r="G233" s="10" t="s">
        <v>1878</v>
      </c>
      <c r="H233" s="33" t="s">
        <v>16</v>
      </c>
      <c r="I233" s="34" t="s">
        <v>376</v>
      </c>
      <c r="J233" s="9" t="str">
        <f t="shared" si="102"/>
        <v>Comuna</v>
      </c>
      <c r="K233" s="9" t="str">
        <f t="shared" si="102"/>
        <v>Destino de fruta producida</v>
      </c>
      <c r="L233" s="9" t="str">
        <f t="shared" si="102"/>
        <v>Periodo 2018-2020</v>
      </c>
      <c r="M233" s="9" t="str">
        <f t="shared" si="102"/>
        <v>Toneladas</v>
      </c>
      <c r="N233" s="9" t="str">
        <f t="shared" si="102"/>
        <v>Oficina de Estudios y Políticas Agrarias (ODEPA)</v>
      </c>
      <c r="O233" s="20" t="str">
        <f>"Proporción del destino de la fruta producida por la "&amp;I233&amp;", en el "&amp;Agencia[[#This Row],[temporalidad]]</f>
        <v>Proporción del destino de la fruta producida por la Región de La Araucanía, en el Periodo 2018-2020</v>
      </c>
      <c r="P233" s="112" t="s">
        <v>6571</v>
      </c>
      <c r="Q233" s="11" t="str">
        <f t="shared" si="103"/>
        <v xml:space="preserve">Gráfico </v>
      </c>
      <c r="R233"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La Araucaníafruta,frutas,frutícola,producción,volumen,tonelada,europa,américa del norte,américa del sur,centro américa,asia,continente,destino,destino interno,destino externo,Agencia Información,Agropecuario y Forestal,Exportaciones,Agricultura</v>
      </c>
      <c r="S233" s="40" t="str">
        <f>HYPERLINK("https://analytics.zoho.com/open-view/2395394000008207486?ZOHO_CRITERIA=%224.6%22.%22C%C3%B3digo_Regi%C3%B3n%22%3D"&amp;Agencia[[#This Row],[Filtro URL]])</f>
        <v>https://analytics.zoho.com/open-view/2395394000008207486?ZOHO_CRITERIA=%224.6%22.%22C%C3%B3digo_Regi%C3%B3n%22%3D9</v>
      </c>
      <c r="T233" s="111" t="str">
        <f>"100-C-"&amp;Agencia[[#This Row],[Filtro URL]]</f>
        <v>100-C-9</v>
      </c>
      <c r="U233" s="46" t="str">
        <f t="shared" si="96"/>
        <v>#1774B9</v>
      </c>
      <c r="V233" s="93" t="str">
        <f>+Agencia[[#This Row],[idcoleccion]]&amp;"-"&amp;Agencia[[#This Row],[id]]</f>
        <v>990-0222</v>
      </c>
      <c r="W233" s="93">
        <f>+VLOOKUP(Agencia[[#This Row],[Filtro URL]],Estructura!$X$4:$Y$500,2,0)</f>
        <v>99200009</v>
      </c>
      <c r="X233" s="93" t="str">
        <f>+VLOOKUP(Agencia[[#This Row],[tema]],Estructura!$A$4:$C$500,3,0)</f>
        <v>T-1020</v>
      </c>
      <c r="Y233" s="93" t="str">
        <f>+VLOOKUP(Agencia[[#This Row],[contenido]],Estructura!$E$4:$G$500,3,0)</f>
        <v>C-997</v>
      </c>
      <c r="Z233" s="93" t="str">
        <f>+VLOOKUP(Agencia[[#This Row],[Filtro Integrado]],Estructura!$I$4:$K$500,3,0)</f>
        <v>FI-991</v>
      </c>
      <c r="AA233" s="93" t="str">
        <f>+VLOOKUP(Agencia[[#This Row],[Muestra]],Estructura!$M$4:$O$500,3,0)</f>
        <v>M-1044</v>
      </c>
    </row>
    <row r="234" spans="1:27" ht="81.599999999999994" x14ac:dyDescent="0.3">
      <c r="A234" s="21" t="s">
        <v>653</v>
      </c>
      <c r="B234" s="23">
        <f t="shared" si="97"/>
        <v>990</v>
      </c>
      <c r="C234" s="24" t="str">
        <f t="shared" si="98"/>
        <v>Agencia Información</v>
      </c>
      <c r="D234" s="72" t="str">
        <f t="shared" si="99"/>
        <v>Agropecuario y Forestal</v>
      </c>
      <c r="E234" s="19">
        <v>10</v>
      </c>
      <c r="F234" s="10" t="s">
        <v>572</v>
      </c>
      <c r="G234" s="10" t="s">
        <v>1878</v>
      </c>
      <c r="H234" s="33" t="s">
        <v>16</v>
      </c>
      <c r="I234" s="34" t="s">
        <v>377</v>
      </c>
      <c r="J234" s="9" t="str">
        <f t="shared" si="102"/>
        <v>Comuna</v>
      </c>
      <c r="K234" s="9" t="str">
        <f t="shared" si="102"/>
        <v>Destino de fruta producida</v>
      </c>
      <c r="L234" s="9" t="str">
        <f t="shared" si="102"/>
        <v>Periodo 2018-2020</v>
      </c>
      <c r="M234" s="9" t="str">
        <f t="shared" si="102"/>
        <v>Toneladas</v>
      </c>
      <c r="N234" s="9" t="str">
        <f t="shared" si="102"/>
        <v>Oficina de Estudios y Políticas Agrarias (ODEPA)</v>
      </c>
      <c r="O234" s="20" t="str">
        <f>"Proporción del destino de la fruta producida por la "&amp;I234&amp;", en el "&amp;Agencia[[#This Row],[temporalidad]]</f>
        <v>Proporción del destino de la fruta producida por la Región de Los Lagos, en el Periodo 2018-2020</v>
      </c>
      <c r="P234" s="112" t="s">
        <v>6572</v>
      </c>
      <c r="Q234" s="11" t="str">
        <f t="shared" si="103"/>
        <v xml:space="preserve">Gráfico </v>
      </c>
      <c r="R234"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Los Lagosfruta,frutas,frutícola,producción,volumen,tonelada,europa,américa del norte,américa del sur,centro américa,asia,continente,destino,destino interno,destino externo,Agencia Información,Agropecuario y Forestal,Exportaciones,Agricultura</v>
      </c>
      <c r="S234" s="40" t="str">
        <f>HYPERLINK("https://analytics.zoho.com/open-view/2395394000008207486?ZOHO_CRITERIA=%224.6%22.%22C%C3%B3digo_Regi%C3%B3n%22%3D"&amp;Agencia[[#This Row],[Filtro URL]])</f>
        <v>https://analytics.zoho.com/open-view/2395394000008207486?ZOHO_CRITERIA=%224.6%22.%22C%C3%B3digo_Regi%C3%B3n%22%3D10</v>
      </c>
      <c r="T234" s="111" t="str">
        <f>"100-C-"&amp;Agencia[[#This Row],[Filtro URL]]</f>
        <v>100-C-10</v>
      </c>
      <c r="U234" s="46" t="str">
        <f t="shared" si="96"/>
        <v>#1774B9</v>
      </c>
      <c r="V234" s="93" t="str">
        <f>+Agencia[[#This Row],[idcoleccion]]&amp;"-"&amp;Agencia[[#This Row],[id]]</f>
        <v>990-0223</v>
      </c>
      <c r="W234" s="93">
        <f>+VLOOKUP(Agencia[[#This Row],[Filtro URL]],Estructura!$X$4:$Y$500,2,0)</f>
        <v>99200010</v>
      </c>
      <c r="X234" s="93" t="str">
        <f>+VLOOKUP(Agencia[[#This Row],[tema]],Estructura!$A$4:$C$500,3,0)</f>
        <v>T-1020</v>
      </c>
      <c r="Y234" s="93" t="str">
        <f>+VLOOKUP(Agencia[[#This Row],[contenido]],Estructura!$E$4:$G$500,3,0)</f>
        <v>C-997</v>
      </c>
      <c r="Z234" s="93" t="str">
        <f>+VLOOKUP(Agencia[[#This Row],[Filtro Integrado]],Estructura!$I$4:$K$500,3,0)</f>
        <v>FI-991</v>
      </c>
      <c r="AA234" s="93" t="str">
        <f>+VLOOKUP(Agencia[[#This Row],[Muestra]],Estructura!$M$4:$O$500,3,0)</f>
        <v>M-1044</v>
      </c>
    </row>
    <row r="235" spans="1:27" ht="81.599999999999994" x14ac:dyDescent="0.3">
      <c r="A235" s="21" t="s">
        <v>654</v>
      </c>
      <c r="B235" s="23">
        <f>+B234</f>
        <v>990</v>
      </c>
      <c r="C235" s="136" t="str">
        <f t="shared" si="98"/>
        <v>Agencia Información</v>
      </c>
      <c r="D235" s="136" t="str">
        <f t="shared" si="99"/>
        <v>Agropecuario y Forestal</v>
      </c>
      <c r="E235" s="19">
        <v>13</v>
      </c>
      <c r="F235" s="10" t="s">
        <v>572</v>
      </c>
      <c r="G235" s="10" t="s">
        <v>1878</v>
      </c>
      <c r="H235" s="33" t="s">
        <v>16</v>
      </c>
      <c r="I235" s="34" t="s">
        <v>380</v>
      </c>
      <c r="J235" s="136" t="str">
        <f t="shared" si="102"/>
        <v>Comuna</v>
      </c>
      <c r="K235" s="136" t="str">
        <f t="shared" si="102"/>
        <v>Destino de fruta producida</v>
      </c>
      <c r="L235" s="136" t="str">
        <f t="shared" si="102"/>
        <v>Periodo 2018-2020</v>
      </c>
      <c r="M235" s="136" t="str">
        <f t="shared" si="102"/>
        <v>Toneladas</v>
      </c>
      <c r="N235" s="136" t="str">
        <f t="shared" si="102"/>
        <v>Oficina de Estudios y Políticas Agrarias (ODEPA)</v>
      </c>
      <c r="O235" s="20" t="str">
        <f>"Proporción del destino de la fruta producida por la "&amp;I235&amp;", en el "&amp;Agencia[[#This Row],[temporalidad]]</f>
        <v>Proporción del destino de la fruta producida por la Región Metropolitana, en el Periodo 2018-2020</v>
      </c>
      <c r="P235" s="112" t="s">
        <v>6573</v>
      </c>
      <c r="Q235" s="136" t="str">
        <f t="shared" si="103"/>
        <v xml:space="preserve">Gráfico </v>
      </c>
      <c r="R235"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Metropolitanafruta,frutas,frutícola,producción,volumen,tonelada,europa,américa del norte,américa del sur,centro américa,asia,continente,destino,destino interno,destino externo,Agencia Información,Agropecuario y Forestal,Exportaciones,Agricultura</v>
      </c>
      <c r="S235" s="40" t="str">
        <f>HYPERLINK("https://analytics.zoho.com/open-view/2395394000008207486?ZOHO_CRITERIA=%224.6%22.%22C%C3%B3digo_Regi%C3%B3n%22%3D"&amp;Agencia[[#This Row],[Filtro URL]])</f>
        <v>https://analytics.zoho.com/open-view/2395394000008207486?ZOHO_CRITERIA=%224.6%22.%22C%C3%B3digo_Regi%C3%B3n%22%3D13</v>
      </c>
      <c r="T235" s="111" t="str">
        <f>"200-C-"&amp;Agencia[[#This Row],[Filtro URL]]</f>
        <v>200-C-13</v>
      </c>
      <c r="U235" s="46" t="str">
        <f>+U234</f>
        <v>#1774B9</v>
      </c>
      <c r="V235" s="93" t="str">
        <f>+Agencia[[#This Row],[idcoleccion]]&amp;"-"&amp;Agencia[[#This Row],[id]]</f>
        <v>990-0224</v>
      </c>
      <c r="W235" s="93">
        <f>+VLOOKUP(Agencia[[#This Row],[Filtro URL]],Estructura!$X$4:$Y$500,2,0)</f>
        <v>99200013</v>
      </c>
      <c r="X235" s="93" t="str">
        <f>+VLOOKUP(Agencia[[#This Row],[tema]],Estructura!$A$4:$C$500,3,0)</f>
        <v>T-1020</v>
      </c>
      <c r="Y235" s="93" t="str">
        <f>+VLOOKUP(Agencia[[#This Row],[contenido]],Estructura!$E$4:$G$500,3,0)</f>
        <v>C-997</v>
      </c>
      <c r="Z235" s="93" t="str">
        <f>+VLOOKUP(Agencia[[#This Row],[Filtro Integrado]],Estructura!$I$4:$K$500,3,0)</f>
        <v>FI-991</v>
      </c>
      <c r="AA235" s="93" t="str">
        <f>+VLOOKUP(Agencia[[#This Row],[Muestra]],Estructura!$M$4:$O$500,3,0)</f>
        <v>M-1044</v>
      </c>
    </row>
    <row r="236" spans="1:27" ht="81.599999999999994" x14ac:dyDescent="0.3">
      <c r="A236" s="21" t="s">
        <v>655</v>
      </c>
      <c r="B236" s="23">
        <f t="shared" si="97"/>
        <v>990</v>
      </c>
      <c r="C236" s="24" t="str">
        <f t="shared" si="98"/>
        <v>Agencia Información</v>
      </c>
      <c r="D236" s="72" t="str">
        <f t="shared" si="99"/>
        <v>Agropecuario y Forestal</v>
      </c>
      <c r="E236" s="19">
        <v>14</v>
      </c>
      <c r="F236" s="10" t="s">
        <v>572</v>
      </c>
      <c r="G236" s="10" t="s">
        <v>1878</v>
      </c>
      <c r="H236" s="33" t="s">
        <v>16</v>
      </c>
      <c r="I236" s="34" t="s">
        <v>381</v>
      </c>
      <c r="J236" s="9" t="str">
        <f t="shared" si="102"/>
        <v>Comuna</v>
      </c>
      <c r="K236" s="9" t="str">
        <f t="shared" si="102"/>
        <v>Destino de fruta producida</v>
      </c>
      <c r="L236" s="9" t="str">
        <f t="shared" si="102"/>
        <v>Periodo 2018-2020</v>
      </c>
      <c r="M236" s="9" t="str">
        <f t="shared" si="102"/>
        <v>Toneladas</v>
      </c>
      <c r="N236" s="9" t="str">
        <f t="shared" si="102"/>
        <v>Oficina de Estudios y Políticas Agrarias (ODEPA)</v>
      </c>
      <c r="O236" s="20" t="str">
        <f>"Proporción del destino de la fruta producida por la "&amp;I236&amp;", en el "&amp;Agencia[[#This Row],[temporalidad]]</f>
        <v>Proporción del destino de la fruta producida por la Región de Los Ríos, en el Periodo 2018-2020</v>
      </c>
      <c r="P236" s="112" t="s">
        <v>6574</v>
      </c>
      <c r="Q236" s="11" t="str">
        <f t="shared" si="103"/>
        <v xml:space="preserve">Gráfico </v>
      </c>
      <c r="R236"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Los Ríosfruta,frutas,frutícola,producción,volumen,tonelada,europa,américa del norte,américa del sur,centro américa,asia,continente,destino,destino interno,destino externo,Agencia Información,Agropecuario y Forestal,Exportaciones,Agricultura</v>
      </c>
      <c r="S236" s="40" t="str">
        <f>HYPERLINK("https://analytics.zoho.com/open-view/2395394000008207486?ZOHO_CRITERIA=%224.6%22.%22C%C3%B3digo_Regi%C3%B3n%22%3D"&amp;Agencia[[#This Row],[Filtro URL]])</f>
        <v>https://analytics.zoho.com/open-view/2395394000008207486?ZOHO_CRITERIA=%224.6%22.%22C%C3%B3digo_Regi%C3%B3n%22%3D14</v>
      </c>
      <c r="T236" s="111" t="str">
        <f>"100-C-"&amp;Agencia[[#This Row],[Filtro URL]]</f>
        <v>100-C-14</v>
      </c>
      <c r="U236" s="46" t="str">
        <f t="shared" si="96"/>
        <v>#1774B9</v>
      </c>
      <c r="V236" s="93" t="str">
        <f>+Agencia[[#This Row],[idcoleccion]]&amp;"-"&amp;Agencia[[#This Row],[id]]</f>
        <v>990-0225</v>
      </c>
      <c r="W236" s="93">
        <f>+VLOOKUP(Agencia[[#This Row],[Filtro URL]],Estructura!$X$4:$Y$500,2,0)</f>
        <v>99200014</v>
      </c>
      <c r="X236" s="93" t="str">
        <f>+VLOOKUP(Agencia[[#This Row],[tema]],Estructura!$A$4:$C$500,3,0)</f>
        <v>T-1020</v>
      </c>
      <c r="Y236" s="93" t="str">
        <f>+VLOOKUP(Agencia[[#This Row],[contenido]],Estructura!$E$4:$G$500,3,0)</f>
        <v>C-997</v>
      </c>
      <c r="Z236" s="93" t="str">
        <f>+VLOOKUP(Agencia[[#This Row],[Filtro Integrado]],Estructura!$I$4:$K$500,3,0)</f>
        <v>FI-991</v>
      </c>
      <c r="AA236" s="93" t="str">
        <f>+VLOOKUP(Agencia[[#This Row],[Muestra]],Estructura!$M$4:$O$500,3,0)</f>
        <v>M-1044</v>
      </c>
    </row>
    <row r="237" spans="1:27" ht="81.599999999999994" x14ac:dyDescent="0.3">
      <c r="A237" s="21" t="s">
        <v>656</v>
      </c>
      <c r="B237" s="23">
        <f t="shared" si="97"/>
        <v>990</v>
      </c>
      <c r="C237" s="24" t="str">
        <f t="shared" si="98"/>
        <v>Agencia Información</v>
      </c>
      <c r="D237" s="72" t="str">
        <f t="shared" si="99"/>
        <v>Agropecuario y Forestal</v>
      </c>
      <c r="E237" s="19">
        <v>15</v>
      </c>
      <c r="F237" s="10" t="s">
        <v>572</v>
      </c>
      <c r="G237" s="10" t="s">
        <v>1878</v>
      </c>
      <c r="H237" s="33" t="s">
        <v>16</v>
      </c>
      <c r="I237" s="34" t="s">
        <v>382</v>
      </c>
      <c r="J237" s="9" t="str">
        <f t="shared" si="102"/>
        <v>Comuna</v>
      </c>
      <c r="K237" s="9" t="str">
        <f t="shared" si="102"/>
        <v>Destino de fruta producida</v>
      </c>
      <c r="L237" s="9" t="str">
        <f t="shared" si="102"/>
        <v>Periodo 2018-2020</v>
      </c>
      <c r="M237" s="9" t="str">
        <f t="shared" si="102"/>
        <v>Toneladas</v>
      </c>
      <c r="N237" s="9" t="str">
        <f t="shared" si="102"/>
        <v>Oficina de Estudios y Políticas Agrarias (ODEPA)</v>
      </c>
      <c r="O237" s="20" t="str">
        <f>"Proporción del destino de la fruta producida por la "&amp;I237&amp;", en el "&amp;Agencia[[#This Row],[temporalidad]]</f>
        <v>Proporción del destino de la fruta producida por la Región de Arica y Parinacota, en el Periodo 2018-2020</v>
      </c>
      <c r="P237" s="112" t="s">
        <v>6563</v>
      </c>
      <c r="Q237" s="11" t="str">
        <f t="shared" si="103"/>
        <v xml:space="preserve">Gráfico </v>
      </c>
      <c r="R237"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Arica y Parinacotafruta,frutas,frutícola,producción,volumen,tonelada,europa,américa del norte,américa del sur,centro américa,asia,continente,destino,destino interno,destino externo,Agencia Información,Agropecuario y Forestal,Exportaciones,Agricultura</v>
      </c>
      <c r="S237" s="40" t="str">
        <f>HYPERLINK("https://analytics.zoho.com/open-view/2395394000008207486?ZOHO_CRITERIA=%224.6%22.%22C%C3%B3digo_Regi%C3%B3n%22%3D"&amp;Agencia[[#This Row],[Filtro URL]])</f>
        <v>https://analytics.zoho.com/open-view/2395394000008207486?ZOHO_CRITERIA=%224.6%22.%22C%C3%B3digo_Regi%C3%B3n%22%3D15</v>
      </c>
      <c r="T237" s="111" t="str">
        <f>"100-C-"&amp;Agencia[[#This Row],[Filtro URL]]</f>
        <v>100-C-15</v>
      </c>
      <c r="U237" s="46" t="str">
        <f t="shared" ref="U237:U244" si="104">+U236</f>
        <v>#1774B9</v>
      </c>
      <c r="V237" s="93" t="str">
        <f>+Agencia[[#This Row],[idcoleccion]]&amp;"-"&amp;Agencia[[#This Row],[id]]</f>
        <v>990-0226</v>
      </c>
      <c r="W237" s="93">
        <f>+VLOOKUP(Agencia[[#This Row],[Filtro URL]],Estructura!$X$4:$Y$500,2,0)</f>
        <v>99200015</v>
      </c>
      <c r="X237" s="93" t="str">
        <f>+VLOOKUP(Agencia[[#This Row],[tema]],Estructura!$A$4:$C$500,3,0)</f>
        <v>T-1020</v>
      </c>
      <c r="Y237" s="93" t="str">
        <f>+VLOOKUP(Agencia[[#This Row],[contenido]],Estructura!$E$4:$G$500,3,0)</f>
        <v>C-997</v>
      </c>
      <c r="Z237" s="93" t="str">
        <f>+VLOOKUP(Agencia[[#This Row],[Filtro Integrado]],Estructura!$I$4:$K$500,3,0)</f>
        <v>FI-991</v>
      </c>
      <c r="AA237" s="93" t="str">
        <f>+VLOOKUP(Agencia[[#This Row],[Muestra]],Estructura!$M$4:$O$500,3,0)</f>
        <v>M-1044</v>
      </c>
    </row>
    <row r="238" spans="1:27" ht="81.599999999999994" x14ac:dyDescent="0.3">
      <c r="A238" s="21" t="s">
        <v>657</v>
      </c>
      <c r="B238" s="23">
        <f t="shared" si="97"/>
        <v>990</v>
      </c>
      <c r="C238" s="24" t="str">
        <f t="shared" si="98"/>
        <v>Agencia Información</v>
      </c>
      <c r="D238" s="72" t="str">
        <f t="shared" si="99"/>
        <v>Agropecuario y Forestal</v>
      </c>
      <c r="E238" s="19">
        <v>16</v>
      </c>
      <c r="F238" s="10" t="s">
        <v>572</v>
      </c>
      <c r="G238" s="10" t="s">
        <v>1878</v>
      </c>
      <c r="H238" s="33" t="s">
        <v>16</v>
      </c>
      <c r="I238" s="34" t="s">
        <v>383</v>
      </c>
      <c r="J238" s="9" t="str">
        <f t="shared" si="102"/>
        <v>Comuna</v>
      </c>
      <c r="K238" s="9" t="str">
        <f t="shared" si="102"/>
        <v>Destino de fruta producida</v>
      </c>
      <c r="L238" s="9" t="str">
        <f t="shared" si="102"/>
        <v>Periodo 2018-2020</v>
      </c>
      <c r="M238" s="9" t="str">
        <f t="shared" si="102"/>
        <v>Toneladas</v>
      </c>
      <c r="N238" s="9" t="str">
        <f t="shared" si="102"/>
        <v>Oficina de Estudios y Políticas Agrarias (ODEPA)</v>
      </c>
      <c r="O238" s="20" t="str">
        <f>"Proporción del destino de la fruta producida por la "&amp;I238&amp;", en el "&amp;Agencia[[#This Row],[temporalidad]]</f>
        <v>Proporción del destino de la fruta producida por la Región de Ñuble, en el Periodo 2018-2020</v>
      </c>
      <c r="P238" s="112" t="s">
        <v>6575</v>
      </c>
      <c r="Q238" s="11" t="str">
        <f t="shared" si="103"/>
        <v xml:space="preserve">Gráfico </v>
      </c>
      <c r="R238" s="148" t="str">
        <f>Agencia[[#This Row],[territorio]]&amp;"fruta,frutas,frutícola,producción,volumen,tonelada,europa,américa del norte,américa del sur,centro américa,asia,continente,destino,destino interno,destino externo,"&amp;Agencia[[#This Row],[coleccion]]&amp;","&amp;Agencia[[#This Row],[sector]]&amp;","&amp;Agencia[[#This Row],[tema]]&amp;","&amp;Agencia[[#This Row],[contenido]]</f>
        <v>Región de Ñublefruta,frutas,frutícola,producción,volumen,tonelada,europa,américa del norte,américa del sur,centro américa,asia,continente,destino,destino interno,destino externo,Agencia Información,Agropecuario y Forestal,Exportaciones,Agricultura</v>
      </c>
      <c r="S238" s="40" t="str">
        <f>HYPERLINK("https://analytics.zoho.com/open-view/2395394000008207486?ZOHO_CRITERIA=%224.6%22.%22C%C3%B3digo_Regi%C3%B3n%22%3D"&amp;Agencia[[#This Row],[Filtro URL]])</f>
        <v>https://analytics.zoho.com/open-view/2395394000008207486?ZOHO_CRITERIA=%224.6%22.%22C%C3%B3digo_Regi%C3%B3n%22%3D16</v>
      </c>
      <c r="T238" s="111" t="str">
        <f>"100-C-"&amp;Agencia[[#This Row],[Filtro URL]]</f>
        <v>100-C-16</v>
      </c>
      <c r="U238" s="46" t="str">
        <f t="shared" si="104"/>
        <v>#1774B9</v>
      </c>
      <c r="V238" s="93" t="str">
        <f>+Agencia[[#This Row],[idcoleccion]]&amp;"-"&amp;Agencia[[#This Row],[id]]</f>
        <v>990-0227</v>
      </c>
      <c r="W238" s="93">
        <f>+VLOOKUP(Agencia[[#This Row],[Filtro URL]],Estructura!$X$4:$Y$500,2,0)</f>
        <v>99200016</v>
      </c>
      <c r="X238" s="93" t="str">
        <f>+VLOOKUP(Agencia[[#This Row],[tema]],Estructura!$A$4:$C$500,3,0)</f>
        <v>T-1020</v>
      </c>
      <c r="Y238" s="93" t="str">
        <f>+VLOOKUP(Agencia[[#This Row],[contenido]],Estructura!$E$4:$G$500,3,0)</f>
        <v>C-997</v>
      </c>
      <c r="Z238" s="93" t="str">
        <f>+VLOOKUP(Agencia[[#This Row],[Filtro Integrado]],Estructura!$I$4:$K$500,3,0)</f>
        <v>FI-991</v>
      </c>
      <c r="AA238" s="93" t="str">
        <f>+VLOOKUP(Agencia[[#This Row],[Muestra]],Estructura!$M$4:$O$500,3,0)</f>
        <v>M-1044</v>
      </c>
    </row>
    <row r="239" spans="1:27" ht="40.799999999999997" x14ac:dyDescent="0.3">
      <c r="A239" s="21" t="s">
        <v>658</v>
      </c>
      <c r="B239" s="23">
        <f t="shared" si="97"/>
        <v>990</v>
      </c>
      <c r="C239" s="24" t="str">
        <f t="shared" si="98"/>
        <v>Agencia Información</v>
      </c>
      <c r="D239" s="72" t="str">
        <f t="shared" si="99"/>
        <v>Agropecuario y Forestal</v>
      </c>
      <c r="E239" s="14">
        <v>0</v>
      </c>
      <c r="F239" s="10" t="s">
        <v>813</v>
      </c>
      <c r="G239" s="10" t="s">
        <v>1878</v>
      </c>
      <c r="H239" s="31" t="s">
        <v>20</v>
      </c>
      <c r="I239" s="32" t="s">
        <v>15</v>
      </c>
      <c r="J239" s="9" t="s">
        <v>403</v>
      </c>
      <c r="K239" s="9" t="s">
        <v>9255</v>
      </c>
      <c r="L239" s="9" t="s">
        <v>811</v>
      </c>
      <c r="M239" s="9" t="s">
        <v>594</v>
      </c>
      <c r="N239" s="9" t="s">
        <v>601</v>
      </c>
      <c r="O239" s="20" t="str">
        <f>"Evolución anual de superficie plantada (ha) de lechuga por región, "&amp;Agencia[[#This Row],[temporalidad]]</f>
        <v>Evolución anual de superficie plantada (ha) de lechuga por región, Periodo 2010-2019</v>
      </c>
      <c r="P239" s="112" t="s">
        <v>6586</v>
      </c>
      <c r="Q239" s="11" t="s">
        <v>784</v>
      </c>
      <c r="R239" s="20" t="str">
        <f>Agencia[[#This Row],[territorio]]&amp;",plantación,lechuga,hortalizas,superficie,hectáreas,cultivo,"&amp;Agencia[[#This Row],[coleccion]]&amp;","&amp;Agencia[[#This Row],[sector]]&amp;","&amp;Agencia[[#This Row],[tema]]&amp;","&amp;Agencia[[#This Row],[contenido]]</f>
        <v>Chile,plantación,lechuga,hortalizas,superficie,hectáreas,cultivo,Agencia Información,Agropecuario y Forestal,Plantaciones,Agricultura</v>
      </c>
      <c r="S239" s="37" t="s">
        <v>812</v>
      </c>
      <c r="T239" s="108" t="s">
        <v>805</v>
      </c>
      <c r="U239" s="46" t="str">
        <f t="shared" si="104"/>
        <v>#1774B9</v>
      </c>
      <c r="V239" s="93" t="str">
        <f>+Agencia[[#This Row],[idcoleccion]]&amp;"-"&amp;Agencia[[#This Row],[id]]</f>
        <v>990-0228</v>
      </c>
      <c r="W239" s="93">
        <f>+VLOOKUP(Agencia[[#This Row],[Filtro URL]],Estructura!$X$4:$Y$500,2,0)</f>
        <v>99100000</v>
      </c>
      <c r="X239" s="93" t="str">
        <f>+VLOOKUP(Agencia[[#This Row],[tema]],Estructura!$A$4:$C$500,3,0)</f>
        <v>T-1025</v>
      </c>
      <c r="Y239" s="93" t="str">
        <f>+VLOOKUP(Agencia[[#This Row],[contenido]],Estructura!$E$4:$G$500,3,0)</f>
        <v>C-997</v>
      </c>
      <c r="Z239" s="93" t="str">
        <f>+VLOOKUP(Agencia[[#This Row],[Filtro Integrado]],Estructura!$I$4:$K$500,3,0)</f>
        <v>FI-993</v>
      </c>
      <c r="AA239" s="93" t="str">
        <f>+VLOOKUP(Agencia[[#This Row],[Muestra]],Estructura!$M$4:$O$500,3,0)</f>
        <v>M-1045</v>
      </c>
    </row>
    <row r="240" spans="1:27" ht="57.6" x14ac:dyDescent="0.3">
      <c r="A240" s="21" t="s">
        <v>659</v>
      </c>
      <c r="B240" s="23">
        <f t="shared" si="97"/>
        <v>990</v>
      </c>
      <c r="C240" s="24" t="str">
        <f t="shared" si="98"/>
        <v>Agencia Información</v>
      </c>
      <c r="D240" s="72" t="str">
        <f t="shared" si="99"/>
        <v>Agropecuario y Forestal</v>
      </c>
      <c r="E240" s="19">
        <v>3</v>
      </c>
      <c r="F240" s="10" t="s">
        <v>813</v>
      </c>
      <c r="G240" s="10" t="s">
        <v>1878</v>
      </c>
      <c r="H240" s="33" t="s">
        <v>16</v>
      </c>
      <c r="I240" s="34" t="s">
        <v>370</v>
      </c>
      <c r="J240" s="23" t="str">
        <f>+J239</f>
        <v>Ninguno</v>
      </c>
      <c r="K240" s="23" t="str">
        <f>+K239</f>
        <v>Superficie plantada</v>
      </c>
      <c r="L240" s="23" t="str">
        <f>+L239</f>
        <v>Periodo 2010-2019</v>
      </c>
      <c r="M240" s="23" t="str">
        <f>+M239</f>
        <v>Hectáreas</v>
      </c>
      <c r="N240" s="23" t="str">
        <f>+N239</f>
        <v>Oficina de Estudios y Políticas Agrarias (ODEPA)</v>
      </c>
      <c r="O240" s="20" t="str">
        <f>"Evolución anual de superficie plantada (ha) de lechuga en la "&amp;Agencia[[#This Row],[territorio]]&amp;", "&amp;Agencia[[#This Row],[temporalidad]]</f>
        <v>Evolución anual de superficie plantada (ha) de lechuga en la Región de Atacama, Periodo 2010-2019</v>
      </c>
      <c r="P240" s="112" t="s">
        <v>6576</v>
      </c>
      <c r="Q240" s="11" t="str">
        <f>+Q239</f>
        <v>Gráfico de Evolución</v>
      </c>
      <c r="R240" s="148" t="str">
        <f>Agencia[[#This Row],[territorio]]&amp;",plantación,lechuga,hortalizas,superficie,hectáreas,cultivo,"&amp;Agencia[[#This Row],[coleccion]]&amp;","&amp;Agencia[[#This Row],[sector]]&amp;","&amp;Agencia[[#This Row],[tema]]&amp;","&amp;Agencia[[#This Row],[contenido]]</f>
        <v>Región de Atacama,plantación,lechuga,hortalizas,superficie,hectáreas,cultivo,Agencia Información,Agropecuario y Forestal,Plantaciones,Agricultura</v>
      </c>
      <c r="S240" s="37" t="str">
        <f>HYPERLINK("https://analytics.zoho.com/open-view/2395394000008209595?ZOHO_CRITERIA=%22Trasposicion_4.7%22.%22C%C3%B3digo_Regi%C3%B3n%22%3D"&amp;Agencia[[#This Row],[Filtro URL]])</f>
        <v>https://analytics.zoho.com/open-view/2395394000008209595?ZOHO_CRITERIA=%22Trasposicion_4.7%22.%22C%C3%B3digo_Regi%C3%B3n%22%3D3</v>
      </c>
      <c r="T240" s="108" t="str">
        <f>"100-R-"&amp;Agencia[[#This Row],[Filtro URL]]</f>
        <v>100-R-3</v>
      </c>
      <c r="U240" s="46" t="str">
        <f t="shared" si="104"/>
        <v>#1774B9</v>
      </c>
      <c r="V240" s="93" t="str">
        <f>+Agencia[[#This Row],[idcoleccion]]&amp;"-"&amp;Agencia[[#This Row],[id]]</f>
        <v>990-0229</v>
      </c>
      <c r="W240" s="93">
        <f>+VLOOKUP(Agencia[[#This Row],[Filtro URL]],Estructura!$X$4:$Y$500,2,0)</f>
        <v>99200003</v>
      </c>
      <c r="X240" s="93" t="str">
        <f>+VLOOKUP(Agencia[[#This Row],[tema]],Estructura!$A$4:$C$500,3,0)</f>
        <v>T-1025</v>
      </c>
      <c r="Y240" s="93" t="str">
        <f>+VLOOKUP(Agencia[[#This Row],[contenido]],Estructura!$E$4:$G$500,3,0)</f>
        <v>C-997</v>
      </c>
      <c r="Z240" s="93" t="str">
        <f>+VLOOKUP(Agencia[[#This Row],[Filtro Integrado]],Estructura!$I$4:$K$500,3,0)</f>
        <v>FI-993</v>
      </c>
      <c r="AA240" s="93" t="str">
        <f>+VLOOKUP(Agencia[[#This Row],[Muestra]],Estructura!$M$4:$O$500,3,0)</f>
        <v>M-1045</v>
      </c>
    </row>
    <row r="241" spans="1:27" ht="57.6" x14ac:dyDescent="0.3">
      <c r="A241" s="21" t="s">
        <v>660</v>
      </c>
      <c r="B241" s="23">
        <f t="shared" si="97"/>
        <v>990</v>
      </c>
      <c r="C241" s="24" t="str">
        <f t="shared" si="98"/>
        <v>Agencia Información</v>
      </c>
      <c r="D241" s="72" t="str">
        <f t="shared" si="99"/>
        <v>Agropecuario y Forestal</v>
      </c>
      <c r="E241" s="19">
        <v>4</v>
      </c>
      <c r="F241" s="10" t="s">
        <v>813</v>
      </c>
      <c r="G241" s="10" t="s">
        <v>1878</v>
      </c>
      <c r="H241" s="33" t="s">
        <v>16</v>
      </c>
      <c r="I241" s="34" t="s">
        <v>371</v>
      </c>
      <c r="J241" s="9" t="str">
        <f t="shared" ref="J241:N246" si="105">+J240</f>
        <v>Ninguno</v>
      </c>
      <c r="K241" s="9" t="str">
        <f t="shared" si="105"/>
        <v>Superficie plantada</v>
      </c>
      <c r="L241" s="9" t="str">
        <f t="shared" si="105"/>
        <v>Periodo 2010-2019</v>
      </c>
      <c r="M241" s="9" t="str">
        <f t="shared" si="105"/>
        <v>Hectáreas</v>
      </c>
      <c r="N241" s="9" t="str">
        <f t="shared" si="105"/>
        <v>Oficina de Estudios y Políticas Agrarias (ODEPA)</v>
      </c>
      <c r="O241" s="148" t="str">
        <f>"Evolución anual de superficie plantada (ha) de lechuga en la "&amp;Agencia[[#This Row],[territorio]]&amp;", "&amp;Agencia[[#This Row],[temporalidad]]</f>
        <v>Evolución anual de superficie plantada (ha) de lechuga en la Región de Coquimbo, Periodo 2010-2019</v>
      </c>
      <c r="P241" s="112" t="s">
        <v>6577</v>
      </c>
      <c r="Q241" s="11" t="str">
        <f t="shared" si="103"/>
        <v>Gráfico de Evolución</v>
      </c>
      <c r="R241" s="148" t="str">
        <f>Agencia[[#This Row],[territorio]]&amp;",plantación,lechuga,hortalizas,superficie,hectáreas,cultivo,"&amp;Agencia[[#This Row],[coleccion]]&amp;","&amp;Agencia[[#This Row],[sector]]&amp;","&amp;Agencia[[#This Row],[tema]]&amp;","&amp;Agencia[[#This Row],[contenido]]</f>
        <v>Región de Coquimbo,plantación,lechuga,hortalizas,superficie,hectáreas,cultivo,Agencia Información,Agropecuario y Forestal,Plantaciones,Agricultura</v>
      </c>
      <c r="S241" s="37" t="str">
        <f>HYPERLINK("https://analytics.zoho.com/open-view/2395394000008209595?ZOHO_CRITERIA=%22Trasposicion_4.7%22.%22C%C3%B3digo_Regi%C3%B3n%22%3D"&amp;Agencia[[#This Row],[Filtro URL]])</f>
        <v>https://analytics.zoho.com/open-view/2395394000008209595?ZOHO_CRITERIA=%22Trasposicion_4.7%22.%22C%C3%B3digo_Regi%C3%B3n%22%3D4</v>
      </c>
      <c r="T241" s="108" t="str">
        <f>"100-R-"&amp;Agencia[[#This Row],[Filtro URL]]</f>
        <v>100-R-4</v>
      </c>
      <c r="U241" s="46" t="str">
        <f t="shared" si="104"/>
        <v>#1774B9</v>
      </c>
      <c r="V241" s="93" t="str">
        <f>+Agencia[[#This Row],[idcoleccion]]&amp;"-"&amp;Agencia[[#This Row],[id]]</f>
        <v>990-0230</v>
      </c>
      <c r="W241" s="93">
        <f>+VLOOKUP(Agencia[[#This Row],[Filtro URL]],Estructura!$X$4:$Y$500,2,0)</f>
        <v>99200004</v>
      </c>
      <c r="X241" s="93" t="str">
        <f>+VLOOKUP(Agencia[[#This Row],[tema]],Estructura!$A$4:$C$500,3,0)</f>
        <v>T-1025</v>
      </c>
      <c r="Y241" s="93" t="str">
        <f>+VLOOKUP(Agencia[[#This Row],[contenido]],Estructura!$E$4:$G$500,3,0)</f>
        <v>C-997</v>
      </c>
      <c r="Z241" s="93" t="str">
        <f>+VLOOKUP(Agencia[[#This Row],[Filtro Integrado]],Estructura!$I$4:$K$500,3,0)</f>
        <v>FI-993</v>
      </c>
      <c r="AA241" s="93" t="str">
        <f>+VLOOKUP(Agencia[[#This Row],[Muestra]],Estructura!$M$4:$O$500,3,0)</f>
        <v>M-1045</v>
      </c>
    </row>
    <row r="242" spans="1:27" ht="57.6" x14ac:dyDescent="0.3">
      <c r="A242" s="21" t="s">
        <v>661</v>
      </c>
      <c r="B242" s="23">
        <f t="shared" si="97"/>
        <v>990</v>
      </c>
      <c r="C242" s="24" t="str">
        <f t="shared" si="98"/>
        <v>Agencia Información</v>
      </c>
      <c r="D242" s="72" t="str">
        <f t="shared" si="99"/>
        <v>Agropecuario y Forestal</v>
      </c>
      <c r="E242" s="19">
        <v>5</v>
      </c>
      <c r="F242" s="10" t="s">
        <v>813</v>
      </c>
      <c r="G242" s="10" t="s">
        <v>1878</v>
      </c>
      <c r="H242" s="33" t="s">
        <v>16</v>
      </c>
      <c r="I242" s="34" t="s">
        <v>372</v>
      </c>
      <c r="J242" s="9" t="str">
        <f t="shared" si="105"/>
        <v>Ninguno</v>
      </c>
      <c r="K242" s="9" t="str">
        <f t="shared" si="105"/>
        <v>Superficie plantada</v>
      </c>
      <c r="L242" s="9" t="str">
        <f t="shared" si="105"/>
        <v>Periodo 2010-2019</v>
      </c>
      <c r="M242" s="9" t="str">
        <f t="shared" si="105"/>
        <v>Hectáreas</v>
      </c>
      <c r="N242" s="9" t="str">
        <f t="shared" si="105"/>
        <v>Oficina de Estudios y Políticas Agrarias (ODEPA)</v>
      </c>
      <c r="O242" s="148" t="str">
        <f>"Evolución anual de superficie plantada (ha) de lechuga en la "&amp;Agencia[[#This Row],[territorio]]&amp;", "&amp;Agencia[[#This Row],[temporalidad]]</f>
        <v>Evolución anual de superficie plantada (ha) de lechuga en la Región de Valparaíso, Periodo 2010-2019</v>
      </c>
      <c r="P242" s="112" t="s">
        <v>6578</v>
      </c>
      <c r="Q242" s="11" t="str">
        <f t="shared" si="103"/>
        <v>Gráfico de Evolución</v>
      </c>
      <c r="R242" s="148" t="str">
        <f>Agencia[[#This Row],[territorio]]&amp;",plantación,lechuga,hortalizas,superficie,hectáreas,cultivo,"&amp;Agencia[[#This Row],[coleccion]]&amp;","&amp;Agencia[[#This Row],[sector]]&amp;","&amp;Agencia[[#This Row],[tema]]&amp;","&amp;Agencia[[#This Row],[contenido]]</f>
        <v>Región de Valparaíso,plantación,lechuga,hortalizas,superficie,hectáreas,cultivo,Agencia Información,Agropecuario y Forestal,Plantaciones,Agricultura</v>
      </c>
      <c r="S242" s="37" t="str">
        <f>HYPERLINK("https://analytics.zoho.com/open-view/2395394000008209595?ZOHO_CRITERIA=%22Trasposicion_4.7%22.%22C%C3%B3digo_Regi%C3%B3n%22%3D"&amp;Agencia[[#This Row],[Filtro URL]])</f>
        <v>https://analytics.zoho.com/open-view/2395394000008209595?ZOHO_CRITERIA=%22Trasposicion_4.7%22.%22C%C3%B3digo_Regi%C3%B3n%22%3D5</v>
      </c>
      <c r="T242" s="108" t="str">
        <f>"100-R-"&amp;Agencia[[#This Row],[Filtro URL]]</f>
        <v>100-R-5</v>
      </c>
      <c r="U242" s="46" t="str">
        <f t="shared" si="104"/>
        <v>#1774B9</v>
      </c>
      <c r="V242" s="93" t="str">
        <f>+Agencia[[#This Row],[idcoleccion]]&amp;"-"&amp;Agencia[[#This Row],[id]]</f>
        <v>990-0231</v>
      </c>
      <c r="W242" s="93">
        <f>+VLOOKUP(Agencia[[#This Row],[Filtro URL]],Estructura!$X$4:$Y$500,2,0)</f>
        <v>99200005</v>
      </c>
      <c r="X242" s="93" t="str">
        <f>+VLOOKUP(Agencia[[#This Row],[tema]],Estructura!$A$4:$C$500,3,0)</f>
        <v>T-1025</v>
      </c>
      <c r="Y242" s="93" t="str">
        <f>+VLOOKUP(Agencia[[#This Row],[contenido]],Estructura!$E$4:$G$500,3,0)</f>
        <v>C-997</v>
      </c>
      <c r="Z242" s="93" t="str">
        <f>+VLOOKUP(Agencia[[#This Row],[Filtro Integrado]],Estructura!$I$4:$K$500,3,0)</f>
        <v>FI-993</v>
      </c>
      <c r="AA242" s="93" t="str">
        <f>+VLOOKUP(Agencia[[#This Row],[Muestra]],Estructura!$M$4:$O$500,3,0)</f>
        <v>M-1045</v>
      </c>
    </row>
    <row r="243" spans="1:27" ht="57.6" x14ac:dyDescent="0.3">
      <c r="A243" s="21" t="s">
        <v>662</v>
      </c>
      <c r="B243" s="23">
        <f t="shared" si="97"/>
        <v>990</v>
      </c>
      <c r="C243" s="24" t="str">
        <f t="shared" si="98"/>
        <v>Agencia Información</v>
      </c>
      <c r="D243" s="72" t="str">
        <f t="shared" si="99"/>
        <v>Agropecuario y Forestal</v>
      </c>
      <c r="E243" s="19">
        <v>6</v>
      </c>
      <c r="F243" s="10" t="s">
        <v>813</v>
      </c>
      <c r="G243" s="10" t="s">
        <v>1878</v>
      </c>
      <c r="H243" s="33" t="s">
        <v>16</v>
      </c>
      <c r="I243" s="34" t="s">
        <v>373</v>
      </c>
      <c r="J243" s="9" t="str">
        <f t="shared" si="105"/>
        <v>Ninguno</v>
      </c>
      <c r="K243" s="9" t="str">
        <f t="shared" si="105"/>
        <v>Superficie plantada</v>
      </c>
      <c r="L243" s="9" t="str">
        <f t="shared" si="105"/>
        <v>Periodo 2010-2019</v>
      </c>
      <c r="M243" s="9" t="str">
        <f t="shared" si="105"/>
        <v>Hectáreas</v>
      </c>
      <c r="N243" s="9" t="str">
        <f t="shared" si="105"/>
        <v>Oficina de Estudios y Políticas Agrarias (ODEPA)</v>
      </c>
      <c r="O243" s="148" t="str">
        <f>"Evolución anual de superficie plantada (ha) de lechuga en la "&amp;Agencia[[#This Row],[territorio]]&amp;", "&amp;Agencia[[#This Row],[temporalidad]]</f>
        <v>Evolución anual de superficie plantada (ha) de lechuga en la Región de O'Higgins, Periodo 2010-2019</v>
      </c>
      <c r="P243" s="112" t="s">
        <v>6579</v>
      </c>
      <c r="Q243" s="11" t="str">
        <f t="shared" si="103"/>
        <v>Gráfico de Evolución</v>
      </c>
      <c r="R243" s="148" t="str">
        <f>Agencia[[#This Row],[territorio]]&amp;",plantación,lechuga,hortalizas,superficie,hectáreas,cultivo,"&amp;Agencia[[#This Row],[coleccion]]&amp;","&amp;Agencia[[#This Row],[sector]]&amp;","&amp;Agencia[[#This Row],[tema]]&amp;","&amp;Agencia[[#This Row],[contenido]]</f>
        <v>Región de O'Higgins,plantación,lechuga,hortalizas,superficie,hectáreas,cultivo,Agencia Información,Agropecuario y Forestal,Plantaciones,Agricultura</v>
      </c>
      <c r="S243" s="37" t="str">
        <f>HYPERLINK("https://analytics.zoho.com/open-view/2395394000008209595?ZOHO_CRITERIA=%22Trasposicion_4.7%22.%22C%C3%B3digo_Regi%C3%B3n%22%3D"&amp;Agencia[[#This Row],[Filtro URL]])</f>
        <v>https://analytics.zoho.com/open-view/2395394000008209595?ZOHO_CRITERIA=%22Trasposicion_4.7%22.%22C%C3%B3digo_Regi%C3%B3n%22%3D6</v>
      </c>
      <c r="T243" s="108" t="str">
        <f>"100-R-"&amp;Agencia[[#This Row],[Filtro URL]]</f>
        <v>100-R-6</v>
      </c>
      <c r="U243" s="46" t="str">
        <f t="shared" si="104"/>
        <v>#1774B9</v>
      </c>
      <c r="V243" s="93" t="str">
        <f>+Agencia[[#This Row],[idcoleccion]]&amp;"-"&amp;Agencia[[#This Row],[id]]</f>
        <v>990-0232</v>
      </c>
      <c r="W243" s="93">
        <f>+VLOOKUP(Agencia[[#This Row],[Filtro URL]],Estructura!$X$4:$Y$500,2,0)</f>
        <v>99200006</v>
      </c>
      <c r="X243" s="93" t="str">
        <f>+VLOOKUP(Agencia[[#This Row],[tema]],Estructura!$A$4:$C$500,3,0)</f>
        <v>T-1025</v>
      </c>
      <c r="Y243" s="93" t="str">
        <f>+VLOOKUP(Agencia[[#This Row],[contenido]],Estructura!$E$4:$G$500,3,0)</f>
        <v>C-997</v>
      </c>
      <c r="Z243" s="93" t="str">
        <f>+VLOOKUP(Agencia[[#This Row],[Filtro Integrado]],Estructura!$I$4:$K$500,3,0)</f>
        <v>FI-993</v>
      </c>
      <c r="AA243" s="93" t="str">
        <f>+VLOOKUP(Agencia[[#This Row],[Muestra]],Estructura!$M$4:$O$500,3,0)</f>
        <v>M-1045</v>
      </c>
    </row>
    <row r="244" spans="1:27" ht="57.6" x14ac:dyDescent="0.3">
      <c r="A244" s="21" t="s">
        <v>663</v>
      </c>
      <c r="B244" s="23">
        <f t="shared" si="97"/>
        <v>990</v>
      </c>
      <c r="C244" s="24" t="str">
        <f t="shared" si="98"/>
        <v>Agencia Información</v>
      </c>
      <c r="D244" s="72" t="str">
        <f t="shared" si="99"/>
        <v>Agropecuario y Forestal</v>
      </c>
      <c r="E244" s="19">
        <v>7</v>
      </c>
      <c r="F244" s="10" t="s">
        <v>813</v>
      </c>
      <c r="G244" s="10" t="s">
        <v>1878</v>
      </c>
      <c r="H244" s="33" t="s">
        <v>16</v>
      </c>
      <c r="I244" s="34" t="s">
        <v>374</v>
      </c>
      <c r="J244" s="9" t="str">
        <f t="shared" si="105"/>
        <v>Ninguno</v>
      </c>
      <c r="K244" s="9" t="str">
        <f t="shared" si="105"/>
        <v>Superficie plantada</v>
      </c>
      <c r="L244" s="9" t="str">
        <f t="shared" si="105"/>
        <v>Periodo 2010-2019</v>
      </c>
      <c r="M244" s="9" t="str">
        <f t="shared" si="105"/>
        <v>Hectáreas</v>
      </c>
      <c r="N244" s="9" t="str">
        <f t="shared" si="105"/>
        <v>Oficina de Estudios y Políticas Agrarias (ODEPA)</v>
      </c>
      <c r="O244" s="148" t="str">
        <f>"Evolución anual de superficie plantada (ha) de lechuga en la "&amp;Agencia[[#This Row],[territorio]]&amp;", "&amp;Agencia[[#This Row],[temporalidad]]</f>
        <v>Evolución anual de superficie plantada (ha) de lechuga en la Región de Maule, Periodo 2010-2019</v>
      </c>
      <c r="P244" s="112" t="s">
        <v>6580</v>
      </c>
      <c r="Q244" s="11" t="s">
        <v>784</v>
      </c>
      <c r="R244" s="148" t="str">
        <f>Agencia[[#This Row],[territorio]]&amp;",plantación,lechuga,hortalizas,superficie,hectáreas,cultivo,"&amp;Agencia[[#This Row],[coleccion]]&amp;","&amp;Agencia[[#This Row],[sector]]&amp;","&amp;Agencia[[#This Row],[tema]]&amp;","&amp;Agencia[[#This Row],[contenido]]</f>
        <v>Región de Maule,plantación,lechuga,hortalizas,superficie,hectáreas,cultivo,Agencia Información,Agropecuario y Forestal,Plantaciones,Agricultura</v>
      </c>
      <c r="S244" s="37" t="str">
        <f>HYPERLINK("https://analytics.zoho.com/open-view/2395394000008209595?ZOHO_CRITERIA=%22Trasposicion_4.7%22.%22C%C3%B3digo_Regi%C3%B3n%22%3D"&amp;Agencia[[#This Row],[Filtro URL]])</f>
        <v>https://analytics.zoho.com/open-view/2395394000008209595?ZOHO_CRITERIA=%22Trasposicion_4.7%22.%22C%C3%B3digo_Regi%C3%B3n%22%3D7</v>
      </c>
      <c r="T244" s="108" t="str">
        <f>"100-R-"&amp;Agencia[[#This Row],[Filtro URL]]</f>
        <v>100-R-7</v>
      </c>
      <c r="U244" s="95" t="str">
        <f t="shared" si="104"/>
        <v>#1774B9</v>
      </c>
      <c r="V244" s="93" t="str">
        <f>+Agencia[[#This Row],[idcoleccion]]&amp;"-"&amp;Agencia[[#This Row],[id]]</f>
        <v>990-0233</v>
      </c>
      <c r="W244" s="93">
        <f>+VLOOKUP(Agencia[[#This Row],[Filtro URL]],Estructura!$X$4:$Y$500,2,0)</f>
        <v>99200007</v>
      </c>
      <c r="X244" s="93" t="str">
        <f>+VLOOKUP(Agencia[[#This Row],[tema]],Estructura!$A$4:$C$500,3,0)</f>
        <v>T-1025</v>
      </c>
      <c r="Y244" s="93" t="str">
        <f>+VLOOKUP(Agencia[[#This Row],[contenido]],Estructura!$E$4:$G$500,3,0)</f>
        <v>C-997</v>
      </c>
      <c r="Z244" s="93" t="str">
        <f>+VLOOKUP(Agencia[[#This Row],[Filtro Integrado]],Estructura!$I$4:$K$500,3,0)</f>
        <v>FI-993</v>
      </c>
      <c r="AA244" s="93" t="str">
        <f>+VLOOKUP(Agencia[[#This Row],[Muestra]],Estructura!$M$4:$O$500,3,0)</f>
        <v>M-1045</v>
      </c>
    </row>
    <row r="245" spans="1:27" ht="57.6" x14ac:dyDescent="0.3">
      <c r="A245" s="21" t="s">
        <v>664</v>
      </c>
      <c r="B245" s="23">
        <f t="shared" si="97"/>
        <v>990</v>
      </c>
      <c r="C245" s="24" t="str">
        <f t="shared" si="98"/>
        <v>Agencia Información</v>
      </c>
      <c r="D245" s="72" t="str">
        <f t="shared" si="99"/>
        <v>Agropecuario y Forestal</v>
      </c>
      <c r="E245" s="19">
        <v>8</v>
      </c>
      <c r="F245" s="10" t="s">
        <v>813</v>
      </c>
      <c r="G245" s="10" t="s">
        <v>1878</v>
      </c>
      <c r="H245" s="33" t="s">
        <v>16</v>
      </c>
      <c r="I245" s="34" t="s">
        <v>375</v>
      </c>
      <c r="J245" s="9" t="str">
        <f t="shared" si="105"/>
        <v>Ninguno</v>
      </c>
      <c r="K245" s="9" t="str">
        <f t="shared" si="105"/>
        <v>Superficie plantada</v>
      </c>
      <c r="L245" s="9" t="str">
        <f t="shared" si="105"/>
        <v>Periodo 2010-2019</v>
      </c>
      <c r="M245" s="9" t="str">
        <f t="shared" si="105"/>
        <v>Hectáreas</v>
      </c>
      <c r="N245" s="9" t="str">
        <f t="shared" si="105"/>
        <v>Oficina de Estudios y Políticas Agrarias (ODEPA)</v>
      </c>
      <c r="O245" s="148" t="str">
        <f>"Evolución anual de superficie plantada (ha) de lechuga en la "&amp;Agencia[[#This Row],[territorio]]&amp;", "&amp;Agencia[[#This Row],[temporalidad]]</f>
        <v>Evolución anual de superficie plantada (ha) de lechuga en la Región del Biobío, Periodo 2010-2019</v>
      </c>
      <c r="P245" s="112" t="s">
        <v>6581</v>
      </c>
      <c r="Q245" s="11" t="s">
        <v>784</v>
      </c>
      <c r="R245" s="148" t="str">
        <f>Agencia[[#This Row],[territorio]]&amp;",plantación,lechuga,hortalizas,superficie,hectáreas,cultivo,"&amp;Agencia[[#This Row],[coleccion]]&amp;","&amp;Agencia[[#This Row],[sector]]&amp;","&amp;Agencia[[#This Row],[tema]]&amp;","&amp;Agencia[[#This Row],[contenido]]</f>
        <v>Región del Biobío,plantación,lechuga,hortalizas,superficie,hectáreas,cultivo,Agencia Información,Agropecuario y Forestal,Plantaciones,Agricultura</v>
      </c>
      <c r="S245" s="37" t="str">
        <f>HYPERLINK("https://analytics.zoho.com/open-view/2395394000008209595?ZOHO_CRITERIA=%22Trasposicion_4.7%22.%22C%C3%B3digo_Regi%C3%B3n%22%3D"&amp;Agencia[[#This Row],[Filtro URL]])</f>
        <v>https://analytics.zoho.com/open-view/2395394000008209595?ZOHO_CRITERIA=%22Trasposicion_4.7%22.%22C%C3%B3digo_Regi%C3%B3n%22%3D8</v>
      </c>
      <c r="T245" s="108" t="str">
        <f>"100-R-"&amp;Agencia[[#This Row],[Filtro URL]]</f>
        <v>100-R-8</v>
      </c>
      <c r="U245" s="46" t="str">
        <f t="shared" ref="U245:U272" si="106">+U244</f>
        <v>#1774B9</v>
      </c>
      <c r="V245" s="93" t="str">
        <f>+Agencia[[#This Row],[idcoleccion]]&amp;"-"&amp;Agencia[[#This Row],[id]]</f>
        <v>990-0234</v>
      </c>
      <c r="W245" s="93">
        <f>+VLOOKUP(Agencia[[#This Row],[Filtro URL]],Estructura!$X$4:$Y$500,2,0)</f>
        <v>99200008</v>
      </c>
      <c r="X245" s="93" t="str">
        <f>+VLOOKUP(Agencia[[#This Row],[tema]],Estructura!$A$4:$C$500,3,0)</f>
        <v>T-1025</v>
      </c>
      <c r="Y245" s="93" t="str">
        <f>+VLOOKUP(Agencia[[#This Row],[contenido]],Estructura!$E$4:$G$500,3,0)</f>
        <v>C-997</v>
      </c>
      <c r="Z245" s="93" t="str">
        <f>+VLOOKUP(Agencia[[#This Row],[Filtro Integrado]],Estructura!$I$4:$K$500,3,0)</f>
        <v>FI-993</v>
      </c>
      <c r="AA245" s="93" t="str">
        <f>+VLOOKUP(Agencia[[#This Row],[Muestra]],Estructura!$M$4:$O$500,3,0)</f>
        <v>M-1045</v>
      </c>
    </row>
    <row r="246" spans="1:27" ht="57.6" x14ac:dyDescent="0.3">
      <c r="A246" s="21" t="s">
        <v>665</v>
      </c>
      <c r="B246" s="23">
        <f t="shared" si="97"/>
        <v>990</v>
      </c>
      <c r="C246" s="24" t="str">
        <f t="shared" si="98"/>
        <v>Agencia Información</v>
      </c>
      <c r="D246" s="72" t="str">
        <f t="shared" si="99"/>
        <v>Agropecuario y Forestal</v>
      </c>
      <c r="E246" s="19">
        <v>9</v>
      </c>
      <c r="F246" s="10" t="s">
        <v>813</v>
      </c>
      <c r="G246" s="10" t="s">
        <v>1878</v>
      </c>
      <c r="H246" s="33" t="s">
        <v>16</v>
      </c>
      <c r="I246" s="34" t="s">
        <v>376</v>
      </c>
      <c r="J246" s="9" t="str">
        <f t="shared" si="105"/>
        <v>Ninguno</v>
      </c>
      <c r="K246" s="9" t="str">
        <f t="shared" si="105"/>
        <v>Superficie plantada</v>
      </c>
      <c r="L246" s="9" t="str">
        <f t="shared" si="105"/>
        <v>Periodo 2010-2019</v>
      </c>
      <c r="M246" s="9" t="str">
        <f t="shared" si="105"/>
        <v>Hectáreas</v>
      </c>
      <c r="N246" s="9" t="str">
        <f t="shared" si="105"/>
        <v>Oficina de Estudios y Políticas Agrarias (ODEPA)</v>
      </c>
      <c r="O246" s="148" t="str">
        <f>"Evolución anual de superficie plantada (ha) de lechuga en la "&amp;Agencia[[#This Row],[territorio]]&amp;", "&amp;Agencia[[#This Row],[temporalidad]]</f>
        <v>Evolución anual de superficie plantada (ha) de lechuga en la Región de La Araucanía, Periodo 2010-2019</v>
      </c>
      <c r="P246" s="112" t="s">
        <v>6582</v>
      </c>
      <c r="Q246" s="11" t="str">
        <f t="shared" si="103"/>
        <v>Gráfico de Evolución</v>
      </c>
      <c r="R246" s="148" t="str">
        <f>Agencia[[#This Row],[territorio]]&amp;",plantación,lechuga,hortalizas,superficie,hectáreas,cultivo,"&amp;Agencia[[#This Row],[coleccion]]&amp;","&amp;Agencia[[#This Row],[sector]]&amp;","&amp;Agencia[[#This Row],[tema]]&amp;","&amp;Agencia[[#This Row],[contenido]]</f>
        <v>Región de La Araucanía,plantación,lechuga,hortalizas,superficie,hectáreas,cultivo,Agencia Información,Agropecuario y Forestal,Plantaciones,Agricultura</v>
      </c>
      <c r="S246" s="37" t="str">
        <f>HYPERLINK("https://analytics.zoho.com/open-view/2395394000008209595?ZOHO_CRITERIA=%22Trasposicion_4.7%22.%22C%C3%B3digo_Regi%C3%B3n%22%3D"&amp;Agencia[[#This Row],[Filtro URL]])</f>
        <v>https://analytics.zoho.com/open-view/2395394000008209595?ZOHO_CRITERIA=%22Trasposicion_4.7%22.%22C%C3%B3digo_Regi%C3%B3n%22%3D9</v>
      </c>
      <c r="T246" s="108" t="str">
        <f>"100-R-"&amp;Agencia[[#This Row],[Filtro URL]]</f>
        <v>100-R-9</v>
      </c>
      <c r="U246" s="46" t="str">
        <f t="shared" si="106"/>
        <v>#1774B9</v>
      </c>
      <c r="V246" s="93" t="str">
        <f>+Agencia[[#This Row],[idcoleccion]]&amp;"-"&amp;Agencia[[#This Row],[id]]</f>
        <v>990-0235</v>
      </c>
      <c r="W246" s="93">
        <f>+VLOOKUP(Agencia[[#This Row],[Filtro URL]],Estructura!$X$4:$Y$500,2,0)</f>
        <v>99200009</v>
      </c>
      <c r="X246" s="93" t="str">
        <f>+VLOOKUP(Agencia[[#This Row],[tema]],Estructura!$A$4:$C$500,3,0)</f>
        <v>T-1025</v>
      </c>
      <c r="Y246" s="93" t="str">
        <f>+VLOOKUP(Agencia[[#This Row],[contenido]],Estructura!$E$4:$G$500,3,0)</f>
        <v>C-997</v>
      </c>
      <c r="Z246" s="93" t="str">
        <f>+VLOOKUP(Agencia[[#This Row],[Filtro Integrado]],Estructura!$I$4:$K$500,3,0)</f>
        <v>FI-993</v>
      </c>
      <c r="AA246" s="93" t="str">
        <f>+VLOOKUP(Agencia[[#This Row],[Muestra]],Estructura!$M$4:$O$500,3,0)</f>
        <v>M-1045</v>
      </c>
    </row>
    <row r="247" spans="1:27" ht="57.6" x14ac:dyDescent="0.3">
      <c r="A247" s="21" t="s">
        <v>666</v>
      </c>
      <c r="B247" s="23">
        <f t="shared" si="97"/>
        <v>990</v>
      </c>
      <c r="C247" s="24" t="str">
        <f t="shared" si="98"/>
        <v>Agencia Información</v>
      </c>
      <c r="D247" s="72" t="str">
        <f t="shared" si="99"/>
        <v>Agropecuario y Forestal</v>
      </c>
      <c r="E247" s="19">
        <v>13</v>
      </c>
      <c r="F247" s="10" t="s">
        <v>813</v>
      </c>
      <c r="G247" s="10" t="s">
        <v>1878</v>
      </c>
      <c r="H247" s="33" t="s">
        <v>16</v>
      </c>
      <c r="I247" s="34" t="s">
        <v>380</v>
      </c>
      <c r="J247" s="9" t="str">
        <f t="shared" ref="J247:N249" si="107">+J246</f>
        <v>Ninguno</v>
      </c>
      <c r="K247" s="9" t="str">
        <f t="shared" si="107"/>
        <v>Superficie plantada</v>
      </c>
      <c r="L247" s="9" t="str">
        <f t="shared" si="107"/>
        <v>Periodo 2010-2019</v>
      </c>
      <c r="M247" s="9" t="str">
        <f t="shared" si="107"/>
        <v>Hectáreas</v>
      </c>
      <c r="N247" s="9" t="str">
        <f t="shared" si="107"/>
        <v>Oficina de Estudios y Políticas Agrarias (ODEPA)</v>
      </c>
      <c r="O247" s="148" t="str">
        <f>"Evolución anual de superficie plantada (ha) de lechuga en la "&amp;Agencia[[#This Row],[territorio]]&amp;", "&amp;Agencia[[#This Row],[temporalidad]]</f>
        <v>Evolución anual de superficie plantada (ha) de lechuga en la Región Metropolitana, Periodo 2010-2019</v>
      </c>
      <c r="P247" s="112" t="s">
        <v>6583</v>
      </c>
      <c r="Q247" s="11" t="str">
        <f>+Q246</f>
        <v>Gráfico de Evolución</v>
      </c>
      <c r="R247" s="148" t="str">
        <f>Agencia[[#This Row],[territorio]]&amp;",plantación,lechuga,hortalizas,superficie,hectáreas,cultivo,"&amp;Agencia[[#This Row],[coleccion]]&amp;","&amp;Agencia[[#This Row],[sector]]&amp;","&amp;Agencia[[#This Row],[tema]]&amp;","&amp;Agencia[[#This Row],[contenido]]</f>
        <v>Región Metropolitana,plantación,lechuga,hortalizas,superficie,hectáreas,cultivo,Agencia Información,Agropecuario y Forestal,Plantaciones,Agricultura</v>
      </c>
      <c r="S247" s="37" t="str">
        <f>HYPERLINK("https://analytics.zoho.com/open-view/2395394000008209595?ZOHO_CRITERIA=%22Trasposicion_4.7%22.%22C%C3%B3digo_Regi%C3%B3n%22%3D"&amp;Agencia[[#This Row],[Filtro URL]])</f>
        <v>https://analytics.zoho.com/open-view/2395394000008209595?ZOHO_CRITERIA=%22Trasposicion_4.7%22.%22C%C3%B3digo_Regi%C3%B3n%22%3D13</v>
      </c>
      <c r="T247" s="108" t="str">
        <f>"200-R-"&amp;Agencia[[#This Row],[Filtro URL]]</f>
        <v>200-R-13</v>
      </c>
      <c r="U247" s="46" t="str">
        <f t="shared" si="106"/>
        <v>#1774B9</v>
      </c>
      <c r="V247" s="93" t="str">
        <f>+Agencia[[#This Row],[idcoleccion]]&amp;"-"&amp;Agencia[[#This Row],[id]]</f>
        <v>990-0236</v>
      </c>
      <c r="W247" s="93">
        <f>+VLOOKUP(Agencia[[#This Row],[Filtro URL]],Estructura!$X$4:$Y$500,2,0)</f>
        <v>99200013</v>
      </c>
      <c r="X247" s="93" t="str">
        <f>+VLOOKUP(Agencia[[#This Row],[tema]],Estructura!$A$4:$C$500,3,0)</f>
        <v>T-1025</v>
      </c>
      <c r="Y247" s="93" t="str">
        <f>+VLOOKUP(Agencia[[#This Row],[contenido]],Estructura!$E$4:$G$500,3,0)</f>
        <v>C-997</v>
      </c>
      <c r="Z247" s="93" t="str">
        <f>+VLOOKUP(Agencia[[#This Row],[Filtro Integrado]],Estructura!$I$4:$K$500,3,0)</f>
        <v>FI-993</v>
      </c>
      <c r="AA247" s="93" t="str">
        <f>+VLOOKUP(Agencia[[#This Row],[Muestra]],Estructura!$M$4:$O$500,3,0)</f>
        <v>M-1045</v>
      </c>
    </row>
    <row r="248" spans="1:27" ht="57.6" x14ac:dyDescent="0.3">
      <c r="A248" s="21" t="s">
        <v>667</v>
      </c>
      <c r="B248" s="23">
        <f t="shared" si="97"/>
        <v>990</v>
      </c>
      <c r="C248" s="24" t="str">
        <f t="shared" si="98"/>
        <v>Agencia Información</v>
      </c>
      <c r="D248" s="72" t="str">
        <f t="shared" si="99"/>
        <v>Agropecuario y Forestal</v>
      </c>
      <c r="E248" s="19">
        <v>15</v>
      </c>
      <c r="F248" s="10" t="s">
        <v>813</v>
      </c>
      <c r="G248" s="10" t="s">
        <v>1878</v>
      </c>
      <c r="H248" s="33" t="s">
        <v>16</v>
      </c>
      <c r="I248" s="34" t="s">
        <v>382</v>
      </c>
      <c r="J248" s="9" t="str">
        <f t="shared" si="107"/>
        <v>Ninguno</v>
      </c>
      <c r="K248" s="9" t="str">
        <f t="shared" si="107"/>
        <v>Superficie plantada</v>
      </c>
      <c r="L248" s="9" t="str">
        <f t="shared" si="107"/>
        <v>Periodo 2010-2019</v>
      </c>
      <c r="M248" s="9" t="str">
        <f t="shared" si="107"/>
        <v>Hectáreas</v>
      </c>
      <c r="N248" s="9" t="str">
        <f t="shared" si="107"/>
        <v>Oficina de Estudios y Políticas Agrarias (ODEPA)</v>
      </c>
      <c r="O248" s="148" t="str">
        <f>"Evolución anual de superficie plantada (ha) de lechuga en la "&amp;Agencia[[#This Row],[territorio]]&amp;", "&amp;Agencia[[#This Row],[temporalidad]]</f>
        <v>Evolución anual de superficie plantada (ha) de lechuga en la Región de Arica y Parinacota, Periodo 2010-2019</v>
      </c>
      <c r="P248" s="112" t="s">
        <v>6584</v>
      </c>
      <c r="Q248" s="11" t="str">
        <f t="shared" si="103"/>
        <v>Gráfico de Evolución</v>
      </c>
      <c r="R248" s="148" t="str">
        <f>Agencia[[#This Row],[territorio]]&amp;",plantación,lechuga,hortalizas,superficie,hectáreas,cultivo,"&amp;Agencia[[#This Row],[coleccion]]&amp;","&amp;Agencia[[#This Row],[sector]]&amp;","&amp;Agencia[[#This Row],[tema]]&amp;","&amp;Agencia[[#This Row],[contenido]]</f>
        <v>Región de Arica y Parinacota,plantación,lechuga,hortalizas,superficie,hectáreas,cultivo,Agencia Información,Agropecuario y Forestal,Plantaciones,Agricultura</v>
      </c>
      <c r="S248" s="37" t="str">
        <f>HYPERLINK("https://analytics.zoho.com/open-view/2395394000008209595?ZOHO_CRITERIA=%22Trasposicion_4.7%22.%22C%C3%B3digo_Regi%C3%B3n%22%3D"&amp;Agencia[[#This Row],[Filtro URL]])</f>
        <v>https://analytics.zoho.com/open-view/2395394000008209595?ZOHO_CRITERIA=%22Trasposicion_4.7%22.%22C%C3%B3digo_Regi%C3%B3n%22%3D15</v>
      </c>
      <c r="T248" s="108" t="str">
        <f>"100-R-"&amp;Agencia[[#This Row],[Filtro URL]]</f>
        <v>100-R-15</v>
      </c>
      <c r="U248" s="46" t="str">
        <f t="shared" si="106"/>
        <v>#1774B9</v>
      </c>
      <c r="V248" s="93" t="str">
        <f>+Agencia[[#This Row],[idcoleccion]]&amp;"-"&amp;Agencia[[#This Row],[id]]</f>
        <v>990-0237</v>
      </c>
      <c r="W248" s="93">
        <f>+VLOOKUP(Agencia[[#This Row],[Filtro URL]],Estructura!$X$4:$Y$500,2,0)</f>
        <v>99200015</v>
      </c>
      <c r="X248" s="93" t="str">
        <f>+VLOOKUP(Agencia[[#This Row],[tema]],Estructura!$A$4:$C$500,3,0)</f>
        <v>T-1025</v>
      </c>
      <c r="Y248" s="93" t="str">
        <f>+VLOOKUP(Agencia[[#This Row],[contenido]],Estructura!$E$4:$G$500,3,0)</f>
        <v>C-997</v>
      </c>
      <c r="Z248" s="93" t="str">
        <f>+VLOOKUP(Agencia[[#This Row],[Filtro Integrado]],Estructura!$I$4:$K$500,3,0)</f>
        <v>FI-993</v>
      </c>
      <c r="AA248" s="93" t="str">
        <f>+VLOOKUP(Agencia[[#This Row],[Muestra]],Estructura!$M$4:$O$500,3,0)</f>
        <v>M-1045</v>
      </c>
    </row>
    <row r="249" spans="1:27" ht="57.6" x14ac:dyDescent="0.3">
      <c r="A249" s="21" t="s">
        <v>668</v>
      </c>
      <c r="B249" s="23">
        <f t="shared" si="97"/>
        <v>990</v>
      </c>
      <c r="C249" s="24" t="str">
        <f t="shared" si="98"/>
        <v>Agencia Información</v>
      </c>
      <c r="D249" s="72" t="str">
        <f t="shared" si="99"/>
        <v>Agropecuario y Forestal</v>
      </c>
      <c r="E249" s="19">
        <v>16</v>
      </c>
      <c r="F249" s="10" t="s">
        <v>813</v>
      </c>
      <c r="G249" s="10" t="s">
        <v>1878</v>
      </c>
      <c r="H249" s="33" t="s">
        <v>16</v>
      </c>
      <c r="I249" s="34" t="s">
        <v>383</v>
      </c>
      <c r="J249" s="9" t="str">
        <f t="shared" si="107"/>
        <v>Ninguno</v>
      </c>
      <c r="K249" s="9" t="str">
        <f t="shared" si="107"/>
        <v>Superficie plantada</v>
      </c>
      <c r="L249" s="9" t="str">
        <f t="shared" si="107"/>
        <v>Periodo 2010-2019</v>
      </c>
      <c r="M249" s="9" t="str">
        <f t="shared" si="107"/>
        <v>Hectáreas</v>
      </c>
      <c r="N249" s="9" t="str">
        <f t="shared" si="107"/>
        <v>Oficina de Estudios y Políticas Agrarias (ODEPA)</v>
      </c>
      <c r="O249" s="148" t="str">
        <f>"Evolución anual de superficie plantada (ha) de lechuga en la "&amp;Agencia[[#This Row],[territorio]]&amp;", "&amp;Agencia[[#This Row],[temporalidad]]</f>
        <v>Evolución anual de superficie plantada (ha) de lechuga en la Región de Ñuble, Periodo 2010-2019</v>
      </c>
      <c r="P249" s="112" t="s">
        <v>6585</v>
      </c>
      <c r="Q249" s="11" t="str">
        <f t="shared" si="103"/>
        <v>Gráfico de Evolución</v>
      </c>
      <c r="R249" s="148" t="str">
        <f>Agencia[[#This Row],[territorio]]&amp;",plantación,lechuga,hortalizas,superficie,hectáreas,cultivo,"&amp;Agencia[[#This Row],[coleccion]]&amp;","&amp;Agencia[[#This Row],[sector]]&amp;","&amp;Agencia[[#This Row],[tema]]&amp;","&amp;Agencia[[#This Row],[contenido]]</f>
        <v>Región de Ñuble,plantación,lechuga,hortalizas,superficie,hectáreas,cultivo,Agencia Información,Agropecuario y Forestal,Plantaciones,Agricultura</v>
      </c>
      <c r="S249" s="37" t="str">
        <f>HYPERLINK("https://analytics.zoho.com/open-view/2395394000008209595?ZOHO_CRITERIA=%22Trasposicion_4.7%22.%22C%C3%B3digo_Regi%C3%B3n%22%3D"&amp;Agencia[[#This Row],[Filtro URL]])</f>
        <v>https://analytics.zoho.com/open-view/2395394000008209595?ZOHO_CRITERIA=%22Trasposicion_4.7%22.%22C%C3%B3digo_Regi%C3%B3n%22%3D16</v>
      </c>
      <c r="T249" s="108" t="str">
        <f>"100-R-"&amp;Agencia[[#This Row],[Filtro URL]]</f>
        <v>100-R-16</v>
      </c>
      <c r="U249" s="46" t="str">
        <f t="shared" si="106"/>
        <v>#1774B9</v>
      </c>
      <c r="V249" s="93" t="str">
        <f>+Agencia[[#This Row],[idcoleccion]]&amp;"-"&amp;Agencia[[#This Row],[id]]</f>
        <v>990-0238</v>
      </c>
      <c r="W249" s="93">
        <f>+VLOOKUP(Agencia[[#This Row],[Filtro URL]],Estructura!$X$4:$Y$500,2,0)</f>
        <v>99200016</v>
      </c>
      <c r="X249" s="93" t="str">
        <f>+VLOOKUP(Agencia[[#This Row],[tema]],Estructura!$A$4:$C$500,3,0)</f>
        <v>T-1025</v>
      </c>
      <c r="Y249" s="93" t="str">
        <f>+VLOOKUP(Agencia[[#This Row],[contenido]],Estructura!$E$4:$G$500,3,0)</f>
        <v>C-997</v>
      </c>
      <c r="Z249" s="93" t="str">
        <f>+VLOOKUP(Agencia[[#This Row],[Filtro Integrado]],Estructura!$I$4:$K$500,3,0)</f>
        <v>FI-993</v>
      </c>
      <c r="AA249" s="93" t="str">
        <f>+VLOOKUP(Agencia[[#This Row],[Muestra]],Estructura!$M$4:$O$500,3,0)</f>
        <v>M-1045</v>
      </c>
    </row>
    <row r="250" spans="1:27" ht="72" x14ac:dyDescent="0.3">
      <c r="A250" s="21" t="s">
        <v>669</v>
      </c>
      <c r="B250" s="23">
        <f t="shared" ref="B250:B281" si="108">+B249</f>
        <v>990</v>
      </c>
      <c r="C250" s="24" t="str">
        <f t="shared" ref="C250:C281" si="109">+C249</f>
        <v>Agencia Información</v>
      </c>
      <c r="D250" s="72" t="s">
        <v>814</v>
      </c>
      <c r="E250" s="14">
        <v>0</v>
      </c>
      <c r="F250" s="10" t="s">
        <v>815</v>
      </c>
      <c r="G250" s="10" t="s">
        <v>1880</v>
      </c>
      <c r="H250" s="31" t="s">
        <v>20</v>
      </c>
      <c r="I250" s="32" t="s">
        <v>15</v>
      </c>
      <c r="J250" s="9" t="s">
        <v>16</v>
      </c>
      <c r="K250" s="9" t="s">
        <v>9311</v>
      </c>
      <c r="L250" s="9" t="s">
        <v>457</v>
      </c>
      <c r="M250" s="9" t="s">
        <v>816</v>
      </c>
      <c r="N250" s="9" t="s">
        <v>817</v>
      </c>
      <c r="O250" s="20" t="s">
        <v>818</v>
      </c>
      <c r="P250" s="112" t="s">
        <v>6868</v>
      </c>
      <c r="Q250" s="11" t="s">
        <v>590</v>
      </c>
      <c r="R250" s="20" t="str">
        <f>Agencia[[#This Row],[territorio]]&amp;",plan,regional,desarrollo,urbano,PRDU,MINVU,estado,vigente,inactivo,formulación,conflicto,"&amp;Agencia[[#This Row],[coleccion]]&amp;","&amp;Agencia[[#This Row],[sector]]&amp;","&amp;Agencia[[#This Row],[tema]]&amp;","&amp;Agencia[[#This Row],[contenido]]</f>
        <v>Chile,plan,regional,desarrollo,urbano,PRDU,MINVU,estado,vigente,inactivo,formulación,conflicto,Agencia Información,Vivienda y Construcción,Instrumentos de Planificación Territorial (IPT),Territorio</v>
      </c>
      <c r="S250" s="83" t="s">
        <v>993</v>
      </c>
      <c r="T250" s="108">
        <v>0</v>
      </c>
      <c r="U250" s="46" t="str">
        <f t="shared" si="106"/>
        <v>#1774B9</v>
      </c>
      <c r="V250" s="93" t="str">
        <f>+Agencia[[#This Row],[idcoleccion]]&amp;"-"&amp;Agencia[[#This Row],[id]]</f>
        <v>990-0239</v>
      </c>
      <c r="W250" s="93">
        <f>+VLOOKUP(Agencia[[#This Row],[Filtro URL]],Estructura!$X$4:$Y$500,2,0)</f>
        <v>99100000</v>
      </c>
      <c r="X250" s="93" t="str">
        <f>+VLOOKUP(Agencia[[#This Row],[tema]],Estructura!$A$4:$C$500,3,0)</f>
        <v>T-1026</v>
      </c>
      <c r="Y250" s="93" t="str">
        <f>+VLOOKUP(Agencia[[#This Row],[contenido]],Estructura!$E$4:$G$500,3,0)</f>
        <v>C-999</v>
      </c>
      <c r="Z250" s="93" t="str">
        <f>+VLOOKUP(Agencia[[#This Row],[Filtro Integrado]],Estructura!$I$4:$K$500,3,0)</f>
        <v>FI-992</v>
      </c>
      <c r="AA250" s="93" t="str">
        <f>+VLOOKUP(Agencia[[#This Row],[Muestra]],Estructura!$M$4:$O$500,3,0)</f>
        <v>M-1046</v>
      </c>
    </row>
    <row r="251" spans="1:27" ht="40.799999999999997" x14ac:dyDescent="0.3">
      <c r="A251" s="21" t="s">
        <v>670</v>
      </c>
      <c r="B251" s="23">
        <f t="shared" si="108"/>
        <v>990</v>
      </c>
      <c r="C251" s="24" t="str">
        <f t="shared" si="109"/>
        <v>Agencia Información</v>
      </c>
      <c r="D251" s="72" t="s">
        <v>603</v>
      </c>
      <c r="E251" s="14">
        <v>0</v>
      </c>
      <c r="F251" s="10" t="s">
        <v>5156</v>
      </c>
      <c r="G251" s="10" t="s">
        <v>1896</v>
      </c>
      <c r="H251" s="31" t="s">
        <v>20</v>
      </c>
      <c r="I251" s="32" t="s">
        <v>15</v>
      </c>
      <c r="J251" s="9" t="s">
        <v>18</v>
      </c>
      <c r="K251" s="9" t="s">
        <v>1517</v>
      </c>
      <c r="L251" s="9" t="s">
        <v>596</v>
      </c>
      <c r="M251" s="9" t="s">
        <v>606</v>
      </c>
      <c r="N251" s="9" t="s">
        <v>607</v>
      </c>
      <c r="O251" s="20" t="str">
        <f>"Cantidad de Espacios Culturales con Acceso para Discapacitados en el "&amp;Agencia[[#This Row],[temporalidad]]</f>
        <v>Cantidad de Espacios Culturales con Acceso para Discapacitados en el Año 2021</v>
      </c>
      <c r="P251" s="112" t="s">
        <v>821</v>
      </c>
      <c r="Q251" s="11" t="s">
        <v>576</v>
      </c>
      <c r="R251" s="20" t="str">
        <f>Agencia[[#This Row],[territorio]]&amp;",espacio,cultural,acceso,ingreso,discapacitados,discapacidad,inclusión,"&amp;Agencia[[#This Row],[coleccion]]&amp;","&amp;Agencia[[#This Row],[sector]]&amp;","&amp;Agencia[[#This Row],[tema]]&amp;","&amp;Agencia[[#This Row],[contenido]]</f>
        <v>Chile,espacio,cultural,acceso,ingreso,discapacitados,discapacidad,inclusión,Agencia Información,Arte y cultura,Acceso para discapacitados en espacios culturales,Cultura</v>
      </c>
      <c r="S251" s="37" t="s">
        <v>820</v>
      </c>
      <c r="T251" s="108" t="s">
        <v>957</v>
      </c>
      <c r="U251" s="46" t="str">
        <f t="shared" si="106"/>
        <v>#1774B9</v>
      </c>
      <c r="V251" s="93" t="str">
        <f>+Agencia[[#This Row],[idcoleccion]]&amp;"-"&amp;Agencia[[#This Row],[id]]</f>
        <v>990-0240</v>
      </c>
      <c r="W251" s="93">
        <f>+VLOOKUP(Agencia[[#This Row],[Filtro URL]],Estructura!$X$4:$Y$500,2,0)</f>
        <v>99100000</v>
      </c>
      <c r="X251" s="93" t="str">
        <f>+VLOOKUP(Agencia[[#This Row],[tema]],Estructura!$A$4:$C$500,3,0)</f>
        <v>T-997</v>
      </c>
      <c r="Y251" s="93" t="str">
        <f>+VLOOKUP(Agencia[[#This Row],[contenido]],Estructura!$E$4:$G$500,3,0)</f>
        <v>C-1008</v>
      </c>
      <c r="Z251" s="93" t="str">
        <f>+VLOOKUP(Agencia[[#This Row],[Filtro Integrado]],Estructura!$I$4:$K$500,3,0)</f>
        <v>FI-991</v>
      </c>
      <c r="AA251" s="93" t="str">
        <f>+VLOOKUP(Agencia[[#This Row],[Muestra]],Estructura!$M$4:$O$500,3,0)</f>
        <v>M-1041</v>
      </c>
    </row>
    <row r="252" spans="1:27" ht="72" x14ac:dyDescent="0.3">
      <c r="A252" s="21" t="s">
        <v>671</v>
      </c>
      <c r="B252" s="23">
        <f t="shared" si="108"/>
        <v>990</v>
      </c>
      <c r="C252" s="24" t="str">
        <f t="shared" si="109"/>
        <v>Agencia Información</v>
      </c>
      <c r="D252" s="72" t="str">
        <f t="shared" ref="D252:D267" si="110">+D251</f>
        <v>Arte y cultura</v>
      </c>
      <c r="E252" s="19">
        <v>1</v>
      </c>
      <c r="F252" s="67" t="s">
        <v>5156</v>
      </c>
      <c r="G252" s="10" t="s">
        <v>1896</v>
      </c>
      <c r="H252" s="33" t="s">
        <v>16</v>
      </c>
      <c r="I252" s="34" t="s">
        <v>368</v>
      </c>
      <c r="J252" s="9" t="str">
        <f t="shared" ref="J252:N267" si="111">+J251</f>
        <v>Comuna</v>
      </c>
      <c r="K252" s="9" t="str">
        <f t="shared" si="111"/>
        <v>Espacios culturales</v>
      </c>
      <c r="L252" s="9" t="str">
        <f t="shared" si="111"/>
        <v>Año 2021</v>
      </c>
      <c r="M252" s="9" t="str">
        <f t="shared" si="111"/>
        <v>Número de espacios culturales</v>
      </c>
      <c r="N252" s="9" t="str">
        <f t="shared" si="111"/>
        <v>Observatorio Cultural</v>
      </c>
      <c r="O252" s="20" t="str">
        <f>"Cantidad de Espacios Culturales con Acceso para Discapacitados en la "&amp;Agencia[[#This Row],[territorio]]&amp;", en el "&amp;Agencia[[#This Row],[temporalidad]]</f>
        <v>Cantidad de Espacios Culturales con Acceso para Discapacitados en la Región de Tarapacá, en el Año 2021</v>
      </c>
      <c r="P252" s="112" t="s">
        <v>5569</v>
      </c>
      <c r="Q252" s="11" t="str">
        <f t="shared" si="103"/>
        <v>Gráfico</v>
      </c>
      <c r="R252" s="148" t="str">
        <f>Agencia[[#This Row],[territorio]]&amp;",espacio,cultural,acceso,ingreso,discapacitados,discapacidad,inclusión,"&amp;Agencia[[#This Row],[coleccion]]&amp;","&amp;Agencia[[#This Row],[sector]]&amp;","&amp;Agencia[[#This Row],[tema]]&amp;","&amp;Agencia[[#This Row],[contenido]]</f>
        <v>Región de Tarapacá,espacio,cultural,acceso,ingreso,discapacitados,discapacidad,inclusión,Agencia Información,Arte y cultura,Acceso para discapacitados en espacios culturales,Cultura</v>
      </c>
      <c r="S25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v>
      </c>
      <c r="T252" s="111" t="str">
        <f>"100-C-"&amp;Agencia[[#This Row],[Filtro URL]]</f>
        <v>100-C-1</v>
      </c>
      <c r="U252" s="46" t="str">
        <f t="shared" si="106"/>
        <v>#1774B9</v>
      </c>
      <c r="V252" s="93" t="str">
        <f>+Agencia[[#This Row],[idcoleccion]]&amp;"-"&amp;Agencia[[#This Row],[id]]</f>
        <v>990-0241</v>
      </c>
      <c r="W252" s="93">
        <f>+VLOOKUP(Agencia[[#This Row],[Filtro URL]],Estructura!$X$4:$Y$500,2,0)</f>
        <v>99200001</v>
      </c>
      <c r="X252" s="93" t="str">
        <f>+VLOOKUP(Agencia[[#This Row],[tema]],Estructura!$A$4:$C$500,3,0)</f>
        <v>T-997</v>
      </c>
      <c r="Y252" s="93" t="str">
        <f>+VLOOKUP(Agencia[[#This Row],[contenido]],Estructura!$E$4:$G$500,3,0)</f>
        <v>C-1008</v>
      </c>
      <c r="Z252" s="93" t="str">
        <f>+VLOOKUP(Agencia[[#This Row],[Filtro Integrado]],Estructura!$I$4:$K$500,3,0)</f>
        <v>FI-991</v>
      </c>
      <c r="AA252" s="93" t="str">
        <f>+VLOOKUP(Agencia[[#This Row],[Muestra]],Estructura!$M$4:$O$500,3,0)</f>
        <v>M-1041</v>
      </c>
    </row>
    <row r="253" spans="1:27" ht="72" x14ac:dyDescent="0.3">
      <c r="A253" s="21" t="s">
        <v>672</v>
      </c>
      <c r="B253" s="23">
        <f t="shared" si="108"/>
        <v>990</v>
      </c>
      <c r="C253" s="24" t="str">
        <f t="shared" si="109"/>
        <v>Agencia Información</v>
      </c>
      <c r="D253" s="72" t="str">
        <f t="shared" si="110"/>
        <v>Arte y cultura</v>
      </c>
      <c r="E253" s="19">
        <v>2</v>
      </c>
      <c r="F253" s="67" t="s">
        <v>5156</v>
      </c>
      <c r="G253" s="10" t="s">
        <v>1896</v>
      </c>
      <c r="H253" s="33" t="s">
        <v>16</v>
      </c>
      <c r="I253" s="34" t="s">
        <v>369</v>
      </c>
      <c r="J253" s="9" t="str">
        <f t="shared" si="111"/>
        <v>Comuna</v>
      </c>
      <c r="K253" s="9" t="str">
        <f t="shared" si="111"/>
        <v>Espacios culturales</v>
      </c>
      <c r="L253" s="9" t="str">
        <f t="shared" si="111"/>
        <v>Año 2021</v>
      </c>
      <c r="M253" s="9" t="str">
        <f t="shared" si="111"/>
        <v>Número de espacios culturales</v>
      </c>
      <c r="N253" s="9" t="str">
        <f t="shared" si="111"/>
        <v>Observatorio Cultural</v>
      </c>
      <c r="O253" s="20" t="str">
        <f>"Cantidad de Espacios Culturales con Acceso para Discapacitados en la "&amp;Agencia[[#This Row],[territorio]]&amp;", en el "&amp;Agencia[[#This Row],[temporalidad]]</f>
        <v>Cantidad de Espacios Culturales con Acceso para Discapacitados en la Región de Antofagasta, en el Año 2021</v>
      </c>
      <c r="P253" s="112" t="s">
        <v>5570</v>
      </c>
      <c r="Q253" s="11" t="str">
        <f t="shared" si="103"/>
        <v>Gráfico</v>
      </c>
      <c r="R253" s="148" t="str">
        <f>Agencia[[#This Row],[territorio]]&amp;",espacio,cultural,acceso,ingreso,discapacitados,discapacidad,inclusión,"&amp;Agencia[[#This Row],[coleccion]]&amp;","&amp;Agencia[[#This Row],[sector]]&amp;","&amp;Agencia[[#This Row],[tema]]&amp;","&amp;Agencia[[#This Row],[contenido]]</f>
        <v>Región de Antofagasta,espacio,cultural,acceso,ingreso,discapacitados,discapacidad,inclusión,Agencia Información,Arte y cultura,Acceso para discapacitados en espacios culturales,Cultura</v>
      </c>
      <c r="S25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https://analytics.zoho.com/open-view/2395394000008213039?ZOHO_CRITERIA=%22Espacios_Culturales_Completo%201%22.%22C%C3%B3digo_Regi%C3%B3n%22%20%3D%202</v>
      </c>
      <c r="T253" s="111" t="str">
        <f>"100-C-"&amp;Agencia[[#This Row],[Filtro URL]]</f>
        <v>100-C-2</v>
      </c>
      <c r="U253" s="46" t="str">
        <f t="shared" si="106"/>
        <v>#1774B9</v>
      </c>
      <c r="V253" s="93" t="str">
        <f>+Agencia[[#This Row],[idcoleccion]]&amp;"-"&amp;Agencia[[#This Row],[id]]</f>
        <v>990-0242</v>
      </c>
      <c r="W253" s="93">
        <f>+VLOOKUP(Agencia[[#This Row],[Filtro URL]],Estructura!$X$4:$Y$500,2,0)</f>
        <v>99200002</v>
      </c>
      <c r="X253" s="93" t="str">
        <f>+VLOOKUP(Agencia[[#This Row],[tema]],Estructura!$A$4:$C$500,3,0)</f>
        <v>T-997</v>
      </c>
      <c r="Y253" s="93" t="str">
        <f>+VLOOKUP(Agencia[[#This Row],[contenido]],Estructura!$E$4:$G$500,3,0)</f>
        <v>C-1008</v>
      </c>
      <c r="Z253" s="93" t="str">
        <f>+VLOOKUP(Agencia[[#This Row],[Filtro Integrado]],Estructura!$I$4:$K$500,3,0)</f>
        <v>FI-991</v>
      </c>
      <c r="AA253" s="93" t="str">
        <f>+VLOOKUP(Agencia[[#This Row],[Muestra]],Estructura!$M$4:$O$500,3,0)</f>
        <v>M-1041</v>
      </c>
    </row>
    <row r="254" spans="1:27" ht="72" x14ac:dyDescent="0.3">
      <c r="A254" s="21" t="s">
        <v>673</v>
      </c>
      <c r="B254" s="23">
        <f t="shared" si="108"/>
        <v>990</v>
      </c>
      <c r="C254" s="24" t="str">
        <f t="shared" si="109"/>
        <v>Agencia Información</v>
      </c>
      <c r="D254" s="72" t="str">
        <f t="shared" si="110"/>
        <v>Arte y cultura</v>
      </c>
      <c r="E254" s="19">
        <v>3</v>
      </c>
      <c r="F254" s="67" t="s">
        <v>5156</v>
      </c>
      <c r="G254" s="10" t="s">
        <v>1896</v>
      </c>
      <c r="H254" s="33" t="s">
        <v>16</v>
      </c>
      <c r="I254" s="34" t="s">
        <v>370</v>
      </c>
      <c r="J254" s="9" t="str">
        <f t="shared" si="111"/>
        <v>Comuna</v>
      </c>
      <c r="K254" s="9" t="str">
        <f t="shared" si="111"/>
        <v>Espacios culturales</v>
      </c>
      <c r="L254" s="9" t="str">
        <f t="shared" si="111"/>
        <v>Año 2021</v>
      </c>
      <c r="M254" s="9" t="str">
        <f t="shared" si="111"/>
        <v>Número de espacios culturales</v>
      </c>
      <c r="N254" s="9" t="str">
        <f t="shared" si="111"/>
        <v>Observatorio Cultural</v>
      </c>
      <c r="O254" s="20" t="str">
        <f>"Cantidad de Espacios Culturales con Acceso para Discapacitados en la "&amp;Agencia[[#This Row],[territorio]]&amp;", en el "&amp;Agencia[[#This Row],[temporalidad]]</f>
        <v>Cantidad de Espacios Culturales con Acceso para Discapacitados en la Región de Atacama, en el Año 2021</v>
      </c>
      <c r="P254" s="112" t="s">
        <v>5571</v>
      </c>
      <c r="Q254" s="11" t="str">
        <f t="shared" si="103"/>
        <v>Gráfico</v>
      </c>
      <c r="R254" s="148" t="str">
        <f>Agencia[[#This Row],[territorio]]&amp;",espacio,cultural,acceso,ingreso,discapacitados,discapacidad,inclusión,"&amp;Agencia[[#This Row],[coleccion]]&amp;","&amp;Agencia[[#This Row],[sector]]&amp;","&amp;Agencia[[#This Row],[tema]]&amp;","&amp;Agencia[[#This Row],[contenido]]</f>
        <v>Región de Atacama,espacio,cultural,acceso,ingreso,discapacitados,discapacidad,inclusión,Agencia Información,Arte y cultura,Acceso para discapacitados en espacios culturales,Cultura</v>
      </c>
      <c r="S25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https://analytics.zoho.com/open-view/2395394000008213039?ZOHO_CRITERIA=%22Espacios_Culturales_Completo%201%22.%22C%C3%B3digo_Regi%C3%B3n%22%20%3D%203</v>
      </c>
      <c r="T254" s="111" t="str">
        <f>"100-C-"&amp;Agencia[[#This Row],[Filtro URL]]</f>
        <v>100-C-3</v>
      </c>
      <c r="U254" s="46" t="str">
        <f t="shared" si="106"/>
        <v>#1774B9</v>
      </c>
      <c r="V254" s="93" t="str">
        <f>+Agencia[[#This Row],[idcoleccion]]&amp;"-"&amp;Agencia[[#This Row],[id]]</f>
        <v>990-0243</v>
      </c>
      <c r="W254" s="93">
        <f>+VLOOKUP(Agencia[[#This Row],[Filtro URL]],Estructura!$X$4:$Y$500,2,0)</f>
        <v>99200003</v>
      </c>
      <c r="X254" s="93" t="str">
        <f>+VLOOKUP(Agencia[[#This Row],[tema]],Estructura!$A$4:$C$500,3,0)</f>
        <v>T-997</v>
      </c>
      <c r="Y254" s="93" t="str">
        <f>+VLOOKUP(Agencia[[#This Row],[contenido]],Estructura!$E$4:$G$500,3,0)</f>
        <v>C-1008</v>
      </c>
      <c r="Z254" s="93" t="str">
        <f>+VLOOKUP(Agencia[[#This Row],[Filtro Integrado]],Estructura!$I$4:$K$500,3,0)</f>
        <v>FI-991</v>
      </c>
      <c r="AA254" s="93" t="str">
        <f>+VLOOKUP(Agencia[[#This Row],[Muestra]],Estructura!$M$4:$O$500,3,0)</f>
        <v>M-1041</v>
      </c>
    </row>
    <row r="255" spans="1:27" ht="72" x14ac:dyDescent="0.3">
      <c r="A255" s="21" t="s">
        <v>674</v>
      </c>
      <c r="B255" s="23">
        <f t="shared" si="108"/>
        <v>990</v>
      </c>
      <c r="C255" s="24" t="str">
        <f t="shared" si="109"/>
        <v>Agencia Información</v>
      </c>
      <c r="D255" s="72" t="str">
        <f t="shared" si="110"/>
        <v>Arte y cultura</v>
      </c>
      <c r="E255" s="19">
        <v>4</v>
      </c>
      <c r="F255" s="67" t="s">
        <v>5156</v>
      </c>
      <c r="G255" s="10" t="s">
        <v>1896</v>
      </c>
      <c r="H255" s="33" t="s">
        <v>16</v>
      </c>
      <c r="I255" s="34" t="s">
        <v>371</v>
      </c>
      <c r="J255" s="9" t="str">
        <f t="shared" si="111"/>
        <v>Comuna</v>
      </c>
      <c r="K255" s="9" t="str">
        <f t="shared" si="111"/>
        <v>Espacios culturales</v>
      </c>
      <c r="L255" s="9" t="str">
        <f t="shared" si="111"/>
        <v>Año 2021</v>
      </c>
      <c r="M255" s="9" t="str">
        <f t="shared" si="111"/>
        <v>Número de espacios culturales</v>
      </c>
      <c r="N255" s="9" t="str">
        <f t="shared" si="111"/>
        <v>Observatorio Cultural</v>
      </c>
      <c r="O255" s="20" t="str">
        <f>"Cantidad de Espacios Culturales con Acceso para Discapacitados en la "&amp;Agencia[[#This Row],[territorio]]&amp;", en el "&amp;Agencia[[#This Row],[temporalidad]]</f>
        <v>Cantidad de Espacios Culturales con Acceso para Discapacitados en la Región de Coquimbo, en el Año 2021</v>
      </c>
      <c r="P255" s="112" t="s">
        <v>5572</v>
      </c>
      <c r="Q255" s="11" t="str">
        <f t="shared" si="103"/>
        <v>Gráfico</v>
      </c>
      <c r="R255" s="148" t="str">
        <f>Agencia[[#This Row],[territorio]]&amp;",espacio,cultural,acceso,ingreso,discapacitados,discapacidad,inclusión,"&amp;Agencia[[#This Row],[coleccion]]&amp;","&amp;Agencia[[#This Row],[sector]]&amp;","&amp;Agencia[[#This Row],[tema]]&amp;","&amp;Agencia[[#This Row],[contenido]]</f>
        <v>Región de Coquimbo,espacio,cultural,acceso,ingreso,discapacitados,discapacidad,inclusión,Agencia Información,Arte y cultura,Acceso para discapacitados en espacios culturales,Cultura</v>
      </c>
      <c r="S25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https://analytics.zoho.com/open-view/2395394000008213039?ZOHO_CRITERIA=%22Espacios_Culturales_Completo%201%22.%22C%C3%B3digo_Regi%C3%B3n%22%20%3D%204</v>
      </c>
      <c r="T255" s="111" t="str">
        <f>"100-C-"&amp;Agencia[[#This Row],[Filtro URL]]</f>
        <v>100-C-4</v>
      </c>
      <c r="U255" s="46" t="str">
        <f t="shared" si="106"/>
        <v>#1774B9</v>
      </c>
      <c r="V255" s="93" t="str">
        <f>+Agencia[[#This Row],[idcoleccion]]&amp;"-"&amp;Agencia[[#This Row],[id]]</f>
        <v>990-0244</v>
      </c>
      <c r="W255" s="93">
        <f>+VLOOKUP(Agencia[[#This Row],[Filtro URL]],Estructura!$X$4:$Y$500,2,0)</f>
        <v>99200004</v>
      </c>
      <c r="X255" s="93" t="str">
        <f>+VLOOKUP(Agencia[[#This Row],[tema]],Estructura!$A$4:$C$500,3,0)</f>
        <v>T-997</v>
      </c>
      <c r="Y255" s="93" t="str">
        <f>+VLOOKUP(Agencia[[#This Row],[contenido]],Estructura!$E$4:$G$500,3,0)</f>
        <v>C-1008</v>
      </c>
      <c r="Z255" s="93" t="str">
        <f>+VLOOKUP(Agencia[[#This Row],[Filtro Integrado]],Estructura!$I$4:$K$500,3,0)</f>
        <v>FI-991</v>
      </c>
      <c r="AA255" s="93" t="str">
        <f>+VLOOKUP(Agencia[[#This Row],[Muestra]],Estructura!$M$4:$O$500,3,0)</f>
        <v>M-1041</v>
      </c>
    </row>
    <row r="256" spans="1:27" ht="72" x14ac:dyDescent="0.3">
      <c r="A256" s="21" t="s">
        <v>675</v>
      </c>
      <c r="B256" s="23">
        <f t="shared" si="108"/>
        <v>990</v>
      </c>
      <c r="C256" s="24" t="str">
        <f t="shared" si="109"/>
        <v>Agencia Información</v>
      </c>
      <c r="D256" s="72" t="str">
        <f t="shared" si="110"/>
        <v>Arte y cultura</v>
      </c>
      <c r="E256" s="19">
        <v>5</v>
      </c>
      <c r="F256" s="67" t="s">
        <v>5156</v>
      </c>
      <c r="G256" s="10" t="s">
        <v>1896</v>
      </c>
      <c r="H256" s="33" t="s">
        <v>16</v>
      </c>
      <c r="I256" s="34" t="s">
        <v>372</v>
      </c>
      <c r="J256" s="9" t="str">
        <f t="shared" si="111"/>
        <v>Comuna</v>
      </c>
      <c r="K256" s="9" t="str">
        <f t="shared" si="111"/>
        <v>Espacios culturales</v>
      </c>
      <c r="L256" s="9" t="str">
        <f t="shared" si="111"/>
        <v>Año 2021</v>
      </c>
      <c r="M256" s="9" t="str">
        <f t="shared" si="111"/>
        <v>Número de espacios culturales</v>
      </c>
      <c r="N256" s="9" t="str">
        <f t="shared" si="111"/>
        <v>Observatorio Cultural</v>
      </c>
      <c r="O256" s="20" t="str">
        <f>"Cantidad de Espacios Culturales con Acceso para Discapacitados en la "&amp;Agencia[[#This Row],[territorio]]&amp;", en el "&amp;Agencia[[#This Row],[temporalidad]]</f>
        <v>Cantidad de Espacios Culturales con Acceso para Discapacitados en la Región de Valparaíso, en el Año 2021</v>
      </c>
      <c r="P256" s="112" t="s">
        <v>5573</v>
      </c>
      <c r="Q256" s="11" t="str">
        <f t="shared" si="103"/>
        <v>Gráfico</v>
      </c>
      <c r="R256" s="148" t="str">
        <f>Agencia[[#This Row],[territorio]]&amp;",espacio,cultural,acceso,ingreso,discapacitados,discapacidad,inclusión,"&amp;Agencia[[#This Row],[coleccion]]&amp;","&amp;Agencia[[#This Row],[sector]]&amp;","&amp;Agencia[[#This Row],[tema]]&amp;","&amp;Agencia[[#This Row],[contenido]]</f>
        <v>Región de Valparaíso,espacio,cultural,acceso,ingreso,discapacitados,discapacidad,inclusión,Agencia Información,Arte y cultura,Acceso para discapacitados en espacios culturales,Cultura</v>
      </c>
      <c r="S25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https://analytics.zoho.com/open-view/2395394000008213039?ZOHO_CRITERIA=%22Espacios_Culturales_Completo%201%22.%22C%C3%B3digo_Regi%C3%B3n%22%20%3D%205</v>
      </c>
      <c r="T256" s="111" t="str">
        <f>"100-C-"&amp;Agencia[[#This Row],[Filtro URL]]</f>
        <v>100-C-5</v>
      </c>
      <c r="U256" s="46" t="str">
        <f t="shared" si="106"/>
        <v>#1774B9</v>
      </c>
      <c r="V256" s="93" t="str">
        <f>+Agencia[[#This Row],[idcoleccion]]&amp;"-"&amp;Agencia[[#This Row],[id]]</f>
        <v>990-0245</v>
      </c>
      <c r="W256" s="93">
        <f>+VLOOKUP(Agencia[[#This Row],[Filtro URL]],Estructura!$X$4:$Y$500,2,0)</f>
        <v>99200005</v>
      </c>
      <c r="X256" s="93" t="str">
        <f>+VLOOKUP(Agencia[[#This Row],[tema]],Estructura!$A$4:$C$500,3,0)</f>
        <v>T-997</v>
      </c>
      <c r="Y256" s="93" t="str">
        <f>+VLOOKUP(Agencia[[#This Row],[contenido]],Estructura!$E$4:$G$500,3,0)</f>
        <v>C-1008</v>
      </c>
      <c r="Z256" s="93" t="str">
        <f>+VLOOKUP(Agencia[[#This Row],[Filtro Integrado]],Estructura!$I$4:$K$500,3,0)</f>
        <v>FI-991</v>
      </c>
      <c r="AA256" s="93" t="str">
        <f>+VLOOKUP(Agencia[[#This Row],[Muestra]],Estructura!$M$4:$O$500,3,0)</f>
        <v>M-1041</v>
      </c>
    </row>
    <row r="257" spans="1:27" ht="72" x14ac:dyDescent="0.3">
      <c r="A257" s="21" t="s">
        <v>676</v>
      </c>
      <c r="B257" s="23">
        <f t="shared" si="108"/>
        <v>990</v>
      </c>
      <c r="C257" s="24" t="str">
        <f t="shared" si="109"/>
        <v>Agencia Información</v>
      </c>
      <c r="D257" s="72" t="str">
        <f t="shared" si="110"/>
        <v>Arte y cultura</v>
      </c>
      <c r="E257" s="19">
        <v>6</v>
      </c>
      <c r="F257" s="67" t="s">
        <v>5156</v>
      </c>
      <c r="G257" s="10" t="s">
        <v>1896</v>
      </c>
      <c r="H257" s="33" t="s">
        <v>16</v>
      </c>
      <c r="I257" s="34" t="s">
        <v>373</v>
      </c>
      <c r="J257" s="9" t="str">
        <f t="shared" si="111"/>
        <v>Comuna</v>
      </c>
      <c r="K257" s="9" t="str">
        <f t="shared" si="111"/>
        <v>Espacios culturales</v>
      </c>
      <c r="L257" s="9" t="str">
        <f t="shared" si="111"/>
        <v>Año 2021</v>
      </c>
      <c r="M257" s="9" t="str">
        <f t="shared" si="111"/>
        <v>Número de espacios culturales</v>
      </c>
      <c r="N257" s="9" t="str">
        <f t="shared" si="111"/>
        <v>Observatorio Cultural</v>
      </c>
      <c r="O257" s="20" t="str">
        <f>"Cantidad de Espacios Culturales con Acceso para Discapacitados en la "&amp;Agencia[[#This Row],[territorio]]&amp;", en el "&amp;Agencia[[#This Row],[temporalidad]]</f>
        <v>Cantidad de Espacios Culturales con Acceso para Discapacitados en la Región de O'Higgins, en el Año 2021</v>
      </c>
      <c r="P257" s="112" t="s">
        <v>5574</v>
      </c>
      <c r="Q257" s="11" t="str">
        <f t="shared" si="103"/>
        <v>Gráfico</v>
      </c>
      <c r="R257" s="148" t="str">
        <f>Agencia[[#This Row],[territorio]]&amp;",espacio,cultural,acceso,ingreso,discapacitados,discapacidad,inclusión,"&amp;Agencia[[#This Row],[coleccion]]&amp;","&amp;Agencia[[#This Row],[sector]]&amp;","&amp;Agencia[[#This Row],[tema]]&amp;","&amp;Agencia[[#This Row],[contenido]]</f>
        <v>Región de O'Higgins,espacio,cultural,acceso,ingreso,discapacitados,discapacidad,inclusión,Agencia Información,Arte y cultura,Acceso para discapacitados en espacios culturales,Cultura</v>
      </c>
      <c r="S25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https://analytics.zoho.com/open-view/2395394000008213039?ZOHO_CRITERIA=%22Espacios_Culturales_Completo%201%22.%22C%C3%B3digo_Regi%C3%B3n%22%20%3D%206</v>
      </c>
      <c r="T257" s="111" t="str">
        <f>"100-C-"&amp;Agencia[[#This Row],[Filtro URL]]</f>
        <v>100-C-6</v>
      </c>
      <c r="U257" s="46" t="str">
        <f t="shared" si="106"/>
        <v>#1774B9</v>
      </c>
      <c r="V257" s="93" t="str">
        <f>+Agencia[[#This Row],[idcoleccion]]&amp;"-"&amp;Agencia[[#This Row],[id]]</f>
        <v>990-0246</v>
      </c>
      <c r="W257" s="93">
        <f>+VLOOKUP(Agencia[[#This Row],[Filtro URL]],Estructura!$X$4:$Y$500,2,0)</f>
        <v>99200006</v>
      </c>
      <c r="X257" s="93" t="str">
        <f>+VLOOKUP(Agencia[[#This Row],[tema]],Estructura!$A$4:$C$500,3,0)</f>
        <v>T-997</v>
      </c>
      <c r="Y257" s="93" t="str">
        <f>+VLOOKUP(Agencia[[#This Row],[contenido]],Estructura!$E$4:$G$500,3,0)</f>
        <v>C-1008</v>
      </c>
      <c r="Z257" s="93" t="str">
        <f>+VLOOKUP(Agencia[[#This Row],[Filtro Integrado]],Estructura!$I$4:$K$500,3,0)</f>
        <v>FI-991</v>
      </c>
      <c r="AA257" s="93" t="str">
        <f>+VLOOKUP(Agencia[[#This Row],[Muestra]],Estructura!$M$4:$O$500,3,0)</f>
        <v>M-1041</v>
      </c>
    </row>
    <row r="258" spans="1:27" ht="72" x14ac:dyDescent="0.3">
      <c r="A258" s="21" t="s">
        <v>677</v>
      </c>
      <c r="B258" s="23">
        <f t="shared" si="108"/>
        <v>990</v>
      </c>
      <c r="C258" s="24" t="str">
        <f t="shared" si="109"/>
        <v>Agencia Información</v>
      </c>
      <c r="D258" s="72" t="str">
        <f t="shared" si="110"/>
        <v>Arte y cultura</v>
      </c>
      <c r="E258" s="19">
        <v>7</v>
      </c>
      <c r="F258" s="67" t="s">
        <v>5156</v>
      </c>
      <c r="G258" s="10" t="s">
        <v>1896</v>
      </c>
      <c r="H258" s="33" t="s">
        <v>16</v>
      </c>
      <c r="I258" s="34" t="s">
        <v>374</v>
      </c>
      <c r="J258" s="9" t="str">
        <f t="shared" si="111"/>
        <v>Comuna</v>
      </c>
      <c r="K258" s="9" t="str">
        <f t="shared" si="111"/>
        <v>Espacios culturales</v>
      </c>
      <c r="L258" s="9" t="str">
        <f t="shared" si="111"/>
        <v>Año 2021</v>
      </c>
      <c r="M258" s="9" t="str">
        <f t="shared" si="111"/>
        <v>Número de espacios culturales</v>
      </c>
      <c r="N258" s="9" t="str">
        <f t="shared" si="111"/>
        <v>Observatorio Cultural</v>
      </c>
      <c r="O258" s="20" t="str">
        <f>"Cantidad de Espacios Culturales con Acceso para Discapacitados en la "&amp;Agencia[[#This Row],[territorio]]&amp;", en el "&amp;Agencia[[#This Row],[temporalidad]]</f>
        <v>Cantidad de Espacios Culturales con Acceso para Discapacitados en la Región de Maule, en el Año 2021</v>
      </c>
      <c r="P258" s="112" t="s">
        <v>5575</v>
      </c>
      <c r="Q258" s="11" t="str">
        <f t="shared" si="103"/>
        <v>Gráfico</v>
      </c>
      <c r="R258" s="148" t="str">
        <f>Agencia[[#This Row],[territorio]]&amp;",espacio,cultural,acceso,ingreso,discapacitados,discapacidad,inclusión,"&amp;Agencia[[#This Row],[coleccion]]&amp;","&amp;Agencia[[#This Row],[sector]]&amp;","&amp;Agencia[[#This Row],[tema]]&amp;","&amp;Agencia[[#This Row],[contenido]]</f>
        <v>Región de Maule,espacio,cultural,acceso,ingreso,discapacitados,discapacidad,inclusión,Agencia Información,Arte y cultura,Acceso para discapacitados en espacios culturales,Cultura</v>
      </c>
      <c r="S258"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https://analytics.zoho.com/open-view/2395394000008213039?ZOHO_CRITERIA=%22Espacios_Culturales_Completo%201%22.%22C%C3%B3digo_Regi%C3%B3n%22%20%3D%207</v>
      </c>
      <c r="T258" s="111" t="str">
        <f>"100-C-"&amp;Agencia[[#This Row],[Filtro URL]]</f>
        <v>100-C-7</v>
      </c>
      <c r="U258" s="46" t="str">
        <f t="shared" si="106"/>
        <v>#1774B9</v>
      </c>
      <c r="V258" s="93" t="str">
        <f>+Agencia[[#This Row],[idcoleccion]]&amp;"-"&amp;Agencia[[#This Row],[id]]</f>
        <v>990-0247</v>
      </c>
      <c r="W258" s="93">
        <f>+VLOOKUP(Agencia[[#This Row],[Filtro URL]],Estructura!$X$4:$Y$500,2,0)</f>
        <v>99200007</v>
      </c>
      <c r="X258" s="93" t="str">
        <f>+VLOOKUP(Agencia[[#This Row],[tema]],Estructura!$A$4:$C$500,3,0)</f>
        <v>T-997</v>
      </c>
      <c r="Y258" s="93" t="str">
        <f>+VLOOKUP(Agencia[[#This Row],[contenido]],Estructura!$E$4:$G$500,3,0)</f>
        <v>C-1008</v>
      </c>
      <c r="Z258" s="93" t="str">
        <f>+VLOOKUP(Agencia[[#This Row],[Filtro Integrado]],Estructura!$I$4:$K$500,3,0)</f>
        <v>FI-991</v>
      </c>
      <c r="AA258" s="93" t="str">
        <f>+VLOOKUP(Agencia[[#This Row],[Muestra]],Estructura!$M$4:$O$500,3,0)</f>
        <v>M-1041</v>
      </c>
    </row>
    <row r="259" spans="1:27" ht="72" x14ac:dyDescent="0.3">
      <c r="A259" s="21" t="s">
        <v>678</v>
      </c>
      <c r="B259" s="23">
        <f t="shared" si="108"/>
        <v>990</v>
      </c>
      <c r="C259" s="24" t="str">
        <f t="shared" si="109"/>
        <v>Agencia Información</v>
      </c>
      <c r="D259" s="72" t="str">
        <f t="shared" si="110"/>
        <v>Arte y cultura</v>
      </c>
      <c r="E259" s="19">
        <v>8</v>
      </c>
      <c r="F259" s="67" t="s">
        <v>5156</v>
      </c>
      <c r="G259" s="10" t="s">
        <v>1896</v>
      </c>
      <c r="H259" s="33" t="s">
        <v>16</v>
      </c>
      <c r="I259" s="34" t="s">
        <v>375</v>
      </c>
      <c r="J259" s="9" t="str">
        <f t="shared" si="111"/>
        <v>Comuna</v>
      </c>
      <c r="K259" s="9" t="str">
        <f t="shared" si="111"/>
        <v>Espacios culturales</v>
      </c>
      <c r="L259" s="9" t="str">
        <f t="shared" si="111"/>
        <v>Año 2021</v>
      </c>
      <c r="M259" s="9" t="str">
        <f t="shared" si="111"/>
        <v>Número de espacios culturales</v>
      </c>
      <c r="N259" s="9" t="str">
        <f t="shared" si="111"/>
        <v>Observatorio Cultural</v>
      </c>
      <c r="O259" s="20" t="str">
        <f>"Cantidad de Espacios Culturales con Acceso para Discapacitados en la "&amp;Agencia[[#This Row],[territorio]]&amp;", en el "&amp;Agencia[[#This Row],[temporalidad]]</f>
        <v>Cantidad de Espacios Culturales con Acceso para Discapacitados en la Región del Biobío, en el Año 2021</v>
      </c>
      <c r="P259" s="112" t="s">
        <v>5576</v>
      </c>
      <c r="Q259" s="11" t="str">
        <f t="shared" si="103"/>
        <v>Gráfico</v>
      </c>
      <c r="R259" s="148" t="str">
        <f>Agencia[[#This Row],[territorio]]&amp;",espacio,cultural,acceso,ingreso,discapacitados,discapacidad,inclusión,"&amp;Agencia[[#This Row],[coleccion]]&amp;","&amp;Agencia[[#This Row],[sector]]&amp;","&amp;Agencia[[#This Row],[tema]]&amp;","&amp;Agencia[[#This Row],[contenido]]</f>
        <v>Región del Biobío,espacio,cultural,acceso,ingreso,discapacitados,discapacidad,inclusión,Agencia Información,Arte y cultura,Acceso para discapacitados en espacios culturales,Cultura</v>
      </c>
      <c r="S259"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https://analytics.zoho.com/open-view/2395394000008213039?ZOHO_CRITERIA=%22Espacios_Culturales_Completo%201%22.%22C%C3%B3digo_Regi%C3%B3n%22%20%3D%208</v>
      </c>
      <c r="T259" s="111" t="str">
        <f>"100-C-"&amp;Agencia[[#This Row],[Filtro URL]]</f>
        <v>100-C-8</v>
      </c>
      <c r="U259" s="46" t="str">
        <f t="shared" si="106"/>
        <v>#1774B9</v>
      </c>
      <c r="V259" s="93" t="str">
        <f>+Agencia[[#This Row],[idcoleccion]]&amp;"-"&amp;Agencia[[#This Row],[id]]</f>
        <v>990-0248</v>
      </c>
      <c r="W259" s="93">
        <f>+VLOOKUP(Agencia[[#This Row],[Filtro URL]],Estructura!$X$4:$Y$500,2,0)</f>
        <v>99200008</v>
      </c>
      <c r="X259" s="93" t="str">
        <f>+VLOOKUP(Agencia[[#This Row],[tema]],Estructura!$A$4:$C$500,3,0)</f>
        <v>T-997</v>
      </c>
      <c r="Y259" s="93" t="str">
        <f>+VLOOKUP(Agencia[[#This Row],[contenido]],Estructura!$E$4:$G$500,3,0)</f>
        <v>C-1008</v>
      </c>
      <c r="Z259" s="93" t="str">
        <f>+VLOOKUP(Agencia[[#This Row],[Filtro Integrado]],Estructura!$I$4:$K$500,3,0)</f>
        <v>FI-991</v>
      </c>
      <c r="AA259" s="93" t="str">
        <f>+VLOOKUP(Agencia[[#This Row],[Muestra]],Estructura!$M$4:$O$500,3,0)</f>
        <v>M-1041</v>
      </c>
    </row>
    <row r="260" spans="1:27" ht="72" x14ac:dyDescent="0.3">
      <c r="A260" s="21" t="s">
        <v>679</v>
      </c>
      <c r="B260" s="23">
        <f t="shared" si="108"/>
        <v>990</v>
      </c>
      <c r="C260" s="24" t="str">
        <f t="shared" si="109"/>
        <v>Agencia Información</v>
      </c>
      <c r="D260" s="72" t="str">
        <f t="shared" si="110"/>
        <v>Arte y cultura</v>
      </c>
      <c r="E260" s="19">
        <v>9</v>
      </c>
      <c r="F260" s="67" t="s">
        <v>5156</v>
      </c>
      <c r="G260" s="10" t="s">
        <v>1896</v>
      </c>
      <c r="H260" s="33" t="s">
        <v>16</v>
      </c>
      <c r="I260" s="34" t="s">
        <v>376</v>
      </c>
      <c r="J260" s="9" t="str">
        <f t="shared" si="111"/>
        <v>Comuna</v>
      </c>
      <c r="K260" s="9" t="str">
        <f t="shared" si="111"/>
        <v>Espacios culturales</v>
      </c>
      <c r="L260" s="9" t="str">
        <f t="shared" si="111"/>
        <v>Año 2021</v>
      </c>
      <c r="M260" s="9" t="str">
        <f t="shared" si="111"/>
        <v>Número de espacios culturales</v>
      </c>
      <c r="N260" s="9" t="str">
        <f t="shared" si="111"/>
        <v>Observatorio Cultural</v>
      </c>
      <c r="O260" s="20" t="str">
        <f>"Cantidad de Espacios Culturales con Acceso para Discapacitados en la "&amp;Agencia[[#This Row],[territorio]]&amp;", en el "&amp;Agencia[[#This Row],[temporalidad]]</f>
        <v>Cantidad de Espacios Culturales con Acceso para Discapacitados en la Región de La Araucanía, en el Año 2021</v>
      </c>
      <c r="P260" s="112" t="s">
        <v>5577</v>
      </c>
      <c r="Q260" s="11" t="str">
        <f t="shared" si="103"/>
        <v>Gráfico</v>
      </c>
      <c r="R260" s="148" t="str">
        <f>Agencia[[#This Row],[territorio]]&amp;",espacio,cultural,acceso,ingreso,discapacitados,discapacidad,inclusión,"&amp;Agencia[[#This Row],[coleccion]]&amp;","&amp;Agencia[[#This Row],[sector]]&amp;","&amp;Agencia[[#This Row],[tema]]&amp;","&amp;Agencia[[#This Row],[contenido]]</f>
        <v>Región de La Araucanía,espacio,cultural,acceso,ingreso,discapacitados,discapacidad,inclusión,Agencia Información,Arte y cultura,Acceso para discapacitados en espacios culturales,Cultura</v>
      </c>
      <c r="S260"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https://analytics.zoho.com/open-view/2395394000008213039?ZOHO_CRITERIA=%22Espacios_Culturales_Completo%201%22.%22C%C3%B3digo_Regi%C3%B3n%22%20%3D%209</v>
      </c>
      <c r="T260" s="111" t="str">
        <f>"100-C-"&amp;Agencia[[#This Row],[Filtro URL]]</f>
        <v>100-C-9</v>
      </c>
      <c r="U260" s="46" t="str">
        <f t="shared" si="106"/>
        <v>#1774B9</v>
      </c>
      <c r="V260" s="93" t="str">
        <f>+Agencia[[#This Row],[idcoleccion]]&amp;"-"&amp;Agencia[[#This Row],[id]]</f>
        <v>990-0249</v>
      </c>
      <c r="W260" s="93">
        <f>+VLOOKUP(Agencia[[#This Row],[Filtro URL]],Estructura!$X$4:$Y$500,2,0)</f>
        <v>99200009</v>
      </c>
      <c r="X260" s="93" t="str">
        <f>+VLOOKUP(Agencia[[#This Row],[tema]],Estructura!$A$4:$C$500,3,0)</f>
        <v>T-997</v>
      </c>
      <c r="Y260" s="93" t="str">
        <f>+VLOOKUP(Agencia[[#This Row],[contenido]],Estructura!$E$4:$G$500,3,0)</f>
        <v>C-1008</v>
      </c>
      <c r="Z260" s="93" t="str">
        <f>+VLOOKUP(Agencia[[#This Row],[Filtro Integrado]],Estructura!$I$4:$K$500,3,0)</f>
        <v>FI-991</v>
      </c>
      <c r="AA260" s="93" t="str">
        <f>+VLOOKUP(Agencia[[#This Row],[Muestra]],Estructura!$M$4:$O$500,3,0)</f>
        <v>M-1041</v>
      </c>
    </row>
    <row r="261" spans="1:27" ht="72" x14ac:dyDescent="0.3">
      <c r="A261" s="21" t="s">
        <v>680</v>
      </c>
      <c r="B261" s="23">
        <f t="shared" si="108"/>
        <v>990</v>
      </c>
      <c r="C261" s="24" t="str">
        <f t="shared" si="109"/>
        <v>Agencia Información</v>
      </c>
      <c r="D261" s="72" t="str">
        <f t="shared" si="110"/>
        <v>Arte y cultura</v>
      </c>
      <c r="E261" s="19">
        <v>10</v>
      </c>
      <c r="F261" s="67" t="s">
        <v>5156</v>
      </c>
      <c r="G261" s="10" t="s">
        <v>1896</v>
      </c>
      <c r="H261" s="33" t="s">
        <v>16</v>
      </c>
      <c r="I261" s="34" t="s">
        <v>377</v>
      </c>
      <c r="J261" s="9" t="str">
        <f t="shared" si="111"/>
        <v>Comuna</v>
      </c>
      <c r="K261" s="9" t="str">
        <f t="shared" si="111"/>
        <v>Espacios culturales</v>
      </c>
      <c r="L261" s="9" t="str">
        <f t="shared" si="111"/>
        <v>Año 2021</v>
      </c>
      <c r="M261" s="9" t="str">
        <f t="shared" si="111"/>
        <v>Número de espacios culturales</v>
      </c>
      <c r="N261" s="9" t="str">
        <f t="shared" si="111"/>
        <v>Observatorio Cultural</v>
      </c>
      <c r="O261" s="20" t="str">
        <f>"Cantidad de Espacios Culturales con Acceso para Discapacitados en la "&amp;Agencia[[#This Row],[territorio]]&amp;", en el "&amp;Agencia[[#This Row],[temporalidad]]</f>
        <v>Cantidad de Espacios Culturales con Acceso para Discapacitados en la Región de Los Lagos, en el Año 2021</v>
      </c>
      <c r="P261" s="112" t="s">
        <v>5578</v>
      </c>
      <c r="Q261" s="11" t="str">
        <f t="shared" si="103"/>
        <v>Gráfico</v>
      </c>
      <c r="R261" s="148" t="str">
        <f>Agencia[[#This Row],[territorio]]&amp;",espacio,cultural,acceso,ingreso,discapacitados,discapacidad,inclusión,"&amp;Agencia[[#This Row],[coleccion]]&amp;","&amp;Agencia[[#This Row],[sector]]&amp;","&amp;Agencia[[#This Row],[tema]]&amp;","&amp;Agencia[[#This Row],[contenido]]</f>
        <v>Región de Los Lagos,espacio,cultural,acceso,ingreso,discapacitados,discapacidad,inclusión,Agencia Información,Arte y cultura,Acceso para discapacitados en espacios culturales,Cultura</v>
      </c>
      <c r="S261"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https://analytics.zoho.com/open-view/2395394000008213039?ZOHO_CRITERIA=%22Espacios_Culturales_Completo%201%22.%22C%C3%B3digo_Regi%C3%B3n%22%20%3D%2010</v>
      </c>
      <c r="T261" s="111" t="str">
        <f>"100-C-"&amp;Agencia[[#This Row],[Filtro URL]]</f>
        <v>100-C-10</v>
      </c>
      <c r="U261" s="46" t="str">
        <f t="shared" si="106"/>
        <v>#1774B9</v>
      </c>
      <c r="V261" s="93" t="str">
        <f>+Agencia[[#This Row],[idcoleccion]]&amp;"-"&amp;Agencia[[#This Row],[id]]</f>
        <v>990-0250</v>
      </c>
      <c r="W261" s="93">
        <f>+VLOOKUP(Agencia[[#This Row],[Filtro URL]],Estructura!$X$4:$Y$500,2,0)</f>
        <v>99200010</v>
      </c>
      <c r="X261" s="93" t="str">
        <f>+VLOOKUP(Agencia[[#This Row],[tema]],Estructura!$A$4:$C$500,3,0)</f>
        <v>T-997</v>
      </c>
      <c r="Y261" s="93" t="str">
        <f>+VLOOKUP(Agencia[[#This Row],[contenido]],Estructura!$E$4:$G$500,3,0)</f>
        <v>C-1008</v>
      </c>
      <c r="Z261" s="93" t="str">
        <f>+VLOOKUP(Agencia[[#This Row],[Filtro Integrado]],Estructura!$I$4:$K$500,3,0)</f>
        <v>FI-991</v>
      </c>
      <c r="AA261" s="93" t="str">
        <f>+VLOOKUP(Agencia[[#This Row],[Muestra]],Estructura!$M$4:$O$500,3,0)</f>
        <v>M-1041</v>
      </c>
    </row>
    <row r="262" spans="1:27" ht="72" x14ac:dyDescent="0.3">
      <c r="A262" s="21" t="s">
        <v>681</v>
      </c>
      <c r="B262" s="23">
        <f t="shared" si="108"/>
        <v>990</v>
      </c>
      <c r="C262" s="24" t="str">
        <f t="shared" si="109"/>
        <v>Agencia Información</v>
      </c>
      <c r="D262" s="72" t="str">
        <f t="shared" si="110"/>
        <v>Arte y cultura</v>
      </c>
      <c r="E262" s="19">
        <v>11</v>
      </c>
      <c r="F262" s="67" t="s">
        <v>5156</v>
      </c>
      <c r="G262" s="10" t="s">
        <v>1896</v>
      </c>
      <c r="H262" s="33" t="s">
        <v>16</v>
      </c>
      <c r="I262" s="34" t="s">
        <v>378</v>
      </c>
      <c r="J262" s="9" t="str">
        <f t="shared" si="111"/>
        <v>Comuna</v>
      </c>
      <c r="K262" s="9" t="str">
        <f t="shared" si="111"/>
        <v>Espacios culturales</v>
      </c>
      <c r="L262" s="9" t="str">
        <f t="shared" si="111"/>
        <v>Año 2021</v>
      </c>
      <c r="M262" s="9" t="str">
        <f t="shared" si="111"/>
        <v>Número de espacios culturales</v>
      </c>
      <c r="N262" s="9" t="str">
        <f t="shared" si="111"/>
        <v>Observatorio Cultural</v>
      </c>
      <c r="O262" s="20" t="str">
        <f>"Cantidad de Espacios Culturales con Acceso para Discapacitados en la "&amp;Agencia[[#This Row],[territorio]]&amp;", en el "&amp;Agencia[[#This Row],[temporalidad]]</f>
        <v>Cantidad de Espacios Culturales con Acceso para Discapacitados en la Región de Aysén, en el Año 2021</v>
      </c>
      <c r="P262" s="112" t="s">
        <v>5579</v>
      </c>
      <c r="Q262" s="11" t="str">
        <f t="shared" si="103"/>
        <v>Gráfico</v>
      </c>
      <c r="R262" s="148" t="str">
        <f>Agencia[[#This Row],[territorio]]&amp;",espacio,cultural,acceso,ingreso,discapacitados,discapacidad,inclusión,"&amp;Agencia[[#This Row],[coleccion]]&amp;","&amp;Agencia[[#This Row],[sector]]&amp;","&amp;Agencia[[#This Row],[tema]]&amp;","&amp;Agencia[[#This Row],[contenido]]</f>
        <v>Región de Aysén,espacio,cultural,acceso,ingreso,discapacitados,discapacidad,inclusión,Agencia Información,Arte y cultura,Acceso para discapacitados en espacios culturales,Cultura</v>
      </c>
      <c r="S26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https://analytics.zoho.com/open-view/2395394000008213039?ZOHO_CRITERIA=%22Espacios_Culturales_Completo%201%22.%22C%C3%B3digo_Regi%C3%B3n%22%20%3D%2011</v>
      </c>
      <c r="T262" s="111" t="str">
        <f>"100-C-"&amp;Agencia[[#This Row],[Filtro URL]]</f>
        <v>100-C-11</v>
      </c>
      <c r="U262" s="46" t="str">
        <f t="shared" si="106"/>
        <v>#1774B9</v>
      </c>
      <c r="V262" s="93" t="str">
        <f>+Agencia[[#This Row],[idcoleccion]]&amp;"-"&amp;Agencia[[#This Row],[id]]</f>
        <v>990-0251</v>
      </c>
      <c r="W262" s="93">
        <f>+VLOOKUP(Agencia[[#This Row],[Filtro URL]],Estructura!$X$4:$Y$500,2,0)</f>
        <v>99200011</v>
      </c>
      <c r="X262" s="93" t="str">
        <f>+VLOOKUP(Agencia[[#This Row],[tema]],Estructura!$A$4:$C$500,3,0)</f>
        <v>T-997</v>
      </c>
      <c r="Y262" s="93" t="str">
        <f>+VLOOKUP(Agencia[[#This Row],[contenido]],Estructura!$E$4:$G$500,3,0)</f>
        <v>C-1008</v>
      </c>
      <c r="Z262" s="93" t="str">
        <f>+VLOOKUP(Agencia[[#This Row],[Filtro Integrado]],Estructura!$I$4:$K$500,3,0)</f>
        <v>FI-991</v>
      </c>
      <c r="AA262" s="93" t="str">
        <f>+VLOOKUP(Agencia[[#This Row],[Muestra]],Estructura!$M$4:$O$500,3,0)</f>
        <v>M-1041</v>
      </c>
    </row>
    <row r="263" spans="1:27" ht="72" x14ac:dyDescent="0.3">
      <c r="A263" s="21" t="s">
        <v>682</v>
      </c>
      <c r="B263" s="23">
        <f t="shared" si="108"/>
        <v>990</v>
      </c>
      <c r="C263" s="24" t="str">
        <f t="shared" si="109"/>
        <v>Agencia Información</v>
      </c>
      <c r="D263" s="72" t="str">
        <f t="shared" si="110"/>
        <v>Arte y cultura</v>
      </c>
      <c r="E263" s="19">
        <v>12</v>
      </c>
      <c r="F263" s="67" t="s">
        <v>5156</v>
      </c>
      <c r="G263" s="10" t="s">
        <v>1896</v>
      </c>
      <c r="H263" s="33" t="s">
        <v>16</v>
      </c>
      <c r="I263" s="34" t="s">
        <v>379</v>
      </c>
      <c r="J263" s="9" t="str">
        <f t="shared" si="111"/>
        <v>Comuna</v>
      </c>
      <c r="K263" s="9" t="str">
        <f t="shared" si="111"/>
        <v>Espacios culturales</v>
      </c>
      <c r="L263" s="9" t="str">
        <f t="shared" si="111"/>
        <v>Año 2021</v>
      </c>
      <c r="M263" s="9" t="str">
        <f t="shared" si="111"/>
        <v>Número de espacios culturales</v>
      </c>
      <c r="N263" s="9" t="str">
        <f t="shared" si="111"/>
        <v>Observatorio Cultural</v>
      </c>
      <c r="O263" s="20" t="str">
        <f>"Cantidad de Espacios Culturales con Acceso para Discapacitados en la "&amp;Agencia[[#This Row],[territorio]]&amp;", en el "&amp;Agencia[[#This Row],[temporalidad]]</f>
        <v>Cantidad de Espacios Culturales con Acceso para Discapacitados en la Región de Magallanes, en el Año 2021</v>
      </c>
      <c r="P263" s="112" t="s">
        <v>5580</v>
      </c>
      <c r="Q263" s="11" t="str">
        <f t="shared" si="103"/>
        <v>Gráfico</v>
      </c>
      <c r="R263" s="148" t="str">
        <f>Agencia[[#This Row],[territorio]]&amp;",espacio,cultural,acceso,ingreso,discapacitados,discapacidad,inclusión,"&amp;Agencia[[#This Row],[coleccion]]&amp;","&amp;Agencia[[#This Row],[sector]]&amp;","&amp;Agencia[[#This Row],[tema]]&amp;","&amp;Agencia[[#This Row],[contenido]]</f>
        <v>Región de Magallanes,espacio,cultural,acceso,ingreso,discapacitados,discapacidad,inclusión,Agencia Información,Arte y cultura,Acceso para discapacitados en espacios culturales,Cultura</v>
      </c>
      <c r="S26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https://analytics.zoho.com/open-view/2395394000008213039?ZOHO_CRITERIA=%22Espacios_Culturales_Completo%201%22.%22C%C3%B3digo_Regi%C3%B3n%22%20%3D%2012</v>
      </c>
      <c r="T263" s="111" t="str">
        <f>"100-C-"&amp;Agencia[[#This Row],[Filtro URL]]</f>
        <v>100-C-12</v>
      </c>
      <c r="U263" s="46" t="str">
        <f t="shared" si="106"/>
        <v>#1774B9</v>
      </c>
      <c r="V263" s="93" t="str">
        <f>+Agencia[[#This Row],[idcoleccion]]&amp;"-"&amp;Agencia[[#This Row],[id]]</f>
        <v>990-0252</v>
      </c>
      <c r="W263" s="93">
        <f>+VLOOKUP(Agencia[[#This Row],[Filtro URL]],Estructura!$X$4:$Y$500,2,0)</f>
        <v>99200012</v>
      </c>
      <c r="X263" s="93" t="str">
        <f>+VLOOKUP(Agencia[[#This Row],[tema]],Estructura!$A$4:$C$500,3,0)</f>
        <v>T-997</v>
      </c>
      <c r="Y263" s="93" t="str">
        <f>+VLOOKUP(Agencia[[#This Row],[contenido]],Estructura!$E$4:$G$500,3,0)</f>
        <v>C-1008</v>
      </c>
      <c r="Z263" s="93" t="str">
        <f>+VLOOKUP(Agencia[[#This Row],[Filtro Integrado]],Estructura!$I$4:$K$500,3,0)</f>
        <v>FI-991</v>
      </c>
      <c r="AA263" s="93" t="str">
        <f>+VLOOKUP(Agencia[[#This Row],[Muestra]],Estructura!$M$4:$O$500,3,0)</f>
        <v>M-1041</v>
      </c>
    </row>
    <row r="264" spans="1:27" ht="72" x14ac:dyDescent="0.3">
      <c r="A264" s="21" t="s">
        <v>683</v>
      </c>
      <c r="B264" s="23">
        <f t="shared" si="108"/>
        <v>990</v>
      </c>
      <c r="C264" s="24" t="str">
        <f t="shared" si="109"/>
        <v>Agencia Información</v>
      </c>
      <c r="D264" s="72" t="str">
        <f t="shared" si="110"/>
        <v>Arte y cultura</v>
      </c>
      <c r="E264" s="19">
        <v>13</v>
      </c>
      <c r="F264" s="67" t="s">
        <v>5156</v>
      </c>
      <c r="G264" s="10" t="s">
        <v>1896</v>
      </c>
      <c r="H264" s="33" t="s">
        <v>16</v>
      </c>
      <c r="I264" s="34" t="s">
        <v>380</v>
      </c>
      <c r="J264" s="9" t="str">
        <f t="shared" si="111"/>
        <v>Comuna</v>
      </c>
      <c r="K264" s="9" t="str">
        <f t="shared" si="111"/>
        <v>Espacios culturales</v>
      </c>
      <c r="L264" s="9" t="str">
        <f t="shared" si="111"/>
        <v>Año 2021</v>
      </c>
      <c r="M264" s="9" t="str">
        <f t="shared" si="111"/>
        <v>Número de espacios culturales</v>
      </c>
      <c r="N264" s="9" t="str">
        <f t="shared" si="111"/>
        <v>Observatorio Cultural</v>
      </c>
      <c r="O264" s="20" t="str">
        <f>"Cantidad de Espacios Culturales con Acceso para Discapacitados en la "&amp;Agencia[[#This Row],[territorio]]&amp;", en el "&amp;Agencia[[#This Row],[temporalidad]]</f>
        <v>Cantidad de Espacios Culturales con Acceso para Discapacitados en la Región Metropolitana, en el Año 2021</v>
      </c>
      <c r="P264" s="112" t="s">
        <v>5546</v>
      </c>
      <c r="Q264" s="11" t="str">
        <f t="shared" si="103"/>
        <v>Gráfico</v>
      </c>
      <c r="R264" s="148" t="str">
        <f>Agencia[[#This Row],[territorio]]&amp;",espacio,cultural,acceso,ingreso,discapacitados,discapacidad,inclusión,"&amp;Agencia[[#This Row],[coleccion]]&amp;","&amp;Agencia[[#This Row],[sector]]&amp;","&amp;Agencia[[#This Row],[tema]]&amp;","&amp;Agencia[[#This Row],[contenido]]</f>
        <v>Región Metropolitana,espacio,cultural,acceso,ingreso,discapacitados,discapacidad,inclusión,Agencia Información,Arte y cultura,Acceso para discapacitados en espacios culturales,Cultura</v>
      </c>
      <c r="S26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https://analytics.zoho.com/open-view/2395394000008213039?ZOHO_CRITERIA=%22Espacios_Culturales_Completo%201%22.%22C%C3%B3digo_Regi%C3%B3n%22%20%3D%2013</v>
      </c>
      <c r="T264" s="111" t="str">
        <f>"200-C-"&amp;Agencia[[#This Row],[Filtro URL]]</f>
        <v>200-C-13</v>
      </c>
      <c r="U264" s="46" t="str">
        <f t="shared" si="106"/>
        <v>#1774B9</v>
      </c>
      <c r="V264" s="93" t="str">
        <f>+Agencia[[#This Row],[idcoleccion]]&amp;"-"&amp;Agencia[[#This Row],[id]]</f>
        <v>990-0253</v>
      </c>
      <c r="W264" s="93">
        <f>+VLOOKUP(Agencia[[#This Row],[Filtro URL]],Estructura!$X$4:$Y$500,2,0)</f>
        <v>99200013</v>
      </c>
      <c r="X264" s="93" t="str">
        <f>+VLOOKUP(Agencia[[#This Row],[tema]],Estructura!$A$4:$C$500,3,0)</f>
        <v>T-997</v>
      </c>
      <c r="Y264" s="93" t="str">
        <f>+VLOOKUP(Agencia[[#This Row],[contenido]],Estructura!$E$4:$G$500,3,0)</f>
        <v>C-1008</v>
      </c>
      <c r="Z264" s="93" t="str">
        <f>+VLOOKUP(Agencia[[#This Row],[Filtro Integrado]],Estructura!$I$4:$K$500,3,0)</f>
        <v>FI-991</v>
      </c>
      <c r="AA264" s="93" t="str">
        <f>+VLOOKUP(Agencia[[#This Row],[Muestra]],Estructura!$M$4:$O$500,3,0)</f>
        <v>M-1041</v>
      </c>
    </row>
    <row r="265" spans="1:27" ht="72" x14ac:dyDescent="0.3">
      <c r="A265" s="21" t="s">
        <v>684</v>
      </c>
      <c r="B265" s="23">
        <f t="shared" si="108"/>
        <v>990</v>
      </c>
      <c r="C265" s="24" t="str">
        <f t="shared" si="109"/>
        <v>Agencia Información</v>
      </c>
      <c r="D265" s="72" t="str">
        <f t="shared" si="110"/>
        <v>Arte y cultura</v>
      </c>
      <c r="E265" s="19">
        <v>14</v>
      </c>
      <c r="F265" s="67" t="s">
        <v>5156</v>
      </c>
      <c r="G265" s="10" t="s">
        <v>1896</v>
      </c>
      <c r="H265" s="33" t="s">
        <v>16</v>
      </c>
      <c r="I265" s="34" t="s">
        <v>381</v>
      </c>
      <c r="J265" s="9" t="str">
        <f t="shared" si="111"/>
        <v>Comuna</v>
      </c>
      <c r="K265" s="9" t="str">
        <f t="shared" si="111"/>
        <v>Espacios culturales</v>
      </c>
      <c r="L265" s="9" t="str">
        <f t="shared" si="111"/>
        <v>Año 2021</v>
      </c>
      <c r="M265" s="9" t="str">
        <f t="shared" si="111"/>
        <v>Número de espacios culturales</v>
      </c>
      <c r="N265" s="9" t="str">
        <f t="shared" si="111"/>
        <v>Observatorio Cultural</v>
      </c>
      <c r="O265" s="20" t="str">
        <f>"Cantidad de Espacios Culturales con Acceso para Discapacitados en la "&amp;Agencia[[#This Row],[territorio]]&amp;", en el "&amp;Agencia[[#This Row],[temporalidad]]</f>
        <v>Cantidad de Espacios Culturales con Acceso para Discapacitados en la Región de Los Ríos, en el Año 2021</v>
      </c>
      <c r="P265" s="112" t="s">
        <v>5581</v>
      </c>
      <c r="Q265" s="11" t="str">
        <f t="shared" si="103"/>
        <v>Gráfico</v>
      </c>
      <c r="R265" s="148" t="str">
        <f>Agencia[[#This Row],[territorio]]&amp;",espacio,cultural,acceso,ingreso,discapacitados,discapacidad,inclusión,"&amp;Agencia[[#This Row],[coleccion]]&amp;","&amp;Agencia[[#This Row],[sector]]&amp;","&amp;Agencia[[#This Row],[tema]]&amp;","&amp;Agencia[[#This Row],[contenido]]</f>
        <v>Región de Los Ríos,espacio,cultural,acceso,ingreso,discapacitados,discapacidad,inclusión,Agencia Información,Arte y cultura,Acceso para discapacitados en espacios culturales,Cultura</v>
      </c>
      <c r="S26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https://analytics.zoho.com/open-view/2395394000008213039?ZOHO_CRITERIA=%22Espacios_Culturales_Completo%201%22.%22C%C3%B3digo_Regi%C3%B3n%22%20%3D%2014</v>
      </c>
      <c r="T265" s="111" t="str">
        <f>"100-C-"&amp;Agencia[[#This Row],[Filtro URL]]</f>
        <v>100-C-14</v>
      </c>
      <c r="U265" s="46" t="str">
        <f t="shared" si="106"/>
        <v>#1774B9</v>
      </c>
      <c r="V265" s="93" t="str">
        <f>+Agencia[[#This Row],[idcoleccion]]&amp;"-"&amp;Agencia[[#This Row],[id]]</f>
        <v>990-0254</v>
      </c>
      <c r="W265" s="93">
        <f>+VLOOKUP(Agencia[[#This Row],[Filtro URL]],Estructura!$X$4:$Y$500,2,0)</f>
        <v>99200014</v>
      </c>
      <c r="X265" s="93" t="str">
        <f>+VLOOKUP(Agencia[[#This Row],[tema]],Estructura!$A$4:$C$500,3,0)</f>
        <v>T-997</v>
      </c>
      <c r="Y265" s="93" t="str">
        <f>+VLOOKUP(Agencia[[#This Row],[contenido]],Estructura!$E$4:$G$500,3,0)</f>
        <v>C-1008</v>
      </c>
      <c r="Z265" s="93" t="str">
        <f>+VLOOKUP(Agencia[[#This Row],[Filtro Integrado]],Estructura!$I$4:$K$500,3,0)</f>
        <v>FI-991</v>
      </c>
      <c r="AA265" s="93" t="str">
        <f>+VLOOKUP(Agencia[[#This Row],[Muestra]],Estructura!$M$4:$O$500,3,0)</f>
        <v>M-1041</v>
      </c>
    </row>
    <row r="266" spans="1:27" ht="72" x14ac:dyDescent="0.3">
      <c r="A266" s="21" t="s">
        <v>685</v>
      </c>
      <c r="B266" s="23">
        <f t="shared" si="108"/>
        <v>990</v>
      </c>
      <c r="C266" s="24" t="str">
        <f t="shared" si="109"/>
        <v>Agencia Información</v>
      </c>
      <c r="D266" s="72" t="str">
        <f t="shared" si="110"/>
        <v>Arte y cultura</v>
      </c>
      <c r="E266" s="19">
        <v>15</v>
      </c>
      <c r="F266" s="67" t="s">
        <v>5156</v>
      </c>
      <c r="G266" s="10" t="s">
        <v>1896</v>
      </c>
      <c r="H266" s="33" t="s">
        <v>16</v>
      </c>
      <c r="I266" s="34" t="s">
        <v>382</v>
      </c>
      <c r="J266" s="9" t="str">
        <f t="shared" si="111"/>
        <v>Comuna</v>
      </c>
      <c r="K266" s="9" t="str">
        <f t="shared" si="111"/>
        <v>Espacios culturales</v>
      </c>
      <c r="L266" s="9" t="str">
        <f t="shared" si="111"/>
        <v>Año 2021</v>
      </c>
      <c r="M266" s="9" t="str">
        <f t="shared" si="111"/>
        <v>Número de espacios culturales</v>
      </c>
      <c r="N266" s="9" t="str">
        <f t="shared" si="111"/>
        <v>Observatorio Cultural</v>
      </c>
      <c r="O266" s="20" t="str">
        <f>"Cantidad de Espacios Culturales con Acceso para Discapacitados en la "&amp;Agencia[[#This Row],[territorio]]&amp;", en el "&amp;Agencia[[#This Row],[temporalidad]]</f>
        <v>Cantidad de Espacios Culturales con Acceso para Discapacitados en la Región de Arica y Parinacota, en el Año 2021</v>
      </c>
      <c r="P266" s="112" t="s">
        <v>5582</v>
      </c>
      <c r="Q266" s="11" t="str">
        <f t="shared" si="103"/>
        <v>Gráfico</v>
      </c>
      <c r="R266" s="148" t="str">
        <f>Agencia[[#This Row],[territorio]]&amp;",espacio,cultural,acceso,ingreso,discapacitados,discapacidad,inclusión,"&amp;Agencia[[#This Row],[coleccion]]&amp;","&amp;Agencia[[#This Row],[sector]]&amp;","&amp;Agencia[[#This Row],[tema]]&amp;","&amp;Agencia[[#This Row],[contenido]]</f>
        <v>Región de Arica y Parinacota,espacio,cultural,acceso,ingreso,discapacitados,discapacidad,inclusión,Agencia Información,Arte y cultura,Acceso para discapacitados en espacios culturales,Cultura</v>
      </c>
      <c r="S26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https://analytics.zoho.com/open-view/2395394000008213039?ZOHO_CRITERIA=%22Espacios_Culturales_Completo%201%22.%22C%C3%B3digo_Regi%C3%B3n%22%20%3D%2015</v>
      </c>
      <c r="T266" s="111" t="str">
        <f>"100-C-"&amp;Agencia[[#This Row],[Filtro URL]]</f>
        <v>100-C-15</v>
      </c>
      <c r="U266" s="46" t="str">
        <f t="shared" si="106"/>
        <v>#1774B9</v>
      </c>
      <c r="V266" s="93" t="str">
        <f>+Agencia[[#This Row],[idcoleccion]]&amp;"-"&amp;Agencia[[#This Row],[id]]</f>
        <v>990-0255</v>
      </c>
      <c r="W266" s="93">
        <f>+VLOOKUP(Agencia[[#This Row],[Filtro URL]],Estructura!$X$4:$Y$500,2,0)</f>
        <v>99200015</v>
      </c>
      <c r="X266" s="93" t="str">
        <f>+VLOOKUP(Agencia[[#This Row],[tema]],Estructura!$A$4:$C$500,3,0)</f>
        <v>T-997</v>
      </c>
      <c r="Y266" s="93" t="str">
        <f>+VLOOKUP(Agencia[[#This Row],[contenido]],Estructura!$E$4:$G$500,3,0)</f>
        <v>C-1008</v>
      </c>
      <c r="Z266" s="93" t="str">
        <f>+VLOOKUP(Agencia[[#This Row],[Filtro Integrado]],Estructura!$I$4:$K$500,3,0)</f>
        <v>FI-991</v>
      </c>
      <c r="AA266" s="93" t="str">
        <f>+VLOOKUP(Agencia[[#This Row],[Muestra]],Estructura!$M$4:$O$500,3,0)</f>
        <v>M-1041</v>
      </c>
    </row>
    <row r="267" spans="1:27" ht="72" x14ac:dyDescent="0.3">
      <c r="A267" s="21" t="s">
        <v>686</v>
      </c>
      <c r="B267" s="23">
        <f t="shared" si="108"/>
        <v>990</v>
      </c>
      <c r="C267" s="24" t="str">
        <f t="shared" si="109"/>
        <v>Agencia Información</v>
      </c>
      <c r="D267" s="72" t="str">
        <f t="shared" si="110"/>
        <v>Arte y cultura</v>
      </c>
      <c r="E267" s="19">
        <v>16</v>
      </c>
      <c r="F267" s="67" t="s">
        <v>5156</v>
      </c>
      <c r="G267" s="10" t="s">
        <v>1896</v>
      </c>
      <c r="H267" s="33" t="s">
        <v>16</v>
      </c>
      <c r="I267" s="34" t="s">
        <v>383</v>
      </c>
      <c r="J267" s="9" t="str">
        <f t="shared" si="111"/>
        <v>Comuna</v>
      </c>
      <c r="K267" s="9" t="str">
        <f t="shared" si="111"/>
        <v>Espacios culturales</v>
      </c>
      <c r="L267" s="9" t="str">
        <f t="shared" si="111"/>
        <v>Año 2021</v>
      </c>
      <c r="M267" s="9" t="str">
        <f t="shared" si="111"/>
        <v>Número de espacios culturales</v>
      </c>
      <c r="N267" s="9" t="str">
        <f t="shared" si="111"/>
        <v>Observatorio Cultural</v>
      </c>
      <c r="O267" s="20" t="str">
        <f>"Cantidad de Espacios Culturales con Acceso para Discapacitados en la "&amp;Agencia[[#This Row],[territorio]]&amp;", en el "&amp;Agencia[[#This Row],[temporalidad]]</f>
        <v>Cantidad de Espacios Culturales con Acceso para Discapacitados en la Región de Ñuble, en el Año 2021</v>
      </c>
      <c r="P267" s="112" t="s">
        <v>5583</v>
      </c>
      <c r="Q267" s="11" t="str">
        <f t="shared" si="103"/>
        <v>Gráfico</v>
      </c>
      <c r="R267" s="148" t="str">
        <f>Agencia[[#This Row],[territorio]]&amp;",espacio,cultural,acceso,ingreso,discapacitados,discapacidad,inclusión,"&amp;Agencia[[#This Row],[coleccion]]&amp;","&amp;Agencia[[#This Row],[sector]]&amp;","&amp;Agencia[[#This Row],[tema]]&amp;","&amp;Agencia[[#This Row],[contenido]]</f>
        <v>Región de Ñuble,espacio,cultural,acceso,ingreso,discapacitados,discapacidad,inclusión,Agencia Información,Arte y cultura,Acceso para discapacitados en espacios culturales,Cultura</v>
      </c>
      <c r="S26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https://analytics.zoho.com/open-view/2395394000008213039?ZOHO_CRITERIA=%22Espacios_Culturales_Completo%201%22.%22C%C3%B3digo_Regi%C3%B3n%22%20%3D%2016</v>
      </c>
      <c r="T267" s="111" t="str">
        <f>"100-C-"&amp;Agencia[[#This Row],[Filtro URL]]</f>
        <v>100-C-16</v>
      </c>
      <c r="U267" s="46" t="str">
        <f t="shared" si="106"/>
        <v>#1774B9</v>
      </c>
      <c r="V267" s="93" t="str">
        <f>+Agencia[[#This Row],[idcoleccion]]&amp;"-"&amp;Agencia[[#This Row],[id]]</f>
        <v>990-0256</v>
      </c>
      <c r="W267" s="93">
        <f>+VLOOKUP(Agencia[[#This Row],[Filtro URL]],Estructura!$X$4:$Y$500,2,0)</f>
        <v>99200016</v>
      </c>
      <c r="X267" s="93" t="str">
        <f>+VLOOKUP(Agencia[[#This Row],[tema]],Estructura!$A$4:$C$500,3,0)</f>
        <v>T-997</v>
      </c>
      <c r="Y267" s="93" t="str">
        <f>+VLOOKUP(Agencia[[#This Row],[contenido]],Estructura!$E$4:$G$500,3,0)</f>
        <v>C-1008</v>
      </c>
      <c r="Z267" s="93" t="str">
        <f>+VLOOKUP(Agencia[[#This Row],[Filtro Integrado]],Estructura!$I$4:$K$500,3,0)</f>
        <v>FI-991</v>
      </c>
      <c r="AA267" s="93" t="str">
        <f>+VLOOKUP(Agencia[[#This Row],[Muestra]],Estructura!$M$4:$O$500,3,0)</f>
        <v>M-1041</v>
      </c>
    </row>
    <row r="268" spans="1:27" ht="40.799999999999997" x14ac:dyDescent="0.3">
      <c r="A268" s="21" t="s">
        <v>687</v>
      </c>
      <c r="B268" s="23">
        <f t="shared" si="108"/>
        <v>990</v>
      </c>
      <c r="C268" s="24" t="str">
        <f t="shared" si="109"/>
        <v>Agencia Información</v>
      </c>
      <c r="D268" s="72" t="s">
        <v>823</v>
      </c>
      <c r="E268" s="14">
        <v>0</v>
      </c>
      <c r="F268" s="10" t="s">
        <v>824</v>
      </c>
      <c r="G268" s="10" t="s">
        <v>1470</v>
      </c>
      <c r="H268" s="31" t="s">
        <v>20</v>
      </c>
      <c r="I268" s="32" t="s">
        <v>15</v>
      </c>
      <c r="J268" s="9" t="s">
        <v>16</v>
      </c>
      <c r="K268" s="9" t="s">
        <v>825</v>
      </c>
      <c r="L268" s="9" t="s">
        <v>827</v>
      </c>
      <c r="M268" s="9" t="s">
        <v>822</v>
      </c>
      <c r="N268" s="9" t="s">
        <v>826</v>
      </c>
      <c r="O268" s="20" t="str">
        <f>"Ventas anuales en UF por rubro en "&amp;Agencia[[#This Row],[territorio]]&amp;", "&amp;Agencia[[#This Row],[temporalidad]]</f>
        <v>Ventas anuales en UF por rubro en Chile, Año 2019</v>
      </c>
      <c r="P268" s="112" t="s">
        <v>5768</v>
      </c>
      <c r="Q268" s="11" t="str">
        <f t="shared" si="103"/>
        <v>Gráfico</v>
      </c>
      <c r="R268" s="20" t="str">
        <f>Agencia[[#This Row],[territorio]]&amp;",empresas,ventas,estimadas,rubro,sector,SII,"&amp;Agencia[[#This Row],[coleccion]]&amp;","&amp;Agencia[[#This Row],[sector]]&amp;","&amp;Agencia[[#This Row],[tema]]&amp;","&amp;Agencia[[#This Row],[contenido]]</f>
        <v>Chile,empresas,ventas,estimadas,rubro,sector,SII,Agencia Información,Economía,Ventas,Empresas</v>
      </c>
      <c r="S268" s="37" t="s">
        <v>1416</v>
      </c>
      <c r="T268" s="108" t="s">
        <v>805</v>
      </c>
      <c r="U268" s="46" t="str">
        <f t="shared" si="106"/>
        <v>#1774B9</v>
      </c>
      <c r="V268" s="93" t="str">
        <f>+Agencia[[#This Row],[idcoleccion]]&amp;"-"&amp;Agencia[[#This Row],[id]]</f>
        <v>990-0257</v>
      </c>
      <c r="W268" s="93">
        <f>+VLOOKUP(Agencia[[#This Row],[Filtro URL]],Estructura!$X$4:$Y$500,2,0)</f>
        <v>99100000</v>
      </c>
      <c r="X268" s="93" t="str">
        <f>+VLOOKUP(Agencia[[#This Row],[tema]],Estructura!$A$4:$C$500,3,0)</f>
        <v>T-1027</v>
      </c>
      <c r="Y268" s="93" t="str">
        <f>+VLOOKUP(Agencia[[#This Row],[contenido]],Estructura!$E$4:$G$500,3,0)</f>
        <v>C-993</v>
      </c>
      <c r="Z268" s="93" t="str">
        <f>+VLOOKUP(Agencia[[#This Row],[Filtro Integrado]],Estructura!$I$4:$K$500,3,0)</f>
        <v>FI-992</v>
      </c>
      <c r="AA268" s="93" t="str">
        <f>+VLOOKUP(Agencia[[#This Row],[Muestra]],Estructura!$M$4:$O$500,3,0)</f>
        <v>M-1047</v>
      </c>
    </row>
    <row r="269" spans="1:27" ht="61.2" x14ac:dyDescent="0.3">
      <c r="A269" s="21" t="s">
        <v>688</v>
      </c>
      <c r="B269" s="23">
        <f t="shared" si="108"/>
        <v>990</v>
      </c>
      <c r="C269" s="24" t="str">
        <f t="shared" si="109"/>
        <v>Agencia Información</v>
      </c>
      <c r="D269" s="72" t="str">
        <f t="shared" ref="D269:D284" si="112">+D268</f>
        <v>Economía</v>
      </c>
      <c r="E269" s="19">
        <v>1</v>
      </c>
      <c r="F269" s="10" t="s">
        <v>824</v>
      </c>
      <c r="G269" s="10" t="s">
        <v>1470</v>
      </c>
      <c r="H269" s="33" t="s">
        <v>16</v>
      </c>
      <c r="I269" s="34" t="s">
        <v>368</v>
      </c>
      <c r="J269" s="9" t="s">
        <v>403</v>
      </c>
      <c r="K269" s="9" t="str">
        <f t="shared" ref="J269:N283" si="113">+K268</f>
        <v>Ventas anuales</v>
      </c>
      <c r="L269" s="9" t="str">
        <f t="shared" si="113"/>
        <v>Año 2019</v>
      </c>
      <c r="M269" s="9" t="str">
        <f t="shared" si="113"/>
        <v>UF</v>
      </c>
      <c r="N269" s="9" t="str">
        <f t="shared" si="113"/>
        <v>Servicio de Impuestos Internos (SII)</v>
      </c>
      <c r="O269" s="20" t="str">
        <f>"Ventas anuales en UF por rubro en la "&amp;Agencia[[#This Row],[territorio]]&amp;", "&amp;Agencia[[#This Row],[temporalidad]]</f>
        <v>Ventas anuales en UF por rubro en la Región de Tarapacá, Año 2019</v>
      </c>
      <c r="P269" s="112" t="s">
        <v>5697</v>
      </c>
      <c r="Q269" s="11" t="str">
        <f t="shared" si="103"/>
        <v>Gráfico</v>
      </c>
      <c r="R269" s="148" t="str">
        <f>Agencia[[#This Row],[territorio]]&amp;",empresas,ventas,estimadas,rubro,sector,SII,"&amp;Agencia[[#This Row],[coleccion]]&amp;","&amp;Agencia[[#This Row],[sector]]&amp;","&amp;Agencia[[#This Row],[tema]]&amp;","&amp;Agencia[[#This Row],[contenido]]</f>
        <v>Región de Tarapacá,empresas,ventas,estimadas,rubro,sector,SII,Agencia Información,Economía,Ventas,Empresas</v>
      </c>
      <c r="S269" s="39" t="str">
        <f>HYPERLINK("https://analytics.zoho.com/open-view/2395394000008025390?ZOHO_CRITERIA=%22Rubros_Todo%22.%22Id_Regi%C3%B3n%22%3D"&amp;Agencia[[#This Row],[Filtro URL]])</f>
        <v>https://analytics.zoho.com/open-view/2395394000008025390?ZOHO_CRITERIA=%22Rubros_Todo%22.%22Id_Regi%C3%B3n%22%3D1</v>
      </c>
      <c r="T269" s="108" t="str">
        <f>"100-R-"&amp;Agencia[[#This Row],[Filtro URL]]</f>
        <v>100-R-1</v>
      </c>
      <c r="U269" s="46" t="str">
        <f t="shared" si="106"/>
        <v>#1774B9</v>
      </c>
      <c r="V269" s="93" t="str">
        <f>+Agencia[[#This Row],[idcoleccion]]&amp;"-"&amp;Agencia[[#This Row],[id]]</f>
        <v>990-0258</v>
      </c>
      <c r="W269" s="93">
        <f>+VLOOKUP(Agencia[[#This Row],[Filtro URL]],Estructura!$X$4:$Y$500,2,0)</f>
        <v>99200001</v>
      </c>
      <c r="X269" s="93" t="str">
        <f>+VLOOKUP(Agencia[[#This Row],[tema]],Estructura!$A$4:$C$500,3,0)</f>
        <v>T-1027</v>
      </c>
      <c r="Y269" s="93" t="str">
        <f>+VLOOKUP(Agencia[[#This Row],[contenido]],Estructura!$E$4:$G$500,3,0)</f>
        <v>C-993</v>
      </c>
      <c r="Z269" s="93" t="str">
        <f>+VLOOKUP(Agencia[[#This Row],[Filtro Integrado]],Estructura!$I$4:$K$500,3,0)</f>
        <v>FI-993</v>
      </c>
      <c r="AA269" s="93" t="str">
        <f>+VLOOKUP(Agencia[[#This Row],[Muestra]],Estructura!$M$4:$O$500,3,0)</f>
        <v>M-1047</v>
      </c>
    </row>
    <row r="270" spans="1:27" ht="57.6" x14ac:dyDescent="0.3">
      <c r="A270" s="21" t="s">
        <v>689</v>
      </c>
      <c r="B270" s="23">
        <f t="shared" si="108"/>
        <v>990</v>
      </c>
      <c r="C270" s="24" t="str">
        <f t="shared" si="109"/>
        <v>Agencia Información</v>
      </c>
      <c r="D270" s="72" t="str">
        <f t="shared" si="112"/>
        <v>Economía</v>
      </c>
      <c r="E270" s="19">
        <v>2</v>
      </c>
      <c r="F270" s="10" t="s">
        <v>824</v>
      </c>
      <c r="G270" s="10" t="s">
        <v>1470</v>
      </c>
      <c r="H270" s="33" t="s">
        <v>16</v>
      </c>
      <c r="I270" s="34" t="s">
        <v>369</v>
      </c>
      <c r="J270" s="9" t="str">
        <f t="shared" si="113"/>
        <v>Ninguno</v>
      </c>
      <c r="K270" s="9" t="str">
        <f t="shared" si="113"/>
        <v>Ventas anuales</v>
      </c>
      <c r="L270" s="9" t="str">
        <f t="shared" si="113"/>
        <v>Año 2019</v>
      </c>
      <c r="M270" s="9" t="str">
        <f t="shared" si="113"/>
        <v>UF</v>
      </c>
      <c r="N270" s="9" t="str">
        <f t="shared" si="113"/>
        <v>Servicio de Impuestos Internos (SII)</v>
      </c>
      <c r="O270" s="20" t="str">
        <f>"Ventas anuales en UF por rubro en la "&amp;Agencia[[#This Row],[territorio]]&amp;", "&amp;Agencia[[#This Row],[temporalidad]]</f>
        <v>Ventas anuales en UF por rubro en la Región de Antofagasta, Año 2019</v>
      </c>
      <c r="P270" s="112" t="s">
        <v>5698</v>
      </c>
      <c r="Q270" s="11" t="str">
        <f t="shared" si="103"/>
        <v>Gráfico</v>
      </c>
      <c r="R270" s="148" t="str">
        <f>Agencia[[#This Row],[territorio]]&amp;",empresas,ventas,estimadas,rubro,sector,SII,"&amp;Agencia[[#This Row],[coleccion]]&amp;","&amp;Agencia[[#This Row],[sector]]&amp;","&amp;Agencia[[#This Row],[tema]]&amp;","&amp;Agencia[[#This Row],[contenido]]</f>
        <v>Región de Antofagasta,empresas,ventas,estimadas,rubro,sector,SII,Agencia Información,Economía,Ventas,Empresas</v>
      </c>
      <c r="S270" s="39" t="str">
        <f>HYPERLINK("https://analytics.zoho.com/open-view/2395394000008025390?ZOHO_CRITERIA=%22Rubros_Todo%22.%22Id_Regi%C3%B3n%22%3D"&amp;Agencia[[#This Row],[Filtro URL]])</f>
        <v>https://analytics.zoho.com/open-view/2395394000008025390?ZOHO_CRITERIA=%22Rubros_Todo%22.%22Id_Regi%C3%B3n%22%3D2</v>
      </c>
      <c r="T270" s="108" t="str">
        <f>"100-R-"&amp;Agencia[[#This Row],[Filtro URL]]</f>
        <v>100-R-2</v>
      </c>
      <c r="U270" s="46" t="str">
        <f t="shared" si="106"/>
        <v>#1774B9</v>
      </c>
      <c r="V270" s="93" t="str">
        <f>+Agencia[[#This Row],[idcoleccion]]&amp;"-"&amp;Agencia[[#This Row],[id]]</f>
        <v>990-0259</v>
      </c>
      <c r="W270" s="93">
        <f>+VLOOKUP(Agencia[[#This Row],[Filtro URL]],Estructura!$X$4:$Y$500,2,0)</f>
        <v>99200002</v>
      </c>
      <c r="X270" s="93" t="str">
        <f>+VLOOKUP(Agencia[[#This Row],[tema]],Estructura!$A$4:$C$500,3,0)</f>
        <v>T-1027</v>
      </c>
      <c r="Y270" s="93" t="str">
        <f>+VLOOKUP(Agencia[[#This Row],[contenido]],Estructura!$E$4:$G$500,3,0)</f>
        <v>C-993</v>
      </c>
      <c r="Z270" s="93" t="str">
        <f>+VLOOKUP(Agencia[[#This Row],[Filtro Integrado]],Estructura!$I$4:$K$500,3,0)</f>
        <v>FI-993</v>
      </c>
      <c r="AA270" s="93" t="str">
        <f>+VLOOKUP(Agencia[[#This Row],[Muestra]],Estructura!$M$4:$O$500,3,0)</f>
        <v>M-1047</v>
      </c>
    </row>
    <row r="271" spans="1:27" ht="57.6" x14ac:dyDescent="0.3">
      <c r="A271" s="21" t="s">
        <v>690</v>
      </c>
      <c r="B271" s="23">
        <f t="shared" si="108"/>
        <v>990</v>
      </c>
      <c r="C271" s="24" t="str">
        <f t="shared" si="109"/>
        <v>Agencia Información</v>
      </c>
      <c r="D271" s="72" t="str">
        <f t="shared" si="112"/>
        <v>Economía</v>
      </c>
      <c r="E271" s="19">
        <v>3</v>
      </c>
      <c r="F271" s="10" t="s">
        <v>824</v>
      </c>
      <c r="G271" s="10" t="s">
        <v>1470</v>
      </c>
      <c r="H271" s="33" t="s">
        <v>16</v>
      </c>
      <c r="I271" s="34" t="s">
        <v>370</v>
      </c>
      <c r="J271" s="9" t="str">
        <f t="shared" si="113"/>
        <v>Ninguno</v>
      </c>
      <c r="K271" s="9" t="str">
        <f t="shared" si="113"/>
        <v>Ventas anuales</v>
      </c>
      <c r="L271" s="9" t="str">
        <f t="shared" si="113"/>
        <v>Año 2019</v>
      </c>
      <c r="M271" s="9" t="str">
        <f t="shared" si="113"/>
        <v>UF</v>
      </c>
      <c r="N271" s="9" t="str">
        <f t="shared" si="113"/>
        <v>Servicio de Impuestos Internos (SII)</v>
      </c>
      <c r="O271" s="20" t="str">
        <f>"Ventas anuales en UF por rubro en la "&amp;Agencia[[#This Row],[territorio]]&amp;", "&amp;Agencia[[#This Row],[temporalidad]]</f>
        <v>Ventas anuales en UF por rubro en la Región de Atacama, Año 2019</v>
      </c>
      <c r="P271" s="112" t="s">
        <v>5699</v>
      </c>
      <c r="Q271" s="11" t="str">
        <f t="shared" si="103"/>
        <v>Gráfico</v>
      </c>
      <c r="R271" s="148" t="str">
        <f>Agencia[[#This Row],[territorio]]&amp;",empresas,ventas,estimadas,rubro,sector,SII,"&amp;Agencia[[#This Row],[coleccion]]&amp;","&amp;Agencia[[#This Row],[sector]]&amp;","&amp;Agencia[[#This Row],[tema]]&amp;","&amp;Agencia[[#This Row],[contenido]]</f>
        <v>Región de Atacama,empresas,ventas,estimadas,rubro,sector,SII,Agencia Información,Economía,Ventas,Empresas</v>
      </c>
      <c r="S271" s="39" t="str">
        <f>HYPERLINK("https://analytics.zoho.com/open-view/2395394000008025390?ZOHO_CRITERIA=%22Rubros_Todo%22.%22Id_Regi%C3%B3n%22%3D"&amp;Agencia[[#This Row],[Filtro URL]])</f>
        <v>https://analytics.zoho.com/open-view/2395394000008025390?ZOHO_CRITERIA=%22Rubros_Todo%22.%22Id_Regi%C3%B3n%22%3D3</v>
      </c>
      <c r="T271" s="108" t="str">
        <f>"100-R-"&amp;Agencia[[#This Row],[Filtro URL]]</f>
        <v>100-R-3</v>
      </c>
      <c r="U271" s="46" t="str">
        <f t="shared" si="106"/>
        <v>#1774B9</v>
      </c>
      <c r="V271" s="93" t="str">
        <f>+Agencia[[#This Row],[idcoleccion]]&amp;"-"&amp;Agencia[[#This Row],[id]]</f>
        <v>990-0260</v>
      </c>
      <c r="W271" s="93">
        <f>+VLOOKUP(Agencia[[#This Row],[Filtro URL]],Estructura!$X$4:$Y$500,2,0)</f>
        <v>99200003</v>
      </c>
      <c r="X271" s="93" t="str">
        <f>+VLOOKUP(Agencia[[#This Row],[tema]],Estructura!$A$4:$C$500,3,0)</f>
        <v>T-1027</v>
      </c>
      <c r="Y271" s="93" t="str">
        <f>+VLOOKUP(Agencia[[#This Row],[contenido]],Estructura!$E$4:$G$500,3,0)</f>
        <v>C-993</v>
      </c>
      <c r="Z271" s="93" t="str">
        <f>+VLOOKUP(Agencia[[#This Row],[Filtro Integrado]],Estructura!$I$4:$K$500,3,0)</f>
        <v>FI-993</v>
      </c>
      <c r="AA271" s="93" t="str">
        <f>+VLOOKUP(Agencia[[#This Row],[Muestra]],Estructura!$M$4:$O$500,3,0)</f>
        <v>M-1047</v>
      </c>
    </row>
    <row r="272" spans="1:27" ht="57.6" x14ac:dyDescent="0.3">
      <c r="A272" s="21" t="s">
        <v>691</v>
      </c>
      <c r="B272" s="23">
        <f t="shared" si="108"/>
        <v>990</v>
      </c>
      <c r="C272" s="24" t="str">
        <f t="shared" si="109"/>
        <v>Agencia Información</v>
      </c>
      <c r="D272" s="72" t="str">
        <f t="shared" si="112"/>
        <v>Economía</v>
      </c>
      <c r="E272" s="19">
        <v>4</v>
      </c>
      <c r="F272" s="10" t="s">
        <v>824</v>
      </c>
      <c r="G272" s="10" t="s">
        <v>1470</v>
      </c>
      <c r="H272" s="33" t="s">
        <v>16</v>
      </c>
      <c r="I272" s="34" t="s">
        <v>371</v>
      </c>
      <c r="J272" s="9" t="str">
        <f t="shared" si="113"/>
        <v>Ninguno</v>
      </c>
      <c r="K272" s="9" t="str">
        <f t="shared" si="113"/>
        <v>Ventas anuales</v>
      </c>
      <c r="L272" s="9" t="str">
        <f t="shared" si="113"/>
        <v>Año 2019</v>
      </c>
      <c r="M272" s="9" t="str">
        <f t="shared" si="113"/>
        <v>UF</v>
      </c>
      <c r="N272" s="9" t="str">
        <f t="shared" si="113"/>
        <v>Servicio de Impuestos Internos (SII)</v>
      </c>
      <c r="O272" s="20" t="str">
        <f>"Ventas anuales en UF por rubro en la "&amp;Agencia[[#This Row],[territorio]]&amp;", "&amp;Agencia[[#This Row],[temporalidad]]</f>
        <v>Ventas anuales en UF por rubro en la Región de Coquimbo, Año 2019</v>
      </c>
      <c r="P272" s="112" t="s">
        <v>5700</v>
      </c>
      <c r="Q272" s="11" t="str">
        <f t="shared" si="103"/>
        <v>Gráfico</v>
      </c>
      <c r="R272" s="148" t="str">
        <f>Agencia[[#This Row],[territorio]]&amp;",empresas,ventas,estimadas,rubro,sector,SII,"&amp;Agencia[[#This Row],[coleccion]]&amp;","&amp;Agencia[[#This Row],[sector]]&amp;","&amp;Agencia[[#This Row],[tema]]&amp;","&amp;Agencia[[#This Row],[contenido]]</f>
        <v>Región de Coquimbo,empresas,ventas,estimadas,rubro,sector,SII,Agencia Información,Economía,Ventas,Empresas</v>
      </c>
      <c r="S272" s="39" t="str">
        <f>HYPERLINK("https://analytics.zoho.com/open-view/2395394000008025390?ZOHO_CRITERIA=%22Rubros_Todo%22.%22Id_Regi%C3%B3n%22%3D"&amp;Agencia[[#This Row],[Filtro URL]])</f>
        <v>https://analytics.zoho.com/open-view/2395394000008025390?ZOHO_CRITERIA=%22Rubros_Todo%22.%22Id_Regi%C3%B3n%22%3D4</v>
      </c>
      <c r="T272" s="108" t="str">
        <f>"100-R-"&amp;Agencia[[#This Row],[Filtro URL]]</f>
        <v>100-R-4</v>
      </c>
      <c r="U272" s="46" t="str">
        <f t="shared" si="106"/>
        <v>#1774B9</v>
      </c>
      <c r="V272" s="93" t="str">
        <f>+Agencia[[#This Row],[idcoleccion]]&amp;"-"&amp;Agencia[[#This Row],[id]]</f>
        <v>990-0261</v>
      </c>
      <c r="W272" s="93">
        <f>+VLOOKUP(Agencia[[#This Row],[Filtro URL]],Estructura!$X$4:$Y$500,2,0)</f>
        <v>99200004</v>
      </c>
      <c r="X272" s="93" t="str">
        <f>+VLOOKUP(Agencia[[#This Row],[tema]],Estructura!$A$4:$C$500,3,0)</f>
        <v>T-1027</v>
      </c>
      <c r="Y272" s="93" t="str">
        <f>+VLOOKUP(Agencia[[#This Row],[contenido]],Estructura!$E$4:$G$500,3,0)</f>
        <v>C-993</v>
      </c>
      <c r="Z272" s="93" t="str">
        <f>+VLOOKUP(Agencia[[#This Row],[Filtro Integrado]],Estructura!$I$4:$K$500,3,0)</f>
        <v>FI-993</v>
      </c>
      <c r="AA272" s="93" t="str">
        <f>+VLOOKUP(Agencia[[#This Row],[Muestra]],Estructura!$M$4:$O$500,3,0)</f>
        <v>M-1047</v>
      </c>
    </row>
    <row r="273" spans="1:27" ht="57.6" x14ac:dyDescent="0.3">
      <c r="A273" s="21" t="s">
        <v>692</v>
      </c>
      <c r="B273" s="23">
        <f t="shared" si="108"/>
        <v>990</v>
      </c>
      <c r="C273" s="24" t="str">
        <f t="shared" si="109"/>
        <v>Agencia Información</v>
      </c>
      <c r="D273" s="72" t="str">
        <f t="shared" si="112"/>
        <v>Economía</v>
      </c>
      <c r="E273" s="19">
        <v>5</v>
      </c>
      <c r="F273" s="10" t="s">
        <v>824</v>
      </c>
      <c r="G273" s="10" t="s">
        <v>1470</v>
      </c>
      <c r="H273" s="33" t="s">
        <v>16</v>
      </c>
      <c r="I273" s="34" t="s">
        <v>372</v>
      </c>
      <c r="J273" s="9" t="str">
        <f t="shared" si="113"/>
        <v>Ninguno</v>
      </c>
      <c r="K273" s="9" t="str">
        <f t="shared" si="113"/>
        <v>Ventas anuales</v>
      </c>
      <c r="L273" s="9" t="str">
        <f t="shared" si="113"/>
        <v>Año 2019</v>
      </c>
      <c r="M273" s="9" t="str">
        <f t="shared" si="113"/>
        <v>UF</v>
      </c>
      <c r="N273" s="9" t="str">
        <f t="shared" si="113"/>
        <v>Servicio de Impuestos Internos (SII)</v>
      </c>
      <c r="O273" s="20" t="str">
        <f>"Ventas anuales en UF por rubro en la "&amp;Agencia[[#This Row],[territorio]]&amp;", "&amp;Agencia[[#This Row],[temporalidad]]</f>
        <v>Ventas anuales en UF por rubro en la Región de Valparaíso, Año 2019</v>
      </c>
      <c r="P273" s="112" t="s">
        <v>828</v>
      </c>
      <c r="Q273" s="11" t="str">
        <f t="shared" si="103"/>
        <v>Gráfico</v>
      </c>
      <c r="R273" s="148" t="str">
        <f>Agencia[[#This Row],[territorio]]&amp;",empresas,ventas,estimadas,rubro,sector,SII,"&amp;Agencia[[#This Row],[coleccion]]&amp;","&amp;Agencia[[#This Row],[sector]]&amp;","&amp;Agencia[[#This Row],[tema]]&amp;","&amp;Agencia[[#This Row],[contenido]]</f>
        <v>Región de Valparaíso,empresas,ventas,estimadas,rubro,sector,SII,Agencia Información,Economía,Ventas,Empresas</v>
      </c>
      <c r="S273" s="39" t="str">
        <f>HYPERLINK("https://analytics.zoho.com/open-view/2395394000008025390?ZOHO_CRITERIA=%22Rubros_Todo%22.%22Id_Regi%C3%B3n%22%3D"&amp;Agencia[[#This Row],[Filtro URL]])</f>
        <v>https://analytics.zoho.com/open-view/2395394000008025390?ZOHO_CRITERIA=%22Rubros_Todo%22.%22Id_Regi%C3%B3n%22%3D5</v>
      </c>
      <c r="T273" s="108" t="str">
        <f>"100-R-"&amp;Agencia[[#This Row],[Filtro URL]]</f>
        <v>100-R-5</v>
      </c>
      <c r="U273" s="46" t="str">
        <f t="shared" ref="U273:U288" si="114">+U272</f>
        <v>#1774B9</v>
      </c>
      <c r="V273" s="93" t="str">
        <f>+Agencia[[#This Row],[idcoleccion]]&amp;"-"&amp;Agencia[[#This Row],[id]]</f>
        <v>990-0262</v>
      </c>
      <c r="W273" s="93">
        <f>+VLOOKUP(Agencia[[#This Row],[Filtro URL]],Estructura!$X$4:$Y$500,2,0)</f>
        <v>99200005</v>
      </c>
      <c r="X273" s="93" t="str">
        <f>+VLOOKUP(Agencia[[#This Row],[tema]],Estructura!$A$4:$C$500,3,0)</f>
        <v>T-1027</v>
      </c>
      <c r="Y273" s="93" t="str">
        <f>+VLOOKUP(Agencia[[#This Row],[contenido]],Estructura!$E$4:$G$500,3,0)</f>
        <v>C-993</v>
      </c>
      <c r="Z273" s="93" t="str">
        <f>+VLOOKUP(Agencia[[#This Row],[Filtro Integrado]],Estructura!$I$4:$K$500,3,0)</f>
        <v>FI-993</v>
      </c>
      <c r="AA273" s="93" t="str">
        <f>+VLOOKUP(Agencia[[#This Row],[Muestra]],Estructura!$M$4:$O$500,3,0)</f>
        <v>M-1047</v>
      </c>
    </row>
    <row r="274" spans="1:27" ht="57.6" x14ac:dyDescent="0.3">
      <c r="A274" s="21" t="s">
        <v>693</v>
      </c>
      <c r="B274" s="23">
        <f t="shared" si="108"/>
        <v>990</v>
      </c>
      <c r="C274" s="24" t="str">
        <f t="shared" si="109"/>
        <v>Agencia Información</v>
      </c>
      <c r="D274" s="72" t="str">
        <f t="shared" si="112"/>
        <v>Economía</v>
      </c>
      <c r="E274" s="19">
        <v>6</v>
      </c>
      <c r="F274" s="10" t="s">
        <v>824</v>
      </c>
      <c r="G274" s="10" t="s">
        <v>1470</v>
      </c>
      <c r="H274" s="33" t="s">
        <v>16</v>
      </c>
      <c r="I274" s="34" t="s">
        <v>373</v>
      </c>
      <c r="J274" s="9" t="str">
        <f t="shared" si="113"/>
        <v>Ninguno</v>
      </c>
      <c r="K274" s="9" t="str">
        <f t="shared" si="113"/>
        <v>Ventas anuales</v>
      </c>
      <c r="L274" s="9" t="str">
        <f t="shared" si="113"/>
        <v>Año 2019</v>
      </c>
      <c r="M274" s="9" t="str">
        <f t="shared" si="113"/>
        <v>UF</v>
      </c>
      <c r="N274" s="9" t="str">
        <f t="shared" si="113"/>
        <v>Servicio de Impuestos Internos (SII)</v>
      </c>
      <c r="O274" s="20" t="str">
        <f>"Ventas anuales en UF por rubro en la "&amp;Agencia[[#This Row],[territorio]]&amp;", "&amp;Agencia[[#This Row],[temporalidad]]</f>
        <v>Ventas anuales en UF por rubro en la Región de O'Higgins, Año 2019</v>
      </c>
      <c r="P274" s="112" t="s">
        <v>5701</v>
      </c>
      <c r="Q274" s="11" t="str">
        <f t="shared" si="103"/>
        <v>Gráfico</v>
      </c>
      <c r="R274" s="148" t="str">
        <f>Agencia[[#This Row],[territorio]]&amp;",empresas,ventas,estimadas,rubro,sector,SII,"&amp;Agencia[[#This Row],[coleccion]]&amp;","&amp;Agencia[[#This Row],[sector]]&amp;","&amp;Agencia[[#This Row],[tema]]&amp;","&amp;Agencia[[#This Row],[contenido]]</f>
        <v>Región de O'Higgins,empresas,ventas,estimadas,rubro,sector,SII,Agencia Información,Economía,Ventas,Empresas</v>
      </c>
      <c r="S274" s="39" t="str">
        <f>HYPERLINK("https://analytics.zoho.com/open-view/2395394000008025390?ZOHO_CRITERIA=%22Rubros_Todo%22.%22Id_Regi%C3%B3n%22%3D"&amp;Agencia[[#This Row],[Filtro URL]])</f>
        <v>https://analytics.zoho.com/open-view/2395394000008025390?ZOHO_CRITERIA=%22Rubros_Todo%22.%22Id_Regi%C3%B3n%22%3D6</v>
      </c>
      <c r="T274" s="108" t="str">
        <f>"100-R-"&amp;Agencia[[#This Row],[Filtro URL]]</f>
        <v>100-R-6</v>
      </c>
      <c r="U274" s="46" t="str">
        <f t="shared" si="114"/>
        <v>#1774B9</v>
      </c>
      <c r="V274" s="93" t="str">
        <f>+Agencia[[#This Row],[idcoleccion]]&amp;"-"&amp;Agencia[[#This Row],[id]]</f>
        <v>990-0263</v>
      </c>
      <c r="W274" s="93">
        <f>+VLOOKUP(Agencia[[#This Row],[Filtro URL]],Estructura!$X$4:$Y$500,2,0)</f>
        <v>99200006</v>
      </c>
      <c r="X274" s="93" t="str">
        <f>+VLOOKUP(Agencia[[#This Row],[tema]],Estructura!$A$4:$C$500,3,0)</f>
        <v>T-1027</v>
      </c>
      <c r="Y274" s="93" t="str">
        <f>+VLOOKUP(Agencia[[#This Row],[contenido]],Estructura!$E$4:$G$500,3,0)</f>
        <v>C-993</v>
      </c>
      <c r="Z274" s="93" t="str">
        <f>+VLOOKUP(Agencia[[#This Row],[Filtro Integrado]],Estructura!$I$4:$K$500,3,0)</f>
        <v>FI-993</v>
      </c>
      <c r="AA274" s="93" t="str">
        <f>+VLOOKUP(Agencia[[#This Row],[Muestra]],Estructura!$M$4:$O$500,3,0)</f>
        <v>M-1047</v>
      </c>
    </row>
    <row r="275" spans="1:27" ht="57.6" x14ac:dyDescent="0.3">
      <c r="A275" s="21" t="s">
        <v>694</v>
      </c>
      <c r="B275" s="23">
        <f t="shared" si="108"/>
        <v>990</v>
      </c>
      <c r="C275" s="24" t="str">
        <f t="shared" si="109"/>
        <v>Agencia Información</v>
      </c>
      <c r="D275" s="72" t="str">
        <f t="shared" si="112"/>
        <v>Economía</v>
      </c>
      <c r="E275" s="19">
        <v>7</v>
      </c>
      <c r="F275" s="10" t="s">
        <v>824</v>
      </c>
      <c r="G275" s="10" t="s">
        <v>1470</v>
      </c>
      <c r="H275" s="33" t="s">
        <v>16</v>
      </c>
      <c r="I275" s="34" t="s">
        <v>374</v>
      </c>
      <c r="J275" s="9" t="str">
        <f t="shared" si="113"/>
        <v>Ninguno</v>
      </c>
      <c r="K275" s="9" t="str">
        <f t="shared" si="113"/>
        <v>Ventas anuales</v>
      </c>
      <c r="L275" s="9" t="str">
        <f t="shared" si="113"/>
        <v>Año 2019</v>
      </c>
      <c r="M275" s="9" t="str">
        <f t="shared" si="113"/>
        <v>UF</v>
      </c>
      <c r="N275" s="9" t="str">
        <f t="shared" si="113"/>
        <v>Servicio de Impuestos Internos (SII)</v>
      </c>
      <c r="O275" s="20" t="str">
        <f>"Ventas anuales en UF por rubro en la "&amp;Agencia[[#This Row],[territorio]]&amp;", "&amp;Agencia[[#This Row],[temporalidad]]</f>
        <v>Ventas anuales en UF por rubro en la Región de Maule, Año 2019</v>
      </c>
      <c r="P275" s="112" t="s">
        <v>5702</v>
      </c>
      <c r="Q275" s="11" t="str">
        <f t="shared" si="103"/>
        <v>Gráfico</v>
      </c>
      <c r="R275" s="148" t="str">
        <f>Agencia[[#This Row],[territorio]]&amp;",empresas,ventas,estimadas,rubro,sector,SII,"&amp;Agencia[[#This Row],[coleccion]]&amp;","&amp;Agencia[[#This Row],[sector]]&amp;","&amp;Agencia[[#This Row],[tema]]&amp;","&amp;Agencia[[#This Row],[contenido]]</f>
        <v>Región de Maule,empresas,ventas,estimadas,rubro,sector,SII,Agencia Información,Economía,Ventas,Empresas</v>
      </c>
      <c r="S275" s="39" t="str">
        <f>HYPERLINK("https://analytics.zoho.com/open-view/2395394000008025390?ZOHO_CRITERIA=%22Rubros_Todo%22.%22Id_Regi%C3%B3n%22%3D"&amp;Agencia[[#This Row],[Filtro URL]])</f>
        <v>https://analytics.zoho.com/open-view/2395394000008025390?ZOHO_CRITERIA=%22Rubros_Todo%22.%22Id_Regi%C3%B3n%22%3D7</v>
      </c>
      <c r="T275" s="108" t="str">
        <f>"100-R-"&amp;Agencia[[#This Row],[Filtro URL]]</f>
        <v>100-R-7</v>
      </c>
      <c r="U275" s="46" t="str">
        <f t="shared" si="114"/>
        <v>#1774B9</v>
      </c>
      <c r="V275" s="93" t="str">
        <f>+Agencia[[#This Row],[idcoleccion]]&amp;"-"&amp;Agencia[[#This Row],[id]]</f>
        <v>990-0264</v>
      </c>
      <c r="W275" s="93">
        <f>+VLOOKUP(Agencia[[#This Row],[Filtro URL]],Estructura!$X$4:$Y$500,2,0)</f>
        <v>99200007</v>
      </c>
      <c r="X275" s="93" t="str">
        <f>+VLOOKUP(Agencia[[#This Row],[tema]],Estructura!$A$4:$C$500,3,0)</f>
        <v>T-1027</v>
      </c>
      <c r="Y275" s="93" t="str">
        <f>+VLOOKUP(Agencia[[#This Row],[contenido]],Estructura!$E$4:$G$500,3,0)</f>
        <v>C-993</v>
      </c>
      <c r="Z275" s="93" t="str">
        <f>+VLOOKUP(Agencia[[#This Row],[Filtro Integrado]],Estructura!$I$4:$K$500,3,0)</f>
        <v>FI-993</v>
      </c>
      <c r="AA275" s="93" t="str">
        <f>+VLOOKUP(Agencia[[#This Row],[Muestra]],Estructura!$M$4:$O$500,3,0)</f>
        <v>M-1047</v>
      </c>
    </row>
    <row r="276" spans="1:27" ht="57.6" x14ac:dyDescent="0.3">
      <c r="A276" s="21" t="s">
        <v>695</v>
      </c>
      <c r="B276" s="23">
        <f t="shared" si="108"/>
        <v>990</v>
      </c>
      <c r="C276" s="24" t="str">
        <f t="shared" si="109"/>
        <v>Agencia Información</v>
      </c>
      <c r="D276" s="72" t="str">
        <f t="shared" si="112"/>
        <v>Economía</v>
      </c>
      <c r="E276" s="19">
        <v>8</v>
      </c>
      <c r="F276" s="10" t="s">
        <v>824</v>
      </c>
      <c r="G276" s="10" t="s">
        <v>1470</v>
      </c>
      <c r="H276" s="33" t="s">
        <v>16</v>
      </c>
      <c r="I276" s="34" t="s">
        <v>375</v>
      </c>
      <c r="J276" s="9" t="str">
        <f t="shared" si="113"/>
        <v>Ninguno</v>
      </c>
      <c r="K276" s="9" t="str">
        <f t="shared" si="113"/>
        <v>Ventas anuales</v>
      </c>
      <c r="L276" s="9" t="str">
        <f t="shared" si="113"/>
        <v>Año 2019</v>
      </c>
      <c r="M276" s="9" t="str">
        <f t="shared" si="113"/>
        <v>UF</v>
      </c>
      <c r="N276" s="9" t="str">
        <f t="shared" si="113"/>
        <v>Servicio de Impuestos Internos (SII)</v>
      </c>
      <c r="O276" s="20" t="str">
        <f>"Ventas anuales en UF por rubro en la "&amp;Agencia[[#This Row],[territorio]]&amp;", "&amp;Agencia[[#This Row],[temporalidad]]</f>
        <v>Ventas anuales en UF por rubro en la Región del Biobío, Año 2019</v>
      </c>
      <c r="P276" s="112" t="s">
        <v>5703</v>
      </c>
      <c r="Q276" s="11" t="str">
        <f t="shared" si="103"/>
        <v>Gráfico</v>
      </c>
      <c r="R276" s="148" t="str">
        <f>Agencia[[#This Row],[territorio]]&amp;",empresas,ventas,estimadas,rubro,sector,SII,"&amp;Agencia[[#This Row],[coleccion]]&amp;","&amp;Agencia[[#This Row],[sector]]&amp;","&amp;Agencia[[#This Row],[tema]]&amp;","&amp;Agencia[[#This Row],[contenido]]</f>
        <v>Región del Biobío,empresas,ventas,estimadas,rubro,sector,SII,Agencia Información,Economía,Ventas,Empresas</v>
      </c>
      <c r="S276" s="39" t="str">
        <f>HYPERLINK("https://analytics.zoho.com/open-view/2395394000008025390?ZOHO_CRITERIA=%22Rubros_Todo%22.%22Id_Regi%C3%B3n%22%3D"&amp;Agencia[[#This Row],[Filtro URL]])</f>
        <v>https://analytics.zoho.com/open-view/2395394000008025390?ZOHO_CRITERIA=%22Rubros_Todo%22.%22Id_Regi%C3%B3n%22%3D8</v>
      </c>
      <c r="T276" s="108" t="str">
        <f>"100-R-"&amp;Agencia[[#This Row],[Filtro URL]]</f>
        <v>100-R-8</v>
      </c>
      <c r="U276" s="46" t="str">
        <f t="shared" si="114"/>
        <v>#1774B9</v>
      </c>
      <c r="V276" s="93" t="str">
        <f>+Agencia[[#This Row],[idcoleccion]]&amp;"-"&amp;Agencia[[#This Row],[id]]</f>
        <v>990-0265</v>
      </c>
      <c r="W276" s="93">
        <f>+VLOOKUP(Agencia[[#This Row],[Filtro URL]],Estructura!$X$4:$Y$500,2,0)</f>
        <v>99200008</v>
      </c>
      <c r="X276" s="93" t="str">
        <f>+VLOOKUP(Agencia[[#This Row],[tema]],Estructura!$A$4:$C$500,3,0)</f>
        <v>T-1027</v>
      </c>
      <c r="Y276" s="93" t="str">
        <f>+VLOOKUP(Agencia[[#This Row],[contenido]],Estructura!$E$4:$G$500,3,0)</f>
        <v>C-993</v>
      </c>
      <c r="Z276" s="93" t="str">
        <f>+VLOOKUP(Agencia[[#This Row],[Filtro Integrado]],Estructura!$I$4:$K$500,3,0)</f>
        <v>FI-993</v>
      </c>
      <c r="AA276" s="93" t="str">
        <f>+VLOOKUP(Agencia[[#This Row],[Muestra]],Estructura!$M$4:$O$500,3,0)</f>
        <v>M-1047</v>
      </c>
    </row>
    <row r="277" spans="1:27" ht="61.2" x14ac:dyDescent="0.3">
      <c r="A277" s="21" t="s">
        <v>696</v>
      </c>
      <c r="B277" s="23">
        <f t="shared" si="108"/>
        <v>990</v>
      </c>
      <c r="C277" s="24" t="str">
        <f t="shared" si="109"/>
        <v>Agencia Información</v>
      </c>
      <c r="D277" s="72" t="str">
        <f t="shared" si="112"/>
        <v>Economía</v>
      </c>
      <c r="E277" s="19">
        <v>9</v>
      </c>
      <c r="F277" s="10" t="s">
        <v>824</v>
      </c>
      <c r="G277" s="10" t="s">
        <v>1470</v>
      </c>
      <c r="H277" s="33" t="s">
        <v>16</v>
      </c>
      <c r="I277" s="34" t="s">
        <v>376</v>
      </c>
      <c r="J277" s="9" t="str">
        <f t="shared" si="113"/>
        <v>Ninguno</v>
      </c>
      <c r="K277" s="9" t="str">
        <f t="shared" si="113"/>
        <v>Ventas anuales</v>
      </c>
      <c r="L277" s="9" t="str">
        <f t="shared" si="113"/>
        <v>Año 2019</v>
      </c>
      <c r="M277" s="9" t="str">
        <f t="shared" si="113"/>
        <v>UF</v>
      </c>
      <c r="N277" s="9" t="str">
        <f t="shared" si="113"/>
        <v>Servicio de Impuestos Internos (SII)</v>
      </c>
      <c r="O277" s="20" t="str">
        <f>"Ventas anuales en UF por rubro en la "&amp;Agencia[[#This Row],[territorio]]&amp;", "&amp;Agencia[[#This Row],[temporalidad]]</f>
        <v>Ventas anuales en UF por rubro en la Región de La Araucanía, Año 2019</v>
      </c>
      <c r="P277" s="112" t="s">
        <v>5704</v>
      </c>
      <c r="Q277" s="11" t="str">
        <f t="shared" si="103"/>
        <v>Gráfico</v>
      </c>
      <c r="R277" s="148" t="str">
        <f>Agencia[[#This Row],[territorio]]&amp;",empresas,ventas,estimadas,rubro,sector,SII,"&amp;Agencia[[#This Row],[coleccion]]&amp;","&amp;Agencia[[#This Row],[sector]]&amp;","&amp;Agencia[[#This Row],[tema]]&amp;","&amp;Agencia[[#This Row],[contenido]]</f>
        <v>Región de La Araucanía,empresas,ventas,estimadas,rubro,sector,SII,Agencia Información,Economía,Ventas,Empresas</v>
      </c>
      <c r="S277" s="39" t="str">
        <f>HYPERLINK("https://analytics.zoho.com/open-view/2395394000008025390?ZOHO_CRITERIA=%22Rubros_Todo%22.%22Id_Regi%C3%B3n%22%3D"&amp;Agencia[[#This Row],[Filtro URL]])</f>
        <v>https://analytics.zoho.com/open-view/2395394000008025390?ZOHO_CRITERIA=%22Rubros_Todo%22.%22Id_Regi%C3%B3n%22%3D9</v>
      </c>
      <c r="T277" s="108" t="str">
        <f>"100-R-"&amp;Agencia[[#This Row],[Filtro URL]]</f>
        <v>100-R-9</v>
      </c>
      <c r="U277" s="46" t="str">
        <f t="shared" si="114"/>
        <v>#1774B9</v>
      </c>
      <c r="V277" s="93" t="str">
        <f>+Agencia[[#This Row],[idcoleccion]]&amp;"-"&amp;Agencia[[#This Row],[id]]</f>
        <v>990-0266</v>
      </c>
      <c r="W277" s="93">
        <f>+VLOOKUP(Agencia[[#This Row],[Filtro URL]],Estructura!$X$4:$Y$500,2,0)</f>
        <v>99200009</v>
      </c>
      <c r="X277" s="93" t="str">
        <f>+VLOOKUP(Agencia[[#This Row],[tema]],Estructura!$A$4:$C$500,3,0)</f>
        <v>T-1027</v>
      </c>
      <c r="Y277" s="93" t="str">
        <f>+VLOOKUP(Agencia[[#This Row],[contenido]],Estructura!$E$4:$G$500,3,0)</f>
        <v>C-993</v>
      </c>
      <c r="Z277" s="93" t="str">
        <f>+VLOOKUP(Agencia[[#This Row],[Filtro Integrado]],Estructura!$I$4:$K$500,3,0)</f>
        <v>FI-993</v>
      </c>
      <c r="AA277" s="93" t="str">
        <f>+VLOOKUP(Agencia[[#This Row],[Muestra]],Estructura!$M$4:$O$500,3,0)</f>
        <v>M-1047</v>
      </c>
    </row>
    <row r="278" spans="1:27" ht="57.6" x14ac:dyDescent="0.3">
      <c r="A278" s="21" t="s">
        <v>697</v>
      </c>
      <c r="B278" s="23">
        <f t="shared" si="108"/>
        <v>990</v>
      </c>
      <c r="C278" s="24" t="str">
        <f t="shared" si="109"/>
        <v>Agencia Información</v>
      </c>
      <c r="D278" s="72" t="str">
        <f t="shared" si="112"/>
        <v>Economía</v>
      </c>
      <c r="E278" s="19">
        <v>10</v>
      </c>
      <c r="F278" s="10" t="s">
        <v>824</v>
      </c>
      <c r="G278" s="10" t="s">
        <v>1470</v>
      </c>
      <c r="H278" s="33" t="s">
        <v>16</v>
      </c>
      <c r="I278" s="34" t="s">
        <v>377</v>
      </c>
      <c r="J278" s="9" t="str">
        <f t="shared" si="113"/>
        <v>Ninguno</v>
      </c>
      <c r="K278" s="9" t="str">
        <f t="shared" si="113"/>
        <v>Ventas anuales</v>
      </c>
      <c r="L278" s="9" t="str">
        <f t="shared" si="113"/>
        <v>Año 2019</v>
      </c>
      <c r="M278" s="9" t="str">
        <f t="shared" si="113"/>
        <v>UF</v>
      </c>
      <c r="N278" s="9" t="str">
        <f t="shared" si="113"/>
        <v>Servicio de Impuestos Internos (SII)</v>
      </c>
      <c r="O278" s="20" t="str">
        <f>"Ventas anuales en UF por rubro en la "&amp;Agencia[[#This Row],[territorio]]&amp;", "&amp;Agencia[[#This Row],[temporalidad]]</f>
        <v>Ventas anuales en UF por rubro en la Región de Los Lagos, Año 2019</v>
      </c>
      <c r="P278" s="112" t="s">
        <v>5705</v>
      </c>
      <c r="Q278" s="11" t="str">
        <f t="shared" si="103"/>
        <v>Gráfico</v>
      </c>
      <c r="R278" s="148" t="str">
        <f>Agencia[[#This Row],[territorio]]&amp;",empresas,ventas,estimadas,rubro,sector,SII,"&amp;Agencia[[#This Row],[coleccion]]&amp;","&amp;Agencia[[#This Row],[sector]]&amp;","&amp;Agencia[[#This Row],[tema]]&amp;","&amp;Agencia[[#This Row],[contenido]]</f>
        <v>Región de Los Lagos,empresas,ventas,estimadas,rubro,sector,SII,Agencia Información,Economía,Ventas,Empresas</v>
      </c>
      <c r="S278" s="39" t="str">
        <f>HYPERLINK("https://analytics.zoho.com/open-view/2395394000008025390?ZOHO_CRITERIA=%22Rubros_Todo%22.%22Id_Regi%C3%B3n%22%3D"&amp;Agencia[[#This Row],[Filtro URL]])</f>
        <v>https://analytics.zoho.com/open-view/2395394000008025390?ZOHO_CRITERIA=%22Rubros_Todo%22.%22Id_Regi%C3%B3n%22%3D10</v>
      </c>
      <c r="T278" s="108" t="str">
        <f>"100-R-"&amp;Agencia[[#This Row],[Filtro URL]]</f>
        <v>100-R-10</v>
      </c>
      <c r="U278" s="46" t="str">
        <f t="shared" si="114"/>
        <v>#1774B9</v>
      </c>
      <c r="V278" s="93" t="str">
        <f>+Agencia[[#This Row],[idcoleccion]]&amp;"-"&amp;Agencia[[#This Row],[id]]</f>
        <v>990-0267</v>
      </c>
      <c r="W278" s="93">
        <f>+VLOOKUP(Agencia[[#This Row],[Filtro URL]],Estructura!$X$4:$Y$500,2,0)</f>
        <v>99200010</v>
      </c>
      <c r="X278" s="93" t="str">
        <f>+VLOOKUP(Agencia[[#This Row],[tema]],Estructura!$A$4:$C$500,3,0)</f>
        <v>T-1027</v>
      </c>
      <c r="Y278" s="93" t="str">
        <f>+VLOOKUP(Agencia[[#This Row],[contenido]],Estructura!$E$4:$G$500,3,0)</f>
        <v>C-993</v>
      </c>
      <c r="Z278" s="93" t="str">
        <f>+VLOOKUP(Agencia[[#This Row],[Filtro Integrado]],Estructura!$I$4:$K$500,3,0)</f>
        <v>FI-993</v>
      </c>
      <c r="AA278" s="93" t="str">
        <f>+VLOOKUP(Agencia[[#This Row],[Muestra]],Estructura!$M$4:$O$500,3,0)</f>
        <v>M-1047</v>
      </c>
    </row>
    <row r="279" spans="1:27" ht="57.6" x14ac:dyDescent="0.3">
      <c r="A279" s="21" t="s">
        <v>698</v>
      </c>
      <c r="B279" s="23">
        <f t="shared" si="108"/>
        <v>990</v>
      </c>
      <c r="C279" s="24" t="str">
        <f t="shared" si="109"/>
        <v>Agencia Información</v>
      </c>
      <c r="D279" s="72" t="str">
        <f t="shared" si="112"/>
        <v>Economía</v>
      </c>
      <c r="E279" s="19">
        <v>11</v>
      </c>
      <c r="F279" s="10" t="s">
        <v>824</v>
      </c>
      <c r="G279" s="10" t="s">
        <v>1470</v>
      </c>
      <c r="H279" s="33" t="s">
        <v>16</v>
      </c>
      <c r="I279" s="34" t="s">
        <v>378</v>
      </c>
      <c r="J279" s="9" t="str">
        <f t="shared" si="113"/>
        <v>Ninguno</v>
      </c>
      <c r="K279" s="9" t="str">
        <f t="shared" si="113"/>
        <v>Ventas anuales</v>
      </c>
      <c r="L279" s="9" t="str">
        <f t="shared" si="113"/>
        <v>Año 2019</v>
      </c>
      <c r="M279" s="9" t="str">
        <f t="shared" si="113"/>
        <v>UF</v>
      </c>
      <c r="N279" s="9" t="str">
        <f t="shared" si="113"/>
        <v>Servicio de Impuestos Internos (SII)</v>
      </c>
      <c r="O279" s="20" t="str">
        <f>"Ventas anuales en UF por rubro en la "&amp;Agencia[[#This Row],[territorio]]&amp;", "&amp;Agencia[[#This Row],[temporalidad]]</f>
        <v>Ventas anuales en UF por rubro en la Región de Aysén, Año 2019</v>
      </c>
      <c r="P279" s="112" t="s">
        <v>5706</v>
      </c>
      <c r="Q279" s="11" t="str">
        <f t="shared" si="103"/>
        <v>Gráfico</v>
      </c>
      <c r="R279" s="148" t="str">
        <f>Agencia[[#This Row],[territorio]]&amp;",empresas,ventas,estimadas,rubro,sector,SII,"&amp;Agencia[[#This Row],[coleccion]]&amp;","&amp;Agencia[[#This Row],[sector]]&amp;","&amp;Agencia[[#This Row],[tema]]&amp;","&amp;Agencia[[#This Row],[contenido]]</f>
        <v>Región de Aysén,empresas,ventas,estimadas,rubro,sector,SII,Agencia Información,Economía,Ventas,Empresas</v>
      </c>
      <c r="S279" s="39" t="str">
        <f>HYPERLINK("https://analytics.zoho.com/open-view/2395394000008025390?ZOHO_CRITERIA=%22Rubros_Todo%22.%22Id_Regi%C3%B3n%22%3D"&amp;Agencia[[#This Row],[Filtro URL]])</f>
        <v>https://analytics.zoho.com/open-view/2395394000008025390?ZOHO_CRITERIA=%22Rubros_Todo%22.%22Id_Regi%C3%B3n%22%3D11</v>
      </c>
      <c r="T279" s="108" t="str">
        <f>"100-R-"&amp;Agencia[[#This Row],[Filtro URL]]</f>
        <v>100-R-11</v>
      </c>
      <c r="U279" s="46" t="str">
        <f t="shared" si="114"/>
        <v>#1774B9</v>
      </c>
      <c r="V279" s="93" t="str">
        <f>+Agencia[[#This Row],[idcoleccion]]&amp;"-"&amp;Agencia[[#This Row],[id]]</f>
        <v>990-0268</v>
      </c>
      <c r="W279" s="93">
        <f>+VLOOKUP(Agencia[[#This Row],[Filtro URL]],Estructura!$X$4:$Y$500,2,0)</f>
        <v>99200011</v>
      </c>
      <c r="X279" s="93" t="str">
        <f>+VLOOKUP(Agencia[[#This Row],[tema]],Estructura!$A$4:$C$500,3,0)</f>
        <v>T-1027</v>
      </c>
      <c r="Y279" s="93" t="str">
        <f>+VLOOKUP(Agencia[[#This Row],[contenido]],Estructura!$E$4:$G$500,3,0)</f>
        <v>C-993</v>
      </c>
      <c r="Z279" s="93" t="str">
        <f>+VLOOKUP(Agencia[[#This Row],[Filtro Integrado]],Estructura!$I$4:$K$500,3,0)</f>
        <v>FI-993</v>
      </c>
      <c r="AA279" s="93" t="str">
        <f>+VLOOKUP(Agencia[[#This Row],[Muestra]],Estructura!$M$4:$O$500,3,0)</f>
        <v>M-1047</v>
      </c>
    </row>
    <row r="280" spans="1:27" ht="61.2" x14ac:dyDescent="0.3">
      <c r="A280" s="21" t="s">
        <v>699</v>
      </c>
      <c r="B280" s="23">
        <f t="shared" si="108"/>
        <v>990</v>
      </c>
      <c r="C280" s="24" t="str">
        <f t="shared" si="109"/>
        <v>Agencia Información</v>
      </c>
      <c r="D280" s="72" t="str">
        <f t="shared" si="112"/>
        <v>Economía</v>
      </c>
      <c r="E280" s="19">
        <v>12</v>
      </c>
      <c r="F280" s="10" t="s">
        <v>824</v>
      </c>
      <c r="G280" s="10" t="s">
        <v>1470</v>
      </c>
      <c r="H280" s="33" t="s">
        <v>16</v>
      </c>
      <c r="I280" s="34" t="s">
        <v>379</v>
      </c>
      <c r="J280" s="9" t="str">
        <f t="shared" si="113"/>
        <v>Ninguno</v>
      </c>
      <c r="K280" s="9" t="str">
        <f t="shared" si="113"/>
        <v>Ventas anuales</v>
      </c>
      <c r="L280" s="9" t="str">
        <f t="shared" si="113"/>
        <v>Año 2019</v>
      </c>
      <c r="M280" s="9" t="str">
        <f t="shared" si="113"/>
        <v>UF</v>
      </c>
      <c r="N280" s="9" t="str">
        <f t="shared" si="113"/>
        <v>Servicio de Impuestos Internos (SII)</v>
      </c>
      <c r="O280" s="20" t="str">
        <f>"Ventas anuales en UF por rubro en la "&amp;Agencia[[#This Row],[territorio]]&amp;", "&amp;Agencia[[#This Row],[temporalidad]]</f>
        <v>Ventas anuales en UF por rubro en la Región de Magallanes, Año 2019</v>
      </c>
      <c r="P280" s="112" t="s">
        <v>5707</v>
      </c>
      <c r="Q280" s="11" t="str">
        <f t="shared" si="103"/>
        <v>Gráfico</v>
      </c>
      <c r="R280" s="148" t="str">
        <f>Agencia[[#This Row],[territorio]]&amp;",empresas,ventas,estimadas,rubro,sector,SII,"&amp;Agencia[[#This Row],[coleccion]]&amp;","&amp;Agencia[[#This Row],[sector]]&amp;","&amp;Agencia[[#This Row],[tema]]&amp;","&amp;Agencia[[#This Row],[contenido]]</f>
        <v>Región de Magallanes,empresas,ventas,estimadas,rubro,sector,SII,Agencia Información,Economía,Ventas,Empresas</v>
      </c>
      <c r="S280" s="39" t="str">
        <f>HYPERLINK("https://analytics.zoho.com/open-view/2395394000008025390?ZOHO_CRITERIA=%22Rubros_Todo%22.%22Id_Regi%C3%B3n%22%3D"&amp;Agencia[[#This Row],[Filtro URL]])</f>
        <v>https://analytics.zoho.com/open-view/2395394000008025390?ZOHO_CRITERIA=%22Rubros_Todo%22.%22Id_Regi%C3%B3n%22%3D12</v>
      </c>
      <c r="T280" s="108" t="str">
        <f>"100-R-"&amp;Agencia[[#This Row],[Filtro URL]]</f>
        <v>100-R-12</v>
      </c>
      <c r="U280" s="46" t="str">
        <f t="shared" si="114"/>
        <v>#1774B9</v>
      </c>
      <c r="V280" s="93" t="str">
        <f>+Agencia[[#This Row],[idcoleccion]]&amp;"-"&amp;Agencia[[#This Row],[id]]</f>
        <v>990-0269</v>
      </c>
      <c r="W280" s="93">
        <f>+VLOOKUP(Agencia[[#This Row],[Filtro URL]],Estructura!$X$4:$Y$500,2,0)</f>
        <v>99200012</v>
      </c>
      <c r="X280" s="93" t="str">
        <f>+VLOOKUP(Agencia[[#This Row],[tema]],Estructura!$A$4:$C$500,3,0)</f>
        <v>T-1027</v>
      </c>
      <c r="Y280" s="93" t="str">
        <f>+VLOOKUP(Agencia[[#This Row],[contenido]],Estructura!$E$4:$G$500,3,0)</f>
        <v>C-993</v>
      </c>
      <c r="Z280" s="93" t="str">
        <f>+VLOOKUP(Agencia[[#This Row],[Filtro Integrado]],Estructura!$I$4:$K$500,3,0)</f>
        <v>FI-993</v>
      </c>
      <c r="AA280" s="93" t="str">
        <f>+VLOOKUP(Agencia[[#This Row],[Muestra]],Estructura!$M$4:$O$500,3,0)</f>
        <v>M-1047</v>
      </c>
    </row>
    <row r="281" spans="1:27" ht="57.6" x14ac:dyDescent="0.3">
      <c r="A281" s="21" t="s">
        <v>700</v>
      </c>
      <c r="B281" s="23">
        <f t="shared" si="108"/>
        <v>990</v>
      </c>
      <c r="C281" s="24" t="str">
        <f t="shared" si="109"/>
        <v>Agencia Información</v>
      </c>
      <c r="D281" s="72" t="str">
        <f t="shared" si="112"/>
        <v>Economía</v>
      </c>
      <c r="E281" s="19">
        <v>13</v>
      </c>
      <c r="F281" s="10" t="s">
        <v>824</v>
      </c>
      <c r="G281" s="10" t="s">
        <v>1470</v>
      </c>
      <c r="H281" s="33" t="s">
        <v>16</v>
      </c>
      <c r="I281" s="34" t="s">
        <v>380</v>
      </c>
      <c r="J281" s="9" t="str">
        <f t="shared" si="113"/>
        <v>Ninguno</v>
      </c>
      <c r="K281" s="9" t="str">
        <f t="shared" si="113"/>
        <v>Ventas anuales</v>
      </c>
      <c r="L281" s="9" t="str">
        <f t="shared" si="113"/>
        <v>Año 2019</v>
      </c>
      <c r="M281" s="9" t="str">
        <f t="shared" si="113"/>
        <v>UF</v>
      </c>
      <c r="N281" s="9" t="str">
        <f t="shared" si="113"/>
        <v>Servicio de Impuestos Internos (SII)</v>
      </c>
      <c r="O281" s="20" t="str">
        <f>"Ventas anuales en UF por rubro en la "&amp;Agencia[[#This Row],[territorio]]&amp;", "&amp;Agencia[[#This Row],[temporalidad]]</f>
        <v>Ventas anuales en UF por rubro en la Región Metropolitana, Año 2019</v>
      </c>
      <c r="P281" s="112" t="s">
        <v>5708</v>
      </c>
      <c r="Q281" s="11" t="str">
        <f t="shared" si="103"/>
        <v>Gráfico</v>
      </c>
      <c r="R281" s="148" t="str">
        <f>Agencia[[#This Row],[territorio]]&amp;",empresas,ventas,estimadas,rubro,sector,SII,"&amp;Agencia[[#This Row],[coleccion]]&amp;","&amp;Agencia[[#This Row],[sector]]&amp;","&amp;Agencia[[#This Row],[tema]]&amp;","&amp;Agencia[[#This Row],[contenido]]</f>
        <v>Región Metropolitana,empresas,ventas,estimadas,rubro,sector,SII,Agencia Información,Economía,Ventas,Empresas</v>
      </c>
      <c r="S281" s="39" t="str">
        <f>HYPERLINK("https://analytics.zoho.com/open-view/2395394000008025390?ZOHO_CRITERIA=%22Rubros_Todo%22.%22Id_Regi%C3%B3n%22%3D"&amp;Agencia[[#This Row],[Filtro URL]])</f>
        <v>https://analytics.zoho.com/open-view/2395394000008025390?ZOHO_CRITERIA=%22Rubros_Todo%22.%22Id_Regi%C3%B3n%22%3D13</v>
      </c>
      <c r="T281" s="108" t="str">
        <f>"200-R-"&amp;Agencia[[#This Row],[Filtro URL]]</f>
        <v>200-R-13</v>
      </c>
      <c r="U281" s="46" t="str">
        <f t="shared" si="114"/>
        <v>#1774B9</v>
      </c>
      <c r="V281" s="93" t="str">
        <f>+Agencia[[#This Row],[idcoleccion]]&amp;"-"&amp;Agencia[[#This Row],[id]]</f>
        <v>990-0270</v>
      </c>
      <c r="W281" s="93">
        <f>+VLOOKUP(Agencia[[#This Row],[Filtro URL]],Estructura!$X$4:$Y$500,2,0)</f>
        <v>99200013</v>
      </c>
      <c r="X281" s="93" t="str">
        <f>+VLOOKUP(Agencia[[#This Row],[tema]],Estructura!$A$4:$C$500,3,0)</f>
        <v>T-1027</v>
      </c>
      <c r="Y281" s="93" t="str">
        <f>+VLOOKUP(Agencia[[#This Row],[contenido]],Estructura!$E$4:$G$500,3,0)</f>
        <v>C-993</v>
      </c>
      <c r="Z281" s="93" t="str">
        <f>+VLOOKUP(Agencia[[#This Row],[Filtro Integrado]],Estructura!$I$4:$K$500,3,0)</f>
        <v>FI-993</v>
      </c>
      <c r="AA281" s="93" t="str">
        <f>+VLOOKUP(Agencia[[#This Row],[Muestra]],Estructura!$M$4:$O$500,3,0)</f>
        <v>M-1047</v>
      </c>
    </row>
    <row r="282" spans="1:27" ht="57.6" x14ac:dyDescent="0.3">
      <c r="A282" s="21" t="s">
        <v>701</v>
      </c>
      <c r="B282" s="23">
        <f t="shared" ref="B282:B313" si="115">+B281</f>
        <v>990</v>
      </c>
      <c r="C282" s="24" t="str">
        <f t="shared" ref="C282:C313" si="116">+C281</f>
        <v>Agencia Información</v>
      </c>
      <c r="D282" s="72" t="str">
        <f t="shared" si="112"/>
        <v>Economía</v>
      </c>
      <c r="E282" s="19">
        <v>14</v>
      </c>
      <c r="F282" s="10" t="s">
        <v>824</v>
      </c>
      <c r="G282" s="10" t="s">
        <v>1470</v>
      </c>
      <c r="H282" s="33" t="s">
        <v>16</v>
      </c>
      <c r="I282" s="34" t="s">
        <v>381</v>
      </c>
      <c r="J282" s="9" t="str">
        <f t="shared" si="113"/>
        <v>Ninguno</v>
      </c>
      <c r="K282" s="9" t="str">
        <f t="shared" si="113"/>
        <v>Ventas anuales</v>
      </c>
      <c r="L282" s="9" t="str">
        <f t="shared" si="113"/>
        <v>Año 2019</v>
      </c>
      <c r="M282" s="9" t="str">
        <f t="shared" si="113"/>
        <v>UF</v>
      </c>
      <c r="N282" s="9" t="str">
        <f t="shared" si="113"/>
        <v>Servicio de Impuestos Internos (SII)</v>
      </c>
      <c r="O282" s="20" t="str">
        <f>"Ventas anuales en UF por rubro en la "&amp;Agencia[[#This Row],[territorio]]&amp;", "&amp;Agencia[[#This Row],[temporalidad]]</f>
        <v>Ventas anuales en UF por rubro en la Región de Los Ríos, Año 2019</v>
      </c>
      <c r="P282" s="112" t="s">
        <v>5709</v>
      </c>
      <c r="Q282" s="11" t="str">
        <f t="shared" ref="Q282:Q323" si="117">+Q281</f>
        <v>Gráfico</v>
      </c>
      <c r="R282" s="148" t="str">
        <f>Agencia[[#This Row],[territorio]]&amp;",empresas,ventas,estimadas,rubro,sector,SII,"&amp;Agencia[[#This Row],[coleccion]]&amp;","&amp;Agencia[[#This Row],[sector]]&amp;","&amp;Agencia[[#This Row],[tema]]&amp;","&amp;Agencia[[#This Row],[contenido]]</f>
        <v>Región de Los Ríos,empresas,ventas,estimadas,rubro,sector,SII,Agencia Información,Economía,Ventas,Empresas</v>
      </c>
      <c r="S282" s="39" t="str">
        <f>HYPERLINK("https://analytics.zoho.com/open-view/2395394000008025390?ZOHO_CRITERIA=%22Rubros_Todo%22.%22Id_Regi%C3%B3n%22%3D"&amp;Agencia[[#This Row],[Filtro URL]])</f>
        <v>https://analytics.zoho.com/open-view/2395394000008025390?ZOHO_CRITERIA=%22Rubros_Todo%22.%22Id_Regi%C3%B3n%22%3D14</v>
      </c>
      <c r="T282" s="108" t="str">
        <f>"100-R-"&amp;Agencia[[#This Row],[Filtro URL]]</f>
        <v>100-R-14</v>
      </c>
      <c r="U282" s="46" t="str">
        <f t="shared" si="114"/>
        <v>#1774B9</v>
      </c>
      <c r="V282" s="93" t="str">
        <f>+Agencia[[#This Row],[idcoleccion]]&amp;"-"&amp;Agencia[[#This Row],[id]]</f>
        <v>990-0271</v>
      </c>
      <c r="W282" s="93">
        <f>+VLOOKUP(Agencia[[#This Row],[Filtro URL]],Estructura!$X$4:$Y$500,2,0)</f>
        <v>99200014</v>
      </c>
      <c r="X282" s="93" t="str">
        <f>+VLOOKUP(Agencia[[#This Row],[tema]],Estructura!$A$4:$C$500,3,0)</f>
        <v>T-1027</v>
      </c>
      <c r="Y282" s="93" t="str">
        <f>+VLOOKUP(Agencia[[#This Row],[contenido]],Estructura!$E$4:$G$500,3,0)</f>
        <v>C-993</v>
      </c>
      <c r="Z282" s="93" t="str">
        <f>+VLOOKUP(Agencia[[#This Row],[Filtro Integrado]],Estructura!$I$4:$K$500,3,0)</f>
        <v>FI-993</v>
      </c>
      <c r="AA282" s="93" t="str">
        <f>+VLOOKUP(Agencia[[#This Row],[Muestra]],Estructura!$M$4:$O$500,3,0)</f>
        <v>M-1047</v>
      </c>
    </row>
    <row r="283" spans="1:27" ht="57.6" x14ac:dyDescent="0.3">
      <c r="A283" s="21" t="s">
        <v>702</v>
      </c>
      <c r="B283" s="23">
        <f t="shared" si="115"/>
        <v>990</v>
      </c>
      <c r="C283" s="24" t="str">
        <f t="shared" si="116"/>
        <v>Agencia Información</v>
      </c>
      <c r="D283" s="72" t="str">
        <f t="shared" si="112"/>
        <v>Economía</v>
      </c>
      <c r="E283" s="19">
        <v>15</v>
      </c>
      <c r="F283" s="10" t="s">
        <v>824</v>
      </c>
      <c r="G283" s="10" t="s">
        <v>1470</v>
      </c>
      <c r="H283" s="33" t="s">
        <v>16</v>
      </c>
      <c r="I283" s="34" t="s">
        <v>382</v>
      </c>
      <c r="J283" s="9" t="str">
        <f t="shared" si="113"/>
        <v>Ninguno</v>
      </c>
      <c r="K283" s="9" t="str">
        <f t="shared" si="113"/>
        <v>Ventas anuales</v>
      </c>
      <c r="L283" s="9" t="str">
        <f t="shared" si="113"/>
        <v>Año 2019</v>
      </c>
      <c r="M283" s="9" t="str">
        <f t="shared" si="113"/>
        <v>UF</v>
      </c>
      <c r="N283" s="9" t="str">
        <f t="shared" si="113"/>
        <v>Servicio de Impuestos Internos (SII)</v>
      </c>
      <c r="O283" s="20" t="str">
        <f>"Ventas anuales en UF por rubro en la "&amp;Agencia[[#This Row],[territorio]]&amp;", "&amp;Agencia[[#This Row],[temporalidad]]</f>
        <v>Ventas anuales en UF por rubro en la Región de Arica y Parinacota, Año 2019</v>
      </c>
      <c r="P283" s="112" t="s">
        <v>5710</v>
      </c>
      <c r="Q283" s="11" t="str">
        <f t="shared" si="117"/>
        <v>Gráfico</v>
      </c>
      <c r="R283" s="148" t="str">
        <f>Agencia[[#This Row],[territorio]]&amp;",empresas,ventas,estimadas,rubro,sector,SII,"&amp;Agencia[[#This Row],[coleccion]]&amp;","&amp;Agencia[[#This Row],[sector]]&amp;","&amp;Agencia[[#This Row],[tema]]&amp;","&amp;Agencia[[#This Row],[contenido]]</f>
        <v>Región de Arica y Parinacota,empresas,ventas,estimadas,rubro,sector,SII,Agencia Información,Economía,Ventas,Empresas</v>
      </c>
      <c r="S283" s="39" t="str">
        <f>HYPERLINK("https://analytics.zoho.com/open-view/2395394000008025390?ZOHO_CRITERIA=%22Rubros_Todo%22.%22Id_Regi%C3%B3n%22%3D"&amp;Agencia[[#This Row],[Filtro URL]])</f>
        <v>https://analytics.zoho.com/open-view/2395394000008025390?ZOHO_CRITERIA=%22Rubros_Todo%22.%22Id_Regi%C3%B3n%22%3D15</v>
      </c>
      <c r="T283" s="108" t="str">
        <f>"100-R-"&amp;Agencia[[#This Row],[Filtro URL]]</f>
        <v>100-R-15</v>
      </c>
      <c r="U283" s="46" t="str">
        <f t="shared" si="114"/>
        <v>#1774B9</v>
      </c>
      <c r="V283" s="93" t="str">
        <f>+Agencia[[#This Row],[idcoleccion]]&amp;"-"&amp;Agencia[[#This Row],[id]]</f>
        <v>990-0272</v>
      </c>
      <c r="W283" s="93">
        <f>+VLOOKUP(Agencia[[#This Row],[Filtro URL]],Estructura!$X$4:$Y$500,2,0)</f>
        <v>99200015</v>
      </c>
      <c r="X283" s="93" t="str">
        <f>+VLOOKUP(Agencia[[#This Row],[tema]],Estructura!$A$4:$C$500,3,0)</f>
        <v>T-1027</v>
      </c>
      <c r="Y283" s="93" t="str">
        <f>+VLOOKUP(Agencia[[#This Row],[contenido]],Estructura!$E$4:$G$500,3,0)</f>
        <v>C-993</v>
      </c>
      <c r="Z283" s="93" t="str">
        <f>+VLOOKUP(Agencia[[#This Row],[Filtro Integrado]],Estructura!$I$4:$K$500,3,0)</f>
        <v>FI-993</v>
      </c>
      <c r="AA283" s="93" t="str">
        <f>+VLOOKUP(Agencia[[#This Row],[Muestra]],Estructura!$M$4:$O$500,3,0)</f>
        <v>M-1047</v>
      </c>
    </row>
    <row r="284" spans="1:27" ht="57.6" x14ac:dyDescent="0.3">
      <c r="A284" s="21" t="s">
        <v>703</v>
      </c>
      <c r="B284" s="23">
        <f t="shared" si="115"/>
        <v>990</v>
      </c>
      <c r="C284" s="24" t="str">
        <f t="shared" si="116"/>
        <v>Agencia Información</v>
      </c>
      <c r="D284" s="72" t="str">
        <f t="shared" si="112"/>
        <v>Economía</v>
      </c>
      <c r="E284" s="19">
        <v>16</v>
      </c>
      <c r="F284" s="10" t="s">
        <v>824</v>
      </c>
      <c r="G284" s="10" t="s">
        <v>1470</v>
      </c>
      <c r="H284" s="33" t="s">
        <v>16</v>
      </c>
      <c r="I284" s="34" t="s">
        <v>383</v>
      </c>
      <c r="J284" s="9" t="str">
        <f t="shared" ref="J284:N285" si="118">+J283</f>
        <v>Ninguno</v>
      </c>
      <c r="K284" s="9" t="str">
        <f t="shared" si="118"/>
        <v>Ventas anuales</v>
      </c>
      <c r="L284" s="9" t="str">
        <f t="shared" si="118"/>
        <v>Año 2019</v>
      </c>
      <c r="M284" s="9" t="str">
        <f t="shared" si="118"/>
        <v>UF</v>
      </c>
      <c r="N284" s="9" t="str">
        <f t="shared" si="118"/>
        <v>Servicio de Impuestos Internos (SII)</v>
      </c>
      <c r="O284" s="20" t="str">
        <f>"Ventas anuales en UF por rubro en la "&amp;Agencia[[#This Row],[territorio]]&amp;", "&amp;Agencia[[#This Row],[temporalidad]]</f>
        <v>Ventas anuales en UF por rubro en la Región de Ñuble, Año 2019</v>
      </c>
      <c r="P284" s="112" t="s">
        <v>5711</v>
      </c>
      <c r="Q284" s="11" t="str">
        <f t="shared" si="117"/>
        <v>Gráfico</v>
      </c>
      <c r="R284" s="148" t="str">
        <f>Agencia[[#This Row],[territorio]]&amp;",empresas,ventas,estimadas,rubro,sector,SII,"&amp;Agencia[[#This Row],[coleccion]]&amp;","&amp;Agencia[[#This Row],[sector]]&amp;","&amp;Agencia[[#This Row],[tema]]&amp;","&amp;Agencia[[#This Row],[contenido]]</f>
        <v>Región de Ñuble,empresas,ventas,estimadas,rubro,sector,SII,Agencia Información,Economía,Ventas,Empresas</v>
      </c>
      <c r="S284" s="39" t="str">
        <f>HYPERLINK("https://analytics.zoho.com/open-view/2395394000008025390?ZOHO_CRITERIA=%22Rubros_Todo%22.%22Id_Regi%C3%B3n%22%3D"&amp;Agencia[[#This Row],[Filtro URL]])</f>
        <v>https://analytics.zoho.com/open-view/2395394000008025390?ZOHO_CRITERIA=%22Rubros_Todo%22.%22Id_Regi%C3%B3n%22%3D16</v>
      </c>
      <c r="T284" s="108" t="str">
        <f>"100-R-"&amp;Agencia[[#This Row],[Filtro URL]]</f>
        <v>100-R-16</v>
      </c>
      <c r="U284" s="46" t="str">
        <f t="shared" si="114"/>
        <v>#1774B9</v>
      </c>
      <c r="V284" s="93" t="str">
        <f>+Agencia[[#This Row],[idcoleccion]]&amp;"-"&amp;Agencia[[#This Row],[id]]</f>
        <v>990-0273</v>
      </c>
      <c r="W284" s="93">
        <f>+VLOOKUP(Agencia[[#This Row],[Filtro URL]],Estructura!$X$4:$Y$500,2,0)</f>
        <v>99200016</v>
      </c>
      <c r="X284" s="93" t="str">
        <f>+VLOOKUP(Agencia[[#This Row],[tema]],Estructura!$A$4:$C$500,3,0)</f>
        <v>T-1027</v>
      </c>
      <c r="Y284" s="93" t="str">
        <f>+VLOOKUP(Agencia[[#This Row],[contenido]],Estructura!$E$4:$G$500,3,0)</f>
        <v>C-993</v>
      </c>
      <c r="Z284" s="93" t="str">
        <f>+VLOOKUP(Agencia[[#This Row],[Filtro Integrado]],Estructura!$I$4:$K$500,3,0)</f>
        <v>FI-993</v>
      </c>
      <c r="AA284" s="93" t="str">
        <f>+VLOOKUP(Agencia[[#This Row],[Muestra]],Estructura!$M$4:$O$500,3,0)</f>
        <v>M-1047</v>
      </c>
    </row>
    <row r="285" spans="1:27" ht="40.799999999999997" x14ac:dyDescent="0.3">
      <c r="A285" s="21" t="s">
        <v>704</v>
      </c>
      <c r="B285" s="23">
        <f t="shared" si="115"/>
        <v>990</v>
      </c>
      <c r="C285" s="24" t="str">
        <f t="shared" si="116"/>
        <v>Agencia Información</v>
      </c>
      <c r="D285" s="72" t="s">
        <v>459</v>
      </c>
      <c r="E285" s="14">
        <v>0</v>
      </c>
      <c r="F285" s="10" t="s">
        <v>829</v>
      </c>
      <c r="G285" s="10" t="s">
        <v>1877</v>
      </c>
      <c r="H285" s="31" t="s">
        <v>20</v>
      </c>
      <c r="I285" s="32" t="s">
        <v>15</v>
      </c>
      <c r="J285" s="9" t="str">
        <f t="shared" si="118"/>
        <v>Ninguno</v>
      </c>
      <c r="K285" s="9" t="s">
        <v>834</v>
      </c>
      <c r="L285" s="9" t="s">
        <v>596</v>
      </c>
      <c r="M285" s="9" t="s">
        <v>833</v>
      </c>
      <c r="N285" s="9" t="s">
        <v>832</v>
      </c>
      <c r="O285" s="20" t="str">
        <f>"Cantidad de Centros de la Mujer por Región en el "&amp;Agencia[[#This Row],[temporalidad]]</f>
        <v>Cantidad de Centros de la Mujer por Región en el Año 2021</v>
      </c>
      <c r="P285" s="112" t="s">
        <v>830</v>
      </c>
      <c r="Q285" s="11" t="str">
        <f t="shared" si="117"/>
        <v>Gráfico</v>
      </c>
      <c r="R285" s="20" t="str">
        <f>Agencia[[#This Row],[territorio]]&amp;",centros,mujer,violencia,género,mujeres,establecimientos,"&amp;Agencia[[#This Row],[coleccion]]&amp;","&amp;Agencia[[#This Row],[sector]]&amp;","&amp;Agencia[[#This Row],[tema]]&amp;","&amp;Agencia[[#This Row],[contenido]]</f>
        <v>Chile,centros,mujer,violencia,género,mujeres,establecimientos,Agencia Información,Mujeres,Establecimientos de Apoyo,Violencia Contra la Mujer</v>
      </c>
      <c r="S285" s="39" t="s">
        <v>831</v>
      </c>
      <c r="T285" s="108">
        <v>0</v>
      </c>
      <c r="U285" s="46" t="str">
        <f t="shared" si="114"/>
        <v>#1774B9</v>
      </c>
      <c r="V285" s="93" t="str">
        <f>+Agencia[[#This Row],[idcoleccion]]&amp;"-"&amp;Agencia[[#This Row],[id]]</f>
        <v>990-0274</v>
      </c>
      <c r="W285" s="93">
        <f>+VLOOKUP(Agencia[[#This Row],[Filtro URL]],Estructura!$X$4:$Y$500,2,0)</f>
        <v>99100000</v>
      </c>
      <c r="X285" s="93" t="str">
        <f>+VLOOKUP(Agencia[[#This Row],[tema]],Estructura!$A$4:$C$500,3,0)</f>
        <v>T-1028</v>
      </c>
      <c r="Y285" s="93" t="str">
        <f>+VLOOKUP(Agencia[[#This Row],[contenido]],Estructura!$E$4:$G$500,3,0)</f>
        <v>C-996</v>
      </c>
      <c r="Z285" s="93" t="str">
        <f>+VLOOKUP(Agencia[[#This Row],[Filtro Integrado]],Estructura!$I$4:$K$500,3,0)</f>
        <v>FI-993</v>
      </c>
      <c r="AA285" s="93" t="str">
        <f>+VLOOKUP(Agencia[[#This Row],[Muestra]],Estructura!$M$4:$O$500,3,0)</f>
        <v>M-996</v>
      </c>
    </row>
    <row r="286" spans="1:27" ht="40.799999999999997" x14ac:dyDescent="0.3">
      <c r="A286" s="21" t="s">
        <v>705</v>
      </c>
      <c r="B286" s="23">
        <f t="shared" si="115"/>
        <v>990</v>
      </c>
      <c r="C286" s="24" t="str">
        <f t="shared" si="116"/>
        <v>Agencia Información</v>
      </c>
      <c r="D286" s="72" t="s">
        <v>459</v>
      </c>
      <c r="E286" s="14">
        <v>0</v>
      </c>
      <c r="F286" s="10" t="s">
        <v>829</v>
      </c>
      <c r="G286" s="10" t="s">
        <v>1877</v>
      </c>
      <c r="H286" s="31" t="s">
        <v>20</v>
      </c>
      <c r="I286" s="32" t="s">
        <v>15</v>
      </c>
      <c r="J286" s="9" t="s">
        <v>403</v>
      </c>
      <c r="K286" s="9" t="s">
        <v>838</v>
      </c>
      <c r="L286" s="9" t="s">
        <v>835</v>
      </c>
      <c r="M286" s="9" t="s">
        <v>836</v>
      </c>
      <c r="N286" s="9" t="s">
        <v>832</v>
      </c>
      <c r="O286" s="20" t="str">
        <f>"Cantidad de Mujeres Ingresadas en Centros de la Mujer en "&amp;Agencia[[#This Row],[territorio]]&amp;" para el "&amp;Agencia[[#This Row],[temporalidad]]</f>
        <v>Cantidad de Mujeres Ingresadas en Centros de la Mujer en Chile para el Periodo 2014-2019</v>
      </c>
      <c r="P286" s="112" t="s">
        <v>6903</v>
      </c>
      <c r="Q286" s="11" t="s">
        <v>784</v>
      </c>
      <c r="R286" s="20" t="str">
        <f>Agencia[[#This Row],[territorio]]&amp;",centros,mujer,violencia,género,mujeres,ingresos,cantidad,"&amp;Agencia[[#This Row],[coleccion]]&amp;","&amp;Agencia[[#This Row],[sector]]&amp;","&amp;Agencia[[#This Row],[tema]]&amp;","&amp;Agencia[[#This Row],[contenido]]</f>
        <v>Chile,centros,mujer,violencia,género,mujeres,ingresos,cantidad,Agencia Información,Mujeres,Establecimientos de Apoyo,Violencia Contra la Mujer</v>
      </c>
      <c r="S286" s="39" t="s">
        <v>837</v>
      </c>
      <c r="T286" s="108">
        <v>0</v>
      </c>
      <c r="U286" s="46" t="str">
        <f t="shared" si="114"/>
        <v>#1774B9</v>
      </c>
      <c r="V286" s="93" t="str">
        <f>+Agencia[[#This Row],[idcoleccion]]&amp;"-"&amp;Agencia[[#This Row],[id]]</f>
        <v>990-0275</v>
      </c>
      <c r="W286" s="93">
        <f>+VLOOKUP(Agencia[[#This Row],[Filtro URL]],Estructura!$X$4:$Y$500,2,0)</f>
        <v>99100000</v>
      </c>
      <c r="X286" s="93" t="str">
        <f>+VLOOKUP(Agencia[[#This Row],[tema]],Estructura!$A$4:$C$500,3,0)</f>
        <v>T-1028</v>
      </c>
      <c r="Y286" s="93" t="str">
        <f>+VLOOKUP(Agencia[[#This Row],[contenido]],Estructura!$E$4:$G$500,3,0)</f>
        <v>C-996</v>
      </c>
      <c r="Z286" s="93" t="str">
        <f>+VLOOKUP(Agencia[[#This Row],[Filtro Integrado]],Estructura!$I$4:$K$500,3,0)</f>
        <v>FI-993</v>
      </c>
      <c r="AA286" s="93" t="str">
        <f>+VLOOKUP(Agencia[[#This Row],[Muestra]],Estructura!$M$4:$O$500,3,0)</f>
        <v>M-997</v>
      </c>
    </row>
    <row r="287" spans="1:27" ht="40.799999999999997" x14ac:dyDescent="0.3">
      <c r="A287" s="21" t="s">
        <v>706</v>
      </c>
      <c r="B287" s="23">
        <f t="shared" si="115"/>
        <v>990</v>
      </c>
      <c r="C287" s="24" t="str">
        <f t="shared" si="116"/>
        <v>Agencia Información</v>
      </c>
      <c r="D287" s="72" t="s">
        <v>459</v>
      </c>
      <c r="E287" s="14">
        <v>0</v>
      </c>
      <c r="F287" s="10" t="s">
        <v>829</v>
      </c>
      <c r="G287" s="10" t="s">
        <v>1877</v>
      </c>
      <c r="H287" s="31" t="s">
        <v>20</v>
      </c>
      <c r="I287" s="32" t="s">
        <v>15</v>
      </c>
      <c r="J287" s="9" t="s">
        <v>403</v>
      </c>
      <c r="K287" s="9" t="s">
        <v>840</v>
      </c>
      <c r="L287" s="9" t="s">
        <v>835</v>
      </c>
      <c r="M287" s="9" t="s">
        <v>839</v>
      </c>
      <c r="N287" s="9" t="s">
        <v>832</v>
      </c>
      <c r="O287" s="20" t="str">
        <f>"Cantidad de Salidas desde Casas de Acogida en "&amp;Agencia[[#This Row],[territorio]]&amp;" durante el "&amp;Agencia[[#This Row],[temporalidad]]</f>
        <v>Cantidad de Salidas desde Casas de Acogida en Chile durante el Periodo 2014-2019</v>
      </c>
      <c r="P287" s="112" t="s">
        <v>6904</v>
      </c>
      <c r="Q287" s="11" t="s">
        <v>784</v>
      </c>
      <c r="R287" s="20" t="str">
        <f>Agencia[[#This Row],[territorio]]&amp;",casas,acogida,violencia,género,mujeres,salidas,establecimientos,"&amp;Agencia[[#This Row],[coleccion]]&amp;","&amp;Agencia[[#This Row],[sector]]&amp;","&amp;Agencia[[#This Row],[tema]]&amp;","&amp;Agencia[[#This Row],[contenido]]</f>
        <v>Chile,casas,acogida,violencia,género,mujeres,salidas,establecimientos,Agencia Información,Mujeres,Establecimientos de Apoyo,Violencia Contra la Mujer</v>
      </c>
      <c r="S287" s="123" t="s">
        <v>841</v>
      </c>
      <c r="T287" s="108">
        <v>0</v>
      </c>
      <c r="U287" s="46" t="str">
        <f t="shared" si="114"/>
        <v>#1774B9</v>
      </c>
      <c r="V287" s="93" t="str">
        <f>+Agencia[[#This Row],[idcoleccion]]&amp;"-"&amp;Agencia[[#This Row],[id]]</f>
        <v>990-0276</v>
      </c>
      <c r="W287" s="93">
        <f>+VLOOKUP(Agencia[[#This Row],[Filtro URL]],Estructura!$X$4:$Y$500,2,0)</f>
        <v>99100000</v>
      </c>
      <c r="X287" s="93" t="str">
        <f>+VLOOKUP(Agencia[[#This Row],[tema]],Estructura!$A$4:$C$500,3,0)</f>
        <v>T-1028</v>
      </c>
      <c r="Y287" s="93" t="str">
        <f>+VLOOKUP(Agencia[[#This Row],[contenido]],Estructura!$E$4:$G$500,3,0)</f>
        <v>C-996</v>
      </c>
      <c r="Z287" s="93" t="str">
        <f>+VLOOKUP(Agencia[[#This Row],[Filtro Integrado]],Estructura!$I$4:$K$500,3,0)</f>
        <v>FI-993</v>
      </c>
      <c r="AA287" s="93" t="str">
        <f>+VLOOKUP(Agencia[[#This Row],[Muestra]],Estructura!$M$4:$O$500,3,0)</f>
        <v>M-998</v>
      </c>
    </row>
    <row r="288" spans="1:27" ht="51" x14ac:dyDescent="0.3">
      <c r="A288" s="21" t="s">
        <v>707</v>
      </c>
      <c r="B288" s="23">
        <f t="shared" si="115"/>
        <v>990</v>
      </c>
      <c r="C288" s="24" t="str">
        <f t="shared" si="116"/>
        <v>Agencia Información</v>
      </c>
      <c r="D288" s="72" t="s">
        <v>459</v>
      </c>
      <c r="E288" s="14">
        <v>0</v>
      </c>
      <c r="F288" s="10" t="s">
        <v>829</v>
      </c>
      <c r="G288" s="10" t="s">
        <v>1877</v>
      </c>
      <c r="H288" s="31" t="s">
        <v>20</v>
      </c>
      <c r="I288" s="32" t="s">
        <v>15</v>
      </c>
      <c r="J288" s="9" t="s">
        <v>403</v>
      </c>
      <c r="K288" s="9" t="s">
        <v>844</v>
      </c>
      <c r="L288" s="9" t="s">
        <v>835</v>
      </c>
      <c r="M288" s="9" t="s">
        <v>839</v>
      </c>
      <c r="N288" s="9" t="s">
        <v>832</v>
      </c>
      <c r="O288" s="20" t="str">
        <f>"Proporción por tipo de Salida desde Casas de Acogida en "&amp;Agencia[[#This Row],[territorio]]&amp;" para el "&amp;Agencia[[#This Row],[temporalidad]]</f>
        <v>Proporción por tipo de Salida desde Casas de Acogida en Chile para el Periodo 2014-2019</v>
      </c>
      <c r="P288" s="112" t="s">
        <v>842</v>
      </c>
      <c r="Q288" s="11" t="str">
        <f t="shared" si="117"/>
        <v>Gráfico de Evolución</v>
      </c>
      <c r="R288" s="20" t="str">
        <f>Agencia[[#This Row],[territorio]]&amp;"casas,acogida,violencia,género,mujeres,salidas,egresos,establecimiento,tipo,derivación,deserción,interrupción,"&amp;Agencia[[#This Row],[coleccion]]&amp;","&amp;Agencia[[#This Row],[sector]]&amp;","&amp;Agencia[[#This Row],[tema]]&amp;","&amp;Agencia[[#This Row],[contenido]]</f>
        <v>Chilecasas,acogida,violencia,género,mujeres,salidas,egresos,establecimiento,tipo,derivación,deserción,interrupción,Agencia Información,Mujeres,Establecimientos de Apoyo,Violencia Contra la Mujer</v>
      </c>
      <c r="S288" s="39" t="s">
        <v>843</v>
      </c>
      <c r="T288" s="108">
        <v>0</v>
      </c>
      <c r="U288" s="46" t="str">
        <f t="shared" si="114"/>
        <v>#1774B9</v>
      </c>
      <c r="V288" s="93" t="str">
        <f>+Agencia[[#This Row],[idcoleccion]]&amp;"-"&amp;Agencia[[#This Row],[id]]</f>
        <v>990-0277</v>
      </c>
      <c r="W288" s="93">
        <f>+VLOOKUP(Agencia[[#This Row],[Filtro URL]],Estructura!$X$4:$Y$500,2,0)</f>
        <v>99100000</v>
      </c>
      <c r="X288" s="93" t="str">
        <f>+VLOOKUP(Agencia[[#This Row],[tema]],Estructura!$A$4:$C$500,3,0)</f>
        <v>T-1028</v>
      </c>
      <c r="Y288" s="93" t="str">
        <f>+VLOOKUP(Agencia[[#This Row],[contenido]],Estructura!$E$4:$G$500,3,0)</f>
        <v>C-996</v>
      </c>
      <c r="Z288" s="93" t="str">
        <f>+VLOOKUP(Agencia[[#This Row],[Filtro Integrado]],Estructura!$I$4:$K$500,3,0)</f>
        <v>FI-993</v>
      </c>
      <c r="AA288" s="93" t="str">
        <f>+VLOOKUP(Agencia[[#This Row],[Muestra]],Estructura!$M$4:$O$500,3,0)</f>
        <v>M-999</v>
      </c>
    </row>
    <row r="289" spans="1:27" ht="40.799999999999997" x14ac:dyDescent="0.3">
      <c r="A289" s="21" t="s">
        <v>708</v>
      </c>
      <c r="B289" s="23">
        <f t="shared" si="115"/>
        <v>990</v>
      </c>
      <c r="C289" s="24" t="str">
        <f t="shared" si="116"/>
        <v>Agencia Información</v>
      </c>
      <c r="D289" s="72" t="s">
        <v>571</v>
      </c>
      <c r="E289" s="14">
        <v>0</v>
      </c>
      <c r="F289" s="10" t="s">
        <v>572</v>
      </c>
      <c r="G289" s="10" t="s">
        <v>1878</v>
      </c>
      <c r="H289" s="31" t="s">
        <v>20</v>
      </c>
      <c r="I289" s="32" t="s">
        <v>15</v>
      </c>
      <c r="J289" s="9" t="s">
        <v>16</v>
      </c>
      <c r="K289" s="9" t="s">
        <v>9270</v>
      </c>
      <c r="L289" s="9" t="s">
        <v>573</v>
      </c>
      <c r="M289" s="9" t="s">
        <v>864</v>
      </c>
      <c r="N289" s="9" t="s">
        <v>575</v>
      </c>
      <c r="O289" s="20" t="str">
        <f>"Evolución de las Exportaciones (USD) de frutas desde "&amp;Agencia[[#This Row],[territorio]]&amp;" para el "&amp;Agencia[[#This Row],[temporalidad]]</f>
        <v>Evolución de las Exportaciones (USD) de frutas desde Chile para el Periodo 2012-2020</v>
      </c>
      <c r="P289" s="112" t="s">
        <v>6600</v>
      </c>
      <c r="Q289" s="11" t="s">
        <v>784</v>
      </c>
      <c r="R289" s="41" t="str">
        <f>Agencia[[#This Row],[territorio]]&amp;",valor,exportación,dólar,USD,frutas,frutícola,región,origen,exportado,"&amp;Agencia[[#This Row],[coleccion]]&amp;","&amp;Agencia[[#This Row],[sector]]&amp;","&amp;Agencia[[#This Row],[tema]]&amp;","&amp;Agencia[[#This Row],[contenido]]</f>
        <v>Chile,valor,exportación,dólar,USD,frutas,frutícola,región,origen,exportado,Agencia Información,Agropecuario y Forestal,Exportaciones,Agricultura</v>
      </c>
      <c r="S289" s="37" t="s">
        <v>1398</v>
      </c>
      <c r="T289" s="108" t="s">
        <v>805</v>
      </c>
      <c r="U289" s="46" t="str">
        <f>+U288</f>
        <v>#1774B9</v>
      </c>
      <c r="V289" s="93" t="str">
        <f>+Agencia[[#This Row],[idcoleccion]]&amp;"-"&amp;Agencia[[#This Row],[id]]</f>
        <v>990-0278</v>
      </c>
      <c r="W289" s="93">
        <f>+VLOOKUP(Agencia[[#This Row],[Filtro URL]],Estructura!$X$4:$Y$500,2,0)</f>
        <v>99100000</v>
      </c>
      <c r="X289" s="93" t="str">
        <f>+VLOOKUP(Agencia[[#This Row],[tema]],Estructura!$A$4:$C$500,3,0)</f>
        <v>T-1020</v>
      </c>
      <c r="Y289" s="93" t="str">
        <f>+VLOOKUP(Agencia[[#This Row],[contenido]],Estructura!$E$4:$G$500,3,0)</f>
        <v>C-997</v>
      </c>
      <c r="Z289" s="93" t="str">
        <f>+VLOOKUP(Agencia[[#This Row],[Filtro Integrado]],Estructura!$I$4:$K$500,3,0)</f>
        <v>FI-992</v>
      </c>
      <c r="AA289" s="93" t="str">
        <f>+VLOOKUP(Agencia[[#This Row],[Muestra]],Estructura!$M$4:$O$500,3,0)</f>
        <v>M-1048</v>
      </c>
    </row>
    <row r="290" spans="1:27" ht="57.6" x14ac:dyDescent="0.3">
      <c r="A290" s="21" t="s">
        <v>709</v>
      </c>
      <c r="B290" s="23">
        <f t="shared" si="115"/>
        <v>990</v>
      </c>
      <c r="C290" s="24" t="str">
        <f t="shared" si="116"/>
        <v>Agencia Información</v>
      </c>
      <c r="D290" s="72" t="str">
        <f t="shared" ref="D290:D305" si="119">+D289</f>
        <v>Agropecuario y Forestal</v>
      </c>
      <c r="E290" s="19">
        <v>1</v>
      </c>
      <c r="F290" s="10" t="s">
        <v>572</v>
      </c>
      <c r="G290" s="10" t="s">
        <v>1878</v>
      </c>
      <c r="H290" s="33" t="s">
        <v>16</v>
      </c>
      <c r="I290" s="34" t="s">
        <v>368</v>
      </c>
      <c r="J290" s="9" t="s">
        <v>403</v>
      </c>
      <c r="K290" s="9" t="str">
        <f t="shared" ref="J290:N298" si="120">+K289</f>
        <v>Valor de exportaciones</v>
      </c>
      <c r="L290" s="9" t="str">
        <f t="shared" si="120"/>
        <v>Periodo 2012-2020</v>
      </c>
      <c r="M290" s="9" t="str">
        <f t="shared" si="120"/>
        <v>USD</v>
      </c>
      <c r="N290" s="9" t="str">
        <f t="shared" si="120"/>
        <v>Servicio Nacional de Aduanas</v>
      </c>
      <c r="O290" s="20" t="str">
        <f>"Evolución de las Exportaciones (USD) de frutas desde la "&amp;Agencia[[#This Row],[territorio]]&amp;" para el "&amp;Agencia[[#This Row],[temporalidad]]</f>
        <v>Evolución de las Exportaciones (USD) de frutas desde la Región de Tarapacá para el Periodo 2012-2020</v>
      </c>
      <c r="P290" s="76" t="s">
        <v>6614</v>
      </c>
      <c r="Q290" s="11" t="str">
        <f t="shared" si="117"/>
        <v>Gráfico de Evolución</v>
      </c>
      <c r="R290" s="154" t="str">
        <f>Agencia[[#This Row],[territorio]]&amp;",valor,exportación,dólar,USD,frutas,frutícola,región,origen,exportado,"&amp;Agencia[[#This Row],[coleccion]]&amp;","&amp;Agencia[[#This Row],[sector]]&amp;","&amp;Agencia[[#This Row],[tema]]&amp;","&amp;Agencia[[#This Row],[contenido]]</f>
        <v>Región de Tarapacá,valor,exportación,dólar,USD,frutas,frutícola,región,origen,exportado,Agencia Información,Agropecuario y Forestal,Exportaciones,Agricultura</v>
      </c>
      <c r="S290" s="37" t="str">
        <f>HYPERLINK("https://analytics.zoho.com/open-view/2395394000007782936?ZOHO_CRITERIA=%22Trasposicion_4.2%22.%22C%C3%B3digo_Regi%C3%B3n%22%20%3D%20"&amp;Agencia[[#This Row],[Filtro URL]])</f>
        <v>https://analytics.zoho.com/open-view/2395394000007782936?ZOHO_CRITERIA=%22Trasposicion_4.2%22.%22C%C3%B3digo_Regi%C3%B3n%22%20%3D%201</v>
      </c>
      <c r="T290" s="108" t="str">
        <f>"100-R-"&amp;Agencia[[#This Row],[Filtro URL]]</f>
        <v>100-R-1</v>
      </c>
      <c r="U290" s="46" t="str">
        <f t="shared" ref="U290:U319" si="121">+U289</f>
        <v>#1774B9</v>
      </c>
      <c r="V290" s="93" t="str">
        <f>+Agencia[[#This Row],[idcoleccion]]&amp;"-"&amp;Agencia[[#This Row],[id]]</f>
        <v>990-0279</v>
      </c>
      <c r="W290" s="93">
        <f>+VLOOKUP(Agencia[[#This Row],[Filtro URL]],Estructura!$X$4:$Y$500,2,0)</f>
        <v>99200001</v>
      </c>
      <c r="X290" s="93" t="str">
        <f>+VLOOKUP(Agencia[[#This Row],[tema]],Estructura!$A$4:$C$500,3,0)</f>
        <v>T-1020</v>
      </c>
      <c r="Y290" s="93" t="str">
        <f>+VLOOKUP(Agencia[[#This Row],[contenido]],Estructura!$E$4:$G$500,3,0)</f>
        <v>C-997</v>
      </c>
      <c r="Z290" s="93" t="str">
        <f>+VLOOKUP(Agencia[[#This Row],[Filtro Integrado]],Estructura!$I$4:$K$500,3,0)</f>
        <v>FI-993</v>
      </c>
      <c r="AA290" s="93" t="str">
        <f>+VLOOKUP(Agencia[[#This Row],[Muestra]],Estructura!$M$4:$O$500,3,0)</f>
        <v>M-1048</v>
      </c>
    </row>
    <row r="291" spans="1:27" ht="57.6" x14ac:dyDescent="0.3">
      <c r="A291" s="21" t="s">
        <v>710</v>
      </c>
      <c r="B291" s="23">
        <f t="shared" si="115"/>
        <v>990</v>
      </c>
      <c r="C291" s="24" t="str">
        <f t="shared" si="116"/>
        <v>Agencia Información</v>
      </c>
      <c r="D291" s="72" t="str">
        <f t="shared" si="119"/>
        <v>Agropecuario y Forestal</v>
      </c>
      <c r="E291" s="19">
        <v>2</v>
      </c>
      <c r="F291" s="10" t="s">
        <v>572</v>
      </c>
      <c r="G291" s="10" t="s">
        <v>1878</v>
      </c>
      <c r="H291" s="33" t="s">
        <v>16</v>
      </c>
      <c r="I291" s="34" t="s">
        <v>369</v>
      </c>
      <c r="J291" s="9" t="str">
        <f t="shared" si="120"/>
        <v>Ninguno</v>
      </c>
      <c r="K291" s="9" t="str">
        <f t="shared" si="120"/>
        <v>Valor de exportaciones</v>
      </c>
      <c r="L291" s="9" t="str">
        <f t="shared" si="120"/>
        <v>Periodo 2012-2020</v>
      </c>
      <c r="M291" s="9" t="str">
        <f t="shared" si="120"/>
        <v>USD</v>
      </c>
      <c r="N291" s="9" t="str">
        <f t="shared" si="120"/>
        <v>Servicio Nacional de Aduanas</v>
      </c>
      <c r="O291" s="20" t="str">
        <f>"Evolución de las Exportaciones (USD) de frutas desde la "&amp;Agencia[[#This Row],[territorio]]&amp;" para el "&amp;Agencia[[#This Row],[temporalidad]]</f>
        <v>Evolución de las Exportaciones (USD) de frutas desde la Región de Antofagasta para el Periodo 2012-2020</v>
      </c>
      <c r="P291" s="76" t="s">
        <v>6615</v>
      </c>
      <c r="Q291" s="11" t="str">
        <f t="shared" si="117"/>
        <v>Gráfico de Evolución</v>
      </c>
      <c r="R291" s="154" t="str">
        <f>Agencia[[#This Row],[territorio]]&amp;",valor,exportación,dólar,USD,frutas,frutícola,región,origen,exportado,"&amp;Agencia[[#This Row],[coleccion]]&amp;","&amp;Agencia[[#This Row],[sector]]&amp;","&amp;Agencia[[#This Row],[tema]]&amp;","&amp;Agencia[[#This Row],[contenido]]</f>
        <v>Región de Antofagasta,valor,exportación,dólar,USD,frutas,frutícola,región,origen,exportado,Agencia Información,Agropecuario y Forestal,Exportaciones,Agricultura</v>
      </c>
      <c r="S291" s="37" t="str">
        <f>HYPERLINK("https://analytics.zoho.com/open-view/2395394000007782936?ZOHO_CRITERIA=%22Trasposicion_4.2%22.%22C%C3%B3digo_Regi%C3%B3n%22%20%3D%20"&amp;Agencia[[#This Row],[Filtro URL]])</f>
        <v>https://analytics.zoho.com/open-view/2395394000007782936?ZOHO_CRITERIA=%22Trasposicion_4.2%22.%22C%C3%B3digo_Regi%C3%B3n%22%20%3D%202</v>
      </c>
      <c r="T291" s="108" t="str">
        <f>"100-R-"&amp;Agencia[[#This Row],[Filtro URL]]</f>
        <v>100-R-2</v>
      </c>
      <c r="U291" s="46" t="str">
        <f t="shared" si="121"/>
        <v>#1774B9</v>
      </c>
      <c r="V291" s="93" t="str">
        <f>+Agencia[[#This Row],[idcoleccion]]&amp;"-"&amp;Agencia[[#This Row],[id]]</f>
        <v>990-0280</v>
      </c>
      <c r="W291" s="93">
        <f>+VLOOKUP(Agencia[[#This Row],[Filtro URL]],Estructura!$X$4:$Y$500,2,0)</f>
        <v>99200002</v>
      </c>
      <c r="X291" s="93" t="str">
        <f>+VLOOKUP(Agencia[[#This Row],[tema]],Estructura!$A$4:$C$500,3,0)</f>
        <v>T-1020</v>
      </c>
      <c r="Y291" s="93" t="str">
        <f>+VLOOKUP(Agencia[[#This Row],[contenido]],Estructura!$E$4:$G$500,3,0)</f>
        <v>C-997</v>
      </c>
      <c r="Z291" s="93" t="str">
        <f>+VLOOKUP(Agencia[[#This Row],[Filtro Integrado]],Estructura!$I$4:$K$500,3,0)</f>
        <v>FI-993</v>
      </c>
      <c r="AA291" s="93" t="str">
        <f>+VLOOKUP(Agencia[[#This Row],[Muestra]],Estructura!$M$4:$O$500,3,0)</f>
        <v>M-1048</v>
      </c>
    </row>
    <row r="292" spans="1:27" ht="57.6" x14ac:dyDescent="0.3">
      <c r="A292" s="21" t="s">
        <v>711</v>
      </c>
      <c r="B292" s="23">
        <f t="shared" si="115"/>
        <v>990</v>
      </c>
      <c r="C292" s="24" t="str">
        <f t="shared" si="116"/>
        <v>Agencia Información</v>
      </c>
      <c r="D292" s="72" t="str">
        <f t="shared" si="119"/>
        <v>Agropecuario y Forestal</v>
      </c>
      <c r="E292" s="19">
        <v>3</v>
      </c>
      <c r="F292" s="10" t="s">
        <v>572</v>
      </c>
      <c r="G292" s="10" t="s">
        <v>1878</v>
      </c>
      <c r="H292" s="33" t="s">
        <v>16</v>
      </c>
      <c r="I292" s="34" t="s">
        <v>370</v>
      </c>
      <c r="J292" s="9" t="str">
        <f t="shared" si="120"/>
        <v>Ninguno</v>
      </c>
      <c r="K292" s="9" t="str">
        <f t="shared" si="120"/>
        <v>Valor de exportaciones</v>
      </c>
      <c r="L292" s="9" t="str">
        <f t="shared" si="120"/>
        <v>Periodo 2012-2020</v>
      </c>
      <c r="M292" s="9" t="str">
        <f t="shared" si="120"/>
        <v>USD</v>
      </c>
      <c r="N292" s="9" t="str">
        <f t="shared" si="120"/>
        <v>Servicio Nacional de Aduanas</v>
      </c>
      <c r="O292" s="20" t="str">
        <f>"Evolución de las Exportaciones (USD) de frutas desde la "&amp;Agencia[[#This Row],[territorio]]&amp;" para el "&amp;Agencia[[#This Row],[temporalidad]]</f>
        <v>Evolución de las Exportaciones (USD) de frutas desde la Región de Atacama para el Periodo 2012-2020</v>
      </c>
      <c r="P292" s="112" t="s">
        <v>6587</v>
      </c>
      <c r="Q292" s="11" t="str">
        <f t="shared" si="117"/>
        <v>Gráfico de Evolución</v>
      </c>
      <c r="R292" s="154" t="str">
        <f>Agencia[[#This Row],[territorio]]&amp;",valor,exportación,dólar,USD,frutas,frutícola,región,origen,exportado,"&amp;Agencia[[#This Row],[coleccion]]&amp;","&amp;Agencia[[#This Row],[sector]]&amp;","&amp;Agencia[[#This Row],[tema]]&amp;","&amp;Agencia[[#This Row],[contenido]]</f>
        <v>Región de Atacama,valor,exportación,dólar,USD,frutas,frutícola,región,origen,exportado,Agencia Información,Agropecuario y Forestal,Exportaciones,Agricultura</v>
      </c>
      <c r="S292" s="37" t="str">
        <f>HYPERLINK("https://analytics.zoho.com/open-view/2395394000007782936?ZOHO_CRITERIA=%22Trasposicion_4.2%22.%22C%C3%B3digo_Regi%C3%B3n%22%20%3D%20"&amp;Agencia[[#This Row],[Filtro URL]])</f>
        <v>https://analytics.zoho.com/open-view/2395394000007782936?ZOHO_CRITERIA=%22Trasposicion_4.2%22.%22C%C3%B3digo_Regi%C3%B3n%22%20%3D%203</v>
      </c>
      <c r="T292" s="108" t="str">
        <f>"100-R-"&amp;Agencia[[#This Row],[Filtro URL]]</f>
        <v>100-R-3</v>
      </c>
      <c r="U292" s="46" t="str">
        <f t="shared" si="121"/>
        <v>#1774B9</v>
      </c>
      <c r="V292" s="93" t="str">
        <f>+Agencia[[#This Row],[idcoleccion]]&amp;"-"&amp;Agencia[[#This Row],[id]]</f>
        <v>990-0281</v>
      </c>
      <c r="W292" s="93">
        <f>+VLOOKUP(Agencia[[#This Row],[Filtro URL]],Estructura!$X$4:$Y$500,2,0)</f>
        <v>99200003</v>
      </c>
      <c r="X292" s="93" t="str">
        <f>+VLOOKUP(Agencia[[#This Row],[tema]],Estructura!$A$4:$C$500,3,0)</f>
        <v>T-1020</v>
      </c>
      <c r="Y292" s="93" t="str">
        <f>+VLOOKUP(Agencia[[#This Row],[contenido]],Estructura!$E$4:$G$500,3,0)</f>
        <v>C-997</v>
      </c>
      <c r="Z292" s="93" t="str">
        <f>+VLOOKUP(Agencia[[#This Row],[Filtro Integrado]],Estructura!$I$4:$K$500,3,0)</f>
        <v>FI-993</v>
      </c>
      <c r="AA292" s="93" t="str">
        <f>+VLOOKUP(Agencia[[#This Row],[Muestra]],Estructura!$M$4:$O$500,3,0)</f>
        <v>M-1048</v>
      </c>
    </row>
    <row r="293" spans="1:27" ht="57.6" x14ac:dyDescent="0.3">
      <c r="A293" s="21" t="s">
        <v>712</v>
      </c>
      <c r="B293" s="23">
        <f t="shared" si="115"/>
        <v>990</v>
      </c>
      <c r="C293" s="24" t="str">
        <f t="shared" si="116"/>
        <v>Agencia Información</v>
      </c>
      <c r="D293" s="72" t="str">
        <f t="shared" si="119"/>
        <v>Agropecuario y Forestal</v>
      </c>
      <c r="E293" s="19">
        <v>4</v>
      </c>
      <c r="F293" s="10" t="s">
        <v>572</v>
      </c>
      <c r="G293" s="10" t="s">
        <v>1878</v>
      </c>
      <c r="H293" s="33" t="s">
        <v>16</v>
      </c>
      <c r="I293" s="34" t="s">
        <v>371</v>
      </c>
      <c r="J293" s="9" t="str">
        <f t="shared" si="120"/>
        <v>Ninguno</v>
      </c>
      <c r="K293" s="9" t="str">
        <f t="shared" si="120"/>
        <v>Valor de exportaciones</v>
      </c>
      <c r="L293" s="9" t="str">
        <f t="shared" si="120"/>
        <v>Periodo 2012-2020</v>
      </c>
      <c r="M293" s="9" t="str">
        <f t="shared" si="120"/>
        <v>USD</v>
      </c>
      <c r="N293" s="9" t="str">
        <f t="shared" si="120"/>
        <v>Servicio Nacional de Aduanas</v>
      </c>
      <c r="O293" s="20" t="str">
        <f>"Evolución de las Exportaciones (USD) de frutas desde la "&amp;Agencia[[#This Row],[territorio]]&amp;" para el "&amp;Agencia[[#This Row],[temporalidad]]</f>
        <v>Evolución de las Exportaciones (USD) de frutas desde la Región de Coquimbo para el Periodo 2012-2020</v>
      </c>
      <c r="P293" s="112" t="s">
        <v>6588</v>
      </c>
      <c r="Q293" s="11" t="str">
        <f t="shared" si="117"/>
        <v>Gráfico de Evolución</v>
      </c>
      <c r="R293" s="154" t="str">
        <f>Agencia[[#This Row],[territorio]]&amp;",valor,exportación,dólar,USD,frutas,frutícola,región,origen,exportado,"&amp;Agencia[[#This Row],[coleccion]]&amp;","&amp;Agencia[[#This Row],[sector]]&amp;","&amp;Agencia[[#This Row],[tema]]&amp;","&amp;Agencia[[#This Row],[contenido]]</f>
        <v>Región de Coquimbo,valor,exportación,dólar,USD,frutas,frutícola,región,origen,exportado,Agencia Información,Agropecuario y Forestal,Exportaciones,Agricultura</v>
      </c>
      <c r="S293" s="37" t="str">
        <f>HYPERLINK("https://analytics.zoho.com/open-view/2395394000007782936?ZOHO_CRITERIA=%22Trasposicion_4.2%22.%22C%C3%B3digo_Regi%C3%B3n%22%20%3D%20"&amp;Agencia[[#This Row],[Filtro URL]])</f>
        <v>https://analytics.zoho.com/open-view/2395394000007782936?ZOHO_CRITERIA=%22Trasposicion_4.2%22.%22C%C3%B3digo_Regi%C3%B3n%22%20%3D%204</v>
      </c>
      <c r="T293" s="108" t="str">
        <f>"100-R-"&amp;Agencia[[#This Row],[Filtro URL]]</f>
        <v>100-R-4</v>
      </c>
      <c r="U293" s="46" t="str">
        <f t="shared" si="121"/>
        <v>#1774B9</v>
      </c>
      <c r="V293" s="93" t="str">
        <f>+Agencia[[#This Row],[idcoleccion]]&amp;"-"&amp;Agencia[[#This Row],[id]]</f>
        <v>990-0282</v>
      </c>
      <c r="W293" s="93">
        <f>+VLOOKUP(Agencia[[#This Row],[Filtro URL]],Estructura!$X$4:$Y$500,2,0)</f>
        <v>99200004</v>
      </c>
      <c r="X293" s="93" t="str">
        <f>+VLOOKUP(Agencia[[#This Row],[tema]],Estructura!$A$4:$C$500,3,0)</f>
        <v>T-1020</v>
      </c>
      <c r="Y293" s="93" t="str">
        <f>+VLOOKUP(Agencia[[#This Row],[contenido]],Estructura!$E$4:$G$500,3,0)</f>
        <v>C-997</v>
      </c>
      <c r="Z293" s="93" t="str">
        <f>+VLOOKUP(Agencia[[#This Row],[Filtro Integrado]],Estructura!$I$4:$K$500,3,0)</f>
        <v>FI-993</v>
      </c>
      <c r="AA293" s="93" t="str">
        <f>+VLOOKUP(Agencia[[#This Row],[Muestra]],Estructura!$M$4:$O$500,3,0)</f>
        <v>M-1048</v>
      </c>
    </row>
    <row r="294" spans="1:27" ht="57.6" x14ac:dyDescent="0.3">
      <c r="A294" s="21" t="s">
        <v>7097</v>
      </c>
      <c r="B294" s="23">
        <f t="shared" si="115"/>
        <v>990</v>
      </c>
      <c r="C294" s="24" t="str">
        <f t="shared" si="116"/>
        <v>Agencia Información</v>
      </c>
      <c r="D294" s="72" t="str">
        <f t="shared" si="119"/>
        <v>Agropecuario y Forestal</v>
      </c>
      <c r="E294" s="19">
        <v>5</v>
      </c>
      <c r="F294" s="10" t="s">
        <v>572</v>
      </c>
      <c r="G294" s="10" t="s">
        <v>1878</v>
      </c>
      <c r="H294" s="33" t="s">
        <v>16</v>
      </c>
      <c r="I294" s="34" t="s">
        <v>372</v>
      </c>
      <c r="J294" s="9" t="str">
        <f t="shared" si="120"/>
        <v>Ninguno</v>
      </c>
      <c r="K294" s="9" t="str">
        <f t="shared" si="120"/>
        <v>Valor de exportaciones</v>
      </c>
      <c r="L294" s="9" t="str">
        <f t="shared" si="120"/>
        <v>Periodo 2012-2020</v>
      </c>
      <c r="M294" s="9" t="str">
        <f t="shared" si="120"/>
        <v>USD</v>
      </c>
      <c r="N294" s="9" t="str">
        <f t="shared" si="120"/>
        <v>Servicio Nacional de Aduanas</v>
      </c>
      <c r="O294" s="20" t="str">
        <f>"Evolución de las Exportaciones (USD) de frutas desde la "&amp;Agencia[[#This Row],[territorio]]&amp;" para el "&amp;Agencia[[#This Row],[temporalidad]]</f>
        <v>Evolución de las Exportaciones (USD) de frutas desde la Región de Valparaíso para el Periodo 2012-2020</v>
      </c>
      <c r="P294" s="112" t="s">
        <v>6589</v>
      </c>
      <c r="Q294" s="11" t="str">
        <f t="shared" si="117"/>
        <v>Gráfico de Evolución</v>
      </c>
      <c r="R294" s="154" t="str">
        <f>Agencia[[#This Row],[territorio]]&amp;",valor,exportación,dólar,USD,frutas,frutícola,región,origen,exportado,"&amp;Agencia[[#This Row],[coleccion]]&amp;","&amp;Agencia[[#This Row],[sector]]&amp;","&amp;Agencia[[#This Row],[tema]]&amp;","&amp;Agencia[[#This Row],[contenido]]</f>
        <v>Región de Valparaíso,valor,exportación,dólar,USD,frutas,frutícola,región,origen,exportado,Agencia Información,Agropecuario y Forestal,Exportaciones,Agricultura</v>
      </c>
      <c r="S294" s="37" t="str">
        <f>HYPERLINK("https://analytics.zoho.com/open-view/2395394000007782936?ZOHO_CRITERIA=%22Trasposicion_4.2%22.%22C%C3%B3digo_Regi%C3%B3n%22%20%3D%20"&amp;Agencia[[#This Row],[Filtro URL]])</f>
        <v>https://analytics.zoho.com/open-view/2395394000007782936?ZOHO_CRITERIA=%22Trasposicion_4.2%22.%22C%C3%B3digo_Regi%C3%B3n%22%20%3D%205</v>
      </c>
      <c r="T294" s="108" t="str">
        <f>"100-R-"&amp;Agencia[[#This Row],[Filtro URL]]</f>
        <v>100-R-5</v>
      </c>
      <c r="U294" s="46" t="str">
        <f t="shared" si="121"/>
        <v>#1774B9</v>
      </c>
      <c r="V294" s="93" t="str">
        <f>+Agencia[[#This Row],[idcoleccion]]&amp;"-"&amp;Agencia[[#This Row],[id]]</f>
        <v>990-0283</v>
      </c>
      <c r="W294" s="93">
        <f>+VLOOKUP(Agencia[[#This Row],[Filtro URL]],Estructura!$X$4:$Y$500,2,0)</f>
        <v>99200005</v>
      </c>
      <c r="X294" s="93" t="str">
        <f>+VLOOKUP(Agencia[[#This Row],[tema]],Estructura!$A$4:$C$500,3,0)</f>
        <v>T-1020</v>
      </c>
      <c r="Y294" s="93" t="str">
        <f>+VLOOKUP(Agencia[[#This Row],[contenido]],Estructura!$E$4:$G$500,3,0)</f>
        <v>C-997</v>
      </c>
      <c r="Z294" s="93" t="str">
        <f>+VLOOKUP(Agencia[[#This Row],[Filtro Integrado]],Estructura!$I$4:$K$500,3,0)</f>
        <v>FI-993</v>
      </c>
      <c r="AA294" s="93" t="str">
        <f>+VLOOKUP(Agencia[[#This Row],[Muestra]],Estructura!$M$4:$O$500,3,0)</f>
        <v>M-1048</v>
      </c>
    </row>
    <row r="295" spans="1:27" ht="57.6" x14ac:dyDescent="0.3">
      <c r="A295" s="21" t="s">
        <v>7098</v>
      </c>
      <c r="B295" s="23">
        <f t="shared" si="115"/>
        <v>990</v>
      </c>
      <c r="C295" s="24" t="str">
        <f t="shared" si="116"/>
        <v>Agencia Información</v>
      </c>
      <c r="D295" s="72" t="str">
        <f t="shared" si="119"/>
        <v>Agropecuario y Forestal</v>
      </c>
      <c r="E295" s="19">
        <v>6</v>
      </c>
      <c r="F295" s="10" t="s">
        <v>572</v>
      </c>
      <c r="G295" s="10" t="s">
        <v>1878</v>
      </c>
      <c r="H295" s="33" t="s">
        <v>16</v>
      </c>
      <c r="I295" s="34" t="s">
        <v>373</v>
      </c>
      <c r="J295" s="9" t="str">
        <f t="shared" si="120"/>
        <v>Ninguno</v>
      </c>
      <c r="K295" s="9" t="str">
        <f t="shared" si="120"/>
        <v>Valor de exportaciones</v>
      </c>
      <c r="L295" s="9" t="str">
        <f t="shared" si="120"/>
        <v>Periodo 2012-2020</v>
      </c>
      <c r="M295" s="9" t="str">
        <f t="shared" si="120"/>
        <v>USD</v>
      </c>
      <c r="N295" s="9" t="str">
        <f t="shared" si="120"/>
        <v>Servicio Nacional de Aduanas</v>
      </c>
      <c r="O295" s="20" t="str">
        <f>"Evolución de las Exportaciones (USD) de frutas desde la "&amp;Agencia[[#This Row],[territorio]]&amp;" para el "&amp;Agencia[[#This Row],[temporalidad]]</f>
        <v>Evolución de las Exportaciones (USD) de frutas desde la Región de O'Higgins para el Periodo 2012-2020</v>
      </c>
      <c r="P295" s="112" t="s">
        <v>6590</v>
      </c>
      <c r="Q295" s="11" t="str">
        <f t="shared" si="117"/>
        <v>Gráfico de Evolución</v>
      </c>
      <c r="R295" s="154" t="str">
        <f>Agencia[[#This Row],[territorio]]&amp;",valor,exportación,dólar,USD,frutas,frutícola,región,origen,exportado,"&amp;Agencia[[#This Row],[coleccion]]&amp;","&amp;Agencia[[#This Row],[sector]]&amp;","&amp;Agencia[[#This Row],[tema]]&amp;","&amp;Agencia[[#This Row],[contenido]]</f>
        <v>Región de O'Higgins,valor,exportación,dólar,USD,frutas,frutícola,región,origen,exportado,Agencia Información,Agropecuario y Forestal,Exportaciones,Agricultura</v>
      </c>
      <c r="S295" s="37" t="str">
        <f>HYPERLINK("https://analytics.zoho.com/open-view/2395394000007782936?ZOHO_CRITERIA=%22Trasposicion_4.2%22.%22C%C3%B3digo_Regi%C3%B3n%22%20%3D%20"&amp;Agencia[[#This Row],[Filtro URL]])</f>
        <v>https://analytics.zoho.com/open-view/2395394000007782936?ZOHO_CRITERIA=%22Trasposicion_4.2%22.%22C%C3%B3digo_Regi%C3%B3n%22%20%3D%206</v>
      </c>
      <c r="T295" s="108" t="str">
        <f>"100-R-"&amp;Agencia[[#This Row],[Filtro URL]]</f>
        <v>100-R-6</v>
      </c>
      <c r="U295" s="46" t="str">
        <f t="shared" si="121"/>
        <v>#1774B9</v>
      </c>
      <c r="V295" s="93" t="str">
        <f>+Agencia[[#This Row],[idcoleccion]]&amp;"-"&amp;Agencia[[#This Row],[id]]</f>
        <v>990-0284</v>
      </c>
      <c r="W295" s="93">
        <f>+VLOOKUP(Agencia[[#This Row],[Filtro URL]],Estructura!$X$4:$Y$500,2,0)</f>
        <v>99200006</v>
      </c>
      <c r="X295" s="93" t="str">
        <f>+VLOOKUP(Agencia[[#This Row],[tema]],Estructura!$A$4:$C$500,3,0)</f>
        <v>T-1020</v>
      </c>
      <c r="Y295" s="93" t="str">
        <f>+VLOOKUP(Agencia[[#This Row],[contenido]],Estructura!$E$4:$G$500,3,0)</f>
        <v>C-997</v>
      </c>
      <c r="Z295" s="93" t="str">
        <f>+VLOOKUP(Agencia[[#This Row],[Filtro Integrado]],Estructura!$I$4:$K$500,3,0)</f>
        <v>FI-993</v>
      </c>
      <c r="AA295" s="93" t="str">
        <f>+VLOOKUP(Agencia[[#This Row],[Muestra]],Estructura!$M$4:$O$500,3,0)</f>
        <v>M-1048</v>
      </c>
    </row>
    <row r="296" spans="1:27" ht="57.6" x14ac:dyDescent="0.3">
      <c r="A296" s="21" t="s">
        <v>7099</v>
      </c>
      <c r="B296" s="23">
        <f t="shared" si="115"/>
        <v>990</v>
      </c>
      <c r="C296" s="24" t="str">
        <f t="shared" si="116"/>
        <v>Agencia Información</v>
      </c>
      <c r="D296" s="72" t="str">
        <f t="shared" si="119"/>
        <v>Agropecuario y Forestal</v>
      </c>
      <c r="E296" s="19">
        <v>7</v>
      </c>
      <c r="F296" s="10" t="s">
        <v>572</v>
      </c>
      <c r="G296" s="10" t="s">
        <v>1878</v>
      </c>
      <c r="H296" s="33" t="s">
        <v>16</v>
      </c>
      <c r="I296" s="34" t="s">
        <v>374</v>
      </c>
      <c r="J296" s="9" t="str">
        <f t="shared" si="120"/>
        <v>Ninguno</v>
      </c>
      <c r="K296" s="9" t="str">
        <f t="shared" si="120"/>
        <v>Valor de exportaciones</v>
      </c>
      <c r="L296" s="9" t="str">
        <f t="shared" si="120"/>
        <v>Periodo 2012-2020</v>
      </c>
      <c r="M296" s="9" t="str">
        <f t="shared" si="120"/>
        <v>USD</v>
      </c>
      <c r="N296" s="9" t="str">
        <f t="shared" si="120"/>
        <v>Servicio Nacional de Aduanas</v>
      </c>
      <c r="O296" s="20" t="str">
        <f>"Evolución de las Exportaciones (USD) de frutas desde la "&amp;Agencia[[#This Row],[territorio]]&amp;" para el "&amp;Agencia[[#This Row],[temporalidad]]</f>
        <v>Evolución de las Exportaciones (USD) de frutas desde la Región de Maule para el Periodo 2012-2020</v>
      </c>
      <c r="P296" s="112" t="s">
        <v>6591</v>
      </c>
      <c r="Q296" s="11" t="str">
        <f t="shared" si="117"/>
        <v>Gráfico de Evolución</v>
      </c>
      <c r="R296" s="154" t="str">
        <f>Agencia[[#This Row],[territorio]]&amp;",valor,exportación,dólar,USD,frutas,frutícola,región,origen,exportado,"&amp;Agencia[[#This Row],[coleccion]]&amp;","&amp;Agencia[[#This Row],[sector]]&amp;","&amp;Agencia[[#This Row],[tema]]&amp;","&amp;Agencia[[#This Row],[contenido]]</f>
        <v>Región de Maule,valor,exportación,dólar,USD,frutas,frutícola,región,origen,exportado,Agencia Información,Agropecuario y Forestal,Exportaciones,Agricultura</v>
      </c>
      <c r="S296" s="37" t="str">
        <f>HYPERLINK("https://analytics.zoho.com/open-view/2395394000007782936?ZOHO_CRITERIA=%22Trasposicion_4.2%22.%22C%C3%B3digo_Regi%C3%B3n%22%20%3D%20"&amp;Agencia[[#This Row],[Filtro URL]])</f>
        <v>https://analytics.zoho.com/open-view/2395394000007782936?ZOHO_CRITERIA=%22Trasposicion_4.2%22.%22C%C3%B3digo_Regi%C3%B3n%22%20%3D%207</v>
      </c>
      <c r="T296" s="108" t="str">
        <f>"100-R-"&amp;Agencia[[#This Row],[Filtro URL]]</f>
        <v>100-R-7</v>
      </c>
      <c r="U296" s="46" t="str">
        <f t="shared" si="121"/>
        <v>#1774B9</v>
      </c>
      <c r="V296" s="93" t="str">
        <f>+Agencia[[#This Row],[idcoleccion]]&amp;"-"&amp;Agencia[[#This Row],[id]]</f>
        <v>990-0285</v>
      </c>
      <c r="W296" s="93">
        <f>+VLOOKUP(Agencia[[#This Row],[Filtro URL]],Estructura!$X$4:$Y$500,2,0)</f>
        <v>99200007</v>
      </c>
      <c r="X296" s="93" t="str">
        <f>+VLOOKUP(Agencia[[#This Row],[tema]],Estructura!$A$4:$C$500,3,0)</f>
        <v>T-1020</v>
      </c>
      <c r="Y296" s="93" t="str">
        <f>+VLOOKUP(Agencia[[#This Row],[contenido]],Estructura!$E$4:$G$500,3,0)</f>
        <v>C-997</v>
      </c>
      <c r="Z296" s="93" t="str">
        <f>+VLOOKUP(Agencia[[#This Row],[Filtro Integrado]],Estructura!$I$4:$K$500,3,0)</f>
        <v>FI-993</v>
      </c>
      <c r="AA296" s="93" t="str">
        <f>+VLOOKUP(Agencia[[#This Row],[Muestra]],Estructura!$M$4:$O$500,3,0)</f>
        <v>M-1048</v>
      </c>
    </row>
    <row r="297" spans="1:27" ht="57.6" x14ac:dyDescent="0.3">
      <c r="A297" s="21" t="s">
        <v>7100</v>
      </c>
      <c r="B297" s="23">
        <f t="shared" si="115"/>
        <v>990</v>
      </c>
      <c r="C297" s="24" t="str">
        <f t="shared" si="116"/>
        <v>Agencia Información</v>
      </c>
      <c r="D297" s="72" t="str">
        <f t="shared" si="119"/>
        <v>Agropecuario y Forestal</v>
      </c>
      <c r="E297" s="19">
        <v>8</v>
      </c>
      <c r="F297" s="10" t="s">
        <v>572</v>
      </c>
      <c r="G297" s="10" t="s">
        <v>1878</v>
      </c>
      <c r="H297" s="33" t="s">
        <v>16</v>
      </c>
      <c r="I297" s="34" t="s">
        <v>375</v>
      </c>
      <c r="J297" s="9" t="str">
        <f t="shared" si="120"/>
        <v>Ninguno</v>
      </c>
      <c r="K297" s="9" t="str">
        <f t="shared" si="120"/>
        <v>Valor de exportaciones</v>
      </c>
      <c r="L297" s="9" t="str">
        <f t="shared" si="120"/>
        <v>Periodo 2012-2020</v>
      </c>
      <c r="M297" s="9" t="str">
        <f t="shared" si="120"/>
        <v>USD</v>
      </c>
      <c r="N297" s="9" t="str">
        <f t="shared" si="120"/>
        <v>Servicio Nacional de Aduanas</v>
      </c>
      <c r="O297" s="20" t="str">
        <f>"Evolución de las Exportaciones (USD) de frutas desde la "&amp;Agencia[[#This Row],[territorio]]&amp;" para el "&amp;Agencia[[#This Row],[temporalidad]]</f>
        <v>Evolución de las Exportaciones (USD) de frutas desde la Región del Biobío para el Periodo 2012-2020</v>
      </c>
      <c r="P297" s="112" t="s">
        <v>6592</v>
      </c>
      <c r="Q297" s="11" t="str">
        <f t="shared" si="117"/>
        <v>Gráfico de Evolución</v>
      </c>
      <c r="R297" s="154" t="str">
        <f>Agencia[[#This Row],[territorio]]&amp;",valor,exportación,dólar,USD,frutas,frutícola,región,origen,exportado,"&amp;Agencia[[#This Row],[coleccion]]&amp;","&amp;Agencia[[#This Row],[sector]]&amp;","&amp;Agencia[[#This Row],[tema]]&amp;","&amp;Agencia[[#This Row],[contenido]]</f>
        <v>Región del Biobío,valor,exportación,dólar,USD,frutas,frutícola,región,origen,exportado,Agencia Información,Agropecuario y Forestal,Exportaciones,Agricultura</v>
      </c>
      <c r="S297" s="37" t="str">
        <f>HYPERLINK("https://analytics.zoho.com/open-view/2395394000007782936?ZOHO_CRITERIA=%22Trasposicion_4.2%22.%22C%C3%B3digo_Regi%C3%B3n%22%20%3D%20"&amp;Agencia[[#This Row],[Filtro URL]])</f>
        <v>https://analytics.zoho.com/open-view/2395394000007782936?ZOHO_CRITERIA=%22Trasposicion_4.2%22.%22C%C3%B3digo_Regi%C3%B3n%22%20%3D%208</v>
      </c>
      <c r="T297" s="108" t="str">
        <f>"100-R-"&amp;Agencia[[#This Row],[Filtro URL]]</f>
        <v>100-R-8</v>
      </c>
      <c r="U297" s="46" t="str">
        <f t="shared" si="121"/>
        <v>#1774B9</v>
      </c>
      <c r="V297" s="93" t="str">
        <f>+Agencia[[#This Row],[idcoleccion]]&amp;"-"&amp;Agencia[[#This Row],[id]]</f>
        <v>990-0286</v>
      </c>
      <c r="W297" s="93">
        <f>+VLOOKUP(Agencia[[#This Row],[Filtro URL]],Estructura!$X$4:$Y$500,2,0)</f>
        <v>99200008</v>
      </c>
      <c r="X297" s="93" t="str">
        <f>+VLOOKUP(Agencia[[#This Row],[tema]],Estructura!$A$4:$C$500,3,0)</f>
        <v>T-1020</v>
      </c>
      <c r="Y297" s="93" t="str">
        <f>+VLOOKUP(Agencia[[#This Row],[contenido]],Estructura!$E$4:$G$500,3,0)</f>
        <v>C-997</v>
      </c>
      <c r="Z297" s="93" t="str">
        <f>+VLOOKUP(Agencia[[#This Row],[Filtro Integrado]],Estructura!$I$4:$K$500,3,0)</f>
        <v>FI-993</v>
      </c>
      <c r="AA297" s="93" t="str">
        <f>+VLOOKUP(Agencia[[#This Row],[Muestra]],Estructura!$M$4:$O$500,3,0)</f>
        <v>M-1048</v>
      </c>
    </row>
    <row r="298" spans="1:27" ht="57.6" x14ac:dyDescent="0.3">
      <c r="A298" s="21" t="s">
        <v>7101</v>
      </c>
      <c r="B298" s="23">
        <f t="shared" si="115"/>
        <v>990</v>
      </c>
      <c r="C298" s="24" t="str">
        <f t="shared" si="116"/>
        <v>Agencia Información</v>
      </c>
      <c r="D298" s="72" t="str">
        <f t="shared" si="119"/>
        <v>Agropecuario y Forestal</v>
      </c>
      <c r="E298" s="19">
        <v>9</v>
      </c>
      <c r="F298" s="10" t="s">
        <v>572</v>
      </c>
      <c r="G298" s="10" t="s">
        <v>1878</v>
      </c>
      <c r="H298" s="33" t="s">
        <v>16</v>
      </c>
      <c r="I298" s="34" t="s">
        <v>376</v>
      </c>
      <c r="J298" s="9" t="str">
        <f t="shared" si="120"/>
        <v>Ninguno</v>
      </c>
      <c r="K298" s="9" t="str">
        <f t="shared" si="120"/>
        <v>Valor de exportaciones</v>
      </c>
      <c r="L298" s="9" t="str">
        <f t="shared" si="120"/>
        <v>Periodo 2012-2020</v>
      </c>
      <c r="M298" s="9" t="str">
        <f t="shared" si="120"/>
        <v>USD</v>
      </c>
      <c r="N298" s="9" t="str">
        <f t="shared" si="120"/>
        <v>Servicio Nacional de Aduanas</v>
      </c>
      <c r="O298" s="20" t="str">
        <f>"Evolución de las Exportaciones (USD) de frutas desde la "&amp;Agencia[[#This Row],[territorio]]&amp;" para el "&amp;Agencia[[#This Row],[temporalidad]]</f>
        <v>Evolución de las Exportaciones (USD) de frutas desde la Región de La Araucanía para el Periodo 2012-2020</v>
      </c>
      <c r="P298" s="112" t="s">
        <v>6593</v>
      </c>
      <c r="Q298" s="11" t="str">
        <f t="shared" si="117"/>
        <v>Gráfico de Evolución</v>
      </c>
      <c r="R298" s="154" t="str">
        <f>Agencia[[#This Row],[territorio]]&amp;",valor,exportación,dólar,USD,frutas,frutícola,región,origen,exportado,"&amp;Agencia[[#This Row],[coleccion]]&amp;","&amp;Agencia[[#This Row],[sector]]&amp;","&amp;Agencia[[#This Row],[tema]]&amp;","&amp;Agencia[[#This Row],[contenido]]</f>
        <v>Región de La Araucanía,valor,exportación,dólar,USD,frutas,frutícola,región,origen,exportado,Agencia Información,Agropecuario y Forestal,Exportaciones,Agricultura</v>
      </c>
      <c r="S298" s="37" t="str">
        <f>HYPERLINK("https://analytics.zoho.com/open-view/2395394000007782936?ZOHO_CRITERIA=%22Trasposicion_4.2%22.%22C%C3%B3digo_Regi%C3%B3n%22%20%3D%20"&amp;Agencia[[#This Row],[Filtro URL]])</f>
        <v>https://analytics.zoho.com/open-view/2395394000007782936?ZOHO_CRITERIA=%22Trasposicion_4.2%22.%22C%C3%B3digo_Regi%C3%B3n%22%20%3D%209</v>
      </c>
      <c r="T298" s="108" t="str">
        <f>"100-R-"&amp;Agencia[[#This Row],[Filtro URL]]</f>
        <v>100-R-9</v>
      </c>
      <c r="U298" s="46" t="str">
        <f t="shared" si="121"/>
        <v>#1774B9</v>
      </c>
      <c r="V298" s="93" t="str">
        <f>+Agencia[[#This Row],[idcoleccion]]&amp;"-"&amp;Agencia[[#This Row],[id]]</f>
        <v>990-0287</v>
      </c>
      <c r="W298" s="93">
        <f>+VLOOKUP(Agencia[[#This Row],[Filtro URL]],Estructura!$X$4:$Y$500,2,0)</f>
        <v>99200009</v>
      </c>
      <c r="X298" s="93" t="str">
        <f>+VLOOKUP(Agencia[[#This Row],[tema]],Estructura!$A$4:$C$500,3,0)</f>
        <v>T-1020</v>
      </c>
      <c r="Y298" s="93" t="str">
        <f>+VLOOKUP(Agencia[[#This Row],[contenido]],Estructura!$E$4:$G$500,3,0)</f>
        <v>C-997</v>
      </c>
      <c r="Z298" s="93" t="str">
        <f>+VLOOKUP(Agencia[[#This Row],[Filtro Integrado]],Estructura!$I$4:$K$500,3,0)</f>
        <v>FI-993</v>
      </c>
      <c r="AA298" s="93" t="str">
        <f>+VLOOKUP(Agencia[[#This Row],[Muestra]],Estructura!$M$4:$O$500,3,0)</f>
        <v>M-1048</v>
      </c>
    </row>
    <row r="299" spans="1:27" ht="57.6" x14ac:dyDescent="0.3">
      <c r="A299" s="21" t="s">
        <v>7102</v>
      </c>
      <c r="B299" s="23">
        <f t="shared" si="115"/>
        <v>990</v>
      </c>
      <c r="C299" s="24" t="str">
        <f t="shared" si="116"/>
        <v>Agencia Información</v>
      </c>
      <c r="D299" s="72" t="str">
        <f t="shared" si="119"/>
        <v>Agropecuario y Forestal</v>
      </c>
      <c r="E299" s="19">
        <v>10</v>
      </c>
      <c r="F299" s="10" t="s">
        <v>572</v>
      </c>
      <c r="G299" s="10" t="s">
        <v>1878</v>
      </c>
      <c r="H299" s="33" t="s">
        <v>16</v>
      </c>
      <c r="I299" s="34" t="s">
        <v>377</v>
      </c>
      <c r="J299" s="9" t="str">
        <f t="shared" ref="J299:N314" si="122">+J298</f>
        <v>Ninguno</v>
      </c>
      <c r="K299" s="9" t="str">
        <f t="shared" si="122"/>
        <v>Valor de exportaciones</v>
      </c>
      <c r="L299" s="9" t="str">
        <f t="shared" si="122"/>
        <v>Periodo 2012-2020</v>
      </c>
      <c r="M299" s="9" t="str">
        <f t="shared" si="122"/>
        <v>USD</v>
      </c>
      <c r="N299" s="9" t="str">
        <f t="shared" si="122"/>
        <v>Servicio Nacional de Aduanas</v>
      </c>
      <c r="O299" s="20" t="str">
        <f>"Evolución de las Exportaciones (USD) de frutas desde la "&amp;Agencia[[#This Row],[territorio]]&amp;" para el "&amp;Agencia[[#This Row],[temporalidad]]</f>
        <v>Evolución de las Exportaciones (USD) de frutas desde la Región de Los Lagos para el Periodo 2012-2020</v>
      </c>
      <c r="P299" s="112" t="s">
        <v>6594</v>
      </c>
      <c r="Q299" s="11" t="str">
        <f t="shared" si="117"/>
        <v>Gráfico de Evolución</v>
      </c>
      <c r="R299" s="154" t="str">
        <f>Agencia[[#This Row],[territorio]]&amp;",valor,exportación,dólar,USD,frutas,frutícola,región,origen,exportado,"&amp;Agencia[[#This Row],[coleccion]]&amp;","&amp;Agencia[[#This Row],[sector]]&amp;","&amp;Agencia[[#This Row],[tema]]&amp;","&amp;Agencia[[#This Row],[contenido]]</f>
        <v>Región de Los Lagos,valor,exportación,dólar,USD,frutas,frutícola,región,origen,exportado,Agencia Información,Agropecuario y Forestal,Exportaciones,Agricultura</v>
      </c>
      <c r="S299" s="37" t="str">
        <f>HYPERLINK("https://analytics.zoho.com/open-view/2395394000007782936?ZOHO_CRITERIA=%22Trasposicion_4.2%22.%22C%C3%B3digo_Regi%C3%B3n%22%20%3D%20"&amp;Agencia[[#This Row],[Filtro URL]])</f>
        <v>https://analytics.zoho.com/open-view/2395394000007782936?ZOHO_CRITERIA=%22Trasposicion_4.2%22.%22C%C3%B3digo_Regi%C3%B3n%22%20%3D%2010</v>
      </c>
      <c r="T299" s="108" t="str">
        <f>"100-R-"&amp;Agencia[[#This Row],[Filtro URL]]</f>
        <v>100-R-10</v>
      </c>
      <c r="U299" s="46" t="str">
        <f t="shared" si="121"/>
        <v>#1774B9</v>
      </c>
      <c r="V299" s="93" t="str">
        <f>+Agencia[[#This Row],[idcoleccion]]&amp;"-"&amp;Agencia[[#This Row],[id]]</f>
        <v>990-0288</v>
      </c>
      <c r="W299" s="93">
        <f>+VLOOKUP(Agencia[[#This Row],[Filtro URL]],Estructura!$X$4:$Y$500,2,0)</f>
        <v>99200010</v>
      </c>
      <c r="X299" s="93" t="str">
        <f>+VLOOKUP(Agencia[[#This Row],[tema]],Estructura!$A$4:$C$500,3,0)</f>
        <v>T-1020</v>
      </c>
      <c r="Y299" s="93" t="str">
        <f>+VLOOKUP(Agencia[[#This Row],[contenido]],Estructura!$E$4:$G$500,3,0)</f>
        <v>C-997</v>
      </c>
      <c r="Z299" s="93" t="str">
        <f>+VLOOKUP(Agencia[[#This Row],[Filtro Integrado]],Estructura!$I$4:$K$500,3,0)</f>
        <v>FI-993</v>
      </c>
      <c r="AA299" s="93" t="str">
        <f>+VLOOKUP(Agencia[[#This Row],[Muestra]],Estructura!$M$4:$O$500,3,0)</f>
        <v>M-1048</v>
      </c>
    </row>
    <row r="300" spans="1:27" ht="57.6" x14ac:dyDescent="0.3">
      <c r="A300" s="21" t="s">
        <v>7103</v>
      </c>
      <c r="B300" s="23">
        <f t="shared" si="115"/>
        <v>990</v>
      </c>
      <c r="C300" s="24" t="str">
        <f t="shared" si="116"/>
        <v>Agencia Información</v>
      </c>
      <c r="D300" s="72" t="str">
        <f t="shared" si="119"/>
        <v>Agropecuario y Forestal</v>
      </c>
      <c r="E300" s="19">
        <v>11</v>
      </c>
      <c r="F300" s="10" t="s">
        <v>572</v>
      </c>
      <c r="G300" s="10" t="s">
        <v>1878</v>
      </c>
      <c r="H300" s="33" t="s">
        <v>16</v>
      </c>
      <c r="I300" s="34" t="s">
        <v>378</v>
      </c>
      <c r="J300" s="9" t="str">
        <f t="shared" si="122"/>
        <v>Ninguno</v>
      </c>
      <c r="K300" s="9" t="str">
        <f t="shared" si="122"/>
        <v>Valor de exportaciones</v>
      </c>
      <c r="L300" s="9" t="str">
        <f t="shared" si="122"/>
        <v>Periodo 2012-2020</v>
      </c>
      <c r="M300" s="9" t="str">
        <f t="shared" si="122"/>
        <v>USD</v>
      </c>
      <c r="N300" s="9" t="str">
        <f t="shared" si="122"/>
        <v>Servicio Nacional de Aduanas</v>
      </c>
      <c r="O300" s="20" t="str">
        <f>"Evolución de las Exportaciones (USD) de frutas desde la "&amp;Agencia[[#This Row],[territorio]]&amp;" para el "&amp;Agencia[[#This Row],[temporalidad]]</f>
        <v>Evolución de las Exportaciones (USD) de frutas desde la Región de Aysén para el Periodo 2012-2020</v>
      </c>
      <c r="P300" s="112" t="s">
        <v>6595</v>
      </c>
      <c r="Q300" s="11" t="str">
        <f t="shared" si="117"/>
        <v>Gráfico de Evolución</v>
      </c>
      <c r="R300" s="154" t="str">
        <f>Agencia[[#This Row],[territorio]]&amp;",valor,exportación,dólar,USD,frutas,frutícola,región,origen,exportado,"&amp;Agencia[[#This Row],[coleccion]]&amp;","&amp;Agencia[[#This Row],[sector]]&amp;","&amp;Agencia[[#This Row],[tema]]&amp;","&amp;Agencia[[#This Row],[contenido]]</f>
        <v>Región de Aysén,valor,exportación,dólar,USD,frutas,frutícola,región,origen,exportado,Agencia Información,Agropecuario y Forestal,Exportaciones,Agricultura</v>
      </c>
      <c r="S300" s="37" t="str">
        <f>HYPERLINK("https://analytics.zoho.com/open-view/2395394000007782936?ZOHO_CRITERIA=%22Trasposicion_4.2%22.%22C%C3%B3digo_Regi%C3%B3n%22%20%3D%20"&amp;Agencia[[#This Row],[Filtro URL]])</f>
        <v>https://analytics.zoho.com/open-view/2395394000007782936?ZOHO_CRITERIA=%22Trasposicion_4.2%22.%22C%C3%B3digo_Regi%C3%B3n%22%20%3D%2011</v>
      </c>
      <c r="T300" s="108" t="str">
        <f>"100-R-"&amp;Agencia[[#This Row],[Filtro URL]]</f>
        <v>100-R-11</v>
      </c>
      <c r="U300" s="46" t="str">
        <f t="shared" si="121"/>
        <v>#1774B9</v>
      </c>
      <c r="V300" s="93" t="str">
        <f>+Agencia[[#This Row],[idcoleccion]]&amp;"-"&amp;Agencia[[#This Row],[id]]</f>
        <v>990-0289</v>
      </c>
      <c r="W300" s="93">
        <f>+VLOOKUP(Agencia[[#This Row],[Filtro URL]],Estructura!$X$4:$Y$500,2,0)</f>
        <v>99200011</v>
      </c>
      <c r="X300" s="93" t="str">
        <f>+VLOOKUP(Agencia[[#This Row],[tema]],Estructura!$A$4:$C$500,3,0)</f>
        <v>T-1020</v>
      </c>
      <c r="Y300" s="93" t="str">
        <f>+VLOOKUP(Agencia[[#This Row],[contenido]],Estructura!$E$4:$G$500,3,0)</f>
        <v>C-997</v>
      </c>
      <c r="Z300" s="93" t="str">
        <f>+VLOOKUP(Agencia[[#This Row],[Filtro Integrado]],Estructura!$I$4:$K$500,3,0)</f>
        <v>FI-993</v>
      </c>
      <c r="AA300" s="93" t="str">
        <f>+VLOOKUP(Agencia[[#This Row],[Muestra]],Estructura!$M$4:$O$500,3,0)</f>
        <v>M-1048</v>
      </c>
    </row>
    <row r="301" spans="1:27" ht="57.6" x14ac:dyDescent="0.3">
      <c r="A301" s="21" t="s">
        <v>7104</v>
      </c>
      <c r="B301" s="23">
        <f t="shared" si="115"/>
        <v>990</v>
      </c>
      <c r="C301" s="24" t="str">
        <f t="shared" si="116"/>
        <v>Agencia Información</v>
      </c>
      <c r="D301" s="72" t="str">
        <f t="shared" si="119"/>
        <v>Agropecuario y Forestal</v>
      </c>
      <c r="E301" s="19">
        <v>12</v>
      </c>
      <c r="F301" s="10" t="s">
        <v>572</v>
      </c>
      <c r="G301" s="10" t="s">
        <v>1878</v>
      </c>
      <c r="H301" s="33" t="s">
        <v>16</v>
      </c>
      <c r="I301" s="34" t="s">
        <v>379</v>
      </c>
      <c r="J301" s="9" t="str">
        <f t="shared" si="122"/>
        <v>Ninguno</v>
      </c>
      <c r="K301" s="9" t="str">
        <f t="shared" si="122"/>
        <v>Valor de exportaciones</v>
      </c>
      <c r="L301" s="9" t="str">
        <f t="shared" si="122"/>
        <v>Periodo 2012-2020</v>
      </c>
      <c r="M301" s="9" t="str">
        <f t="shared" si="122"/>
        <v>USD</v>
      </c>
      <c r="N301" s="9" t="str">
        <f t="shared" si="122"/>
        <v>Servicio Nacional de Aduanas</v>
      </c>
      <c r="O301" s="20" t="str">
        <f>"Evolución de las Exportaciones (USD) de frutas desde la "&amp;Agencia[[#This Row],[territorio]]&amp;" para el "&amp;Agencia[[#This Row],[temporalidad]]</f>
        <v>Evolución de las Exportaciones (USD) de frutas desde la Región de Magallanes para el Periodo 2012-2020</v>
      </c>
      <c r="P301" s="112" t="s">
        <v>6596</v>
      </c>
      <c r="Q301" s="11" t="str">
        <f t="shared" si="117"/>
        <v>Gráfico de Evolución</v>
      </c>
      <c r="R301" s="154" t="str">
        <f>Agencia[[#This Row],[territorio]]&amp;",valor,exportación,dólar,USD,frutas,frutícola,región,origen,exportado,"&amp;Agencia[[#This Row],[coleccion]]&amp;","&amp;Agencia[[#This Row],[sector]]&amp;","&amp;Agencia[[#This Row],[tema]]&amp;","&amp;Agencia[[#This Row],[contenido]]</f>
        <v>Región de Magallanes,valor,exportación,dólar,USD,frutas,frutícola,región,origen,exportado,Agencia Información,Agropecuario y Forestal,Exportaciones,Agricultura</v>
      </c>
      <c r="S301" s="37" t="str">
        <f>HYPERLINK("https://analytics.zoho.com/open-view/2395394000007782936?ZOHO_CRITERIA=%22Trasposicion_4.2%22.%22C%C3%B3digo_Regi%C3%B3n%22%20%3D%20"&amp;Agencia[[#This Row],[Filtro URL]])</f>
        <v>https://analytics.zoho.com/open-view/2395394000007782936?ZOHO_CRITERIA=%22Trasposicion_4.2%22.%22C%C3%B3digo_Regi%C3%B3n%22%20%3D%2012</v>
      </c>
      <c r="T301" s="108" t="str">
        <f>"100-R-"&amp;Agencia[[#This Row],[Filtro URL]]</f>
        <v>100-R-12</v>
      </c>
      <c r="U301" s="46" t="str">
        <f t="shared" si="121"/>
        <v>#1774B9</v>
      </c>
      <c r="V301" s="93" t="str">
        <f>+Agencia[[#This Row],[idcoleccion]]&amp;"-"&amp;Agencia[[#This Row],[id]]</f>
        <v>990-0290</v>
      </c>
      <c r="W301" s="93">
        <f>+VLOOKUP(Agencia[[#This Row],[Filtro URL]],Estructura!$X$4:$Y$500,2,0)</f>
        <v>99200012</v>
      </c>
      <c r="X301" s="93" t="str">
        <f>+VLOOKUP(Agencia[[#This Row],[tema]],Estructura!$A$4:$C$500,3,0)</f>
        <v>T-1020</v>
      </c>
      <c r="Y301" s="93" t="str">
        <f>+VLOOKUP(Agencia[[#This Row],[contenido]],Estructura!$E$4:$G$500,3,0)</f>
        <v>C-997</v>
      </c>
      <c r="Z301" s="93" t="str">
        <f>+VLOOKUP(Agencia[[#This Row],[Filtro Integrado]],Estructura!$I$4:$K$500,3,0)</f>
        <v>FI-993</v>
      </c>
      <c r="AA301" s="93" t="str">
        <f>+VLOOKUP(Agencia[[#This Row],[Muestra]],Estructura!$M$4:$O$500,3,0)</f>
        <v>M-1048</v>
      </c>
    </row>
    <row r="302" spans="1:27" ht="57.6" x14ac:dyDescent="0.3">
      <c r="A302" s="21" t="s">
        <v>7105</v>
      </c>
      <c r="B302" s="23">
        <f t="shared" si="115"/>
        <v>990</v>
      </c>
      <c r="C302" s="24" t="str">
        <f t="shared" si="116"/>
        <v>Agencia Información</v>
      </c>
      <c r="D302" s="72" t="str">
        <f t="shared" si="119"/>
        <v>Agropecuario y Forestal</v>
      </c>
      <c r="E302" s="19">
        <v>13</v>
      </c>
      <c r="F302" s="10" t="s">
        <v>572</v>
      </c>
      <c r="G302" s="10" t="s">
        <v>1878</v>
      </c>
      <c r="H302" s="33" t="s">
        <v>16</v>
      </c>
      <c r="I302" s="34" t="s">
        <v>380</v>
      </c>
      <c r="J302" s="9" t="str">
        <f t="shared" si="122"/>
        <v>Ninguno</v>
      </c>
      <c r="K302" s="9" t="str">
        <f t="shared" si="122"/>
        <v>Valor de exportaciones</v>
      </c>
      <c r="L302" s="9" t="str">
        <f t="shared" si="122"/>
        <v>Periodo 2012-2020</v>
      </c>
      <c r="M302" s="9" t="str">
        <f t="shared" si="122"/>
        <v>USD</v>
      </c>
      <c r="N302" s="9" t="str">
        <f t="shared" si="122"/>
        <v>Servicio Nacional de Aduanas</v>
      </c>
      <c r="O302" s="20" t="str">
        <f>"Evolución de las Exportaciones (USD) de frutas desde la "&amp;Agencia[[#This Row],[territorio]]&amp;" para el "&amp;Agencia[[#This Row],[temporalidad]]</f>
        <v>Evolución de las Exportaciones (USD) de frutas desde la Región Metropolitana para el Periodo 2012-2020</v>
      </c>
      <c r="P302" s="112" t="s">
        <v>6597</v>
      </c>
      <c r="Q302" s="11" t="str">
        <f t="shared" si="117"/>
        <v>Gráfico de Evolución</v>
      </c>
      <c r="R302" s="154" t="str">
        <f>Agencia[[#This Row],[territorio]]&amp;",valor,exportación,dólar,USD,frutas,frutícola,región,origen,exportado,"&amp;Agencia[[#This Row],[coleccion]]&amp;","&amp;Agencia[[#This Row],[sector]]&amp;","&amp;Agencia[[#This Row],[tema]]&amp;","&amp;Agencia[[#This Row],[contenido]]</f>
        <v>Región Metropolitana,valor,exportación,dólar,USD,frutas,frutícola,región,origen,exportado,Agencia Información,Agropecuario y Forestal,Exportaciones,Agricultura</v>
      </c>
      <c r="S302" s="37" t="str">
        <f>HYPERLINK("https://analytics.zoho.com/open-view/2395394000007782936?ZOHO_CRITERIA=%22Trasposicion_4.2%22.%22C%C3%B3digo_Regi%C3%B3n%22%20%3D%20"&amp;Agencia[[#This Row],[Filtro URL]])</f>
        <v>https://analytics.zoho.com/open-view/2395394000007782936?ZOHO_CRITERIA=%22Trasposicion_4.2%22.%22C%C3%B3digo_Regi%C3%B3n%22%20%3D%2013</v>
      </c>
      <c r="T302" s="108" t="str">
        <f>"200-R-"&amp;Agencia[[#This Row],[Filtro URL]]</f>
        <v>200-R-13</v>
      </c>
      <c r="U302" s="46" t="str">
        <f t="shared" si="121"/>
        <v>#1774B9</v>
      </c>
      <c r="V302" s="93" t="str">
        <f>+Agencia[[#This Row],[idcoleccion]]&amp;"-"&amp;Agencia[[#This Row],[id]]</f>
        <v>990-0291</v>
      </c>
      <c r="W302" s="93">
        <f>+VLOOKUP(Agencia[[#This Row],[Filtro URL]],Estructura!$X$4:$Y$500,2,0)</f>
        <v>99200013</v>
      </c>
      <c r="X302" s="93" t="str">
        <f>+VLOOKUP(Agencia[[#This Row],[tema]],Estructura!$A$4:$C$500,3,0)</f>
        <v>T-1020</v>
      </c>
      <c r="Y302" s="93" t="str">
        <f>+VLOOKUP(Agencia[[#This Row],[contenido]],Estructura!$E$4:$G$500,3,0)</f>
        <v>C-997</v>
      </c>
      <c r="Z302" s="93" t="str">
        <f>+VLOOKUP(Agencia[[#This Row],[Filtro Integrado]],Estructura!$I$4:$K$500,3,0)</f>
        <v>FI-993</v>
      </c>
      <c r="AA302" s="93" t="str">
        <f>+VLOOKUP(Agencia[[#This Row],[Muestra]],Estructura!$M$4:$O$500,3,0)</f>
        <v>M-1048</v>
      </c>
    </row>
    <row r="303" spans="1:27" ht="57.6" x14ac:dyDescent="0.3">
      <c r="A303" s="21" t="s">
        <v>7106</v>
      </c>
      <c r="B303" s="23">
        <f t="shared" si="115"/>
        <v>990</v>
      </c>
      <c r="C303" s="24" t="str">
        <f t="shared" si="116"/>
        <v>Agencia Información</v>
      </c>
      <c r="D303" s="72" t="str">
        <f t="shared" si="119"/>
        <v>Agropecuario y Forestal</v>
      </c>
      <c r="E303" s="19">
        <v>14</v>
      </c>
      <c r="F303" s="10" t="s">
        <v>572</v>
      </c>
      <c r="G303" s="10" t="s">
        <v>1878</v>
      </c>
      <c r="H303" s="33" t="s">
        <v>16</v>
      </c>
      <c r="I303" s="34" t="s">
        <v>381</v>
      </c>
      <c r="J303" s="9" t="str">
        <f t="shared" si="122"/>
        <v>Ninguno</v>
      </c>
      <c r="K303" s="9" t="str">
        <f t="shared" si="122"/>
        <v>Valor de exportaciones</v>
      </c>
      <c r="L303" s="9" t="str">
        <f t="shared" si="122"/>
        <v>Periodo 2012-2020</v>
      </c>
      <c r="M303" s="9" t="str">
        <f t="shared" si="122"/>
        <v>USD</v>
      </c>
      <c r="N303" s="9" t="str">
        <f t="shared" si="122"/>
        <v>Servicio Nacional de Aduanas</v>
      </c>
      <c r="O303" s="20" t="str">
        <f>"Evolución de las Exportaciones (USD) de frutas desde la "&amp;Agencia[[#This Row],[territorio]]&amp;" para el "&amp;Agencia[[#This Row],[temporalidad]]</f>
        <v>Evolución de las Exportaciones (USD) de frutas desde la Región de Los Ríos para el Periodo 2012-2020</v>
      </c>
      <c r="P303" s="112" t="s">
        <v>6598</v>
      </c>
      <c r="Q303" s="11" t="str">
        <f t="shared" si="117"/>
        <v>Gráfico de Evolución</v>
      </c>
      <c r="R303" s="154" t="str">
        <f>Agencia[[#This Row],[territorio]]&amp;",valor,exportación,dólar,USD,frutas,frutícola,región,origen,exportado,"&amp;Agencia[[#This Row],[coleccion]]&amp;","&amp;Agencia[[#This Row],[sector]]&amp;","&amp;Agencia[[#This Row],[tema]]&amp;","&amp;Agencia[[#This Row],[contenido]]</f>
        <v>Región de Los Ríos,valor,exportación,dólar,USD,frutas,frutícola,región,origen,exportado,Agencia Información,Agropecuario y Forestal,Exportaciones,Agricultura</v>
      </c>
      <c r="S303" s="37" t="str">
        <f>HYPERLINK("https://analytics.zoho.com/open-view/2395394000007782936?ZOHO_CRITERIA=%22Trasposicion_4.2%22.%22C%C3%B3digo_Regi%C3%B3n%22%20%3D%20"&amp;Agencia[[#This Row],[Filtro URL]])</f>
        <v>https://analytics.zoho.com/open-view/2395394000007782936?ZOHO_CRITERIA=%22Trasposicion_4.2%22.%22C%C3%B3digo_Regi%C3%B3n%22%20%3D%2014</v>
      </c>
      <c r="T303" s="108" t="str">
        <f>"100-R-"&amp;Agencia[[#This Row],[Filtro URL]]</f>
        <v>100-R-14</v>
      </c>
      <c r="U303" s="46" t="str">
        <f t="shared" si="121"/>
        <v>#1774B9</v>
      </c>
      <c r="V303" s="93" t="str">
        <f>+Agencia[[#This Row],[idcoleccion]]&amp;"-"&amp;Agencia[[#This Row],[id]]</f>
        <v>990-0292</v>
      </c>
      <c r="W303" s="93">
        <f>+VLOOKUP(Agencia[[#This Row],[Filtro URL]],Estructura!$X$4:$Y$500,2,0)</f>
        <v>99200014</v>
      </c>
      <c r="X303" s="93" t="str">
        <f>+VLOOKUP(Agencia[[#This Row],[tema]],Estructura!$A$4:$C$500,3,0)</f>
        <v>T-1020</v>
      </c>
      <c r="Y303" s="93" t="str">
        <f>+VLOOKUP(Agencia[[#This Row],[contenido]],Estructura!$E$4:$G$500,3,0)</f>
        <v>C-997</v>
      </c>
      <c r="Z303" s="93" t="str">
        <f>+VLOOKUP(Agencia[[#This Row],[Filtro Integrado]],Estructura!$I$4:$K$500,3,0)</f>
        <v>FI-993</v>
      </c>
      <c r="AA303" s="93" t="str">
        <f>+VLOOKUP(Agencia[[#This Row],[Muestra]],Estructura!$M$4:$O$500,3,0)</f>
        <v>M-1048</v>
      </c>
    </row>
    <row r="304" spans="1:27" ht="57.6" x14ac:dyDescent="0.3">
      <c r="A304" s="21" t="s">
        <v>7107</v>
      </c>
      <c r="B304" s="23">
        <f t="shared" si="115"/>
        <v>990</v>
      </c>
      <c r="C304" s="24" t="str">
        <f t="shared" si="116"/>
        <v>Agencia Información</v>
      </c>
      <c r="D304" s="72" t="str">
        <f t="shared" si="119"/>
        <v>Agropecuario y Forestal</v>
      </c>
      <c r="E304" s="19">
        <v>15</v>
      </c>
      <c r="F304" s="10" t="s">
        <v>572</v>
      </c>
      <c r="G304" s="10" t="s">
        <v>1878</v>
      </c>
      <c r="H304" s="33" t="s">
        <v>16</v>
      </c>
      <c r="I304" s="34" t="s">
        <v>382</v>
      </c>
      <c r="J304" s="9" t="str">
        <f t="shared" si="122"/>
        <v>Ninguno</v>
      </c>
      <c r="K304" s="9" t="str">
        <f t="shared" si="122"/>
        <v>Valor de exportaciones</v>
      </c>
      <c r="L304" s="9" t="str">
        <f t="shared" si="122"/>
        <v>Periodo 2012-2020</v>
      </c>
      <c r="M304" s="9" t="str">
        <f t="shared" si="122"/>
        <v>USD</v>
      </c>
      <c r="N304" s="9" t="str">
        <f t="shared" si="122"/>
        <v>Servicio Nacional de Aduanas</v>
      </c>
      <c r="O304" s="20" t="str">
        <f>"Evolución de las Exportaciones (USD) de frutas desde la "&amp;Agencia[[#This Row],[territorio]]&amp;" para el "&amp;Agencia[[#This Row],[temporalidad]]</f>
        <v>Evolución de las Exportaciones (USD) de frutas desde la Región de Arica y Parinacota para el Periodo 2012-2020</v>
      </c>
      <c r="P304" s="112" t="s">
        <v>6613</v>
      </c>
      <c r="Q304" s="11" t="str">
        <f t="shared" si="117"/>
        <v>Gráfico de Evolución</v>
      </c>
      <c r="R304" s="154" t="str">
        <f>Agencia[[#This Row],[territorio]]&amp;",valor,exportación,dólar,USD,frutas,frutícola,región,origen,exportado,"&amp;Agencia[[#This Row],[coleccion]]&amp;","&amp;Agencia[[#This Row],[sector]]&amp;","&amp;Agencia[[#This Row],[tema]]&amp;","&amp;Agencia[[#This Row],[contenido]]</f>
        <v>Región de Arica y Parinacota,valor,exportación,dólar,USD,frutas,frutícola,región,origen,exportado,Agencia Información,Agropecuario y Forestal,Exportaciones,Agricultura</v>
      </c>
      <c r="S304" s="37" t="str">
        <f>HYPERLINK("https://analytics.zoho.com/open-view/2395394000007782936?ZOHO_CRITERIA=%22Trasposicion_4.2%22.%22C%C3%B3digo_Regi%C3%B3n%22%20%3D%20"&amp;Agencia[[#This Row],[Filtro URL]])</f>
        <v>https://analytics.zoho.com/open-view/2395394000007782936?ZOHO_CRITERIA=%22Trasposicion_4.2%22.%22C%C3%B3digo_Regi%C3%B3n%22%20%3D%2015</v>
      </c>
      <c r="T304" s="108" t="str">
        <f>"100-R-"&amp;Agencia[[#This Row],[Filtro URL]]</f>
        <v>100-R-15</v>
      </c>
      <c r="U304" s="46" t="str">
        <f t="shared" si="121"/>
        <v>#1774B9</v>
      </c>
      <c r="V304" s="93" t="str">
        <f>+Agencia[[#This Row],[idcoleccion]]&amp;"-"&amp;Agencia[[#This Row],[id]]</f>
        <v>990-0293</v>
      </c>
      <c r="W304" s="93">
        <f>+VLOOKUP(Agencia[[#This Row],[Filtro URL]],Estructura!$X$4:$Y$500,2,0)</f>
        <v>99200015</v>
      </c>
      <c r="X304" s="93" t="str">
        <f>+VLOOKUP(Agencia[[#This Row],[tema]],Estructura!$A$4:$C$500,3,0)</f>
        <v>T-1020</v>
      </c>
      <c r="Y304" s="93" t="str">
        <f>+VLOOKUP(Agencia[[#This Row],[contenido]],Estructura!$E$4:$G$500,3,0)</f>
        <v>C-997</v>
      </c>
      <c r="Z304" s="93" t="str">
        <f>+VLOOKUP(Agencia[[#This Row],[Filtro Integrado]],Estructura!$I$4:$K$500,3,0)</f>
        <v>FI-993</v>
      </c>
      <c r="AA304" s="93" t="str">
        <f>+VLOOKUP(Agencia[[#This Row],[Muestra]],Estructura!$M$4:$O$500,3,0)</f>
        <v>M-1048</v>
      </c>
    </row>
    <row r="305" spans="1:27" ht="57.6" x14ac:dyDescent="0.3">
      <c r="A305" s="21" t="s">
        <v>7108</v>
      </c>
      <c r="B305" s="23">
        <f t="shared" si="115"/>
        <v>990</v>
      </c>
      <c r="C305" s="24" t="str">
        <f t="shared" si="116"/>
        <v>Agencia Información</v>
      </c>
      <c r="D305" s="72" t="str">
        <f t="shared" si="119"/>
        <v>Agropecuario y Forestal</v>
      </c>
      <c r="E305" s="19">
        <v>16</v>
      </c>
      <c r="F305" s="10" t="s">
        <v>572</v>
      </c>
      <c r="G305" s="10" t="s">
        <v>1878</v>
      </c>
      <c r="H305" s="33" t="s">
        <v>16</v>
      </c>
      <c r="I305" s="34" t="s">
        <v>383</v>
      </c>
      <c r="J305" s="9" t="str">
        <f t="shared" si="122"/>
        <v>Ninguno</v>
      </c>
      <c r="K305" s="9" t="str">
        <f t="shared" si="122"/>
        <v>Valor de exportaciones</v>
      </c>
      <c r="L305" s="9" t="str">
        <f t="shared" si="122"/>
        <v>Periodo 2012-2020</v>
      </c>
      <c r="M305" s="9" t="str">
        <f t="shared" si="122"/>
        <v>USD</v>
      </c>
      <c r="N305" s="9" t="str">
        <f t="shared" si="122"/>
        <v>Servicio Nacional de Aduanas</v>
      </c>
      <c r="O305" s="20" t="str">
        <f>"Evolución de las Exportaciones (USD) de frutas desde la "&amp;Agencia[[#This Row],[territorio]]&amp;" para el "&amp;Agencia[[#This Row],[temporalidad]]</f>
        <v>Evolución de las Exportaciones (USD) de frutas desde la Región de Ñuble para el Periodo 2012-2020</v>
      </c>
      <c r="P305" s="112" t="s">
        <v>6599</v>
      </c>
      <c r="Q305" s="11" t="str">
        <f t="shared" si="117"/>
        <v>Gráfico de Evolución</v>
      </c>
      <c r="R305" s="154" t="str">
        <f>Agencia[[#This Row],[territorio]]&amp;",valor,exportación,dólar,USD,frutas,frutícola,región,origen,exportado,"&amp;Agencia[[#This Row],[coleccion]]&amp;","&amp;Agencia[[#This Row],[sector]]&amp;","&amp;Agencia[[#This Row],[tema]]&amp;","&amp;Agencia[[#This Row],[contenido]]</f>
        <v>Región de Ñuble,valor,exportación,dólar,USD,frutas,frutícola,región,origen,exportado,Agencia Información,Agropecuario y Forestal,Exportaciones,Agricultura</v>
      </c>
      <c r="S305" s="37" t="str">
        <f>HYPERLINK("https://analytics.zoho.com/open-view/2395394000007782936?ZOHO_CRITERIA=%22Trasposicion_4.2%22.%22C%C3%B3digo_Regi%C3%B3n%22%20%3D%20"&amp;Agencia[[#This Row],[Filtro URL]])</f>
        <v>https://analytics.zoho.com/open-view/2395394000007782936?ZOHO_CRITERIA=%22Trasposicion_4.2%22.%22C%C3%B3digo_Regi%C3%B3n%22%20%3D%2016</v>
      </c>
      <c r="T305" s="108" t="str">
        <f>"100-R-"&amp;Agencia[[#This Row],[Filtro URL]]</f>
        <v>100-R-16</v>
      </c>
      <c r="U305" s="46" t="str">
        <f t="shared" si="121"/>
        <v>#1774B9</v>
      </c>
      <c r="V305" s="93" t="str">
        <f>+Agencia[[#This Row],[idcoleccion]]&amp;"-"&amp;Agencia[[#This Row],[id]]</f>
        <v>990-0294</v>
      </c>
      <c r="W305" s="93">
        <f>+VLOOKUP(Agencia[[#This Row],[Filtro URL]],Estructura!$X$4:$Y$500,2,0)</f>
        <v>99200016</v>
      </c>
      <c r="X305" s="93" t="str">
        <f>+VLOOKUP(Agencia[[#This Row],[tema]],Estructura!$A$4:$C$500,3,0)</f>
        <v>T-1020</v>
      </c>
      <c r="Y305" s="93" t="str">
        <f>+VLOOKUP(Agencia[[#This Row],[contenido]],Estructura!$E$4:$G$500,3,0)</f>
        <v>C-997</v>
      </c>
      <c r="Z305" s="93" t="str">
        <f>+VLOOKUP(Agencia[[#This Row],[Filtro Integrado]],Estructura!$I$4:$K$500,3,0)</f>
        <v>FI-993</v>
      </c>
      <c r="AA305" s="93" t="str">
        <f>+VLOOKUP(Agencia[[#This Row],[Muestra]],Estructura!$M$4:$O$500,3,0)</f>
        <v>M-1048</v>
      </c>
    </row>
    <row r="306" spans="1:27" ht="40.799999999999997" x14ac:dyDescent="0.3">
      <c r="A306" s="21" t="s">
        <v>7109</v>
      </c>
      <c r="B306" s="23">
        <f t="shared" si="115"/>
        <v>990</v>
      </c>
      <c r="C306" s="24" t="str">
        <f t="shared" si="116"/>
        <v>Agencia Información</v>
      </c>
      <c r="D306" s="72" t="s">
        <v>571</v>
      </c>
      <c r="E306" s="14">
        <v>0</v>
      </c>
      <c r="F306" s="10" t="s">
        <v>572</v>
      </c>
      <c r="G306" s="10" t="s">
        <v>1878</v>
      </c>
      <c r="H306" s="31" t="s">
        <v>20</v>
      </c>
      <c r="I306" s="32" t="s">
        <v>15</v>
      </c>
      <c r="J306" s="9" t="s">
        <v>403</v>
      </c>
      <c r="K306" s="9" t="s">
        <v>9270</v>
      </c>
      <c r="L306" s="9" t="s">
        <v>573</v>
      </c>
      <c r="M306" s="9" t="s">
        <v>864</v>
      </c>
      <c r="N306" s="9" t="s">
        <v>575</v>
      </c>
      <c r="O306" s="20" t="str">
        <f>"Valor acumulado (USD) de Exportaciones Frutícolas por país de destino, "&amp;Agencia[[#This Row],[temporalidad]]</f>
        <v>Valor acumulado (USD) de Exportaciones Frutícolas por país de destino, Periodo 2012-2020</v>
      </c>
      <c r="P306" s="112" t="s">
        <v>6612</v>
      </c>
      <c r="Q306" s="11" t="s">
        <v>794</v>
      </c>
      <c r="R306" s="20" t="str">
        <f>Agencia[[#This Row],[territorio]]&amp;",exportación,valor,dólar,USD,dólares,frutas,frutícola,nacional,exportado,"&amp;Agencia[[#This Row],[coleccion]]&amp;","&amp;Agencia[[#This Row],[sector]]&amp;","&amp;Agencia[[#This Row],[tema]]&amp;","&amp;Agencia[[#This Row],[contenido]]</f>
        <v>Chile,exportación,valor,dólar,USD,dólares,frutas,frutícola,nacional,exportado,Agencia Información,Agropecuario y Forestal,Exportaciones,Agricultura</v>
      </c>
      <c r="S306" s="37" t="s">
        <v>865</v>
      </c>
      <c r="T306" s="108">
        <v>0</v>
      </c>
      <c r="U306" s="46" t="str">
        <f t="shared" si="121"/>
        <v>#1774B9</v>
      </c>
      <c r="V306" s="93" t="str">
        <f>+Agencia[[#This Row],[idcoleccion]]&amp;"-"&amp;Agencia[[#This Row],[id]]</f>
        <v>990-0295</v>
      </c>
      <c r="W306" s="93">
        <f>+VLOOKUP(Agencia[[#This Row],[Filtro URL]],Estructura!$X$4:$Y$500,2,0)</f>
        <v>99100000</v>
      </c>
      <c r="X306" s="93" t="str">
        <f>+VLOOKUP(Agencia[[#This Row],[tema]],Estructura!$A$4:$C$500,3,0)</f>
        <v>T-1020</v>
      </c>
      <c r="Y306" s="93" t="str">
        <f>+VLOOKUP(Agencia[[#This Row],[contenido]],Estructura!$E$4:$G$500,3,0)</f>
        <v>C-997</v>
      </c>
      <c r="Z306" s="93" t="str">
        <f>+VLOOKUP(Agencia[[#This Row],[Filtro Integrado]],Estructura!$I$4:$K$500,3,0)</f>
        <v>FI-993</v>
      </c>
      <c r="AA306" s="93" t="str">
        <f>+VLOOKUP(Agencia[[#This Row],[Muestra]],Estructura!$M$4:$O$500,3,0)</f>
        <v>M-1048</v>
      </c>
    </row>
    <row r="307" spans="1:27" ht="51" x14ac:dyDescent="0.3">
      <c r="A307" s="21" t="s">
        <v>7110</v>
      </c>
      <c r="B307" s="23">
        <f t="shared" si="115"/>
        <v>990</v>
      </c>
      <c r="C307" s="24" t="str">
        <f t="shared" si="116"/>
        <v>Agencia Información</v>
      </c>
      <c r="D307" s="72" t="s">
        <v>866</v>
      </c>
      <c r="E307" s="14">
        <v>0</v>
      </c>
      <c r="F307" s="10" t="s">
        <v>1418</v>
      </c>
      <c r="G307" s="10" t="s">
        <v>866</v>
      </c>
      <c r="H307" s="31" t="s">
        <v>20</v>
      </c>
      <c r="I307" s="32" t="s">
        <v>15</v>
      </c>
      <c r="J307" s="9" t="s">
        <v>16</v>
      </c>
      <c r="K307" s="44" t="s">
        <v>9267</v>
      </c>
      <c r="L307" s="36" t="s">
        <v>596</v>
      </c>
      <c r="M307" s="9" t="s">
        <v>867</v>
      </c>
      <c r="N307" s="9" t="s">
        <v>868</v>
      </c>
      <c r="O307" s="41" t="str">
        <f>"Capacidad Instalada (MW) de Centrales Eléctricas de Energía Renovable y No Renovable en "&amp;Agencia[[#This Row],[territorio]]&amp;", para el "&amp;Agencia[[#This Row],[temporalidad]]</f>
        <v>Capacidad Instalada (MW) de Centrales Eléctricas de Energía Renovable y No Renovable en Chile, para el Año 2021</v>
      </c>
      <c r="P307" s="112" t="s">
        <v>6012</v>
      </c>
      <c r="Q307" s="11" t="s">
        <v>576</v>
      </c>
      <c r="R307" s="20" t="str">
        <f>Agencia[[#This Row],[territorio]]&amp;",capacidad,instalada,MW,central,eléctrica,renovable,regional,potencia,neta,"&amp;Agencia[[#This Row],[coleccion]]&amp;","&amp;Agencia[[#This Row],[sector]]&amp;","&amp;Agencia[[#This Row],[tema]]&amp;","&amp;Agencia[[#This Row],[contenido]]</f>
        <v>Chile,capacidad,instalada,MW,central,eléctrica,renovable,regional,potencia,neta,Agencia Información,Energía,Capacidad Instalada ,Energía</v>
      </c>
      <c r="S307" s="83" t="s">
        <v>5132</v>
      </c>
      <c r="T307" s="108" t="s">
        <v>805</v>
      </c>
      <c r="U307" s="46" t="str">
        <f t="shared" si="121"/>
        <v>#1774B9</v>
      </c>
      <c r="V307" s="93" t="str">
        <f>+Agencia[[#This Row],[idcoleccion]]&amp;"-"&amp;Agencia[[#This Row],[id]]</f>
        <v>990-0296</v>
      </c>
      <c r="W307" s="93">
        <f>+VLOOKUP(Agencia[[#This Row],[Filtro URL]],Estructura!$X$4:$Y$500,2,0)</f>
        <v>99100000</v>
      </c>
      <c r="X307" s="93" t="str">
        <f>+VLOOKUP(Agencia[[#This Row],[tema]],Estructura!$A$4:$C$500,3,0)</f>
        <v>T-1030</v>
      </c>
      <c r="Y307" s="93" t="str">
        <f>+VLOOKUP(Agencia[[#This Row],[contenido]],Estructura!$E$4:$G$500,3,0)</f>
        <v>C-1000</v>
      </c>
      <c r="Z307" s="93" t="str">
        <f>+VLOOKUP(Agencia[[#This Row],[Filtro Integrado]],Estructura!$I$4:$K$500,3,0)</f>
        <v>FI-992</v>
      </c>
      <c r="AA307" s="93" t="str">
        <f>+VLOOKUP(Agencia[[#This Row],[Muestra]],Estructura!$M$4:$O$500,3,0)</f>
        <v>M-1049</v>
      </c>
    </row>
    <row r="308" spans="1:27" ht="72" x14ac:dyDescent="0.3">
      <c r="A308" s="21" t="s">
        <v>7111</v>
      </c>
      <c r="B308" s="23">
        <f t="shared" si="115"/>
        <v>990</v>
      </c>
      <c r="C308" s="24" t="str">
        <f t="shared" si="116"/>
        <v>Agencia Información</v>
      </c>
      <c r="D308" s="72" t="str">
        <f t="shared" ref="D308:D323" si="123">+D307</f>
        <v>Energía</v>
      </c>
      <c r="E308" s="19">
        <v>1</v>
      </c>
      <c r="F308" s="10" t="s">
        <v>1418</v>
      </c>
      <c r="G308" s="10" t="s">
        <v>866</v>
      </c>
      <c r="H308" s="33" t="s">
        <v>16</v>
      </c>
      <c r="I308" s="34" t="s">
        <v>368</v>
      </c>
      <c r="J308" s="9" t="s">
        <v>403</v>
      </c>
      <c r="K308" s="36" t="str">
        <f t="shared" si="122"/>
        <v>Capacidad instalada de generación</v>
      </c>
      <c r="L308" s="36" t="str">
        <f t="shared" si="122"/>
        <v>Año 2021</v>
      </c>
      <c r="M308" s="9" t="str">
        <f t="shared" si="122"/>
        <v>MW</v>
      </c>
      <c r="N308" s="9" t="str">
        <f t="shared" si="122"/>
        <v>Comisión Nacional de Energía (CNE)</v>
      </c>
      <c r="O308" s="41" t="str">
        <f>"Capacidad Instalada (MW) de Centrales Eléctricas de Energía Renovable y No Renovable en la "&amp;Agencia[[#This Row],[territorio]]&amp;", para el "&amp;Agencia[[#This Row],[temporalidad]]</f>
        <v>Capacidad Instalada (MW) de Centrales Eléctricas de Energía Renovable y No Renovable en la Región de Tarapacá, para el Año 2021</v>
      </c>
      <c r="P308" s="112" t="s">
        <v>5996</v>
      </c>
      <c r="Q308" s="11" t="str">
        <f t="shared" si="117"/>
        <v>Gráfico</v>
      </c>
      <c r="R308" s="148" t="str">
        <f>Agencia[[#This Row],[territorio]]&amp;",capacidad,instalada,MW,central,eléctrica,renovable,regional,potencia,neta,"&amp;Agencia[[#This Row],[coleccion]]&amp;","&amp;Agencia[[#This Row],[sector]]&amp;","&amp;Agencia[[#This Row],[tema]]&amp;","&amp;Agencia[[#This Row],[contenido]]</f>
        <v>Región de Tarapacá,capacidad,instalada,MW,central,eléctrica,renovable,regional,potencia,neta,Agencia Información,Energía,Capacidad Instalada ,Energía</v>
      </c>
      <c r="S308"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v>
      </c>
      <c r="T308" s="108" t="str">
        <f>"100-R-"&amp;Agencia[[#This Row],[Filtro URL]]</f>
        <v>100-R-1</v>
      </c>
      <c r="U308" s="46" t="str">
        <f t="shared" si="121"/>
        <v>#1774B9</v>
      </c>
      <c r="V308" s="93" t="str">
        <f>+Agencia[[#This Row],[idcoleccion]]&amp;"-"&amp;Agencia[[#This Row],[id]]</f>
        <v>990-0297</v>
      </c>
      <c r="W308" s="93">
        <f>+VLOOKUP(Agencia[[#This Row],[Filtro URL]],Estructura!$X$4:$Y$500,2,0)</f>
        <v>99200001</v>
      </c>
      <c r="X308" s="93" t="str">
        <f>+VLOOKUP(Agencia[[#This Row],[tema]],Estructura!$A$4:$C$500,3,0)</f>
        <v>T-1030</v>
      </c>
      <c r="Y308" s="93" t="str">
        <f>+VLOOKUP(Agencia[[#This Row],[contenido]],Estructura!$E$4:$G$500,3,0)</f>
        <v>C-1000</v>
      </c>
      <c r="Z308" s="93" t="str">
        <f>+VLOOKUP(Agencia[[#This Row],[Filtro Integrado]],Estructura!$I$4:$K$500,3,0)</f>
        <v>FI-993</v>
      </c>
      <c r="AA308" s="93" t="str">
        <f>+VLOOKUP(Agencia[[#This Row],[Muestra]],Estructura!$M$4:$O$500,3,0)</f>
        <v>M-1049</v>
      </c>
    </row>
    <row r="309" spans="1:27" ht="72" x14ac:dyDescent="0.3">
      <c r="A309" s="21" t="s">
        <v>7112</v>
      </c>
      <c r="B309" s="23">
        <f t="shared" si="115"/>
        <v>990</v>
      </c>
      <c r="C309" s="24" t="str">
        <f t="shared" si="116"/>
        <v>Agencia Información</v>
      </c>
      <c r="D309" s="72" t="str">
        <f t="shared" si="123"/>
        <v>Energía</v>
      </c>
      <c r="E309" s="19">
        <v>2</v>
      </c>
      <c r="F309" s="10" t="s">
        <v>1418</v>
      </c>
      <c r="G309" s="10" t="s">
        <v>866</v>
      </c>
      <c r="H309" s="33" t="s">
        <v>16</v>
      </c>
      <c r="I309" s="34" t="s">
        <v>369</v>
      </c>
      <c r="J309" s="9" t="str">
        <f t="shared" si="122"/>
        <v>Ninguno</v>
      </c>
      <c r="K309" s="36" t="str">
        <f t="shared" si="122"/>
        <v>Capacidad instalada de generación</v>
      </c>
      <c r="L309" s="36" t="str">
        <f t="shared" si="122"/>
        <v>Año 2021</v>
      </c>
      <c r="M309" s="9" t="str">
        <f t="shared" si="122"/>
        <v>MW</v>
      </c>
      <c r="N309" s="9" t="str">
        <f t="shared" si="122"/>
        <v>Comisión Nacional de Energía (CNE)</v>
      </c>
      <c r="O309" s="41" t="str">
        <f>"Capacidad Instalada (MW) de Centrales Eléctricas de Energía Renovable y No Renovable en la "&amp;Agencia[[#This Row],[territorio]]&amp;", para el "&amp;Agencia[[#This Row],[temporalidad]]</f>
        <v>Capacidad Instalada (MW) de Centrales Eléctricas de Energía Renovable y No Renovable en la Región de Antofagasta, para el Año 2021</v>
      </c>
      <c r="P309" s="112" t="s">
        <v>6005</v>
      </c>
      <c r="Q309" s="11" t="str">
        <f t="shared" si="117"/>
        <v>Gráfico</v>
      </c>
      <c r="R309" s="148" t="str">
        <f>Agencia[[#This Row],[territorio]]&amp;",capacidad,instalada,MW,central,eléctrica,renovable,regional,potencia,neta,"&amp;Agencia[[#This Row],[coleccion]]&amp;","&amp;Agencia[[#This Row],[sector]]&amp;","&amp;Agencia[[#This Row],[tema]]&amp;","&amp;Agencia[[#This Row],[contenido]]</f>
        <v>Región de Antofagasta,capacidad,instalada,MW,central,eléctrica,renovable,regional,potencia,neta,Agencia Información,Energía,Capacidad Instalada ,Energía</v>
      </c>
      <c r="S309"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https://analytics.zoho.com/open-view/2395394000008378752?ZOHO_CRITERIA=%2216%20Energ%C3%ADas%20Renovables%20y%20No%20Renovables%22.%22Cod_Regi%C3%B3n%22%20%3D%202</v>
      </c>
      <c r="T309" s="108" t="str">
        <f>"100-R-"&amp;Agencia[[#This Row],[Filtro URL]]</f>
        <v>100-R-2</v>
      </c>
      <c r="U309" s="46" t="str">
        <f t="shared" si="121"/>
        <v>#1774B9</v>
      </c>
      <c r="V309" s="93" t="str">
        <f>+Agencia[[#This Row],[idcoleccion]]&amp;"-"&amp;Agencia[[#This Row],[id]]</f>
        <v>990-0298</v>
      </c>
      <c r="W309" s="93">
        <f>+VLOOKUP(Agencia[[#This Row],[Filtro URL]],Estructura!$X$4:$Y$500,2,0)</f>
        <v>99200002</v>
      </c>
      <c r="X309" s="93" t="str">
        <f>+VLOOKUP(Agencia[[#This Row],[tema]],Estructura!$A$4:$C$500,3,0)</f>
        <v>T-1030</v>
      </c>
      <c r="Y309" s="93" t="str">
        <f>+VLOOKUP(Agencia[[#This Row],[contenido]],Estructura!$E$4:$G$500,3,0)</f>
        <v>C-1000</v>
      </c>
      <c r="Z309" s="93" t="str">
        <f>+VLOOKUP(Agencia[[#This Row],[Filtro Integrado]],Estructura!$I$4:$K$500,3,0)</f>
        <v>FI-993</v>
      </c>
      <c r="AA309" s="93" t="str">
        <f>+VLOOKUP(Agencia[[#This Row],[Muestra]],Estructura!$M$4:$O$500,3,0)</f>
        <v>M-1049</v>
      </c>
    </row>
    <row r="310" spans="1:27" ht="72" x14ac:dyDescent="0.3">
      <c r="A310" s="21" t="s">
        <v>7113</v>
      </c>
      <c r="B310" s="23">
        <f t="shared" si="115"/>
        <v>990</v>
      </c>
      <c r="C310" s="24" t="str">
        <f t="shared" si="116"/>
        <v>Agencia Información</v>
      </c>
      <c r="D310" s="72" t="str">
        <f t="shared" si="123"/>
        <v>Energía</v>
      </c>
      <c r="E310" s="19">
        <v>3</v>
      </c>
      <c r="F310" s="10" t="s">
        <v>1418</v>
      </c>
      <c r="G310" s="10" t="s">
        <v>866</v>
      </c>
      <c r="H310" s="33" t="s">
        <v>16</v>
      </c>
      <c r="I310" s="34" t="s">
        <v>370</v>
      </c>
      <c r="J310" s="9" t="str">
        <f t="shared" si="122"/>
        <v>Ninguno</v>
      </c>
      <c r="K310" s="36" t="str">
        <f t="shared" si="122"/>
        <v>Capacidad instalada de generación</v>
      </c>
      <c r="L310" s="36" t="str">
        <f t="shared" si="122"/>
        <v>Año 2021</v>
      </c>
      <c r="M310" s="9" t="str">
        <f t="shared" si="122"/>
        <v>MW</v>
      </c>
      <c r="N310" s="9" t="str">
        <f t="shared" si="122"/>
        <v>Comisión Nacional de Energía (CNE)</v>
      </c>
      <c r="O310" s="41" t="str">
        <f>"Capacidad Instalada (MW) de Centrales Eléctricas de Energía Renovable y No Renovable en la "&amp;Agencia[[#This Row],[territorio]]&amp;", para el "&amp;Agencia[[#This Row],[temporalidad]]</f>
        <v>Capacidad Instalada (MW) de Centrales Eléctricas de Energía Renovable y No Renovable en la Región de Atacama, para el Año 2021</v>
      </c>
      <c r="P310" s="112" t="s">
        <v>6006</v>
      </c>
      <c r="Q310" s="11" t="str">
        <f t="shared" si="117"/>
        <v>Gráfico</v>
      </c>
      <c r="R310" s="148" t="str">
        <f>Agencia[[#This Row],[territorio]]&amp;",capacidad,instalada,MW,central,eléctrica,renovable,regional,potencia,neta,"&amp;Agencia[[#This Row],[coleccion]]&amp;","&amp;Agencia[[#This Row],[sector]]&amp;","&amp;Agencia[[#This Row],[tema]]&amp;","&amp;Agencia[[#This Row],[contenido]]</f>
        <v>Región de Atacama,capacidad,instalada,MW,central,eléctrica,renovable,regional,potencia,neta,Agencia Información,Energía,Capacidad Instalada ,Energía</v>
      </c>
      <c r="S310"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https://analytics.zoho.com/open-view/2395394000008378752?ZOHO_CRITERIA=%2216%20Energ%C3%ADas%20Renovables%20y%20No%20Renovables%22.%22Cod_Regi%C3%B3n%22%20%3D%203</v>
      </c>
      <c r="T310" s="108" t="str">
        <f>"100-R-"&amp;Agencia[[#This Row],[Filtro URL]]</f>
        <v>100-R-3</v>
      </c>
      <c r="U310" s="46" t="str">
        <f t="shared" si="121"/>
        <v>#1774B9</v>
      </c>
      <c r="V310" s="93" t="str">
        <f>+Agencia[[#This Row],[idcoleccion]]&amp;"-"&amp;Agencia[[#This Row],[id]]</f>
        <v>990-0299</v>
      </c>
      <c r="W310" s="93">
        <f>+VLOOKUP(Agencia[[#This Row],[Filtro URL]],Estructura!$X$4:$Y$500,2,0)</f>
        <v>99200003</v>
      </c>
      <c r="X310" s="93" t="str">
        <f>+VLOOKUP(Agencia[[#This Row],[tema]],Estructura!$A$4:$C$500,3,0)</f>
        <v>T-1030</v>
      </c>
      <c r="Y310" s="93" t="str">
        <f>+VLOOKUP(Agencia[[#This Row],[contenido]],Estructura!$E$4:$G$500,3,0)</f>
        <v>C-1000</v>
      </c>
      <c r="Z310" s="93" t="str">
        <f>+VLOOKUP(Agencia[[#This Row],[Filtro Integrado]],Estructura!$I$4:$K$500,3,0)</f>
        <v>FI-993</v>
      </c>
      <c r="AA310" s="93" t="str">
        <f>+VLOOKUP(Agencia[[#This Row],[Muestra]],Estructura!$M$4:$O$500,3,0)</f>
        <v>M-1049</v>
      </c>
    </row>
    <row r="311" spans="1:27" ht="72" x14ac:dyDescent="0.3">
      <c r="A311" s="21" t="s">
        <v>713</v>
      </c>
      <c r="B311" s="23">
        <f t="shared" si="115"/>
        <v>990</v>
      </c>
      <c r="C311" s="24" t="str">
        <f t="shared" si="116"/>
        <v>Agencia Información</v>
      </c>
      <c r="D311" s="72" t="str">
        <f t="shared" si="123"/>
        <v>Energía</v>
      </c>
      <c r="E311" s="19">
        <v>4</v>
      </c>
      <c r="F311" s="10" t="s">
        <v>1418</v>
      </c>
      <c r="G311" s="10" t="s">
        <v>866</v>
      </c>
      <c r="H311" s="33" t="s">
        <v>16</v>
      </c>
      <c r="I311" s="34" t="s">
        <v>371</v>
      </c>
      <c r="J311" s="9" t="str">
        <f t="shared" si="122"/>
        <v>Ninguno</v>
      </c>
      <c r="K311" s="36" t="str">
        <f t="shared" si="122"/>
        <v>Capacidad instalada de generación</v>
      </c>
      <c r="L311" s="36" t="str">
        <f t="shared" si="122"/>
        <v>Año 2021</v>
      </c>
      <c r="M311" s="9" t="str">
        <f t="shared" si="122"/>
        <v>MW</v>
      </c>
      <c r="N311" s="9" t="str">
        <f t="shared" si="122"/>
        <v>Comisión Nacional de Energía (CNE)</v>
      </c>
      <c r="O311" s="41" t="str">
        <f>"Capacidad Instalada (MW) de Centrales Eléctricas de Energía Renovable y No Renovable en la "&amp;Agencia[[#This Row],[territorio]]&amp;", para el "&amp;Agencia[[#This Row],[temporalidad]]</f>
        <v>Capacidad Instalada (MW) de Centrales Eléctricas de Energía Renovable y No Renovable en la Región de Coquimbo, para el Año 2021</v>
      </c>
      <c r="P311" s="112" t="s">
        <v>6007</v>
      </c>
      <c r="Q311" s="11" t="str">
        <f t="shared" si="117"/>
        <v>Gráfico</v>
      </c>
      <c r="R311" s="148" t="str">
        <f>Agencia[[#This Row],[territorio]]&amp;",capacidad,instalada,MW,central,eléctrica,renovable,regional,potencia,neta,"&amp;Agencia[[#This Row],[coleccion]]&amp;","&amp;Agencia[[#This Row],[sector]]&amp;","&amp;Agencia[[#This Row],[tema]]&amp;","&amp;Agencia[[#This Row],[contenido]]</f>
        <v>Región de Coquimbo,capacidad,instalada,MW,central,eléctrica,renovable,regional,potencia,neta,Agencia Información,Energía,Capacidad Instalada ,Energía</v>
      </c>
      <c r="S31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https://analytics.zoho.com/open-view/2395394000008378752?ZOHO_CRITERIA=%2216%20Energ%C3%ADas%20Renovables%20y%20No%20Renovables%22.%22Cod_Regi%C3%B3n%22%20%3D%204</v>
      </c>
      <c r="T311" s="108" t="str">
        <f>"100-R-"&amp;Agencia[[#This Row],[Filtro URL]]</f>
        <v>100-R-4</v>
      </c>
      <c r="U311" s="46" t="str">
        <f t="shared" si="121"/>
        <v>#1774B9</v>
      </c>
      <c r="V311" s="93" t="str">
        <f>+Agencia[[#This Row],[idcoleccion]]&amp;"-"&amp;Agencia[[#This Row],[id]]</f>
        <v>990-0300</v>
      </c>
      <c r="W311" s="93">
        <f>+VLOOKUP(Agencia[[#This Row],[Filtro URL]],Estructura!$X$4:$Y$500,2,0)</f>
        <v>99200004</v>
      </c>
      <c r="X311" s="93" t="str">
        <f>+VLOOKUP(Agencia[[#This Row],[tema]],Estructura!$A$4:$C$500,3,0)</f>
        <v>T-1030</v>
      </c>
      <c r="Y311" s="93" t="str">
        <f>+VLOOKUP(Agencia[[#This Row],[contenido]],Estructura!$E$4:$G$500,3,0)</f>
        <v>C-1000</v>
      </c>
      <c r="Z311" s="93" t="str">
        <f>+VLOOKUP(Agencia[[#This Row],[Filtro Integrado]],Estructura!$I$4:$K$500,3,0)</f>
        <v>FI-993</v>
      </c>
      <c r="AA311" s="93" t="str">
        <f>+VLOOKUP(Agencia[[#This Row],[Muestra]],Estructura!$M$4:$O$500,3,0)</f>
        <v>M-1049</v>
      </c>
    </row>
    <row r="312" spans="1:27" ht="72" x14ac:dyDescent="0.3">
      <c r="A312" s="21" t="s">
        <v>714</v>
      </c>
      <c r="B312" s="23">
        <f t="shared" si="115"/>
        <v>990</v>
      </c>
      <c r="C312" s="24" t="str">
        <f t="shared" si="116"/>
        <v>Agencia Información</v>
      </c>
      <c r="D312" s="72" t="str">
        <f t="shared" si="123"/>
        <v>Energía</v>
      </c>
      <c r="E312" s="19">
        <v>5</v>
      </c>
      <c r="F312" s="10" t="s">
        <v>1418</v>
      </c>
      <c r="G312" s="10" t="s">
        <v>866</v>
      </c>
      <c r="H312" s="33" t="s">
        <v>16</v>
      </c>
      <c r="I312" s="34" t="s">
        <v>372</v>
      </c>
      <c r="J312" s="9" t="str">
        <f t="shared" si="122"/>
        <v>Ninguno</v>
      </c>
      <c r="K312" s="36" t="str">
        <f t="shared" si="122"/>
        <v>Capacidad instalada de generación</v>
      </c>
      <c r="L312" s="36" t="str">
        <f t="shared" si="122"/>
        <v>Año 2021</v>
      </c>
      <c r="M312" s="9" t="str">
        <f t="shared" si="122"/>
        <v>MW</v>
      </c>
      <c r="N312" s="9" t="str">
        <f t="shared" si="122"/>
        <v>Comisión Nacional de Energía (CNE)</v>
      </c>
      <c r="O312" s="41" t="str">
        <f>"Capacidad Instalada (MW) de Centrales Eléctricas de Energía Renovable y No Renovable en la "&amp;Agencia[[#This Row],[territorio]]&amp;", para el "&amp;Agencia[[#This Row],[temporalidad]]</f>
        <v>Capacidad Instalada (MW) de Centrales Eléctricas de Energía Renovable y No Renovable en la Región de Valparaíso, para el Año 2021</v>
      </c>
      <c r="P312" s="112" t="s">
        <v>6008</v>
      </c>
      <c r="Q312" s="11" t="str">
        <f t="shared" si="117"/>
        <v>Gráfico</v>
      </c>
      <c r="R312" s="148" t="str">
        <f>Agencia[[#This Row],[territorio]]&amp;",capacidad,instalada,MW,central,eléctrica,renovable,regional,potencia,neta,"&amp;Agencia[[#This Row],[coleccion]]&amp;","&amp;Agencia[[#This Row],[sector]]&amp;","&amp;Agencia[[#This Row],[tema]]&amp;","&amp;Agencia[[#This Row],[contenido]]</f>
        <v>Región de Valparaíso,capacidad,instalada,MW,central,eléctrica,renovable,regional,potencia,neta,Agencia Información,Energía,Capacidad Instalada ,Energía</v>
      </c>
      <c r="S31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https://analytics.zoho.com/open-view/2395394000008378752?ZOHO_CRITERIA=%2216%20Energ%C3%ADas%20Renovables%20y%20No%20Renovables%22.%22Cod_Regi%C3%B3n%22%20%3D%205</v>
      </c>
      <c r="T312" s="108" t="str">
        <f>"100-R-"&amp;Agencia[[#This Row],[Filtro URL]]</f>
        <v>100-R-5</v>
      </c>
      <c r="U312" s="46" t="str">
        <f t="shared" si="121"/>
        <v>#1774B9</v>
      </c>
      <c r="V312" s="93" t="str">
        <f>+Agencia[[#This Row],[idcoleccion]]&amp;"-"&amp;Agencia[[#This Row],[id]]</f>
        <v>990-0301</v>
      </c>
      <c r="W312" s="93">
        <f>+VLOOKUP(Agencia[[#This Row],[Filtro URL]],Estructura!$X$4:$Y$500,2,0)</f>
        <v>99200005</v>
      </c>
      <c r="X312" s="93" t="str">
        <f>+VLOOKUP(Agencia[[#This Row],[tema]],Estructura!$A$4:$C$500,3,0)</f>
        <v>T-1030</v>
      </c>
      <c r="Y312" s="93" t="str">
        <f>+VLOOKUP(Agencia[[#This Row],[contenido]],Estructura!$E$4:$G$500,3,0)</f>
        <v>C-1000</v>
      </c>
      <c r="Z312" s="93" t="str">
        <f>+VLOOKUP(Agencia[[#This Row],[Filtro Integrado]],Estructura!$I$4:$K$500,3,0)</f>
        <v>FI-993</v>
      </c>
      <c r="AA312" s="93" t="str">
        <f>+VLOOKUP(Agencia[[#This Row],[Muestra]],Estructura!$M$4:$O$500,3,0)</f>
        <v>M-1049</v>
      </c>
    </row>
    <row r="313" spans="1:27" ht="72" x14ac:dyDescent="0.3">
      <c r="A313" s="21" t="s">
        <v>715</v>
      </c>
      <c r="B313" s="23">
        <f t="shared" si="115"/>
        <v>990</v>
      </c>
      <c r="C313" s="24" t="str">
        <f t="shared" si="116"/>
        <v>Agencia Información</v>
      </c>
      <c r="D313" s="72" t="str">
        <f t="shared" si="123"/>
        <v>Energía</v>
      </c>
      <c r="E313" s="19">
        <v>6</v>
      </c>
      <c r="F313" s="10" t="s">
        <v>1418</v>
      </c>
      <c r="G313" s="10" t="s">
        <v>866</v>
      </c>
      <c r="H313" s="33" t="s">
        <v>16</v>
      </c>
      <c r="I313" s="34" t="s">
        <v>373</v>
      </c>
      <c r="J313" s="9" t="str">
        <f t="shared" si="122"/>
        <v>Ninguno</v>
      </c>
      <c r="K313" s="36" t="str">
        <f t="shared" si="122"/>
        <v>Capacidad instalada de generación</v>
      </c>
      <c r="L313" s="36" t="str">
        <f t="shared" si="122"/>
        <v>Año 2021</v>
      </c>
      <c r="M313" s="9" t="str">
        <f t="shared" si="122"/>
        <v>MW</v>
      </c>
      <c r="N313" s="9" t="str">
        <f t="shared" si="122"/>
        <v>Comisión Nacional de Energía (CNE)</v>
      </c>
      <c r="O313" s="41" t="str">
        <f>"Capacidad Instalada (MW) de Centrales Eléctricas de Energía Renovable y No Renovable en la "&amp;Agencia[[#This Row],[territorio]]&amp;", para el "&amp;Agencia[[#This Row],[temporalidad]]</f>
        <v>Capacidad Instalada (MW) de Centrales Eléctricas de Energía Renovable y No Renovable en la Región de O'Higgins, para el Año 2021</v>
      </c>
      <c r="P313" s="112" t="s">
        <v>6009</v>
      </c>
      <c r="Q313" s="68" t="str">
        <f t="shared" si="117"/>
        <v>Gráfico</v>
      </c>
      <c r="R313" s="148" t="str">
        <f>Agencia[[#This Row],[territorio]]&amp;",capacidad,instalada,MW,central,eléctrica,renovable,regional,potencia,neta,"&amp;Agencia[[#This Row],[coleccion]]&amp;","&amp;Agencia[[#This Row],[sector]]&amp;","&amp;Agencia[[#This Row],[tema]]&amp;","&amp;Agencia[[#This Row],[contenido]]</f>
        <v>Región de O'Higgins,capacidad,instalada,MW,central,eléctrica,renovable,regional,potencia,neta,Agencia Información,Energía,Capacidad Instalada ,Energía</v>
      </c>
      <c r="S31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https://analytics.zoho.com/open-view/2395394000008378752?ZOHO_CRITERIA=%2216%20Energ%C3%ADas%20Renovables%20y%20No%20Renovables%22.%22Cod_Regi%C3%B3n%22%20%3D%206</v>
      </c>
      <c r="T313" s="108" t="str">
        <f>"100-R-"&amp;Agencia[[#This Row],[Filtro URL]]</f>
        <v>100-R-6</v>
      </c>
      <c r="U313" s="46" t="str">
        <f t="shared" si="121"/>
        <v>#1774B9</v>
      </c>
      <c r="V313" s="93" t="str">
        <f>+Agencia[[#This Row],[idcoleccion]]&amp;"-"&amp;Agencia[[#This Row],[id]]</f>
        <v>990-0302</v>
      </c>
      <c r="W313" s="93">
        <f>+VLOOKUP(Agencia[[#This Row],[Filtro URL]],Estructura!$X$4:$Y$500,2,0)</f>
        <v>99200006</v>
      </c>
      <c r="X313" s="93" t="str">
        <f>+VLOOKUP(Agencia[[#This Row],[tema]],Estructura!$A$4:$C$500,3,0)</f>
        <v>T-1030</v>
      </c>
      <c r="Y313" s="93" t="str">
        <f>+VLOOKUP(Agencia[[#This Row],[contenido]],Estructura!$E$4:$G$500,3,0)</f>
        <v>C-1000</v>
      </c>
      <c r="Z313" s="93" t="str">
        <f>+VLOOKUP(Agencia[[#This Row],[Filtro Integrado]],Estructura!$I$4:$K$500,3,0)</f>
        <v>FI-993</v>
      </c>
      <c r="AA313" s="93" t="str">
        <f>+VLOOKUP(Agencia[[#This Row],[Muestra]],Estructura!$M$4:$O$500,3,0)</f>
        <v>M-1049</v>
      </c>
    </row>
    <row r="314" spans="1:27" ht="72" x14ac:dyDescent="0.3">
      <c r="A314" s="21" t="s">
        <v>716</v>
      </c>
      <c r="B314" s="23">
        <f t="shared" ref="B314:B339" si="124">+B313</f>
        <v>990</v>
      </c>
      <c r="C314" s="24" t="str">
        <f t="shared" ref="C314:D339" si="125">+C313</f>
        <v>Agencia Información</v>
      </c>
      <c r="D314" s="72" t="str">
        <f t="shared" si="123"/>
        <v>Energía</v>
      </c>
      <c r="E314" s="19">
        <v>7</v>
      </c>
      <c r="F314" s="10" t="s">
        <v>1418</v>
      </c>
      <c r="G314" s="10" t="s">
        <v>866</v>
      </c>
      <c r="H314" s="33" t="s">
        <v>16</v>
      </c>
      <c r="I314" s="34" t="s">
        <v>374</v>
      </c>
      <c r="J314" s="9" t="str">
        <f t="shared" si="122"/>
        <v>Ninguno</v>
      </c>
      <c r="K314" s="36" t="str">
        <f t="shared" si="122"/>
        <v>Capacidad instalada de generación</v>
      </c>
      <c r="L314" s="36" t="str">
        <f t="shared" si="122"/>
        <v>Año 2021</v>
      </c>
      <c r="M314" s="9" t="str">
        <f t="shared" si="122"/>
        <v>MW</v>
      </c>
      <c r="N314" s="9" t="str">
        <f t="shared" si="122"/>
        <v>Comisión Nacional de Energía (CNE)</v>
      </c>
      <c r="O314" s="41" t="str">
        <f>"Capacidad Instalada (MW) de Centrales Eléctricas de Energía Renovable y No Renovable en la "&amp;Agencia[[#This Row],[territorio]]&amp;", para el "&amp;Agencia[[#This Row],[temporalidad]]</f>
        <v>Capacidad Instalada (MW) de Centrales Eléctricas de Energía Renovable y No Renovable en la Región de Maule, para el Año 2021</v>
      </c>
      <c r="P314" s="112" t="s">
        <v>6010</v>
      </c>
      <c r="Q314" s="68" t="str">
        <f t="shared" si="117"/>
        <v>Gráfico</v>
      </c>
      <c r="R314" s="148" t="str">
        <f>Agencia[[#This Row],[territorio]]&amp;",capacidad,instalada,MW,central,eléctrica,renovable,regional,potencia,neta,"&amp;Agencia[[#This Row],[coleccion]]&amp;","&amp;Agencia[[#This Row],[sector]]&amp;","&amp;Agencia[[#This Row],[tema]]&amp;","&amp;Agencia[[#This Row],[contenido]]</f>
        <v>Región de Maule,capacidad,instalada,MW,central,eléctrica,renovable,regional,potencia,neta,Agencia Información,Energía,Capacidad Instalada ,Energía</v>
      </c>
      <c r="S314"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https://analytics.zoho.com/open-view/2395394000008378752?ZOHO_CRITERIA=%2216%20Energ%C3%ADas%20Renovables%20y%20No%20Renovables%22.%22Cod_Regi%C3%B3n%22%20%3D%207</v>
      </c>
      <c r="T314" s="108" t="str">
        <f>"100-R-"&amp;Agencia[[#This Row],[Filtro URL]]</f>
        <v>100-R-7</v>
      </c>
      <c r="U314" s="46" t="str">
        <f t="shared" si="121"/>
        <v>#1774B9</v>
      </c>
      <c r="V314" s="93" t="str">
        <f>+Agencia[[#This Row],[idcoleccion]]&amp;"-"&amp;Agencia[[#This Row],[id]]</f>
        <v>990-0303</v>
      </c>
      <c r="W314" s="93">
        <f>+VLOOKUP(Agencia[[#This Row],[Filtro URL]],Estructura!$X$4:$Y$500,2,0)</f>
        <v>99200007</v>
      </c>
      <c r="X314" s="93" t="str">
        <f>+VLOOKUP(Agencia[[#This Row],[tema]],Estructura!$A$4:$C$500,3,0)</f>
        <v>T-1030</v>
      </c>
      <c r="Y314" s="93" t="str">
        <f>+VLOOKUP(Agencia[[#This Row],[contenido]],Estructura!$E$4:$G$500,3,0)</f>
        <v>C-1000</v>
      </c>
      <c r="Z314" s="93" t="str">
        <f>+VLOOKUP(Agencia[[#This Row],[Filtro Integrado]],Estructura!$I$4:$K$500,3,0)</f>
        <v>FI-993</v>
      </c>
      <c r="AA314" s="93" t="str">
        <f>+VLOOKUP(Agencia[[#This Row],[Muestra]],Estructura!$M$4:$O$500,3,0)</f>
        <v>M-1049</v>
      </c>
    </row>
    <row r="315" spans="1:27" ht="72" x14ac:dyDescent="0.3">
      <c r="A315" s="21" t="s">
        <v>717</v>
      </c>
      <c r="B315" s="23">
        <f t="shared" si="124"/>
        <v>990</v>
      </c>
      <c r="C315" s="24" t="str">
        <f t="shared" si="125"/>
        <v>Agencia Información</v>
      </c>
      <c r="D315" s="72" t="str">
        <f t="shared" si="123"/>
        <v>Energía</v>
      </c>
      <c r="E315" s="19">
        <v>8</v>
      </c>
      <c r="F315" s="10" t="s">
        <v>1418</v>
      </c>
      <c r="G315" s="10" t="s">
        <v>866</v>
      </c>
      <c r="H315" s="33" t="s">
        <v>16</v>
      </c>
      <c r="I315" s="34" t="s">
        <v>375</v>
      </c>
      <c r="J315" s="9" t="str">
        <f t="shared" ref="J315:N327" si="126">+J314</f>
        <v>Ninguno</v>
      </c>
      <c r="K315" s="36" t="str">
        <f t="shared" si="126"/>
        <v>Capacidad instalada de generación</v>
      </c>
      <c r="L315" s="36" t="str">
        <f t="shared" si="126"/>
        <v>Año 2021</v>
      </c>
      <c r="M315" s="9" t="str">
        <f t="shared" si="126"/>
        <v>MW</v>
      </c>
      <c r="N315" s="9" t="str">
        <f t="shared" si="126"/>
        <v>Comisión Nacional de Energía (CNE)</v>
      </c>
      <c r="O315" s="41" t="str">
        <f>"Capacidad Instalada (MW) de Centrales Eléctricas de Energía Renovable y No Renovable en la "&amp;Agencia[[#This Row],[territorio]]&amp;", para el "&amp;Agencia[[#This Row],[temporalidad]]</f>
        <v>Capacidad Instalada (MW) de Centrales Eléctricas de Energía Renovable y No Renovable en la Región del Biobío, para el Año 2021</v>
      </c>
      <c r="P315" s="112" t="s">
        <v>6011</v>
      </c>
      <c r="Q315" s="68" t="str">
        <f t="shared" si="117"/>
        <v>Gráfico</v>
      </c>
      <c r="R315" s="148" t="str">
        <f>Agencia[[#This Row],[territorio]]&amp;",capacidad,instalada,MW,central,eléctrica,renovable,regional,potencia,neta,"&amp;Agencia[[#This Row],[coleccion]]&amp;","&amp;Agencia[[#This Row],[sector]]&amp;","&amp;Agencia[[#This Row],[tema]]&amp;","&amp;Agencia[[#This Row],[contenido]]</f>
        <v>Región del Biobío,capacidad,instalada,MW,central,eléctrica,renovable,regional,potencia,neta,Agencia Información,Energía,Capacidad Instalada ,Energía</v>
      </c>
      <c r="S315"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https://analytics.zoho.com/open-view/2395394000008378752?ZOHO_CRITERIA=%2216%20Energ%C3%ADas%20Renovables%20y%20No%20Renovables%22.%22Cod_Regi%C3%B3n%22%20%3D%208</v>
      </c>
      <c r="T315" s="108" t="str">
        <f>"100-R-"&amp;Agencia[[#This Row],[Filtro URL]]</f>
        <v>100-R-8</v>
      </c>
      <c r="U315" s="46" t="str">
        <f t="shared" si="121"/>
        <v>#1774B9</v>
      </c>
      <c r="V315" s="93" t="str">
        <f>+Agencia[[#This Row],[idcoleccion]]&amp;"-"&amp;Agencia[[#This Row],[id]]</f>
        <v>990-0304</v>
      </c>
      <c r="W315" s="93">
        <f>+VLOOKUP(Agencia[[#This Row],[Filtro URL]],Estructura!$X$4:$Y$500,2,0)</f>
        <v>99200008</v>
      </c>
      <c r="X315" s="93" t="str">
        <f>+VLOOKUP(Agencia[[#This Row],[tema]],Estructura!$A$4:$C$500,3,0)</f>
        <v>T-1030</v>
      </c>
      <c r="Y315" s="93" t="str">
        <f>+VLOOKUP(Agencia[[#This Row],[contenido]],Estructura!$E$4:$G$500,3,0)</f>
        <v>C-1000</v>
      </c>
      <c r="Z315" s="93" t="str">
        <f>+VLOOKUP(Agencia[[#This Row],[Filtro Integrado]],Estructura!$I$4:$K$500,3,0)</f>
        <v>FI-993</v>
      </c>
      <c r="AA315" s="93" t="str">
        <f>+VLOOKUP(Agencia[[#This Row],[Muestra]],Estructura!$M$4:$O$500,3,0)</f>
        <v>M-1049</v>
      </c>
    </row>
    <row r="316" spans="1:27" ht="72" x14ac:dyDescent="0.3">
      <c r="A316" s="21" t="s">
        <v>718</v>
      </c>
      <c r="B316" s="23">
        <f t="shared" si="124"/>
        <v>990</v>
      </c>
      <c r="C316" s="24" t="str">
        <f t="shared" si="125"/>
        <v>Agencia Información</v>
      </c>
      <c r="D316" s="72" t="str">
        <f t="shared" si="123"/>
        <v>Energía</v>
      </c>
      <c r="E316" s="19">
        <v>9</v>
      </c>
      <c r="F316" s="10" t="s">
        <v>1418</v>
      </c>
      <c r="G316" s="10" t="s">
        <v>866</v>
      </c>
      <c r="H316" s="33" t="s">
        <v>16</v>
      </c>
      <c r="I316" s="34" t="s">
        <v>376</v>
      </c>
      <c r="J316" s="9" t="str">
        <f t="shared" si="126"/>
        <v>Ninguno</v>
      </c>
      <c r="K316" s="36" t="str">
        <f t="shared" si="126"/>
        <v>Capacidad instalada de generación</v>
      </c>
      <c r="L316" s="36" t="str">
        <f t="shared" si="126"/>
        <v>Año 2021</v>
      </c>
      <c r="M316" s="9" t="str">
        <f t="shared" si="126"/>
        <v>MW</v>
      </c>
      <c r="N316" s="9" t="str">
        <f t="shared" si="126"/>
        <v>Comisión Nacional de Energía (CNE)</v>
      </c>
      <c r="O316" s="41" t="str">
        <f>"Capacidad Instalada (MW) de Centrales Eléctricas de Energía Renovable y No Renovable en la "&amp;Agencia[[#This Row],[territorio]]&amp;", para el "&amp;Agencia[[#This Row],[temporalidad]]</f>
        <v>Capacidad Instalada (MW) de Centrales Eléctricas de Energía Renovable y No Renovable en la Región de La Araucanía, para el Año 2021</v>
      </c>
      <c r="P316" s="112" t="s">
        <v>5997</v>
      </c>
      <c r="Q316" s="68" t="str">
        <f t="shared" si="117"/>
        <v>Gráfico</v>
      </c>
      <c r="R316" s="148" t="str">
        <f>Agencia[[#This Row],[territorio]]&amp;",capacidad,instalada,MW,central,eléctrica,renovable,regional,potencia,neta,"&amp;Agencia[[#This Row],[coleccion]]&amp;","&amp;Agencia[[#This Row],[sector]]&amp;","&amp;Agencia[[#This Row],[tema]]&amp;","&amp;Agencia[[#This Row],[contenido]]</f>
        <v>Región de La Araucanía,capacidad,instalada,MW,central,eléctrica,renovable,regional,potencia,neta,Agencia Información,Energía,Capacidad Instalada ,Energía</v>
      </c>
      <c r="S316"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https://analytics.zoho.com/open-view/2395394000008378752?ZOHO_CRITERIA=%2216%20Energ%C3%ADas%20Renovables%20y%20No%20Renovables%22.%22Cod_Regi%C3%B3n%22%20%3D%209</v>
      </c>
      <c r="T316" s="108" t="str">
        <f>"100-R-"&amp;Agencia[[#This Row],[Filtro URL]]</f>
        <v>100-R-9</v>
      </c>
      <c r="U316" s="46" t="str">
        <f t="shared" si="121"/>
        <v>#1774B9</v>
      </c>
      <c r="V316" s="93" t="str">
        <f>+Agencia[[#This Row],[idcoleccion]]&amp;"-"&amp;Agencia[[#This Row],[id]]</f>
        <v>990-0305</v>
      </c>
      <c r="W316" s="93">
        <f>+VLOOKUP(Agencia[[#This Row],[Filtro URL]],Estructura!$X$4:$Y$500,2,0)</f>
        <v>99200009</v>
      </c>
      <c r="X316" s="93" t="str">
        <f>+VLOOKUP(Agencia[[#This Row],[tema]],Estructura!$A$4:$C$500,3,0)</f>
        <v>T-1030</v>
      </c>
      <c r="Y316" s="93" t="str">
        <f>+VLOOKUP(Agencia[[#This Row],[contenido]],Estructura!$E$4:$G$500,3,0)</f>
        <v>C-1000</v>
      </c>
      <c r="Z316" s="93" t="str">
        <f>+VLOOKUP(Agencia[[#This Row],[Filtro Integrado]],Estructura!$I$4:$K$500,3,0)</f>
        <v>FI-993</v>
      </c>
      <c r="AA316" s="93" t="str">
        <f>+VLOOKUP(Agencia[[#This Row],[Muestra]],Estructura!$M$4:$O$500,3,0)</f>
        <v>M-1049</v>
      </c>
    </row>
    <row r="317" spans="1:27" ht="72" x14ac:dyDescent="0.3">
      <c r="A317" s="21" t="s">
        <v>719</v>
      </c>
      <c r="B317" s="23">
        <f t="shared" si="124"/>
        <v>990</v>
      </c>
      <c r="C317" s="24" t="str">
        <f t="shared" si="125"/>
        <v>Agencia Información</v>
      </c>
      <c r="D317" s="72" t="str">
        <f t="shared" si="123"/>
        <v>Energía</v>
      </c>
      <c r="E317" s="19">
        <v>10</v>
      </c>
      <c r="F317" s="10" t="s">
        <v>1418</v>
      </c>
      <c r="G317" s="10" t="s">
        <v>866</v>
      </c>
      <c r="H317" s="33" t="s">
        <v>16</v>
      </c>
      <c r="I317" s="34" t="s">
        <v>377</v>
      </c>
      <c r="J317" s="9" t="str">
        <f t="shared" si="126"/>
        <v>Ninguno</v>
      </c>
      <c r="K317" s="36" t="str">
        <f t="shared" si="126"/>
        <v>Capacidad instalada de generación</v>
      </c>
      <c r="L317" s="36" t="str">
        <f t="shared" si="126"/>
        <v>Año 2021</v>
      </c>
      <c r="M317" s="9" t="str">
        <f t="shared" si="126"/>
        <v>MW</v>
      </c>
      <c r="N317" s="9" t="str">
        <f t="shared" si="126"/>
        <v>Comisión Nacional de Energía (CNE)</v>
      </c>
      <c r="O317"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Lagos, para el Año 2021</v>
      </c>
      <c r="P317" s="112" t="s">
        <v>5998</v>
      </c>
      <c r="Q317" s="68" t="str">
        <f t="shared" si="117"/>
        <v>Gráfico</v>
      </c>
      <c r="R317" s="148" t="str">
        <f>Agencia[[#This Row],[territorio]]&amp;",capacidad,instalada,MW,central,eléctrica,renovable,regional,potencia,neta,"&amp;Agencia[[#This Row],[coleccion]]&amp;","&amp;Agencia[[#This Row],[sector]]&amp;","&amp;Agencia[[#This Row],[tema]]&amp;","&amp;Agencia[[#This Row],[contenido]]</f>
        <v>Región de Los Lagos,capacidad,instalada,MW,central,eléctrica,renovable,regional,potencia,neta,Agencia Información,Energía,Capacidad Instalada ,Energía</v>
      </c>
      <c r="S317"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https://analytics.zoho.com/open-view/2395394000008378752?ZOHO_CRITERIA=%2216%20Energ%C3%ADas%20Renovables%20y%20No%20Renovables%22.%22Cod_Regi%C3%B3n%22%20%3D%2010</v>
      </c>
      <c r="T317" s="108" t="str">
        <f>"100-R-"&amp;Agencia[[#This Row],[Filtro URL]]</f>
        <v>100-R-10</v>
      </c>
      <c r="U317" s="46" t="str">
        <f t="shared" si="121"/>
        <v>#1774B9</v>
      </c>
      <c r="V317" s="93" t="str">
        <f>+Agencia[[#This Row],[idcoleccion]]&amp;"-"&amp;Agencia[[#This Row],[id]]</f>
        <v>990-0306</v>
      </c>
      <c r="W317" s="93">
        <f>+VLOOKUP(Agencia[[#This Row],[Filtro URL]],Estructura!$X$4:$Y$500,2,0)</f>
        <v>99200010</v>
      </c>
      <c r="X317" s="93" t="str">
        <f>+VLOOKUP(Agencia[[#This Row],[tema]],Estructura!$A$4:$C$500,3,0)</f>
        <v>T-1030</v>
      </c>
      <c r="Y317" s="93" t="str">
        <f>+VLOOKUP(Agencia[[#This Row],[contenido]],Estructura!$E$4:$G$500,3,0)</f>
        <v>C-1000</v>
      </c>
      <c r="Z317" s="93" t="str">
        <f>+VLOOKUP(Agencia[[#This Row],[Filtro Integrado]],Estructura!$I$4:$K$500,3,0)</f>
        <v>FI-993</v>
      </c>
      <c r="AA317" s="93" t="str">
        <f>+VLOOKUP(Agencia[[#This Row],[Muestra]],Estructura!$M$4:$O$500,3,0)</f>
        <v>M-1049</v>
      </c>
    </row>
    <row r="318" spans="1:27" ht="72" x14ac:dyDescent="0.3">
      <c r="A318" s="21" t="s">
        <v>720</v>
      </c>
      <c r="B318" s="23">
        <f t="shared" si="124"/>
        <v>990</v>
      </c>
      <c r="C318" s="24" t="str">
        <f t="shared" si="125"/>
        <v>Agencia Información</v>
      </c>
      <c r="D318" s="72" t="str">
        <f t="shared" si="123"/>
        <v>Energía</v>
      </c>
      <c r="E318" s="19">
        <v>11</v>
      </c>
      <c r="F318" s="10" t="s">
        <v>1418</v>
      </c>
      <c r="G318" s="10" t="s">
        <v>866</v>
      </c>
      <c r="H318" s="33" t="s">
        <v>16</v>
      </c>
      <c r="I318" s="34" t="s">
        <v>378</v>
      </c>
      <c r="J318" s="9" t="str">
        <f t="shared" si="126"/>
        <v>Ninguno</v>
      </c>
      <c r="K318" s="36" t="str">
        <f t="shared" si="126"/>
        <v>Capacidad instalada de generación</v>
      </c>
      <c r="L318" s="36" t="str">
        <f t="shared" si="126"/>
        <v>Año 2021</v>
      </c>
      <c r="M318" s="9" t="str">
        <f t="shared" si="126"/>
        <v>MW</v>
      </c>
      <c r="N318" s="9" t="str">
        <f t="shared" si="126"/>
        <v>Comisión Nacional de Energía (CNE)</v>
      </c>
      <c r="O318" s="41" t="str">
        <f>"Capacidad Instalada (MW) de Centrales Eléctricas de Energía Renovable y No Renovable en la "&amp;Agencia[[#This Row],[territorio]]&amp;", para el "&amp;Agencia[[#This Row],[temporalidad]]</f>
        <v>Capacidad Instalada (MW) de Centrales Eléctricas de Energía Renovable y No Renovable en la Región de Aysén, para el Año 2021</v>
      </c>
      <c r="P318" s="112" t="s">
        <v>5999</v>
      </c>
      <c r="Q318" s="68" t="str">
        <f t="shared" si="117"/>
        <v>Gráfico</v>
      </c>
      <c r="R318" s="148" t="str">
        <f>Agencia[[#This Row],[territorio]]&amp;",capacidad,instalada,MW,central,eléctrica,renovable,regional,potencia,neta,"&amp;Agencia[[#This Row],[coleccion]]&amp;","&amp;Agencia[[#This Row],[sector]]&amp;","&amp;Agencia[[#This Row],[tema]]&amp;","&amp;Agencia[[#This Row],[contenido]]</f>
        <v>Región de Aysén,capacidad,instalada,MW,central,eléctrica,renovable,regional,potencia,neta,Agencia Información,Energía,Capacidad Instalada ,Energía</v>
      </c>
      <c r="S318"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https://analytics.zoho.com/open-view/2395394000008378752?ZOHO_CRITERIA=%2216%20Energ%C3%ADas%20Renovables%20y%20No%20Renovables%22.%22Cod_Regi%C3%B3n%22%20%3D%2011</v>
      </c>
      <c r="T318" s="108" t="str">
        <f>"100-R-"&amp;Agencia[[#This Row],[Filtro URL]]</f>
        <v>100-R-11</v>
      </c>
      <c r="U318" s="46" t="str">
        <f t="shared" si="121"/>
        <v>#1774B9</v>
      </c>
      <c r="V318" s="93" t="str">
        <f>+Agencia[[#This Row],[idcoleccion]]&amp;"-"&amp;Agencia[[#This Row],[id]]</f>
        <v>990-0307</v>
      </c>
      <c r="W318" s="93">
        <f>+VLOOKUP(Agencia[[#This Row],[Filtro URL]],Estructura!$X$4:$Y$500,2,0)</f>
        <v>99200011</v>
      </c>
      <c r="X318" s="93" t="str">
        <f>+VLOOKUP(Agencia[[#This Row],[tema]],Estructura!$A$4:$C$500,3,0)</f>
        <v>T-1030</v>
      </c>
      <c r="Y318" s="93" t="str">
        <f>+VLOOKUP(Agencia[[#This Row],[contenido]],Estructura!$E$4:$G$500,3,0)</f>
        <v>C-1000</v>
      </c>
      <c r="Z318" s="93" t="str">
        <f>+VLOOKUP(Agencia[[#This Row],[Filtro Integrado]],Estructura!$I$4:$K$500,3,0)</f>
        <v>FI-993</v>
      </c>
      <c r="AA318" s="93" t="str">
        <f>+VLOOKUP(Agencia[[#This Row],[Muestra]],Estructura!$M$4:$O$500,3,0)</f>
        <v>M-1049</v>
      </c>
    </row>
    <row r="319" spans="1:27" ht="72" x14ac:dyDescent="0.3">
      <c r="A319" s="21" t="s">
        <v>721</v>
      </c>
      <c r="B319" s="23">
        <f t="shared" si="124"/>
        <v>990</v>
      </c>
      <c r="C319" s="24" t="str">
        <f t="shared" si="125"/>
        <v>Agencia Información</v>
      </c>
      <c r="D319" s="72" t="str">
        <f t="shared" si="123"/>
        <v>Energía</v>
      </c>
      <c r="E319" s="19">
        <v>12</v>
      </c>
      <c r="F319" s="10" t="s">
        <v>1418</v>
      </c>
      <c r="G319" s="10" t="s">
        <v>866</v>
      </c>
      <c r="H319" s="33" t="s">
        <v>16</v>
      </c>
      <c r="I319" s="34" t="s">
        <v>379</v>
      </c>
      <c r="J319" s="9" t="str">
        <f t="shared" si="126"/>
        <v>Ninguno</v>
      </c>
      <c r="K319" s="36" t="str">
        <f t="shared" si="126"/>
        <v>Capacidad instalada de generación</v>
      </c>
      <c r="L319" s="36" t="str">
        <f t="shared" si="126"/>
        <v>Año 2021</v>
      </c>
      <c r="M319" s="9" t="str">
        <f t="shared" si="126"/>
        <v>MW</v>
      </c>
      <c r="N319" s="9" t="str">
        <f t="shared" si="126"/>
        <v>Comisión Nacional de Energía (CNE)</v>
      </c>
      <c r="O319" s="41" t="str">
        <f>"Capacidad Instalada (MW) de Centrales Eléctricas de Energía Renovable y No Renovable en la "&amp;Agencia[[#This Row],[territorio]]&amp;", para el "&amp;Agencia[[#This Row],[temporalidad]]</f>
        <v>Capacidad Instalada (MW) de Centrales Eléctricas de Energía Renovable y No Renovable en la Región de Magallanes, para el Año 2021</v>
      </c>
      <c r="P319" s="112" t="s">
        <v>6000</v>
      </c>
      <c r="Q319" s="68" t="str">
        <f t="shared" si="117"/>
        <v>Gráfico</v>
      </c>
      <c r="R319" s="148" t="str">
        <f>Agencia[[#This Row],[territorio]]&amp;",capacidad,instalada,MW,central,eléctrica,renovable,regional,potencia,neta,"&amp;Agencia[[#This Row],[coleccion]]&amp;","&amp;Agencia[[#This Row],[sector]]&amp;","&amp;Agencia[[#This Row],[tema]]&amp;","&amp;Agencia[[#This Row],[contenido]]</f>
        <v>Región de Magallanes,capacidad,instalada,MW,central,eléctrica,renovable,regional,potencia,neta,Agencia Información,Energía,Capacidad Instalada ,Energía</v>
      </c>
      <c r="S319"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https://analytics.zoho.com/open-view/2395394000008378752?ZOHO_CRITERIA=%2216%20Energ%C3%ADas%20Renovables%20y%20No%20Renovables%22.%22Cod_Regi%C3%B3n%22%20%3D%2012</v>
      </c>
      <c r="T319" s="108" t="str">
        <f>"100-R-"&amp;Agencia[[#This Row],[Filtro URL]]</f>
        <v>100-R-12</v>
      </c>
      <c r="U319" s="46" t="str">
        <f t="shared" si="121"/>
        <v>#1774B9</v>
      </c>
      <c r="V319" s="93" t="str">
        <f>+Agencia[[#This Row],[idcoleccion]]&amp;"-"&amp;Agencia[[#This Row],[id]]</f>
        <v>990-0308</v>
      </c>
      <c r="W319" s="93">
        <f>+VLOOKUP(Agencia[[#This Row],[Filtro URL]],Estructura!$X$4:$Y$500,2,0)</f>
        <v>99200012</v>
      </c>
      <c r="X319" s="93" t="str">
        <f>+VLOOKUP(Agencia[[#This Row],[tema]],Estructura!$A$4:$C$500,3,0)</f>
        <v>T-1030</v>
      </c>
      <c r="Y319" s="93" t="str">
        <f>+VLOOKUP(Agencia[[#This Row],[contenido]],Estructura!$E$4:$G$500,3,0)</f>
        <v>C-1000</v>
      </c>
      <c r="Z319" s="93" t="str">
        <f>+VLOOKUP(Agencia[[#This Row],[Filtro Integrado]],Estructura!$I$4:$K$500,3,0)</f>
        <v>FI-993</v>
      </c>
      <c r="AA319" s="93" t="str">
        <f>+VLOOKUP(Agencia[[#This Row],[Muestra]],Estructura!$M$4:$O$500,3,0)</f>
        <v>M-1049</v>
      </c>
    </row>
    <row r="320" spans="1:27" ht="72" x14ac:dyDescent="0.3">
      <c r="A320" s="21" t="s">
        <v>722</v>
      </c>
      <c r="B320" s="23">
        <f t="shared" si="124"/>
        <v>990</v>
      </c>
      <c r="C320" s="24" t="str">
        <f t="shared" si="125"/>
        <v>Agencia Información</v>
      </c>
      <c r="D320" s="72" t="str">
        <f t="shared" si="123"/>
        <v>Energía</v>
      </c>
      <c r="E320" s="19">
        <v>13</v>
      </c>
      <c r="F320" s="10" t="s">
        <v>1418</v>
      </c>
      <c r="G320" s="10" t="s">
        <v>866</v>
      </c>
      <c r="H320" s="33" t="s">
        <v>16</v>
      </c>
      <c r="I320" s="34" t="s">
        <v>380</v>
      </c>
      <c r="J320" s="9" t="str">
        <f t="shared" si="126"/>
        <v>Ninguno</v>
      </c>
      <c r="K320" s="36" t="str">
        <f t="shared" si="126"/>
        <v>Capacidad instalada de generación</v>
      </c>
      <c r="L320" s="36" t="str">
        <f t="shared" si="126"/>
        <v>Año 2021</v>
      </c>
      <c r="M320" s="9" t="str">
        <f t="shared" si="126"/>
        <v>MW</v>
      </c>
      <c r="N320" s="9" t="str">
        <f t="shared" si="126"/>
        <v>Comisión Nacional de Energía (CNE)</v>
      </c>
      <c r="O320" s="41" t="str">
        <f>"Capacidad Instalada (MW) de Centrales Eléctricas de Energía Renovable y No Renovable en la "&amp;Agencia[[#This Row],[territorio]]&amp;", para el "&amp;Agencia[[#This Row],[temporalidad]]</f>
        <v>Capacidad Instalada (MW) de Centrales Eléctricas de Energía Renovable y No Renovable en la Región Metropolitana, para el Año 2021</v>
      </c>
      <c r="P320" s="112" t="s">
        <v>6001</v>
      </c>
      <c r="Q320" s="68" t="str">
        <f t="shared" si="117"/>
        <v>Gráfico</v>
      </c>
      <c r="R320" s="148" t="str">
        <f>Agencia[[#This Row],[territorio]]&amp;",capacidad,instalada,MW,central,eléctrica,renovable,regional,potencia,neta,"&amp;Agencia[[#This Row],[coleccion]]&amp;","&amp;Agencia[[#This Row],[sector]]&amp;","&amp;Agencia[[#This Row],[tema]]&amp;","&amp;Agencia[[#This Row],[contenido]]</f>
        <v>Región Metropolitana,capacidad,instalada,MW,central,eléctrica,renovable,regional,potencia,neta,Agencia Información,Energía,Capacidad Instalada ,Energía</v>
      </c>
      <c r="S320"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https://analytics.zoho.com/open-view/2395394000008378752?ZOHO_CRITERIA=%2216%20Energ%C3%ADas%20Renovables%20y%20No%20Renovables%22.%22Cod_Regi%C3%B3n%22%20%3D%2013</v>
      </c>
      <c r="T320" s="108" t="str">
        <f>"200-R-"&amp;Agencia[[#This Row],[Filtro URL]]</f>
        <v>200-R-13</v>
      </c>
      <c r="U320" s="46" t="str">
        <f t="shared" ref="U320:U333" si="127">+U319</f>
        <v>#1774B9</v>
      </c>
      <c r="V320" s="93" t="str">
        <f>+Agencia[[#This Row],[idcoleccion]]&amp;"-"&amp;Agencia[[#This Row],[id]]</f>
        <v>990-0309</v>
      </c>
      <c r="W320" s="93">
        <f>+VLOOKUP(Agencia[[#This Row],[Filtro URL]],Estructura!$X$4:$Y$500,2,0)</f>
        <v>99200013</v>
      </c>
      <c r="X320" s="93" t="str">
        <f>+VLOOKUP(Agencia[[#This Row],[tema]],Estructura!$A$4:$C$500,3,0)</f>
        <v>T-1030</v>
      </c>
      <c r="Y320" s="93" t="str">
        <f>+VLOOKUP(Agencia[[#This Row],[contenido]],Estructura!$E$4:$G$500,3,0)</f>
        <v>C-1000</v>
      </c>
      <c r="Z320" s="93" t="str">
        <f>+VLOOKUP(Agencia[[#This Row],[Filtro Integrado]],Estructura!$I$4:$K$500,3,0)</f>
        <v>FI-993</v>
      </c>
      <c r="AA320" s="93" t="str">
        <f>+VLOOKUP(Agencia[[#This Row],[Muestra]],Estructura!$M$4:$O$500,3,0)</f>
        <v>M-1049</v>
      </c>
    </row>
    <row r="321" spans="1:27" ht="72" x14ac:dyDescent="0.3">
      <c r="A321" s="21" t="s">
        <v>723</v>
      </c>
      <c r="B321" s="23">
        <f t="shared" si="124"/>
        <v>990</v>
      </c>
      <c r="C321" s="24" t="str">
        <f t="shared" si="125"/>
        <v>Agencia Información</v>
      </c>
      <c r="D321" s="72" t="str">
        <f t="shared" si="123"/>
        <v>Energía</v>
      </c>
      <c r="E321" s="19">
        <v>14</v>
      </c>
      <c r="F321" s="10" t="s">
        <v>1418</v>
      </c>
      <c r="G321" s="10" t="s">
        <v>866</v>
      </c>
      <c r="H321" s="33" t="s">
        <v>16</v>
      </c>
      <c r="I321" s="34" t="s">
        <v>381</v>
      </c>
      <c r="J321" s="9" t="str">
        <f t="shared" si="126"/>
        <v>Ninguno</v>
      </c>
      <c r="K321" s="36" t="str">
        <f t="shared" si="126"/>
        <v>Capacidad instalada de generación</v>
      </c>
      <c r="L321" s="36" t="str">
        <f t="shared" si="126"/>
        <v>Año 2021</v>
      </c>
      <c r="M321" s="9" t="str">
        <f t="shared" si="126"/>
        <v>MW</v>
      </c>
      <c r="N321" s="9" t="str">
        <f t="shared" si="126"/>
        <v>Comisión Nacional de Energía (CNE)</v>
      </c>
      <c r="O321"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Ríos, para el Año 2021</v>
      </c>
      <c r="P321" s="112" t="s">
        <v>6002</v>
      </c>
      <c r="Q321" s="68" t="str">
        <f t="shared" si="117"/>
        <v>Gráfico</v>
      </c>
      <c r="R321" s="148" t="str">
        <f>Agencia[[#This Row],[territorio]]&amp;",capacidad,instalada,MW,central,eléctrica,renovable,regional,potencia,neta,"&amp;Agencia[[#This Row],[coleccion]]&amp;","&amp;Agencia[[#This Row],[sector]]&amp;","&amp;Agencia[[#This Row],[tema]]&amp;","&amp;Agencia[[#This Row],[contenido]]</f>
        <v>Región de Los Ríos,capacidad,instalada,MW,central,eléctrica,renovable,regional,potencia,neta,Agencia Información,Energía,Capacidad Instalada ,Energía</v>
      </c>
      <c r="S32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https://analytics.zoho.com/open-view/2395394000008378752?ZOHO_CRITERIA=%2216%20Energ%C3%ADas%20Renovables%20y%20No%20Renovables%22.%22Cod_Regi%C3%B3n%22%20%3D%2014</v>
      </c>
      <c r="T321" s="108" t="str">
        <f>"100-R-"&amp;Agencia[[#This Row],[Filtro URL]]</f>
        <v>100-R-14</v>
      </c>
      <c r="U321" s="46" t="str">
        <f t="shared" si="127"/>
        <v>#1774B9</v>
      </c>
      <c r="V321" s="93" t="str">
        <f>+Agencia[[#This Row],[idcoleccion]]&amp;"-"&amp;Agencia[[#This Row],[id]]</f>
        <v>990-0310</v>
      </c>
      <c r="W321" s="93">
        <f>+VLOOKUP(Agencia[[#This Row],[Filtro URL]],Estructura!$X$4:$Y$500,2,0)</f>
        <v>99200014</v>
      </c>
      <c r="X321" s="93" t="str">
        <f>+VLOOKUP(Agencia[[#This Row],[tema]],Estructura!$A$4:$C$500,3,0)</f>
        <v>T-1030</v>
      </c>
      <c r="Y321" s="93" t="str">
        <f>+VLOOKUP(Agencia[[#This Row],[contenido]],Estructura!$E$4:$G$500,3,0)</f>
        <v>C-1000</v>
      </c>
      <c r="Z321" s="93" t="str">
        <f>+VLOOKUP(Agencia[[#This Row],[Filtro Integrado]],Estructura!$I$4:$K$500,3,0)</f>
        <v>FI-993</v>
      </c>
      <c r="AA321" s="93" t="str">
        <f>+VLOOKUP(Agencia[[#This Row],[Muestra]],Estructura!$M$4:$O$500,3,0)</f>
        <v>M-1049</v>
      </c>
    </row>
    <row r="322" spans="1:27" ht="72" x14ac:dyDescent="0.3">
      <c r="A322" s="21" t="s">
        <v>724</v>
      </c>
      <c r="B322" s="23">
        <f t="shared" si="124"/>
        <v>990</v>
      </c>
      <c r="C322" s="24" t="str">
        <f t="shared" si="125"/>
        <v>Agencia Información</v>
      </c>
      <c r="D322" s="72" t="str">
        <f t="shared" si="123"/>
        <v>Energía</v>
      </c>
      <c r="E322" s="19">
        <v>15</v>
      </c>
      <c r="F322" s="10" t="s">
        <v>1418</v>
      </c>
      <c r="G322" s="10" t="s">
        <v>866</v>
      </c>
      <c r="H322" s="33" t="s">
        <v>16</v>
      </c>
      <c r="I322" s="34" t="s">
        <v>382</v>
      </c>
      <c r="J322" s="9" t="str">
        <f t="shared" si="126"/>
        <v>Ninguno</v>
      </c>
      <c r="K322" s="36" t="str">
        <f t="shared" si="126"/>
        <v>Capacidad instalada de generación</v>
      </c>
      <c r="L322" s="36" t="str">
        <f t="shared" si="126"/>
        <v>Año 2021</v>
      </c>
      <c r="M322" s="9" t="str">
        <f t="shared" si="126"/>
        <v>MW</v>
      </c>
      <c r="N322" s="9" t="str">
        <f t="shared" si="126"/>
        <v>Comisión Nacional de Energía (CNE)</v>
      </c>
      <c r="O322" s="41" t="str">
        <f>"Capacidad Instalada (MW) de Centrales Eléctricas de Energía Renovable y No Renovable en la "&amp;Agencia[[#This Row],[territorio]]&amp;", para el "&amp;Agencia[[#This Row],[temporalidad]]</f>
        <v>Capacidad Instalada (MW) de Centrales Eléctricas de Energía Renovable y No Renovable en la Región de Arica y Parinacota, para el Año 2021</v>
      </c>
      <c r="P322" s="112" t="s">
        <v>6003</v>
      </c>
      <c r="Q322" s="68" t="str">
        <f t="shared" si="117"/>
        <v>Gráfico</v>
      </c>
      <c r="R322" s="148" t="str">
        <f>Agencia[[#This Row],[territorio]]&amp;",capacidad,instalada,MW,central,eléctrica,renovable,regional,potencia,neta,"&amp;Agencia[[#This Row],[coleccion]]&amp;","&amp;Agencia[[#This Row],[sector]]&amp;","&amp;Agencia[[#This Row],[tema]]&amp;","&amp;Agencia[[#This Row],[contenido]]</f>
        <v>Región de Arica y Parinacota,capacidad,instalada,MW,central,eléctrica,renovable,regional,potencia,neta,Agencia Información,Energía,Capacidad Instalada ,Energía</v>
      </c>
      <c r="S32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https://analytics.zoho.com/open-view/2395394000008378752?ZOHO_CRITERIA=%2216%20Energ%C3%ADas%20Renovables%20y%20No%20Renovables%22.%22Cod_Regi%C3%B3n%22%20%3D%2015</v>
      </c>
      <c r="T322" s="108" t="str">
        <f>"100-R-"&amp;Agencia[[#This Row],[Filtro URL]]</f>
        <v>100-R-15</v>
      </c>
      <c r="U322" s="46" t="str">
        <f t="shared" si="127"/>
        <v>#1774B9</v>
      </c>
      <c r="V322" s="93" t="str">
        <f>+Agencia[[#This Row],[idcoleccion]]&amp;"-"&amp;Agencia[[#This Row],[id]]</f>
        <v>990-0311</v>
      </c>
      <c r="W322" s="93">
        <f>+VLOOKUP(Agencia[[#This Row],[Filtro URL]],Estructura!$X$4:$Y$500,2,0)</f>
        <v>99200015</v>
      </c>
      <c r="X322" s="93" t="str">
        <f>+VLOOKUP(Agencia[[#This Row],[tema]],Estructura!$A$4:$C$500,3,0)</f>
        <v>T-1030</v>
      </c>
      <c r="Y322" s="93" t="str">
        <f>+VLOOKUP(Agencia[[#This Row],[contenido]],Estructura!$E$4:$G$500,3,0)</f>
        <v>C-1000</v>
      </c>
      <c r="Z322" s="93" t="str">
        <f>+VLOOKUP(Agencia[[#This Row],[Filtro Integrado]],Estructura!$I$4:$K$500,3,0)</f>
        <v>FI-993</v>
      </c>
      <c r="AA322" s="93" t="str">
        <f>+VLOOKUP(Agencia[[#This Row],[Muestra]],Estructura!$M$4:$O$500,3,0)</f>
        <v>M-1049</v>
      </c>
    </row>
    <row r="323" spans="1:27" ht="72" x14ac:dyDescent="0.3">
      <c r="A323" s="21" t="s">
        <v>725</v>
      </c>
      <c r="B323" s="23">
        <f t="shared" si="124"/>
        <v>990</v>
      </c>
      <c r="C323" s="24" t="str">
        <f t="shared" si="125"/>
        <v>Agencia Información</v>
      </c>
      <c r="D323" s="72" t="str">
        <f t="shared" si="123"/>
        <v>Energía</v>
      </c>
      <c r="E323" s="19">
        <v>16</v>
      </c>
      <c r="F323" s="10" t="s">
        <v>1418</v>
      </c>
      <c r="G323" s="10" t="s">
        <v>866</v>
      </c>
      <c r="H323" s="33" t="s">
        <v>16</v>
      </c>
      <c r="I323" s="34" t="s">
        <v>383</v>
      </c>
      <c r="J323" s="9" t="str">
        <f t="shared" si="126"/>
        <v>Ninguno</v>
      </c>
      <c r="K323" s="36" t="str">
        <f t="shared" si="126"/>
        <v>Capacidad instalada de generación</v>
      </c>
      <c r="L323" s="36" t="str">
        <f t="shared" si="126"/>
        <v>Año 2021</v>
      </c>
      <c r="M323" s="9" t="str">
        <f t="shared" si="126"/>
        <v>MW</v>
      </c>
      <c r="N323" s="9" t="str">
        <f t="shared" si="126"/>
        <v>Comisión Nacional de Energía (CNE)</v>
      </c>
      <c r="O323" s="41" t="str">
        <f>"Capacidad Instalada (MW) de Centrales Eléctricas de Energía Renovable y No Renovable en la "&amp;Agencia[[#This Row],[territorio]]&amp;", para el "&amp;Agencia[[#This Row],[temporalidad]]</f>
        <v>Capacidad Instalada (MW) de Centrales Eléctricas de Energía Renovable y No Renovable en la Región de Ñuble, para el Año 2021</v>
      </c>
      <c r="P323" s="112" t="s">
        <v>6004</v>
      </c>
      <c r="Q323" s="68" t="str">
        <f t="shared" si="117"/>
        <v>Gráfico</v>
      </c>
      <c r="R323" s="148" t="str">
        <f>Agencia[[#This Row],[territorio]]&amp;",capacidad,instalada,MW,central,eléctrica,renovable,regional,potencia,neta,"&amp;Agencia[[#This Row],[coleccion]]&amp;","&amp;Agencia[[#This Row],[sector]]&amp;","&amp;Agencia[[#This Row],[tema]]&amp;","&amp;Agencia[[#This Row],[contenido]]</f>
        <v>Región de Ñuble,capacidad,instalada,MW,central,eléctrica,renovable,regional,potencia,neta,Agencia Información,Energía,Capacidad Instalada ,Energía</v>
      </c>
      <c r="S32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https://analytics.zoho.com/open-view/2395394000008378752?ZOHO_CRITERIA=%2216%20Energ%C3%ADas%20Renovables%20y%20No%20Renovables%22.%22Cod_Regi%C3%B3n%22%20%3D%2016</v>
      </c>
      <c r="T323" s="108" t="str">
        <f>"100-R-"&amp;Agencia[[#This Row],[Filtro URL]]</f>
        <v>100-R-16</v>
      </c>
      <c r="U323" s="46" t="str">
        <f t="shared" si="127"/>
        <v>#1774B9</v>
      </c>
      <c r="V323" s="93" t="str">
        <f>+Agencia[[#This Row],[idcoleccion]]&amp;"-"&amp;Agencia[[#This Row],[id]]</f>
        <v>990-0312</v>
      </c>
      <c r="W323" s="93">
        <f>+VLOOKUP(Agencia[[#This Row],[Filtro URL]],Estructura!$X$4:$Y$500,2,0)</f>
        <v>99200016</v>
      </c>
      <c r="X323" s="93" t="str">
        <f>+VLOOKUP(Agencia[[#This Row],[tema]],Estructura!$A$4:$C$500,3,0)</f>
        <v>T-1030</v>
      </c>
      <c r="Y323" s="93" t="str">
        <f>+VLOOKUP(Agencia[[#This Row],[contenido]],Estructura!$E$4:$G$500,3,0)</f>
        <v>C-1000</v>
      </c>
      <c r="Z323" s="93" t="str">
        <f>+VLOOKUP(Agencia[[#This Row],[Filtro Integrado]],Estructura!$I$4:$K$500,3,0)</f>
        <v>FI-993</v>
      </c>
      <c r="AA323" s="93" t="str">
        <f>+VLOOKUP(Agencia[[#This Row],[Muestra]],Estructura!$M$4:$O$500,3,0)</f>
        <v>M-1049</v>
      </c>
    </row>
    <row r="324" spans="1:27" ht="51" x14ac:dyDescent="0.3">
      <c r="A324" s="21" t="s">
        <v>726</v>
      </c>
      <c r="B324" s="23">
        <f t="shared" si="124"/>
        <v>990</v>
      </c>
      <c r="C324" s="24" t="str">
        <f t="shared" si="125"/>
        <v>Agencia Información</v>
      </c>
      <c r="D324" s="72" t="s">
        <v>571</v>
      </c>
      <c r="E324" s="14">
        <v>0</v>
      </c>
      <c r="F324" s="10" t="s">
        <v>795</v>
      </c>
      <c r="G324" s="10" t="s">
        <v>1878</v>
      </c>
      <c r="H324" s="31" t="s">
        <v>20</v>
      </c>
      <c r="I324" s="32" t="s">
        <v>15</v>
      </c>
      <c r="J324" s="9" t="s">
        <v>16</v>
      </c>
      <c r="K324" s="9" t="s">
        <v>9271</v>
      </c>
      <c r="L324" s="9" t="s">
        <v>939</v>
      </c>
      <c r="M324" s="9" t="s">
        <v>574</v>
      </c>
      <c r="N324" s="9" t="s">
        <v>601</v>
      </c>
      <c r="O324" s="20" t="str">
        <f>"Producción Agrícola (t) en "&amp;Agencia[[#This Row],[territorio]]&amp;" en el "&amp;Agencia[[#This Row],[temporalidad]]</f>
        <v>Producción Agrícola (t) en Chile en el Periodo 1979-2020</v>
      </c>
      <c r="P324" s="112" t="s">
        <v>6611</v>
      </c>
      <c r="Q324" s="11" t="s">
        <v>784</v>
      </c>
      <c r="R324" s="20" t="str">
        <f>Agencia[[#This Row],[territorio]]&amp;",cultivos,producción,agrícola,agricultura,regional,región,histórico,evolución,temporadas,"&amp;Agencia[[#This Row],[coleccion]]&amp;","&amp;Agencia[[#This Row],[sector]]&amp;","&amp;Agencia[[#This Row],[tema]]&amp;","&amp;Agencia[[#This Row],[contenido]]</f>
        <v>Chile,cultivos,producción,agrícola,agricultura,regional,región,histórico,evolución,temporadas,Agencia Información,Agropecuario y Forestal,Producción,Agricultura</v>
      </c>
      <c r="S324" s="83" t="s">
        <v>1417</v>
      </c>
      <c r="T324" s="108" t="s">
        <v>805</v>
      </c>
      <c r="U324" s="46" t="str">
        <f t="shared" si="127"/>
        <v>#1774B9</v>
      </c>
      <c r="V324" s="93" t="str">
        <f>+Agencia[[#This Row],[idcoleccion]]&amp;"-"&amp;Agencia[[#This Row],[id]]</f>
        <v>990-0313</v>
      </c>
      <c r="W324" s="93">
        <f>+VLOOKUP(Agencia[[#This Row],[Filtro URL]],Estructura!$X$4:$Y$500,2,0)</f>
        <v>99100000</v>
      </c>
      <c r="X324" s="93" t="str">
        <f>+VLOOKUP(Agencia[[#This Row],[tema]],Estructura!$A$4:$C$500,3,0)</f>
        <v>T-1024</v>
      </c>
      <c r="Y324" s="93" t="str">
        <f>+VLOOKUP(Agencia[[#This Row],[contenido]],Estructura!$E$4:$G$500,3,0)</f>
        <v>C-997</v>
      </c>
      <c r="Z324" s="93" t="str">
        <f>+VLOOKUP(Agencia[[#This Row],[Filtro Integrado]],Estructura!$I$4:$K$500,3,0)</f>
        <v>FI-992</v>
      </c>
      <c r="AA324" s="93" t="str">
        <f>+VLOOKUP(Agencia[[#This Row],[Muestra]],Estructura!$M$4:$O$500,3,0)</f>
        <v>M-1050</v>
      </c>
    </row>
    <row r="325" spans="1:27" ht="57.6" x14ac:dyDescent="0.3">
      <c r="A325" s="21" t="s">
        <v>727</v>
      </c>
      <c r="B325" s="23">
        <f>+B324</f>
        <v>990</v>
      </c>
      <c r="C325" s="136" t="str">
        <f t="shared" si="125"/>
        <v>Agencia Información</v>
      </c>
      <c r="D325" s="136" t="str">
        <f t="shared" si="125"/>
        <v>Agropecuario y Forestal</v>
      </c>
      <c r="E325" s="19">
        <v>4</v>
      </c>
      <c r="F325" s="10" t="s">
        <v>795</v>
      </c>
      <c r="G325" s="10" t="s">
        <v>1878</v>
      </c>
      <c r="H325" s="33" t="s">
        <v>16</v>
      </c>
      <c r="I325" s="34" t="s">
        <v>371</v>
      </c>
      <c r="J325" s="9" t="str">
        <f>+J324</f>
        <v>Región</v>
      </c>
      <c r="K325" s="127" t="str">
        <f t="shared" ref="K325:N325" si="128">+K324</f>
        <v>Producción agrícola</v>
      </c>
      <c r="L325" s="127" t="str">
        <f t="shared" si="128"/>
        <v>Periodo 1979-2020</v>
      </c>
      <c r="M325" s="127" t="str">
        <f t="shared" si="128"/>
        <v>Toneladas</v>
      </c>
      <c r="N325" s="127" t="str">
        <f t="shared" si="128"/>
        <v>Oficina de Estudios y Políticas Agrarias (ODEPA)</v>
      </c>
      <c r="O325" s="20" t="str">
        <f>"Producción Agrícola (t) en la "&amp;Agencia[[#This Row],[territorio]]&amp;" en el "&amp;Agencia[[#This Row],[temporalidad]]</f>
        <v>Producción Agrícola (t) en la Región de Coquimbo en el Periodo 1979-2020</v>
      </c>
      <c r="P325" s="112" t="s">
        <v>6601</v>
      </c>
      <c r="Q325" s="11" t="str">
        <f>+Q324</f>
        <v>Gráfico de Evolución</v>
      </c>
      <c r="R325" s="148" t="str">
        <f>Agencia[[#This Row],[territorio]]&amp;",cultivos,producción,agrícola,agricultura,regional,región,histórico,evolución,temporadas,"&amp;Agencia[[#This Row],[coleccion]]&amp;","&amp;Agencia[[#This Row],[sector]]&amp;","&amp;Agencia[[#This Row],[tema]]&amp;","&amp;Agencia[[#This Row],[contenido]]</f>
        <v>Región de Coquimbo,cultivos,producción,agrícola,agricultura,regional,región,histórico,evolución,temporadas,Agencia Información,Agropecuario y Forestal,Producción,Agricultura</v>
      </c>
      <c r="S325" s="37" t="str">
        <f>HYPERLINK("https://analytics.zoho.com/open-view/2395394000008257083?ZOHO_CRITERIA=%22Trasposicion_4.10%22.%22Cod_regi%C3%B3n%22%20%3D%20"&amp;Agencia[[#This Row],[Filtro URL]])</f>
        <v>https://analytics.zoho.com/open-view/2395394000008257083?ZOHO_CRITERIA=%22Trasposicion_4.10%22.%22Cod_regi%C3%B3n%22%20%3D%204</v>
      </c>
      <c r="T325" s="108" t="str">
        <f>"100-R-"&amp;Agencia[[#This Row],[Filtro URL]]</f>
        <v>100-R-4</v>
      </c>
      <c r="U325" s="46" t="str">
        <f>+U324</f>
        <v>#1774B9</v>
      </c>
      <c r="V325" s="93" t="str">
        <f>+Agencia[[#This Row],[idcoleccion]]&amp;"-"&amp;Agencia[[#This Row],[id]]</f>
        <v>990-0314</v>
      </c>
      <c r="W325" s="93">
        <f>+VLOOKUP(Agencia[[#This Row],[Filtro URL]],Estructura!$X$4:$Y$500,2,0)</f>
        <v>99200004</v>
      </c>
      <c r="X325" s="93" t="str">
        <f>+VLOOKUP(Agencia[[#This Row],[tema]],Estructura!$A$4:$C$500,3,0)</f>
        <v>T-1024</v>
      </c>
      <c r="Y325" s="93" t="str">
        <f>+VLOOKUP(Agencia[[#This Row],[contenido]],Estructura!$E$4:$G$500,3,0)</f>
        <v>C-997</v>
      </c>
      <c r="Z325" s="93" t="str">
        <f>+VLOOKUP(Agencia[[#This Row],[Filtro Integrado]],Estructura!$I$4:$K$500,3,0)</f>
        <v>FI-992</v>
      </c>
      <c r="AA325" s="93" t="str">
        <f>+VLOOKUP(Agencia[[#This Row],[Muestra]],Estructura!$M$4:$O$500,3,0)</f>
        <v>M-1050</v>
      </c>
    </row>
    <row r="326" spans="1:27" ht="57.6" x14ac:dyDescent="0.3">
      <c r="A326" s="21" t="s">
        <v>728</v>
      </c>
      <c r="B326" s="23">
        <f t="shared" si="124"/>
        <v>990</v>
      </c>
      <c r="C326" s="24" t="str">
        <f t="shared" si="125"/>
        <v>Agencia Información</v>
      </c>
      <c r="D326" s="72" t="str">
        <f t="shared" ref="D326:D334" si="129">+D325</f>
        <v>Agropecuario y Forestal</v>
      </c>
      <c r="E326" s="19">
        <v>5</v>
      </c>
      <c r="F326" s="10" t="s">
        <v>795</v>
      </c>
      <c r="G326" s="10" t="s">
        <v>1878</v>
      </c>
      <c r="H326" s="33" t="s">
        <v>16</v>
      </c>
      <c r="I326" s="34" t="s">
        <v>372</v>
      </c>
      <c r="J326" s="9" t="str">
        <f t="shared" si="126"/>
        <v>Región</v>
      </c>
      <c r="K326" s="9" t="str">
        <f t="shared" si="126"/>
        <v>Producción agrícola</v>
      </c>
      <c r="L326" s="9" t="str">
        <f t="shared" si="126"/>
        <v>Periodo 1979-2020</v>
      </c>
      <c r="M326" s="9" t="str">
        <f t="shared" si="126"/>
        <v>Toneladas</v>
      </c>
      <c r="N326" s="9" t="str">
        <f t="shared" si="126"/>
        <v>Oficina de Estudios y Políticas Agrarias (ODEPA)</v>
      </c>
      <c r="O326" s="20" t="str">
        <f>"Producción Agrícola (t) en la "&amp;Agencia[[#This Row],[territorio]]&amp;" en el "&amp;Agencia[[#This Row],[temporalidad]]</f>
        <v>Producción Agrícola (t) en la Región de Valparaíso en el Periodo 1979-2020</v>
      </c>
      <c r="P326" s="112" t="s">
        <v>6602</v>
      </c>
      <c r="Q326" s="11" t="str">
        <f t="shared" ref="Q326:Q333" si="130">+Q325</f>
        <v>Gráfico de Evolución</v>
      </c>
      <c r="R326" s="148" t="str">
        <f>Agencia[[#This Row],[territorio]]&amp;",cultivos,producción,agrícola,agricultura,regional,región,histórico,evolución,temporadas,"&amp;Agencia[[#This Row],[coleccion]]&amp;","&amp;Agencia[[#This Row],[sector]]&amp;","&amp;Agencia[[#This Row],[tema]]&amp;","&amp;Agencia[[#This Row],[contenido]]</f>
        <v>Región de Valparaíso,cultivos,producción,agrícola,agricultura,regional,región,histórico,evolución,temporadas,Agencia Información,Agropecuario y Forestal,Producción,Agricultura</v>
      </c>
      <c r="S326" s="37" t="str">
        <f>HYPERLINK("https://analytics.zoho.com/open-view/2395394000008257083?ZOHO_CRITERIA=%22Trasposicion_4.10%22.%22Cod_regi%C3%B3n%22%20%3D%20"&amp;Agencia[[#This Row],[Filtro URL]])</f>
        <v>https://analytics.zoho.com/open-view/2395394000008257083?ZOHO_CRITERIA=%22Trasposicion_4.10%22.%22Cod_regi%C3%B3n%22%20%3D%205</v>
      </c>
      <c r="T326" s="108" t="str">
        <f>"100-R-"&amp;Agencia[[#This Row],[Filtro URL]]</f>
        <v>100-R-5</v>
      </c>
      <c r="U326" s="46" t="str">
        <f t="shared" si="127"/>
        <v>#1774B9</v>
      </c>
      <c r="V326" s="93" t="str">
        <f>+Agencia[[#This Row],[idcoleccion]]&amp;"-"&amp;Agencia[[#This Row],[id]]</f>
        <v>990-0315</v>
      </c>
      <c r="W326" s="93">
        <f>+VLOOKUP(Agencia[[#This Row],[Filtro URL]],Estructura!$X$4:$Y$500,2,0)</f>
        <v>99200005</v>
      </c>
      <c r="X326" s="93" t="str">
        <f>+VLOOKUP(Agencia[[#This Row],[tema]],Estructura!$A$4:$C$500,3,0)</f>
        <v>T-1024</v>
      </c>
      <c r="Y326" s="93" t="str">
        <f>+VLOOKUP(Agencia[[#This Row],[contenido]],Estructura!$E$4:$G$500,3,0)</f>
        <v>C-997</v>
      </c>
      <c r="Z326" s="93" t="str">
        <f>+VLOOKUP(Agencia[[#This Row],[Filtro Integrado]],Estructura!$I$4:$K$500,3,0)</f>
        <v>FI-992</v>
      </c>
      <c r="AA326" s="93" t="str">
        <f>+VLOOKUP(Agencia[[#This Row],[Muestra]],Estructura!$M$4:$O$500,3,0)</f>
        <v>M-1050</v>
      </c>
    </row>
    <row r="327" spans="1:27" ht="57.6" x14ac:dyDescent="0.3">
      <c r="A327" s="21" t="s">
        <v>729</v>
      </c>
      <c r="B327" s="23">
        <f t="shared" si="124"/>
        <v>990</v>
      </c>
      <c r="C327" s="24" t="str">
        <f t="shared" si="125"/>
        <v>Agencia Información</v>
      </c>
      <c r="D327" s="72" t="str">
        <f t="shared" si="129"/>
        <v>Agropecuario y Forestal</v>
      </c>
      <c r="E327" s="19">
        <v>6</v>
      </c>
      <c r="F327" s="10" t="s">
        <v>795</v>
      </c>
      <c r="G327" s="10" t="s">
        <v>1878</v>
      </c>
      <c r="H327" s="33" t="s">
        <v>16</v>
      </c>
      <c r="I327" s="34" t="s">
        <v>373</v>
      </c>
      <c r="J327" s="9" t="str">
        <f t="shared" si="126"/>
        <v>Región</v>
      </c>
      <c r="K327" s="9" t="str">
        <f t="shared" si="126"/>
        <v>Producción agrícola</v>
      </c>
      <c r="L327" s="9" t="str">
        <f t="shared" si="126"/>
        <v>Periodo 1979-2020</v>
      </c>
      <c r="M327" s="9" t="str">
        <f t="shared" si="126"/>
        <v>Toneladas</v>
      </c>
      <c r="N327" s="9" t="str">
        <f t="shared" si="126"/>
        <v>Oficina de Estudios y Políticas Agrarias (ODEPA)</v>
      </c>
      <c r="O327" s="20" t="str">
        <f>"Producción Agrícola (t) en la "&amp;Agencia[[#This Row],[territorio]]&amp;" en el "&amp;Agencia[[#This Row],[temporalidad]]</f>
        <v>Producción Agrícola (t) en la Región de O'Higgins en el Periodo 1979-2020</v>
      </c>
      <c r="P327" s="112" t="s">
        <v>6603</v>
      </c>
      <c r="Q327" s="11" t="str">
        <f t="shared" si="130"/>
        <v>Gráfico de Evolución</v>
      </c>
      <c r="R327" s="148" t="str">
        <f>Agencia[[#This Row],[territorio]]&amp;",cultivos,producción,agrícola,agricultura,regional,región,histórico,evolución,temporadas,"&amp;Agencia[[#This Row],[coleccion]]&amp;","&amp;Agencia[[#This Row],[sector]]&amp;","&amp;Agencia[[#This Row],[tema]]&amp;","&amp;Agencia[[#This Row],[contenido]]</f>
        <v>Región de O'Higgins,cultivos,producción,agrícola,agricultura,regional,región,histórico,evolución,temporadas,Agencia Información,Agropecuario y Forestal,Producción,Agricultura</v>
      </c>
      <c r="S327" s="37" t="str">
        <f>HYPERLINK("https://analytics.zoho.com/open-view/2395394000008257083?ZOHO_CRITERIA=%22Trasposicion_4.10%22.%22Cod_regi%C3%B3n%22%20%3D%20"&amp;Agencia[[#This Row],[Filtro URL]])</f>
        <v>https://analytics.zoho.com/open-view/2395394000008257083?ZOHO_CRITERIA=%22Trasposicion_4.10%22.%22Cod_regi%C3%B3n%22%20%3D%206</v>
      </c>
      <c r="T327" s="108" t="str">
        <f>"100-R-"&amp;Agencia[[#This Row],[Filtro URL]]</f>
        <v>100-R-6</v>
      </c>
      <c r="U327" s="46" t="str">
        <f t="shared" si="127"/>
        <v>#1774B9</v>
      </c>
      <c r="V327" s="93" t="str">
        <f>+Agencia[[#This Row],[idcoleccion]]&amp;"-"&amp;Agencia[[#This Row],[id]]</f>
        <v>990-0316</v>
      </c>
      <c r="W327" s="93">
        <f>+VLOOKUP(Agencia[[#This Row],[Filtro URL]],Estructura!$X$4:$Y$500,2,0)</f>
        <v>99200006</v>
      </c>
      <c r="X327" s="93" t="str">
        <f>+VLOOKUP(Agencia[[#This Row],[tema]],Estructura!$A$4:$C$500,3,0)</f>
        <v>T-1024</v>
      </c>
      <c r="Y327" s="93" t="str">
        <f>+VLOOKUP(Agencia[[#This Row],[contenido]],Estructura!$E$4:$G$500,3,0)</f>
        <v>C-997</v>
      </c>
      <c r="Z327" s="93" t="str">
        <f>+VLOOKUP(Agencia[[#This Row],[Filtro Integrado]],Estructura!$I$4:$K$500,3,0)</f>
        <v>FI-992</v>
      </c>
      <c r="AA327" s="93" t="str">
        <f>+VLOOKUP(Agencia[[#This Row],[Muestra]],Estructura!$M$4:$O$500,3,0)</f>
        <v>M-1050</v>
      </c>
    </row>
    <row r="328" spans="1:27" ht="57.6" x14ac:dyDescent="0.3">
      <c r="A328" s="21" t="s">
        <v>730</v>
      </c>
      <c r="B328" s="23">
        <f t="shared" si="124"/>
        <v>990</v>
      </c>
      <c r="C328" s="24" t="str">
        <f t="shared" si="125"/>
        <v>Agencia Información</v>
      </c>
      <c r="D328" s="72" t="str">
        <f t="shared" si="129"/>
        <v>Agropecuario y Forestal</v>
      </c>
      <c r="E328" s="19">
        <v>7</v>
      </c>
      <c r="F328" s="10" t="s">
        <v>795</v>
      </c>
      <c r="G328" s="10" t="s">
        <v>1878</v>
      </c>
      <c r="H328" s="33" t="s">
        <v>16</v>
      </c>
      <c r="I328" s="34" t="s">
        <v>374</v>
      </c>
      <c r="J328" s="9" t="str">
        <f t="shared" ref="J328:N333" si="131">+J327</f>
        <v>Región</v>
      </c>
      <c r="K328" s="9" t="str">
        <f t="shared" si="131"/>
        <v>Producción agrícola</v>
      </c>
      <c r="L328" s="9" t="str">
        <f t="shared" si="131"/>
        <v>Periodo 1979-2020</v>
      </c>
      <c r="M328" s="9" t="str">
        <f t="shared" si="131"/>
        <v>Toneladas</v>
      </c>
      <c r="N328" s="9" t="str">
        <f t="shared" si="131"/>
        <v>Oficina de Estudios y Políticas Agrarias (ODEPA)</v>
      </c>
      <c r="O328" s="20" t="str">
        <f>"Producción Agrícola (t) en la "&amp;Agencia[[#This Row],[territorio]]&amp;" en el "&amp;Agencia[[#This Row],[temporalidad]]</f>
        <v>Producción Agrícola (t) en la Región de Maule en el Periodo 1979-2020</v>
      </c>
      <c r="P328" s="112" t="s">
        <v>6604</v>
      </c>
      <c r="Q328" s="11" t="str">
        <f t="shared" si="130"/>
        <v>Gráfico de Evolución</v>
      </c>
      <c r="R328" s="148" t="str">
        <f>Agencia[[#This Row],[territorio]]&amp;",cultivos,producción,agrícola,agricultura,regional,región,histórico,evolución,temporadas,"&amp;Agencia[[#This Row],[coleccion]]&amp;","&amp;Agencia[[#This Row],[sector]]&amp;","&amp;Agencia[[#This Row],[tema]]&amp;","&amp;Agencia[[#This Row],[contenido]]</f>
        <v>Región de Maule,cultivos,producción,agrícola,agricultura,regional,región,histórico,evolución,temporadas,Agencia Información,Agropecuario y Forestal,Producción,Agricultura</v>
      </c>
      <c r="S328" s="37" t="str">
        <f>HYPERLINK("https://analytics.zoho.com/open-view/2395394000008257083?ZOHO_CRITERIA=%22Trasposicion_4.10%22.%22Cod_regi%C3%B3n%22%20%3D%20"&amp;Agencia[[#This Row],[Filtro URL]])</f>
        <v>https://analytics.zoho.com/open-view/2395394000008257083?ZOHO_CRITERIA=%22Trasposicion_4.10%22.%22Cod_regi%C3%B3n%22%20%3D%207</v>
      </c>
      <c r="T328" s="108" t="str">
        <f>"100-R-"&amp;Agencia[[#This Row],[Filtro URL]]</f>
        <v>100-R-7</v>
      </c>
      <c r="U328" s="46" t="str">
        <f t="shared" si="127"/>
        <v>#1774B9</v>
      </c>
      <c r="V328" s="93" t="str">
        <f>+Agencia[[#This Row],[idcoleccion]]&amp;"-"&amp;Agencia[[#This Row],[id]]</f>
        <v>990-0317</v>
      </c>
      <c r="W328" s="93">
        <f>+VLOOKUP(Agencia[[#This Row],[Filtro URL]],Estructura!$X$4:$Y$500,2,0)</f>
        <v>99200007</v>
      </c>
      <c r="X328" s="93" t="str">
        <f>+VLOOKUP(Agencia[[#This Row],[tema]],Estructura!$A$4:$C$500,3,0)</f>
        <v>T-1024</v>
      </c>
      <c r="Y328" s="93" t="str">
        <f>+VLOOKUP(Agencia[[#This Row],[contenido]],Estructura!$E$4:$G$500,3,0)</f>
        <v>C-997</v>
      </c>
      <c r="Z328" s="93" t="str">
        <f>+VLOOKUP(Agencia[[#This Row],[Filtro Integrado]],Estructura!$I$4:$K$500,3,0)</f>
        <v>FI-992</v>
      </c>
      <c r="AA328" s="93" t="str">
        <f>+VLOOKUP(Agencia[[#This Row],[Muestra]],Estructura!$M$4:$O$500,3,0)</f>
        <v>M-1050</v>
      </c>
    </row>
    <row r="329" spans="1:27" ht="57.6" x14ac:dyDescent="0.3">
      <c r="A329" s="21" t="s">
        <v>731</v>
      </c>
      <c r="B329" s="23">
        <f t="shared" si="124"/>
        <v>990</v>
      </c>
      <c r="C329" s="24" t="str">
        <f t="shared" si="125"/>
        <v>Agencia Información</v>
      </c>
      <c r="D329" s="72" t="str">
        <f t="shared" si="129"/>
        <v>Agropecuario y Forestal</v>
      </c>
      <c r="E329" s="19">
        <v>8</v>
      </c>
      <c r="F329" s="10" t="s">
        <v>795</v>
      </c>
      <c r="G329" s="10" t="s">
        <v>1878</v>
      </c>
      <c r="H329" s="33" t="s">
        <v>16</v>
      </c>
      <c r="I329" s="34" t="s">
        <v>375</v>
      </c>
      <c r="J329" s="9" t="str">
        <f t="shared" si="131"/>
        <v>Región</v>
      </c>
      <c r="K329" s="9" t="str">
        <f t="shared" si="131"/>
        <v>Producción agrícola</v>
      </c>
      <c r="L329" s="9" t="str">
        <f t="shared" si="131"/>
        <v>Periodo 1979-2020</v>
      </c>
      <c r="M329" s="9" t="str">
        <f t="shared" si="131"/>
        <v>Toneladas</v>
      </c>
      <c r="N329" s="9" t="str">
        <f t="shared" si="131"/>
        <v>Oficina de Estudios y Políticas Agrarias (ODEPA)</v>
      </c>
      <c r="O329" s="20" t="str">
        <f>"Producción Agrícola (t) en la "&amp;Agencia[[#This Row],[territorio]]&amp;" en el "&amp;Agencia[[#This Row],[temporalidad]]</f>
        <v>Producción Agrícola (t) en la Región del Biobío en el Periodo 1979-2020</v>
      </c>
      <c r="P329" s="112" t="s">
        <v>6605</v>
      </c>
      <c r="Q329" s="11" t="str">
        <f t="shared" si="130"/>
        <v>Gráfico de Evolución</v>
      </c>
      <c r="R329" s="148" t="str">
        <f>Agencia[[#This Row],[territorio]]&amp;",cultivos,producción,agrícola,agricultura,regional,región,histórico,evolución,temporadas,"&amp;Agencia[[#This Row],[coleccion]]&amp;","&amp;Agencia[[#This Row],[sector]]&amp;","&amp;Agencia[[#This Row],[tema]]&amp;","&amp;Agencia[[#This Row],[contenido]]</f>
        <v>Región del Biobío,cultivos,producción,agrícola,agricultura,regional,región,histórico,evolución,temporadas,Agencia Información,Agropecuario y Forestal,Producción,Agricultura</v>
      </c>
      <c r="S329" s="37" t="str">
        <f>HYPERLINK("https://analytics.zoho.com/open-view/2395394000008257083?ZOHO_CRITERIA=%22Trasposicion_4.10%22.%22Cod_regi%C3%B3n%22%20%3D%20"&amp;Agencia[[#This Row],[Filtro URL]])</f>
        <v>https://analytics.zoho.com/open-view/2395394000008257083?ZOHO_CRITERIA=%22Trasposicion_4.10%22.%22Cod_regi%C3%B3n%22%20%3D%208</v>
      </c>
      <c r="T329" s="108" t="str">
        <f>"100-R-"&amp;Agencia[[#This Row],[Filtro URL]]</f>
        <v>100-R-8</v>
      </c>
      <c r="U329" s="46" t="str">
        <f t="shared" si="127"/>
        <v>#1774B9</v>
      </c>
      <c r="V329" s="93" t="str">
        <f>+Agencia[[#This Row],[idcoleccion]]&amp;"-"&amp;Agencia[[#This Row],[id]]</f>
        <v>990-0318</v>
      </c>
      <c r="W329" s="93">
        <f>+VLOOKUP(Agencia[[#This Row],[Filtro URL]],Estructura!$X$4:$Y$500,2,0)</f>
        <v>99200008</v>
      </c>
      <c r="X329" s="93" t="str">
        <f>+VLOOKUP(Agencia[[#This Row],[tema]],Estructura!$A$4:$C$500,3,0)</f>
        <v>T-1024</v>
      </c>
      <c r="Y329" s="93" t="str">
        <f>+VLOOKUP(Agencia[[#This Row],[contenido]],Estructura!$E$4:$G$500,3,0)</f>
        <v>C-997</v>
      </c>
      <c r="Z329" s="93" t="str">
        <f>+VLOOKUP(Agencia[[#This Row],[Filtro Integrado]],Estructura!$I$4:$K$500,3,0)</f>
        <v>FI-992</v>
      </c>
      <c r="AA329" s="93" t="str">
        <f>+VLOOKUP(Agencia[[#This Row],[Muestra]],Estructura!$M$4:$O$500,3,0)</f>
        <v>M-1050</v>
      </c>
    </row>
    <row r="330" spans="1:27" ht="57.6" x14ac:dyDescent="0.3">
      <c r="A330" s="21" t="s">
        <v>732</v>
      </c>
      <c r="B330" s="23">
        <f t="shared" si="124"/>
        <v>990</v>
      </c>
      <c r="C330" s="24" t="str">
        <f t="shared" si="125"/>
        <v>Agencia Información</v>
      </c>
      <c r="D330" s="72" t="str">
        <f t="shared" si="129"/>
        <v>Agropecuario y Forestal</v>
      </c>
      <c r="E330" s="19">
        <v>9</v>
      </c>
      <c r="F330" s="10" t="s">
        <v>795</v>
      </c>
      <c r="G330" s="10" t="s">
        <v>1878</v>
      </c>
      <c r="H330" s="33" t="s">
        <v>16</v>
      </c>
      <c r="I330" s="34" t="s">
        <v>376</v>
      </c>
      <c r="J330" s="9" t="str">
        <f t="shared" si="131"/>
        <v>Región</v>
      </c>
      <c r="K330" s="9" t="str">
        <f t="shared" si="131"/>
        <v>Producción agrícola</v>
      </c>
      <c r="L330" s="9" t="str">
        <f t="shared" si="131"/>
        <v>Periodo 1979-2020</v>
      </c>
      <c r="M330" s="9" t="str">
        <f t="shared" si="131"/>
        <v>Toneladas</v>
      </c>
      <c r="N330" s="9" t="str">
        <f t="shared" si="131"/>
        <v>Oficina de Estudios y Políticas Agrarias (ODEPA)</v>
      </c>
      <c r="O330" s="20" t="str">
        <f>"Producción Agrícola (t) en la "&amp;Agencia[[#This Row],[territorio]]&amp;" en el "&amp;Agencia[[#This Row],[temporalidad]]</f>
        <v>Producción Agrícola (t) en la Región de La Araucanía en el Periodo 1979-2020</v>
      </c>
      <c r="P330" s="112" t="s">
        <v>6606</v>
      </c>
      <c r="Q330" s="11" t="str">
        <f t="shared" si="130"/>
        <v>Gráfico de Evolución</v>
      </c>
      <c r="R330" s="148" t="str">
        <f>Agencia[[#This Row],[territorio]]&amp;",cultivos,producción,agrícola,agricultura,regional,región,histórico,evolución,temporadas,"&amp;Agencia[[#This Row],[coleccion]]&amp;","&amp;Agencia[[#This Row],[sector]]&amp;","&amp;Agencia[[#This Row],[tema]]&amp;","&amp;Agencia[[#This Row],[contenido]]</f>
        <v>Región de La Araucanía,cultivos,producción,agrícola,agricultura,regional,región,histórico,evolución,temporadas,Agencia Información,Agropecuario y Forestal,Producción,Agricultura</v>
      </c>
      <c r="S330" s="37" t="str">
        <f>HYPERLINK("https://analytics.zoho.com/open-view/2395394000008257083?ZOHO_CRITERIA=%22Trasposicion_4.10%22.%22Cod_regi%C3%B3n%22%20%3D%20"&amp;Agencia[[#This Row],[Filtro URL]])</f>
        <v>https://analytics.zoho.com/open-view/2395394000008257083?ZOHO_CRITERIA=%22Trasposicion_4.10%22.%22Cod_regi%C3%B3n%22%20%3D%209</v>
      </c>
      <c r="T330" s="108" t="str">
        <f>"100-R-"&amp;Agencia[[#This Row],[Filtro URL]]</f>
        <v>100-R-9</v>
      </c>
      <c r="U330" s="46" t="str">
        <f t="shared" si="127"/>
        <v>#1774B9</v>
      </c>
      <c r="V330" s="93" t="str">
        <f>+Agencia[[#This Row],[idcoleccion]]&amp;"-"&amp;Agencia[[#This Row],[id]]</f>
        <v>990-0319</v>
      </c>
      <c r="W330" s="93">
        <f>+VLOOKUP(Agencia[[#This Row],[Filtro URL]],Estructura!$X$4:$Y$500,2,0)</f>
        <v>99200009</v>
      </c>
      <c r="X330" s="93" t="str">
        <f>+VLOOKUP(Agencia[[#This Row],[tema]],Estructura!$A$4:$C$500,3,0)</f>
        <v>T-1024</v>
      </c>
      <c r="Y330" s="93" t="str">
        <f>+VLOOKUP(Agencia[[#This Row],[contenido]],Estructura!$E$4:$G$500,3,0)</f>
        <v>C-997</v>
      </c>
      <c r="Z330" s="93" t="str">
        <f>+VLOOKUP(Agencia[[#This Row],[Filtro Integrado]],Estructura!$I$4:$K$500,3,0)</f>
        <v>FI-992</v>
      </c>
      <c r="AA330" s="93" t="str">
        <f>+VLOOKUP(Agencia[[#This Row],[Muestra]],Estructura!$M$4:$O$500,3,0)</f>
        <v>M-1050</v>
      </c>
    </row>
    <row r="331" spans="1:27" ht="57.6" x14ac:dyDescent="0.3">
      <c r="A331" s="21" t="s">
        <v>733</v>
      </c>
      <c r="B331" s="23">
        <f t="shared" si="124"/>
        <v>990</v>
      </c>
      <c r="C331" s="24" t="str">
        <f t="shared" si="125"/>
        <v>Agencia Información</v>
      </c>
      <c r="D331" s="72" t="str">
        <f t="shared" si="129"/>
        <v>Agropecuario y Forestal</v>
      </c>
      <c r="E331" s="19">
        <v>10</v>
      </c>
      <c r="F331" s="10" t="s">
        <v>795</v>
      </c>
      <c r="G331" s="10" t="s">
        <v>1878</v>
      </c>
      <c r="H331" s="33" t="s">
        <v>16</v>
      </c>
      <c r="I331" s="34" t="s">
        <v>377</v>
      </c>
      <c r="J331" s="9" t="str">
        <f t="shared" si="131"/>
        <v>Región</v>
      </c>
      <c r="K331" s="9" t="str">
        <f t="shared" si="131"/>
        <v>Producción agrícola</v>
      </c>
      <c r="L331" s="9" t="str">
        <f t="shared" si="131"/>
        <v>Periodo 1979-2020</v>
      </c>
      <c r="M331" s="9" t="str">
        <f t="shared" si="131"/>
        <v>Toneladas</v>
      </c>
      <c r="N331" s="9" t="str">
        <f t="shared" si="131"/>
        <v>Oficina de Estudios y Políticas Agrarias (ODEPA)</v>
      </c>
      <c r="O331" s="20" t="str">
        <f>"Producción Agrícola (t) en la "&amp;Agencia[[#This Row],[territorio]]&amp;" en el "&amp;Agencia[[#This Row],[temporalidad]]</f>
        <v>Producción Agrícola (t) en la Región de Los Lagos en el Periodo 1979-2020</v>
      </c>
      <c r="P331" s="112" t="s">
        <v>6607</v>
      </c>
      <c r="Q331" s="11" t="str">
        <f t="shared" si="130"/>
        <v>Gráfico de Evolución</v>
      </c>
      <c r="R331" s="148" t="str">
        <f>Agencia[[#This Row],[territorio]]&amp;",cultivos,producción,agrícola,agricultura,regional,región,histórico,evolución,temporadas,"&amp;Agencia[[#This Row],[coleccion]]&amp;","&amp;Agencia[[#This Row],[sector]]&amp;","&amp;Agencia[[#This Row],[tema]]&amp;","&amp;Agencia[[#This Row],[contenido]]</f>
        <v>Región de Los Lagos,cultivos,producción,agrícola,agricultura,regional,región,histórico,evolución,temporadas,Agencia Información,Agropecuario y Forestal,Producción,Agricultura</v>
      </c>
      <c r="S331" s="37" t="str">
        <f>HYPERLINK("https://analytics.zoho.com/open-view/2395394000008257083?ZOHO_CRITERIA=%22Trasposicion_4.10%22.%22Cod_regi%C3%B3n%22%20%3D%20"&amp;Agencia[[#This Row],[Filtro URL]])</f>
        <v>https://analytics.zoho.com/open-view/2395394000008257083?ZOHO_CRITERIA=%22Trasposicion_4.10%22.%22Cod_regi%C3%B3n%22%20%3D%2010</v>
      </c>
      <c r="T331" s="108" t="str">
        <f>"100-R-"&amp;Agencia[[#This Row],[Filtro URL]]</f>
        <v>100-R-10</v>
      </c>
      <c r="U331" s="46" t="str">
        <f t="shared" si="127"/>
        <v>#1774B9</v>
      </c>
      <c r="V331" s="93" t="str">
        <f>+Agencia[[#This Row],[idcoleccion]]&amp;"-"&amp;Agencia[[#This Row],[id]]</f>
        <v>990-0320</v>
      </c>
      <c r="W331" s="93">
        <f>+VLOOKUP(Agencia[[#This Row],[Filtro URL]],Estructura!$X$4:$Y$500,2,0)</f>
        <v>99200010</v>
      </c>
      <c r="X331" s="93" t="str">
        <f>+VLOOKUP(Agencia[[#This Row],[tema]],Estructura!$A$4:$C$500,3,0)</f>
        <v>T-1024</v>
      </c>
      <c r="Y331" s="93" t="str">
        <f>+VLOOKUP(Agencia[[#This Row],[contenido]],Estructura!$E$4:$G$500,3,0)</f>
        <v>C-997</v>
      </c>
      <c r="Z331" s="93" t="str">
        <f>+VLOOKUP(Agencia[[#This Row],[Filtro Integrado]],Estructura!$I$4:$K$500,3,0)</f>
        <v>FI-992</v>
      </c>
      <c r="AA331" s="93" t="str">
        <f>+VLOOKUP(Agencia[[#This Row],[Muestra]],Estructura!$M$4:$O$500,3,0)</f>
        <v>M-1050</v>
      </c>
    </row>
    <row r="332" spans="1:27" ht="57.6" x14ac:dyDescent="0.3">
      <c r="A332" s="21" t="s">
        <v>734</v>
      </c>
      <c r="B332" s="23">
        <f>+B331</f>
        <v>990</v>
      </c>
      <c r="C332" s="136" t="str">
        <f t="shared" ref="C332" si="132">+C331</f>
        <v>Agencia Información</v>
      </c>
      <c r="D332" s="136" t="str">
        <f t="shared" si="129"/>
        <v>Agropecuario y Forestal</v>
      </c>
      <c r="E332" s="19">
        <v>13</v>
      </c>
      <c r="F332" s="10" t="s">
        <v>795</v>
      </c>
      <c r="G332" s="10" t="s">
        <v>1878</v>
      </c>
      <c r="H332" s="33" t="s">
        <v>16</v>
      </c>
      <c r="I332" s="34" t="s">
        <v>380</v>
      </c>
      <c r="J332" s="9" t="str">
        <f>+J331</f>
        <v>Región</v>
      </c>
      <c r="K332" s="127" t="str">
        <f t="shared" ref="K332:N332" si="133">+K331</f>
        <v>Producción agrícola</v>
      </c>
      <c r="L332" s="127" t="str">
        <f t="shared" si="133"/>
        <v>Periodo 1979-2020</v>
      </c>
      <c r="M332" s="127" t="str">
        <f t="shared" si="133"/>
        <v>Toneladas</v>
      </c>
      <c r="N332" s="127" t="str">
        <f t="shared" si="133"/>
        <v>Oficina de Estudios y Políticas Agrarias (ODEPA)</v>
      </c>
      <c r="O332" s="20" t="str">
        <f>"Producción Agrícola (t) en la "&amp;Agencia[[#This Row],[territorio]]&amp;" en el "&amp;Agencia[[#This Row],[temporalidad]]</f>
        <v>Producción Agrícola (t) en la Región Metropolitana en el Periodo 1979-2020</v>
      </c>
      <c r="P332" s="112" t="s">
        <v>6608</v>
      </c>
      <c r="Q332" s="11" t="str">
        <f>+Q331</f>
        <v>Gráfico de Evolución</v>
      </c>
      <c r="R332" s="148" t="str">
        <f>Agencia[[#This Row],[territorio]]&amp;",cultivos,producción,agrícola,agricultura,regional,región,histórico,evolución,temporadas,"&amp;Agencia[[#This Row],[coleccion]]&amp;","&amp;Agencia[[#This Row],[sector]]&amp;","&amp;Agencia[[#This Row],[tema]]&amp;","&amp;Agencia[[#This Row],[contenido]]</f>
        <v>Región Metropolitana,cultivos,producción,agrícola,agricultura,regional,región,histórico,evolución,temporadas,Agencia Información,Agropecuario y Forestal,Producción,Agricultura</v>
      </c>
      <c r="S332" s="37" t="str">
        <f>HYPERLINK("https://analytics.zoho.com/open-view/2395394000008257083?ZOHO_CRITERIA=%22Trasposicion_4.10%22.%22Cod_regi%C3%B3n%22%20%3D%20"&amp;Agencia[[#This Row],[Filtro URL]])</f>
        <v>https://analytics.zoho.com/open-view/2395394000008257083?ZOHO_CRITERIA=%22Trasposicion_4.10%22.%22Cod_regi%C3%B3n%22%20%3D%2013</v>
      </c>
      <c r="T332" s="108" t="str">
        <f>"200-R-"&amp;Agencia[[#This Row],[Filtro URL]]</f>
        <v>200-R-13</v>
      </c>
      <c r="U332" s="46" t="str">
        <f>+U331</f>
        <v>#1774B9</v>
      </c>
      <c r="V332" s="93" t="str">
        <f>+Agencia[[#This Row],[idcoleccion]]&amp;"-"&amp;Agencia[[#This Row],[id]]</f>
        <v>990-0321</v>
      </c>
      <c r="W332" s="93">
        <f>+VLOOKUP(Agencia[[#This Row],[Filtro URL]],Estructura!$X$4:$Y$500,2,0)</f>
        <v>99200013</v>
      </c>
      <c r="X332" s="93" t="str">
        <f>+VLOOKUP(Agencia[[#This Row],[tema]],Estructura!$A$4:$C$500,3,0)</f>
        <v>T-1024</v>
      </c>
      <c r="Y332" s="93" t="str">
        <f>+VLOOKUP(Agencia[[#This Row],[contenido]],Estructura!$E$4:$G$500,3,0)</f>
        <v>C-997</v>
      </c>
      <c r="Z332" s="93" t="str">
        <f>+VLOOKUP(Agencia[[#This Row],[Filtro Integrado]],Estructura!$I$4:$K$500,3,0)</f>
        <v>FI-992</v>
      </c>
      <c r="AA332" s="93" t="str">
        <f>+VLOOKUP(Agencia[[#This Row],[Muestra]],Estructura!$M$4:$O$500,3,0)</f>
        <v>M-1050</v>
      </c>
    </row>
    <row r="333" spans="1:27" ht="57.6" x14ac:dyDescent="0.3">
      <c r="A333" s="21" t="s">
        <v>735</v>
      </c>
      <c r="B333" s="23">
        <f t="shared" si="124"/>
        <v>990</v>
      </c>
      <c r="C333" s="24" t="str">
        <f t="shared" si="125"/>
        <v>Agencia Información</v>
      </c>
      <c r="D333" s="72" t="str">
        <f t="shared" si="129"/>
        <v>Agropecuario y Forestal</v>
      </c>
      <c r="E333" s="19">
        <v>14</v>
      </c>
      <c r="F333" s="10" t="s">
        <v>795</v>
      </c>
      <c r="G333" s="10" t="s">
        <v>1878</v>
      </c>
      <c r="H333" s="33" t="s">
        <v>16</v>
      </c>
      <c r="I333" s="34" t="s">
        <v>381</v>
      </c>
      <c r="J333" s="9" t="str">
        <f t="shared" si="131"/>
        <v>Región</v>
      </c>
      <c r="K333" s="9" t="str">
        <f t="shared" si="131"/>
        <v>Producción agrícola</v>
      </c>
      <c r="L333" s="9" t="str">
        <f t="shared" si="131"/>
        <v>Periodo 1979-2020</v>
      </c>
      <c r="M333" s="9" t="str">
        <f t="shared" si="131"/>
        <v>Toneladas</v>
      </c>
      <c r="N333" s="9" t="str">
        <f t="shared" si="131"/>
        <v>Oficina de Estudios y Políticas Agrarias (ODEPA)</v>
      </c>
      <c r="O333" s="20" t="str">
        <f>"Producción Agrícola (t) en la "&amp;Agencia[[#This Row],[territorio]]&amp;" en el "&amp;Agencia[[#This Row],[temporalidad]]</f>
        <v>Producción Agrícola (t) en la Región de Los Ríos en el Periodo 1979-2020</v>
      </c>
      <c r="P333" s="112" t="s">
        <v>6609</v>
      </c>
      <c r="Q333" s="11" t="str">
        <f t="shared" si="130"/>
        <v>Gráfico de Evolución</v>
      </c>
      <c r="R333" s="148" t="str">
        <f>Agencia[[#This Row],[territorio]]&amp;",cultivos,producción,agrícola,agricultura,regional,región,histórico,evolución,temporadas,"&amp;Agencia[[#This Row],[coleccion]]&amp;","&amp;Agencia[[#This Row],[sector]]&amp;","&amp;Agencia[[#This Row],[tema]]&amp;","&amp;Agencia[[#This Row],[contenido]]</f>
        <v>Región de Los Ríos,cultivos,producción,agrícola,agricultura,regional,región,histórico,evolución,temporadas,Agencia Información,Agropecuario y Forestal,Producción,Agricultura</v>
      </c>
      <c r="S333" s="37" t="str">
        <f>HYPERLINK("https://analytics.zoho.com/open-view/2395394000008257083?ZOHO_CRITERIA=%22Trasposicion_4.10%22.%22Cod_regi%C3%B3n%22%20%3D%20"&amp;Agencia[[#This Row],[Filtro URL]])</f>
        <v>https://analytics.zoho.com/open-view/2395394000008257083?ZOHO_CRITERIA=%22Trasposicion_4.10%22.%22Cod_regi%C3%B3n%22%20%3D%2014</v>
      </c>
      <c r="T333" s="108" t="str">
        <f>"100-R-"&amp;Agencia[[#This Row],[Filtro URL]]</f>
        <v>100-R-14</v>
      </c>
      <c r="U333" s="46" t="str">
        <f t="shared" si="127"/>
        <v>#1774B9</v>
      </c>
      <c r="V333" s="93" t="str">
        <f>+Agencia[[#This Row],[idcoleccion]]&amp;"-"&amp;Agencia[[#This Row],[id]]</f>
        <v>990-0322</v>
      </c>
      <c r="W333" s="93">
        <f>+VLOOKUP(Agencia[[#This Row],[Filtro URL]],Estructura!$X$4:$Y$500,2,0)</f>
        <v>99200014</v>
      </c>
      <c r="X333" s="93" t="str">
        <f>+VLOOKUP(Agencia[[#This Row],[tema]],Estructura!$A$4:$C$500,3,0)</f>
        <v>T-1024</v>
      </c>
      <c r="Y333" s="93" t="str">
        <f>+VLOOKUP(Agencia[[#This Row],[contenido]],Estructura!$E$4:$G$500,3,0)</f>
        <v>C-997</v>
      </c>
      <c r="Z333" s="93" t="str">
        <f>+VLOOKUP(Agencia[[#This Row],[Filtro Integrado]],Estructura!$I$4:$K$500,3,0)</f>
        <v>FI-992</v>
      </c>
      <c r="AA333" s="93" t="str">
        <f>+VLOOKUP(Agencia[[#This Row],[Muestra]],Estructura!$M$4:$O$500,3,0)</f>
        <v>M-1050</v>
      </c>
    </row>
    <row r="334" spans="1:27" ht="57.6" x14ac:dyDescent="0.3">
      <c r="A334" s="21" t="s">
        <v>736</v>
      </c>
      <c r="B334" s="23">
        <f>+B333</f>
        <v>990</v>
      </c>
      <c r="C334" s="136" t="str">
        <f t="shared" ref="C334" si="134">+C333</f>
        <v>Agencia Información</v>
      </c>
      <c r="D334" s="136" t="str">
        <f t="shared" si="129"/>
        <v>Agropecuario y Forestal</v>
      </c>
      <c r="E334" s="19">
        <v>16</v>
      </c>
      <c r="F334" s="10" t="s">
        <v>795</v>
      </c>
      <c r="G334" s="10" t="s">
        <v>1878</v>
      </c>
      <c r="H334" s="33" t="s">
        <v>16</v>
      </c>
      <c r="I334" s="34" t="s">
        <v>383</v>
      </c>
      <c r="J334" s="9" t="str">
        <f>+J333</f>
        <v>Región</v>
      </c>
      <c r="K334" s="127" t="str">
        <f t="shared" ref="K334:N334" si="135">+K333</f>
        <v>Producción agrícola</v>
      </c>
      <c r="L334" s="127" t="str">
        <f t="shared" si="135"/>
        <v>Periodo 1979-2020</v>
      </c>
      <c r="M334" s="127" t="str">
        <f t="shared" si="135"/>
        <v>Toneladas</v>
      </c>
      <c r="N334" s="127" t="str">
        <f t="shared" si="135"/>
        <v>Oficina de Estudios y Políticas Agrarias (ODEPA)</v>
      </c>
      <c r="O334" s="20" t="str">
        <f>"Producción Agrícola (t) en la "&amp;Agencia[[#This Row],[territorio]]&amp;" en el "&amp;Agencia[[#This Row],[temporalidad]]</f>
        <v>Producción Agrícola (t) en la Región de Ñuble en el Periodo 1979-2020</v>
      </c>
      <c r="P334" s="112" t="s">
        <v>6610</v>
      </c>
      <c r="Q334" s="11" t="str">
        <f>+Q333</f>
        <v>Gráfico de Evolución</v>
      </c>
      <c r="R334" s="148" t="str">
        <f>Agencia[[#This Row],[territorio]]&amp;",cultivos,producción,agrícola,agricultura,regional,región,histórico,evolución,temporadas,"&amp;Agencia[[#This Row],[coleccion]]&amp;","&amp;Agencia[[#This Row],[sector]]&amp;","&amp;Agencia[[#This Row],[tema]]&amp;","&amp;Agencia[[#This Row],[contenido]]</f>
        <v>Región de Ñuble,cultivos,producción,agrícola,agricultura,regional,región,histórico,evolución,temporadas,Agencia Información,Agropecuario y Forestal,Producción,Agricultura</v>
      </c>
      <c r="S334" s="37" t="str">
        <f>HYPERLINK("https://analytics.zoho.com/open-view/2395394000008257083?ZOHO_CRITERIA=%22Trasposicion_4.10%22.%22Cod_regi%C3%B3n%22%20%3D%20"&amp;Agencia[[#This Row],[Filtro URL]])</f>
        <v>https://analytics.zoho.com/open-view/2395394000008257083?ZOHO_CRITERIA=%22Trasposicion_4.10%22.%22Cod_regi%C3%B3n%22%20%3D%2016</v>
      </c>
      <c r="T334" s="108" t="str">
        <f>"100-R-"&amp;Agencia[[#This Row],[Filtro URL]]</f>
        <v>100-R-16</v>
      </c>
      <c r="U334" s="46" t="str">
        <f>+U333</f>
        <v>#1774B9</v>
      </c>
      <c r="V334" s="93" t="str">
        <f>+Agencia[[#This Row],[idcoleccion]]&amp;"-"&amp;Agencia[[#This Row],[id]]</f>
        <v>990-0323</v>
      </c>
      <c r="W334" s="93">
        <f>+VLOOKUP(Agencia[[#This Row],[Filtro URL]],Estructura!$X$4:$Y$500,2,0)</f>
        <v>99200016</v>
      </c>
      <c r="X334" s="93" t="str">
        <f>+VLOOKUP(Agencia[[#This Row],[tema]],Estructura!$A$4:$C$500,3,0)</f>
        <v>T-1024</v>
      </c>
      <c r="Y334" s="93" t="str">
        <f>+VLOOKUP(Agencia[[#This Row],[contenido]],Estructura!$E$4:$G$500,3,0)</f>
        <v>C-997</v>
      </c>
      <c r="Z334" s="93" t="str">
        <f>+VLOOKUP(Agencia[[#This Row],[Filtro Integrado]],Estructura!$I$4:$K$500,3,0)</f>
        <v>FI-992</v>
      </c>
      <c r="AA334" s="93" t="str">
        <f>+VLOOKUP(Agencia[[#This Row],[Muestra]],Estructura!$M$4:$O$500,3,0)</f>
        <v>M-1050</v>
      </c>
    </row>
    <row r="335" spans="1:27" ht="57.6" x14ac:dyDescent="0.3">
      <c r="A335" s="21" t="s">
        <v>737</v>
      </c>
      <c r="B335" s="23">
        <f t="shared" si="124"/>
        <v>990</v>
      </c>
      <c r="C335" s="24" t="str">
        <f t="shared" si="125"/>
        <v>Agencia Información</v>
      </c>
      <c r="D335" s="72" t="s">
        <v>571</v>
      </c>
      <c r="E335" s="14">
        <v>0</v>
      </c>
      <c r="F335" s="18" t="s">
        <v>940</v>
      </c>
      <c r="G335" s="18" t="s">
        <v>1878</v>
      </c>
      <c r="H335" s="31" t="s">
        <v>20</v>
      </c>
      <c r="I335" s="32" t="s">
        <v>15</v>
      </c>
      <c r="J335" s="9" t="s">
        <v>403</v>
      </c>
      <c r="K335" s="9" t="s">
        <v>9272</v>
      </c>
      <c r="L335" s="9" t="s">
        <v>573</v>
      </c>
      <c r="M335" s="9" t="s">
        <v>574</v>
      </c>
      <c r="N335" s="9" t="s">
        <v>575</v>
      </c>
      <c r="O335" s="20" t="str">
        <f>"Volumen de Importaciones (t) de frutas tropicales y subtropicales, en el "&amp;Agencia[[#This Row],[temporalidad]]</f>
        <v>Volumen de Importaciones (t) de frutas tropicales y subtropicales, en el Periodo 2012-2020</v>
      </c>
      <c r="P335" s="112" t="s">
        <v>941</v>
      </c>
      <c r="Q335" s="11" t="s">
        <v>784</v>
      </c>
      <c r="R335" s="20" t="str">
        <f>Agencia[[#This Row],[territorio]]&amp;",importación,volumen,toneladas,frutícola,fruta,frutas,comercio,fruta tropical,fruta subtropical,mango,piña,papaya,coco,plátano,"&amp;Agencia[[#This Row],[coleccion]]&amp;","&amp;Agencia[[#This Row],[sector]]&amp;","&amp;Agencia[[#This Row],[tema]]&amp;","&amp;Agencia[[#This Row],[contenido]]</f>
        <v>Chile,importación,volumen,toneladas,frutícola,fruta,frutas,comercio,fruta tropical,fruta subtropical,mango,piña,papaya,coco,plátano,Agencia Información,Agropecuario y Forestal,Importaciones,Agricultura</v>
      </c>
      <c r="S335" s="37" t="s">
        <v>942</v>
      </c>
      <c r="T335" s="108">
        <v>0</v>
      </c>
      <c r="U335" s="46" t="str">
        <f t="shared" ref="U335:U340" si="136">+U334</f>
        <v>#1774B9</v>
      </c>
      <c r="V335" s="93" t="str">
        <f>+Agencia[[#This Row],[idcoleccion]]&amp;"-"&amp;Agencia[[#This Row],[id]]</f>
        <v>990-0324</v>
      </c>
      <c r="W335" s="93">
        <f>+VLOOKUP(Agencia[[#This Row],[Filtro URL]],Estructura!$X$4:$Y$500,2,0)</f>
        <v>99100000</v>
      </c>
      <c r="X335" s="93" t="str">
        <f>+VLOOKUP(Agencia[[#This Row],[tema]],Estructura!$A$4:$C$500,3,0)</f>
        <v>T-1031</v>
      </c>
      <c r="Y335" s="93" t="str">
        <f>+VLOOKUP(Agencia[[#This Row],[contenido]],Estructura!$E$4:$G$500,3,0)</f>
        <v>C-997</v>
      </c>
      <c r="Z335" s="93" t="str">
        <f>+VLOOKUP(Agencia[[#This Row],[Filtro Integrado]],Estructura!$I$4:$K$500,3,0)</f>
        <v>FI-993</v>
      </c>
      <c r="AA335" s="93" t="str">
        <f>+VLOOKUP(Agencia[[#This Row],[Muestra]],Estructura!$M$4:$O$500,3,0)</f>
        <v>M-1051</v>
      </c>
    </row>
    <row r="336" spans="1:27" ht="51" x14ac:dyDescent="0.3">
      <c r="A336" s="21" t="s">
        <v>738</v>
      </c>
      <c r="B336" s="23">
        <f t="shared" si="124"/>
        <v>990</v>
      </c>
      <c r="C336" s="24" t="str">
        <f t="shared" si="125"/>
        <v>Agencia Información</v>
      </c>
      <c r="D336" s="72" t="str">
        <f>+D335</f>
        <v>Agropecuario y Forestal</v>
      </c>
      <c r="E336" s="14">
        <v>0</v>
      </c>
      <c r="F336" s="18" t="s">
        <v>940</v>
      </c>
      <c r="G336" s="18" t="s">
        <v>1878</v>
      </c>
      <c r="H336" s="31" t="s">
        <v>20</v>
      </c>
      <c r="I336" s="32" t="s">
        <v>15</v>
      </c>
      <c r="J336" s="9" t="s">
        <v>403</v>
      </c>
      <c r="K336" s="9" t="s">
        <v>9272</v>
      </c>
      <c r="L336" s="9" t="s">
        <v>573</v>
      </c>
      <c r="M336" s="9" t="s">
        <v>574</v>
      </c>
      <c r="N336" s="9" t="s">
        <v>575</v>
      </c>
      <c r="O336" s="20" t="str">
        <f>"Volumen de Importaciones (t) por Procesamiento, en el "&amp;Agencia[[#This Row],[temporalidad]]</f>
        <v>Volumen de Importaciones (t) por Procesamiento, en el Periodo 2012-2020</v>
      </c>
      <c r="P336" s="112" t="s">
        <v>943</v>
      </c>
      <c r="Q336" s="11" t="s">
        <v>784</v>
      </c>
      <c r="R336" s="20" t="str">
        <f>Agencia[[#This Row],[territorio]]&amp;",importación,volumen,toneladas,frutícola,fruta,frutas,procesamiento,comercio,fresca,jugo,congelado,conserva,deshidratado,frutos secos,aceite,"&amp;Agencia[[#This Row],[coleccion]]&amp;","&amp;Agencia[[#This Row],[sector]]&amp;","&amp;Agencia[[#This Row],[tema]]&amp;","&amp;Agencia[[#This Row],[contenido]]</f>
        <v>Chile,importación,volumen,toneladas,frutícola,fruta,frutas,procesamiento,comercio,fresca,jugo,congelado,conserva,deshidratado,frutos secos,aceite,Agencia Información,Agropecuario y Forestal,Importaciones,Agricultura</v>
      </c>
      <c r="S336" s="37" t="s">
        <v>944</v>
      </c>
      <c r="T336" s="108">
        <v>0</v>
      </c>
      <c r="U336" s="46" t="str">
        <f t="shared" si="136"/>
        <v>#1774B9</v>
      </c>
      <c r="V336" s="93" t="str">
        <f>+Agencia[[#This Row],[idcoleccion]]&amp;"-"&amp;Agencia[[#This Row],[id]]</f>
        <v>990-0325</v>
      </c>
      <c r="W336" s="93">
        <f>+VLOOKUP(Agencia[[#This Row],[Filtro URL]],Estructura!$X$4:$Y$500,2,0)</f>
        <v>99100000</v>
      </c>
      <c r="X336" s="93" t="str">
        <f>+VLOOKUP(Agencia[[#This Row],[tema]],Estructura!$A$4:$C$500,3,0)</f>
        <v>T-1031</v>
      </c>
      <c r="Y336" s="93" t="str">
        <f>+VLOOKUP(Agencia[[#This Row],[contenido]],Estructura!$E$4:$G$500,3,0)</f>
        <v>C-997</v>
      </c>
      <c r="Z336" s="93" t="str">
        <f>+VLOOKUP(Agencia[[#This Row],[Filtro Integrado]],Estructura!$I$4:$K$500,3,0)</f>
        <v>FI-993</v>
      </c>
      <c r="AA336" s="93" t="str">
        <f>+VLOOKUP(Agencia[[#This Row],[Muestra]],Estructura!$M$4:$O$500,3,0)</f>
        <v>M-1051</v>
      </c>
    </row>
    <row r="337" spans="1:27" ht="61.2" x14ac:dyDescent="0.3">
      <c r="A337" s="21" t="s">
        <v>739</v>
      </c>
      <c r="B337" s="23">
        <f t="shared" si="124"/>
        <v>990</v>
      </c>
      <c r="C337" s="24" t="str">
        <f t="shared" si="125"/>
        <v>Agencia Información</v>
      </c>
      <c r="D337" s="72" t="s">
        <v>459</v>
      </c>
      <c r="E337" s="14">
        <v>0</v>
      </c>
      <c r="F337" s="10" t="s">
        <v>946</v>
      </c>
      <c r="G337" s="18" t="s">
        <v>1897</v>
      </c>
      <c r="H337" s="31" t="s">
        <v>20</v>
      </c>
      <c r="I337" s="32" t="s">
        <v>15</v>
      </c>
      <c r="J337" s="9" t="s">
        <v>403</v>
      </c>
      <c r="K337" s="9" t="s">
        <v>9303</v>
      </c>
      <c r="L337" s="9" t="s">
        <v>945</v>
      </c>
      <c r="M337" s="9" t="s">
        <v>582</v>
      </c>
      <c r="N337" s="9" t="s">
        <v>848</v>
      </c>
      <c r="O337" s="20" t="str">
        <f>"Evolución de Casos de Cáncer de Cuello Uterino en "&amp;Agencia[[#This Row],[territorio]]&amp;" durante el "&amp;Agencia[[#This Row],[temporalidad]]</f>
        <v>Evolución de Casos de Cáncer de Cuello Uterino en Chile durante el Periodo 2011-2018</v>
      </c>
      <c r="P337" s="112" t="s">
        <v>5860</v>
      </c>
      <c r="Q337" s="11" t="s">
        <v>784</v>
      </c>
      <c r="R337" s="20" t="str">
        <f>Agencia[[#This Row],[territorio]]&amp;",casos,cáncer,cuello,uterino,útero,salud,PAP,examen,papanicolaou,"&amp;Agencia[[#This Row],[coleccion]]&amp;","&amp;Agencia[[#This Row],[sector]]&amp;","&amp;Agencia[[#This Row],[tema]]&amp;","&amp;Agencia[[#This Row],[contenido]]</f>
        <v>Chile,casos,cáncer,cuello,uterino,útero,salud,PAP,examen,papanicolaou,Agencia Información,Mujeres,Programa de Cáncer de Cuello Uterino,Mujer Salud</v>
      </c>
      <c r="S337" s="37" t="s">
        <v>947</v>
      </c>
      <c r="T337" s="108">
        <v>0</v>
      </c>
      <c r="U337" s="46" t="str">
        <f t="shared" si="136"/>
        <v>#1774B9</v>
      </c>
      <c r="V337" s="93" t="str">
        <f>+Agencia[[#This Row],[idcoleccion]]&amp;"-"&amp;Agencia[[#This Row],[id]]</f>
        <v>990-0326</v>
      </c>
      <c r="W337" s="93">
        <f>+VLOOKUP(Agencia[[#This Row],[Filtro URL]],Estructura!$X$4:$Y$500,2,0)</f>
        <v>99100000</v>
      </c>
      <c r="X337" s="93" t="str">
        <f>+VLOOKUP(Agencia[[#This Row],[tema]],Estructura!$A$4:$C$500,3,0)</f>
        <v>T-998</v>
      </c>
      <c r="Y337" s="93" t="str">
        <f>+VLOOKUP(Agencia[[#This Row],[contenido]],Estructura!$E$4:$G$500,3,0)</f>
        <v>C-1009</v>
      </c>
      <c r="Z337" s="93" t="str">
        <f>+VLOOKUP(Agencia[[#This Row],[Filtro Integrado]],Estructura!$I$4:$K$500,3,0)</f>
        <v>FI-993</v>
      </c>
      <c r="AA337" s="93" t="str">
        <f>+VLOOKUP(Agencia[[#This Row],[Muestra]],Estructura!$M$4:$O$500,3,0)</f>
        <v>M-1052</v>
      </c>
    </row>
    <row r="338" spans="1:27" ht="81.900000000000006" customHeight="1" x14ac:dyDescent="0.3">
      <c r="A338" s="21" t="s">
        <v>740</v>
      </c>
      <c r="B338" s="23">
        <f t="shared" si="124"/>
        <v>990</v>
      </c>
      <c r="C338" s="24" t="str">
        <f t="shared" si="125"/>
        <v>Agencia Información</v>
      </c>
      <c r="D338" s="72" t="s">
        <v>568</v>
      </c>
      <c r="E338" s="14">
        <v>0</v>
      </c>
      <c r="F338" s="10" t="s">
        <v>948</v>
      </c>
      <c r="G338" s="18" t="s">
        <v>1898</v>
      </c>
      <c r="H338" s="31" t="s">
        <v>20</v>
      </c>
      <c r="I338" s="32" t="s">
        <v>15</v>
      </c>
      <c r="J338" s="45" t="s">
        <v>16</v>
      </c>
      <c r="K338" s="9" t="s">
        <v>9307</v>
      </c>
      <c r="L338" s="9" t="str">
        <f t="shared" ref="L338:L354" si="137">+L337</f>
        <v>Periodo 2011-2018</v>
      </c>
      <c r="M338" s="9" t="str">
        <f t="shared" ref="M338:M354" si="138">+M337</f>
        <v>Número de Casos</v>
      </c>
      <c r="N338" s="9" t="str">
        <f t="shared" ref="N338:N354" si="139">+N337</f>
        <v>Departamento de Estadísticas e Información de la Salud (DEIS) - Ministerio de Salud</v>
      </c>
      <c r="O338" s="20" t="str">
        <f>"Evolución de Población en Control en el Programa de VIH/SIDA según sexo en "&amp;Agencia[[#This Row],[territorio]]&amp;" durante el "&amp;Agencia[[#This Row],[temporalidad]]</f>
        <v>Evolución de Población en Control en el Programa de VIH/SIDA según sexo en Chile durante el Periodo 2011-2018</v>
      </c>
      <c r="P338" s="112" t="s">
        <v>6616</v>
      </c>
      <c r="Q338" s="11" t="s">
        <v>784</v>
      </c>
      <c r="R338" s="20" t="str">
        <f>Agencia[[#This Row],[territorio]]&amp;",VIH,SIDA,enfermedad,transmisión,sexual,casos,población,control,programa,sexo,hombre,mujer,evolución,regional,"&amp;Agencia[[#This Row],[coleccion]]&amp;","&amp;Agencia[[#This Row],[sector]]&amp;","&amp;Agencia[[#This Row],[tema]]&amp;","&amp;Agencia[[#This Row],[contenido]]</f>
        <v>Chile,VIH,SIDA,enfermedad,transmisión,sexual,casos,población,control,programa,sexo,hombre,mujer,evolución,regional,Agencia Información,Salud,Programa de VIH/SIDA,Programas de Salud</v>
      </c>
      <c r="S338" s="83" t="s">
        <v>5170</v>
      </c>
      <c r="T338" s="108" t="s">
        <v>805</v>
      </c>
      <c r="U338" s="46" t="str">
        <f t="shared" si="136"/>
        <v>#1774B9</v>
      </c>
      <c r="V338" s="93" t="str">
        <f>+Agencia[[#This Row],[idcoleccion]]&amp;"-"&amp;Agencia[[#This Row],[id]]</f>
        <v>990-0327</v>
      </c>
      <c r="W338" s="93">
        <f>+VLOOKUP(Agencia[[#This Row],[Filtro URL]],Estructura!$X$4:$Y$500,2,0)</f>
        <v>99100000</v>
      </c>
      <c r="X338" s="93" t="str">
        <f>+VLOOKUP(Agencia[[#This Row],[tema]],Estructura!$A$4:$C$500,3,0)</f>
        <v>T-999</v>
      </c>
      <c r="Y338" s="93" t="str">
        <f>+VLOOKUP(Agencia[[#This Row],[contenido]],Estructura!$E$4:$G$500,3,0)</f>
        <v>C-1010</v>
      </c>
      <c r="Z338" s="93" t="str">
        <f>+VLOOKUP(Agencia[[#This Row],[Filtro Integrado]],Estructura!$I$4:$K$500,3,0)</f>
        <v>FI-992</v>
      </c>
      <c r="AA338" s="93" t="str">
        <f>+VLOOKUP(Agencia[[#This Row],[Muestra]],Estructura!$M$4:$O$500,3,0)</f>
        <v>M-1053</v>
      </c>
    </row>
    <row r="339" spans="1:27" ht="61.2" x14ac:dyDescent="0.3">
      <c r="A339" s="21" t="s">
        <v>741</v>
      </c>
      <c r="B339" s="23">
        <f t="shared" si="124"/>
        <v>990</v>
      </c>
      <c r="C339" s="24" t="str">
        <f t="shared" si="125"/>
        <v>Agencia Información</v>
      </c>
      <c r="D339" s="72" t="str">
        <f t="shared" ref="D339:D354" si="140">+D338</f>
        <v>Salud</v>
      </c>
      <c r="E339" s="19">
        <v>1</v>
      </c>
      <c r="F339" s="10" t="s">
        <v>948</v>
      </c>
      <c r="G339" s="18" t="s">
        <v>1898</v>
      </c>
      <c r="H339" s="33" t="s">
        <v>16</v>
      </c>
      <c r="I339" s="34" t="s">
        <v>368</v>
      </c>
      <c r="J339" s="9" t="s">
        <v>403</v>
      </c>
      <c r="K339" s="142" t="s">
        <v>9307</v>
      </c>
      <c r="L339" s="9" t="str">
        <f t="shared" si="137"/>
        <v>Periodo 2011-2018</v>
      </c>
      <c r="M339" s="9" t="str">
        <f t="shared" si="138"/>
        <v>Número de Casos</v>
      </c>
      <c r="N339" s="9" t="str">
        <f t="shared" si="139"/>
        <v>Departamento de Estadísticas e Información de la Salud (DEIS) - Ministerio de Salud</v>
      </c>
      <c r="O339" s="20" t="str">
        <f>"Evolución de Población en Control en el Programa de VIH/SIDA según sexo en "&amp;Agencia[[#This Row],[territorio]]&amp;" durante el "&amp;Agencia[[#This Row],[temporalidad]]</f>
        <v>Evolución de Población en Control en el Programa de VIH/SIDA según sexo en Región de Tarapacá durante el Periodo 2011-2018</v>
      </c>
      <c r="P339" s="112" t="s">
        <v>6617</v>
      </c>
      <c r="Q339" s="11" t="str">
        <f t="shared" ref="Q339:Q354" si="141">+Q338</f>
        <v>Gráfico de Evolución</v>
      </c>
      <c r="R339" s="148" t="str">
        <f>Agencia[[#This Row],[territorio]]&amp;",VIH,SIDA,enfermedad,transmisión,sexual,casos,población,control,programa,sexo,hombre,mujer,evolución,regional,"&amp;Agencia[[#This Row],[coleccion]]&amp;","&amp;Agencia[[#This Row],[sector]]&amp;","&amp;Agencia[[#This Row],[tema]]&amp;","&amp;Agencia[[#This Row],[contenido]]</f>
        <v>Región de Tarapacá,VIH,SIDA,enfermedad,transmisión,sexual,casos,población,control,programa,sexo,hombre,mujer,evolución,regional,Agencia Información,Salud,Programa de VIH/SIDA,Programas de Salud</v>
      </c>
      <c r="S339" s="83" t="str">
        <f>HYPERLINK("https://analytics.zoho.com/open-view/2395394000007991542?ZOHO_CRITERIA=%22Localiza%20CL%22.%22Codreg%22%20%3D%20"&amp;Agencia[[#This Row],[Filtro URL]])</f>
        <v>https://analytics.zoho.com/open-view/2395394000007991542?ZOHO_CRITERIA=%22Localiza%20CL%22.%22Codreg%22%20%3D%201</v>
      </c>
      <c r="T339" s="108" t="str">
        <f>"100-R-"&amp;Agencia[[#This Row],[Filtro URL]]</f>
        <v>100-R-1</v>
      </c>
      <c r="U339" s="46" t="str">
        <f t="shared" si="136"/>
        <v>#1774B9</v>
      </c>
      <c r="V339" s="93" t="str">
        <f>+Agencia[[#This Row],[idcoleccion]]&amp;"-"&amp;Agencia[[#This Row],[id]]</f>
        <v>990-0328</v>
      </c>
      <c r="W339" s="93">
        <f>+VLOOKUP(Agencia[[#This Row],[Filtro URL]],Estructura!$X$4:$Y$500,2,0)</f>
        <v>99200001</v>
      </c>
      <c r="X339" s="93" t="str">
        <f>+VLOOKUP(Agencia[[#This Row],[tema]],Estructura!$A$4:$C$500,3,0)</f>
        <v>T-999</v>
      </c>
      <c r="Y339" s="93" t="str">
        <f>+VLOOKUP(Agencia[[#This Row],[contenido]],Estructura!$E$4:$G$500,3,0)</f>
        <v>C-1010</v>
      </c>
      <c r="Z339" s="93" t="str">
        <f>+VLOOKUP(Agencia[[#This Row],[Filtro Integrado]],Estructura!$I$4:$K$500,3,0)</f>
        <v>FI-993</v>
      </c>
      <c r="AA339" s="93" t="str">
        <f>+VLOOKUP(Agencia[[#This Row],[Muestra]],Estructura!$M$4:$O$500,3,0)</f>
        <v>M-1053</v>
      </c>
    </row>
    <row r="340" spans="1:27" ht="61.2" x14ac:dyDescent="0.3">
      <c r="A340" s="21" t="s">
        <v>742</v>
      </c>
      <c r="B340" s="23">
        <f t="shared" ref="B340:B356" si="142">+B339</f>
        <v>990</v>
      </c>
      <c r="C340" s="24" t="str">
        <f t="shared" ref="C340:C356" si="143">+C339</f>
        <v>Agencia Información</v>
      </c>
      <c r="D340" s="72" t="str">
        <f t="shared" si="140"/>
        <v>Salud</v>
      </c>
      <c r="E340" s="19">
        <v>2</v>
      </c>
      <c r="F340" s="10" t="s">
        <v>948</v>
      </c>
      <c r="G340" s="25" t="s">
        <v>1898</v>
      </c>
      <c r="H340" s="33" t="s">
        <v>16</v>
      </c>
      <c r="I340" s="34" t="s">
        <v>369</v>
      </c>
      <c r="J340" s="9" t="str">
        <f t="shared" ref="J340:J354" si="144">+J339</f>
        <v>Ninguno</v>
      </c>
      <c r="K340" s="9" t="str">
        <f t="shared" ref="K340:K354" si="145">+K339</f>
        <v>Población en control</v>
      </c>
      <c r="L340" s="9" t="str">
        <f t="shared" si="137"/>
        <v>Periodo 2011-2018</v>
      </c>
      <c r="M340" s="9" t="str">
        <f t="shared" si="138"/>
        <v>Número de Casos</v>
      </c>
      <c r="N340" s="9" t="str">
        <f t="shared" si="139"/>
        <v>Departamento de Estadísticas e Información de la Salud (DEIS) - Ministerio de Salud</v>
      </c>
      <c r="O340" s="20" t="str">
        <f>"Evolución de Población en Control en el Programa de VIH/SIDA según sexo en "&amp;Agencia[[#This Row],[territorio]]&amp;" durante el "&amp;Agencia[[#This Row],[temporalidad]]</f>
        <v>Evolución de Población en Control en el Programa de VIH/SIDA según sexo en Región de Antofagasta durante el Periodo 2011-2018</v>
      </c>
      <c r="P340" s="112" t="s">
        <v>6618</v>
      </c>
      <c r="Q340" s="11" t="str">
        <f t="shared" si="141"/>
        <v>Gráfico de Evolución</v>
      </c>
      <c r="R340" s="148" t="str">
        <f>Agencia[[#This Row],[territorio]]&amp;",VIH,SIDA,enfermedad,transmisión,sexual,casos,población,control,programa,sexo,hombre,mujer,evolución,regional,"&amp;Agencia[[#This Row],[coleccion]]&amp;","&amp;Agencia[[#This Row],[sector]]&amp;","&amp;Agencia[[#This Row],[tema]]&amp;","&amp;Agencia[[#This Row],[contenido]]</f>
        <v>Región de Antofagasta,VIH,SIDA,enfermedad,transmisión,sexual,casos,población,control,programa,sexo,hombre,mujer,evolución,regional,Agencia Información,Salud,Programa de VIH/SIDA,Programas de Salud</v>
      </c>
      <c r="S340" s="37" t="str">
        <f>HYPERLINK("https://analytics.zoho.com/open-view/2395394000007991542?ZOHO_CRITERIA=%22Localiza%20CL%22.%22Codreg%22%20%3D%20"&amp;Agencia[[#This Row],[Filtro URL]])</f>
        <v>https://analytics.zoho.com/open-view/2395394000007991542?ZOHO_CRITERIA=%22Localiza%20CL%22.%22Codreg%22%20%3D%202</v>
      </c>
      <c r="T340" s="108" t="str">
        <f>"100-R-"&amp;Agencia[[#This Row],[Filtro URL]]</f>
        <v>100-R-2</v>
      </c>
      <c r="U340" s="95" t="str">
        <f t="shared" si="136"/>
        <v>#1774B9</v>
      </c>
      <c r="V340" s="93" t="str">
        <f>+Agencia[[#This Row],[idcoleccion]]&amp;"-"&amp;Agencia[[#This Row],[id]]</f>
        <v>990-0329</v>
      </c>
      <c r="W340" s="93">
        <f>+VLOOKUP(Agencia[[#This Row],[Filtro URL]],Estructura!$X$4:$Y$500,2,0)</f>
        <v>99200002</v>
      </c>
      <c r="X340" s="93" t="str">
        <f>+VLOOKUP(Agencia[[#This Row],[tema]],Estructura!$A$4:$C$500,3,0)</f>
        <v>T-999</v>
      </c>
      <c r="Y340" s="93" t="str">
        <f>+VLOOKUP(Agencia[[#This Row],[contenido]],Estructura!$E$4:$G$500,3,0)</f>
        <v>C-1010</v>
      </c>
      <c r="Z340" s="93" t="str">
        <f>+VLOOKUP(Agencia[[#This Row],[Filtro Integrado]],Estructura!$I$4:$K$500,3,0)</f>
        <v>FI-993</v>
      </c>
      <c r="AA340" s="93" t="str">
        <f>+VLOOKUP(Agencia[[#This Row],[Muestra]],Estructura!$M$4:$O$500,3,0)</f>
        <v>M-1053</v>
      </c>
    </row>
    <row r="341" spans="1:27" ht="61.2" x14ac:dyDescent="0.3">
      <c r="A341" s="21" t="s">
        <v>743</v>
      </c>
      <c r="B341" s="23">
        <f t="shared" si="142"/>
        <v>990</v>
      </c>
      <c r="C341" s="24" t="str">
        <f t="shared" si="143"/>
        <v>Agencia Información</v>
      </c>
      <c r="D341" s="72" t="str">
        <f t="shared" si="140"/>
        <v>Salud</v>
      </c>
      <c r="E341" s="19">
        <v>3</v>
      </c>
      <c r="F341" s="10" t="s">
        <v>948</v>
      </c>
      <c r="G341" s="25" t="s">
        <v>1898</v>
      </c>
      <c r="H341" s="33" t="s">
        <v>16</v>
      </c>
      <c r="I341" s="34" t="s">
        <v>370</v>
      </c>
      <c r="J341" s="9" t="str">
        <f t="shared" si="144"/>
        <v>Ninguno</v>
      </c>
      <c r="K341" s="9" t="str">
        <f t="shared" si="145"/>
        <v>Población en control</v>
      </c>
      <c r="L341" s="9" t="str">
        <f t="shared" si="137"/>
        <v>Periodo 2011-2018</v>
      </c>
      <c r="M341" s="9" t="str">
        <f t="shared" si="138"/>
        <v>Número de Casos</v>
      </c>
      <c r="N341" s="9" t="str">
        <f t="shared" si="139"/>
        <v>Departamento de Estadísticas e Información de la Salud (DEIS) - Ministerio de Salud</v>
      </c>
      <c r="O341" s="20" t="str">
        <f>"Evolución de Población en Control en el Programa de VIH/SIDA según sexo en "&amp;Agencia[[#This Row],[territorio]]&amp;" durante el "&amp;Agencia[[#This Row],[temporalidad]]</f>
        <v>Evolución de Población en Control en el Programa de VIH/SIDA según sexo en Región de Atacama durante el Periodo 2011-2018</v>
      </c>
      <c r="P341" s="112" t="s">
        <v>6619</v>
      </c>
      <c r="Q341" s="11" t="str">
        <f t="shared" si="141"/>
        <v>Gráfico de Evolución</v>
      </c>
      <c r="R341" s="148" t="str">
        <f>Agencia[[#This Row],[territorio]]&amp;",VIH,SIDA,enfermedad,transmisión,sexual,casos,población,control,programa,sexo,hombre,mujer,evolución,regional,"&amp;Agencia[[#This Row],[coleccion]]&amp;","&amp;Agencia[[#This Row],[sector]]&amp;","&amp;Agencia[[#This Row],[tema]]&amp;","&amp;Agencia[[#This Row],[contenido]]</f>
        <v>Región de Atacama,VIH,SIDA,enfermedad,transmisión,sexual,casos,población,control,programa,sexo,hombre,mujer,evolución,regional,Agencia Información,Salud,Programa de VIH/SIDA,Programas de Salud</v>
      </c>
      <c r="S341" s="37" t="str">
        <f>HYPERLINK("https://analytics.zoho.com/open-view/2395394000007991542?ZOHO_CRITERIA=%22Localiza%20CL%22.%22Codreg%22%20%3D%20"&amp;Agencia[[#This Row],[Filtro URL]])</f>
        <v>https://analytics.zoho.com/open-view/2395394000007991542?ZOHO_CRITERIA=%22Localiza%20CL%22.%22Codreg%22%20%3D%203</v>
      </c>
      <c r="T341" s="108" t="str">
        <f>"100-R-"&amp;Agencia[[#This Row],[Filtro URL]]</f>
        <v>100-R-3</v>
      </c>
      <c r="U341" s="46" t="str">
        <f t="shared" ref="U341:U372" si="146">+U340</f>
        <v>#1774B9</v>
      </c>
      <c r="V341" s="93" t="str">
        <f>+Agencia[[#This Row],[idcoleccion]]&amp;"-"&amp;Agencia[[#This Row],[id]]</f>
        <v>990-0330</v>
      </c>
      <c r="W341" s="93">
        <f>+VLOOKUP(Agencia[[#This Row],[Filtro URL]],Estructura!$X$4:$Y$500,2,0)</f>
        <v>99200003</v>
      </c>
      <c r="X341" s="93" t="str">
        <f>+VLOOKUP(Agencia[[#This Row],[tema]],Estructura!$A$4:$C$500,3,0)</f>
        <v>T-999</v>
      </c>
      <c r="Y341" s="93" t="str">
        <f>+VLOOKUP(Agencia[[#This Row],[contenido]],Estructura!$E$4:$G$500,3,0)</f>
        <v>C-1010</v>
      </c>
      <c r="Z341" s="93" t="str">
        <f>+VLOOKUP(Agencia[[#This Row],[Filtro Integrado]],Estructura!$I$4:$K$500,3,0)</f>
        <v>FI-993</v>
      </c>
      <c r="AA341" s="93" t="str">
        <f>+VLOOKUP(Agencia[[#This Row],[Muestra]],Estructura!$M$4:$O$500,3,0)</f>
        <v>M-1053</v>
      </c>
    </row>
    <row r="342" spans="1:27" ht="61.2" x14ac:dyDescent="0.3">
      <c r="A342" s="21" t="s">
        <v>744</v>
      </c>
      <c r="B342" s="23">
        <f t="shared" si="142"/>
        <v>990</v>
      </c>
      <c r="C342" s="24" t="str">
        <f t="shared" si="143"/>
        <v>Agencia Información</v>
      </c>
      <c r="D342" s="72" t="str">
        <f t="shared" si="140"/>
        <v>Salud</v>
      </c>
      <c r="E342" s="19">
        <v>4</v>
      </c>
      <c r="F342" s="10" t="s">
        <v>948</v>
      </c>
      <c r="G342" s="25" t="s">
        <v>1898</v>
      </c>
      <c r="H342" s="33" t="s">
        <v>16</v>
      </c>
      <c r="I342" s="34" t="s">
        <v>371</v>
      </c>
      <c r="J342" s="9" t="str">
        <f t="shared" si="144"/>
        <v>Ninguno</v>
      </c>
      <c r="K342" s="9" t="str">
        <f t="shared" si="145"/>
        <v>Población en control</v>
      </c>
      <c r="L342" s="9" t="str">
        <f t="shared" si="137"/>
        <v>Periodo 2011-2018</v>
      </c>
      <c r="M342" s="9" t="str">
        <f t="shared" si="138"/>
        <v>Número de Casos</v>
      </c>
      <c r="N342" s="9" t="str">
        <f t="shared" si="139"/>
        <v>Departamento de Estadísticas e Información de la Salud (DEIS) - Ministerio de Salud</v>
      </c>
      <c r="O342" s="20" t="str">
        <f>"Evolución de Población en Control en el Programa de VIH/SIDA según sexo en "&amp;Agencia[[#This Row],[territorio]]&amp;" durante el "&amp;Agencia[[#This Row],[temporalidad]]</f>
        <v>Evolución de Población en Control en el Programa de VIH/SIDA según sexo en Región de Coquimbo durante el Periodo 2011-2018</v>
      </c>
      <c r="P342" s="112" t="s">
        <v>6620</v>
      </c>
      <c r="Q342" s="11" t="str">
        <f t="shared" si="141"/>
        <v>Gráfico de Evolución</v>
      </c>
      <c r="R342" s="148" t="str">
        <f>Agencia[[#This Row],[territorio]]&amp;",VIH,SIDA,enfermedad,transmisión,sexual,casos,población,control,programa,sexo,hombre,mujer,evolución,regional,"&amp;Agencia[[#This Row],[coleccion]]&amp;","&amp;Agencia[[#This Row],[sector]]&amp;","&amp;Agencia[[#This Row],[tema]]&amp;","&amp;Agencia[[#This Row],[contenido]]</f>
        <v>Región de Coquimbo,VIH,SIDA,enfermedad,transmisión,sexual,casos,población,control,programa,sexo,hombre,mujer,evolución,regional,Agencia Información,Salud,Programa de VIH/SIDA,Programas de Salud</v>
      </c>
      <c r="S342" s="37" t="str">
        <f>HYPERLINK("https://analytics.zoho.com/open-view/2395394000007991542?ZOHO_CRITERIA=%22Localiza%20CL%22.%22Codreg%22%20%3D%20"&amp;Agencia[[#This Row],[Filtro URL]])</f>
        <v>https://analytics.zoho.com/open-view/2395394000007991542?ZOHO_CRITERIA=%22Localiza%20CL%22.%22Codreg%22%20%3D%204</v>
      </c>
      <c r="T342" s="108" t="str">
        <f>"100-R-"&amp;Agencia[[#This Row],[Filtro URL]]</f>
        <v>100-R-4</v>
      </c>
      <c r="U342" s="46" t="str">
        <f t="shared" si="146"/>
        <v>#1774B9</v>
      </c>
      <c r="V342" s="93" t="str">
        <f>+Agencia[[#This Row],[idcoleccion]]&amp;"-"&amp;Agencia[[#This Row],[id]]</f>
        <v>990-0331</v>
      </c>
      <c r="W342" s="93">
        <f>+VLOOKUP(Agencia[[#This Row],[Filtro URL]],Estructura!$X$4:$Y$500,2,0)</f>
        <v>99200004</v>
      </c>
      <c r="X342" s="93" t="str">
        <f>+VLOOKUP(Agencia[[#This Row],[tema]],Estructura!$A$4:$C$500,3,0)</f>
        <v>T-999</v>
      </c>
      <c r="Y342" s="93" t="str">
        <f>+VLOOKUP(Agencia[[#This Row],[contenido]],Estructura!$E$4:$G$500,3,0)</f>
        <v>C-1010</v>
      </c>
      <c r="Z342" s="93" t="str">
        <f>+VLOOKUP(Agencia[[#This Row],[Filtro Integrado]],Estructura!$I$4:$K$500,3,0)</f>
        <v>FI-993</v>
      </c>
      <c r="AA342" s="93" t="str">
        <f>+VLOOKUP(Agencia[[#This Row],[Muestra]],Estructura!$M$4:$O$500,3,0)</f>
        <v>M-1053</v>
      </c>
    </row>
    <row r="343" spans="1:27" ht="61.2" x14ac:dyDescent="0.3">
      <c r="A343" s="21" t="s">
        <v>745</v>
      </c>
      <c r="B343" s="23">
        <f t="shared" si="142"/>
        <v>990</v>
      </c>
      <c r="C343" s="24" t="str">
        <f t="shared" si="143"/>
        <v>Agencia Información</v>
      </c>
      <c r="D343" s="72" t="str">
        <f t="shared" si="140"/>
        <v>Salud</v>
      </c>
      <c r="E343" s="19">
        <v>5</v>
      </c>
      <c r="F343" s="10" t="s">
        <v>948</v>
      </c>
      <c r="G343" s="25" t="s">
        <v>1898</v>
      </c>
      <c r="H343" s="33" t="s">
        <v>16</v>
      </c>
      <c r="I343" s="34" t="s">
        <v>372</v>
      </c>
      <c r="J343" s="9" t="str">
        <f t="shared" si="144"/>
        <v>Ninguno</v>
      </c>
      <c r="K343" s="9" t="str">
        <f t="shared" si="145"/>
        <v>Población en control</v>
      </c>
      <c r="L343" s="9" t="str">
        <f t="shared" si="137"/>
        <v>Periodo 2011-2018</v>
      </c>
      <c r="M343" s="9" t="str">
        <f t="shared" si="138"/>
        <v>Número de Casos</v>
      </c>
      <c r="N343" s="9" t="str">
        <f t="shared" si="139"/>
        <v>Departamento de Estadísticas e Información de la Salud (DEIS) - Ministerio de Salud</v>
      </c>
      <c r="O343" s="20" t="str">
        <f>"Evolución de Población en Control en el Programa de VIH/SIDA según sexo en "&amp;Agencia[[#This Row],[territorio]]&amp;" durante el "&amp;Agencia[[#This Row],[temporalidad]]</f>
        <v>Evolución de Población en Control en el Programa de VIH/SIDA según sexo en Región de Valparaíso durante el Periodo 2011-2018</v>
      </c>
      <c r="P343" s="112" t="s">
        <v>6621</v>
      </c>
      <c r="Q343" s="11" t="str">
        <f t="shared" si="141"/>
        <v>Gráfico de Evolución</v>
      </c>
      <c r="R343" s="148" t="str">
        <f>Agencia[[#This Row],[territorio]]&amp;",VIH,SIDA,enfermedad,transmisión,sexual,casos,población,control,programa,sexo,hombre,mujer,evolución,regional,"&amp;Agencia[[#This Row],[coleccion]]&amp;","&amp;Agencia[[#This Row],[sector]]&amp;","&amp;Agencia[[#This Row],[tema]]&amp;","&amp;Agencia[[#This Row],[contenido]]</f>
        <v>Región de Valparaíso,VIH,SIDA,enfermedad,transmisión,sexual,casos,población,control,programa,sexo,hombre,mujer,evolución,regional,Agencia Información,Salud,Programa de VIH/SIDA,Programas de Salud</v>
      </c>
      <c r="S343" s="37" t="str">
        <f>HYPERLINK("https://analytics.zoho.com/open-view/2395394000007991542?ZOHO_CRITERIA=%22Localiza%20CL%22.%22Codreg%22%20%3D%20"&amp;Agencia[[#This Row],[Filtro URL]])</f>
        <v>https://analytics.zoho.com/open-view/2395394000007991542?ZOHO_CRITERIA=%22Localiza%20CL%22.%22Codreg%22%20%3D%205</v>
      </c>
      <c r="T343" s="108" t="str">
        <f>"100-R-"&amp;Agencia[[#This Row],[Filtro URL]]</f>
        <v>100-R-5</v>
      </c>
      <c r="U343" s="46" t="str">
        <f t="shared" si="146"/>
        <v>#1774B9</v>
      </c>
      <c r="V343" s="93" t="str">
        <f>+Agencia[[#This Row],[idcoleccion]]&amp;"-"&amp;Agencia[[#This Row],[id]]</f>
        <v>990-0332</v>
      </c>
      <c r="W343" s="93">
        <f>+VLOOKUP(Agencia[[#This Row],[Filtro URL]],Estructura!$X$4:$Y$500,2,0)</f>
        <v>99200005</v>
      </c>
      <c r="X343" s="93" t="str">
        <f>+VLOOKUP(Agencia[[#This Row],[tema]],Estructura!$A$4:$C$500,3,0)</f>
        <v>T-999</v>
      </c>
      <c r="Y343" s="93" t="str">
        <f>+VLOOKUP(Agencia[[#This Row],[contenido]],Estructura!$E$4:$G$500,3,0)</f>
        <v>C-1010</v>
      </c>
      <c r="Z343" s="93" t="str">
        <f>+VLOOKUP(Agencia[[#This Row],[Filtro Integrado]],Estructura!$I$4:$K$500,3,0)</f>
        <v>FI-993</v>
      </c>
      <c r="AA343" s="93" t="str">
        <f>+VLOOKUP(Agencia[[#This Row],[Muestra]],Estructura!$M$4:$O$500,3,0)</f>
        <v>M-1053</v>
      </c>
    </row>
    <row r="344" spans="1:27" ht="61.2" x14ac:dyDescent="0.3">
      <c r="A344" s="21" t="s">
        <v>746</v>
      </c>
      <c r="B344" s="23">
        <f t="shared" si="142"/>
        <v>990</v>
      </c>
      <c r="C344" s="24" t="str">
        <f t="shared" si="143"/>
        <v>Agencia Información</v>
      </c>
      <c r="D344" s="72" t="str">
        <f t="shared" si="140"/>
        <v>Salud</v>
      </c>
      <c r="E344" s="19">
        <v>6</v>
      </c>
      <c r="F344" s="10" t="s">
        <v>948</v>
      </c>
      <c r="G344" s="25" t="s">
        <v>1898</v>
      </c>
      <c r="H344" s="33" t="s">
        <v>16</v>
      </c>
      <c r="I344" s="34" t="s">
        <v>373</v>
      </c>
      <c r="J344" s="9" t="str">
        <f t="shared" si="144"/>
        <v>Ninguno</v>
      </c>
      <c r="K344" s="9" t="str">
        <f t="shared" si="145"/>
        <v>Población en control</v>
      </c>
      <c r="L344" s="9" t="str">
        <f t="shared" si="137"/>
        <v>Periodo 2011-2018</v>
      </c>
      <c r="M344" s="9" t="str">
        <f t="shared" si="138"/>
        <v>Número de Casos</v>
      </c>
      <c r="N344" s="9" t="str">
        <f t="shared" si="139"/>
        <v>Departamento de Estadísticas e Información de la Salud (DEIS) - Ministerio de Salud</v>
      </c>
      <c r="O344" s="20" t="str">
        <f>"Evolución de Población en Control en el Programa de VIH/SIDA según sexo en "&amp;Agencia[[#This Row],[territorio]]&amp;" durante el "&amp;Agencia[[#This Row],[temporalidad]]</f>
        <v>Evolución de Población en Control en el Programa de VIH/SIDA según sexo en Región de O'Higgins durante el Periodo 2011-2018</v>
      </c>
      <c r="P344" s="112" t="s">
        <v>6622</v>
      </c>
      <c r="Q344" s="11" t="str">
        <f t="shared" si="141"/>
        <v>Gráfico de Evolución</v>
      </c>
      <c r="R344" s="148" t="str">
        <f>Agencia[[#This Row],[territorio]]&amp;",VIH,SIDA,enfermedad,transmisión,sexual,casos,población,control,programa,sexo,hombre,mujer,evolución,regional,"&amp;Agencia[[#This Row],[coleccion]]&amp;","&amp;Agencia[[#This Row],[sector]]&amp;","&amp;Agencia[[#This Row],[tema]]&amp;","&amp;Agencia[[#This Row],[contenido]]</f>
        <v>Región de O'Higgins,VIH,SIDA,enfermedad,transmisión,sexual,casos,población,control,programa,sexo,hombre,mujer,evolución,regional,Agencia Información,Salud,Programa de VIH/SIDA,Programas de Salud</v>
      </c>
      <c r="S344" s="37" t="str">
        <f>HYPERLINK("https://analytics.zoho.com/open-view/2395394000007991542?ZOHO_CRITERIA=%22Localiza%20CL%22.%22Codreg%22%20%3D%20"&amp;Agencia[[#This Row],[Filtro URL]])</f>
        <v>https://analytics.zoho.com/open-view/2395394000007991542?ZOHO_CRITERIA=%22Localiza%20CL%22.%22Codreg%22%20%3D%206</v>
      </c>
      <c r="T344" s="108" t="str">
        <f>"100-R-"&amp;Agencia[[#This Row],[Filtro URL]]</f>
        <v>100-R-6</v>
      </c>
      <c r="U344" s="46" t="str">
        <f t="shared" si="146"/>
        <v>#1774B9</v>
      </c>
      <c r="V344" s="93" t="str">
        <f>+Agencia[[#This Row],[idcoleccion]]&amp;"-"&amp;Agencia[[#This Row],[id]]</f>
        <v>990-0333</v>
      </c>
      <c r="W344" s="93">
        <f>+VLOOKUP(Agencia[[#This Row],[Filtro URL]],Estructura!$X$4:$Y$500,2,0)</f>
        <v>99200006</v>
      </c>
      <c r="X344" s="93" t="str">
        <f>+VLOOKUP(Agencia[[#This Row],[tema]],Estructura!$A$4:$C$500,3,0)</f>
        <v>T-999</v>
      </c>
      <c r="Y344" s="93" t="str">
        <f>+VLOOKUP(Agencia[[#This Row],[contenido]],Estructura!$E$4:$G$500,3,0)</f>
        <v>C-1010</v>
      </c>
      <c r="Z344" s="93" t="str">
        <f>+VLOOKUP(Agencia[[#This Row],[Filtro Integrado]],Estructura!$I$4:$K$500,3,0)</f>
        <v>FI-993</v>
      </c>
      <c r="AA344" s="93" t="str">
        <f>+VLOOKUP(Agencia[[#This Row],[Muestra]],Estructura!$M$4:$O$500,3,0)</f>
        <v>M-1053</v>
      </c>
    </row>
    <row r="345" spans="1:27" ht="61.2" x14ac:dyDescent="0.3">
      <c r="A345" s="21" t="s">
        <v>747</v>
      </c>
      <c r="B345" s="23">
        <f t="shared" si="142"/>
        <v>990</v>
      </c>
      <c r="C345" s="24" t="str">
        <f t="shared" si="143"/>
        <v>Agencia Información</v>
      </c>
      <c r="D345" s="72" t="str">
        <f t="shared" si="140"/>
        <v>Salud</v>
      </c>
      <c r="E345" s="19">
        <v>7</v>
      </c>
      <c r="F345" s="10" t="s">
        <v>948</v>
      </c>
      <c r="G345" s="25" t="s">
        <v>1898</v>
      </c>
      <c r="H345" s="33" t="s">
        <v>16</v>
      </c>
      <c r="I345" s="34" t="s">
        <v>374</v>
      </c>
      <c r="J345" s="9" t="str">
        <f t="shared" si="144"/>
        <v>Ninguno</v>
      </c>
      <c r="K345" s="9" t="str">
        <f t="shared" si="145"/>
        <v>Población en control</v>
      </c>
      <c r="L345" s="9" t="str">
        <f t="shared" si="137"/>
        <v>Periodo 2011-2018</v>
      </c>
      <c r="M345" s="9" t="str">
        <f t="shared" si="138"/>
        <v>Número de Casos</v>
      </c>
      <c r="N345" s="9" t="str">
        <f t="shared" si="139"/>
        <v>Departamento de Estadísticas e Información de la Salud (DEIS) - Ministerio de Salud</v>
      </c>
      <c r="O345" s="20" t="str">
        <f>"Evolución de Población en Control en el Programa de VIH/SIDA según sexo en "&amp;Agencia[[#This Row],[territorio]]&amp;" durante el "&amp;Agencia[[#This Row],[temporalidad]]</f>
        <v>Evolución de Población en Control en el Programa de VIH/SIDA según sexo en Región de Maule durante el Periodo 2011-2018</v>
      </c>
      <c r="P345" s="112" t="s">
        <v>6623</v>
      </c>
      <c r="Q345" s="11" t="str">
        <f t="shared" si="141"/>
        <v>Gráfico de Evolución</v>
      </c>
      <c r="R345" s="148" t="str">
        <f>Agencia[[#This Row],[territorio]]&amp;",VIH,SIDA,enfermedad,transmisión,sexual,casos,población,control,programa,sexo,hombre,mujer,evolución,regional,"&amp;Agencia[[#This Row],[coleccion]]&amp;","&amp;Agencia[[#This Row],[sector]]&amp;","&amp;Agencia[[#This Row],[tema]]&amp;","&amp;Agencia[[#This Row],[contenido]]</f>
        <v>Región de Maule,VIH,SIDA,enfermedad,transmisión,sexual,casos,población,control,programa,sexo,hombre,mujer,evolución,regional,Agencia Información,Salud,Programa de VIH/SIDA,Programas de Salud</v>
      </c>
      <c r="S345" s="37" t="str">
        <f>HYPERLINK("https://analytics.zoho.com/open-view/2395394000007991542?ZOHO_CRITERIA=%22Localiza%20CL%22.%22Codreg%22%20%3D%20"&amp;Agencia[[#This Row],[Filtro URL]])</f>
        <v>https://analytics.zoho.com/open-view/2395394000007991542?ZOHO_CRITERIA=%22Localiza%20CL%22.%22Codreg%22%20%3D%207</v>
      </c>
      <c r="T345" s="108" t="str">
        <f>"100-R-"&amp;Agencia[[#This Row],[Filtro URL]]</f>
        <v>100-R-7</v>
      </c>
      <c r="U345" s="46" t="str">
        <f t="shared" si="146"/>
        <v>#1774B9</v>
      </c>
      <c r="V345" s="93" t="str">
        <f>+Agencia[[#This Row],[idcoleccion]]&amp;"-"&amp;Agencia[[#This Row],[id]]</f>
        <v>990-0334</v>
      </c>
      <c r="W345" s="93">
        <f>+VLOOKUP(Agencia[[#This Row],[Filtro URL]],Estructura!$X$4:$Y$500,2,0)</f>
        <v>99200007</v>
      </c>
      <c r="X345" s="93" t="str">
        <f>+VLOOKUP(Agencia[[#This Row],[tema]],Estructura!$A$4:$C$500,3,0)</f>
        <v>T-999</v>
      </c>
      <c r="Y345" s="93" t="str">
        <f>+VLOOKUP(Agencia[[#This Row],[contenido]],Estructura!$E$4:$G$500,3,0)</f>
        <v>C-1010</v>
      </c>
      <c r="Z345" s="93" t="str">
        <f>+VLOOKUP(Agencia[[#This Row],[Filtro Integrado]],Estructura!$I$4:$K$500,3,0)</f>
        <v>FI-993</v>
      </c>
      <c r="AA345" s="93" t="str">
        <f>+VLOOKUP(Agencia[[#This Row],[Muestra]],Estructura!$M$4:$O$500,3,0)</f>
        <v>M-1053</v>
      </c>
    </row>
    <row r="346" spans="1:27" ht="61.2" x14ac:dyDescent="0.3">
      <c r="A346" s="21" t="s">
        <v>748</v>
      </c>
      <c r="B346" s="23">
        <f t="shared" si="142"/>
        <v>990</v>
      </c>
      <c r="C346" s="24" t="str">
        <f t="shared" si="143"/>
        <v>Agencia Información</v>
      </c>
      <c r="D346" s="72" t="str">
        <f t="shared" si="140"/>
        <v>Salud</v>
      </c>
      <c r="E346" s="19">
        <v>8</v>
      </c>
      <c r="F346" s="10" t="s">
        <v>948</v>
      </c>
      <c r="G346" s="25" t="s">
        <v>1898</v>
      </c>
      <c r="H346" s="33" t="s">
        <v>16</v>
      </c>
      <c r="I346" s="34" t="s">
        <v>375</v>
      </c>
      <c r="J346" s="9" t="str">
        <f t="shared" si="144"/>
        <v>Ninguno</v>
      </c>
      <c r="K346" s="9" t="str">
        <f t="shared" si="145"/>
        <v>Población en control</v>
      </c>
      <c r="L346" s="9" t="str">
        <f t="shared" si="137"/>
        <v>Periodo 2011-2018</v>
      </c>
      <c r="M346" s="9" t="str">
        <f t="shared" si="138"/>
        <v>Número de Casos</v>
      </c>
      <c r="N346" s="9" t="str">
        <f t="shared" si="139"/>
        <v>Departamento de Estadísticas e Información de la Salud (DEIS) - Ministerio de Salud</v>
      </c>
      <c r="O346" s="20" t="str">
        <f>"Evolución de Población en Control en el Programa de VIH/SIDA según sexo en "&amp;Agencia[[#This Row],[territorio]]&amp;" durante el "&amp;Agencia[[#This Row],[temporalidad]]</f>
        <v>Evolución de Población en Control en el Programa de VIH/SIDA según sexo en Región del Biobío durante el Periodo 2011-2018</v>
      </c>
      <c r="P346" s="112" t="s">
        <v>6624</v>
      </c>
      <c r="Q346" s="11" t="str">
        <f t="shared" si="141"/>
        <v>Gráfico de Evolución</v>
      </c>
      <c r="R346" s="148" t="str">
        <f>Agencia[[#This Row],[territorio]]&amp;",VIH,SIDA,enfermedad,transmisión,sexual,casos,población,control,programa,sexo,hombre,mujer,evolución,regional,"&amp;Agencia[[#This Row],[coleccion]]&amp;","&amp;Agencia[[#This Row],[sector]]&amp;","&amp;Agencia[[#This Row],[tema]]&amp;","&amp;Agencia[[#This Row],[contenido]]</f>
        <v>Región del Biobío,VIH,SIDA,enfermedad,transmisión,sexual,casos,población,control,programa,sexo,hombre,mujer,evolución,regional,Agencia Información,Salud,Programa de VIH/SIDA,Programas de Salud</v>
      </c>
      <c r="S346" s="37" t="str">
        <f>HYPERLINK("https://analytics.zoho.com/open-view/2395394000007991542?ZOHO_CRITERIA=%22Localiza%20CL%22.%22Codreg%22%20%3D%20"&amp;Agencia[[#This Row],[Filtro URL]])</f>
        <v>https://analytics.zoho.com/open-view/2395394000007991542?ZOHO_CRITERIA=%22Localiza%20CL%22.%22Codreg%22%20%3D%208</v>
      </c>
      <c r="T346" s="108" t="str">
        <f>"100-R-"&amp;Agencia[[#This Row],[Filtro URL]]</f>
        <v>100-R-8</v>
      </c>
      <c r="U346" s="46" t="str">
        <f t="shared" si="146"/>
        <v>#1774B9</v>
      </c>
      <c r="V346" s="93" t="str">
        <f>+Agencia[[#This Row],[idcoleccion]]&amp;"-"&amp;Agencia[[#This Row],[id]]</f>
        <v>990-0335</v>
      </c>
      <c r="W346" s="93">
        <f>+VLOOKUP(Agencia[[#This Row],[Filtro URL]],Estructura!$X$4:$Y$500,2,0)</f>
        <v>99200008</v>
      </c>
      <c r="X346" s="93" t="str">
        <f>+VLOOKUP(Agencia[[#This Row],[tema]],Estructura!$A$4:$C$500,3,0)</f>
        <v>T-999</v>
      </c>
      <c r="Y346" s="93" t="str">
        <f>+VLOOKUP(Agencia[[#This Row],[contenido]],Estructura!$E$4:$G$500,3,0)</f>
        <v>C-1010</v>
      </c>
      <c r="Z346" s="93" t="str">
        <f>+VLOOKUP(Agencia[[#This Row],[Filtro Integrado]],Estructura!$I$4:$K$500,3,0)</f>
        <v>FI-993</v>
      </c>
      <c r="AA346" s="93" t="str">
        <f>+VLOOKUP(Agencia[[#This Row],[Muestra]],Estructura!$M$4:$O$500,3,0)</f>
        <v>M-1053</v>
      </c>
    </row>
    <row r="347" spans="1:27" ht="61.2" x14ac:dyDescent="0.3">
      <c r="A347" s="21" t="s">
        <v>749</v>
      </c>
      <c r="B347" s="23">
        <f t="shared" si="142"/>
        <v>990</v>
      </c>
      <c r="C347" s="24" t="str">
        <f t="shared" si="143"/>
        <v>Agencia Información</v>
      </c>
      <c r="D347" s="72" t="str">
        <f t="shared" si="140"/>
        <v>Salud</v>
      </c>
      <c r="E347" s="19">
        <v>9</v>
      </c>
      <c r="F347" s="10" t="s">
        <v>948</v>
      </c>
      <c r="G347" s="25" t="s">
        <v>1898</v>
      </c>
      <c r="H347" s="33" t="s">
        <v>16</v>
      </c>
      <c r="I347" s="34" t="s">
        <v>376</v>
      </c>
      <c r="J347" s="9" t="str">
        <f t="shared" si="144"/>
        <v>Ninguno</v>
      </c>
      <c r="K347" s="9" t="str">
        <f t="shared" si="145"/>
        <v>Población en control</v>
      </c>
      <c r="L347" s="9" t="str">
        <f t="shared" si="137"/>
        <v>Periodo 2011-2018</v>
      </c>
      <c r="M347" s="9" t="str">
        <f t="shared" si="138"/>
        <v>Número de Casos</v>
      </c>
      <c r="N347" s="9" t="str">
        <f t="shared" si="139"/>
        <v>Departamento de Estadísticas e Información de la Salud (DEIS) - Ministerio de Salud</v>
      </c>
      <c r="O347" s="20" t="str">
        <f>"Evolución de Población en Control en el Programa de VIH/SIDA según sexo en "&amp;Agencia[[#This Row],[territorio]]&amp;" durante el "&amp;Agencia[[#This Row],[temporalidad]]</f>
        <v>Evolución de Población en Control en el Programa de VIH/SIDA según sexo en Región de La Araucanía durante el Periodo 2011-2018</v>
      </c>
      <c r="P347" s="112" t="s">
        <v>6625</v>
      </c>
      <c r="Q347" s="11" t="str">
        <f t="shared" si="141"/>
        <v>Gráfico de Evolución</v>
      </c>
      <c r="R347" s="148" t="str">
        <f>Agencia[[#This Row],[territorio]]&amp;",VIH,SIDA,enfermedad,transmisión,sexual,casos,población,control,programa,sexo,hombre,mujer,evolución,regional,"&amp;Agencia[[#This Row],[coleccion]]&amp;","&amp;Agencia[[#This Row],[sector]]&amp;","&amp;Agencia[[#This Row],[tema]]&amp;","&amp;Agencia[[#This Row],[contenido]]</f>
        <v>Región de La Araucanía,VIH,SIDA,enfermedad,transmisión,sexual,casos,población,control,programa,sexo,hombre,mujer,evolución,regional,Agencia Información,Salud,Programa de VIH/SIDA,Programas de Salud</v>
      </c>
      <c r="S347" s="37" t="str">
        <f>HYPERLINK("https://analytics.zoho.com/open-view/2395394000007991542?ZOHO_CRITERIA=%22Localiza%20CL%22.%22Codreg%22%20%3D%20"&amp;Agencia[[#This Row],[Filtro URL]])</f>
        <v>https://analytics.zoho.com/open-view/2395394000007991542?ZOHO_CRITERIA=%22Localiza%20CL%22.%22Codreg%22%20%3D%209</v>
      </c>
      <c r="T347" s="108" t="str">
        <f>"100-R-"&amp;Agencia[[#This Row],[Filtro URL]]</f>
        <v>100-R-9</v>
      </c>
      <c r="U347" s="46" t="str">
        <f t="shared" si="146"/>
        <v>#1774B9</v>
      </c>
      <c r="V347" s="93" t="str">
        <f>+Agencia[[#This Row],[idcoleccion]]&amp;"-"&amp;Agencia[[#This Row],[id]]</f>
        <v>990-0336</v>
      </c>
      <c r="W347" s="93">
        <f>+VLOOKUP(Agencia[[#This Row],[Filtro URL]],Estructura!$X$4:$Y$500,2,0)</f>
        <v>99200009</v>
      </c>
      <c r="X347" s="93" t="str">
        <f>+VLOOKUP(Agencia[[#This Row],[tema]],Estructura!$A$4:$C$500,3,0)</f>
        <v>T-999</v>
      </c>
      <c r="Y347" s="93" t="str">
        <f>+VLOOKUP(Agencia[[#This Row],[contenido]],Estructura!$E$4:$G$500,3,0)</f>
        <v>C-1010</v>
      </c>
      <c r="Z347" s="93" t="str">
        <f>+VLOOKUP(Agencia[[#This Row],[Filtro Integrado]],Estructura!$I$4:$K$500,3,0)</f>
        <v>FI-993</v>
      </c>
      <c r="AA347" s="93" t="str">
        <f>+VLOOKUP(Agencia[[#This Row],[Muestra]],Estructura!$M$4:$O$500,3,0)</f>
        <v>M-1053</v>
      </c>
    </row>
    <row r="348" spans="1:27" ht="61.2" x14ac:dyDescent="0.3">
      <c r="A348" s="21" t="s">
        <v>750</v>
      </c>
      <c r="B348" s="23">
        <f t="shared" si="142"/>
        <v>990</v>
      </c>
      <c r="C348" s="24" t="str">
        <f t="shared" si="143"/>
        <v>Agencia Información</v>
      </c>
      <c r="D348" s="72" t="str">
        <f t="shared" si="140"/>
        <v>Salud</v>
      </c>
      <c r="E348" s="19">
        <v>10</v>
      </c>
      <c r="F348" s="10" t="s">
        <v>948</v>
      </c>
      <c r="G348" s="25" t="s">
        <v>1898</v>
      </c>
      <c r="H348" s="33" t="s">
        <v>16</v>
      </c>
      <c r="I348" s="34" t="s">
        <v>377</v>
      </c>
      <c r="J348" s="9" t="str">
        <f t="shared" si="144"/>
        <v>Ninguno</v>
      </c>
      <c r="K348" s="9" t="str">
        <f t="shared" si="145"/>
        <v>Población en control</v>
      </c>
      <c r="L348" s="9" t="str">
        <f t="shared" si="137"/>
        <v>Periodo 2011-2018</v>
      </c>
      <c r="M348" s="9" t="str">
        <f t="shared" si="138"/>
        <v>Número de Casos</v>
      </c>
      <c r="N348" s="9" t="str">
        <f t="shared" si="139"/>
        <v>Departamento de Estadísticas e Información de la Salud (DEIS) - Ministerio de Salud</v>
      </c>
      <c r="O348" s="20" t="str">
        <f>"Evolución de Población en Control en el Programa de VIH/SIDA según sexo en "&amp;Agencia[[#This Row],[territorio]]&amp;" durante el "&amp;Agencia[[#This Row],[temporalidad]]</f>
        <v>Evolución de Población en Control en el Programa de VIH/SIDA según sexo en Región de Los Lagos durante el Periodo 2011-2018</v>
      </c>
      <c r="P348" s="112" t="s">
        <v>6626</v>
      </c>
      <c r="Q348" s="11" t="str">
        <f t="shared" si="141"/>
        <v>Gráfico de Evolución</v>
      </c>
      <c r="R348" s="148" t="str">
        <f>Agencia[[#This Row],[territorio]]&amp;",VIH,SIDA,enfermedad,transmisión,sexual,casos,población,control,programa,sexo,hombre,mujer,evolución,regional,"&amp;Agencia[[#This Row],[coleccion]]&amp;","&amp;Agencia[[#This Row],[sector]]&amp;","&amp;Agencia[[#This Row],[tema]]&amp;","&amp;Agencia[[#This Row],[contenido]]</f>
        <v>Región de Los Lagos,VIH,SIDA,enfermedad,transmisión,sexual,casos,población,control,programa,sexo,hombre,mujer,evolución,regional,Agencia Información,Salud,Programa de VIH/SIDA,Programas de Salud</v>
      </c>
      <c r="S348" s="37" t="str">
        <f>HYPERLINK("https://analytics.zoho.com/open-view/2395394000007991542?ZOHO_CRITERIA=%22Localiza%20CL%22.%22Codreg%22%20%3D%20"&amp;Agencia[[#This Row],[Filtro URL]])</f>
        <v>https://analytics.zoho.com/open-view/2395394000007991542?ZOHO_CRITERIA=%22Localiza%20CL%22.%22Codreg%22%20%3D%2010</v>
      </c>
      <c r="T348" s="108" t="str">
        <f>"100-R-"&amp;Agencia[[#This Row],[Filtro URL]]</f>
        <v>100-R-10</v>
      </c>
      <c r="U348" s="46" t="str">
        <f t="shared" si="146"/>
        <v>#1774B9</v>
      </c>
      <c r="V348" s="93" t="str">
        <f>+Agencia[[#This Row],[idcoleccion]]&amp;"-"&amp;Agencia[[#This Row],[id]]</f>
        <v>990-0337</v>
      </c>
      <c r="W348" s="93">
        <f>+VLOOKUP(Agencia[[#This Row],[Filtro URL]],Estructura!$X$4:$Y$500,2,0)</f>
        <v>99200010</v>
      </c>
      <c r="X348" s="93" t="str">
        <f>+VLOOKUP(Agencia[[#This Row],[tema]],Estructura!$A$4:$C$500,3,0)</f>
        <v>T-999</v>
      </c>
      <c r="Y348" s="93" t="str">
        <f>+VLOOKUP(Agencia[[#This Row],[contenido]],Estructura!$E$4:$G$500,3,0)</f>
        <v>C-1010</v>
      </c>
      <c r="Z348" s="93" t="str">
        <f>+VLOOKUP(Agencia[[#This Row],[Filtro Integrado]],Estructura!$I$4:$K$500,3,0)</f>
        <v>FI-993</v>
      </c>
      <c r="AA348" s="93" t="str">
        <f>+VLOOKUP(Agencia[[#This Row],[Muestra]],Estructura!$M$4:$O$500,3,0)</f>
        <v>M-1053</v>
      </c>
    </row>
    <row r="349" spans="1:27" ht="61.2" x14ac:dyDescent="0.3">
      <c r="A349" s="21" t="s">
        <v>751</v>
      </c>
      <c r="B349" s="23">
        <f t="shared" si="142"/>
        <v>990</v>
      </c>
      <c r="C349" s="24" t="str">
        <f t="shared" si="143"/>
        <v>Agencia Información</v>
      </c>
      <c r="D349" s="72" t="str">
        <f t="shared" si="140"/>
        <v>Salud</v>
      </c>
      <c r="E349" s="19">
        <v>11</v>
      </c>
      <c r="F349" s="10" t="s">
        <v>948</v>
      </c>
      <c r="G349" s="25" t="s">
        <v>1898</v>
      </c>
      <c r="H349" s="33" t="s">
        <v>16</v>
      </c>
      <c r="I349" s="34" t="s">
        <v>378</v>
      </c>
      <c r="J349" s="9" t="str">
        <f t="shared" si="144"/>
        <v>Ninguno</v>
      </c>
      <c r="K349" s="9" t="str">
        <f t="shared" si="145"/>
        <v>Población en control</v>
      </c>
      <c r="L349" s="9" t="str">
        <f t="shared" si="137"/>
        <v>Periodo 2011-2018</v>
      </c>
      <c r="M349" s="9" t="str">
        <f t="shared" si="138"/>
        <v>Número de Casos</v>
      </c>
      <c r="N349" s="9" t="str">
        <f t="shared" si="139"/>
        <v>Departamento de Estadísticas e Información de la Salud (DEIS) - Ministerio de Salud</v>
      </c>
      <c r="O349" s="20" t="str">
        <f>"Evolución de Población en Control en el Programa de VIH/SIDA según sexo en "&amp;Agencia[[#This Row],[territorio]]&amp;" durante el "&amp;Agencia[[#This Row],[temporalidad]]</f>
        <v>Evolución de Población en Control en el Programa de VIH/SIDA según sexo en Región de Aysén durante el Periodo 2011-2018</v>
      </c>
      <c r="P349" s="112" t="s">
        <v>6627</v>
      </c>
      <c r="Q349" s="11" t="str">
        <f t="shared" si="141"/>
        <v>Gráfico de Evolución</v>
      </c>
      <c r="R349" s="148" t="str">
        <f>Agencia[[#This Row],[territorio]]&amp;",VIH,SIDA,enfermedad,transmisión,sexual,casos,población,control,programa,sexo,hombre,mujer,evolución,regional,"&amp;Agencia[[#This Row],[coleccion]]&amp;","&amp;Agencia[[#This Row],[sector]]&amp;","&amp;Agencia[[#This Row],[tema]]&amp;","&amp;Agencia[[#This Row],[contenido]]</f>
        <v>Región de Aysén,VIH,SIDA,enfermedad,transmisión,sexual,casos,población,control,programa,sexo,hombre,mujer,evolución,regional,Agencia Información,Salud,Programa de VIH/SIDA,Programas de Salud</v>
      </c>
      <c r="S349" s="37" t="str">
        <f>HYPERLINK("https://analytics.zoho.com/open-view/2395394000007991542?ZOHO_CRITERIA=%22Localiza%20CL%22.%22Codreg%22%20%3D%20"&amp;Agencia[[#This Row],[Filtro URL]])</f>
        <v>https://analytics.zoho.com/open-view/2395394000007991542?ZOHO_CRITERIA=%22Localiza%20CL%22.%22Codreg%22%20%3D%2011</v>
      </c>
      <c r="T349" s="108" t="str">
        <f>"100-R-"&amp;Agencia[[#This Row],[Filtro URL]]</f>
        <v>100-R-11</v>
      </c>
      <c r="U349" s="46" t="str">
        <f t="shared" si="146"/>
        <v>#1774B9</v>
      </c>
      <c r="V349" s="93" t="str">
        <f>+Agencia[[#This Row],[idcoleccion]]&amp;"-"&amp;Agencia[[#This Row],[id]]</f>
        <v>990-0338</v>
      </c>
      <c r="W349" s="93">
        <f>+VLOOKUP(Agencia[[#This Row],[Filtro URL]],Estructura!$X$4:$Y$500,2,0)</f>
        <v>99200011</v>
      </c>
      <c r="X349" s="93" t="str">
        <f>+VLOOKUP(Agencia[[#This Row],[tema]],Estructura!$A$4:$C$500,3,0)</f>
        <v>T-999</v>
      </c>
      <c r="Y349" s="93" t="str">
        <f>+VLOOKUP(Agencia[[#This Row],[contenido]],Estructura!$E$4:$G$500,3,0)</f>
        <v>C-1010</v>
      </c>
      <c r="Z349" s="93" t="str">
        <f>+VLOOKUP(Agencia[[#This Row],[Filtro Integrado]],Estructura!$I$4:$K$500,3,0)</f>
        <v>FI-993</v>
      </c>
      <c r="AA349" s="93" t="str">
        <f>+VLOOKUP(Agencia[[#This Row],[Muestra]],Estructura!$M$4:$O$500,3,0)</f>
        <v>M-1053</v>
      </c>
    </row>
    <row r="350" spans="1:27" ht="61.2" x14ac:dyDescent="0.3">
      <c r="A350" s="21" t="s">
        <v>752</v>
      </c>
      <c r="B350" s="23">
        <f t="shared" si="142"/>
        <v>990</v>
      </c>
      <c r="C350" s="24" t="str">
        <f t="shared" si="143"/>
        <v>Agencia Información</v>
      </c>
      <c r="D350" s="72" t="str">
        <f t="shared" si="140"/>
        <v>Salud</v>
      </c>
      <c r="E350" s="19">
        <v>12</v>
      </c>
      <c r="F350" s="10" t="s">
        <v>948</v>
      </c>
      <c r="G350" s="25" t="s">
        <v>1898</v>
      </c>
      <c r="H350" s="33" t="s">
        <v>16</v>
      </c>
      <c r="I350" s="34" t="s">
        <v>379</v>
      </c>
      <c r="J350" s="9" t="str">
        <f t="shared" si="144"/>
        <v>Ninguno</v>
      </c>
      <c r="K350" s="9" t="str">
        <f t="shared" si="145"/>
        <v>Población en control</v>
      </c>
      <c r="L350" s="9" t="str">
        <f t="shared" si="137"/>
        <v>Periodo 2011-2018</v>
      </c>
      <c r="M350" s="9" t="str">
        <f t="shared" si="138"/>
        <v>Número de Casos</v>
      </c>
      <c r="N350" s="9" t="str">
        <f t="shared" si="139"/>
        <v>Departamento de Estadísticas e Información de la Salud (DEIS) - Ministerio de Salud</v>
      </c>
      <c r="O350" s="20" t="str">
        <f>"Evolución de Población en Control en el Programa de VIH/SIDA según sexo en "&amp;Agencia[[#This Row],[territorio]]&amp;" durante el "&amp;Agencia[[#This Row],[temporalidad]]</f>
        <v>Evolución de Población en Control en el Programa de VIH/SIDA según sexo en Región de Magallanes durante el Periodo 2011-2018</v>
      </c>
      <c r="P350" s="112" t="s">
        <v>6628</v>
      </c>
      <c r="Q350" s="11" t="str">
        <f t="shared" si="141"/>
        <v>Gráfico de Evolución</v>
      </c>
      <c r="R350" s="148" t="str">
        <f>Agencia[[#This Row],[territorio]]&amp;",VIH,SIDA,enfermedad,transmisión,sexual,casos,población,control,programa,sexo,hombre,mujer,evolución,regional,"&amp;Agencia[[#This Row],[coleccion]]&amp;","&amp;Agencia[[#This Row],[sector]]&amp;","&amp;Agencia[[#This Row],[tema]]&amp;","&amp;Agencia[[#This Row],[contenido]]</f>
        <v>Región de Magallanes,VIH,SIDA,enfermedad,transmisión,sexual,casos,población,control,programa,sexo,hombre,mujer,evolución,regional,Agencia Información,Salud,Programa de VIH/SIDA,Programas de Salud</v>
      </c>
      <c r="S350" s="37" t="str">
        <f>HYPERLINK("https://analytics.zoho.com/open-view/2395394000007991542?ZOHO_CRITERIA=%22Localiza%20CL%22.%22Codreg%22%20%3D%20"&amp;Agencia[[#This Row],[Filtro URL]])</f>
        <v>https://analytics.zoho.com/open-view/2395394000007991542?ZOHO_CRITERIA=%22Localiza%20CL%22.%22Codreg%22%20%3D%2012</v>
      </c>
      <c r="T350" s="108" t="str">
        <f>"100-R-"&amp;Agencia[[#This Row],[Filtro URL]]</f>
        <v>100-R-12</v>
      </c>
      <c r="U350" s="46" t="str">
        <f t="shared" si="146"/>
        <v>#1774B9</v>
      </c>
      <c r="V350" s="93" t="str">
        <f>+Agencia[[#This Row],[idcoleccion]]&amp;"-"&amp;Agencia[[#This Row],[id]]</f>
        <v>990-0339</v>
      </c>
      <c r="W350" s="93">
        <f>+VLOOKUP(Agencia[[#This Row],[Filtro URL]],Estructura!$X$4:$Y$500,2,0)</f>
        <v>99200012</v>
      </c>
      <c r="X350" s="93" t="str">
        <f>+VLOOKUP(Agencia[[#This Row],[tema]],Estructura!$A$4:$C$500,3,0)</f>
        <v>T-999</v>
      </c>
      <c r="Y350" s="93" t="str">
        <f>+VLOOKUP(Agencia[[#This Row],[contenido]],Estructura!$E$4:$G$500,3,0)</f>
        <v>C-1010</v>
      </c>
      <c r="Z350" s="93" t="str">
        <f>+VLOOKUP(Agencia[[#This Row],[Filtro Integrado]],Estructura!$I$4:$K$500,3,0)</f>
        <v>FI-993</v>
      </c>
      <c r="AA350" s="93" t="str">
        <f>+VLOOKUP(Agencia[[#This Row],[Muestra]],Estructura!$M$4:$O$500,3,0)</f>
        <v>M-1053</v>
      </c>
    </row>
    <row r="351" spans="1:27" ht="61.2" x14ac:dyDescent="0.3">
      <c r="A351" s="21" t="s">
        <v>753</v>
      </c>
      <c r="B351" s="23">
        <f t="shared" si="142"/>
        <v>990</v>
      </c>
      <c r="C351" s="24" t="str">
        <f t="shared" si="143"/>
        <v>Agencia Información</v>
      </c>
      <c r="D351" s="72" t="str">
        <f t="shared" si="140"/>
        <v>Salud</v>
      </c>
      <c r="E351" s="19">
        <v>13</v>
      </c>
      <c r="F351" s="10" t="s">
        <v>948</v>
      </c>
      <c r="G351" s="25" t="s">
        <v>1898</v>
      </c>
      <c r="H351" s="33" t="s">
        <v>16</v>
      </c>
      <c r="I351" s="34" t="s">
        <v>380</v>
      </c>
      <c r="J351" s="9" t="str">
        <f t="shared" si="144"/>
        <v>Ninguno</v>
      </c>
      <c r="K351" s="9" t="str">
        <f t="shared" si="145"/>
        <v>Población en control</v>
      </c>
      <c r="L351" s="9" t="str">
        <f t="shared" si="137"/>
        <v>Periodo 2011-2018</v>
      </c>
      <c r="M351" s="9" t="str">
        <f t="shared" si="138"/>
        <v>Número de Casos</v>
      </c>
      <c r="N351" s="9" t="str">
        <f t="shared" si="139"/>
        <v>Departamento de Estadísticas e Información de la Salud (DEIS) - Ministerio de Salud</v>
      </c>
      <c r="O351" s="20" t="str">
        <f>"Evolución de Población en Control en el Programa de VIH/SIDA según sexo en "&amp;Agencia[[#This Row],[territorio]]&amp;" durante el "&amp;Agencia[[#This Row],[temporalidad]]</f>
        <v>Evolución de Población en Control en el Programa de VIH/SIDA según sexo en Región Metropolitana durante el Periodo 2011-2018</v>
      </c>
      <c r="P351" s="112" t="s">
        <v>6629</v>
      </c>
      <c r="Q351" s="11" t="str">
        <f t="shared" si="141"/>
        <v>Gráfico de Evolución</v>
      </c>
      <c r="R351" s="148" t="str">
        <f>Agencia[[#This Row],[territorio]]&amp;",VIH,SIDA,enfermedad,transmisión,sexual,casos,población,control,programa,sexo,hombre,mujer,evolución,regional,"&amp;Agencia[[#This Row],[coleccion]]&amp;","&amp;Agencia[[#This Row],[sector]]&amp;","&amp;Agencia[[#This Row],[tema]]&amp;","&amp;Agencia[[#This Row],[contenido]]</f>
        <v>Región Metropolitana,VIH,SIDA,enfermedad,transmisión,sexual,casos,población,control,programa,sexo,hombre,mujer,evolución,regional,Agencia Información,Salud,Programa de VIH/SIDA,Programas de Salud</v>
      </c>
      <c r="S351" s="37" t="str">
        <f>HYPERLINK("https://analytics.zoho.com/open-view/2395394000007991542?ZOHO_CRITERIA=%22Localiza%20CL%22.%22Codreg%22%20%3D%20"&amp;Agencia[[#This Row],[Filtro URL]])</f>
        <v>https://analytics.zoho.com/open-view/2395394000007991542?ZOHO_CRITERIA=%22Localiza%20CL%22.%22Codreg%22%20%3D%2013</v>
      </c>
      <c r="T351" s="108" t="str">
        <f>"200-R-"&amp;Agencia[[#This Row],[Filtro URL]]</f>
        <v>200-R-13</v>
      </c>
      <c r="U351" s="46" t="str">
        <f t="shared" si="146"/>
        <v>#1774B9</v>
      </c>
      <c r="V351" s="93" t="str">
        <f>+Agencia[[#This Row],[idcoleccion]]&amp;"-"&amp;Agencia[[#This Row],[id]]</f>
        <v>990-0340</v>
      </c>
      <c r="W351" s="93">
        <f>+VLOOKUP(Agencia[[#This Row],[Filtro URL]],Estructura!$X$4:$Y$500,2,0)</f>
        <v>99200013</v>
      </c>
      <c r="X351" s="93" t="str">
        <f>+VLOOKUP(Agencia[[#This Row],[tema]],Estructura!$A$4:$C$500,3,0)</f>
        <v>T-999</v>
      </c>
      <c r="Y351" s="93" t="str">
        <f>+VLOOKUP(Agencia[[#This Row],[contenido]],Estructura!$E$4:$G$500,3,0)</f>
        <v>C-1010</v>
      </c>
      <c r="Z351" s="93" t="str">
        <f>+VLOOKUP(Agencia[[#This Row],[Filtro Integrado]],Estructura!$I$4:$K$500,3,0)</f>
        <v>FI-993</v>
      </c>
      <c r="AA351" s="93" t="str">
        <f>+VLOOKUP(Agencia[[#This Row],[Muestra]],Estructura!$M$4:$O$500,3,0)</f>
        <v>M-1053</v>
      </c>
    </row>
    <row r="352" spans="1:27" ht="61.2" x14ac:dyDescent="0.3">
      <c r="A352" s="21" t="s">
        <v>754</v>
      </c>
      <c r="B352" s="23">
        <f t="shared" si="142"/>
        <v>990</v>
      </c>
      <c r="C352" s="24" t="str">
        <f t="shared" si="143"/>
        <v>Agencia Información</v>
      </c>
      <c r="D352" s="72" t="str">
        <f t="shared" si="140"/>
        <v>Salud</v>
      </c>
      <c r="E352" s="19">
        <v>14</v>
      </c>
      <c r="F352" s="10" t="s">
        <v>948</v>
      </c>
      <c r="G352" s="25" t="s">
        <v>1898</v>
      </c>
      <c r="H352" s="33" t="s">
        <v>16</v>
      </c>
      <c r="I352" s="34" t="s">
        <v>381</v>
      </c>
      <c r="J352" s="9" t="str">
        <f t="shared" si="144"/>
        <v>Ninguno</v>
      </c>
      <c r="K352" s="9" t="str">
        <f t="shared" si="145"/>
        <v>Población en control</v>
      </c>
      <c r="L352" s="9" t="str">
        <f t="shared" si="137"/>
        <v>Periodo 2011-2018</v>
      </c>
      <c r="M352" s="9" t="str">
        <f t="shared" si="138"/>
        <v>Número de Casos</v>
      </c>
      <c r="N352" s="9" t="str">
        <f t="shared" si="139"/>
        <v>Departamento de Estadísticas e Información de la Salud (DEIS) - Ministerio de Salud</v>
      </c>
      <c r="O352" s="20" t="str">
        <f>"Evolución de Población en Control en el Programa de VIH/SIDA según sexo en "&amp;Agencia[[#This Row],[territorio]]&amp;" durante el "&amp;Agencia[[#This Row],[temporalidad]]</f>
        <v>Evolución de Población en Control en el Programa de VIH/SIDA según sexo en Región de Los Ríos durante el Periodo 2011-2018</v>
      </c>
      <c r="P352" s="112" t="s">
        <v>6630</v>
      </c>
      <c r="Q352" s="11" t="str">
        <f t="shared" si="141"/>
        <v>Gráfico de Evolución</v>
      </c>
      <c r="R352" s="148" t="str">
        <f>Agencia[[#This Row],[territorio]]&amp;",VIH,SIDA,enfermedad,transmisión,sexual,casos,población,control,programa,sexo,hombre,mujer,evolución,regional,"&amp;Agencia[[#This Row],[coleccion]]&amp;","&amp;Agencia[[#This Row],[sector]]&amp;","&amp;Agencia[[#This Row],[tema]]&amp;","&amp;Agencia[[#This Row],[contenido]]</f>
        <v>Región de Los Ríos,VIH,SIDA,enfermedad,transmisión,sexual,casos,población,control,programa,sexo,hombre,mujer,evolución,regional,Agencia Información,Salud,Programa de VIH/SIDA,Programas de Salud</v>
      </c>
      <c r="S352" s="37" t="str">
        <f>HYPERLINK("https://analytics.zoho.com/open-view/2395394000007991542?ZOHO_CRITERIA=%22Localiza%20CL%22.%22Codreg%22%20%3D%20"&amp;Agencia[[#This Row],[Filtro URL]])</f>
        <v>https://analytics.zoho.com/open-view/2395394000007991542?ZOHO_CRITERIA=%22Localiza%20CL%22.%22Codreg%22%20%3D%2014</v>
      </c>
      <c r="T352" s="108" t="str">
        <f>"100-R-"&amp;Agencia[[#This Row],[Filtro URL]]</f>
        <v>100-R-14</v>
      </c>
      <c r="U352" s="46" t="str">
        <f t="shared" si="146"/>
        <v>#1774B9</v>
      </c>
      <c r="V352" s="93" t="str">
        <f>+Agencia[[#This Row],[idcoleccion]]&amp;"-"&amp;Agencia[[#This Row],[id]]</f>
        <v>990-0341</v>
      </c>
      <c r="W352" s="93">
        <f>+VLOOKUP(Agencia[[#This Row],[Filtro URL]],Estructura!$X$4:$Y$500,2,0)</f>
        <v>99200014</v>
      </c>
      <c r="X352" s="93" t="str">
        <f>+VLOOKUP(Agencia[[#This Row],[tema]],Estructura!$A$4:$C$500,3,0)</f>
        <v>T-999</v>
      </c>
      <c r="Y352" s="93" t="str">
        <f>+VLOOKUP(Agencia[[#This Row],[contenido]],Estructura!$E$4:$G$500,3,0)</f>
        <v>C-1010</v>
      </c>
      <c r="Z352" s="93" t="str">
        <f>+VLOOKUP(Agencia[[#This Row],[Filtro Integrado]],Estructura!$I$4:$K$500,3,0)</f>
        <v>FI-993</v>
      </c>
      <c r="AA352" s="93" t="str">
        <f>+VLOOKUP(Agencia[[#This Row],[Muestra]],Estructura!$M$4:$O$500,3,0)</f>
        <v>M-1053</v>
      </c>
    </row>
    <row r="353" spans="1:27" ht="61.2" x14ac:dyDescent="0.3">
      <c r="A353" s="21" t="s">
        <v>755</v>
      </c>
      <c r="B353" s="23">
        <f t="shared" si="142"/>
        <v>990</v>
      </c>
      <c r="C353" s="24" t="str">
        <f t="shared" si="143"/>
        <v>Agencia Información</v>
      </c>
      <c r="D353" s="72" t="str">
        <f t="shared" si="140"/>
        <v>Salud</v>
      </c>
      <c r="E353" s="19">
        <v>15</v>
      </c>
      <c r="F353" s="10" t="s">
        <v>948</v>
      </c>
      <c r="G353" s="25" t="s">
        <v>1898</v>
      </c>
      <c r="H353" s="33" t="s">
        <v>16</v>
      </c>
      <c r="I353" s="34" t="s">
        <v>382</v>
      </c>
      <c r="J353" s="9" t="str">
        <f t="shared" si="144"/>
        <v>Ninguno</v>
      </c>
      <c r="K353" s="9" t="str">
        <f t="shared" si="145"/>
        <v>Población en control</v>
      </c>
      <c r="L353" s="9" t="str">
        <f t="shared" si="137"/>
        <v>Periodo 2011-2018</v>
      </c>
      <c r="M353" s="9" t="str">
        <f t="shared" si="138"/>
        <v>Número de Casos</v>
      </c>
      <c r="N353" s="9" t="str">
        <f t="shared" si="139"/>
        <v>Departamento de Estadísticas e Información de la Salud (DEIS) - Ministerio de Salud</v>
      </c>
      <c r="O353" s="20" t="str">
        <f>"Evolución de Población en Control en el Programa de VIH/SIDA según sexo en "&amp;Agencia[[#This Row],[territorio]]&amp;" durante el "&amp;Agencia[[#This Row],[temporalidad]]</f>
        <v>Evolución de Población en Control en el Programa de VIH/SIDA según sexo en Región de Arica y Parinacota durante el Periodo 2011-2018</v>
      </c>
      <c r="P353" s="112" t="s">
        <v>6631</v>
      </c>
      <c r="Q353" s="11" t="str">
        <f t="shared" si="141"/>
        <v>Gráfico de Evolución</v>
      </c>
      <c r="R353" s="148" t="str">
        <f>Agencia[[#This Row],[territorio]]&amp;",VIH,SIDA,enfermedad,transmisión,sexual,casos,población,control,programa,sexo,hombre,mujer,evolución,regional,"&amp;Agencia[[#This Row],[coleccion]]&amp;","&amp;Agencia[[#This Row],[sector]]&amp;","&amp;Agencia[[#This Row],[tema]]&amp;","&amp;Agencia[[#This Row],[contenido]]</f>
        <v>Región de Arica y Parinacota,VIH,SIDA,enfermedad,transmisión,sexual,casos,población,control,programa,sexo,hombre,mujer,evolución,regional,Agencia Información,Salud,Programa de VIH/SIDA,Programas de Salud</v>
      </c>
      <c r="S353" s="37" t="str">
        <f>HYPERLINK("https://analytics.zoho.com/open-view/2395394000007991542?ZOHO_CRITERIA=%22Localiza%20CL%22.%22Codreg%22%20%3D%20"&amp;Agencia[[#This Row],[Filtro URL]])</f>
        <v>https://analytics.zoho.com/open-view/2395394000007991542?ZOHO_CRITERIA=%22Localiza%20CL%22.%22Codreg%22%20%3D%2015</v>
      </c>
      <c r="T353" s="108" t="str">
        <f>"100-R-"&amp;Agencia[[#This Row],[Filtro URL]]</f>
        <v>100-R-15</v>
      </c>
      <c r="U353" s="46" t="str">
        <f t="shared" si="146"/>
        <v>#1774B9</v>
      </c>
      <c r="V353" s="93" t="str">
        <f>+Agencia[[#This Row],[idcoleccion]]&amp;"-"&amp;Agencia[[#This Row],[id]]</f>
        <v>990-0342</v>
      </c>
      <c r="W353" s="93">
        <f>+VLOOKUP(Agencia[[#This Row],[Filtro URL]],Estructura!$X$4:$Y$500,2,0)</f>
        <v>99200015</v>
      </c>
      <c r="X353" s="93" t="str">
        <f>+VLOOKUP(Agencia[[#This Row],[tema]],Estructura!$A$4:$C$500,3,0)</f>
        <v>T-999</v>
      </c>
      <c r="Y353" s="93" t="str">
        <f>+VLOOKUP(Agencia[[#This Row],[contenido]],Estructura!$E$4:$G$500,3,0)</f>
        <v>C-1010</v>
      </c>
      <c r="Z353" s="93" t="str">
        <f>+VLOOKUP(Agencia[[#This Row],[Filtro Integrado]],Estructura!$I$4:$K$500,3,0)</f>
        <v>FI-993</v>
      </c>
      <c r="AA353" s="93" t="str">
        <f>+VLOOKUP(Agencia[[#This Row],[Muestra]],Estructura!$M$4:$O$500,3,0)</f>
        <v>M-1053</v>
      </c>
    </row>
    <row r="354" spans="1:27" ht="61.2" x14ac:dyDescent="0.3">
      <c r="A354" s="21" t="s">
        <v>756</v>
      </c>
      <c r="B354" s="23">
        <f t="shared" si="142"/>
        <v>990</v>
      </c>
      <c r="C354" s="24" t="str">
        <f t="shared" si="143"/>
        <v>Agencia Información</v>
      </c>
      <c r="D354" s="72" t="str">
        <f t="shared" si="140"/>
        <v>Salud</v>
      </c>
      <c r="E354" s="19">
        <v>16</v>
      </c>
      <c r="F354" s="10" t="s">
        <v>948</v>
      </c>
      <c r="G354" s="25" t="s">
        <v>1898</v>
      </c>
      <c r="H354" s="33" t="s">
        <v>16</v>
      </c>
      <c r="I354" s="34" t="s">
        <v>383</v>
      </c>
      <c r="J354" s="9" t="str">
        <f t="shared" si="144"/>
        <v>Ninguno</v>
      </c>
      <c r="K354" s="9" t="str">
        <f t="shared" si="145"/>
        <v>Población en control</v>
      </c>
      <c r="L354" s="9" t="str">
        <f t="shared" si="137"/>
        <v>Periodo 2011-2018</v>
      </c>
      <c r="M354" s="9" t="str">
        <f t="shared" si="138"/>
        <v>Número de Casos</v>
      </c>
      <c r="N354" s="9" t="str">
        <f t="shared" si="139"/>
        <v>Departamento de Estadísticas e Información de la Salud (DEIS) - Ministerio de Salud</v>
      </c>
      <c r="O354" s="20" t="str">
        <f>"Evolución de Población en Control en el Programa de VIH/SIDA según sexo en "&amp;Agencia[[#This Row],[territorio]]&amp;" durante el "&amp;Agencia[[#This Row],[temporalidad]]</f>
        <v>Evolución de Población en Control en el Programa de VIH/SIDA según sexo en Región de Ñuble durante el Periodo 2011-2018</v>
      </c>
      <c r="P354" s="112" t="s">
        <v>6632</v>
      </c>
      <c r="Q354" s="11" t="str">
        <f t="shared" si="141"/>
        <v>Gráfico de Evolución</v>
      </c>
      <c r="R354" s="148" t="str">
        <f>Agencia[[#This Row],[territorio]]&amp;",VIH,SIDA,enfermedad,transmisión,sexual,casos,población,control,programa,sexo,hombre,mujer,evolución,regional,"&amp;Agencia[[#This Row],[coleccion]]&amp;","&amp;Agencia[[#This Row],[sector]]&amp;","&amp;Agencia[[#This Row],[tema]]&amp;","&amp;Agencia[[#This Row],[contenido]]</f>
        <v>Región de Ñuble,VIH,SIDA,enfermedad,transmisión,sexual,casos,población,control,programa,sexo,hombre,mujer,evolución,regional,Agencia Información,Salud,Programa de VIH/SIDA,Programas de Salud</v>
      </c>
      <c r="S354" s="37" t="str">
        <f>HYPERLINK("https://analytics.zoho.com/open-view/2395394000007991542?ZOHO_CRITERIA=%22Localiza%20CL%22.%22Codreg%22%20%3D%20"&amp;Agencia[[#This Row],[Filtro URL]])</f>
        <v>https://analytics.zoho.com/open-view/2395394000007991542?ZOHO_CRITERIA=%22Localiza%20CL%22.%22Codreg%22%20%3D%2016</v>
      </c>
      <c r="T354" s="108" t="str">
        <f>"100-R-"&amp;Agencia[[#This Row],[Filtro URL]]</f>
        <v>100-R-16</v>
      </c>
      <c r="U354" s="46" t="str">
        <f t="shared" si="146"/>
        <v>#1774B9</v>
      </c>
      <c r="V354" s="93" t="str">
        <f>+Agencia[[#This Row],[idcoleccion]]&amp;"-"&amp;Agencia[[#This Row],[id]]</f>
        <v>990-0343</v>
      </c>
      <c r="W354" s="93">
        <f>+VLOOKUP(Agencia[[#This Row],[Filtro URL]],Estructura!$X$4:$Y$500,2,0)</f>
        <v>99200016</v>
      </c>
      <c r="X354" s="93" t="str">
        <f>+VLOOKUP(Agencia[[#This Row],[tema]],Estructura!$A$4:$C$500,3,0)</f>
        <v>T-999</v>
      </c>
      <c r="Y354" s="93" t="str">
        <f>+VLOOKUP(Agencia[[#This Row],[contenido]],Estructura!$E$4:$G$500,3,0)</f>
        <v>C-1010</v>
      </c>
      <c r="Z354" s="93" t="str">
        <f>+VLOOKUP(Agencia[[#This Row],[Filtro Integrado]],Estructura!$I$4:$K$500,3,0)</f>
        <v>FI-993</v>
      </c>
      <c r="AA354" s="93" t="str">
        <f>+VLOOKUP(Agencia[[#This Row],[Muestra]],Estructura!$M$4:$O$500,3,0)</f>
        <v>M-1053</v>
      </c>
    </row>
    <row r="355" spans="1:27" ht="81.599999999999994" x14ac:dyDescent="0.3">
      <c r="A355" s="21" t="s">
        <v>757</v>
      </c>
      <c r="B355" s="23">
        <f t="shared" si="142"/>
        <v>990</v>
      </c>
      <c r="C355" s="24" t="str">
        <f t="shared" si="143"/>
        <v>Agencia Información</v>
      </c>
      <c r="D355" s="72" t="s">
        <v>954</v>
      </c>
      <c r="E355" s="14">
        <v>0</v>
      </c>
      <c r="F355" s="10" t="s">
        <v>952</v>
      </c>
      <c r="G355" s="25" t="s">
        <v>953</v>
      </c>
      <c r="H355" s="31" t="s">
        <v>20</v>
      </c>
      <c r="I355" s="32" t="s">
        <v>15</v>
      </c>
      <c r="J355" s="9" t="s">
        <v>403</v>
      </c>
      <c r="K355" s="9" t="s">
        <v>955</v>
      </c>
      <c r="L355" s="36" t="s">
        <v>457</v>
      </c>
      <c r="M355" s="9" t="s">
        <v>951</v>
      </c>
      <c r="N355" s="9" t="s">
        <v>950</v>
      </c>
      <c r="O355" s="41" t="str">
        <f>"Cantidad de comunas por región según grado de vulnerabilidad al cambio climático, "&amp;Agencia[[#This Row],[temporalidad]]</f>
        <v>Cantidad de comunas por región según grado de vulnerabilidad al cambio climático, Año 2020</v>
      </c>
      <c r="P355" s="112" t="s">
        <v>949</v>
      </c>
      <c r="Q355" s="11" t="s">
        <v>576</v>
      </c>
      <c r="R355" s="20" t="str">
        <f>Agencia[[#This Row],[territorio]]&amp;",cambio,climático,vulnerabilidad,índice,cantidad,comunas,"&amp;Agencia[[#This Row],[coleccion]]&amp;","&amp;Agencia[[#This Row],[sector]]&amp;","&amp;Agencia[[#This Row],[tema]]&amp;","&amp;Agencia[[#This Row],[contenido]]</f>
        <v>Chile,cambio,climático,vulnerabilidad,índice,cantidad,comunas,Agencia Información,Medio Ambiente,Índice de Vulnerabilidad,Vulnerabilidad</v>
      </c>
      <c r="S355" s="37" t="s">
        <v>5694</v>
      </c>
      <c r="T355" s="108" t="s">
        <v>805</v>
      </c>
      <c r="U355" s="46" t="str">
        <f t="shared" si="146"/>
        <v>#1774B9</v>
      </c>
      <c r="V355" s="93" t="str">
        <f>+Agencia[[#This Row],[idcoleccion]]&amp;"-"&amp;Agencia[[#This Row],[id]]</f>
        <v>990-0344</v>
      </c>
      <c r="W355" s="93">
        <f>+VLOOKUP(Agencia[[#This Row],[Filtro URL]],Estructura!$X$4:$Y$500,2,0)</f>
        <v>99100000</v>
      </c>
      <c r="X355" s="93" t="str">
        <f>+VLOOKUP(Agencia[[#This Row],[tema]],Estructura!$A$4:$C$500,3,0)</f>
        <v>T-1000</v>
      </c>
      <c r="Y355" s="93" t="str">
        <f>+VLOOKUP(Agencia[[#This Row],[contenido]],Estructura!$E$4:$G$500,3,0)</f>
        <v>C-992</v>
      </c>
      <c r="Z355" s="93" t="str">
        <f>+VLOOKUP(Agencia[[#This Row],[Filtro Integrado]],Estructura!$I$4:$K$500,3,0)</f>
        <v>FI-993</v>
      </c>
      <c r="AA355" s="93" t="str">
        <f>+VLOOKUP(Agencia[[#This Row],[Muestra]],Estructura!$M$4:$O$500,3,0)</f>
        <v>M-1000</v>
      </c>
    </row>
    <row r="356" spans="1:27" ht="61.2" x14ac:dyDescent="0.3">
      <c r="A356" s="21" t="s">
        <v>758</v>
      </c>
      <c r="B356" s="23">
        <f t="shared" si="142"/>
        <v>990</v>
      </c>
      <c r="C356" s="24" t="str">
        <f t="shared" si="143"/>
        <v>Agencia Información</v>
      </c>
      <c r="D356" s="72" t="str">
        <f t="shared" ref="B356:D357" si="147">+D355</f>
        <v>Medio Ambiente</v>
      </c>
      <c r="E356" s="19">
        <v>1</v>
      </c>
      <c r="F356" s="10" t="s">
        <v>952</v>
      </c>
      <c r="G356" s="25" t="s">
        <v>953</v>
      </c>
      <c r="H356" s="33" t="s">
        <v>16</v>
      </c>
      <c r="I356" s="34" t="s">
        <v>368</v>
      </c>
      <c r="J356" s="9" t="str">
        <f t="shared" ref="J356:J371" si="148">+J355</f>
        <v>Ninguno</v>
      </c>
      <c r="K356" s="9" t="str">
        <f t="shared" ref="K356:K371" si="149">+K355</f>
        <v>Cantidad de comunas según grado por región</v>
      </c>
      <c r="L356" s="36" t="str">
        <f t="shared" ref="L356:L371" si="150">+L355</f>
        <v>Año 2020</v>
      </c>
      <c r="M356" s="9" t="str">
        <f t="shared" ref="M356:M371" si="151">+M355</f>
        <v>Número de comunas</v>
      </c>
      <c r="N356" s="9" t="str">
        <f t="shared" ref="N356:N371" si="152">+N355</f>
        <v>Elaboración propia con datos de CONAF/SUD-Austral, CASEN, CENSO 2017.</v>
      </c>
      <c r="O356" s="41" t="str">
        <f>"Cantidad de comunas según grado de vulnerabilidad al cambio climático, "&amp;Agencia[[#This Row],[territorio]]&amp;", "&amp;Agencia[[#This Row],[temporalidad]]</f>
        <v>Cantidad de comunas según grado de vulnerabilidad al cambio climático, Región de Tarapacá, Año 2020</v>
      </c>
      <c r="P356" s="112" t="s">
        <v>5458</v>
      </c>
      <c r="Q356" s="11" t="str">
        <f t="shared" ref="Q356:Q371" si="153">+Q355</f>
        <v>Gráfico</v>
      </c>
      <c r="R356" s="70" t="str">
        <f>Agencia[[#This Row],[territorio]]&amp;",cambio,climático,vulnerabilidad,índice,cantidad,comunas,"&amp;Agencia[[#This Row],[coleccion]]&amp;","&amp;Agencia[[#This Row],[sector]]&amp;","&amp;Agencia[[#This Row],[tema]]&amp;","&amp;Agencia[[#This Row],[contenido]]</f>
        <v>Región de Tarapacá,cambio,climático,vulnerabilidad,índice,cantidad,comunas,Agencia Información,Medio Ambiente,Índice de Vulnerabilidad,Vulnerabilidad</v>
      </c>
      <c r="S356" s="83" t="str">
        <f>HYPERLINK("https://analytics.zoho.com/open-view/2395394000009443389?ZOHO_CRITERIA=%22Localiza%20CL%22.%22Codreg%22%3D"&amp;Agencia[[#This Row],[Filtro URL]])</f>
        <v>https://analytics.zoho.com/open-view/2395394000009443389?ZOHO_CRITERIA=%22Localiza%20CL%22.%22Codreg%22%3D1</v>
      </c>
      <c r="T356" s="108" t="str">
        <f>"100-R-"&amp;Agencia[[#This Row],[Filtro URL]]</f>
        <v>100-R-1</v>
      </c>
      <c r="U356" s="46" t="str">
        <f t="shared" si="146"/>
        <v>#1774B9</v>
      </c>
      <c r="V356" s="93" t="str">
        <f>+Agencia[[#This Row],[idcoleccion]]&amp;"-"&amp;Agencia[[#This Row],[id]]</f>
        <v>990-0345</v>
      </c>
      <c r="W356" s="93">
        <f>+VLOOKUP(Agencia[[#This Row],[Filtro URL]],Estructura!$X$4:$Y$500,2,0)</f>
        <v>99200001</v>
      </c>
      <c r="X356" s="93" t="str">
        <f>+VLOOKUP(Agencia[[#This Row],[tema]],Estructura!$A$4:$C$500,3,0)</f>
        <v>T-1000</v>
      </c>
      <c r="Y356" s="93" t="str">
        <f>+VLOOKUP(Agencia[[#This Row],[contenido]],Estructura!$E$4:$G$500,3,0)</f>
        <v>C-992</v>
      </c>
      <c r="Z356" s="93" t="str">
        <f>+VLOOKUP(Agencia[[#This Row],[Filtro Integrado]],Estructura!$I$4:$K$500,3,0)</f>
        <v>FI-993</v>
      </c>
      <c r="AA356" s="93" t="str">
        <f>+VLOOKUP(Agencia[[#This Row],[Muestra]],Estructura!$M$4:$O$500,3,0)</f>
        <v>M-1000</v>
      </c>
    </row>
    <row r="357" spans="1:27" ht="61.2" x14ac:dyDescent="0.3">
      <c r="A357" s="21" t="s">
        <v>759</v>
      </c>
      <c r="B357" s="23">
        <f t="shared" si="147"/>
        <v>990</v>
      </c>
      <c r="C357" s="24" t="str">
        <f t="shared" si="147"/>
        <v>Agencia Información</v>
      </c>
      <c r="D357" s="72" t="str">
        <f t="shared" si="147"/>
        <v>Medio Ambiente</v>
      </c>
      <c r="E357" s="19">
        <v>2</v>
      </c>
      <c r="F357" s="10" t="s">
        <v>952</v>
      </c>
      <c r="G357" s="25" t="s">
        <v>953</v>
      </c>
      <c r="H357" s="33" t="s">
        <v>16</v>
      </c>
      <c r="I357" s="34" t="s">
        <v>369</v>
      </c>
      <c r="J357" s="9" t="str">
        <f t="shared" si="148"/>
        <v>Ninguno</v>
      </c>
      <c r="K357" s="9" t="str">
        <f t="shared" si="149"/>
        <v>Cantidad de comunas según grado por región</v>
      </c>
      <c r="L357" s="36" t="str">
        <f t="shared" si="150"/>
        <v>Año 2020</v>
      </c>
      <c r="M357" s="9" t="str">
        <f t="shared" si="151"/>
        <v>Número de comunas</v>
      </c>
      <c r="N357" s="9" t="str">
        <f t="shared" si="152"/>
        <v>Elaboración propia con datos de CONAF/SUD-Austral, CASEN, CENSO 2017.</v>
      </c>
      <c r="O357" s="41" t="str">
        <f>"Cantidad de comunas según grado de vulnerabilidad al cambio climático, "&amp;Agencia[[#This Row],[territorio]]&amp;", "&amp;Agencia[[#This Row],[temporalidad]]</f>
        <v>Cantidad de comunas según grado de vulnerabilidad al cambio climático, Región de Antofagasta, Año 2020</v>
      </c>
      <c r="P357" s="112" t="s">
        <v>5459</v>
      </c>
      <c r="Q357" s="11" t="str">
        <f t="shared" si="153"/>
        <v>Gráfico</v>
      </c>
      <c r="R357" s="148" t="str">
        <f>Agencia[[#This Row],[territorio]]&amp;",cambio,climático,vulnerabilidad,índice,cantidad,comunas,"&amp;Agencia[[#This Row],[coleccion]]&amp;","&amp;Agencia[[#This Row],[sector]]&amp;","&amp;Agencia[[#This Row],[tema]]&amp;","&amp;Agencia[[#This Row],[contenido]]</f>
        <v>Región de Antofagasta,cambio,climático,vulnerabilidad,índice,cantidad,comunas,Agencia Información,Medio Ambiente,Índice de Vulnerabilidad,Vulnerabilidad</v>
      </c>
      <c r="S357" s="83" t="str">
        <f>HYPERLINK("https://analytics.zoho.com/open-view/2395394000009443389?ZOHO_CRITERIA=%22Localiza%20CL%22.%22Codreg%22%3D"&amp;Agencia[[#This Row],[Filtro URL]])</f>
        <v>https://analytics.zoho.com/open-view/2395394000009443389?ZOHO_CRITERIA=%22Localiza%20CL%22.%22Codreg%22%3D2</v>
      </c>
      <c r="T357" s="108" t="str">
        <f>"100-R-"&amp;Agencia[[#This Row],[Filtro URL]]</f>
        <v>100-R-2</v>
      </c>
      <c r="U357" s="46" t="str">
        <f t="shared" si="146"/>
        <v>#1774B9</v>
      </c>
      <c r="V357" s="93" t="str">
        <f>+Agencia[[#This Row],[idcoleccion]]&amp;"-"&amp;Agencia[[#This Row],[id]]</f>
        <v>990-0346</v>
      </c>
      <c r="W357" s="93">
        <f>+VLOOKUP(Agencia[[#This Row],[Filtro URL]],Estructura!$X$4:$Y$500,2,0)</f>
        <v>99200002</v>
      </c>
      <c r="X357" s="93" t="str">
        <f>+VLOOKUP(Agencia[[#This Row],[tema]],Estructura!$A$4:$C$500,3,0)</f>
        <v>T-1000</v>
      </c>
      <c r="Y357" s="93" t="str">
        <f>+VLOOKUP(Agencia[[#This Row],[contenido]],Estructura!$E$4:$G$500,3,0)</f>
        <v>C-992</v>
      </c>
      <c r="Z357" s="93" t="str">
        <f>+VLOOKUP(Agencia[[#This Row],[Filtro Integrado]],Estructura!$I$4:$K$500,3,0)</f>
        <v>FI-993</v>
      </c>
      <c r="AA357" s="93" t="str">
        <f>+VLOOKUP(Agencia[[#This Row],[Muestra]],Estructura!$M$4:$O$500,3,0)</f>
        <v>M-1000</v>
      </c>
    </row>
    <row r="358" spans="1:27" ht="61.2" x14ac:dyDescent="0.3">
      <c r="A358" s="21" t="s">
        <v>760</v>
      </c>
      <c r="B358" s="23">
        <f t="shared" ref="B358:B371" si="154">+B357</f>
        <v>990</v>
      </c>
      <c r="C358" s="24" t="str">
        <f t="shared" ref="C358:C371" si="155">+C357</f>
        <v>Agencia Información</v>
      </c>
      <c r="D358" s="72" t="str">
        <f t="shared" ref="D358:D371" si="156">+D357</f>
        <v>Medio Ambiente</v>
      </c>
      <c r="E358" s="19">
        <v>3</v>
      </c>
      <c r="F358" s="10" t="s">
        <v>952</v>
      </c>
      <c r="G358" s="25" t="s">
        <v>953</v>
      </c>
      <c r="H358" s="33" t="s">
        <v>16</v>
      </c>
      <c r="I358" s="34" t="s">
        <v>370</v>
      </c>
      <c r="J358" s="9" t="str">
        <f t="shared" si="148"/>
        <v>Ninguno</v>
      </c>
      <c r="K358" s="9" t="str">
        <f t="shared" si="149"/>
        <v>Cantidad de comunas según grado por región</v>
      </c>
      <c r="L358" s="36" t="str">
        <f t="shared" si="150"/>
        <v>Año 2020</v>
      </c>
      <c r="M358" s="9" t="str">
        <f t="shared" si="151"/>
        <v>Número de comunas</v>
      </c>
      <c r="N358" s="9" t="str">
        <f t="shared" si="152"/>
        <v>Elaboración propia con datos de CONAF/SUD-Austral, CASEN, CENSO 2017.</v>
      </c>
      <c r="O358" s="41" t="str">
        <f>"Cantidad de comunas según grado de vulnerabilidad al cambio climático, "&amp;Agencia[[#This Row],[territorio]]&amp;", "&amp;Agencia[[#This Row],[temporalidad]]</f>
        <v>Cantidad de comunas según grado de vulnerabilidad al cambio climático, Región de Atacama, Año 2020</v>
      </c>
      <c r="P358" s="112" t="s">
        <v>5460</v>
      </c>
      <c r="Q358" s="11" t="str">
        <f t="shared" si="153"/>
        <v>Gráfico</v>
      </c>
      <c r="R358" s="148" t="str">
        <f>Agencia[[#This Row],[territorio]]&amp;",cambio,climático,vulnerabilidad,índice,cantidad,comunas,"&amp;Agencia[[#This Row],[coleccion]]&amp;","&amp;Agencia[[#This Row],[sector]]&amp;","&amp;Agencia[[#This Row],[tema]]&amp;","&amp;Agencia[[#This Row],[contenido]]</f>
        <v>Región de Atacama,cambio,climático,vulnerabilidad,índice,cantidad,comunas,Agencia Información,Medio Ambiente,Índice de Vulnerabilidad,Vulnerabilidad</v>
      </c>
      <c r="S358" s="83" t="str">
        <f>HYPERLINK("https://analytics.zoho.com/open-view/2395394000009443389?ZOHO_CRITERIA=%22Localiza%20CL%22.%22Codreg%22%3D"&amp;Agencia[[#This Row],[Filtro URL]])</f>
        <v>https://analytics.zoho.com/open-view/2395394000009443389?ZOHO_CRITERIA=%22Localiza%20CL%22.%22Codreg%22%3D3</v>
      </c>
      <c r="T358" s="108" t="str">
        <f>"100-R-"&amp;Agencia[[#This Row],[Filtro URL]]</f>
        <v>100-R-3</v>
      </c>
      <c r="U358" s="46" t="str">
        <f t="shared" si="146"/>
        <v>#1774B9</v>
      </c>
      <c r="V358" s="93" t="str">
        <f>+Agencia[[#This Row],[idcoleccion]]&amp;"-"&amp;Agencia[[#This Row],[id]]</f>
        <v>990-0347</v>
      </c>
      <c r="W358" s="93">
        <f>+VLOOKUP(Agencia[[#This Row],[Filtro URL]],Estructura!$X$4:$Y$500,2,0)</f>
        <v>99200003</v>
      </c>
      <c r="X358" s="93" t="str">
        <f>+VLOOKUP(Agencia[[#This Row],[tema]],Estructura!$A$4:$C$500,3,0)</f>
        <v>T-1000</v>
      </c>
      <c r="Y358" s="93" t="str">
        <f>+VLOOKUP(Agencia[[#This Row],[contenido]],Estructura!$E$4:$G$500,3,0)</f>
        <v>C-992</v>
      </c>
      <c r="Z358" s="93" t="str">
        <f>+VLOOKUP(Agencia[[#This Row],[Filtro Integrado]],Estructura!$I$4:$K$500,3,0)</f>
        <v>FI-993</v>
      </c>
      <c r="AA358" s="93" t="str">
        <f>+VLOOKUP(Agencia[[#This Row],[Muestra]],Estructura!$M$4:$O$500,3,0)</f>
        <v>M-1000</v>
      </c>
    </row>
    <row r="359" spans="1:27" ht="61.2" x14ac:dyDescent="0.3">
      <c r="A359" s="21" t="s">
        <v>761</v>
      </c>
      <c r="B359" s="23">
        <f t="shared" si="154"/>
        <v>990</v>
      </c>
      <c r="C359" s="24" t="str">
        <f t="shared" si="155"/>
        <v>Agencia Información</v>
      </c>
      <c r="D359" s="72" t="str">
        <f t="shared" si="156"/>
        <v>Medio Ambiente</v>
      </c>
      <c r="E359" s="19">
        <v>4</v>
      </c>
      <c r="F359" s="10" t="s">
        <v>952</v>
      </c>
      <c r="G359" s="25" t="s">
        <v>953</v>
      </c>
      <c r="H359" s="33" t="s">
        <v>16</v>
      </c>
      <c r="I359" s="34" t="s">
        <v>371</v>
      </c>
      <c r="J359" s="9" t="str">
        <f t="shared" si="148"/>
        <v>Ninguno</v>
      </c>
      <c r="K359" s="9" t="str">
        <f t="shared" si="149"/>
        <v>Cantidad de comunas según grado por región</v>
      </c>
      <c r="L359" s="36" t="str">
        <f t="shared" si="150"/>
        <v>Año 2020</v>
      </c>
      <c r="M359" s="9" t="str">
        <f t="shared" si="151"/>
        <v>Número de comunas</v>
      </c>
      <c r="N359" s="9" t="str">
        <f t="shared" si="152"/>
        <v>Elaboración propia con datos de CONAF/SUD-Austral, CASEN, CENSO 2017.</v>
      </c>
      <c r="O359" s="41" t="str">
        <f>"Cantidad de comunas según grado de vulnerabilidad al cambio climático, "&amp;Agencia[[#This Row],[territorio]]&amp;", "&amp;Agencia[[#This Row],[temporalidad]]</f>
        <v>Cantidad de comunas según grado de vulnerabilidad al cambio climático, Región de Coquimbo, Año 2020</v>
      </c>
      <c r="P359" s="112" t="s">
        <v>5461</v>
      </c>
      <c r="Q359" s="11" t="str">
        <f t="shared" si="153"/>
        <v>Gráfico</v>
      </c>
      <c r="R359" s="148" t="str">
        <f>Agencia[[#This Row],[territorio]]&amp;",cambio,climático,vulnerabilidad,índice,cantidad,comunas,"&amp;Agencia[[#This Row],[coleccion]]&amp;","&amp;Agencia[[#This Row],[sector]]&amp;","&amp;Agencia[[#This Row],[tema]]&amp;","&amp;Agencia[[#This Row],[contenido]]</f>
        <v>Región de Coquimbo,cambio,climático,vulnerabilidad,índice,cantidad,comunas,Agencia Información,Medio Ambiente,Índice de Vulnerabilidad,Vulnerabilidad</v>
      </c>
      <c r="S359" s="83" t="str">
        <f>HYPERLINK("https://analytics.zoho.com/open-view/2395394000009443389?ZOHO_CRITERIA=%22Localiza%20CL%22.%22Codreg%22%3D"&amp;Agencia[[#This Row],[Filtro URL]])</f>
        <v>https://analytics.zoho.com/open-view/2395394000009443389?ZOHO_CRITERIA=%22Localiza%20CL%22.%22Codreg%22%3D4</v>
      </c>
      <c r="T359" s="108" t="str">
        <f>"100-R-"&amp;Agencia[[#This Row],[Filtro URL]]</f>
        <v>100-R-4</v>
      </c>
      <c r="U359" s="46" t="str">
        <f t="shared" si="146"/>
        <v>#1774B9</v>
      </c>
      <c r="V359" s="93" t="str">
        <f>+Agencia[[#This Row],[idcoleccion]]&amp;"-"&amp;Agencia[[#This Row],[id]]</f>
        <v>990-0348</v>
      </c>
      <c r="W359" s="93">
        <f>+VLOOKUP(Agencia[[#This Row],[Filtro URL]],Estructura!$X$4:$Y$500,2,0)</f>
        <v>99200004</v>
      </c>
      <c r="X359" s="93" t="str">
        <f>+VLOOKUP(Agencia[[#This Row],[tema]],Estructura!$A$4:$C$500,3,0)</f>
        <v>T-1000</v>
      </c>
      <c r="Y359" s="93" t="str">
        <f>+VLOOKUP(Agencia[[#This Row],[contenido]],Estructura!$E$4:$G$500,3,0)</f>
        <v>C-992</v>
      </c>
      <c r="Z359" s="93" t="str">
        <f>+VLOOKUP(Agencia[[#This Row],[Filtro Integrado]],Estructura!$I$4:$K$500,3,0)</f>
        <v>FI-993</v>
      </c>
      <c r="AA359" s="93" t="str">
        <f>+VLOOKUP(Agencia[[#This Row],[Muestra]],Estructura!$M$4:$O$500,3,0)</f>
        <v>M-1000</v>
      </c>
    </row>
    <row r="360" spans="1:27" ht="61.2" x14ac:dyDescent="0.3">
      <c r="A360" s="21" t="s">
        <v>762</v>
      </c>
      <c r="B360" s="23">
        <f t="shared" si="154"/>
        <v>990</v>
      </c>
      <c r="C360" s="24" t="str">
        <f t="shared" si="155"/>
        <v>Agencia Información</v>
      </c>
      <c r="D360" s="72" t="str">
        <f t="shared" si="156"/>
        <v>Medio Ambiente</v>
      </c>
      <c r="E360" s="19">
        <v>5</v>
      </c>
      <c r="F360" s="10" t="s">
        <v>952</v>
      </c>
      <c r="G360" s="25" t="s">
        <v>953</v>
      </c>
      <c r="H360" s="33" t="s">
        <v>16</v>
      </c>
      <c r="I360" s="34" t="s">
        <v>372</v>
      </c>
      <c r="J360" s="9" t="str">
        <f t="shared" si="148"/>
        <v>Ninguno</v>
      </c>
      <c r="K360" s="9" t="str">
        <f t="shared" si="149"/>
        <v>Cantidad de comunas según grado por región</v>
      </c>
      <c r="L360" s="36" t="str">
        <f t="shared" si="150"/>
        <v>Año 2020</v>
      </c>
      <c r="M360" s="9" t="str">
        <f t="shared" si="151"/>
        <v>Número de comunas</v>
      </c>
      <c r="N360" s="9" t="str">
        <f t="shared" si="152"/>
        <v>Elaboración propia con datos de CONAF/SUD-Austral, CASEN, CENSO 2017.</v>
      </c>
      <c r="O360" s="41" t="str">
        <f>"Cantidad de comunas según grado de vulnerabilidad al cambio climático, "&amp;Agencia[[#This Row],[territorio]]&amp;", "&amp;Agencia[[#This Row],[temporalidad]]</f>
        <v>Cantidad de comunas según grado de vulnerabilidad al cambio climático, Región de Valparaíso, Año 2020</v>
      </c>
      <c r="P360" s="112" t="s">
        <v>5462</v>
      </c>
      <c r="Q360" s="11" t="str">
        <f t="shared" si="153"/>
        <v>Gráfico</v>
      </c>
      <c r="R360" s="148" t="str">
        <f>Agencia[[#This Row],[territorio]]&amp;",cambio,climático,vulnerabilidad,índice,cantidad,comunas,"&amp;Agencia[[#This Row],[coleccion]]&amp;","&amp;Agencia[[#This Row],[sector]]&amp;","&amp;Agencia[[#This Row],[tema]]&amp;","&amp;Agencia[[#This Row],[contenido]]</f>
        <v>Región de Valparaíso,cambio,climático,vulnerabilidad,índice,cantidad,comunas,Agencia Información,Medio Ambiente,Índice de Vulnerabilidad,Vulnerabilidad</v>
      </c>
      <c r="S360" s="83" t="str">
        <f>HYPERLINK("https://analytics.zoho.com/open-view/2395394000009443389?ZOHO_CRITERIA=%22Localiza%20CL%22.%22Codreg%22%3D"&amp;Agencia[[#This Row],[Filtro URL]])</f>
        <v>https://analytics.zoho.com/open-view/2395394000009443389?ZOHO_CRITERIA=%22Localiza%20CL%22.%22Codreg%22%3D5</v>
      </c>
      <c r="T360" s="108" t="str">
        <f>"100-R-"&amp;Agencia[[#This Row],[Filtro URL]]</f>
        <v>100-R-5</v>
      </c>
      <c r="U360" s="46" t="str">
        <f t="shared" si="146"/>
        <v>#1774B9</v>
      </c>
      <c r="V360" s="93" t="str">
        <f>+Agencia[[#This Row],[idcoleccion]]&amp;"-"&amp;Agencia[[#This Row],[id]]</f>
        <v>990-0349</v>
      </c>
      <c r="W360" s="93">
        <f>+VLOOKUP(Agencia[[#This Row],[Filtro URL]],Estructura!$X$4:$Y$500,2,0)</f>
        <v>99200005</v>
      </c>
      <c r="X360" s="93" t="str">
        <f>+VLOOKUP(Agencia[[#This Row],[tema]],Estructura!$A$4:$C$500,3,0)</f>
        <v>T-1000</v>
      </c>
      <c r="Y360" s="93" t="str">
        <f>+VLOOKUP(Agencia[[#This Row],[contenido]],Estructura!$E$4:$G$500,3,0)</f>
        <v>C-992</v>
      </c>
      <c r="Z360" s="93" t="str">
        <f>+VLOOKUP(Agencia[[#This Row],[Filtro Integrado]],Estructura!$I$4:$K$500,3,0)</f>
        <v>FI-993</v>
      </c>
      <c r="AA360" s="93" t="str">
        <f>+VLOOKUP(Agencia[[#This Row],[Muestra]],Estructura!$M$4:$O$500,3,0)</f>
        <v>M-1000</v>
      </c>
    </row>
    <row r="361" spans="1:27" ht="61.2" x14ac:dyDescent="0.3">
      <c r="A361" s="21" t="s">
        <v>763</v>
      </c>
      <c r="B361" s="23">
        <f t="shared" si="154"/>
        <v>990</v>
      </c>
      <c r="C361" s="24" t="str">
        <f t="shared" si="155"/>
        <v>Agencia Información</v>
      </c>
      <c r="D361" s="72" t="str">
        <f t="shared" si="156"/>
        <v>Medio Ambiente</v>
      </c>
      <c r="E361" s="19">
        <v>6</v>
      </c>
      <c r="F361" s="10" t="s">
        <v>952</v>
      </c>
      <c r="G361" s="25" t="s">
        <v>953</v>
      </c>
      <c r="H361" s="33" t="s">
        <v>16</v>
      </c>
      <c r="I361" s="34" t="s">
        <v>373</v>
      </c>
      <c r="J361" s="9" t="str">
        <f t="shared" si="148"/>
        <v>Ninguno</v>
      </c>
      <c r="K361" s="9" t="str">
        <f t="shared" si="149"/>
        <v>Cantidad de comunas según grado por región</v>
      </c>
      <c r="L361" s="36" t="str">
        <f t="shared" si="150"/>
        <v>Año 2020</v>
      </c>
      <c r="M361" s="9" t="str">
        <f t="shared" si="151"/>
        <v>Número de comunas</v>
      </c>
      <c r="N361" s="9" t="str">
        <f t="shared" si="152"/>
        <v>Elaboración propia con datos de CONAF/SUD-Austral, CASEN, CENSO 2017.</v>
      </c>
      <c r="O361" s="41" t="str">
        <f>"Cantidad de comunas según grado de vulnerabilidad al cambio climático, "&amp;Agencia[[#This Row],[territorio]]&amp;", "&amp;Agencia[[#This Row],[temporalidad]]</f>
        <v>Cantidad de comunas según grado de vulnerabilidad al cambio climático, Región de O'Higgins, Año 2020</v>
      </c>
      <c r="P361" s="112" t="s">
        <v>5463</v>
      </c>
      <c r="Q361" s="11" t="str">
        <f t="shared" si="153"/>
        <v>Gráfico</v>
      </c>
      <c r="R361" s="148" t="str">
        <f>Agencia[[#This Row],[territorio]]&amp;",cambio,climático,vulnerabilidad,índice,cantidad,comunas,"&amp;Agencia[[#This Row],[coleccion]]&amp;","&amp;Agencia[[#This Row],[sector]]&amp;","&amp;Agencia[[#This Row],[tema]]&amp;","&amp;Agencia[[#This Row],[contenido]]</f>
        <v>Región de O'Higgins,cambio,climático,vulnerabilidad,índice,cantidad,comunas,Agencia Información,Medio Ambiente,Índice de Vulnerabilidad,Vulnerabilidad</v>
      </c>
      <c r="S361" s="83" t="str">
        <f>HYPERLINK("https://analytics.zoho.com/open-view/2395394000009443389?ZOHO_CRITERIA=%22Localiza%20CL%22.%22Codreg%22%3D"&amp;Agencia[[#This Row],[Filtro URL]])</f>
        <v>https://analytics.zoho.com/open-view/2395394000009443389?ZOHO_CRITERIA=%22Localiza%20CL%22.%22Codreg%22%3D6</v>
      </c>
      <c r="T361" s="108" t="str">
        <f>"100-R-"&amp;Agencia[[#This Row],[Filtro URL]]</f>
        <v>100-R-6</v>
      </c>
      <c r="U361" s="46" t="str">
        <f t="shared" si="146"/>
        <v>#1774B9</v>
      </c>
      <c r="V361" s="93" t="str">
        <f>+Agencia[[#This Row],[idcoleccion]]&amp;"-"&amp;Agencia[[#This Row],[id]]</f>
        <v>990-0350</v>
      </c>
      <c r="W361" s="93">
        <f>+VLOOKUP(Agencia[[#This Row],[Filtro URL]],Estructura!$X$4:$Y$500,2,0)</f>
        <v>99200006</v>
      </c>
      <c r="X361" s="93" t="str">
        <f>+VLOOKUP(Agencia[[#This Row],[tema]],Estructura!$A$4:$C$500,3,0)</f>
        <v>T-1000</v>
      </c>
      <c r="Y361" s="93" t="str">
        <f>+VLOOKUP(Agencia[[#This Row],[contenido]],Estructura!$E$4:$G$500,3,0)</f>
        <v>C-992</v>
      </c>
      <c r="Z361" s="93" t="str">
        <f>+VLOOKUP(Agencia[[#This Row],[Filtro Integrado]],Estructura!$I$4:$K$500,3,0)</f>
        <v>FI-993</v>
      </c>
      <c r="AA361" s="93" t="str">
        <f>+VLOOKUP(Agencia[[#This Row],[Muestra]],Estructura!$M$4:$O$500,3,0)</f>
        <v>M-1000</v>
      </c>
    </row>
    <row r="362" spans="1:27" ht="61.2" x14ac:dyDescent="0.3">
      <c r="A362" s="21" t="s">
        <v>764</v>
      </c>
      <c r="B362" s="23">
        <f t="shared" si="154"/>
        <v>990</v>
      </c>
      <c r="C362" s="24" t="str">
        <f t="shared" si="155"/>
        <v>Agencia Información</v>
      </c>
      <c r="D362" s="72" t="str">
        <f t="shared" si="156"/>
        <v>Medio Ambiente</v>
      </c>
      <c r="E362" s="19">
        <v>7</v>
      </c>
      <c r="F362" s="10" t="s">
        <v>952</v>
      </c>
      <c r="G362" s="25" t="s">
        <v>953</v>
      </c>
      <c r="H362" s="33" t="s">
        <v>16</v>
      </c>
      <c r="I362" s="34" t="s">
        <v>374</v>
      </c>
      <c r="J362" s="9" t="str">
        <f t="shared" si="148"/>
        <v>Ninguno</v>
      </c>
      <c r="K362" s="9" t="str">
        <f t="shared" si="149"/>
        <v>Cantidad de comunas según grado por región</v>
      </c>
      <c r="L362" s="36" t="str">
        <f t="shared" si="150"/>
        <v>Año 2020</v>
      </c>
      <c r="M362" s="9" t="str">
        <f t="shared" si="151"/>
        <v>Número de comunas</v>
      </c>
      <c r="N362" s="9" t="str">
        <f t="shared" si="152"/>
        <v>Elaboración propia con datos de CONAF/SUD-Austral, CASEN, CENSO 2017.</v>
      </c>
      <c r="O362" s="41" t="str">
        <f>"Cantidad de comunas según grado de vulnerabilidad al cambio climático, "&amp;Agencia[[#This Row],[territorio]]&amp;", "&amp;Agencia[[#This Row],[temporalidad]]</f>
        <v>Cantidad de comunas según grado de vulnerabilidad al cambio climático, Región de Maule, Año 2020</v>
      </c>
      <c r="P362" s="112" t="s">
        <v>5464</v>
      </c>
      <c r="Q362" s="11" t="str">
        <f t="shared" si="153"/>
        <v>Gráfico</v>
      </c>
      <c r="R362" s="148" t="str">
        <f>Agencia[[#This Row],[territorio]]&amp;",cambio,climático,vulnerabilidad,índice,cantidad,comunas,"&amp;Agencia[[#This Row],[coleccion]]&amp;","&amp;Agencia[[#This Row],[sector]]&amp;","&amp;Agencia[[#This Row],[tema]]&amp;","&amp;Agencia[[#This Row],[contenido]]</f>
        <v>Región de Maule,cambio,climático,vulnerabilidad,índice,cantidad,comunas,Agencia Información,Medio Ambiente,Índice de Vulnerabilidad,Vulnerabilidad</v>
      </c>
      <c r="S362" s="83" t="str">
        <f>HYPERLINK("https://analytics.zoho.com/open-view/2395394000009443389?ZOHO_CRITERIA=%22Localiza%20CL%22.%22Codreg%22%3D"&amp;Agencia[[#This Row],[Filtro URL]])</f>
        <v>https://analytics.zoho.com/open-view/2395394000009443389?ZOHO_CRITERIA=%22Localiza%20CL%22.%22Codreg%22%3D7</v>
      </c>
      <c r="T362" s="108" t="str">
        <f>"100-R-"&amp;Agencia[[#This Row],[Filtro URL]]</f>
        <v>100-R-7</v>
      </c>
      <c r="U362" s="46" t="str">
        <f t="shared" si="146"/>
        <v>#1774B9</v>
      </c>
      <c r="V362" s="93" t="str">
        <f>+Agencia[[#This Row],[idcoleccion]]&amp;"-"&amp;Agencia[[#This Row],[id]]</f>
        <v>990-0351</v>
      </c>
      <c r="W362" s="93">
        <f>+VLOOKUP(Agencia[[#This Row],[Filtro URL]],Estructura!$X$4:$Y$500,2,0)</f>
        <v>99200007</v>
      </c>
      <c r="X362" s="93" t="str">
        <f>+VLOOKUP(Agencia[[#This Row],[tema]],Estructura!$A$4:$C$500,3,0)</f>
        <v>T-1000</v>
      </c>
      <c r="Y362" s="93" t="str">
        <f>+VLOOKUP(Agencia[[#This Row],[contenido]],Estructura!$E$4:$G$500,3,0)</f>
        <v>C-992</v>
      </c>
      <c r="Z362" s="93" t="str">
        <f>+VLOOKUP(Agencia[[#This Row],[Filtro Integrado]],Estructura!$I$4:$K$500,3,0)</f>
        <v>FI-993</v>
      </c>
      <c r="AA362" s="93" t="str">
        <f>+VLOOKUP(Agencia[[#This Row],[Muestra]],Estructura!$M$4:$O$500,3,0)</f>
        <v>M-1000</v>
      </c>
    </row>
    <row r="363" spans="1:27" ht="61.2" x14ac:dyDescent="0.3">
      <c r="A363" s="21" t="s">
        <v>765</v>
      </c>
      <c r="B363" s="23">
        <f t="shared" si="154"/>
        <v>990</v>
      </c>
      <c r="C363" s="24" t="str">
        <f t="shared" si="155"/>
        <v>Agencia Información</v>
      </c>
      <c r="D363" s="72" t="str">
        <f t="shared" si="156"/>
        <v>Medio Ambiente</v>
      </c>
      <c r="E363" s="19">
        <v>8</v>
      </c>
      <c r="F363" s="10" t="s">
        <v>952</v>
      </c>
      <c r="G363" s="25" t="s">
        <v>953</v>
      </c>
      <c r="H363" s="33" t="s">
        <v>16</v>
      </c>
      <c r="I363" s="34" t="s">
        <v>375</v>
      </c>
      <c r="J363" s="9" t="str">
        <f t="shared" si="148"/>
        <v>Ninguno</v>
      </c>
      <c r="K363" s="9" t="str">
        <f t="shared" si="149"/>
        <v>Cantidad de comunas según grado por región</v>
      </c>
      <c r="L363" s="36" t="str">
        <f t="shared" si="150"/>
        <v>Año 2020</v>
      </c>
      <c r="M363" s="9" t="str">
        <f t="shared" si="151"/>
        <v>Número de comunas</v>
      </c>
      <c r="N363" s="9" t="str">
        <f t="shared" si="152"/>
        <v>Elaboración propia con datos de CONAF/SUD-Austral, CASEN, CENSO 2017.</v>
      </c>
      <c r="O363" s="41" t="str">
        <f>"Cantidad de comunas según grado de vulnerabilidad al cambio climático, "&amp;Agencia[[#This Row],[territorio]]&amp;", "&amp;Agencia[[#This Row],[temporalidad]]</f>
        <v>Cantidad de comunas según grado de vulnerabilidad al cambio climático, Región del Biobío, Año 2020</v>
      </c>
      <c r="P363" s="112" t="s">
        <v>5465</v>
      </c>
      <c r="Q363" s="11" t="str">
        <f t="shared" si="153"/>
        <v>Gráfico</v>
      </c>
      <c r="R363" s="148" t="str">
        <f>Agencia[[#This Row],[territorio]]&amp;",cambio,climático,vulnerabilidad,índice,cantidad,comunas,"&amp;Agencia[[#This Row],[coleccion]]&amp;","&amp;Agencia[[#This Row],[sector]]&amp;","&amp;Agencia[[#This Row],[tema]]&amp;","&amp;Agencia[[#This Row],[contenido]]</f>
        <v>Región del Biobío,cambio,climático,vulnerabilidad,índice,cantidad,comunas,Agencia Información,Medio Ambiente,Índice de Vulnerabilidad,Vulnerabilidad</v>
      </c>
      <c r="S363" s="83" t="str">
        <f>HYPERLINK("https://analytics.zoho.com/open-view/2395394000009443389?ZOHO_CRITERIA=%22Localiza%20CL%22.%22Codreg%22%3D"&amp;Agencia[[#This Row],[Filtro URL]])</f>
        <v>https://analytics.zoho.com/open-view/2395394000009443389?ZOHO_CRITERIA=%22Localiza%20CL%22.%22Codreg%22%3D8</v>
      </c>
      <c r="T363" s="108" t="str">
        <f>"100-R-"&amp;Agencia[[#This Row],[Filtro URL]]</f>
        <v>100-R-8</v>
      </c>
      <c r="U363" s="46" t="str">
        <f t="shared" si="146"/>
        <v>#1774B9</v>
      </c>
      <c r="V363" s="93" t="str">
        <f>+Agencia[[#This Row],[idcoleccion]]&amp;"-"&amp;Agencia[[#This Row],[id]]</f>
        <v>990-0352</v>
      </c>
      <c r="W363" s="93">
        <f>+VLOOKUP(Agencia[[#This Row],[Filtro URL]],Estructura!$X$4:$Y$500,2,0)</f>
        <v>99200008</v>
      </c>
      <c r="X363" s="93" t="str">
        <f>+VLOOKUP(Agencia[[#This Row],[tema]],Estructura!$A$4:$C$500,3,0)</f>
        <v>T-1000</v>
      </c>
      <c r="Y363" s="93" t="str">
        <f>+VLOOKUP(Agencia[[#This Row],[contenido]],Estructura!$E$4:$G$500,3,0)</f>
        <v>C-992</v>
      </c>
      <c r="Z363" s="93" t="str">
        <f>+VLOOKUP(Agencia[[#This Row],[Filtro Integrado]],Estructura!$I$4:$K$500,3,0)</f>
        <v>FI-993</v>
      </c>
      <c r="AA363" s="93" t="str">
        <f>+VLOOKUP(Agencia[[#This Row],[Muestra]],Estructura!$M$4:$O$500,3,0)</f>
        <v>M-1000</v>
      </c>
    </row>
    <row r="364" spans="1:27" ht="61.2" x14ac:dyDescent="0.3">
      <c r="A364" s="21" t="s">
        <v>766</v>
      </c>
      <c r="B364" s="23">
        <f t="shared" si="154"/>
        <v>990</v>
      </c>
      <c r="C364" s="24" t="str">
        <f t="shared" si="155"/>
        <v>Agencia Información</v>
      </c>
      <c r="D364" s="72" t="str">
        <f t="shared" si="156"/>
        <v>Medio Ambiente</v>
      </c>
      <c r="E364" s="19">
        <v>9</v>
      </c>
      <c r="F364" s="10" t="s">
        <v>952</v>
      </c>
      <c r="G364" s="25" t="s">
        <v>953</v>
      </c>
      <c r="H364" s="33" t="s">
        <v>16</v>
      </c>
      <c r="I364" s="34" t="s">
        <v>376</v>
      </c>
      <c r="J364" s="9" t="str">
        <f t="shared" si="148"/>
        <v>Ninguno</v>
      </c>
      <c r="K364" s="9" t="str">
        <f t="shared" si="149"/>
        <v>Cantidad de comunas según grado por región</v>
      </c>
      <c r="L364" s="36" t="str">
        <f t="shared" si="150"/>
        <v>Año 2020</v>
      </c>
      <c r="M364" s="9" t="str">
        <f t="shared" si="151"/>
        <v>Número de comunas</v>
      </c>
      <c r="N364" s="9" t="str">
        <f t="shared" si="152"/>
        <v>Elaboración propia con datos de CONAF/SUD-Austral, CASEN, CENSO 2017.</v>
      </c>
      <c r="O364" s="41" t="str">
        <f>"Cantidad de comunas según grado de vulnerabilidad al cambio climático, "&amp;Agencia[[#This Row],[territorio]]&amp;", "&amp;Agencia[[#This Row],[temporalidad]]</f>
        <v>Cantidad de comunas según grado de vulnerabilidad al cambio climático, Región de La Araucanía, Año 2020</v>
      </c>
      <c r="P364" s="112" t="s">
        <v>5466</v>
      </c>
      <c r="Q364" s="11" t="str">
        <f t="shared" si="153"/>
        <v>Gráfico</v>
      </c>
      <c r="R364" s="148" t="str">
        <f>Agencia[[#This Row],[territorio]]&amp;",cambio,climático,vulnerabilidad,índice,cantidad,comunas,"&amp;Agencia[[#This Row],[coleccion]]&amp;","&amp;Agencia[[#This Row],[sector]]&amp;","&amp;Agencia[[#This Row],[tema]]&amp;","&amp;Agencia[[#This Row],[contenido]]</f>
        <v>Región de La Araucanía,cambio,climático,vulnerabilidad,índice,cantidad,comunas,Agencia Información,Medio Ambiente,Índice de Vulnerabilidad,Vulnerabilidad</v>
      </c>
      <c r="S364" s="83" t="str">
        <f>HYPERLINK("https://analytics.zoho.com/open-view/2395394000009443389?ZOHO_CRITERIA=%22Localiza%20CL%22.%22Codreg%22%3D"&amp;Agencia[[#This Row],[Filtro URL]])</f>
        <v>https://analytics.zoho.com/open-view/2395394000009443389?ZOHO_CRITERIA=%22Localiza%20CL%22.%22Codreg%22%3D9</v>
      </c>
      <c r="T364" s="108" t="str">
        <f>"100-R-"&amp;Agencia[[#This Row],[Filtro URL]]</f>
        <v>100-R-9</v>
      </c>
      <c r="U364" s="46" t="str">
        <f t="shared" si="146"/>
        <v>#1774B9</v>
      </c>
      <c r="V364" s="93" t="str">
        <f>+Agencia[[#This Row],[idcoleccion]]&amp;"-"&amp;Agencia[[#This Row],[id]]</f>
        <v>990-0353</v>
      </c>
      <c r="W364" s="93">
        <f>+VLOOKUP(Agencia[[#This Row],[Filtro URL]],Estructura!$X$4:$Y$500,2,0)</f>
        <v>99200009</v>
      </c>
      <c r="X364" s="93" t="str">
        <f>+VLOOKUP(Agencia[[#This Row],[tema]],Estructura!$A$4:$C$500,3,0)</f>
        <v>T-1000</v>
      </c>
      <c r="Y364" s="93" t="str">
        <f>+VLOOKUP(Agencia[[#This Row],[contenido]],Estructura!$E$4:$G$500,3,0)</f>
        <v>C-992</v>
      </c>
      <c r="Z364" s="93" t="str">
        <f>+VLOOKUP(Agencia[[#This Row],[Filtro Integrado]],Estructura!$I$4:$K$500,3,0)</f>
        <v>FI-993</v>
      </c>
      <c r="AA364" s="93" t="str">
        <f>+VLOOKUP(Agencia[[#This Row],[Muestra]],Estructura!$M$4:$O$500,3,0)</f>
        <v>M-1000</v>
      </c>
    </row>
    <row r="365" spans="1:27" ht="61.2" x14ac:dyDescent="0.3">
      <c r="A365" s="21" t="s">
        <v>767</v>
      </c>
      <c r="B365" s="23">
        <f t="shared" si="154"/>
        <v>990</v>
      </c>
      <c r="C365" s="24" t="str">
        <f t="shared" si="155"/>
        <v>Agencia Información</v>
      </c>
      <c r="D365" s="72" t="str">
        <f t="shared" si="156"/>
        <v>Medio Ambiente</v>
      </c>
      <c r="E365" s="19">
        <v>10</v>
      </c>
      <c r="F365" s="10" t="s">
        <v>952</v>
      </c>
      <c r="G365" s="25" t="s">
        <v>953</v>
      </c>
      <c r="H365" s="33" t="s">
        <v>16</v>
      </c>
      <c r="I365" s="34" t="s">
        <v>377</v>
      </c>
      <c r="J365" s="9" t="str">
        <f t="shared" si="148"/>
        <v>Ninguno</v>
      </c>
      <c r="K365" s="9" t="str">
        <f t="shared" si="149"/>
        <v>Cantidad de comunas según grado por región</v>
      </c>
      <c r="L365" s="36" t="str">
        <f t="shared" si="150"/>
        <v>Año 2020</v>
      </c>
      <c r="M365" s="9" t="str">
        <f t="shared" si="151"/>
        <v>Número de comunas</v>
      </c>
      <c r="N365" s="9" t="str">
        <f t="shared" si="152"/>
        <v>Elaboración propia con datos de CONAF/SUD-Austral, CASEN, CENSO 2017.</v>
      </c>
      <c r="O365" s="41" t="str">
        <f>"Cantidad de comunas según grado de vulnerabilidad al cambio climático, "&amp;Agencia[[#This Row],[territorio]]&amp;", "&amp;Agencia[[#This Row],[temporalidad]]</f>
        <v>Cantidad de comunas según grado de vulnerabilidad al cambio climático, Región de Los Lagos, Año 2020</v>
      </c>
      <c r="P365" s="112" t="s">
        <v>5467</v>
      </c>
      <c r="Q365" s="11" t="str">
        <f t="shared" si="153"/>
        <v>Gráfico</v>
      </c>
      <c r="R365" s="148" t="str">
        <f>Agencia[[#This Row],[territorio]]&amp;",cambio,climático,vulnerabilidad,índice,cantidad,comunas,"&amp;Agencia[[#This Row],[coleccion]]&amp;","&amp;Agencia[[#This Row],[sector]]&amp;","&amp;Agencia[[#This Row],[tema]]&amp;","&amp;Agencia[[#This Row],[contenido]]</f>
        <v>Región de Los Lagos,cambio,climático,vulnerabilidad,índice,cantidad,comunas,Agencia Información,Medio Ambiente,Índice de Vulnerabilidad,Vulnerabilidad</v>
      </c>
      <c r="S365" s="83" t="str">
        <f>HYPERLINK("https://analytics.zoho.com/open-view/2395394000009443389?ZOHO_CRITERIA=%22Localiza%20CL%22.%22Codreg%22%3D"&amp;Agencia[[#This Row],[Filtro URL]])</f>
        <v>https://analytics.zoho.com/open-view/2395394000009443389?ZOHO_CRITERIA=%22Localiza%20CL%22.%22Codreg%22%3D10</v>
      </c>
      <c r="T365" s="108" t="str">
        <f>"100-R-"&amp;Agencia[[#This Row],[Filtro URL]]</f>
        <v>100-R-10</v>
      </c>
      <c r="U365" s="46" t="str">
        <f t="shared" si="146"/>
        <v>#1774B9</v>
      </c>
      <c r="V365" s="93" t="str">
        <f>+Agencia[[#This Row],[idcoleccion]]&amp;"-"&amp;Agencia[[#This Row],[id]]</f>
        <v>990-0354</v>
      </c>
      <c r="W365" s="93">
        <f>+VLOOKUP(Agencia[[#This Row],[Filtro URL]],Estructura!$X$4:$Y$500,2,0)</f>
        <v>99200010</v>
      </c>
      <c r="X365" s="93" t="str">
        <f>+VLOOKUP(Agencia[[#This Row],[tema]],Estructura!$A$4:$C$500,3,0)</f>
        <v>T-1000</v>
      </c>
      <c r="Y365" s="93" t="str">
        <f>+VLOOKUP(Agencia[[#This Row],[contenido]],Estructura!$E$4:$G$500,3,0)</f>
        <v>C-992</v>
      </c>
      <c r="Z365" s="93" t="str">
        <f>+VLOOKUP(Agencia[[#This Row],[Filtro Integrado]],Estructura!$I$4:$K$500,3,0)</f>
        <v>FI-993</v>
      </c>
      <c r="AA365" s="93" t="str">
        <f>+VLOOKUP(Agencia[[#This Row],[Muestra]],Estructura!$M$4:$O$500,3,0)</f>
        <v>M-1000</v>
      </c>
    </row>
    <row r="366" spans="1:27" ht="61.2" x14ac:dyDescent="0.3">
      <c r="A366" s="21" t="s">
        <v>768</v>
      </c>
      <c r="B366" s="23">
        <f t="shared" si="154"/>
        <v>990</v>
      </c>
      <c r="C366" s="24" t="str">
        <f t="shared" si="155"/>
        <v>Agencia Información</v>
      </c>
      <c r="D366" s="72" t="str">
        <f t="shared" si="156"/>
        <v>Medio Ambiente</v>
      </c>
      <c r="E366" s="19">
        <v>11</v>
      </c>
      <c r="F366" s="10" t="s">
        <v>952</v>
      </c>
      <c r="G366" s="25" t="s">
        <v>953</v>
      </c>
      <c r="H366" s="33" t="s">
        <v>16</v>
      </c>
      <c r="I366" s="34" t="s">
        <v>378</v>
      </c>
      <c r="J366" s="9" t="str">
        <f t="shared" si="148"/>
        <v>Ninguno</v>
      </c>
      <c r="K366" s="9" t="str">
        <f t="shared" si="149"/>
        <v>Cantidad de comunas según grado por región</v>
      </c>
      <c r="L366" s="36" t="str">
        <f t="shared" si="150"/>
        <v>Año 2020</v>
      </c>
      <c r="M366" s="9" t="str">
        <f t="shared" si="151"/>
        <v>Número de comunas</v>
      </c>
      <c r="N366" s="9" t="str">
        <f t="shared" si="152"/>
        <v>Elaboración propia con datos de CONAF/SUD-Austral, CASEN, CENSO 2017.</v>
      </c>
      <c r="O366" s="41" t="str">
        <f>"Cantidad de comunas según grado de vulnerabilidad al cambio climático, "&amp;Agencia[[#This Row],[territorio]]&amp;", "&amp;Agencia[[#This Row],[temporalidad]]</f>
        <v>Cantidad de comunas según grado de vulnerabilidad al cambio climático, Región de Aysén, Año 2020</v>
      </c>
      <c r="P366" s="112" t="s">
        <v>5468</v>
      </c>
      <c r="Q366" s="11" t="str">
        <f t="shared" si="153"/>
        <v>Gráfico</v>
      </c>
      <c r="R366" s="148" t="str">
        <f>Agencia[[#This Row],[territorio]]&amp;",cambio,climático,vulnerabilidad,índice,cantidad,comunas,"&amp;Agencia[[#This Row],[coleccion]]&amp;","&amp;Agencia[[#This Row],[sector]]&amp;","&amp;Agencia[[#This Row],[tema]]&amp;","&amp;Agencia[[#This Row],[contenido]]</f>
        <v>Región de Aysén,cambio,climático,vulnerabilidad,índice,cantidad,comunas,Agencia Información,Medio Ambiente,Índice de Vulnerabilidad,Vulnerabilidad</v>
      </c>
      <c r="S366" s="83" t="str">
        <f>HYPERLINK("https://analytics.zoho.com/open-view/2395394000009443389?ZOHO_CRITERIA=%22Localiza%20CL%22.%22Codreg%22%3D"&amp;Agencia[[#This Row],[Filtro URL]])</f>
        <v>https://analytics.zoho.com/open-view/2395394000009443389?ZOHO_CRITERIA=%22Localiza%20CL%22.%22Codreg%22%3D11</v>
      </c>
      <c r="T366" s="108" t="str">
        <f>"100-R-"&amp;Agencia[[#This Row],[Filtro URL]]</f>
        <v>100-R-11</v>
      </c>
      <c r="U366" s="46" t="str">
        <f t="shared" si="146"/>
        <v>#1774B9</v>
      </c>
      <c r="V366" s="93" t="str">
        <f>+Agencia[[#This Row],[idcoleccion]]&amp;"-"&amp;Agencia[[#This Row],[id]]</f>
        <v>990-0355</v>
      </c>
      <c r="W366" s="93">
        <f>+VLOOKUP(Agencia[[#This Row],[Filtro URL]],Estructura!$X$4:$Y$500,2,0)</f>
        <v>99200011</v>
      </c>
      <c r="X366" s="93" t="str">
        <f>+VLOOKUP(Agencia[[#This Row],[tema]],Estructura!$A$4:$C$500,3,0)</f>
        <v>T-1000</v>
      </c>
      <c r="Y366" s="93" t="str">
        <f>+VLOOKUP(Agencia[[#This Row],[contenido]],Estructura!$E$4:$G$500,3,0)</f>
        <v>C-992</v>
      </c>
      <c r="Z366" s="93" t="str">
        <f>+VLOOKUP(Agencia[[#This Row],[Filtro Integrado]],Estructura!$I$4:$K$500,3,0)</f>
        <v>FI-993</v>
      </c>
      <c r="AA366" s="93" t="str">
        <f>+VLOOKUP(Agencia[[#This Row],[Muestra]],Estructura!$M$4:$O$500,3,0)</f>
        <v>M-1000</v>
      </c>
    </row>
    <row r="367" spans="1:27" ht="61.2" x14ac:dyDescent="0.3">
      <c r="A367" s="21" t="s">
        <v>769</v>
      </c>
      <c r="B367" s="23">
        <f t="shared" si="154"/>
        <v>990</v>
      </c>
      <c r="C367" s="24" t="str">
        <f t="shared" si="155"/>
        <v>Agencia Información</v>
      </c>
      <c r="D367" s="72" t="str">
        <f t="shared" si="156"/>
        <v>Medio Ambiente</v>
      </c>
      <c r="E367" s="19">
        <v>12</v>
      </c>
      <c r="F367" s="10" t="s">
        <v>952</v>
      </c>
      <c r="G367" s="25" t="s">
        <v>953</v>
      </c>
      <c r="H367" s="33" t="s">
        <v>16</v>
      </c>
      <c r="I367" s="34" t="s">
        <v>379</v>
      </c>
      <c r="J367" s="9" t="str">
        <f t="shared" si="148"/>
        <v>Ninguno</v>
      </c>
      <c r="K367" s="9" t="str">
        <f t="shared" si="149"/>
        <v>Cantidad de comunas según grado por región</v>
      </c>
      <c r="L367" s="36" t="str">
        <f t="shared" si="150"/>
        <v>Año 2020</v>
      </c>
      <c r="M367" s="9" t="str">
        <f t="shared" si="151"/>
        <v>Número de comunas</v>
      </c>
      <c r="N367" s="9" t="str">
        <f t="shared" si="152"/>
        <v>Elaboración propia con datos de CONAF/SUD-Austral, CASEN, CENSO 2017.</v>
      </c>
      <c r="O367" s="41" t="str">
        <f>"Cantidad de comunas según grado de vulnerabilidad al cambio climático, "&amp;Agencia[[#This Row],[territorio]]&amp;", "&amp;Agencia[[#This Row],[temporalidad]]</f>
        <v>Cantidad de comunas según grado de vulnerabilidad al cambio climático, Región de Magallanes, Año 2020</v>
      </c>
      <c r="P367" s="112" t="s">
        <v>5469</v>
      </c>
      <c r="Q367" s="11" t="str">
        <f t="shared" si="153"/>
        <v>Gráfico</v>
      </c>
      <c r="R367" s="148" t="str">
        <f>Agencia[[#This Row],[territorio]]&amp;",cambio,climático,vulnerabilidad,índice,cantidad,comunas,"&amp;Agencia[[#This Row],[coleccion]]&amp;","&amp;Agencia[[#This Row],[sector]]&amp;","&amp;Agencia[[#This Row],[tema]]&amp;","&amp;Agencia[[#This Row],[contenido]]</f>
        <v>Región de Magallanes,cambio,climático,vulnerabilidad,índice,cantidad,comunas,Agencia Información,Medio Ambiente,Índice de Vulnerabilidad,Vulnerabilidad</v>
      </c>
      <c r="S367" s="83" t="str">
        <f>HYPERLINK("https://analytics.zoho.com/open-view/2395394000009443389?ZOHO_CRITERIA=%22Localiza%20CL%22.%22Codreg%22%3D"&amp;Agencia[[#This Row],[Filtro URL]])</f>
        <v>https://analytics.zoho.com/open-view/2395394000009443389?ZOHO_CRITERIA=%22Localiza%20CL%22.%22Codreg%22%3D12</v>
      </c>
      <c r="T367" s="108" t="str">
        <f>"100-R-"&amp;Agencia[[#This Row],[Filtro URL]]</f>
        <v>100-R-12</v>
      </c>
      <c r="U367" s="46" t="str">
        <f t="shared" si="146"/>
        <v>#1774B9</v>
      </c>
      <c r="V367" s="93" t="str">
        <f>+Agencia[[#This Row],[idcoleccion]]&amp;"-"&amp;Agencia[[#This Row],[id]]</f>
        <v>990-0356</v>
      </c>
      <c r="W367" s="93">
        <f>+VLOOKUP(Agencia[[#This Row],[Filtro URL]],Estructura!$X$4:$Y$500,2,0)</f>
        <v>99200012</v>
      </c>
      <c r="X367" s="93" t="str">
        <f>+VLOOKUP(Agencia[[#This Row],[tema]],Estructura!$A$4:$C$500,3,0)</f>
        <v>T-1000</v>
      </c>
      <c r="Y367" s="93" t="str">
        <f>+VLOOKUP(Agencia[[#This Row],[contenido]],Estructura!$E$4:$G$500,3,0)</f>
        <v>C-992</v>
      </c>
      <c r="Z367" s="93" t="str">
        <f>+VLOOKUP(Agencia[[#This Row],[Filtro Integrado]],Estructura!$I$4:$K$500,3,0)</f>
        <v>FI-993</v>
      </c>
      <c r="AA367" s="93" t="str">
        <f>+VLOOKUP(Agencia[[#This Row],[Muestra]],Estructura!$M$4:$O$500,3,0)</f>
        <v>M-1000</v>
      </c>
    </row>
    <row r="368" spans="1:27" ht="81.599999999999994" x14ac:dyDescent="0.3">
      <c r="A368" s="21" t="s">
        <v>770</v>
      </c>
      <c r="B368" s="23">
        <f t="shared" si="154"/>
        <v>990</v>
      </c>
      <c r="C368" s="24" t="str">
        <f t="shared" si="155"/>
        <v>Agencia Información</v>
      </c>
      <c r="D368" s="72" t="str">
        <f t="shared" si="156"/>
        <v>Medio Ambiente</v>
      </c>
      <c r="E368" s="19">
        <v>13</v>
      </c>
      <c r="F368" s="10" t="s">
        <v>952</v>
      </c>
      <c r="G368" s="25" t="s">
        <v>953</v>
      </c>
      <c r="H368" s="33" t="s">
        <v>16</v>
      </c>
      <c r="I368" s="34" t="s">
        <v>380</v>
      </c>
      <c r="J368" s="9" t="str">
        <f t="shared" si="148"/>
        <v>Ninguno</v>
      </c>
      <c r="K368" s="9" t="str">
        <f t="shared" si="149"/>
        <v>Cantidad de comunas según grado por región</v>
      </c>
      <c r="L368" s="36" t="str">
        <f t="shared" si="150"/>
        <v>Año 2020</v>
      </c>
      <c r="M368" s="9" t="str">
        <f t="shared" si="151"/>
        <v>Número de comunas</v>
      </c>
      <c r="N368" s="9" t="str">
        <f t="shared" si="152"/>
        <v>Elaboración propia con datos de CONAF/SUD-Austral, CASEN, CENSO 2017.</v>
      </c>
      <c r="O368" s="41" t="str">
        <f>"Cantidad de comunas según grado de vulnerabilidad al cambio climático, "&amp;Agencia[[#This Row],[territorio]]&amp;", "&amp;Agencia[[#This Row],[temporalidad]]</f>
        <v>Cantidad de comunas según grado de vulnerabilidad al cambio climático, Región Metropolitana, Año 2020</v>
      </c>
      <c r="P368" s="112" t="s">
        <v>5470</v>
      </c>
      <c r="Q368" s="11" t="str">
        <f t="shared" si="153"/>
        <v>Gráfico</v>
      </c>
      <c r="R368" s="148" t="str">
        <f>Agencia[[#This Row],[territorio]]&amp;",cambio,climático,vulnerabilidad,índice,cantidad,comunas,"&amp;Agencia[[#This Row],[coleccion]]&amp;","&amp;Agencia[[#This Row],[sector]]&amp;","&amp;Agencia[[#This Row],[tema]]&amp;","&amp;Agencia[[#This Row],[contenido]]</f>
        <v>Región Metropolitana,cambio,climático,vulnerabilidad,índice,cantidad,comunas,Agencia Información,Medio Ambiente,Índice de Vulnerabilidad,Vulnerabilidad</v>
      </c>
      <c r="S368" s="83" t="str">
        <f>HYPERLINK("https://analytics.zoho.com/open-view/2395394000009443389?ZOHO_CRITERIA=%22Localiza%20CL%22.%22Codreg%22%3D"&amp;Agencia[[#This Row],[Filtro URL]])</f>
        <v>https://analytics.zoho.com/open-view/2395394000009443389?ZOHO_CRITERIA=%22Localiza%20CL%22.%22Codreg%22%3D13</v>
      </c>
      <c r="T368" s="108" t="str">
        <f>"200-R-"&amp;Agencia[[#This Row],[Filtro URL]]</f>
        <v>200-R-13</v>
      </c>
      <c r="U368" s="46" t="str">
        <f t="shared" si="146"/>
        <v>#1774B9</v>
      </c>
      <c r="V368" s="93" t="str">
        <f>+Agencia[[#This Row],[idcoleccion]]&amp;"-"&amp;Agencia[[#This Row],[id]]</f>
        <v>990-0357</v>
      </c>
      <c r="W368" s="93">
        <f>+VLOOKUP(Agencia[[#This Row],[Filtro URL]],Estructura!$X$4:$Y$500,2,0)</f>
        <v>99200013</v>
      </c>
      <c r="X368" s="93" t="str">
        <f>+VLOOKUP(Agencia[[#This Row],[tema]],Estructura!$A$4:$C$500,3,0)</f>
        <v>T-1000</v>
      </c>
      <c r="Y368" s="93" t="str">
        <f>+VLOOKUP(Agencia[[#This Row],[contenido]],Estructura!$E$4:$G$500,3,0)</f>
        <v>C-992</v>
      </c>
      <c r="Z368" s="93" t="str">
        <f>+VLOOKUP(Agencia[[#This Row],[Filtro Integrado]],Estructura!$I$4:$K$500,3,0)</f>
        <v>FI-993</v>
      </c>
      <c r="AA368" s="93" t="str">
        <f>+VLOOKUP(Agencia[[#This Row],[Muestra]],Estructura!$M$4:$O$500,3,0)</f>
        <v>M-1000</v>
      </c>
    </row>
    <row r="369" spans="1:27" ht="61.2" x14ac:dyDescent="0.3">
      <c r="A369" s="21" t="s">
        <v>771</v>
      </c>
      <c r="B369" s="23">
        <f t="shared" si="154"/>
        <v>990</v>
      </c>
      <c r="C369" s="24" t="str">
        <f t="shared" si="155"/>
        <v>Agencia Información</v>
      </c>
      <c r="D369" s="72" t="str">
        <f t="shared" si="156"/>
        <v>Medio Ambiente</v>
      </c>
      <c r="E369" s="19">
        <v>14</v>
      </c>
      <c r="F369" s="10" t="s">
        <v>952</v>
      </c>
      <c r="G369" s="25" t="s">
        <v>953</v>
      </c>
      <c r="H369" s="33" t="s">
        <v>16</v>
      </c>
      <c r="I369" s="34" t="s">
        <v>381</v>
      </c>
      <c r="J369" s="9" t="str">
        <f t="shared" si="148"/>
        <v>Ninguno</v>
      </c>
      <c r="K369" s="9" t="str">
        <f t="shared" si="149"/>
        <v>Cantidad de comunas según grado por región</v>
      </c>
      <c r="L369" s="36" t="str">
        <f t="shared" si="150"/>
        <v>Año 2020</v>
      </c>
      <c r="M369" s="9" t="str">
        <f t="shared" si="151"/>
        <v>Número de comunas</v>
      </c>
      <c r="N369" s="9" t="str">
        <f t="shared" si="152"/>
        <v>Elaboración propia con datos de CONAF/SUD-Austral, CASEN, CENSO 2017.</v>
      </c>
      <c r="O369" s="41" t="str">
        <f>"Cantidad de comunas según grado de vulnerabilidad al cambio climático, "&amp;Agencia[[#This Row],[territorio]]&amp;", "&amp;Agencia[[#This Row],[temporalidad]]</f>
        <v>Cantidad de comunas según grado de vulnerabilidad al cambio climático, Región de Los Ríos, Año 2020</v>
      </c>
      <c r="P369" s="112" t="s">
        <v>5471</v>
      </c>
      <c r="Q369" s="11" t="str">
        <f t="shared" si="153"/>
        <v>Gráfico</v>
      </c>
      <c r="R369" s="148" t="str">
        <f>Agencia[[#This Row],[territorio]]&amp;",cambio,climático,vulnerabilidad,índice,cantidad,comunas,"&amp;Agencia[[#This Row],[coleccion]]&amp;","&amp;Agencia[[#This Row],[sector]]&amp;","&amp;Agencia[[#This Row],[tema]]&amp;","&amp;Agencia[[#This Row],[contenido]]</f>
        <v>Región de Los Ríos,cambio,climático,vulnerabilidad,índice,cantidad,comunas,Agencia Información,Medio Ambiente,Índice de Vulnerabilidad,Vulnerabilidad</v>
      </c>
      <c r="S369" s="83" t="str">
        <f>HYPERLINK("https://analytics.zoho.com/open-view/2395394000009443389?ZOHO_CRITERIA=%22Localiza%20CL%22.%22Codreg%22%3D"&amp;Agencia[[#This Row],[Filtro URL]])</f>
        <v>https://analytics.zoho.com/open-view/2395394000009443389?ZOHO_CRITERIA=%22Localiza%20CL%22.%22Codreg%22%3D14</v>
      </c>
      <c r="T369" s="108" t="str">
        <f>"100-R-"&amp;Agencia[[#This Row],[Filtro URL]]</f>
        <v>100-R-14</v>
      </c>
      <c r="U369" s="46" t="str">
        <f t="shared" si="146"/>
        <v>#1774B9</v>
      </c>
      <c r="V369" s="93" t="str">
        <f>+Agencia[[#This Row],[idcoleccion]]&amp;"-"&amp;Agencia[[#This Row],[id]]</f>
        <v>990-0358</v>
      </c>
      <c r="W369" s="93">
        <f>+VLOOKUP(Agencia[[#This Row],[Filtro URL]],Estructura!$X$4:$Y$500,2,0)</f>
        <v>99200014</v>
      </c>
      <c r="X369" s="93" t="str">
        <f>+VLOOKUP(Agencia[[#This Row],[tema]],Estructura!$A$4:$C$500,3,0)</f>
        <v>T-1000</v>
      </c>
      <c r="Y369" s="93" t="str">
        <f>+VLOOKUP(Agencia[[#This Row],[contenido]],Estructura!$E$4:$G$500,3,0)</f>
        <v>C-992</v>
      </c>
      <c r="Z369" s="93" t="str">
        <f>+VLOOKUP(Agencia[[#This Row],[Filtro Integrado]],Estructura!$I$4:$K$500,3,0)</f>
        <v>FI-993</v>
      </c>
      <c r="AA369" s="93" t="str">
        <f>+VLOOKUP(Agencia[[#This Row],[Muestra]],Estructura!$M$4:$O$500,3,0)</f>
        <v>M-1000</v>
      </c>
    </row>
    <row r="370" spans="1:27" ht="71.400000000000006" x14ac:dyDescent="0.3">
      <c r="A370" s="21" t="s">
        <v>772</v>
      </c>
      <c r="B370" s="23">
        <f t="shared" si="154"/>
        <v>990</v>
      </c>
      <c r="C370" s="24" t="str">
        <f t="shared" si="155"/>
        <v>Agencia Información</v>
      </c>
      <c r="D370" s="72" t="str">
        <f t="shared" si="156"/>
        <v>Medio Ambiente</v>
      </c>
      <c r="E370" s="19">
        <v>15</v>
      </c>
      <c r="F370" s="10" t="s">
        <v>952</v>
      </c>
      <c r="G370" s="25" t="s">
        <v>953</v>
      </c>
      <c r="H370" s="33" t="s">
        <v>16</v>
      </c>
      <c r="I370" s="34" t="s">
        <v>382</v>
      </c>
      <c r="J370" s="9" t="str">
        <f t="shared" si="148"/>
        <v>Ninguno</v>
      </c>
      <c r="K370" s="9" t="str">
        <f t="shared" si="149"/>
        <v>Cantidad de comunas según grado por región</v>
      </c>
      <c r="L370" s="36" t="str">
        <f t="shared" si="150"/>
        <v>Año 2020</v>
      </c>
      <c r="M370" s="9" t="str">
        <f t="shared" si="151"/>
        <v>Número de comunas</v>
      </c>
      <c r="N370" s="9" t="str">
        <f t="shared" si="152"/>
        <v>Elaboración propia con datos de CONAF/SUD-Austral, CASEN, CENSO 2017.</v>
      </c>
      <c r="O370" s="41" t="str">
        <f>"Cantidad de comunas según grado de vulnerabilidad al cambio climático, "&amp;Agencia[[#This Row],[territorio]]&amp;", "&amp;Agencia[[#This Row],[temporalidad]]</f>
        <v>Cantidad de comunas según grado de vulnerabilidad al cambio climático, Región de Arica y Parinacota, Año 2020</v>
      </c>
      <c r="P370" s="112" t="s">
        <v>5472</v>
      </c>
      <c r="Q370" s="11" t="str">
        <f t="shared" si="153"/>
        <v>Gráfico</v>
      </c>
      <c r="R370" s="148" t="str">
        <f>Agencia[[#This Row],[territorio]]&amp;",cambio,climático,vulnerabilidad,índice,cantidad,comunas,"&amp;Agencia[[#This Row],[coleccion]]&amp;","&amp;Agencia[[#This Row],[sector]]&amp;","&amp;Agencia[[#This Row],[tema]]&amp;","&amp;Agencia[[#This Row],[contenido]]</f>
        <v>Región de Arica y Parinacota,cambio,climático,vulnerabilidad,índice,cantidad,comunas,Agencia Información,Medio Ambiente,Índice de Vulnerabilidad,Vulnerabilidad</v>
      </c>
      <c r="S370" s="83" t="str">
        <f>HYPERLINK("https://analytics.zoho.com/open-view/2395394000009443389?ZOHO_CRITERIA=%22Localiza%20CL%22.%22Codreg%22%3D"&amp;Agencia[[#This Row],[Filtro URL]])</f>
        <v>https://analytics.zoho.com/open-view/2395394000009443389?ZOHO_CRITERIA=%22Localiza%20CL%22.%22Codreg%22%3D15</v>
      </c>
      <c r="T370" s="108" t="str">
        <f>"100-R-"&amp;Agencia[[#This Row],[Filtro URL]]</f>
        <v>100-R-15</v>
      </c>
      <c r="U370" s="46" t="str">
        <f t="shared" si="146"/>
        <v>#1774B9</v>
      </c>
      <c r="V370" s="93" t="str">
        <f>+Agencia[[#This Row],[idcoleccion]]&amp;"-"&amp;Agencia[[#This Row],[id]]</f>
        <v>990-0359</v>
      </c>
      <c r="W370" s="93">
        <f>+VLOOKUP(Agencia[[#This Row],[Filtro URL]],Estructura!$X$4:$Y$500,2,0)</f>
        <v>99200015</v>
      </c>
      <c r="X370" s="93" t="str">
        <f>+VLOOKUP(Agencia[[#This Row],[tema]],Estructura!$A$4:$C$500,3,0)</f>
        <v>T-1000</v>
      </c>
      <c r="Y370" s="93" t="str">
        <f>+VLOOKUP(Agencia[[#This Row],[contenido]],Estructura!$E$4:$G$500,3,0)</f>
        <v>C-992</v>
      </c>
      <c r="Z370" s="93" t="str">
        <f>+VLOOKUP(Agencia[[#This Row],[Filtro Integrado]],Estructura!$I$4:$K$500,3,0)</f>
        <v>FI-993</v>
      </c>
      <c r="AA370" s="93" t="str">
        <f>+VLOOKUP(Agencia[[#This Row],[Muestra]],Estructura!$M$4:$O$500,3,0)</f>
        <v>M-1000</v>
      </c>
    </row>
    <row r="371" spans="1:27" ht="71.400000000000006" x14ac:dyDescent="0.3">
      <c r="A371" s="21" t="s">
        <v>773</v>
      </c>
      <c r="B371" s="23">
        <f t="shared" si="154"/>
        <v>990</v>
      </c>
      <c r="C371" s="24" t="str">
        <f t="shared" si="155"/>
        <v>Agencia Información</v>
      </c>
      <c r="D371" s="72" t="str">
        <f t="shared" si="156"/>
        <v>Medio Ambiente</v>
      </c>
      <c r="E371" s="19">
        <v>16</v>
      </c>
      <c r="F371" s="10" t="s">
        <v>952</v>
      </c>
      <c r="G371" s="25" t="s">
        <v>953</v>
      </c>
      <c r="H371" s="33" t="s">
        <v>16</v>
      </c>
      <c r="I371" s="34" t="s">
        <v>383</v>
      </c>
      <c r="J371" s="9" t="str">
        <f t="shared" si="148"/>
        <v>Ninguno</v>
      </c>
      <c r="K371" s="9" t="str">
        <f t="shared" si="149"/>
        <v>Cantidad de comunas según grado por región</v>
      </c>
      <c r="L371" s="36" t="str">
        <f t="shared" si="150"/>
        <v>Año 2020</v>
      </c>
      <c r="M371" s="9" t="str">
        <f t="shared" si="151"/>
        <v>Número de comunas</v>
      </c>
      <c r="N371" s="9" t="str">
        <f t="shared" si="152"/>
        <v>Elaboración propia con datos de CONAF/SUD-Austral, CASEN, CENSO 2017.</v>
      </c>
      <c r="O371" s="41" t="str">
        <f>"Cantidad de comunas según grado de vulnerabilidad al cambio climático, "&amp;Agencia[[#This Row],[territorio]]&amp;", "&amp;Agencia[[#This Row],[temporalidad]]</f>
        <v>Cantidad de comunas según grado de vulnerabilidad al cambio climático, Región de Ñuble, Año 2020</v>
      </c>
      <c r="P371" s="112" t="s">
        <v>5473</v>
      </c>
      <c r="Q371" s="11" t="str">
        <f t="shared" si="153"/>
        <v>Gráfico</v>
      </c>
      <c r="R371" s="148" t="str">
        <f>Agencia[[#This Row],[territorio]]&amp;",cambio,climático,vulnerabilidad,índice,cantidad,comunas,"&amp;Agencia[[#This Row],[coleccion]]&amp;","&amp;Agencia[[#This Row],[sector]]&amp;","&amp;Agencia[[#This Row],[tema]]&amp;","&amp;Agencia[[#This Row],[contenido]]</f>
        <v>Región de Ñuble,cambio,climático,vulnerabilidad,índice,cantidad,comunas,Agencia Información,Medio Ambiente,Índice de Vulnerabilidad,Vulnerabilidad</v>
      </c>
      <c r="S371" s="83" t="str">
        <f>HYPERLINK("https://analytics.zoho.com/open-view/2395394000009443389?ZOHO_CRITERIA=%22Localiza%20CL%22.%22Codreg%22%3D"&amp;Agencia[[#This Row],[Filtro URL]])</f>
        <v>https://analytics.zoho.com/open-view/2395394000009443389?ZOHO_CRITERIA=%22Localiza%20CL%22.%22Codreg%22%3D16</v>
      </c>
      <c r="T371" s="108" t="str">
        <f>"100-R-"&amp;Agencia[[#This Row],[Filtro URL]]</f>
        <v>100-R-16</v>
      </c>
      <c r="U371" s="46" t="str">
        <f t="shared" si="146"/>
        <v>#1774B9</v>
      </c>
      <c r="V371" s="93" t="str">
        <f>+Agencia[[#This Row],[idcoleccion]]&amp;"-"&amp;Agencia[[#This Row],[id]]</f>
        <v>990-0360</v>
      </c>
      <c r="W371" s="93">
        <f>+VLOOKUP(Agencia[[#This Row],[Filtro URL]],Estructura!$X$4:$Y$500,2,0)</f>
        <v>99200016</v>
      </c>
      <c r="X371" s="93" t="str">
        <f>+VLOOKUP(Agencia[[#This Row],[tema]],Estructura!$A$4:$C$500,3,0)</f>
        <v>T-1000</v>
      </c>
      <c r="Y371" s="93" t="str">
        <f>+VLOOKUP(Agencia[[#This Row],[contenido]],Estructura!$E$4:$G$500,3,0)</f>
        <v>C-992</v>
      </c>
      <c r="Z371" s="93" t="str">
        <f>+VLOOKUP(Agencia[[#This Row],[Filtro Integrado]],Estructura!$I$4:$K$500,3,0)</f>
        <v>FI-993</v>
      </c>
      <c r="AA371" s="93" t="str">
        <f>+VLOOKUP(Agencia[[#This Row],[Muestra]],Estructura!$M$4:$O$500,3,0)</f>
        <v>M-1000</v>
      </c>
    </row>
    <row r="372" spans="1:27" ht="81.599999999999994" x14ac:dyDescent="0.3">
      <c r="A372" s="21" t="s">
        <v>774</v>
      </c>
      <c r="B372" s="23">
        <f t="shared" ref="B372:B373" si="157">+B371</f>
        <v>990</v>
      </c>
      <c r="C372" s="24" t="str">
        <f t="shared" ref="C372:C373" si="158">+C371</f>
        <v>Agencia Información</v>
      </c>
      <c r="D372" s="72" t="s">
        <v>954</v>
      </c>
      <c r="E372" s="14">
        <v>0</v>
      </c>
      <c r="F372" s="10" t="s">
        <v>952</v>
      </c>
      <c r="G372" s="25" t="s">
        <v>953</v>
      </c>
      <c r="H372" s="31" t="s">
        <v>20</v>
      </c>
      <c r="I372" s="32" t="s">
        <v>15</v>
      </c>
      <c r="J372" s="9" t="s">
        <v>403</v>
      </c>
      <c r="K372" s="9" t="s">
        <v>987</v>
      </c>
      <c r="L372" s="36" t="s">
        <v>457</v>
      </c>
      <c r="M372" s="9" t="s">
        <v>951</v>
      </c>
      <c r="N372" s="9" t="s">
        <v>950</v>
      </c>
      <c r="O372" s="41" t="str">
        <f>"Mapa de Comunas con ALTA Vulnerabilidad al Cambio Climático en "&amp;Agencia[[#This Row],[territorio]]&amp;", "&amp;Agencia[[#This Row],[temporalidad]]</f>
        <v>Mapa de Comunas con ALTA Vulnerabilidad al Cambio Climático en Chile, Año 2020</v>
      </c>
      <c r="P372" s="112" t="s">
        <v>5457</v>
      </c>
      <c r="Q372" s="11" t="s">
        <v>794</v>
      </c>
      <c r="R372" s="20" t="str">
        <f>Agencia[[#This Row],[territorio]]&amp;",cambio,climático,vulnerabilidad,índice,comunas,alta,"&amp;Agencia[[#This Row],[coleccion]]&amp;","&amp;Agencia[[#This Row],[sector]]&amp;","&amp;Agencia[[#This Row],[tema]]&amp;","&amp;Agencia[[#This Row],[contenido]]</f>
        <v>Chile,cambio,climático,vulnerabilidad,índice,comunas,alta,Agencia Información,Medio Ambiente,Índice de Vulnerabilidad,Vulnerabilidad</v>
      </c>
      <c r="S372" s="37" t="s">
        <v>5696</v>
      </c>
      <c r="T372" s="108">
        <v>0</v>
      </c>
      <c r="U372" s="46" t="str">
        <f t="shared" si="146"/>
        <v>#1774B9</v>
      </c>
      <c r="V372" s="93" t="str">
        <f>+Agencia[[#This Row],[idcoleccion]]&amp;"-"&amp;Agencia[[#This Row],[id]]</f>
        <v>990-0361</v>
      </c>
      <c r="W372" s="93">
        <f>+VLOOKUP(Agencia[[#This Row],[Filtro URL]],Estructura!$X$4:$Y$500,2,0)</f>
        <v>99100000</v>
      </c>
      <c r="X372" s="93" t="str">
        <f>+VLOOKUP(Agencia[[#This Row],[tema]],Estructura!$A$4:$C$500,3,0)</f>
        <v>T-1000</v>
      </c>
      <c r="Y372" s="93" t="str">
        <f>+VLOOKUP(Agencia[[#This Row],[contenido]],Estructura!$E$4:$G$500,3,0)</f>
        <v>C-992</v>
      </c>
      <c r="Z372" s="93" t="str">
        <f>+VLOOKUP(Agencia[[#This Row],[Filtro Integrado]],Estructura!$I$4:$K$500,3,0)</f>
        <v>FI-993</v>
      </c>
      <c r="AA372" s="93" t="str">
        <f>+VLOOKUP(Agencia[[#This Row],[Muestra]],Estructura!$M$4:$O$500,3,0)</f>
        <v>M-1001</v>
      </c>
    </row>
    <row r="373" spans="1:27" ht="81.599999999999994" x14ac:dyDescent="0.3">
      <c r="A373" s="21" t="s">
        <v>775</v>
      </c>
      <c r="B373" s="23">
        <f t="shared" si="157"/>
        <v>990</v>
      </c>
      <c r="C373" s="24" t="str">
        <f t="shared" si="158"/>
        <v>Agencia Información</v>
      </c>
      <c r="D373" s="72" t="str">
        <f>+D372</f>
        <v>Medio Ambiente</v>
      </c>
      <c r="E373" s="14">
        <v>0</v>
      </c>
      <c r="F373" s="10" t="s">
        <v>952</v>
      </c>
      <c r="G373" s="25" t="s">
        <v>953</v>
      </c>
      <c r="H373" s="31" t="s">
        <v>20</v>
      </c>
      <c r="I373" s="32" t="s">
        <v>15</v>
      </c>
      <c r="J373" s="9" t="str">
        <f>+J372</f>
        <v>Ninguno</v>
      </c>
      <c r="K373" s="9" t="s">
        <v>988</v>
      </c>
      <c r="L373" s="36" t="s">
        <v>457</v>
      </c>
      <c r="M373" s="9" t="s">
        <v>951</v>
      </c>
      <c r="N373" s="9" t="s">
        <v>950</v>
      </c>
      <c r="O373" s="41" t="str">
        <f>"Ranking de las regiones con mayor Vulnerabilidad al Cambio Climático en "&amp;Agencia[[#This Row],[territorio]]&amp;", "&amp;Agencia[[#This Row],[temporalidad]]</f>
        <v>Ranking de las regiones con mayor Vulnerabilidad al Cambio Climático en Chile, Año 2020</v>
      </c>
      <c r="P373" s="112" t="s">
        <v>989</v>
      </c>
      <c r="Q373" s="11" t="s">
        <v>504</v>
      </c>
      <c r="R373" s="20" t="str">
        <f>Agencia[[#This Row],[territorio]]&amp;",cambio,climático,vulnerabilidad,índice,comunas,alta,moderada,"&amp;Agencia[[#This Row],[coleccion]]&amp;","&amp;Agencia[[#This Row],[sector]]&amp;","&amp;Agencia[[#This Row],[tema]]&amp;","&amp;Agencia[[#This Row],[contenido]]</f>
        <v>Chile,cambio,climático,vulnerabilidad,índice,comunas,alta,moderada,Agencia Información,Medio Ambiente,Índice de Vulnerabilidad,Vulnerabilidad</v>
      </c>
      <c r="S373" s="37" t="s">
        <v>5695</v>
      </c>
      <c r="T373" s="108">
        <v>0</v>
      </c>
      <c r="U373" s="46" t="str">
        <f t="shared" ref="U373:U377" si="159">+U372</f>
        <v>#1774B9</v>
      </c>
      <c r="V373" s="93" t="str">
        <f>+Agencia[[#This Row],[idcoleccion]]&amp;"-"&amp;Agencia[[#This Row],[id]]</f>
        <v>990-0362</v>
      </c>
      <c r="W373" s="93">
        <f>+VLOOKUP(Agencia[[#This Row],[Filtro URL]],Estructura!$X$4:$Y$500,2,0)</f>
        <v>99100000</v>
      </c>
      <c r="X373" s="93" t="str">
        <f>+VLOOKUP(Agencia[[#This Row],[tema]],Estructura!$A$4:$C$500,3,0)</f>
        <v>T-1000</v>
      </c>
      <c r="Y373" s="93" t="str">
        <f>+VLOOKUP(Agencia[[#This Row],[contenido]],Estructura!$E$4:$G$500,3,0)</f>
        <v>C-992</v>
      </c>
      <c r="Z373" s="93" t="str">
        <f>+VLOOKUP(Agencia[[#This Row],[Filtro Integrado]],Estructura!$I$4:$K$500,3,0)</f>
        <v>FI-993</v>
      </c>
      <c r="AA373" s="93" t="str">
        <f>+VLOOKUP(Agencia[[#This Row],[Muestra]],Estructura!$M$4:$O$500,3,0)</f>
        <v>M-1002</v>
      </c>
    </row>
    <row r="374" spans="1:27" ht="72" x14ac:dyDescent="0.3">
      <c r="A374" s="21" t="s">
        <v>776</v>
      </c>
      <c r="B374" s="23">
        <f>+B373</f>
        <v>990</v>
      </c>
      <c r="C374" s="24" t="str">
        <f>+C373</f>
        <v>Agencia Información</v>
      </c>
      <c r="D374" s="72" t="s">
        <v>814</v>
      </c>
      <c r="E374" s="14">
        <v>0</v>
      </c>
      <c r="F374" s="25" t="s">
        <v>815</v>
      </c>
      <c r="G374" s="25" t="s">
        <v>1880</v>
      </c>
      <c r="H374" s="31" t="s">
        <v>20</v>
      </c>
      <c r="I374" s="32" t="s">
        <v>15</v>
      </c>
      <c r="J374" s="9" t="s">
        <v>16</v>
      </c>
      <c r="K374" s="9" t="s">
        <v>9312</v>
      </c>
      <c r="L374" s="9" t="s">
        <v>457</v>
      </c>
      <c r="M374" s="9" t="s">
        <v>423</v>
      </c>
      <c r="N374" s="9" t="s">
        <v>817</v>
      </c>
      <c r="O374" s="20" t="str">
        <f>"Representación geográfica de regiones con la proporción de comunas que poseen IPT's locales, para el "&amp;Agencia[[#This Row],[temporalidad]]</f>
        <v>Representación geográfica de regiones con la proporción de comunas que poseen IPT's locales, para el Año 2020</v>
      </c>
      <c r="P374" s="112" t="s">
        <v>991</v>
      </c>
      <c r="Q374" s="11" t="s">
        <v>590</v>
      </c>
      <c r="R374" s="20" t="str">
        <f>Agencia[[#This Row],[territorio]]&amp;",plan,regulador,comunal,instrumento,planificación,territorial,local,proporción,comunas,límite,urbano,plan,seccional,"&amp;Agencia[[#This Row],[coleccion]]&amp;","&amp;Agencia[[#This Row],[sector]]&amp;","&amp;Agencia[[#This Row],[tema]]&amp;","&amp;Agencia[[#This Row],[contenido]]</f>
        <v>Chile,plan,regulador,comunal,instrumento,planificación,territorial,local,proporción,comunas,límite,urbano,plan,seccional,Agencia Información,Vivienda y Construcción,Instrumentos de Planificación Territorial (IPT),Territorio</v>
      </c>
      <c r="S374" s="37" t="s">
        <v>992</v>
      </c>
      <c r="T374" s="108">
        <v>0</v>
      </c>
      <c r="U374" s="46" t="str">
        <f>+U373</f>
        <v>#1774B9</v>
      </c>
      <c r="V374" s="93" t="str">
        <f>+Agencia[[#This Row],[idcoleccion]]&amp;"-"&amp;Agencia[[#This Row],[id]]</f>
        <v>990-0363</v>
      </c>
      <c r="W374" s="93">
        <f>+VLOOKUP(Agencia[[#This Row],[Filtro URL]],Estructura!$X$4:$Y$500,2,0)</f>
        <v>99100000</v>
      </c>
      <c r="X374" s="93" t="str">
        <f>+VLOOKUP(Agencia[[#This Row],[tema]],Estructura!$A$4:$C$500,3,0)</f>
        <v>T-1026</v>
      </c>
      <c r="Y374" s="93" t="str">
        <f>+VLOOKUP(Agencia[[#This Row],[contenido]],Estructura!$E$4:$G$500,3,0)</f>
        <v>C-999</v>
      </c>
      <c r="Z374" s="93" t="str">
        <f>+VLOOKUP(Agencia[[#This Row],[Filtro Integrado]],Estructura!$I$4:$K$500,3,0)</f>
        <v>FI-992</v>
      </c>
      <c r="AA374" s="93" t="str">
        <f>+VLOOKUP(Agencia[[#This Row],[Muestra]],Estructura!$M$4:$O$500,3,0)</f>
        <v>M-1054</v>
      </c>
    </row>
    <row r="375" spans="1:27" ht="40.799999999999997" x14ac:dyDescent="0.3">
      <c r="A375" s="21" t="s">
        <v>777</v>
      </c>
      <c r="B375" s="23">
        <f>+B374</f>
        <v>990</v>
      </c>
      <c r="C375" s="136" t="str">
        <f>+C374</f>
        <v>Agencia Información</v>
      </c>
      <c r="D375" s="72" t="s">
        <v>785</v>
      </c>
      <c r="E375" s="14">
        <v>0</v>
      </c>
      <c r="F375" s="10" t="s">
        <v>1369</v>
      </c>
      <c r="G375" s="25" t="s">
        <v>1907</v>
      </c>
      <c r="H375" s="31" t="s">
        <v>20</v>
      </c>
      <c r="I375" s="32" t="s">
        <v>15</v>
      </c>
      <c r="J375" s="9" t="s">
        <v>16</v>
      </c>
      <c r="K375" s="9" t="s">
        <v>9309</v>
      </c>
      <c r="L375" s="36" t="s">
        <v>3071</v>
      </c>
      <c r="M375" s="9" t="s">
        <v>1368</v>
      </c>
      <c r="N375" s="36" t="s">
        <v>1370</v>
      </c>
      <c r="O375" s="41" t="s">
        <v>5474</v>
      </c>
      <c r="P375" s="112" t="s">
        <v>5475</v>
      </c>
      <c r="Q375" s="11" t="s">
        <v>576</v>
      </c>
      <c r="R375" s="20" t="str">
        <f>Agencia[[#This Row],[territorio]]&amp;",población,pueblos,originarios,indígenas,etnia,sexo,mujer,hombre,"&amp;Agencia[[#This Row],[coleccion]]&amp;","&amp;Agencia[[#This Row],[sector]]&amp;","&amp;Agencia[[#This Row],[tema]]&amp;","&amp;Agencia[[#This Row],[contenido]]</f>
        <v>Chile,población,pueblos,originarios,indígenas,etnia,sexo,mujer,hombre,Agencia Información,Social,Población por sexo,Pueblos Indígenas</v>
      </c>
      <c r="S375" s="37" t="s">
        <v>1419</v>
      </c>
      <c r="T375" s="111">
        <v>0</v>
      </c>
      <c r="U375" s="46" t="str">
        <f>+U374</f>
        <v>#1774B9</v>
      </c>
      <c r="V375" s="93" t="str">
        <f>+Agencia[[#This Row],[idcoleccion]]&amp;"-"&amp;Agencia[[#This Row],[id]]</f>
        <v>990-0364</v>
      </c>
      <c r="W375" s="93">
        <f>+VLOOKUP(Agencia[[#This Row],[Filtro URL]],Estructura!$X$4:$Y$500,2,0)</f>
        <v>99100000</v>
      </c>
      <c r="X375" s="93" t="str">
        <f>+VLOOKUP(Agencia[[#This Row],[tema]],Estructura!$A$4:$C$500,3,0)</f>
        <v>T-1001</v>
      </c>
      <c r="Y375" s="93" t="str">
        <f>+VLOOKUP(Agencia[[#This Row],[contenido]],Estructura!$E$4:$G$500,3,0)</f>
        <v>C-1012</v>
      </c>
      <c r="Z375" s="93" t="str">
        <f>+VLOOKUP(Agencia[[#This Row],[Filtro Integrado]],Estructura!$I$4:$K$500,3,0)</f>
        <v>FI-992</v>
      </c>
      <c r="AA375" s="93" t="str">
        <f>+VLOOKUP(Agencia[[#This Row],[Muestra]],Estructura!$M$4:$O$500,3,0)</f>
        <v>M-1055</v>
      </c>
    </row>
    <row r="376" spans="1:27" ht="72" x14ac:dyDescent="0.3">
      <c r="A376" s="21" t="s">
        <v>778</v>
      </c>
      <c r="B376" s="23">
        <f t="shared" ref="B376:B401" si="160">+B375</f>
        <v>990</v>
      </c>
      <c r="C376" s="24" t="str">
        <f t="shared" ref="C376:C401" si="161">+C375</f>
        <v>Agencia Información</v>
      </c>
      <c r="D376" s="72" t="s">
        <v>785</v>
      </c>
      <c r="E376" s="14">
        <v>0</v>
      </c>
      <c r="F376" s="18" t="s">
        <v>1371</v>
      </c>
      <c r="G376" s="18" t="s">
        <v>1882</v>
      </c>
      <c r="H376" s="31" t="s">
        <v>20</v>
      </c>
      <c r="I376" s="32" t="s">
        <v>15</v>
      </c>
      <c r="J376" s="9" t="s">
        <v>18</v>
      </c>
      <c r="K376" s="9" t="s">
        <v>1371</v>
      </c>
      <c r="L376" s="9" t="s">
        <v>1373</v>
      </c>
      <c r="M376" s="9" t="s">
        <v>1368</v>
      </c>
      <c r="N376" s="9" t="s">
        <v>5175</v>
      </c>
      <c r="O376" s="20" t="str">
        <f>"Cantidad de defunciones anuales por región en "&amp;Agencia[[#This Row],[territorio]]&amp;", "&amp;Agencia[[#This Row],[temporalidad]]</f>
        <v>Cantidad de defunciones anuales por región en Chile, Periodo 2010-2021</v>
      </c>
      <c r="P376" s="112" t="s">
        <v>5660</v>
      </c>
      <c r="Q376" s="11" t="s">
        <v>590</v>
      </c>
      <c r="R376" s="20" t="str">
        <f>Agencia[[#This Row],[territorio]]&amp;",defunción,población,cantidad,número,demografía,fallecidos,muertos,"&amp;Agencia[[#This Row],[coleccion]]&amp;","&amp;Agencia[[#This Row],[sector]]&amp;","&amp;Agencia[[#This Row],[tema]]&amp;","&amp;Agencia[[#This Row],[contenido]]</f>
        <v>Chile,defunción,población,cantidad,número,demografía,fallecidos,muertos,Agencia Información,Social,Defunciones,Demografía</v>
      </c>
      <c r="S376" s="37" t="s">
        <v>1372</v>
      </c>
      <c r="T376" s="108" t="s">
        <v>957</v>
      </c>
      <c r="U376" s="95" t="str">
        <f t="shared" si="159"/>
        <v>#1774B9</v>
      </c>
      <c r="V376" s="93" t="str">
        <f>+Agencia[[#This Row],[idcoleccion]]&amp;"-"&amp;Agencia[[#This Row],[id]]</f>
        <v>990-0365</v>
      </c>
      <c r="W376" s="93">
        <f>+VLOOKUP(Agencia[[#This Row],[Filtro URL]],Estructura!$X$4:$Y$500,2,0)</f>
        <v>99100000</v>
      </c>
      <c r="X376" s="93" t="str">
        <f>+VLOOKUP(Agencia[[#This Row],[tema]],Estructura!$A$4:$C$500,3,0)</f>
        <v>T-1002</v>
      </c>
      <c r="Y376" s="93" t="str">
        <f>+VLOOKUP(Agencia[[#This Row],[contenido]],Estructura!$E$4:$G$500,3,0)</f>
        <v>C-1002</v>
      </c>
      <c r="Z376" s="93" t="str">
        <f>+VLOOKUP(Agencia[[#This Row],[Filtro Integrado]],Estructura!$I$4:$K$500,3,0)</f>
        <v>FI-991</v>
      </c>
      <c r="AA376" s="93" t="str">
        <f>+VLOOKUP(Agencia[[#This Row],[Muestra]],Estructura!$M$4:$O$500,3,0)</f>
        <v>M-1056</v>
      </c>
    </row>
    <row r="377" spans="1:27" ht="72" x14ac:dyDescent="0.3">
      <c r="A377" s="21" t="s">
        <v>779</v>
      </c>
      <c r="B377" s="23">
        <f t="shared" si="160"/>
        <v>990</v>
      </c>
      <c r="C377" s="24" t="str">
        <f t="shared" si="161"/>
        <v>Agencia Información</v>
      </c>
      <c r="D377" s="72" t="str">
        <f t="shared" ref="D377:D392" si="162">+D376</f>
        <v>Social</v>
      </c>
      <c r="E377" s="19">
        <v>1</v>
      </c>
      <c r="F377" s="18" t="s">
        <v>1371</v>
      </c>
      <c r="G377" s="18" t="s">
        <v>1882</v>
      </c>
      <c r="H377" s="33" t="s">
        <v>16</v>
      </c>
      <c r="I377" s="34" t="s">
        <v>368</v>
      </c>
      <c r="J377" s="9" t="str">
        <f t="shared" ref="J377:J392" si="163">+J376</f>
        <v>Comuna</v>
      </c>
      <c r="K377" s="9" t="str">
        <f t="shared" ref="K377:K392" si="164">+K376</f>
        <v>Defunciones</v>
      </c>
      <c r="L377" s="9" t="str">
        <f t="shared" ref="L377:L392" si="165">+L376</f>
        <v>Periodo 2010-2021</v>
      </c>
      <c r="M377" s="9" t="str">
        <f t="shared" ref="M377:M392" si="166">+M376</f>
        <v>Número de personas</v>
      </c>
      <c r="N377" s="9" t="str">
        <f t="shared" ref="N377:N392" si="167">+N376</f>
        <v>Servicio de Registro Civil de Chile</v>
      </c>
      <c r="O377" s="20" t="str">
        <f>"Cantidad de defunciones anuales en la "&amp;Agencia[[#This Row],[territorio]]&amp;", "&amp;Agencia[[#This Row],[temporalidad]]</f>
        <v>Cantidad de defunciones anuales en la Región de Tarapacá, Periodo 2010-2021</v>
      </c>
      <c r="P377" s="112" t="s">
        <v>5682</v>
      </c>
      <c r="Q377" s="11" t="str">
        <f t="shared" ref="Q377:Q397" si="168">+Q376</f>
        <v>Dashboard</v>
      </c>
      <c r="R377" s="148" t="str">
        <f>Agencia[[#This Row],[territorio]]&amp;",defunción,población,cantidad,número,demografía,fallecidos,muertos,"&amp;Agencia[[#This Row],[coleccion]]&amp;","&amp;Agencia[[#This Row],[sector]]&amp;","&amp;Agencia[[#This Row],[tema]]&amp;","&amp;Agencia[[#This Row],[contenido]]</f>
        <v>Región de Tarapacá,defunción,población,cantidad,número,demografía,fallecidos,muertos,Agencia Información,Social,Defunciones,Demografía</v>
      </c>
      <c r="S377" s="37" t="s">
        <v>1531</v>
      </c>
      <c r="T377" s="111" t="str">
        <f>"100-C-"&amp;Agencia[[#This Row],[Filtro URL]]</f>
        <v>100-C-1</v>
      </c>
      <c r="U377" s="95" t="str">
        <f t="shared" si="159"/>
        <v>#1774B9</v>
      </c>
      <c r="V377" s="93" t="str">
        <f>+Agencia[[#This Row],[idcoleccion]]&amp;"-"&amp;Agencia[[#This Row],[id]]</f>
        <v>990-0366</v>
      </c>
      <c r="W377" s="93">
        <f>+VLOOKUP(Agencia[[#This Row],[Filtro URL]],Estructura!$X$4:$Y$500,2,0)</f>
        <v>99200001</v>
      </c>
      <c r="X377" s="93" t="str">
        <f>+VLOOKUP(Agencia[[#This Row],[tema]],Estructura!$A$4:$C$500,3,0)</f>
        <v>T-1002</v>
      </c>
      <c r="Y377" s="93" t="str">
        <f>+VLOOKUP(Agencia[[#This Row],[contenido]],Estructura!$E$4:$G$500,3,0)</f>
        <v>C-1002</v>
      </c>
      <c r="Z377" s="93" t="str">
        <f>+VLOOKUP(Agencia[[#This Row],[Filtro Integrado]],Estructura!$I$4:$K$500,3,0)</f>
        <v>FI-991</v>
      </c>
      <c r="AA377" s="93" t="str">
        <f>+VLOOKUP(Agencia[[#This Row],[Muestra]],Estructura!$M$4:$O$500,3,0)</f>
        <v>M-1056</v>
      </c>
    </row>
    <row r="378" spans="1:27" ht="72" x14ac:dyDescent="0.3">
      <c r="A378" s="21" t="s">
        <v>780</v>
      </c>
      <c r="B378" s="23">
        <f t="shared" si="160"/>
        <v>990</v>
      </c>
      <c r="C378" s="24" t="str">
        <f t="shared" si="161"/>
        <v>Agencia Información</v>
      </c>
      <c r="D378" s="72" t="str">
        <f t="shared" si="162"/>
        <v>Social</v>
      </c>
      <c r="E378" s="19">
        <v>2</v>
      </c>
      <c r="F378" s="18" t="s">
        <v>1371</v>
      </c>
      <c r="G378" s="18" t="s">
        <v>1882</v>
      </c>
      <c r="H378" s="33" t="s">
        <v>16</v>
      </c>
      <c r="I378" s="34" t="s">
        <v>369</v>
      </c>
      <c r="J378" s="9" t="str">
        <f t="shared" si="163"/>
        <v>Comuna</v>
      </c>
      <c r="K378" s="9" t="str">
        <f t="shared" si="164"/>
        <v>Defunciones</v>
      </c>
      <c r="L378" s="9" t="str">
        <f t="shared" si="165"/>
        <v>Periodo 2010-2021</v>
      </c>
      <c r="M378" s="9" t="str">
        <f t="shared" si="166"/>
        <v>Número de personas</v>
      </c>
      <c r="N378" s="9" t="str">
        <f t="shared" si="167"/>
        <v>Servicio de Registro Civil de Chile</v>
      </c>
      <c r="O378" s="20" t="str">
        <f>"Cantidad de defunciones anuales en la "&amp;Agencia[[#This Row],[territorio]]&amp;", "&amp;Agencia[[#This Row],[temporalidad]]</f>
        <v>Cantidad de defunciones anuales en la Región de Antofagasta, Periodo 2010-2021</v>
      </c>
      <c r="P378" s="112" t="s">
        <v>5683</v>
      </c>
      <c r="Q378" s="11" t="str">
        <f t="shared" si="168"/>
        <v>Dashboard</v>
      </c>
      <c r="R378" s="148" t="str">
        <f>Agencia[[#This Row],[territorio]]&amp;",defunción,población,cantidad,número,demografía,fallecidos,muertos,"&amp;Agencia[[#This Row],[coleccion]]&amp;","&amp;Agencia[[#This Row],[sector]]&amp;","&amp;Agencia[[#This Row],[tema]]&amp;","&amp;Agencia[[#This Row],[contenido]]</f>
        <v>Región de Antofagasta,defunción,población,cantidad,número,demografía,fallecidos,muertos,Agencia Información,Social,Defunciones,Demografía</v>
      </c>
      <c r="S378" s="37" t="s">
        <v>1532</v>
      </c>
      <c r="T378" s="111" t="str">
        <f>"100-C-"&amp;Agencia[[#This Row],[Filtro URL]]</f>
        <v>100-C-2</v>
      </c>
      <c r="U378" s="46" t="str">
        <f t="shared" ref="U378:U397" si="169">+U377</f>
        <v>#1774B9</v>
      </c>
      <c r="V378" s="93" t="str">
        <f>+Agencia[[#This Row],[idcoleccion]]&amp;"-"&amp;Agencia[[#This Row],[id]]</f>
        <v>990-0367</v>
      </c>
      <c r="W378" s="93">
        <f>+VLOOKUP(Agencia[[#This Row],[Filtro URL]],Estructura!$X$4:$Y$500,2,0)</f>
        <v>99200002</v>
      </c>
      <c r="X378" s="93" t="str">
        <f>+VLOOKUP(Agencia[[#This Row],[tema]],Estructura!$A$4:$C$500,3,0)</f>
        <v>T-1002</v>
      </c>
      <c r="Y378" s="93" t="str">
        <f>+VLOOKUP(Agencia[[#This Row],[contenido]],Estructura!$E$4:$G$500,3,0)</f>
        <v>C-1002</v>
      </c>
      <c r="Z378" s="93" t="str">
        <f>+VLOOKUP(Agencia[[#This Row],[Filtro Integrado]],Estructura!$I$4:$K$500,3,0)</f>
        <v>FI-991</v>
      </c>
      <c r="AA378" s="93" t="str">
        <f>+VLOOKUP(Agencia[[#This Row],[Muestra]],Estructura!$M$4:$O$500,3,0)</f>
        <v>M-1056</v>
      </c>
    </row>
    <row r="379" spans="1:27" ht="72" x14ac:dyDescent="0.3">
      <c r="A379" s="21" t="s">
        <v>781</v>
      </c>
      <c r="B379" s="23">
        <f t="shared" si="160"/>
        <v>990</v>
      </c>
      <c r="C379" s="24" t="str">
        <f t="shared" si="161"/>
        <v>Agencia Información</v>
      </c>
      <c r="D379" s="72" t="str">
        <f t="shared" si="162"/>
        <v>Social</v>
      </c>
      <c r="E379" s="19">
        <v>3</v>
      </c>
      <c r="F379" s="18" t="s">
        <v>1371</v>
      </c>
      <c r="G379" s="18" t="s">
        <v>1882</v>
      </c>
      <c r="H379" s="33" t="s">
        <v>16</v>
      </c>
      <c r="I379" s="34" t="s">
        <v>370</v>
      </c>
      <c r="J379" s="9" t="str">
        <f t="shared" si="163"/>
        <v>Comuna</v>
      </c>
      <c r="K379" s="9" t="str">
        <f t="shared" si="164"/>
        <v>Defunciones</v>
      </c>
      <c r="L379" s="9" t="str">
        <f t="shared" si="165"/>
        <v>Periodo 2010-2021</v>
      </c>
      <c r="M379" s="9" t="str">
        <f t="shared" si="166"/>
        <v>Número de personas</v>
      </c>
      <c r="N379" s="9" t="str">
        <f t="shared" si="167"/>
        <v>Servicio de Registro Civil de Chile</v>
      </c>
      <c r="O379" s="20" t="str">
        <f>"Cantidad de defunciones anuales en la "&amp;Agencia[[#This Row],[territorio]]&amp;", "&amp;Agencia[[#This Row],[temporalidad]]</f>
        <v>Cantidad de defunciones anuales en la Región de Atacama, Periodo 2010-2021</v>
      </c>
      <c r="P379" s="112" t="s">
        <v>5686</v>
      </c>
      <c r="Q379" s="11" t="str">
        <f t="shared" si="168"/>
        <v>Dashboard</v>
      </c>
      <c r="R379" s="148" t="str">
        <f>Agencia[[#This Row],[territorio]]&amp;",defunción,población,cantidad,número,demografía,fallecidos,muertos,"&amp;Agencia[[#This Row],[coleccion]]&amp;","&amp;Agencia[[#This Row],[sector]]&amp;","&amp;Agencia[[#This Row],[tema]]&amp;","&amp;Agencia[[#This Row],[contenido]]</f>
        <v>Región de Atacama,defunción,población,cantidad,número,demografía,fallecidos,muertos,Agencia Información,Social,Defunciones,Demografía</v>
      </c>
      <c r="S379" s="37" t="s">
        <v>1533</v>
      </c>
      <c r="T379" s="111" t="str">
        <f>"100-C-"&amp;Agencia[[#This Row],[Filtro URL]]</f>
        <v>100-C-3</v>
      </c>
      <c r="U379" s="46" t="str">
        <f t="shared" si="169"/>
        <v>#1774B9</v>
      </c>
      <c r="V379" s="93" t="str">
        <f>+Agencia[[#This Row],[idcoleccion]]&amp;"-"&amp;Agencia[[#This Row],[id]]</f>
        <v>990-0368</v>
      </c>
      <c r="W379" s="93">
        <f>+VLOOKUP(Agencia[[#This Row],[Filtro URL]],Estructura!$X$4:$Y$500,2,0)</f>
        <v>99200003</v>
      </c>
      <c r="X379" s="93" t="str">
        <f>+VLOOKUP(Agencia[[#This Row],[tema]],Estructura!$A$4:$C$500,3,0)</f>
        <v>T-1002</v>
      </c>
      <c r="Y379" s="93" t="str">
        <f>+VLOOKUP(Agencia[[#This Row],[contenido]],Estructura!$E$4:$G$500,3,0)</f>
        <v>C-1002</v>
      </c>
      <c r="Z379" s="93" t="str">
        <f>+VLOOKUP(Agencia[[#This Row],[Filtro Integrado]],Estructura!$I$4:$K$500,3,0)</f>
        <v>FI-991</v>
      </c>
      <c r="AA379" s="93" t="str">
        <f>+VLOOKUP(Agencia[[#This Row],[Muestra]],Estructura!$M$4:$O$500,3,0)</f>
        <v>M-1056</v>
      </c>
    </row>
    <row r="380" spans="1:27" ht="40.799999999999997" x14ac:dyDescent="0.3">
      <c r="A380" s="21" t="s">
        <v>782</v>
      </c>
      <c r="B380" s="23">
        <f t="shared" si="160"/>
        <v>990</v>
      </c>
      <c r="C380" s="24" t="str">
        <f t="shared" si="161"/>
        <v>Agencia Información</v>
      </c>
      <c r="D380" s="72" t="str">
        <f t="shared" si="162"/>
        <v>Social</v>
      </c>
      <c r="E380" s="19">
        <v>4</v>
      </c>
      <c r="F380" s="18" t="s">
        <v>1371</v>
      </c>
      <c r="G380" s="18" t="s">
        <v>1882</v>
      </c>
      <c r="H380" s="33" t="s">
        <v>16</v>
      </c>
      <c r="I380" s="34" t="s">
        <v>371</v>
      </c>
      <c r="J380" s="9" t="str">
        <f t="shared" si="163"/>
        <v>Comuna</v>
      </c>
      <c r="K380" s="9" t="str">
        <f t="shared" si="164"/>
        <v>Defunciones</v>
      </c>
      <c r="L380" s="9" t="str">
        <f t="shared" si="165"/>
        <v>Periodo 2010-2021</v>
      </c>
      <c r="M380" s="9" t="str">
        <f t="shared" si="166"/>
        <v>Número de personas</v>
      </c>
      <c r="N380" s="9" t="str">
        <f t="shared" si="167"/>
        <v>Servicio de Registro Civil de Chile</v>
      </c>
      <c r="O380" s="20" t="str">
        <f>"Cantidad de defunciones anuales en la "&amp;Agencia[[#This Row],[territorio]]&amp;", "&amp;Agencia[[#This Row],[temporalidad]]</f>
        <v>Cantidad de defunciones anuales en la Región de Coquimbo, Periodo 2010-2021</v>
      </c>
      <c r="P380" s="112" t="s">
        <v>5684</v>
      </c>
      <c r="Q380" s="11" t="str">
        <f t="shared" si="168"/>
        <v>Dashboard</v>
      </c>
      <c r="R380" s="148" t="str">
        <f>Agencia[[#This Row],[territorio]]&amp;",defunción,población,cantidad,número,demografía,fallecidos,muertos,"&amp;Agencia[[#This Row],[coleccion]]&amp;","&amp;Agencia[[#This Row],[sector]]&amp;","&amp;Agencia[[#This Row],[tema]]&amp;","&amp;Agencia[[#This Row],[contenido]]</f>
        <v>Región de Coquimbo,defunción,población,cantidad,número,demografía,fallecidos,muertos,Agencia Información,Social,Defunciones,Demografía</v>
      </c>
      <c r="S380" s="22" t="s">
        <v>1534</v>
      </c>
      <c r="T380" s="111" t="str">
        <f>"100-C-"&amp;Agencia[[#This Row],[Filtro URL]]</f>
        <v>100-C-4</v>
      </c>
      <c r="U380" s="46" t="str">
        <f t="shared" si="169"/>
        <v>#1774B9</v>
      </c>
      <c r="V380" s="93" t="str">
        <f>+Agencia[[#This Row],[idcoleccion]]&amp;"-"&amp;Agencia[[#This Row],[id]]</f>
        <v>990-0369</v>
      </c>
      <c r="W380" s="93">
        <f>+VLOOKUP(Agencia[[#This Row],[Filtro URL]],Estructura!$X$4:$Y$500,2,0)</f>
        <v>99200004</v>
      </c>
      <c r="X380" s="93" t="str">
        <f>+VLOOKUP(Agencia[[#This Row],[tema]],Estructura!$A$4:$C$500,3,0)</f>
        <v>T-1002</v>
      </c>
      <c r="Y380" s="93" t="str">
        <f>+VLOOKUP(Agencia[[#This Row],[contenido]],Estructura!$E$4:$G$500,3,0)</f>
        <v>C-1002</v>
      </c>
      <c r="Z380" s="93" t="str">
        <f>+VLOOKUP(Agencia[[#This Row],[Filtro Integrado]],Estructura!$I$4:$K$500,3,0)</f>
        <v>FI-991</v>
      </c>
      <c r="AA380" s="93" t="str">
        <f>+VLOOKUP(Agencia[[#This Row],[Muestra]],Estructura!$M$4:$O$500,3,0)</f>
        <v>M-1056</v>
      </c>
    </row>
    <row r="381" spans="1:27" ht="40.799999999999997" x14ac:dyDescent="0.3">
      <c r="A381" s="21" t="s">
        <v>802</v>
      </c>
      <c r="B381" s="23">
        <f t="shared" si="160"/>
        <v>990</v>
      </c>
      <c r="C381" s="24" t="str">
        <f t="shared" si="161"/>
        <v>Agencia Información</v>
      </c>
      <c r="D381" s="72" t="str">
        <f t="shared" si="162"/>
        <v>Social</v>
      </c>
      <c r="E381" s="19">
        <v>5</v>
      </c>
      <c r="F381" s="18" t="s">
        <v>1371</v>
      </c>
      <c r="G381" s="18" t="s">
        <v>1882</v>
      </c>
      <c r="H381" s="33" t="s">
        <v>16</v>
      </c>
      <c r="I381" s="34" t="s">
        <v>372</v>
      </c>
      <c r="J381" s="9" t="str">
        <f t="shared" si="163"/>
        <v>Comuna</v>
      </c>
      <c r="K381" s="9" t="str">
        <f t="shared" si="164"/>
        <v>Defunciones</v>
      </c>
      <c r="L381" s="9" t="str">
        <f t="shared" si="165"/>
        <v>Periodo 2010-2021</v>
      </c>
      <c r="M381" s="9" t="str">
        <f t="shared" si="166"/>
        <v>Número de personas</v>
      </c>
      <c r="N381" s="9" t="str">
        <f t="shared" si="167"/>
        <v>Servicio de Registro Civil de Chile</v>
      </c>
      <c r="O381" s="20" t="str">
        <f>"Cantidad de defunciones anuales en la "&amp;Agencia[[#This Row],[territorio]]&amp;", "&amp;Agencia[[#This Row],[temporalidad]]</f>
        <v>Cantidad de defunciones anuales en la Región de Valparaíso, Periodo 2010-2021</v>
      </c>
      <c r="P381" s="112" t="s">
        <v>5685</v>
      </c>
      <c r="Q381" s="11" t="str">
        <f t="shared" si="168"/>
        <v>Dashboard</v>
      </c>
      <c r="R381" s="148" t="str">
        <f>Agencia[[#This Row],[territorio]]&amp;",defunción,población,cantidad,número,demografía,fallecidos,muertos,"&amp;Agencia[[#This Row],[coleccion]]&amp;","&amp;Agencia[[#This Row],[sector]]&amp;","&amp;Agencia[[#This Row],[tema]]&amp;","&amp;Agencia[[#This Row],[contenido]]</f>
        <v>Región de Valparaíso,defunción,población,cantidad,número,demografía,fallecidos,muertos,Agencia Información,Social,Defunciones,Demografía</v>
      </c>
      <c r="S381" s="22" t="s">
        <v>1535</v>
      </c>
      <c r="T381" s="111" t="str">
        <f>"100-C-"&amp;Agencia[[#This Row],[Filtro URL]]</f>
        <v>100-C-5</v>
      </c>
      <c r="U381" s="46" t="str">
        <f t="shared" si="169"/>
        <v>#1774B9</v>
      </c>
      <c r="V381" s="93" t="str">
        <f>+Agencia[[#This Row],[idcoleccion]]&amp;"-"&amp;Agencia[[#This Row],[id]]</f>
        <v>990-0370</v>
      </c>
      <c r="W381" s="93">
        <f>+VLOOKUP(Agencia[[#This Row],[Filtro URL]],Estructura!$X$4:$Y$500,2,0)</f>
        <v>99200005</v>
      </c>
      <c r="X381" s="93" t="str">
        <f>+VLOOKUP(Agencia[[#This Row],[tema]],Estructura!$A$4:$C$500,3,0)</f>
        <v>T-1002</v>
      </c>
      <c r="Y381" s="93" t="str">
        <f>+VLOOKUP(Agencia[[#This Row],[contenido]],Estructura!$E$4:$G$500,3,0)</f>
        <v>C-1002</v>
      </c>
      <c r="Z381" s="93" t="str">
        <f>+VLOOKUP(Agencia[[#This Row],[Filtro Integrado]],Estructura!$I$4:$K$500,3,0)</f>
        <v>FI-991</v>
      </c>
      <c r="AA381" s="93" t="str">
        <f>+VLOOKUP(Agencia[[#This Row],[Muestra]],Estructura!$M$4:$O$500,3,0)</f>
        <v>M-1056</v>
      </c>
    </row>
    <row r="382" spans="1:27" ht="40.799999999999997" x14ac:dyDescent="0.3">
      <c r="A382" s="21" t="s">
        <v>869</v>
      </c>
      <c r="B382" s="23">
        <f t="shared" si="160"/>
        <v>990</v>
      </c>
      <c r="C382" s="24" t="str">
        <f t="shared" si="161"/>
        <v>Agencia Información</v>
      </c>
      <c r="D382" s="72" t="str">
        <f t="shared" si="162"/>
        <v>Social</v>
      </c>
      <c r="E382" s="19">
        <v>6</v>
      </c>
      <c r="F382" s="18" t="s">
        <v>1371</v>
      </c>
      <c r="G382" s="18" t="s">
        <v>1882</v>
      </c>
      <c r="H382" s="33" t="s">
        <v>16</v>
      </c>
      <c r="I382" s="34" t="s">
        <v>373</v>
      </c>
      <c r="J382" s="9" t="str">
        <f t="shared" si="163"/>
        <v>Comuna</v>
      </c>
      <c r="K382" s="9" t="str">
        <f t="shared" si="164"/>
        <v>Defunciones</v>
      </c>
      <c r="L382" s="9" t="str">
        <f t="shared" si="165"/>
        <v>Periodo 2010-2021</v>
      </c>
      <c r="M382" s="9" t="str">
        <f t="shared" si="166"/>
        <v>Número de personas</v>
      </c>
      <c r="N382" s="9" t="str">
        <f t="shared" si="167"/>
        <v>Servicio de Registro Civil de Chile</v>
      </c>
      <c r="O382" s="20" t="str">
        <f>"Cantidad de defunciones anuales en la "&amp;Agencia[[#This Row],[territorio]]&amp;", "&amp;Agencia[[#This Row],[temporalidad]]</f>
        <v>Cantidad de defunciones anuales en la Región de O'Higgins, Periodo 2010-2021</v>
      </c>
      <c r="P382" s="112" t="s">
        <v>5687</v>
      </c>
      <c r="Q382" s="11" t="str">
        <f t="shared" si="168"/>
        <v>Dashboard</v>
      </c>
      <c r="R382" s="148" t="str">
        <f>Agencia[[#This Row],[territorio]]&amp;",defunción,población,cantidad,número,demografía,fallecidos,muertos,"&amp;Agencia[[#This Row],[coleccion]]&amp;","&amp;Agencia[[#This Row],[sector]]&amp;","&amp;Agencia[[#This Row],[tema]]&amp;","&amp;Agencia[[#This Row],[contenido]]</f>
        <v>Región de O'Higgins,defunción,población,cantidad,número,demografía,fallecidos,muertos,Agencia Información,Social,Defunciones,Demografía</v>
      </c>
      <c r="S382" s="22" t="s">
        <v>1536</v>
      </c>
      <c r="T382" s="111" t="str">
        <f>"100-C-"&amp;Agencia[[#This Row],[Filtro URL]]</f>
        <v>100-C-6</v>
      </c>
      <c r="U382" s="46" t="str">
        <f t="shared" si="169"/>
        <v>#1774B9</v>
      </c>
      <c r="V382" s="93" t="str">
        <f>+Agencia[[#This Row],[idcoleccion]]&amp;"-"&amp;Agencia[[#This Row],[id]]</f>
        <v>990-0371</v>
      </c>
      <c r="W382" s="93">
        <f>+VLOOKUP(Agencia[[#This Row],[Filtro URL]],Estructura!$X$4:$Y$500,2,0)</f>
        <v>99200006</v>
      </c>
      <c r="X382" s="93" t="str">
        <f>+VLOOKUP(Agencia[[#This Row],[tema]],Estructura!$A$4:$C$500,3,0)</f>
        <v>T-1002</v>
      </c>
      <c r="Y382" s="93" t="str">
        <f>+VLOOKUP(Agencia[[#This Row],[contenido]],Estructura!$E$4:$G$500,3,0)</f>
        <v>C-1002</v>
      </c>
      <c r="Z382" s="93" t="str">
        <f>+VLOOKUP(Agencia[[#This Row],[Filtro Integrado]],Estructura!$I$4:$K$500,3,0)</f>
        <v>FI-991</v>
      </c>
      <c r="AA382" s="93" t="str">
        <f>+VLOOKUP(Agencia[[#This Row],[Muestra]],Estructura!$M$4:$O$500,3,0)</f>
        <v>M-1056</v>
      </c>
    </row>
    <row r="383" spans="1:27" ht="40.799999999999997" x14ac:dyDescent="0.3">
      <c r="A383" s="21" t="s">
        <v>870</v>
      </c>
      <c r="B383" s="23">
        <f t="shared" si="160"/>
        <v>990</v>
      </c>
      <c r="C383" s="24" t="str">
        <f t="shared" si="161"/>
        <v>Agencia Información</v>
      </c>
      <c r="D383" s="72" t="str">
        <f t="shared" si="162"/>
        <v>Social</v>
      </c>
      <c r="E383" s="19">
        <v>7</v>
      </c>
      <c r="F383" s="18" t="s">
        <v>1371</v>
      </c>
      <c r="G383" s="18" t="s">
        <v>1882</v>
      </c>
      <c r="H383" s="33" t="s">
        <v>16</v>
      </c>
      <c r="I383" s="34" t="s">
        <v>374</v>
      </c>
      <c r="J383" s="9" t="str">
        <f t="shared" si="163"/>
        <v>Comuna</v>
      </c>
      <c r="K383" s="9" t="str">
        <f t="shared" si="164"/>
        <v>Defunciones</v>
      </c>
      <c r="L383" s="9" t="str">
        <f t="shared" si="165"/>
        <v>Periodo 2010-2021</v>
      </c>
      <c r="M383" s="9" t="str">
        <f t="shared" si="166"/>
        <v>Número de personas</v>
      </c>
      <c r="N383" s="9" t="str">
        <f t="shared" si="167"/>
        <v>Servicio de Registro Civil de Chile</v>
      </c>
      <c r="O383" s="20" t="str">
        <f>"Cantidad de defunciones anuales en la "&amp;Agencia[[#This Row],[territorio]]&amp;", "&amp;Agencia[[#This Row],[temporalidad]]</f>
        <v>Cantidad de defunciones anuales en la Región de Maule, Periodo 2010-2021</v>
      </c>
      <c r="P383" s="112" t="s">
        <v>5688</v>
      </c>
      <c r="Q383" s="11" t="str">
        <f t="shared" si="168"/>
        <v>Dashboard</v>
      </c>
      <c r="R383" s="148" t="str">
        <f>Agencia[[#This Row],[territorio]]&amp;",defunción,población,cantidad,número,demografía,fallecidos,muertos,"&amp;Agencia[[#This Row],[coleccion]]&amp;","&amp;Agencia[[#This Row],[sector]]&amp;","&amp;Agencia[[#This Row],[tema]]&amp;","&amp;Agencia[[#This Row],[contenido]]</f>
        <v>Región de Maule,defunción,población,cantidad,número,demografía,fallecidos,muertos,Agencia Información,Social,Defunciones,Demografía</v>
      </c>
      <c r="S383" s="22" t="s">
        <v>1537</v>
      </c>
      <c r="T383" s="111" t="str">
        <f>"100-C-"&amp;Agencia[[#This Row],[Filtro URL]]</f>
        <v>100-C-7</v>
      </c>
      <c r="U383" s="46" t="str">
        <f t="shared" si="169"/>
        <v>#1774B9</v>
      </c>
      <c r="V383" s="93" t="str">
        <f>+Agencia[[#This Row],[idcoleccion]]&amp;"-"&amp;Agencia[[#This Row],[id]]</f>
        <v>990-0372</v>
      </c>
      <c r="W383" s="93">
        <f>+VLOOKUP(Agencia[[#This Row],[Filtro URL]],Estructura!$X$4:$Y$500,2,0)</f>
        <v>99200007</v>
      </c>
      <c r="X383" s="93" t="str">
        <f>+VLOOKUP(Agencia[[#This Row],[tema]],Estructura!$A$4:$C$500,3,0)</f>
        <v>T-1002</v>
      </c>
      <c r="Y383" s="93" t="str">
        <f>+VLOOKUP(Agencia[[#This Row],[contenido]],Estructura!$E$4:$G$500,3,0)</f>
        <v>C-1002</v>
      </c>
      <c r="Z383" s="93" t="str">
        <f>+VLOOKUP(Agencia[[#This Row],[Filtro Integrado]],Estructura!$I$4:$K$500,3,0)</f>
        <v>FI-991</v>
      </c>
      <c r="AA383" s="93" t="str">
        <f>+VLOOKUP(Agencia[[#This Row],[Muestra]],Estructura!$M$4:$O$500,3,0)</f>
        <v>M-1056</v>
      </c>
    </row>
    <row r="384" spans="1:27" ht="40.799999999999997" x14ac:dyDescent="0.3">
      <c r="A384" s="21" t="s">
        <v>871</v>
      </c>
      <c r="B384" s="23">
        <f t="shared" si="160"/>
        <v>990</v>
      </c>
      <c r="C384" s="24" t="str">
        <f t="shared" si="161"/>
        <v>Agencia Información</v>
      </c>
      <c r="D384" s="72" t="str">
        <f t="shared" si="162"/>
        <v>Social</v>
      </c>
      <c r="E384" s="19">
        <v>8</v>
      </c>
      <c r="F384" s="18" t="s">
        <v>1371</v>
      </c>
      <c r="G384" s="18" t="s">
        <v>1882</v>
      </c>
      <c r="H384" s="33" t="s">
        <v>16</v>
      </c>
      <c r="I384" s="34" t="s">
        <v>375</v>
      </c>
      <c r="J384" s="9" t="str">
        <f t="shared" si="163"/>
        <v>Comuna</v>
      </c>
      <c r="K384" s="9" t="str">
        <f t="shared" si="164"/>
        <v>Defunciones</v>
      </c>
      <c r="L384" s="9" t="str">
        <f t="shared" si="165"/>
        <v>Periodo 2010-2021</v>
      </c>
      <c r="M384" s="9" t="str">
        <f t="shared" si="166"/>
        <v>Número de personas</v>
      </c>
      <c r="N384" s="9" t="str">
        <f t="shared" si="167"/>
        <v>Servicio de Registro Civil de Chile</v>
      </c>
      <c r="O384" s="20" t="str">
        <f>"Cantidad de defunciones anuales en la "&amp;Agencia[[#This Row],[territorio]]&amp;", "&amp;Agencia[[#This Row],[temporalidad]]</f>
        <v>Cantidad de defunciones anuales en la Región del Biobío, Periodo 2010-2021</v>
      </c>
      <c r="P384" s="112" t="s">
        <v>5689</v>
      </c>
      <c r="Q384" s="11" t="str">
        <f t="shared" si="168"/>
        <v>Dashboard</v>
      </c>
      <c r="R384" s="148" t="str">
        <f>Agencia[[#This Row],[territorio]]&amp;",defunción,población,cantidad,número,demografía,fallecidos,muertos,"&amp;Agencia[[#This Row],[coleccion]]&amp;","&amp;Agencia[[#This Row],[sector]]&amp;","&amp;Agencia[[#This Row],[tema]]&amp;","&amp;Agencia[[#This Row],[contenido]]</f>
        <v>Región del Biobío,defunción,población,cantidad,número,demografía,fallecidos,muertos,Agencia Información,Social,Defunciones,Demografía</v>
      </c>
      <c r="S384" s="22" t="s">
        <v>1538</v>
      </c>
      <c r="T384" s="111" t="str">
        <f>"100-C-"&amp;Agencia[[#This Row],[Filtro URL]]</f>
        <v>100-C-8</v>
      </c>
      <c r="U384" s="46" t="str">
        <f t="shared" si="169"/>
        <v>#1774B9</v>
      </c>
      <c r="V384" s="93" t="str">
        <f>+Agencia[[#This Row],[idcoleccion]]&amp;"-"&amp;Agencia[[#This Row],[id]]</f>
        <v>990-0373</v>
      </c>
      <c r="W384" s="93">
        <f>+VLOOKUP(Agencia[[#This Row],[Filtro URL]],Estructura!$X$4:$Y$500,2,0)</f>
        <v>99200008</v>
      </c>
      <c r="X384" s="93" t="str">
        <f>+VLOOKUP(Agencia[[#This Row],[tema]],Estructura!$A$4:$C$500,3,0)</f>
        <v>T-1002</v>
      </c>
      <c r="Y384" s="93" t="str">
        <f>+VLOOKUP(Agencia[[#This Row],[contenido]],Estructura!$E$4:$G$500,3,0)</f>
        <v>C-1002</v>
      </c>
      <c r="Z384" s="93" t="str">
        <f>+VLOOKUP(Agencia[[#This Row],[Filtro Integrado]],Estructura!$I$4:$K$500,3,0)</f>
        <v>FI-991</v>
      </c>
      <c r="AA384" s="93" t="str">
        <f>+VLOOKUP(Agencia[[#This Row],[Muestra]],Estructura!$M$4:$O$500,3,0)</f>
        <v>M-1056</v>
      </c>
    </row>
    <row r="385" spans="1:27" ht="40.799999999999997" x14ac:dyDescent="0.3">
      <c r="A385" s="21" t="s">
        <v>872</v>
      </c>
      <c r="B385" s="23">
        <f t="shared" si="160"/>
        <v>990</v>
      </c>
      <c r="C385" s="24" t="str">
        <f t="shared" si="161"/>
        <v>Agencia Información</v>
      </c>
      <c r="D385" s="72" t="str">
        <f t="shared" si="162"/>
        <v>Social</v>
      </c>
      <c r="E385" s="19">
        <v>9</v>
      </c>
      <c r="F385" s="18" t="s">
        <v>1371</v>
      </c>
      <c r="G385" s="18" t="s">
        <v>1882</v>
      </c>
      <c r="H385" s="33" t="s">
        <v>16</v>
      </c>
      <c r="I385" s="34" t="s">
        <v>376</v>
      </c>
      <c r="J385" s="9" t="str">
        <f t="shared" si="163"/>
        <v>Comuna</v>
      </c>
      <c r="K385" s="9" t="str">
        <f t="shared" si="164"/>
        <v>Defunciones</v>
      </c>
      <c r="L385" s="9" t="str">
        <f t="shared" si="165"/>
        <v>Periodo 2010-2021</v>
      </c>
      <c r="M385" s="9" t="str">
        <f t="shared" si="166"/>
        <v>Número de personas</v>
      </c>
      <c r="N385" s="9" t="str">
        <f t="shared" si="167"/>
        <v>Servicio de Registro Civil de Chile</v>
      </c>
      <c r="O385" s="20" t="str">
        <f>"Cantidad de defunciones anuales en la "&amp;Agencia[[#This Row],[territorio]]&amp;", "&amp;Agencia[[#This Row],[temporalidad]]</f>
        <v>Cantidad de defunciones anuales en la Región de La Araucanía, Periodo 2010-2021</v>
      </c>
      <c r="P385" s="112" t="s">
        <v>5690</v>
      </c>
      <c r="Q385" s="11" t="str">
        <f t="shared" si="168"/>
        <v>Dashboard</v>
      </c>
      <c r="R385" s="148" t="str">
        <f>Agencia[[#This Row],[territorio]]&amp;",defunción,población,cantidad,número,demografía,fallecidos,muertos,"&amp;Agencia[[#This Row],[coleccion]]&amp;","&amp;Agencia[[#This Row],[sector]]&amp;","&amp;Agencia[[#This Row],[tema]]&amp;","&amp;Agencia[[#This Row],[contenido]]</f>
        <v>Región de La Araucanía,defunción,población,cantidad,número,demografía,fallecidos,muertos,Agencia Información,Social,Defunciones,Demografía</v>
      </c>
      <c r="S385" s="22" t="s">
        <v>1539</v>
      </c>
      <c r="T385" s="111" t="str">
        <f>"100-C-"&amp;Agencia[[#This Row],[Filtro URL]]</f>
        <v>100-C-9</v>
      </c>
      <c r="U385" s="46" t="str">
        <f t="shared" si="169"/>
        <v>#1774B9</v>
      </c>
      <c r="V385" s="93" t="str">
        <f>+Agencia[[#This Row],[idcoleccion]]&amp;"-"&amp;Agencia[[#This Row],[id]]</f>
        <v>990-0374</v>
      </c>
      <c r="W385" s="93">
        <f>+VLOOKUP(Agencia[[#This Row],[Filtro URL]],Estructura!$X$4:$Y$500,2,0)</f>
        <v>99200009</v>
      </c>
      <c r="X385" s="93" t="str">
        <f>+VLOOKUP(Agencia[[#This Row],[tema]],Estructura!$A$4:$C$500,3,0)</f>
        <v>T-1002</v>
      </c>
      <c r="Y385" s="93" t="str">
        <f>+VLOOKUP(Agencia[[#This Row],[contenido]],Estructura!$E$4:$G$500,3,0)</f>
        <v>C-1002</v>
      </c>
      <c r="Z385" s="93" t="str">
        <f>+VLOOKUP(Agencia[[#This Row],[Filtro Integrado]],Estructura!$I$4:$K$500,3,0)</f>
        <v>FI-991</v>
      </c>
      <c r="AA385" s="93" t="str">
        <f>+VLOOKUP(Agencia[[#This Row],[Muestra]],Estructura!$M$4:$O$500,3,0)</f>
        <v>M-1056</v>
      </c>
    </row>
    <row r="386" spans="1:27" ht="72" x14ac:dyDescent="0.3">
      <c r="A386" s="21" t="s">
        <v>873</v>
      </c>
      <c r="B386" s="23">
        <f t="shared" si="160"/>
        <v>990</v>
      </c>
      <c r="C386" s="24" t="str">
        <f t="shared" si="161"/>
        <v>Agencia Información</v>
      </c>
      <c r="D386" s="72" t="str">
        <f t="shared" si="162"/>
        <v>Social</v>
      </c>
      <c r="E386" s="19">
        <v>10</v>
      </c>
      <c r="F386" s="18" t="s">
        <v>1371</v>
      </c>
      <c r="G386" s="18" t="s">
        <v>1882</v>
      </c>
      <c r="H386" s="33" t="s">
        <v>16</v>
      </c>
      <c r="I386" s="34" t="s">
        <v>377</v>
      </c>
      <c r="J386" s="9" t="str">
        <f t="shared" si="163"/>
        <v>Comuna</v>
      </c>
      <c r="K386" s="9" t="str">
        <f t="shared" si="164"/>
        <v>Defunciones</v>
      </c>
      <c r="L386" s="9" t="str">
        <f t="shared" si="165"/>
        <v>Periodo 2010-2021</v>
      </c>
      <c r="M386" s="9" t="str">
        <f t="shared" si="166"/>
        <v>Número de personas</v>
      </c>
      <c r="N386" s="9" t="str">
        <f t="shared" si="167"/>
        <v>Servicio de Registro Civil de Chile</v>
      </c>
      <c r="O386" s="20" t="str">
        <f>"Cantidad de defunciones anuales en la "&amp;Agencia[[#This Row],[territorio]]&amp;", "&amp;Agencia[[#This Row],[temporalidad]]</f>
        <v>Cantidad de defunciones anuales en la Región de Los Lagos, Periodo 2010-2021</v>
      </c>
      <c r="P386" s="112" t="s">
        <v>5661</v>
      </c>
      <c r="Q386" s="11" t="str">
        <f t="shared" si="168"/>
        <v>Dashboard</v>
      </c>
      <c r="R386" s="148" t="str">
        <f>Agencia[[#This Row],[territorio]]&amp;",defunción,población,cantidad,número,demografía,fallecidos,muertos,"&amp;Agencia[[#This Row],[coleccion]]&amp;","&amp;Agencia[[#This Row],[sector]]&amp;","&amp;Agencia[[#This Row],[tema]]&amp;","&amp;Agencia[[#This Row],[contenido]]</f>
        <v>Región de Los Lagos,defunción,población,cantidad,número,demografía,fallecidos,muertos,Agencia Información,Social,Defunciones,Demografía</v>
      </c>
      <c r="S386" s="37" t="s">
        <v>1540</v>
      </c>
      <c r="T386" s="111" t="str">
        <f>"100-C-"&amp;Agencia[[#This Row],[Filtro URL]]</f>
        <v>100-C-10</v>
      </c>
      <c r="U386" s="46" t="str">
        <f t="shared" si="169"/>
        <v>#1774B9</v>
      </c>
      <c r="V386" s="93" t="str">
        <f>+Agencia[[#This Row],[idcoleccion]]&amp;"-"&amp;Agencia[[#This Row],[id]]</f>
        <v>990-0375</v>
      </c>
      <c r="W386" s="93">
        <f>+VLOOKUP(Agencia[[#This Row],[Filtro URL]],Estructura!$X$4:$Y$500,2,0)</f>
        <v>99200010</v>
      </c>
      <c r="X386" s="93" t="str">
        <f>+VLOOKUP(Agencia[[#This Row],[tema]],Estructura!$A$4:$C$500,3,0)</f>
        <v>T-1002</v>
      </c>
      <c r="Y386" s="93" t="str">
        <f>+VLOOKUP(Agencia[[#This Row],[contenido]],Estructura!$E$4:$G$500,3,0)</f>
        <v>C-1002</v>
      </c>
      <c r="Z386" s="93" t="str">
        <f>+VLOOKUP(Agencia[[#This Row],[Filtro Integrado]],Estructura!$I$4:$K$500,3,0)</f>
        <v>FI-991</v>
      </c>
      <c r="AA386" s="93" t="str">
        <f>+VLOOKUP(Agencia[[#This Row],[Muestra]],Estructura!$M$4:$O$500,3,0)</f>
        <v>M-1056</v>
      </c>
    </row>
    <row r="387" spans="1:27" ht="72" x14ac:dyDescent="0.3">
      <c r="A387" s="21" t="s">
        <v>874</v>
      </c>
      <c r="B387" s="23">
        <f t="shared" si="160"/>
        <v>990</v>
      </c>
      <c r="C387" s="24" t="str">
        <f t="shared" si="161"/>
        <v>Agencia Información</v>
      </c>
      <c r="D387" s="72" t="str">
        <f t="shared" si="162"/>
        <v>Social</v>
      </c>
      <c r="E387" s="19">
        <v>11</v>
      </c>
      <c r="F387" s="18" t="s">
        <v>1371</v>
      </c>
      <c r="G387" s="18" t="s">
        <v>1882</v>
      </c>
      <c r="H387" s="33" t="s">
        <v>16</v>
      </c>
      <c r="I387" s="34" t="s">
        <v>378</v>
      </c>
      <c r="J387" s="9" t="str">
        <f t="shared" si="163"/>
        <v>Comuna</v>
      </c>
      <c r="K387" s="9" t="str">
        <f t="shared" si="164"/>
        <v>Defunciones</v>
      </c>
      <c r="L387" s="9" t="str">
        <f t="shared" si="165"/>
        <v>Periodo 2010-2021</v>
      </c>
      <c r="M387" s="9" t="str">
        <f t="shared" si="166"/>
        <v>Número de personas</v>
      </c>
      <c r="N387" s="9" t="str">
        <f t="shared" si="167"/>
        <v>Servicio de Registro Civil de Chile</v>
      </c>
      <c r="O387" s="20" t="str">
        <f>"Cantidad de defunciones anuales en la "&amp;Agencia[[#This Row],[territorio]]&amp;", "&amp;Agencia[[#This Row],[temporalidad]]</f>
        <v>Cantidad de defunciones anuales en la Región de Aysén, Periodo 2010-2021</v>
      </c>
      <c r="P387" s="112" t="s">
        <v>5691</v>
      </c>
      <c r="Q387" s="11" t="str">
        <f t="shared" si="168"/>
        <v>Dashboard</v>
      </c>
      <c r="R387" s="148" t="str">
        <f>Agencia[[#This Row],[territorio]]&amp;",defunción,población,cantidad,número,demografía,fallecidos,muertos,"&amp;Agencia[[#This Row],[coleccion]]&amp;","&amp;Agencia[[#This Row],[sector]]&amp;","&amp;Agencia[[#This Row],[tema]]&amp;","&amp;Agencia[[#This Row],[contenido]]</f>
        <v>Región de Aysén,defunción,población,cantidad,número,demografía,fallecidos,muertos,Agencia Información,Social,Defunciones,Demografía</v>
      </c>
      <c r="S387" s="83" t="s">
        <v>1541</v>
      </c>
      <c r="T387" s="111" t="str">
        <f>"100-C-"&amp;Agencia[[#This Row],[Filtro URL]]</f>
        <v>100-C-11</v>
      </c>
      <c r="U387" s="46" t="str">
        <f t="shared" si="169"/>
        <v>#1774B9</v>
      </c>
      <c r="V387" s="93" t="str">
        <f>+Agencia[[#This Row],[idcoleccion]]&amp;"-"&amp;Agencia[[#This Row],[id]]</f>
        <v>990-0376</v>
      </c>
      <c r="W387" s="93">
        <f>+VLOOKUP(Agencia[[#This Row],[Filtro URL]],Estructura!$X$4:$Y$500,2,0)</f>
        <v>99200011</v>
      </c>
      <c r="X387" s="93" t="str">
        <f>+VLOOKUP(Agencia[[#This Row],[tema]],Estructura!$A$4:$C$500,3,0)</f>
        <v>T-1002</v>
      </c>
      <c r="Y387" s="93" t="str">
        <f>+VLOOKUP(Agencia[[#This Row],[contenido]],Estructura!$E$4:$G$500,3,0)</f>
        <v>C-1002</v>
      </c>
      <c r="Z387" s="93" t="str">
        <f>+VLOOKUP(Agencia[[#This Row],[Filtro Integrado]],Estructura!$I$4:$K$500,3,0)</f>
        <v>FI-991</v>
      </c>
      <c r="AA387" s="93" t="str">
        <f>+VLOOKUP(Agencia[[#This Row],[Muestra]],Estructura!$M$4:$O$500,3,0)</f>
        <v>M-1056</v>
      </c>
    </row>
    <row r="388" spans="1:27" ht="51" x14ac:dyDescent="0.3">
      <c r="A388" s="21" t="s">
        <v>875</v>
      </c>
      <c r="B388" s="23">
        <f t="shared" si="160"/>
        <v>990</v>
      </c>
      <c r="C388" s="24" t="str">
        <f t="shared" si="161"/>
        <v>Agencia Información</v>
      </c>
      <c r="D388" s="72" t="str">
        <f t="shared" si="162"/>
        <v>Social</v>
      </c>
      <c r="E388" s="19">
        <v>12</v>
      </c>
      <c r="F388" s="18" t="s">
        <v>1371</v>
      </c>
      <c r="G388" s="18" t="s">
        <v>1882</v>
      </c>
      <c r="H388" s="33" t="s">
        <v>16</v>
      </c>
      <c r="I388" s="34" t="s">
        <v>379</v>
      </c>
      <c r="J388" s="9" t="str">
        <f t="shared" si="163"/>
        <v>Comuna</v>
      </c>
      <c r="K388" s="9" t="str">
        <f t="shared" si="164"/>
        <v>Defunciones</v>
      </c>
      <c r="L388" s="9" t="str">
        <f t="shared" si="165"/>
        <v>Periodo 2010-2021</v>
      </c>
      <c r="M388" s="9" t="str">
        <f t="shared" si="166"/>
        <v>Número de personas</v>
      </c>
      <c r="N388" s="9" t="str">
        <f t="shared" si="167"/>
        <v>Servicio de Registro Civil de Chile</v>
      </c>
      <c r="O388" s="20" t="str">
        <f>"Cantidad de defunciones anuales en la "&amp;Agencia[[#This Row],[territorio]]&amp;", "&amp;Agencia[[#This Row],[temporalidad]]</f>
        <v>Cantidad de defunciones anuales en la Región de Magallanes, Periodo 2010-2021</v>
      </c>
      <c r="P388" s="112" t="s">
        <v>5692</v>
      </c>
      <c r="Q388" s="11" t="str">
        <f t="shared" si="168"/>
        <v>Dashboard</v>
      </c>
      <c r="R388" s="148" t="str">
        <f>Agencia[[#This Row],[territorio]]&amp;",defunción,población,cantidad,número,demografía,fallecidos,muertos,"&amp;Agencia[[#This Row],[coleccion]]&amp;","&amp;Agencia[[#This Row],[sector]]&amp;","&amp;Agencia[[#This Row],[tema]]&amp;","&amp;Agencia[[#This Row],[contenido]]</f>
        <v>Región de Magallanes,defunción,población,cantidad,número,demografía,fallecidos,muertos,Agencia Información,Social,Defunciones,Demografía</v>
      </c>
      <c r="S388" s="22" t="s">
        <v>1542</v>
      </c>
      <c r="T388" s="111" t="str">
        <f>"100-C-"&amp;Agencia[[#This Row],[Filtro URL]]</f>
        <v>100-C-12</v>
      </c>
      <c r="U388" s="46" t="str">
        <f t="shared" si="169"/>
        <v>#1774B9</v>
      </c>
      <c r="V388" s="93" t="str">
        <f>+Agencia[[#This Row],[idcoleccion]]&amp;"-"&amp;Agencia[[#This Row],[id]]</f>
        <v>990-0377</v>
      </c>
      <c r="W388" s="93">
        <f>+VLOOKUP(Agencia[[#This Row],[Filtro URL]],Estructura!$X$4:$Y$500,2,0)</f>
        <v>99200012</v>
      </c>
      <c r="X388" s="93" t="str">
        <f>+VLOOKUP(Agencia[[#This Row],[tema]],Estructura!$A$4:$C$500,3,0)</f>
        <v>T-1002</v>
      </c>
      <c r="Y388" s="93" t="str">
        <f>+VLOOKUP(Agencia[[#This Row],[contenido]],Estructura!$E$4:$G$500,3,0)</f>
        <v>C-1002</v>
      </c>
      <c r="Z388" s="93" t="str">
        <f>+VLOOKUP(Agencia[[#This Row],[Filtro Integrado]],Estructura!$I$4:$K$500,3,0)</f>
        <v>FI-991</v>
      </c>
      <c r="AA388" s="93" t="str">
        <f>+VLOOKUP(Agencia[[#This Row],[Muestra]],Estructura!$M$4:$O$500,3,0)</f>
        <v>M-1056</v>
      </c>
    </row>
    <row r="389" spans="1:27" ht="40.799999999999997" x14ac:dyDescent="0.3">
      <c r="A389" s="21" t="s">
        <v>876</v>
      </c>
      <c r="B389" s="23">
        <f t="shared" si="160"/>
        <v>990</v>
      </c>
      <c r="C389" s="24" t="str">
        <f t="shared" si="161"/>
        <v>Agencia Información</v>
      </c>
      <c r="D389" s="72" t="str">
        <f t="shared" si="162"/>
        <v>Social</v>
      </c>
      <c r="E389" s="19">
        <v>13</v>
      </c>
      <c r="F389" s="18" t="s">
        <v>1371</v>
      </c>
      <c r="G389" s="18" t="s">
        <v>1882</v>
      </c>
      <c r="H389" s="33" t="s">
        <v>16</v>
      </c>
      <c r="I389" s="34" t="s">
        <v>380</v>
      </c>
      <c r="J389" s="9" t="str">
        <f t="shared" si="163"/>
        <v>Comuna</v>
      </c>
      <c r="K389" s="9" t="str">
        <f t="shared" si="164"/>
        <v>Defunciones</v>
      </c>
      <c r="L389" s="9" t="str">
        <f t="shared" si="165"/>
        <v>Periodo 2010-2021</v>
      </c>
      <c r="M389" s="9" t="str">
        <f t="shared" si="166"/>
        <v>Número de personas</v>
      </c>
      <c r="N389" s="9" t="str">
        <f t="shared" si="167"/>
        <v>Servicio de Registro Civil de Chile</v>
      </c>
      <c r="O389" s="20" t="str">
        <f>"Cantidad de defunciones anuales en la "&amp;Agencia[[#This Row],[territorio]]&amp;", "&amp;Agencia[[#This Row],[temporalidad]]</f>
        <v>Cantidad de defunciones anuales en la Región Metropolitana, Periodo 2010-2021</v>
      </c>
      <c r="P389" s="112" t="s">
        <v>5693</v>
      </c>
      <c r="Q389" s="11" t="str">
        <f t="shared" si="168"/>
        <v>Dashboard</v>
      </c>
      <c r="R389" s="148" t="str">
        <f>Agencia[[#This Row],[territorio]]&amp;",defunción,población,cantidad,número,demografía,fallecidos,muertos,"&amp;Agencia[[#This Row],[coleccion]]&amp;","&amp;Agencia[[#This Row],[sector]]&amp;","&amp;Agencia[[#This Row],[tema]]&amp;","&amp;Agencia[[#This Row],[contenido]]</f>
        <v>Región Metropolitana,defunción,población,cantidad,número,demografía,fallecidos,muertos,Agencia Información,Social,Defunciones,Demografía</v>
      </c>
      <c r="S389" s="22" t="s">
        <v>1543</v>
      </c>
      <c r="T389" s="111" t="str">
        <f>"200-C-"&amp;Agencia[[#This Row],[Filtro URL]]</f>
        <v>200-C-13</v>
      </c>
      <c r="U389" s="46" t="str">
        <f t="shared" si="169"/>
        <v>#1774B9</v>
      </c>
      <c r="V389" s="93" t="str">
        <f>+Agencia[[#This Row],[idcoleccion]]&amp;"-"&amp;Agencia[[#This Row],[id]]</f>
        <v>990-0378</v>
      </c>
      <c r="W389" s="93">
        <f>+VLOOKUP(Agencia[[#This Row],[Filtro URL]],Estructura!$X$4:$Y$500,2,0)</f>
        <v>99200013</v>
      </c>
      <c r="X389" s="93" t="str">
        <f>+VLOOKUP(Agencia[[#This Row],[tema]],Estructura!$A$4:$C$500,3,0)</f>
        <v>T-1002</v>
      </c>
      <c r="Y389" s="93" t="str">
        <f>+VLOOKUP(Agencia[[#This Row],[contenido]],Estructura!$E$4:$G$500,3,0)</f>
        <v>C-1002</v>
      </c>
      <c r="Z389" s="93" t="str">
        <f>+VLOOKUP(Agencia[[#This Row],[Filtro Integrado]],Estructura!$I$4:$K$500,3,0)</f>
        <v>FI-991</v>
      </c>
      <c r="AA389" s="93" t="str">
        <f>+VLOOKUP(Agencia[[#This Row],[Muestra]],Estructura!$M$4:$O$500,3,0)</f>
        <v>M-1056</v>
      </c>
    </row>
    <row r="390" spans="1:27" ht="40.799999999999997" x14ac:dyDescent="0.3">
      <c r="A390" s="21" t="s">
        <v>877</v>
      </c>
      <c r="B390" s="23">
        <f t="shared" si="160"/>
        <v>990</v>
      </c>
      <c r="C390" s="24" t="str">
        <f t="shared" si="161"/>
        <v>Agencia Información</v>
      </c>
      <c r="D390" s="72" t="str">
        <f t="shared" si="162"/>
        <v>Social</v>
      </c>
      <c r="E390" s="19">
        <v>14</v>
      </c>
      <c r="F390" s="18" t="s">
        <v>1371</v>
      </c>
      <c r="G390" s="18" t="s">
        <v>1882</v>
      </c>
      <c r="H390" s="33" t="s">
        <v>16</v>
      </c>
      <c r="I390" s="34" t="s">
        <v>381</v>
      </c>
      <c r="J390" s="9" t="str">
        <f t="shared" si="163"/>
        <v>Comuna</v>
      </c>
      <c r="K390" s="9" t="str">
        <f t="shared" si="164"/>
        <v>Defunciones</v>
      </c>
      <c r="L390" s="9" t="str">
        <f t="shared" si="165"/>
        <v>Periodo 2010-2021</v>
      </c>
      <c r="M390" s="9" t="str">
        <f t="shared" si="166"/>
        <v>Número de personas</v>
      </c>
      <c r="N390" s="9" t="str">
        <f t="shared" si="167"/>
        <v>Servicio de Registro Civil de Chile</v>
      </c>
      <c r="O390" s="20" t="str">
        <f>"Cantidad de defunciones anuales en la "&amp;Agencia[[#This Row],[territorio]]&amp;", "&amp;Agencia[[#This Row],[temporalidad]]</f>
        <v>Cantidad de defunciones anuales en la Región de Los Ríos, Periodo 2010-2021</v>
      </c>
      <c r="P390" s="112" t="s">
        <v>5662</v>
      </c>
      <c r="Q390" s="11" t="str">
        <f t="shared" si="168"/>
        <v>Dashboard</v>
      </c>
      <c r="R390" s="148" t="str">
        <f>Agencia[[#This Row],[territorio]]&amp;",defunción,población,cantidad,número,demografía,fallecidos,muertos,"&amp;Agencia[[#This Row],[coleccion]]&amp;","&amp;Agencia[[#This Row],[sector]]&amp;","&amp;Agencia[[#This Row],[tema]]&amp;","&amp;Agencia[[#This Row],[contenido]]</f>
        <v>Región de Los Ríos,defunción,población,cantidad,número,demografía,fallecidos,muertos,Agencia Información,Social,Defunciones,Demografía</v>
      </c>
      <c r="S390" s="22" t="s">
        <v>1544</v>
      </c>
      <c r="T390" s="111" t="str">
        <f>"100-C-"&amp;Agencia[[#This Row],[Filtro URL]]</f>
        <v>100-C-14</v>
      </c>
      <c r="U390" s="46" t="str">
        <f t="shared" si="169"/>
        <v>#1774B9</v>
      </c>
      <c r="V390" s="93" t="str">
        <f>+Agencia[[#This Row],[idcoleccion]]&amp;"-"&amp;Agencia[[#This Row],[id]]</f>
        <v>990-0379</v>
      </c>
      <c r="W390" s="93">
        <f>+VLOOKUP(Agencia[[#This Row],[Filtro URL]],Estructura!$X$4:$Y$500,2,0)</f>
        <v>99200014</v>
      </c>
      <c r="X390" s="93" t="str">
        <f>+VLOOKUP(Agencia[[#This Row],[tema]],Estructura!$A$4:$C$500,3,0)</f>
        <v>T-1002</v>
      </c>
      <c r="Y390" s="93" t="str">
        <f>+VLOOKUP(Agencia[[#This Row],[contenido]],Estructura!$E$4:$G$500,3,0)</f>
        <v>C-1002</v>
      </c>
      <c r="Z390" s="93" t="str">
        <f>+VLOOKUP(Agencia[[#This Row],[Filtro Integrado]],Estructura!$I$4:$K$500,3,0)</f>
        <v>FI-991</v>
      </c>
      <c r="AA390" s="93" t="str">
        <f>+VLOOKUP(Agencia[[#This Row],[Muestra]],Estructura!$M$4:$O$500,3,0)</f>
        <v>M-1056</v>
      </c>
    </row>
    <row r="391" spans="1:27" ht="72" x14ac:dyDescent="0.3">
      <c r="A391" s="21" t="s">
        <v>878</v>
      </c>
      <c r="B391" s="23">
        <f t="shared" si="160"/>
        <v>990</v>
      </c>
      <c r="C391" s="24" t="str">
        <f t="shared" si="161"/>
        <v>Agencia Información</v>
      </c>
      <c r="D391" s="72" t="str">
        <f t="shared" si="162"/>
        <v>Social</v>
      </c>
      <c r="E391" s="19">
        <v>15</v>
      </c>
      <c r="F391" s="18" t="s">
        <v>1371</v>
      </c>
      <c r="G391" s="18" t="s">
        <v>1882</v>
      </c>
      <c r="H391" s="33" t="s">
        <v>16</v>
      </c>
      <c r="I391" s="34" t="s">
        <v>382</v>
      </c>
      <c r="J391" s="9" t="str">
        <f t="shared" si="163"/>
        <v>Comuna</v>
      </c>
      <c r="K391" s="9" t="str">
        <f t="shared" si="164"/>
        <v>Defunciones</v>
      </c>
      <c r="L391" s="9" t="str">
        <f t="shared" si="165"/>
        <v>Periodo 2010-2021</v>
      </c>
      <c r="M391" s="9" t="str">
        <f t="shared" si="166"/>
        <v>Número de personas</v>
      </c>
      <c r="N391" s="9" t="str">
        <f t="shared" si="167"/>
        <v>Servicio de Registro Civil de Chile</v>
      </c>
      <c r="O391" s="20" t="str">
        <f>"Cantidad de defunciones anuales en la "&amp;Agencia[[#This Row],[territorio]]&amp;", "&amp;Agencia[[#This Row],[temporalidad]]</f>
        <v>Cantidad de defunciones anuales en la Región de Arica y Parinacota, Periodo 2010-2021</v>
      </c>
      <c r="P391" s="112" t="s">
        <v>5663</v>
      </c>
      <c r="Q391" s="11" t="str">
        <f t="shared" si="168"/>
        <v>Dashboard</v>
      </c>
      <c r="R391" s="148" t="str">
        <f>Agencia[[#This Row],[territorio]]&amp;",defunción,población,cantidad,número,demografía,fallecidos,muertos,"&amp;Agencia[[#This Row],[coleccion]]&amp;","&amp;Agencia[[#This Row],[sector]]&amp;","&amp;Agencia[[#This Row],[tema]]&amp;","&amp;Agencia[[#This Row],[contenido]]</f>
        <v>Región de Arica y Parinacota,defunción,población,cantidad,número,demografía,fallecidos,muertos,Agencia Información,Social,Defunciones,Demografía</v>
      </c>
      <c r="S391" s="37" t="s">
        <v>1545</v>
      </c>
      <c r="T391" s="111" t="str">
        <f>"100-C-"&amp;Agencia[[#This Row],[Filtro URL]]</f>
        <v>100-C-15</v>
      </c>
      <c r="U391" s="46" t="str">
        <f t="shared" si="169"/>
        <v>#1774B9</v>
      </c>
      <c r="V391" s="93" t="str">
        <f>+Agencia[[#This Row],[idcoleccion]]&amp;"-"&amp;Agencia[[#This Row],[id]]</f>
        <v>990-0380</v>
      </c>
      <c r="W391" s="93">
        <f>+VLOOKUP(Agencia[[#This Row],[Filtro URL]],Estructura!$X$4:$Y$500,2,0)</f>
        <v>99200015</v>
      </c>
      <c r="X391" s="93" t="str">
        <f>+VLOOKUP(Agencia[[#This Row],[tema]],Estructura!$A$4:$C$500,3,0)</f>
        <v>T-1002</v>
      </c>
      <c r="Y391" s="93" t="str">
        <f>+VLOOKUP(Agencia[[#This Row],[contenido]],Estructura!$E$4:$G$500,3,0)</f>
        <v>C-1002</v>
      </c>
      <c r="Z391" s="93" t="str">
        <f>+VLOOKUP(Agencia[[#This Row],[Filtro Integrado]],Estructura!$I$4:$K$500,3,0)</f>
        <v>FI-991</v>
      </c>
      <c r="AA391" s="93" t="str">
        <f>+VLOOKUP(Agencia[[#This Row],[Muestra]],Estructura!$M$4:$O$500,3,0)</f>
        <v>M-1056</v>
      </c>
    </row>
    <row r="392" spans="1:27" ht="72" x14ac:dyDescent="0.3">
      <c r="A392" s="21" t="s">
        <v>879</v>
      </c>
      <c r="B392" s="23">
        <f t="shared" si="160"/>
        <v>990</v>
      </c>
      <c r="C392" s="24" t="str">
        <f t="shared" si="161"/>
        <v>Agencia Información</v>
      </c>
      <c r="D392" s="72" t="str">
        <f t="shared" si="162"/>
        <v>Social</v>
      </c>
      <c r="E392" s="19">
        <v>16</v>
      </c>
      <c r="F392" s="18" t="s">
        <v>1371</v>
      </c>
      <c r="G392" s="18" t="s">
        <v>1882</v>
      </c>
      <c r="H392" s="33" t="s">
        <v>16</v>
      </c>
      <c r="I392" s="34" t="s">
        <v>383</v>
      </c>
      <c r="J392" s="9" t="str">
        <f t="shared" si="163"/>
        <v>Comuna</v>
      </c>
      <c r="K392" s="9" t="str">
        <f t="shared" si="164"/>
        <v>Defunciones</v>
      </c>
      <c r="L392" s="9" t="str">
        <f t="shared" si="165"/>
        <v>Periodo 2010-2021</v>
      </c>
      <c r="M392" s="9" t="str">
        <f t="shared" si="166"/>
        <v>Número de personas</v>
      </c>
      <c r="N392" s="9" t="str">
        <f t="shared" si="167"/>
        <v>Servicio de Registro Civil de Chile</v>
      </c>
      <c r="O392" s="20" t="str">
        <f>"Cantidad de defunciones anuales en la "&amp;Agencia[[#This Row],[territorio]]&amp;", "&amp;Agencia[[#This Row],[temporalidad]]</f>
        <v>Cantidad de defunciones anuales en la Región de Ñuble, Periodo 2010-2021</v>
      </c>
      <c r="P392" s="112" t="s">
        <v>5664</v>
      </c>
      <c r="Q392" s="11" t="str">
        <f t="shared" si="168"/>
        <v>Dashboard</v>
      </c>
      <c r="R392" s="148" t="str">
        <f>Agencia[[#This Row],[territorio]]&amp;",defunción,población,cantidad,número,demografía,fallecidos,muertos,"&amp;Agencia[[#This Row],[coleccion]]&amp;","&amp;Agencia[[#This Row],[sector]]&amp;","&amp;Agencia[[#This Row],[tema]]&amp;","&amp;Agencia[[#This Row],[contenido]]</f>
        <v>Región de Ñuble,defunción,población,cantidad,número,demografía,fallecidos,muertos,Agencia Información,Social,Defunciones,Demografía</v>
      </c>
      <c r="S392" s="37" t="s">
        <v>1546</v>
      </c>
      <c r="T392" s="111" t="str">
        <f>"100-C-"&amp;Agencia[[#This Row],[Filtro URL]]</f>
        <v>100-C-16</v>
      </c>
      <c r="U392" s="46" t="str">
        <f t="shared" si="169"/>
        <v>#1774B9</v>
      </c>
      <c r="V392" s="93" t="str">
        <f>+Agencia[[#This Row],[idcoleccion]]&amp;"-"&amp;Agencia[[#This Row],[id]]</f>
        <v>990-0381</v>
      </c>
      <c r="W392" s="93">
        <f>+VLOOKUP(Agencia[[#This Row],[Filtro URL]],Estructura!$X$4:$Y$500,2,0)</f>
        <v>99200016</v>
      </c>
      <c r="X392" s="93" t="str">
        <f>+VLOOKUP(Agencia[[#This Row],[tema]],Estructura!$A$4:$C$500,3,0)</f>
        <v>T-1002</v>
      </c>
      <c r="Y392" s="93" t="str">
        <f>+VLOOKUP(Agencia[[#This Row],[contenido]],Estructura!$E$4:$G$500,3,0)</f>
        <v>C-1002</v>
      </c>
      <c r="Z392" s="93" t="str">
        <f>+VLOOKUP(Agencia[[#This Row],[Filtro Integrado]],Estructura!$I$4:$K$500,3,0)</f>
        <v>FI-991</v>
      </c>
      <c r="AA392" s="93" t="str">
        <f>+VLOOKUP(Agencia[[#This Row],[Muestra]],Estructura!$M$4:$O$500,3,0)</f>
        <v>M-1056</v>
      </c>
    </row>
    <row r="393" spans="1:27" ht="51" x14ac:dyDescent="0.3">
      <c r="A393" s="21" t="s">
        <v>880</v>
      </c>
      <c r="B393" s="23">
        <f t="shared" si="160"/>
        <v>990</v>
      </c>
      <c r="C393" s="24" t="str">
        <f t="shared" si="161"/>
        <v>Agencia Información</v>
      </c>
      <c r="D393" s="72" t="s">
        <v>785</v>
      </c>
      <c r="E393" s="14">
        <v>0</v>
      </c>
      <c r="F393" s="18" t="s">
        <v>1374</v>
      </c>
      <c r="G393" s="18" t="s">
        <v>1882</v>
      </c>
      <c r="H393" s="31" t="s">
        <v>20</v>
      </c>
      <c r="I393" s="32" t="s">
        <v>15</v>
      </c>
      <c r="J393" s="9" t="s">
        <v>18</v>
      </c>
      <c r="K393" s="9" t="s">
        <v>1374</v>
      </c>
      <c r="L393" s="9" t="s">
        <v>1373</v>
      </c>
      <c r="M393" s="9" t="s">
        <v>1368</v>
      </c>
      <c r="N393" s="9" t="s">
        <v>5175</v>
      </c>
      <c r="O393" s="20" t="str">
        <f>"Cantidad de nacimientos anuales por región en "&amp;Agencia[[#This Row],[territorio]]&amp;", "&amp;Agencia[[#This Row],[temporalidad]]</f>
        <v>Cantidad de nacimientos anuales por región en Chile, Periodo 2010-2021</v>
      </c>
      <c r="P393" s="112" t="s">
        <v>5665</v>
      </c>
      <c r="Q393" s="11" t="s">
        <v>590</v>
      </c>
      <c r="R393" s="20" t="str">
        <f>Agencia[[#This Row],[territorio]]&amp;",nacimiento,población,cantidad,número,demografía,nacidos,"&amp;Agencia[[#This Row],[coleccion]]&amp;","&amp;Agencia[[#This Row],[sector]]&amp;","&amp;Agencia[[#This Row],[tema]]&amp;","&amp;Agencia[[#This Row],[contenido]]</f>
        <v>Chile,nacimiento,población,cantidad,número,demografía,nacidos,Agencia Información,Social,Nacimientos,Demografía</v>
      </c>
      <c r="S393" s="22" t="s">
        <v>5133</v>
      </c>
      <c r="T393" s="108" t="s">
        <v>957</v>
      </c>
      <c r="U393" s="46" t="str">
        <f t="shared" si="169"/>
        <v>#1774B9</v>
      </c>
      <c r="V393" s="93" t="str">
        <f>+Agencia[[#This Row],[idcoleccion]]&amp;"-"&amp;Agencia[[#This Row],[id]]</f>
        <v>990-0382</v>
      </c>
      <c r="W393" s="93">
        <f>+VLOOKUP(Agencia[[#This Row],[Filtro URL]],Estructura!$X$4:$Y$500,2,0)</f>
        <v>99100000</v>
      </c>
      <c r="X393" s="93" t="str">
        <f>+VLOOKUP(Agencia[[#This Row],[tema]],Estructura!$A$4:$C$500,3,0)</f>
        <v>T-1003</v>
      </c>
      <c r="Y393" s="93" t="str">
        <f>+VLOOKUP(Agencia[[#This Row],[contenido]],Estructura!$E$4:$G$500,3,0)</f>
        <v>C-1002</v>
      </c>
      <c r="Z393" s="93" t="str">
        <f>+VLOOKUP(Agencia[[#This Row],[Filtro Integrado]],Estructura!$I$4:$K$500,3,0)</f>
        <v>FI-991</v>
      </c>
      <c r="AA393" s="93" t="str">
        <f>+VLOOKUP(Agencia[[#This Row],[Muestra]],Estructura!$M$4:$O$500,3,0)</f>
        <v>M-1057</v>
      </c>
    </row>
    <row r="394" spans="1:27" ht="40.799999999999997" x14ac:dyDescent="0.3">
      <c r="A394" s="21" t="s">
        <v>881</v>
      </c>
      <c r="B394" s="23">
        <f t="shared" si="160"/>
        <v>990</v>
      </c>
      <c r="C394" s="24" t="str">
        <f t="shared" si="161"/>
        <v>Agencia Información</v>
      </c>
      <c r="D394" s="72" t="str">
        <f t="shared" ref="D394:D409" si="170">+D393</f>
        <v>Social</v>
      </c>
      <c r="E394" s="19">
        <v>1</v>
      </c>
      <c r="F394" s="18" t="s">
        <v>1374</v>
      </c>
      <c r="G394" s="18" t="s">
        <v>1882</v>
      </c>
      <c r="H394" s="33" t="s">
        <v>16</v>
      </c>
      <c r="I394" s="34" t="s">
        <v>368</v>
      </c>
      <c r="J394" s="9" t="str">
        <f t="shared" ref="J394:J409" si="171">+J393</f>
        <v>Comuna</v>
      </c>
      <c r="K394" s="9" t="str">
        <f t="shared" ref="K394:K409" si="172">+K393</f>
        <v>Nacimientos</v>
      </c>
      <c r="L394" s="9" t="str">
        <f t="shared" ref="L394:L409" si="173">+L393</f>
        <v>Periodo 2010-2021</v>
      </c>
      <c r="M394" s="9" t="str">
        <f t="shared" ref="M394:M409" si="174">+M393</f>
        <v>Número de personas</v>
      </c>
      <c r="N394" s="9" t="str">
        <f t="shared" ref="N394:N409" si="175">+N393</f>
        <v>Servicio de Registro Civil de Chile</v>
      </c>
      <c r="O394" s="20" t="str">
        <f>"Cantidad de nacimientos anuales en la "&amp;Agencia[[#This Row],[territorio]]&amp;", "&amp;Agencia[[#This Row],[temporalidad]]</f>
        <v>Cantidad de nacimientos anuales en la Región de Tarapacá, Periodo 2010-2021</v>
      </c>
      <c r="P394" s="112" t="s">
        <v>5666</v>
      </c>
      <c r="Q394" s="11" t="str">
        <f t="shared" si="168"/>
        <v>Dashboard</v>
      </c>
      <c r="R394" s="148" t="str">
        <f>Agencia[[#This Row],[territorio]]&amp;",nacimiento,población,cantidad,número,demografía,nacidos,"&amp;Agencia[[#This Row],[coleccion]]&amp;","&amp;Agencia[[#This Row],[sector]]&amp;","&amp;Agencia[[#This Row],[tema]]&amp;","&amp;Agencia[[#This Row],[contenido]]</f>
        <v>Región de Tarapacá,nacimiento,población,cantidad,número,demografía,nacidos,Agencia Información,Social,Nacimientos,Demografía</v>
      </c>
      <c r="S394" s="22" t="s">
        <v>5134</v>
      </c>
      <c r="T394" s="111" t="str">
        <f>"100-C-"&amp;Agencia[[#This Row],[Filtro URL]]</f>
        <v>100-C-1</v>
      </c>
      <c r="U394" s="46" t="str">
        <f t="shared" si="169"/>
        <v>#1774B9</v>
      </c>
      <c r="V394" s="93" t="str">
        <f>+Agencia[[#This Row],[idcoleccion]]&amp;"-"&amp;Agencia[[#This Row],[id]]</f>
        <v>990-0383</v>
      </c>
      <c r="W394" s="93">
        <f>+VLOOKUP(Agencia[[#This Row],[Filtro URL]],Estructura!$X$4:$Y$500,2,0)</f>
        <v>99200001</v>
      </c>
      <c r="X394" s="93" t="str">
        <f>+VLOOKUP(Agencia[[#This Row],[tema]],Estructura!$A$4:$C$500,3,0)</f>
        <v>T-1003</v>
      </c>
      <c r="Y394" s="93" t="str">
        <f>+VLOOKUP(Agencia[[#This Row],[contenido]],Estructura!$E$4:$G$500,3,0)</f>
        <v>C-1002</v>
      </c>
      <c r="Z394" s="93" t="str">
        <f>+VLOOKUP(Agencia[[#This Row],[Filtro Integrado]],Estructura!$I$4:$K$500,3,0)</f>
        <v>FI-991</v>
      </c>
      <c r="AA394" s="93" t="str">
        <f>+VLOOKUP(Agencia[[#This Row],[Muestra]],Estructura!$M$4:$O$500,3,0)</f>
        <v>M-1057</v>
      </c>
    </row>
    <row r="395" spans="1:27" ht="72" x14ac:dyDescent="0.3">
      <c r="A395" s="21" t="s">
        <v>882</v>
      </c>
      <c r="B395" s="23">
        <f t="shared" si="160"/>
        <v>990</v>
      </c>
      <c r="C395" s="24" t="str">
        <f t="shared" si="161"/>
        <v>Agencia Información</v>
      </c>
      <c r="D395" s="72" t="str">
        <f t="shared" si="170"/>
        <v>Social</v>
      </c>
      <c r="E395" s="19">
        <v>2</v>
      </c>
      <c r="F395" s="18" t="s">
        <v>1374</v>
      </c>
      <c r="G395" s="18" t="s">
        <v>1882</v>
      </c>
      <c r="H395" s="33" t="s">
        <v>16</v>
      </c>
      <c r="I395" s="34" t="s">
        <v>369</v>
      </c>
      <c r="J395" s="9" t="str">
        <f t="shared" si="171"/>
        <v>Comuna</v>
      </c>
      <c r="K395" s="9" t="str">
        <f t="shared" si="172"/>
        <v>Nacimientos</v>
      </c>
      <c r="L395" s="9" t="str">
        <f t="shared" si="173"/>
        <v>Periodo 2010-2021</v>
      </c>
      <c r="M395" s="9" t="str">
        <f t="shared" si="174"/>
        <v>Número de personas</v>
      </c>
      <c r="N395" s="9" t="str">
        <f t="shared" si="175"/>
        <v>Servicio de Registro Civil de Chile</v>
      </c>
      <c r="O395" s="20" t="str">
        <f>"Cantidad de nacimientos anuales en la "&amp;Agencia[[#This Row],[territorio]]&amp;", "&amp;Agencia[[#This Row],[temporalidad]]</f>
        <v>Cantidad de nacimientos anuales en la Región de Antofagasta, Periodo 2010-2021</v>
      </c>
      <c r="P395" s="112" t="s">
        <v>5667</v>
      </c>
      <c r="Q395" s="11" t="str">
        <f t="shared" si="168"/>
        <v>Dashboard</v>
      </c>
      <c r="R395" s="148" t="str">
        <f>Agencia[[#This Row],[territorio]]&amp;",nacimiento,población,cantidad,número,demografía,nacidos,"&amp;Agencia[[#This Row],[coleccion]]&amp;","&amp;Agencia[[#This Row],[sector]]&amp;","&amp;Agencia[[#This Row],[tema]]&amp;","&amp;Agencia[[#This Row],[contenido]]</f>
        <v>Región de Antofagasta,nacimiento,población,cantidad,número,demografía,nacidos,Agencia Información,Social,Nacimientos,Demografía</v>
      </c>
      <c r="S395" s="83" t="s">
        <v>5135</v>
      </c>
      <c r="T395" s="111" t="str">
        <f>"100-C-"&amp;Agencia[[#This Row],[Filtro URL]]</f>
        <v>100-C-2</v>
      </c>
      <c r="U395" s="46" t="str">
        <f t="shared" si="169"/>
        <v>#1774B9</v>
      </c>
      <c r="V395" s="93" t="str">
        <f>+Agencia[[#This Row],[idcoleccion]]&amp;"-"&amp;Agencia[[#This Row],[id]]</f>
        <v>990-0384</v>
      </c>
      <c r="W395" s="93">
        <f>+VLOOKUP(Agencia[[#This Row],[Filtro URL]],Estructura!$X$4:$Y$500,2,0)</f>
        <v>99200002</v>
      </c>
      <c r="X395" s="93" t="str">
        <f>+VLOOKUP(Agencia[[#This Row],[tema]],Estructura!$A$4:$C$500,3,0)</f>
        <v>T-1003</v>
      </c>
      <c r="Y395" s="93" t="str">
        <f>+VLOOKUP(Agencia[[#This Row],[contenido]],Estructura!$E$4:$G$500,3,0)</f>
        <v>C-1002</v>
      </c>
      <c r="Z395" s="93" t="str">
        <f>+VLOOKUP(Agencia[[#This Row],[Filtro Integrado]],Estructura!$I$4:$K$500,3,0)</f>
        <v>FI-991</v>
      </c>
      <c r="AA395" s="93" t="str">
        <f>+VLOOKUP(Agencia[[#This Row],[Muestra]],Estructura!$M$4:$O$500,3,0)</f>
        <v>M-1057</v>
      </c>
    </row>
    <row r="396" spans="1:27" ht="40.799999999999997" x14ac:dyDescent="0.3">
      <c r="A396" s="21" t="s">
        <v>883</v>
      </c>
      <c r="B396" s="23">
        <f t="shared" si="160"/>
        <v>990</v>
      </c>
      <c r="C396" s="24" t="str">
        <f t="shared" si="161"/>
        <v>Agencia Información</v>
      </c>
      <c r="D396" s="72" t="str">
        <f t="shared" si="170"/>
        <v>Social</v>
      </c>
      <c r="E396" s="19">
        <v>3</v>
      </c>
      <c r="F396" s="18" t="s">
        <v>1374</v>
      </c>
      <c r="G396" s="18" t="s">
        <v>1882</v>
      </c>
      <c r="H396" s="33" t="s">
        <v>16</v>
      </c>
      <c r="I396" s="34" t="s">
        <v>370</v>
      </c>
      <c r="J396" s="9" t="str">
        <f t="shared" si="171"/>
        <v>Comuna</v>
      </c>
      <c r="K396" s="9" t="str">
        <f t="shared" si="172"/>
        <v>Nacimientos</v>
      </c>
      <c r="L396" s="9" t="str">
        <f t="shared" si="173"/>
        <v>Periodo 2010-2021</v>
      </c>
      <c r="M396" s="9" t="str">
        <f t="shared" si="174"/>
        <v>Número de personas</v>
      </c>
      <c r="N396" s="9" t="str">
        <f t="shared" si="175"/>
        <v>Servicio de Registro Civil de Chile</v>
      </c>
      <c r="O396" s="20" t="str">
        <f>"Cantidad de nacimientos anuales en la "&amp;Agencia[[#This Row],[territorio]]&amp;", "&amp;Agencia[[#This Row],[temporalidad]]</f>
        <v>Cantidad de nacimientos anuales en la Región de Atacama, Periodo 2010-2021</v>
      </c>
      <c r="P396" s="112" t="s">
        <v>5668</v>
      </c>
      <c r="Q396" s="11" t="str">
        <f t="shared" si="168"/>
        <v>Dashboard</v>
      </c>
      <c r="R396" s="148" t="str">
        <f>Agencia[[#This Row],[territorio]]&amp;",nacimiento,población,cantidad,número,demografía,nacidos,"&amp;Agencia[[#This Row],[coleccion]]&amp;","&amp;Agencia[[#This Row],[sector]]&amp;","&amp;Agencia[[#This Row],[tema]]&amp;","&amp;Agencia[[#This Row],[contenido]]</f>
        <v>Región de Atacama,nacimiento,población,cantidad,número,demografía,nacidos,Agencia Información,Social,Nacimientos,Demografía</v>
      </c>
      <c r="S396" s="22" t="s">
        <v>5136</v>
      </c>
      <c r="T396" s="111" t="str">
        <f>"100-C-"&amp;Agencia[[#This Row],[Filtro URL]]</f>
        <v>100-C-3</v>
      </c>
      <c r="U396" s="46" t="str">
        <f t="shared" si="169"/>
        <v>#1774B9</v>
      </c>
      <c r="V396" s="93" t="str">
        <f>+Agencia[[#This Row],[idcoleccion]]&amp;"-"&amp;Agencia[[#This Row],[id]]</f>
        <v>990-0385</v>
      </c>
      <c r="W396" s="93">
        <f>+VLOOKUP(Agencia[[#This Row],[Filtro URL]],Estructura!$X$4:$Y$500,2,0)</f>
        <v>99200003</v>
      </c>
      <c r="X396" s="93" t="str">
        <f>+VLOOKUP(Agencia[[#This Row],[tema]],Estructura!$A$4:$C$500,3,0)</f>
        <v>T-1003</v>
      </c>
      <c r="Y396" s="93" t="str">
        <f>+VLOOKUP(Agencia[[#This Row],[contenido]],Estructura!$E$4:$G$500,3,0)</f>
        <v>C-1002</v>
      </c>
      <c r="Z396" s="93" t="str">
        <f>+VLOOKUP(Agencia[[#This Row],[Filtro Integrado]],Estructura!$I$4:$K$500,3,0)</f>
        <v>FI-991</v>
      </c>
      <c r="AA396" s="93" t="str">
        <f>+VLOOKUP(Agencia[[#This Row],[Muestra]],Estructura!$M$4:$O$500,3,0)</f>
        <v>M-1057</v>
      </c>
    </row>
    <row r="397" spans="1:27" ht="72" x14ac:dyDescent="0.3">
      <c r="A397" s="21" t="s">
        <v>884</v>
      </c>
      <c r="B397" s="23">
        <f t="shared" si="160"/>
        <v>990</v>
      </c>
      <c r="C397" s="24" t="str">
        <f t="shared" si="161"/>
        <v>Agencia Información</v>
      </c>
      <c r="D397" s="72" t="str">
        <f t="shared" si="170"/>
        <v>Social</v>
      </c>
      <c r="E397" s="19">
        <v>4</v>
      </c>
      <c r="F397" s="18" t="s">
        <v>1374</v>
      </c>
      <c r="G397" s="18" t="s">
        <v>1882</v>
      </c>
      <c r="H397" s="33" t="s">
        <v>16</v>
      </c>
      <c r="I397" s="34" t="s">
        <v>371</v>
      </c>
      <c r="J397" s="9" t="str">
        <f t="shared" si="171"/>
        <v>Comuna</v>
      </c>
      <c r="K397" s="9" t="str">
        <f t="shared" si="172"/>
        <v>Nacimientos</v>
      </c>
      <c r="L397" s="9" t="str">
        <f t="shared" si="173"/>
        <v>Periodo 2010-2021</v>
      </c>
      <c r="M397" s="9" t="str">
        <f t="shared" si="174"/>
        <v>Número de personas</v>
      </c>
      <c r="N397" s="9" t="str">
        <f t="shared" si="175"/>
        <v>Servicio de Registro Civil de Chile</v>
      </c>
      <c r="O397" s="20" t="str">
        <f>"Cantidad de nacimientos anuales en la "&amp;Agencia[[#This Row],[territorio]]&amp;", "&amp;Agencia[[#This Row],[temporalidad]]</f>
        <v>Cantidad de nacimientos anuales en la Región de Coquimbo, Periodo 2010-2021</v>
      </c>
      <c r="P397" s="113" t="s">
        <v>5669</v>
      </c>
      <c r="Q397" s="27" t="str">
        <f t="shared" si="168"/>
        <v>Dashboard</v>
      </c>
      <c r="R397" s="148" t="str">
        <f>Agencia[[#This Row],[territorio]]&amp;",nacimiento,población,cantidad,número,demografía,nacidos,"&amp;Agencia[[#This Row],[coleccion]]&amp;","&amp;Agencia[[#This Row],[sector]]&amp;","&amp;Agencia[[#This Row],[tema]]&amp;","&amp;Agencia[[#This Row],[contenido]]</f>
        <v>Región de Coquimbo,nacimiento,población,cantidad,número,demografía,nacidos,Agencia Información,Social,Nacimientos,Demografía</v>
      </c>
      <c r="S397" s="83" t="s">
        <v>5137</v>
      </c>
      <c r="T397" s="111" t="str">
        <f>"100-C-"&amp;Agencia[[#This Row],[Filtro URL]]</f>
        <v>100-C-4</v>
      </c>
      <c r="U397" s="95" t="str">
        <f t="shared" si="169"/>
        <v>#1774B9</v>
      </c>
      <c r="V397" s="93" t="str">
        <f>+Agencia[[#This Row],[idcoleccion]]&amp;"-"&amp;Agencia[[#This Row],[id]]</f>
        <v>990-0386</v>
      </c>
      <c r="W397" s="93">
        <f>+VLOOKUP(Agencia[[#This Row],[Filtro URL]],Estructura!$X$4:$Y$500,2,0)</f>
        <v>99200004</v>
      </c>
      <c r="X397" s="93" t="str">
        <f>+VLOOKUP(Agencia[[#This Row],[tema]],Estructura!$A$4:$C$500,3,0)</f>
        <v>T-1003</v>
      </c>
      <c r="Y397" s="93" t="str">
        <f>+VLOOKUP(Agencia[[#This Row],[contenido]],Estructura!$E$4:$G$500,3,0)</f>
        <v>C-1002</v>
      </c>
      <c r="Z397" s="93" t="str">
        <f>+VLOOKUP(Agencia[[#This Row],[Filtro Integrado]],Estructura!$I$4:$K$500,3,0)</f>
        <v>FI-991</v>
      </c>
      <c r="AA397" s="93" t="str">
        <f>+VLOOKUP(Agencia[[#This Row],[Muestra]],Estructura!$M$4:$O$500,3,0)</f>
        <v>M-1057</v>
      </c>
    </row>
    <row r="398" spans="1:27" ht="40.799999999999997" x14ac:dyDescent="0.3">
      <c r="A398" s="21" t="s">
        <v>885</v>
      </c>
      <c r="B398" s="23">
        <f t="shared" si="160"/>
        <v>990</v>
      </c>
      <c r="C398" s="24" t="str">
        <f t="shared" si="161"/>
        <v>Agencia Información</v>
      </c>
      <c r="D398" s="72" t="str">
        <f t="shared" si="170"/>
        <v>Social</v>
      </c>
      <c r="E398" s="19">
        <v>5</v>
      </c>
      <c r="F398" s="18" t="s">
        <v>1374</v>
      </c>
      <c r="G398" s="18" t="s">
        <v>1882</v>
      </c>
      <c r="H398" s="33" t="s">
        <v>16</v>
      </c>
      <c r="I398" s="34" t="s">
        <v>372</v>
      </c>
      <c r="J398" s="9" t="str">
        <f t="shared" si="171"/>
        <v>Comuna</v>
      </c>
      <c r="K398" s="9" t="str">
        <f t="shared" si="172"/>
        <v>Nacimientos</v>
      </c>
      <c r="L398" s="9" t="str">
        <f t="shared" si="173"/>
        <v>Periodo 2010-2021</v>
      </c>
      <c r="M398" s="9" t="str">
        <f t="shared" si="174"/>
        <v>Número de personas</v>
      </c>
      <c r="N398" s="9" t="str">
        <f t="shared" si="175"/>
        <v>Servicio de Registro Civil de Chile</v>
      </c>
      <c r="O398" s="20" t="str">
        <f>"Cantidad de nacimientos anuales en la "&amp;Agencia[[#This Row],[territorio]]&amp;", "&amp;Agencia[[#This Row],[temporalidad]]</f>
        <v>Cantidad de nacimientos anuales en la Región de Valparaíso, Periodo 2010-2021</v>
      </c>
      <c r="P398" s="112" t="s">
        <v>5670</v>
      </c>
      <c r="Q398" s="11" t="str">
        <f t="shared" ref="Q398:Q445" si="176">+Q397</f>
        <v>Dashboard</v>
      </c>
      <c r="R398" s="148" t="str">
        <f>Agencia[[#This Row],[territorio]]&amp;",nacimiento,población,cantidad,número,demografía,nacidos,"&amp;Agencia[[#This Row],[coleccion]]&amp;","&amp;Agencia[[#This Row],[sector]]&amp;","&amp;Agencia[[#This Row],[tema]]&amp;","&amp;Agencia[[#This Row],[contenido]]</f>
        <v>Región de Valparaíso,nacimiento,población,cantidad,número,demografía,nacidos,Agencia Información,Social,Nacimientos,Demografía</v>
      </c>
      <c r="S398" s="22" t="s">
        <v>5138</v>
      </c>
      <c r="T398" s="111" t="str">
        <f>"100-C-"&amp;Agencia[[#This Row],[Filtro URL]]</f>
        <v>100-C-5</v>
      </c>
      <c r="U398" s="46" t="str">
        <f t="shared" ref="U398:U445" si="177">+U397</f>
        <v>#1774B9</v>
      </c>
      <c r="V398" s="93" t="str">
        <f>+Agencia[[#This Row],[idcoleccion]]&amp;"-"&amp;Agencia[[#This Row],[id]]</f>
        <v>990-0387</v>
      </c>
      <c r="W398" s="93">
        <f>+VLOOKUP(Agencia[[#This Row],[Filtro URL]],Estructura!$X$4:$Y$500,2,0)</f>
        <v>99200005</v>
      </c>
      <c r="X398" s="93" t="str">
        <f>+VLOOKUP(Agencia[[#This Row],[tema]],Estructura!$A$4:$C$500,3,0)</f>
        <v>T-1003</v>
      </c>
      <c r="Y398" s="93" t="str">
        <f>+VLOOKUP(Agencia[[#This Row],[contenido]],Estructura!$E$4:$G$500,3,0)</f>
        <v>C-1002</v>
      </c>
      <c r="Z398" s="93" t="str">
        <f>+VLOOKUP(Agencia[[#This Row],[Filtro Integrado]],Estructura!$I$4:$K$500,3,0)</f>
        <v>FI-991</v>
      </c>
      <c r="AA398" s="93" t="str">
        <f>+VLOOKUP(Agencia[[#This Row],[Muestra]],Estructura!$M$4:$O$500,3,0)</f>
        <v>M-1057</v>
      </c>
    </row>
    <row r="399" spans="1:27" ht="40.799999999999997" x14ac:dyDescent="0.3">
      <c r="A399" s="21" t="s">
        <v>886</v>
      </c>
      <c r="B399" s="23">
        <f t="shared" si="160"/>
        <v>990</v>
      </c>
      <c r="C399" s="24" t="str">
        <f t="shared" si="161"/>
        <v>Agencia Información</v>
      </c>
      <c r="D399" s="72" t="str">
        <f t="shared" si="170"/>
        <v>Social</v>
      </c>
      <c r="E399" s="19">
        <v>6</v>
      </c>
      <c r="F399" s="18" t="s">
        <v>1374</v>
      </c>
      <c r="G399" s="18" t="s">
        <v>1882</v>
      </c>
      <c r="H399" s="33" t="s">
        <v>16</v>
      </c>
      <c r="I399" s="34" t="s">
        <v>373</v>
      </c>
      <c r="J399" s="9" t="str">
        <f t="shared" si="171"/>
        <v>Comuna</v>
      </c>
      <c r="K399" s="9" t="str">
        <f t="shared" si="172"/>
        <v>Nacimientos</v>
      </c>
      <c r="L399" s="9" t="str">
        <f t="shared" si="173"/>
        <v>Periodo 2010-2021</v>
      </c>
      <c r="M399" s="9" t="str">
        <f t="shared" si="174"/>
        <v>Número de personas</v>
      </c>
      <c r="N399" s="9" t="str">
        <f t="shared" si="175"/>
        <v>Servicio de Registro Civil de Chile</v>
      </c>
      <c r="O399" s="20" t="str">
        <f>"Cantidad de nacimientos anuales en la "&amp;Agencia[[#This Row],[territorio]]&amp;", "&amp;Agencia[[#This Row],[temporalidad]]</f>
        <v>Cantidad de nacimientos anuales en la Región de O'Higgins, Periodo 2010-2021</v>
      </c>
      <c r="P399" s="112" t="s">
        <v>5671</v>
      </c>
      <c r="Q399" s="11" t="str">
        <f t="shared" si="176"/>
        <v>Dashboard</v>
      </c>
      <c r="R399" s="148" t="str">
        <f>Agencia[[#This Row],[territorio]]&amp;",nacimiento,población,cantidad,número,demografía,nacidos,"&amp;Agencia[[#This Row],[coleccion]]&amp;","&amp;Agencia[[#This Row],[sector]]&amp;","&amp;Agencia[[#This Row],[tema]]&amp;","&amp;Agencia[[#This Row],[contenido]]</f>
        <v>Región de O'Higgins,nacimiento,población,cantidad,número,demografía,nacidos,Agencia Información,Social,Nacimientos,Demografía</v>
      </c>
      <c r="S399" s="22" t="s">
        <v>5139</v>
      </c>
      <c r="T399" s="111" t="str">
        <f>"100-C-"&amp;Agencia[[#This Row],[Filtro URL]]</f>
        <v>100-C-6</v>
      </c>
      <c r="U399" s="46" t="str">
        <f t="shared" si="177"/>
        <v>#1774B9</v>
      </c>
      <c r="V399" s="93" t="str">
        <f>+Agencia[[#This Row],[idcoleccion]]&amp;"-"&amp;Agencia[[#This Row],[id]]</f>
        <v>990-0388</v>
      </c>
      <c r="W399" s="93">
        <f>+VLOOKUP(Agencia[[#This Row],[Filtro URL]],Estructura!$X$4:$Y$500,2,0)</f>
        <v>99200006</v>
      </c>
      <c r="X399" s="93" t="str">
        <f>+VLOOKUP(Agencia[[#This Row],[tema]],Estructura!$A$4:$C$500,3,0)</f>
        <v>T-1003</v>
      </c>
      <c r="Y399" s="93" t="str">
        <f>+VLOOKUP(Agencia[[#This Row],[contenido]],Estructura!$E$4:$G$500,3,0)</f>
        <v>C-1002</v>
      </c>
      <c r="Z399" s="93" t="str">
        <f>+VLOOKUP(Agencia[[#This Row],[Filtro Integrado]],Estructura!$I$4:$K$500,3,0)</f>
        <v>FI-991</v>
      </c>
      <c r="AA399" s="93" t="str">
        <f>+VLOOKUP(Agencia[[#This Row],[Muestra]],Estructura!$M$4:$O$500,3,0)</f>
        <v>M-1057</v>
      </c>
    </row>
    <row r="400" spans="1:27" ht="40.799999999999997" x14ac:dyDescent="0.3">
      <c r="A400" s="21" t="s">
        <v>887</v>
      </c>
      <c r="B400" s="23">
        <f t="shared" si="160"/>
        <v>990</v>
      </c>
      <c r="C400" s="24" t="str">
        <f t="shared" si="161"/>
        <v>Agencia Información</v>
      </c>
      <c r="D400" s="72" t="str">
        <f t="shared" si="170"/>
        <v>Social</v>
      </c>
      <c r="E400" s="19">
        <v>7</v>
      </c>
      <c r="F400" s="18" t="s">
        <v>1374</v>
      </c>
      <c r="G400" s="18" t="s">
        <v>1882</v>
      </c>
      <c r="H400" s="33" t="s">
        <v>16</v>
      </c>
      <c r="I400" s="34" t="s">
        <v>374</v>
      </c>
      <c r="J400" s="9" t="str">
        <f t="shared" si="171"/>
        <v>Comuna</v>
      </c>
      <c r="K400" s="9" t="str">
        <f t="shared" si="172"/>
        <v>Nacimientos</v>
      </c>
      <c r="L400" s="9" t="str">
        <f t="shared" si="173"/>
        <v>Periodo 2010-2021</v>
      </c>
      <c r="M400" s="9" t="str">
        <f t="shared" si="174"/>
        <v>Número de personas</v>
      </c>
      <c r="N400" s="9" t="str">
        <f t="shared" si="175"/>
        <v>Servicio de Registro Civil de Chile</v>
      </c>
      <c r="O400" s="20" t="str">
        <f>"Cantidad de nacimientos anuales en la "&amp;Agencia[[#This Row],[territorio]]&amp;", "&amp;Agencia[[#This Row],[temporalidad]]</f>
        <v>Cantidad de nacimientos anuales en la Región de Maule, Periodo 2010-2021</v>
      </c>
      <c r="P400" s="112" t="s">
        <v>5672</v>
      </c>
      <c r="Q400" s="11" t="str">
        <f t="shared" si="176"/>
        <v>Dashboard</v>
      </c>
      <c r="R400" s="148" t="str">
        <f>Agencia[[#This Row],[territorio]]&amp;",nacimiento,población,cantidad,número,demografía,nacidos,"&amp;Agencia[[#This Row],[coleccion]]&amp;","&amp;Agencia[[#This Row],[sector]]&amp;","&amp;Agencia[[#This Row],[tema]]&amp;","&amp;Agencia[[#This Row],[contenido]]</f>
        <v>Región de Maule,nacimiento,población,cantidad,número,demografía,nacidos,Agencia Información,Social,Nacimientos,Demografía</v>
      </c>
      <c r="S400" s="22" t="s">
        <v>5140</v>
      </c>
      <c r="T400" s="111" t="str">
        <f>"100-C-"&amp;Agencia[[#This Row],[Filtro URL]]</f>
        <v>100-C-7</v>
      </c>
      <c r="U400" s="46" t="str">
        <f t="shared" si="177"/>
        <v>#1774B9</v>
      </c>
      <c r="V400" s="93" t="str">
        <f>+Agencia[[#This Row],[idcoleccion]]&amp;"-"&amp;Agencia[[#This Row],[id]]</f>
        <v>990-0389</v>
      </c>
      <c r="W400" s="93">
        <f>+VLOOKUP(Agencia[[#This Row],[Filtro URL]],Estructura!$X$4:$Y$500,2,0)</f>
        <v>99200007</v>
      </c>
      <c r="X400" s="93" t="str">
        <f>+VLOOKUP(Agencia[[#This Row],[tema]],Estructura!$A$4:$C$500,3,0)</f>
        <v>T-1003</v>
      </c>
      <c r="Y400" s="93" t="str">
        <f>+VLOOKUP(Agencia[[#This Row],[contenido]],Estructura!$E$4:$G$500,3,0)</f>
        <v>C-1002</v>
      </c>
      <c r="Z400" s="93" t="str">
        <f>+VLOOKUP(Agencia[[#This Row],[Filtro Integrado]],Estructura!$I$4:$K$500,3,0)</f>
        <v>FI-991</v>
      </c>
      <c r="AA400" s="93" t="str">
        <f>+VLOOKUP(Agencia[[#This Row],[Muestra]],Estructura!$M$4:$O$500,3,0)</f>
        <v>M-1057</v>
      </c>
    </row>
    <row r="401" spans="1:27" ht="40.799999999999997" x14ac:dyDescent="0.3">
      <c r="A401" s="21" t="s">
        <v>888</v>
      </c>
      <c r="B401" s="23">
        <f t="shared" si="160"/>
        <v>990</v>
      </c>
      <c r="C401" s="24" t="str">
        <f t="shared" si="161"/>
        <v>Agencia Información</v>
      </c>
      <c r="D401" s="72" t="str">
        <f t="shared" si="170"/>
        <v>Social</v>
      </c>
      <c r="E401" s="19">
        <v>8</v>
      </c>
      <c r="F401" s="18" t="s">
        <v>1374</v>
      </c>
      <c r="G401" s="18" t="s">
        <v>1882</v>
      </c>
      <c r="H401" s="33" t="s">
        <v>16</v>
      </c>
      <c r="I401" s="34" t="s">
        <v>375</v>
      </c>
      <c r="J401" s="9" t="str">
        <f t="shared" si="171"/>
        <v>Comuna</v>
      </c>
      <c r="K401" s="9" t="str">
        <f t="shared" si="172"/>
        <v>Nacimientos</v>
      </c>
      <c r="L401" s="9" t="str">
        <f t="shared" si="173"/>
        <v>Periodo 2010-2021</v>
      </c>
      <c r="M401" s="9" t="str">
        <f t="shared" si="174"/>
        <v>Número de personas</v>
      </c>
      <c r="N401" s="9" t="str">
        <f t="shared" si="175"/>
        <v>Servicio de Registro Civil de Chile</v>
      </c>
      <c r="O401" s="20" t="str">
        <f>"Cantidad de nacimientos anuales en la "&amp;Agencia[[#This Row],[territorio]]&amp;", "&amp;Agencia[[#This Row],[temporalidad]]</f>
        <v>Cantidad de nacimientos anuales en la Región del Biobío, Periodo 2010-2021</v>
      </c>
      <c r="P401" s="112" t="s">
        <v>5673</v>
      </c>
      <c r="Q401" s="11" t="str">
        <f t="shared" si="176"/>
        <v>Dashboard</v>
      </c>
      <c r="R401" s="148" t="str">
        <f>Agencia[[#This Row],[territorio]]&amp;",nacimiento,población,cantidad,número,demografía,nacidos,"&amp;Agencia[[#This Row],[coleccion]]&amp;","&amp;Agencia[[#This Row],[sector]]&amp;","&amp;Agencia[[#This Row],[tema]]&amp;","&amp;Agencia[[#This Row],[contenido]]</f>
        <v>Región del Biobío,nacimiento,población,cantidad,número,demografía,nacidos,Agencia Información,Social,Nacimientos,Demografía</v>
      </c>
      <c r="S401" s="22" t="s">
        <v>5141</v>
      </c>
      <c r="T401" s="111" t="str">
        <f>"100-C-"&amp;Agencia[[#This Row],[Filtro URL]]</f>
        <v>100-C-8</v>
      </c>
      <c r="U401" s="46" t="str">
        <f t="shared" si="177"/>
        <v>#1774B9</v>
      </c>
      <c r="V401" s="93" t="str">
        <f>+Agencia[[#This Row],[idcoleccion]]&amp;"-"&amp;Agencia[[#This Row],[id]]</f>
        <v>990-0390</v>
      </c>
      <c r="W401" s="93">
        <f>+VLOOKUP(Agencia[[#This Row],[Filtro URL]],Estructura!$X$4:$Y$500,2,0)</f>
        <v>99200008</v>
      </c>
      <c r="X401" s="93" t="str">
        <f>+VLOOKUP(Agencia[[#This Row],[tema]],Estructura!$A$4:$C$500,3,0)</f>
        <v>T-1003</v>
      </c>
      <c r="Y401" s="93" t="str">
        <f>+VLOOKUP(Agencia[[#This Row],[contenido]],Estructura!$E$4:$G$500,3,0)</f>
        <v>C-1002</v>
      </c>
      <c r="Z401" s="93" t="str">
        <f>+VLOOKUP(Agencia[[#This Row],[Filtro Integrado]],Estructura!$I$4:$K$500,3,0)</f>
        <v>FI-991</v>
      </c>
      <c r="AA401" s="93" t="str">
        <f>+VLOOKUP(Agencia[[#This Row],[Muestra]],Estructura!$M$4:$O$500,3,0)</f>
        <v>M-1057</v>
      </c>
    </row>
    <row r="402" spans="1:27" ht="40.799999999999997" x14ac:dyDescent="0.3">
      <c r="A402" s="21" t="s">
        <v>889</v>
      </c>
      <c r="B402" s="23">
        <f t="shared" ref="B402:B412" si="178">+B401</f>
        <v>990</v>
      </c>
      <c r="C402" s="24" t="str">
        <f t="shared" ref="C402:C412" si="179">+C401</f>
        <v>Agencia Información</v>
      </c>
      <c r="D402" s="72" t="str">
        <f t="shared" si="170"/>
        <v>Social</v>
      </c>
      <c r="E402" s="19">
        <v>9</v>
      </c>
      <c r="F402" s="18" t="s">
        <v>1374</v>
      </c>
      <c r="G402" s="18" t="s">
        <v>1882</v>
      </c>
      <c r="H402" s="33" t="s">
        <v>16</v>
      </c>
      <c r="I402" s="34" t="s">
        <v>376</v>
      </c>
      <c r="J402" s="9" t="str">
        <f t="shared" si="171"/>
        <v>Comuna</v>
      </c>
      <c r="K402" s="9" t="str">
        <f t="shared" si="172"/>
        <v>Nacimientos</v>
      </c>
      <c r="L402" s="9" t="str">
        <f t="shared" si="173"/>
        <v>Periodo 2010-2021</v>
      </c>
      <c r="M402" s="9" t="str">
        <f t="shared" si="174"/>
        <v>Número de personas</v>
      </c>
      <c r="N402" s="9" t="str">
        <f t="shared" si="175"/>
        <v>Servicio de Registro Civil de Chile</v>
      </c>
      <c r="O402" s="20" t="str">
        <f>"Cantidad de nacimientos anuales en la "&amp;Agencia[[#This Row],[territorio]]&amp;", "&amp;Agencia[[#This Row],[temporalidad]]</f>
        <v>Cantidad de nacimientos anuales en la Región de La Araucanía, Periodo 2010-2021</v>
      </c>
      <c r="P402" s="112" t="s">
        <v>5674</v>
      </c>
      <c r="Q402" s="11" t="str">
        <f t="shared" si="176"/>
        <v>Dashboard</v>
      </c>
      <c r="R402" s="148" t="str">
        <f>Agencia[[#This Row],[territorio]]&amp;",nacimiento,población,cantidad,número,demografía,nacidos,"&amp;Agencia[[#This Row],[coleccion]]&amp;","&amp;Agencia[[#This Row],[sector]]&amp;","&amp;Agencia[[#This Row],[tema]]&amp;","&amp;Agencia[[#This Row],[contenido]]</f>
        <v>Región de La Araucanía,nacimiento,población,cantidad,número,demografía,nacidos,Agencia Información,Social,Nacimientos,Demografía</v>
      </c>
      <c r="S402" s="22" t="s">
        <v>5142</v>
      </c>
      <c r="T402" s="111" t="str">
        <f>"100-C-"&amp;Agencia[[#This Row],[Filtro URL]]</f>
        <v>100-C-9</v>
      </c>
      <c r="U402" s="46" t="str">
        <f t="shared" si="177"/>
        <v>#1774B9</v>
      </c>
      <c r="V402" s="93" t="str">
        <f>+Agencia[[#This Row],[idcoleccion]]&amp;"-"&amp;Agencia[[#This Row],[id]]</f>
        <v>990-0391</v>
      </c>
      <c r="W402" s="93">
        <f>+VLOOKUP(Agencia[[#This Row],[Filtro URL]],Estructura!$X$4:$Y$500,2,0)</f>
        <v>99200009</v>
      </c>
      <c r="X402" s="93" t="str">
        <f>+VLOOKUP(Agencia[[#This Row],[tema]],Estructura!$A$4:$C$500,3,0)</f>
        <v>T-1003</v>
      </c>
      <c r="Y402" s="93" t="str">
        <f>+VLOOKUP(Agencia[[#This Row],[contenido]],Estructura!$E$4:$G$500,3,0)</f>
        <v>C-1002</v>
      </c>
      <c r="Z402" s="93" t="str">
        <f>+VLOOKUP(Agencia[[#This Row],[Filtro Integrado]],Estructura!$I$4:$K$500,3,0)</f>
        <v>FI-991</v>
      </c>
      <c r="AA402" s="93" t="str">
        <f>+VLOOKUP(Agencia[[#This Row],[Muestra]],Estructura!$M$4:$O$500,3,0)</f>
        <v>M-1057</v>
      </c>
    </row>
    <row r="403" spans="1:27" ht="40.799999999999997" x14ac:dyDescent="0.3">
      <c r="A403" s="21" t="s">
        <v>890</v>
      </c>
      <c r="B403" s="23">
        <f t="shared" si="178"/>
        <v>990</v>
      </c>
      <c r="C403" s="24" t="str">
        <f t="shared" si="179"/>
        <v>Agencia Información</v>
      </c>
      <c r="D403" s="72" t="str">
        <f t="shared" si="170"/>
        <v>Social</v>
      </c>
      <c r="E403" s="19">
        <v>10</v>
      </c>
      <c r="F403" s="18" t="s">
        <v>1374</v>
      </c>
      <c r="G403" s="18" t="s">
        <v>1882</v>
      </c>
      <c r="H403" s="33" t="s">
        <v>16</v>
      </c>
      <c r="I403" s="34" t="s">
        <v>377</v>
      </c>
      <c r="J403" s="9" t="str">
        <f t="shared" si="171"/>
        <v>Comuna</v>
      </c>
      <c r="K403" s="9" t="str">
        <f t="shared" si="172"/>
        <v>Nacimientos</v>
      </c>
      <c r="L403" s="9" t="str">
        <f t="shared" si="173"/>
        <v>Periodo 2010-2021</v>
      </c>
      <c r="M403" s="9" t="str">
        <f t="shared" si="174"/>
        <v>Número de personas</v>
      </c>
      <c r="N403" s="9" t="str">
        <f t="shared" si="175"/>
        <v>Servicio de Registro Civil de Chile</v>
      </c>
      <c r="O403" s="20" t="str">
        <f>"Cantidad de nacimientos anuales en la "&amp;Agencia[[#This Row],[territorio]]&amp;", "&amp;Agencia[[#This Row],[temporalidad]]</f>
        <v>Cantidad de nacimientos anuales en la Región de Los Lagos, Periodo 2010-2021</v>
      </c>
      <c r="P403" s="112" t="s">
        <v>5675</v>
      </c>
      <c r="Q403" s="11" t="str">
        <f t="shared" si="176"/>
        <v>Dashboard</v>
      </c>
      <c r="R403" s="148" t="str">
        <f>Agencia[[#This Row],[territorio]]&amp;",nacimiento,población,cantidad,número,demografía,nacidos,"&amp;Agencia[[#This Row],[coleccion]]&amp;","&amp;Agencia[[#This Row],[sector]]&amp;","&amp;Agencia[[#This Row],[tema]]&amp;","&amp;Agencia[[#This Row],[contenido]]</f>
        <v>Región de Los Lagos,nacimiento,población,cantidad,número,demografía,nacidos,Agencia Información,Social,Nacimientos,Demografía</v>
      </c>
      <c r="S403" s="22" t="s">
        <v>5143</v>
      </c>
      <c r="T403" s="111" t="str">
        <f>"100-C-"&amp;Agencia[[#This Row],[Filtro URL]]</f>
        <v>100-C-10</v>
      </c>
      <c r="U403" s="46" t="str">
        <f t="shared" si="177"/>
        <v>#1774B9</v>
      </c>
      <c r="V403" s="93" t="str">
        <f>+Agencia[[#This Row],[idcoleccion]]&amp;"-"&amp;Agencia[[#This Row],[id]]</f>
        <v>990-0392</v>
      </c>
      <c r="W403" s="93">
        <f>+VLOOKUP(Agencia[[#This Row],[Filtro URL]],Estructura!$X$4:$Y$500,2,0)</f>
        <v>99200010</v>
      </c>
      <c r="X403" s="93" t="str">
        <f>+VLOOKUP(Agencia[[#This Row],[tema]],Estructura!$A$4:$C$500,3,0)</f>
        <v>T-1003</v>
      </c>
      <c r="Y403" s="93" t="str">
        <f>+VLOOKUP(Agencia[[#This Row],[contenido]],Estructura!$E$4:$G$500,3,0)</f>
        <v>C-1002</v>
      </c>
      <c r="Z403" s="93" t="str">
        <f>+VLOOKUP(Agencia[[#This Row],[Filtro Integrado]],Estructura!$I$4:$K$500,3,0)</f>
        <v>FI-991</v>
      </c>
      <c r="AA403" s="93" t="str">
        <f>+VLOOKUP(Agencia[[#This Row],[Muestra]],Estructura!$M$4:$O$500,3,0)</f>
        <v>M-1057</v>
      </c>
    </row>
    <row r="404" spans="1:27" ht="40.799999999999997" x14ac:dyDescent="0.3">
      <c r="A404" s="21" t="s">
        <v>891</v>
      </c>
      <c r="B404" s="23">
        <f t="shared" si="178"/>
        <v>990</v>
      </c>
      <c r="C404" s="24" t="str">
        <f t="shared" si="179"/>
        <v>Agencia Información</v>
      </c>
      <c r="D404" s="72" t="str">
        <f t="shared" si="170"/>
        <v>Social</v>
      </c>
      <c r="E404" s="19">
        <v>11</v>
      </c>
      <c r="F404" s="18" t="s">
        <v>1374</v>
      </c>
      <c r="G404" s="18" t="s">
        <v>1882</v>
      </c>
      <c r="H404" s="33" t="s">
        <v>16</v>
      </c>
      <c r="I404" s="34" t="s">
        <v>378</v>
      </c>
      <c r="J404" s="9" t="str">
        <f t="shared" si="171"/>
        <v>Comuna</v>
      </c>
      <c r="K404" s="9" t="str">
        <f t="shared" si="172"/>
        <v>Nacimientos</v>
      </c>
      <c r="L404" s="9" t="str">
        <f t="shared" si="173"/>
        <v>Periodo 2010-2021</v>
      </c>
      <c r="M404" s="9" t="str">
        <f t="shared" si="174"/>
        <v>Número de personas</v>
      </c>
      <c r="N404" s="9" t="str">
        <f t="shared" si="175"/>
        <v>Servicio de Registro Civil de Chile</v>
      </c>
      <c r="O404" s="20" t="str">
        <f>"Cantidad de nacimientos anuales en la "&amp;Agencia[[#This Row],[territorio]]&amp;", "&amp;Agencia[[#This Row],[temporalidad]]</f>
        <v>Cantidad de nacimientos anuales en la Región de Aysén, Periodo 2010-2021</v>
      </c>
      <c r="P404" s="112" t="s">
        <v>5676</v>
      </c>
      <c r="Q404" s="11" t="str">
        <f t="shared" si="176"/>
        <v>Dashboard</v>
      </c>
      <c r="R404" s="148" t="str">
        <f>Agencia[[#This Row],[territorio]]&amp;",nacimiento,población,cantidad,número,demografía,nacidos,"&amp;Agencia[[#This Row],[coleccion]]&amp;","&amp;Agencia[[#This Row],[sector]]&amp;","&amp;Agencia[[#This Row],[tema]]&amp;","&amp;Agencia[[#This Row],[contenido]]</f>
        <v>Región de Aysén,nacimiento,población,cantidad,número,demografía,nacidos,Agencia Información,Social,Nacimientos,Demografía</v>
      </c>
      <c r="S404" s="22" t="s">
        <v>5144</v>
      </c>
      <c r="T404" s="111" t="str">
        <f>"100-C-"&amp;Agencia[[#This Row],[Filtro URL]]</f>
        <v>100-C-11</v>
      </c>
      <c r="U404" s="46" t="str">
        <f t="shared" si="177"/>
        <v>#1774B9</v>
      </c>
      <c r="V404" s="93" t="str">
        <f>+Agencia[[#This Row],[idcoleccion]]&amp;"-"&amp;Agencia[[#This Row],[id]]</f>
        <v>990-0393</v>
      </c>
      <c r="W404" s="93">
        <f>+VLOOKUP(Agencia[[#This Row],[Filtro URL]],Estructura!$X$4:$Y$500,2,0)</f>
        <v>99200011</v>
      </c>
      <c r="X404" s="93" t="str">
        <f>+VLOOKUP(Agencia[[#This Row],[tema]],Estructura!$A$4:$C$500,3,0)</f>
        <v>T-1003</v>
      </c>
      <c r="Y404" s="93" t="str">
        <f>+VLOOKUP(Agencia[[#This Row],[contenido]],Estructura!$E$4:$G$500,3,0)</f>
        <v>C-1002</v>
      </c>
      <c r="Z404" s="93" t="str">
        <f>+VLOOKUP(Agencia[[#This Row],[Filtro Integrado]],Estructura!$I$4:$K$500,3,0)</f>
        <v>FI-991</v>
      </c>
      <c r="AA404" s="93" t="str">
        <f>+VLOOKUP(Agencia[[#This Row],[Muestra]],Estructura!$M$4:$O$500,3,0)</f>
        <v>M-1057</v>
      </c>
    </row>
    <row r="405" spans="1:27" ht="40.799999999999997" x14ac:dyDescent="0.3">
      <c r="A405" s="21" t="s">
        <v>892</v>
      </c>
      <c r="B405" s="23">
        <f t="shared" si="178"/>
        <v>990</v>
      </c>
      <c r="C405" s="24" t="str">
        <f t="shared" si="179"/>
        <v>Agencia Información</v>
      </c>
      <c r="D405" s="72" t="str">
        <f t="shared" si="170"/>
        <v>Social</v>
      </c>
      <c r="E405" s="19">
        <v>12</v>
      </c>
      <c r="F405" s="18" t="s">
        <v>1374</v>
      </c>
      <c r="G405" s="18" t="s">
        <v>1882</v>
      </c>
      <c r="H405" s="33" t="s">
        <v>16</v>
      </c>
      <c r="I405" s="34" t="s">
        <v>379</v>
      </c>
      <c r="J405" s="9" t="str">
        <f t="shared" si="171"/>
        <v>Comuna</v>
      </c>
      <c r="K405" s="9" t="str">
        <f t="shared" si="172"/>
        <v>Nacimientos</v>
      </c>
      <c r="L405" s="9" t="str">
        <f t="shared" si="173"/>
        <v>Periodo 2010-2021</v>
      </c>
      <c r="M405" s="9" t="str">
        <f t="shared" si="174"/>
        <v>Número de personas</v>
      </c>
      <c r="N405" s="9" t="str">
        <f t="shared" si="175"/>
        <v>Servicio de Registro Civil de Chile</v>
      </c>
      <c r="O405" s="20" t="str">
        <f>"Cantidad de nacimientos anuales en la "&amp;Agencia[[#This Row],[territorio]]&amp;", "&amp;Agencia[[#This Row],[temporalidad]]</f>
        <v>Cantidad de nacimientos anuales en la Región de Magallanes, Periodo 2010-2021</v>
      </c>
      <c r="P405" s="112" t="s">
        <v>5677</v>
      </c>
      <c r="Q405" s="11" t="str">
        <f t="shared" si="176"/>
        <v>Dashboard</v>
      </c>
      <c r="R405" s="148" t="str">
        <f>Agencia[[#This Row],[territorio]]&amp;",nacimiento,población,cantidad,número,demografía,nacidos,"&amp;Agencia[[#This Row],[coleccion]]&amp;","&amp;Agencia[[#This Row],[sector]]&amp;","&amp;Agencia[[#This Row],[tema]]&amp;","&amp;Agencia[[#This Row],[contenido]]</f>
        <v>Región de Magallanes,nacimiento,población,cantidad,número,demografía,nacidos,Agencia Información,Social,Nacimientos,Demografía</v>
      </c>
      <c r="S405" s="22" t="s">
        <v>5145</v>
      </c>
      <c r="T405" s="111" t="str">
        <f>"100-C-"&amp;Agencia[[#This Row],[Filtro URL]]</f>
        <v>100-C-12</v>
      </c>
      <c r="U405" s="46" t="str">
        <f t="shared" si="177"/>
        <v>#1774B9</v>
      </c>
      <c r="V405" s="93" t="str">
        <f>+Agencia[[#This Row],[idcoleccion]]&amp;"-"&amp;Agencia[[#This Row],[id]]</f>
        <v>990-0394</v>
      </c>
      <c r="W405" s="93">
        <f>+VLOOKUP(Agencia[[#This Row],[Filtro URL]],Estructura!$X$4:$Y$500,2,0)</f>
        <v>99200012</v>
      </c>
      <c r="X405" s="93" t="str">
        <f>+VLOOKUP(Agencia[[#This Row],[tema]],Estructura!$A$4:$C$500,3,0)</f>
        <v>T-1003</v>
      </c>
      <c r="Y405" s="93" t="str">
        <f>+VLOOKUP(Agencia[[#This Row],[contenido]],Estructura!$E$4:$G$500,3,0)</f>
        <v>C-1002</v>
      </c>
      <c r="Z405" s="93" t="str">
        <f>+VLOOKUP(Agencia[[#This Row],[Filtro Integrado]],Estructura!$I$4:$K$500,3,0)</f>
        <v>FI-991</v>
      </c>
      <c r="AA405" s="93" t="str">
        <f>+VLOOKUP(Agencia[[#This Row],[Muestra]],Estructura!$M$4:$O$500,3,0)</f>
        <v>M-1057</v>
      </c>
    </row>
    <row r="406" spans="1:27" ht="40.799999999999997" x14ac:dyDescent="0.3">
      <c r="A406" s="21" t="s">
        <v>893</v>
      </c>
      <c r="B406" s="23">
        <f t="shared" si="178"/>
        <v>990</v>
      </c>
      <c r="C406" s="24" t="str">
        <f t="shared" si="179"/>
        <v>Agencia Información</v>
      </c>
      <c r="D406" s="72" t="str">
        <f t="shared" si="170"/>
        <v>Social</v>
      </c>
      <c r="E406" s="19">
        <v>13</v>
      </c>
      <c r="F406" s="18" t="s">
        <v>1374</v>
      </c>
      <c r="G406" s="18" t="s">
        <v>1882</v>
      </c>
      <c r="H406" s="33" t="s">
        <v>16</v>
      </c>
      <c r="I406" s="34" t="s">
        <v>380</v>
      </c>
      <c r="J406" s="9" t="str">
        <f t="shared" si="171"/>
        <v>Comuna</v>
      </c>
      <c r="K406" s="9" t="str">
        <f t="shared" si="172"/>
        <v>Nacimientos</v>
      </c>
      <c r="L406" s="9" t="str">
        <f t="shared" si="173"/>
        <v>Periodo 2010-2021</v>
      </c>
      <c r="M406" s="9" t="str">
        <f t="shared" si="174"/>
        <v>Número de personas</v>
      </c>
      <c r="N406" s="9" t="str">
        <f t="shared" si="175"/>
        <v>Servicio de Registro Civil de Chile</v>
      </c>
      <c r="O406" s="20" t="str">
        <f>"Cantidad de nacimientos anuales en la "&amp;Agencia[[#This Row],[territorio]]&amp;", "&amp;Agencia[[#This Row],[temporalidad]]</f>
        <v>Cantidad de nacimientos anuales en la Región Metropolitana, Periodo 2010-2021</v>
      </c>
      <c r="P406" s="112" t="s">
        <v>5678</v>
      </c>
      <c r="Q406" s="11" t="str">
        <f t="shared" si="176"/>
        <v>Dashboard</v>
      </c>
      <c r="R406" s="148" t="str">
        <f>Agencia[[#This Row],[territorio]]&amp;",nacimiento,población,cantidad,número,demografía,nacidos,"&amp;Agencia[[#This Row],[coleccion]]&amp;","&amp;Agencia[[#This Row],[sector]]&amp;","&amp;Agencia[[#This Row],[tema]]&amp;","&amp;Agencia[[#This Row],[contenido]]</f>
        <v>Región Metropolitana,nacimiento,población,cantidad,número,demografía,nacidos,Agencia Información,Social,Nacimientos,Demografía</v>
      </c>
      <c r="S406" s="22" t="s">
        <v>5146</v>
      </c>
      <c r="T406" s="111" t="str">
        <f>"200-C-"&amp;Agencia[[#This Row],[Filtro URL]]</f>
        <v>200-C-13</v>
      </c>
      <c r="U406" s="46" t="str">
        <f t="shared" si="177"/>
        <v>#1774B9</v>
      </c>
      <c r="V406" s="93" t="str">
        <f>+Agencia[[#This Row],[idcoleccion]]&amp;"-"&amp;Agencia[[#This Row],[id]]</f>
        <v>990-0395</v>
      </c>
      <c r="W406" s="93">
        <f>+VLOOKUP(Agencia[[#This Row],[Filtro URL]],Estructura!$X$4:$Y$500,2,0)</f>
        <v>99200013</v>
      </c>
      <c r="X406" s="93" t="str">
        <f>+VLOOKUP(Agencia[[#This Row],[tema]],Estructura!$A$4:$C$500,3,0)</f>
        <v>T-1003</v>
      </c>
      <c r="Y406" s="93" t="str">
        <f>+VLOOKUP(Agencia[[#This Row],[contenido]],Estructura!$E$4:$G$500,3,0)</f>
        <v>C-1002</v>
      </c>
      <c r="Z406" s="93" t="str">
        <f>+VLOOKUP(Agencia[[#This Row],[Filtro Integrado]],Estructura!$I$4:$K$500,3,0)</f>
        <v>FI-991</v>
      </c>
      <c r="AA406" s="93" t="str">
        <f>+VLOOKUP(Agencia[[#This Row],[Muestra]],Estructura!$M$4:$O$500,3,0)</f>
        <v>M-1057</v>
      </c>
    </row>
    <row r="407" spans="1:27" ht="40.799999999999997" x14ac:dyDescent="0.3">
      <c r="A407" s="21" t="s">
        <v>894</v>
      </c>
      <c r="B407" s="23">
        <f t="shared" si="178"/>
        <v>990</v>
      </c>
      <c r="C407" s="24" t="str">
        <f t="shared" si="179"/>
        <v>Agencia Información</v>
      </c>
      <c r="D407" s="72" t="str">
        <f t="shared" si="170"/>
        <v>Social</v>
      </c>
      <c r="E407" s="19">
        <v>14</v>
      </c>
      <c r="F407" s="18" t="s">
        <v>1374</v>
      </c>
      <c r="G407" s="18" t="s">
        <v>1882</v>
      </c>
      <c r="H407" s="33" t="s">
        <v>16</v>
      </c>
      <c r="I407" s="34" t="s">
        <v>381</v>
      </c>
      <c r="J407" s="9" t="str">
        <f t="shared" si="171"/>
        <v>Comuna</v>
      </c>
      <c r="K407" s="9" t="str">
        <f t="shared" si="172"/>
        <v>Nacimientos</v>
      </c>
      <c r="L407" s="9" t="str">
        <f t="shared" si="173"/>
        <v>Periodo 2010-2021</v>
      </c>
      <c r="M407" s="9" t="str">
        <f t="shared" si="174"/>
        <v>Número de personas</v>
      </c>
      <c r="N407" s="9" t="str">
        <f t="shared" si="175"/>
        <v>Servicio de Registro Civil de Chile</v>
      </c>
      <c r="O407" s="20" t="str">
        <f>"Cantidad de nacimientos anuales en la "&amp;Agencia[[#This Row],[territorio]]&amp;", "&amp;Agencia[[#This Row],[temporalidad]]</f>
        <v>Cantidad de nacimientos anuales en la Región de Los Ríos, Periodo 2010-2021</v>
      </c>
      <c r="P407" s="112" t="s">
        <v>5679</v>
      </c>
      <c r="Q407" s="11" t="str">
        <f t="shared" si="176"/>
        <v>Dashboard</v>
      </c>
      <c r="R407" s="148" t="str">
        <f>Agencia[[#This Row],[territorio]]&amp;",nacimiento,población,cantidad,número,demografía,nacidos,"&amp;Agencia[[#This Row],[coleccion]]&amp;","&amp;Agencia[[#This Row],[sector]]&amp;","&amp;Agencia[[#This Row],[tema]]&amp;","&amp;Agencia[[#This Row],[contenido]]</f>
        <v>Región de Los Ríos,nacimiento,población,cantidad,número,demografía,nacidos,Agencia Información,Social,Nacimientos,Demografía</v>
      </c>
      <c r="S407" s="22" t="s">
        <v>5147</v>
      </c>
      <c r="T407" s="111" t="str">
        <f>"100-C-"&amp;Agencia[[#This Row],[Filtro URL]]</f>
        <v>100-C-14</v>
      </c>
      <c r="U407" s="46" t="str">
        <f t="shared" si="177"/>
        <v>#1774B9</v>
      </c>
      <c r="V407" s="93" t="str">
        <f>+Agencia[[#This Row],[idcoleccion]]&amp;"-"&amp;Agencia[[#This Row],[id]]</f>
        <v>990-0396</v>
      </c>
      <c r="W407" s="93">
        <f>+VLOOKUP(Agencia[[#This Row],[Filtro URL]],Estructura!$X$4:$Y$500,2,0)</f>
        <v>99200014</v>
      </c>
      <c r="X407" s="93" t="str">
        <f>+VLOOKUP(Agencia[[#This Row],[tema]],Estructura!$A$4:$C$500,3,0)</f>
        <v>T-1003</v>
      </c>
      <c r="Y407" s="93" t="str">
        <f>+VLOOKUP(Agencia[[#This Row],[contenido]],Estructura!$E$4:$G$500,3,0)</f>
        <v>C-1002</v>
      </c>
      <c r="Z407" s="93" t="str">
        <f>+VLOOKUP(Agencia[[#This Row],[Filtro Integrado]],Estructura!$I$4:$K$500,3,0)</f>
        <v>FI-991</v>
      </c>
      <c r="AA407" s="93" t="str">
        <f>+VLOOKUP(Agencia[[#This Row],[Muestra]],Estructura!$M$4:$O$500,3,0)</f>
        <v>M-1057</v>
      </c>
    </row>
    <row r="408" spans="1:27" ht="72" x14ac:dyDescent="0.3">
      <c r="A408" s="21" t="s">
        <v>895</v>
      </c>
      <c r="B408" s="23">
        <f t="shared" si="178"/>
        <v>990</v>
      </c>
      <c r="C408" s="24" t="str">
        <f t="shared" si="179"/>
        <v>Agencia Información</v>
      </c>
      <c r="D408" s="72" t="str">
        <f t="shared" si="170"/>
        <v>Social</v>
      </c>
      <c r="E408" s="19">
        <v>15</v>
      </c>
      <c r="F408" s="18" t="s">
        <v>1374</v>
      </c>
      <c r="G408" s="18" t="s">
        <v>1882</v>
      </c>
      <c r="H408" s="33" t="s">
        <v>16</v>
      </c>
      <c r="I408" s="34" t="s">
        <v>382</v>
      </c>
      <c r="J408" s="9" t="str">
        <f t="shared" si="171"/>
        <v>Comuna</v>
      </c>
      <c r="K408" s="9" t="str">
        <f t="shared" si="172"/>
        <v>Nacimientos</v>
      </c>
      <c r="L408" s="9" t="str">
        <f t="shared" si="173"/>
        <v>Periodo 2010-2021</v>
      </c>
      <c r="M408" s="9" t="str">
        <f t="shared" si="174"/>
        <v>Número de personas</v>
      </c>
      <c r="N408" s="9" t="str">
        <f t="shared" si="175"/>
        <v>Servicio de Registro Civil de Chile</v>
      </c>
      <c r="O408" s="20" t="str">
        <f>"Cantidad de nacimientos anuales en la "&amp;Agencia[[#This Row],[territorio]]&amp;", "&amp;Agencia[[#This Row],[temporalidad]]</f>
        <v>Cantidad de nacimientos anuales en la Región de Arica y Parinacota, Periodo 2010-2021</v>
      </c>
      <c r="P408" s="112" t="s">
        <v>5680</v>
      </c>
      <c r="Q408" s="11" t="str">
        <f t="shared" si="176"/>
        <v>Dashboard</v>
      </c>
      <c r="R408" s="148" t="str">
        <f>Agencia[[#This Row],[territorio]]&amp;",nacimiento,población,cantidad,número,demografía,nacidos,"&amp;Agencia[[#This Row],[coleccion]]&amp;","&amp;Agencia[[#This Row],[sector]]&amp;","&amp;Agencia[[#This Row],[tema]]&amp;","&amp;Agencia[[#This Row],[contenido]]</f>
        <v>Región de Arica y Parinacota,nacimiento,población,cantidad,número,demografía,nacidos,Agencia Información,Social,Nacimientos,Demografía</v>
      </c>
      <c r="S408" s="83" t="s">
        <v>5148</v>
      </c>
      <c r="T408" s="111" t="str">
        <f>"100-C-"&amp;Agencia[[#This Row],[Filtro URL]]</f>
        <v>100-C-15</v>
      </c>
      <c r="U408" s="46" t="str">
        <f t="shared" si="177"/>
        <v>#1774B9</v>
      </c>
      <c r="V408" s="93" t="str">
        <f>+Agencia[[#This Row],[idcoleccion]]&amp;"-"&amp;Agencia[[#This Row],[id]]</f>
        <v>990-0397</v>
      </c>
      <c r="W408" s="93">
        <f>+VLOOKUP(Agencia[[#This Row],[Filtro URL]],Estructura!$X$4:$Y$500,2,0)</f>
        <v>99200015</v>
      </c>
      <c r="X408" s="93" t="str">
        <f>+VLOOKUP(Agencia[[#This Row],[tema]],Estructura!$A$4:$C$500,3,0)</f>
        <v>T-1003</v>
      </c>
      <c r="Y408" s="93" t="str">
        <f>+VLOOKUP(Agencia[[#This Row],[contenido]],Estructura!$E$4:$G$500,3,0)</f>
        <v>C-1002</v>
      </c>
      <c r="Z408" s="93" t="str">
        <f>+VLOOKUP(Agencia[[#This Row],[Filtro Integrado]],Estructura!$I$4:$K$500,3,0)</f>
        <v>FI-991</v>
      </c>
      <c r="AA408" s="93" t="str">
        <f>+VLOOKUP(Agencia[[#This Row],[Muestra]],Estructura!$M$4:$O$500,3,0)</f>
        <v>M-1057</v>
      </c>
    </row>
    <row r="409" spans="1:27" ht="72" x14ac:dyDescent="0.3">
      <c r="A409" s="21" t="s">
        <v>896</v>
      </c>
      <c r="B409" s="23">
        <f t="shared" si="178"/>
        <v>990</v>
      </c>
      <c r="C409" s="24" t="str">
        <f t="shared" si="179"/>
        <v>Agencia Información</v>
      </c>
      <c r="D409" s="72" t="str">
        <f t="shared" si="170"/>
        <v>Social</v>
      </c>
      <c r="E409" s="19">
        <v>16</v>
      </c>
      <c r="F409" s="18" t="s">
        <v>1374</v>
      </c>
      <c r="G409" s="18" t="s">
        <v>1882</v>
      </c>
      <c r="H409" s="33" t="s">
        <v>16</v>
      </c>
      <c r="I409" s="34" t="s">
        <v>383</v>
      </c>
      <c r="J409" s="9" t="str">
        <f t="shared" si="171"/>
        <v>Comuna</v>
      </c>
      <c r="K409" s="9" t="str">
        <f t="shared" si="172"/>
        <v>Nacimientos</v>
      </c>
      <c r="L409" s="9" t="str">
        <f t="shared" si="173"/>
        <v>Periodo 2010-2021</v>
      </c>
      <c r="M409" s="9" t="str">
        <f t="shared" si="174"/>
        <v>Número de personas</v>
      </c>
      <c r="N409" s="9" t="str">
        <f t="shared" si="175"/>
        <v>Servicio de Registro Civil de Chile</v>
      </c>
      <c r="O409" s="20" t="str">
        <f>"Cantidad de nacimientos anuales en la "&amp;Agencia[[#This Row],[territorio]]&amp;", "&amp;Agencia[[#This Row],[temporalidad]]</f>
        <v>Cantidad de nacimientos anuales en la Región de Ñuble, Periodo 2010-2021</v>
      </c>
      <c r="P409" s="112" t="s">
        <v>5681</v>
      </c>
      <c r="Q409" s="11" t="str">
        <f t="shared" si="176"/>
        <v>Dashboard</v>
      </c>
      <c r="R409" s="148" t="str">
        <f>Agencia[[#This Row],[territorio]]&amp;",nacimiento,población,cantidad,número,demografía,nacidos,"&amp;Agencia[[#This Row],[coleccion]]&amp;","&amp;Agencia[[#This Row],[sector]]&amp;","&amp;Agencia[[#This Row],[tema]]&amp;","&amp;Agencia[[#This Row],[contenido]]</f>
        <v>Región de Ñuble,nacimiento,población,cantidad,número,demografía,nacidos,Agencia Información,Social,Nacimientos,Demografía</v>
      </c>
      <c r="S409" s="83" t="s">
        <v>5149</v>
      </c>
      <c r="T409" s="111" t="str">
        <f>"100-C-"&amp;Agencia[[#This Row],[Filtro URL]]</f>
        <v>100-C-16</v>
      </c>
      <c r="U409" s="46" t="str">
        <f t="shared" si="177"/>
        <v>#1774B9</v>
      </c>
      <c r="V409" s="93" t="str">
        <f>+Agencia[[#This Row],[idcoleccion]]&amp;"-"&amp;Agencia[[#This Row],[id]]</f>
        <v>990-0398</v>
      </c>
      <c r="W409" s="93">
        <f>+VLOOKUP(Agencia[[#This Row],[Filtro URL]],Estructura!$X$4:$Y$500,2,0)</f>
        <v>99200016</v>
      </c>
      <c r="X409" s="93" t="str">
        <f>+VLOOKUP(Agencia[[#This Row],[tema]],Estructura!$A$4:$C$500,3,0)</f>
        <v>T-1003</v>
      </c>
      <c r="Y409" s="93" t="str">
        <f>+VLOOKUP(Agencia[[#This Row],[contenido]],Estructura!$E$4:$G$500,3,0)</f>
        <v>C-1002</v>
      </c>
      <c r="Z409" s="93" t="str">
        <f>+VLOOKUP(Agencia[[#This Row],[Filtro Integrado]],Estructura!$I$4:$K$500,3,0)</f>
        <v>FI-991</v>
      </c>
      <c r="AA409" s="93" t="str">
        <f>+VLOOKUP(Agencia[[#This Row],[Muestra]],Estructura!$M$4:$O$500,3,0)</f>
        <v>M-1057</v>
      </c>
    </row>
    <row r="410" spans="1:27" ht="40.799999999999997" x14ac:dyDescent="0.3">
      <c r="A410" s="21" t="s">
        <v>897</v>
      </c>
      <c r="B410" s="23">
        <f t="shared" si="178"/>
        <v>990</v>
      </c>
      <c r="C410" s="24" t="str">
        <f t="shared" si="179"/>
        <v>Agencia Información</v>
      </c>
      <c r="D410" s="72" t="s">
        <v>1375</v>
      </c>
      <c r="E410" s="14">
        <v>0</v>
      </c>
      <c r="F410" s="18" t="s">
        <v>1376</v>
      </c>
      <c r="G410" s="18" t="s">
        <v>2700</v>
      </c>
      <c r="H410" s="31" t="s">
        <v>20</v>
      </c>
      <c r="I410" s="32" t="s">
        <v>15</v>
      </c>
      <c r="J410" s="9" t="s">
        <v>16</v>
      </c>
      <c r="K410" s="9" t="s">
        <v>1379</v>
      </c>
      <c r="L410" s="9" t="s">
        <v>1378</v>
      </c>
      <c r="M410" s="9" t="s">
        <v>1377</v>
      </c>
      <c r="N410" s="9" t="s">
        <v>1370</v>
      </c>
      <c r="O410" s="20" t="str">
        <f>"Cantidad de permisos de circulación según tipo de vehículo en "&amp;Agencia[[#This Row],[territorio]]&amp;", "&amp;Agencia[[#This Row],[temporalidad]]</f>
        <v>Cantidad de permisos de circulación según tipo de vehículo en Chile, Periodo 2008-2019</v>
      </c>
      <c r="P410" s="112" t="s">
        <v>6421</v>
      </c>
      <c r="Q410" s="46" t="s">
        <v>586</v>
      </c>
      <c r="R410" s="20" t="str">
        <f>Agencia[[#This Row],[territorio]]&amp;" permiso circulación cantidad número regional tipo vehículo"</f>
        <v>Chile permiso circulación cantidad número regional tipo vehículo</v>
      </c>
      <c r="S410" s="123" t="s">
        <v>5336</v>
      </c>
      <c r="T410" s="108">
        <v>0</v>
      </c>
      <c r="U410" s="46" t="str">
        <f t="shared" si="177"/>
        <v>#1774B9</v>
      </c>
      <c r="V410" s="93" t="str">
        <f>+Agencia[[#This Row],[idcoleccion]]&amp;"-"&amp;Agencia[[#This Row],[id]]</f>
        <v>990-0399</v>
      </c>
      <c r="W410" s="93">
        <f>+VLOOKUP(Agencia[[#This Row],[Filtro URL]],Estructura!$X$4:$Y$500,2,0)</f>
        <v>99100000</v>
      </c>
      <c r="X410" s="93" t="str">
        <f>+VLOOKUP(Agencia[[#This Row],[tema]],Estructura!$A$4:$C$500,3,0)</f>
        <v>T-1004</v>
      </c>
      <c r="Y410" s="93" t="str">
        <f>+VLOOKUP(Agencia[[#This Row],[contenido]],Estructura!$E$4:$G$500,3,0)</f>
        <v>C-1016</v>
      </c>
      <c r="Z410" s="93" t="str">
        <f>+VLOOKUP(Agencia[[#This Row],[Filtro Integrado]],Estructura!$I$4:$K$500,3,0)</f>
        <v>FI-992</v>
      </c>
      <c r="AA410" s="93" t="str">
        <f>+VLOOKUP(Agencia[[#This Row],[Muestra]],Estructura!$M$4:$O$500,3,0)</f>
        <v>M-1003</v>
      </c>
    </row>
    <row r="411" spans="1:27" ht="51" x14ac:dyDescent="0.3">
      <c r="A411" s="21" t="s">
        <v>898</v>
      </c>
      <c r="B411" s="23">
        <f>+B410</f>
        <v>990</v>
      </c>
      <c r="C411" s="136" t="str">
        <f>+C410</f>
        <v>Agencia Información</v>
      </c>
      <c r="D411" s="72" t="s">
        <v>954</v>
      </c>
      <c r="E411" s="14">
        <v>0</v>
      </c>
      <c r="F411" s="18" t="s">
        <v>5152</v>
      </c>
      <c r="G411" s="18" t="s">
        <v>1883</v>
      </c>
      <c r="H411" s="31" t="s">
        <v>20</v>
      </c>
      <c r="I411" s="32" t="s">
        <v>15</v>
      </c>
      <c r="J411" s="9" t="e">
        <f>+#REF!</f>
        <v>#REF!</v>
      </c>
      <c r="K411" s="9" t="s">
        <v>9294</v>
      </c>
      <c r="L411" s="9" t="s">
        <v>1381</v>
      </c>
      <c r="M411" s="9" t="s">
        <v>574</v>
      </c>
      <c r="N411" s="9" t="s">
        <v>1380</v>
      </c>
      <c r="O411" s="20" t="str">
        <f>"Emisiones (t) de CO2 por Tipo de Combustible en "&amp;Agencia[[#This Row],[territorio]]&amp;", "&amp;Agencia[[#This Row],[temporalidad]]</f>
        <v>Emisiones (t) de CO2 por Tipo de Combustible en Chile, Periodo 1990-2019</v>
      </c>
      <c r="P411" s="112" t="s">
        <v>1388</v>
      </c>
      <c r="Q411" s="11" t="s">
        <v>784</v>
      </c>
      <c r="R411" s="20" t="str">
        <f>Agencia[[#This Row],[territorio]]&amp;",GEI,emisiones,CO2,combustibles,petróleo,carbón,gas,"&amp;Agencia[[#This Row],[coleccion]]&amp;","&amp;Agencia[[#This Row],[sector]]&amp;","&amp;Agencia[[#This Row],[tema]]&amp;","&amp;Agencia[[#This Row],[contenido]]</f>
        <v>Chile,GEI,emisiones,CO2,combustibles,petróleo,carbón,gas,Agencia Información,Medio Ambiente,Emisiones GEI,Inventario de Gases de Efecto Invernadero (GEI)</v>
      </c>
      <c r="S411" s="37" t="s">
        <v>1382</v>
      </c>
      <c r="T411" s="108">
        <v>0</v>
      </c>
      <c r="U411" s="46" t="str">
        <f t="shared" si="177"/>
        <v>#1774B9</v>
      </c>
      <c r="V411" s="93" t="str">
        <f>+Agencia[[#This Row],[idcoleccion]]&amp;"-"&amp;Agencia[[#This Row],[id]]</f>
        <v>990-0400</v>
      </c>
      <c r="W411" s="93">
        <f>+VLOOKUP(Agencia[[#This Row],[Filtro URL]],Estructura!$X$4:$Y$500,2,0)</f>
        <v>99100000</v>
      </c>
      <c r="X411" s="93" t="str">
        <f>+VLOOKUP(Agencia[[#This Row],[tema]],Estructura!$A$4:$C$500,3,0)</f>
        <v>T-1082</v>
      </c>
      <c r="Y411" s="93" t="str">
        <f>+VLOOKUP(Agencia[[#This Row],[contenido]],Estructura!$E$4:$G$500,3,0)</f>
        <v>C-1004</v>
      </c>
      <c r="Z411" s="93" t="e">
        <f>+VLOOKUP(Agencia[[#This Row],[Filtro Integrado]],Estructura!$I$4:$K$500,3,0)</f>
        <v>#REF!</v>
      </c>
      <c r="AA411" s="93" t="str">
        <f>+VLOOKUP(Agencia[[#This Row],[Muestra]],Estructura!$M$4:$O$500,3,0)</f>
        <v>M-1058</v>
      </c>
    </row>
    <row r="412" spans="1:27" ht="51" x14ac:dyDescent="0.3">
      <c r="A412" s="21" t="s">
        <v>899</v>
      </c>
      <c r="B412" s="23">
        <f t="shared" si="178"/>
        <v>990</v>
      </c>
      <c r="C412" s="24" t="str">
        <f t="shared" si="179"/>
        <v>Agencia Información</v>
      </c>
      <c r="D412" s="72" t="s">
        <v>954</v>
      </c>
      <c r="E412" s="14">
        <v>0</v>
      </c>
      <c r="F412" s="18" t="s">
        <v>5152</v>
      </c>
      <c r="G412" s="18" t="s">
        <v>1883</v>
      </c>
      <c r="H412" s="31" t="s">
        <v>20</v>
      </c>
      <c r="I412" s="32" t="s">
        <v>15</v>
      </c>
      <c r="J412" s="9" t="s">
        <v>403</v>
      </c>
      <c r="K412" s="9" t="s">
        <v>9294</v>
      </c>
      <c r="L412" s="9" t="s">
        <v>1381</v>
      </c>
      <c r="M412" s="9" t="s">
        <v>2312</v>
      </c>
      <c r="N412" s="9" t="s">
        <v>1380</v>
      </c>
      <c r="O412" s="20" t="str">
        <f>"Variación Porcentual (%) Anual de Emisiones de CO2 por Quema de Combustible en "&amp;Agencia[[#This Row],[territorio]]&amp;", "&amp;Agencia[[#This Row],[temporalidad]]</f>
        <v>Variación Porcentual (%) Anual de Emisiones de CO2 por Quema de Combustible en Chile, Periodo 1990-2019</v>
      </c>
      <c r="P412" s="112" t="s">
        <v>1384</v>
      </c>
      <c r="Q412" s="11" t="s">
        <v>784</v>
      </c>
      <c r="R412" s="20" t="str">
        <f>Agencia[[#This Row],[territorio]]&amp;",GEI,emisiones,CO2,variación,anual,combustibles,petróleo,gas,carbón,"&amp;Agencia[[#This Row],[coleccion]]&amp;","&amp;Agencia[[#This Row],[sector]]&amp;","&amp;Agencia[[#This Row],[tema]]&amp;","&amp;Agencia[[#This Row],[contenido]]</f>
        <v>Chile,GEI,emisiones,CO2,variación,anual,combustibles,petróleo,gas,carbón,Agencia Información,Medio Ambiente,Emisiones GEI,Inventario de Gases de Efecto Invernadero (GEI)</v>
      </c>
      <c r="S412" s="37" t="s">
        <v>1383</v>
      </c>
      <c r="T412" s="108">
        <v>0</v>
      </c>
      <c r="U412" s="46" t="str">
        <f t="shared" si="177"/>
        <v>#1774B9</v>
      </c>
      <c r="V412" s="93" t="str">
        <f>+Agencia[[#This Row],[idcoleccion]]&amp;"-"&amp;Agencia[[#This Row],[id]]</f>
        <v>990-0401</v>
      </c>
      <c r="W412" s="93">
        <f>+VLOOKUP(Agencia[[#This Row],[Filtro URL]],Estructura!$X$4:$Y$500,2,0)</f>
        <v>99100000</v>
      </c>
      <c r="X412" s="93" t="str">
        <f>+VLOOKUP(Agencia[[#This Row],[tema]],Estructura!$A$4:$C$500,3,0)</f>
        <v>T-1082</v>
      </c>
      <c r="Y412" s="93" t="str">
        <f>+VLOOKUP(Agencia[[#This Row],[contenido]],Estructura!$E$4:$G$500,3,0)</f>
        <v>C-1004</v>
      </c>
      <c r="Z412" s="93" t="str">
        <f>+VLOOKUP(Agencia[[#This Row],[Filtro Integrado]],Estructura!$I$4:$K$500,3,0)</f>
        <v>FI-993</v>
      </c>
      <c r="AA412" s="93" t="str">
        <f>+VLOOKUP(Agencia[[#This Row],[Muestra]],Estructura!$M$4:$O$500,3,0)</f>
        <v>M-1058</v>
      </c>
    </row>
    <row r="413" spans="1:27" ht="51" x14ac:dyDescent="0.3">
      <c r="A413" s="21" t="s">
        <v>900</v>
      </c>
      <c r="B413" s="23">
        <f t="shared" ref="B413:D414" si="180">+B412</f>
        <v>990</v>
      </c>
      <c r="C413" s="24" t="str">
        <f t="shared" si="180"/>
        <v>Agencia Información</v>
      </c>
      <c r="D413" s="72" t="str">
        <f t="shared" si="180"/>
        <v>Medio Ambiente</v>
      </c>
      <c r="E413" s="14">
        <v>0</v>
      </c>
      <c r="F413" s="18" t="s">
        <v>5152</v>
      </c>
      <c r="G413" s="18" t="s">
        <v>1883</v>
      </c>
      <c r="H413" s="31" t="s">
        <v>20</v>
      </c>
      <c r="I413" s="32" t="s">
        <v>15</v>
      </c>
      <c r="J413" s="9" t="s">
        <v>403</v>
      </c>
      <c r="K413" s="142" t="s">
        <v>9294</v>
      </c>
      <c r="L413" s="9" t="s">
        <v>1381</v>
      </c>
      <c r="M413" s="9" t="s">
        <v>574</v>
      </c>
      <c r="N413" s="9" t="s">
        <v>1386</v>
      </c>
      <c r="O413" s="20" t="str">
        <f>+"Emisiones per cápita (t) de CO2 por Quema de Combustible en "&amp;I413&amp;", para el "&amp;Agencia[[#This Row],[temporalidad]]&amp;" y previsión 2020-2025"</f>
        <v>Emisiones per cápita (t) de CO2 por Quema de Combustible en Chile, para el Periodo 1990-2019 y previsión 2020-2025</v>
      </c>
      <c r="P413" s="112" t="s">
        <v>1385</v>
      </c>
      <c r="Q413" s="11" t="s">
        <v>784</v>
      </c>
      <c r="R413" s="20" t="str">
        <f>Agencia[[#This Row],[territorio]]&amp;",GEI,emisiones,CO2,per,cápita,combustibles,petróleo,gas,carbón,"&amp;Agencia[[#This Row],[coleccion]]&amp;","&amp;Agencia[[#This Row],[sector]]&amp;","&amp;Agencia[[#This Row],[tema]]&amp;","&amp;Agencia[[#This Row],[contenido]]</f>
        <v>Chile,GEI,emisiones,CO2,per,cápita,combustibles,petróleo,gas,carbón,Agencia Información,Medio Ambiente,Emisiones GEI,Inventario de Gases de Efecto Invernadero (GEI)</v>
      </c>
      <c r="S413" s="37" t="s">
        <v>1387</v>
      </c>
      <c r="T413" s="108">
        <v>0</v>
      </c>
      <c r="U413" s="46" t="str">
        <f t="shared" si="177"/>
        <v>#1774B9</v>
      </c>
      <c r="V413" s="93" t="str">
        <f>+Agencia[[#This Row],[idcoleccion]]&amp;"-"&amp;Agencia[[#This Row],[id]]</f>
        <v>990-0402</v>
      </c>
      <c r="W413" s="93">
        <f>+VLOOKUP(Agencia[[#This Row],[Filtro URL]],Estructura!$X$4:$Y$500,2,0)</f>
        <v>99100000</v>
      </c>
      <c r="X413" s="93" t="str">
        <f>+VLOOKUP(Agencia[[#This Row],[tema]],Estructura!$A$4:$C$500,3,0)</f>
        <v>T-1082</v>
      </c>
      <c r="Y413" s="93" t="str">
        <f>+VLOOKUP(Agencia[[#This Row],[contenido]],Estructura!$E$4:$G$500,3,0)</f>
        <v>C-1004</v>
      </c>
      <c r="Z413" s="93" t="str">
        <f>+VLOOKUP(Agencia[[#This Row],[Filtro Integrado]],Estructura!$I$4:$K$500,3,0)</f>
        <v>FI-993</v>
      </c>
      <c r="AA413" s="93" t="str">
        <f>+VLOOKUP(Agencia[[#This Row],[Muestra]],Estructura!$M$4:$O$500,3,0)</f>
        <v>M-1058</v>
      </c>
    </row>
    <row r="414" spans="1:27" ht="51" x14ac:dyDescent="0.3">
      <c r="A414" s="21" t="s">
        <v>901</v>
      </c>
      <c r="B414" s="23">
        <f t="shared" ref="B414:B477" si="181">+B413</f>
        <v>990</v>
      </c>
      <c r="C414" s="24" t="str">
        <f t="shared" si="180"/>
        <v>Agencia Información</v>
      </c>
      <c r="D414" s="72" t="str">
        <f t="shared" si="180"/>
        <v>Medio Ambiente</v>
      </c>
      <c r="E414" s="14">
        <v>0</v>
      </c>
      <c r="F414" s="18" t="s">
        <v>5152</v>
      </c>
      <c r="G414" s="18" t="s">
        <v>1883</v>
      </c>
      <c r="H414" s="31" t="s">
        <v>20</v>
      </c>
      <c r="I414" s="32" t="s">
        <v>15</v>
      </c>
      <c r="J414" s="9" t="s">
        <v>403</v>
      </c>
      <c r="K414" s="142" t="s">
        <v>9294</v>
      </c>
      <c r="L414" s="9" t="s">
        <v>1381</v>
      </c>
      <c r="M414" s="9" t="s">
        <v>2312</v>
      </c>
      <c r="N414" s="9" t="s">
        <v>1380</v>
      </c>
      <c r="O414" s="20" t="str">
        <f>+"Proporción de CO2 Emitido por Quema de Combustible con respecto al Año Anterior en "&amp;I414&amp;", "&amp;Agencia[[#This Row],[temporalidad]]</f>
        <v>Proporción de CO2 Emitido por Quema de Combustible con respecto al Año Anterior en Chile, Periodo 1990-2019</v>
      </c>
      <c r="P414" s="112" t="s">
        <v>1389</v>
      </c>
      <c r="Q414" s="11" t="s">
        <v>784</v>
      </c>
      <c r="R414" s="20" t="str">
        <f>Agencia[[#This Row],[territorio]]&amp;",GEI,emisiones,CO2,petróleo,gas,carbón,tendencia,proporción,"&amp;Agencia[[#This Row],[coleccion]]&amp;","&amp;Agencia[[#This Row],[sector]]&amp;","&amp;Agencia[[#This Row],[tema]]&amp;","&amp;Agencia[[#This Row],[contenido]]</f>
        <v>Chile,GEI,emisiones,CO2,petróleo,gas,carbón,tendencia,proporción,Agencia Información,Medio Ambiente,Emisiones GEI,Inventario de Gases de Efecto Invernadero (GEI)</v>
      </c>
      <c r="S414" s="37" t="s">
        <v>1390</v>
      </c>
      <c r="T414" s="108">
        <v>0</v>
      </c>
      <c r="U414" s="46" t="str">
        <f t="shared" si="177"/>
        <v>#1774B9</v>
      </c>
      <c r="V414" s="93" t="str">
        <f>+Agencia[[#This Row],[idcoleccion]]&amp;"-"&amp;Agencia[[#This Row],[id]]</f>
        <v>990-0403</v>
      </c>
      <c r="W414" s="93">
        <f>+VLOOKUP(Agencia[[#This Row],[Filtro URL]],Estructura!$X$4:$Y$500,2,0)</f>
        <v>99100000</v>
      </c>
      <c r="X414" s="93" t="str">
        <f>+VLOOKUP(Agencia[[#This Row],[tema]],Estructura!$A$4:$C$500,3,0)</f>
        <v>T-1082</v>
      </c>
      <c r="Y414" s="93" t="str">
        <f>+VLOOKUP(Agencia[[#This Row],[contenido]],Estructura!$E$4:$G$500,3,0)</f>
        <v>C-1004</v>
      </c>
      <c r="Z414" s="93" t="str">
        <f>+VLOOKUP(Agencia[[#This Row],[Filtro Integrado]],Estructura!$I$4:$K$500,3,0)</f>
        <v>FI-993</v>
      </c>
      <c r="AA414" s="93" t="str">
        <f>+VLOOKUP(Agencia[[#This Row],[Muestra]],Estructura!$M$4:$O$500,3,0)</f>
        <v>M-1058</v>
      </c>
    </row>
    <row r="415" spans="1:27" ht="71.400000000000006" x14ac:dyDescent="0.3">
      <c r="A415" s="21" t="s">
        <v>902</v>
      </c>
      <c r="B415" s="23">
        <f t="shared" si="181"/>
        <v>990</v>
      </c>
      <c r="C415" s="24" t="str">
        <f t="shared" ref="C415:C478" si="182">+C414</f>
        <v>Agencia Información</v>
      </c>
      <c r="D415" s="72" t="s">
        <v>823</v>
      </c>
      <c r="E415" s="14">
        <v>0</v>
      </c>
      <c r="F415" s="18" t="s">
        <v>1394</v>
      </c>
      <c r="G415" s="18" t="s">
        <v>1470</v>
      </c>
      <c r="H415" s="31" t="s">
        <v>20</v>
      </c>
      <c r="I415" s="32" t="s">
        <v>15</v>
      </c>
      <c r="J415" s="9" t="s">
        <v>1395</v>
      </c>
      <c r="K415" s="9" t="s">
        <v>1509</v>
      </c>
      <c r="L415" s="9" t="s">
        <v>1391</v>
      </c>
      <c r="M415" s="9" t="s">
        <v>1392</v>
      </c>
      <c r="N415" s="9" t="s">
        <v>826</v>
      </c>
      <c r="O415" s="20" t="str">
        <f>+"Diferencia porcentual con respecto al año anterior de trabajadores dependientes informados por género, "&amp;Agencia[[#This Row],[temporalidad]]</f>
        <v>Diferencia porcentual con respecto al año anterior de trabajadores dependientes informados por género, Periodo 2005-2019</v>
      </c>
      <c r="P415" s="112" t="s">
        <v>1397</v>
      </c>
      <c r="Q415" s="11" t="s">
        <v>784</v>
      </c>
      <c r="R415" s="20" t="str">
        <f>Agencia[[#This Row],[territorio]]&amp;",trabajadores,dependientes,informados,anual,sii,hombres,mujeres,sexo,género,nacional,"&amp;Agencia[[#This Row],[coleccion]]&amp;","&amp;Agencia[[#This Row],[sector]]&amp;","&amp;Agencia[[#This Row],[tema]]&amp;","&amp;Agencia[[#This Row],[contenido]]</f>
        <v>Chile,trabajadores,dependientes,informados,anual,sii,hombres,mujeres,sexo,género,nacional,Agencia Información,Economía,Trabajadores dependientes,Empresas</v>
      </c>
      <c r="S415" s="37" t="s">
        <v>1393</v>
      </c>
      <c r="T415" s="108">
        <v>0</v>
      </c>
      <c r="U415" s="46" t="str">
        <f t="shared" si="177"/>
        <v>#1774B9</v>
      </c>
      <c r="V415" s="93" t="str">
        <f>+Agencia[[#This Row],[idcoleccion]]&amp;"-"&amp;Agencia[[#This Row],[id]]</f>
        <v>990-0404</v>
      </c>
      <c r="W415" s="93">
        <f>+VLOOKUP(Agencia[[#This Row],[Filtro URL]],Estructura!$X$4:$Y$500,2,0)</f>
        <v>99100000</v>
      </c>
      <c r="X415" s="93" t="str">
        <f>+VLOOKUP(Agencia[[#This Row],[tema]],Estructura!$A$4:$C$500,3,0)</f>
        <v>T-1005</v>
      </c>
      <c r="Y415" s="93" t="str">
        <f>+VLOOKUP(Agencia[[#This Row],[contenido]],Estructura!$E$4:$G$500,3,0)</f>
        <v>C-993</v>
      </c>
      <c r="Z415" s="93" t="str">
        <f>+VLOOKUP(Agencia[[#This Row],[Filtro Integrado]],Estructura!$I$4:$K$500,3,0)</f>
        <v>FI-997</v>
      </c>
      <c r="AA415" s="93" t="str">
        <f>+VLOOKUP(Agencia[[#This Row],[Muestra]],Estructura!$M$4:$O$500,3,0)</f>
        <v>M-1059</v>
      </c>
    </row>
    <row r="416" spans="1:27" ht="40.799999999999997" x14ac:dyDescent="0.3">
      <c r="A416" s="21" t="s">
        <v>903</v>
      </c>
      <c r="B416" s="23">
        <f t="shared" si="181"/>
        <v>990</v>
      </c>
      <c r="C416" s="24" t="str">
        <f t="shared" si="182"/>
        <v>Agencia Información</v>
      </c>
      <c r="D416" s="72" t="s">
        <v>823</v>
      </c>
      <c r="E416" s="14">
        <v>0</v>
      </c>
      <c r="F416" s="18" t="s">
        <v>1396</v>
      </c>
      <c r="G416" s="18" t="s">
        <v>1470</v>
      </c>
      <c r="H416" s="31" t="s">
        <v>20</v>
      </c>
      <c r="I416" s="32" t="s">
        <v>15</v>
      </c>
      <c r="J416" s="9" t="s">
        <v>16</v>
      </c>
      <c r="K416" s="9" t="s">
        <v>9278</v>
      </c>
      <c r="L416" s="9" t="s">
        <v>1391</v>
      </c>
      <c r="M416" s="9" t="s">
        <v>1392</v>
      </c>
      <c r="N416" s="9" t="s">
        <v>826</v>
      </c>
      <c r="O416" s="20" t="str">
        <f>+"Número de trabajadores informados por tipo de contrato para cada año en "&amp;Agencia[[#This Row],[territorio]]&amp;", "&amp;Agencia[[#This Row],[temporalidad]]</f>
        <v>Número de trabajadores informados por tipo de contrato para cada año en Chile, Periodo 2005-2019</v>
      </c>
      <c r="P416" s="112" t="s">
        <v>5769</v>
      </c>
      <c r="Q416" s="11" t="s">
        <v>784</v>
      </c>
      <c r="R416" s="20" t="str">
        <f>Agencia[[#This Row],[territorio]]&amp;",regional,trabajadores,dependientes,informados,honorarios,anual,sii,"&amp;Agencia[[#This Row],[coleccion]]&amp;","&amp;Agencia[[#This Row],[sector]]&amp;","&amp;Agencia[[#This Row],[tema]]&amp;","&amp;Agencia[[#This Row],[contenido]]</f>
        <v>Chile,regional,trabajadores,dependientes,informados,honorarios,anual,sii,Agencia Información,Economía,Trabajadores dependientes o a honorarios,Empresas</v>
      </c>
      <c r="S416" s="37" t="s">
        <v>1420</v>
      </c>
      <c r="T416" s="108" t="s">
        <v>805</v>
      </c>
      <c r="U416" s="46" t="str">
        <f t="shared" si="177"/>
        <v>#1774B9</v>
      </c>
      <c r="V416" s="93" t="str">
        <f>+Agencia[[#This Row],[idcoleccion]]&amp;"-"&amp;Agencia[[#This Row],[id]]</f>
        <v>990-0405</v>
      </c>
      <c r="W416" s="93">
        <f>+VLOOKUP(Agencia[[#This Row],[Filtro URL]],Estructura!$X$4:$Y$500,2,0)</f>
        <v>99100000</v>
      </c>
      <c r="X416" s="93" t="str">
        <f>+VLOOKUP(Agencia[[#This Row],[tema]],Estructura!$A$4:$C$500,3,0)</f>
        <v>T-1006</v>
      </c>
      <c r="Y416" s="93" t="str">
        <f>+VLOOKUP(Agencia[[#This Row],[contenido]],Estructura!$E$4:$G$500,3,0)</f>
        <v>C-993</v>
      </c>
      <c r="Z416" s="93" t="str">
        <f>+VLOOKUP(Agencia[[#This Row],[Filtro Integrado]],Estructura!$I$4:$K$500,3,0)</f>
        <v>FI-992</v>
      </c>
      <c r="AA416" s="93" t="str">
        <f>+VLOOKUP(Agencia[[#This Row],[Muestra]],Estructura!$M$4:$O$500,3,0)</f>
        <v>M-1060</v>
      </c>
    </row>
    <row r="417" spans="1:27" ht="57.6" x14ac:dyDescent="0.3">
      <c r="A417" s="21" t="s">
        <v>904</v>
      </c>
      <c r="B417" s="23">
        <f t="shared" si="181"/>
        <v>990</v>
      </c>
      <c r="C417" s="24" t="str">
        <f t="shared" si="182"/>
        <v>Agencia Información</v>
      </c>
      <c r="D417" s="72" t="str">
        <f t="shared" ref="D417:D432" si="183">+D416</f>
        <v>Economía</v>
      </c>
      <c r="E417" s="19">
        <v>1</v>
      </c>
      <c r="F417" s="18" t="s">
        <v>1396</v>
      </c>
      <c r="G417" s="18" t="s">
        <v>1470</v>
      </c>
      <c r="H417" s="33" t="s">
        <v>16</v>
      </c>
      <c r="I417" s="34" t="s">
        <v>368</v>
      </c>
      <c r="J417" s="9" t="s">
        <v>403</v>
      </c>
      <c r="K417" s="9" t="str">
        <f t="shared" ref="K417:K432" si="184">+K416</f>
        <v>Trabajadores informados</v>
      </c>
      <c r="L417" s="9" t="str">
        <f t="shared" ref="L417:L432" si="185">+L416</f>
        <v>Periodo 2005-2019</v>
      </c>
      <c r="M417" s="9" t="str">
        <f t="shared" ref="M417:M432" si="186">+M416</f>
        <v>Personas</v>
      </c>
      <c r="N417" s="9" t="str">
        <f t="shared" ref="N417:N432" si="187">+N416</f>
        <v>Servicio de Impuestos Internos (SII)</v>
      </c>
      <c r="O417" s="20" t="str">
        <f>+"Número de trabajadores informados por tipo de contrato para cada año en la "&amp;Agencia[[#This Row],[territorio]]&amp;", "&amp;Agencia[[#This Row],[temporalidad]]</f>
        <v>Número de trabajadores informados por tipo de contrato para cada año en la Región de Tarapacá, Periodo 2005-2019</v>
      </c>
      <c r="P417" s="112" t="s">
        <v>5770</v>
      </c>
      <c r="Q417" s="11" t="str">
        <f t="shared" si="176"/>
        <v>Gráfico de Evolución</v>
      </c>
      <c r="R417" s="148" t="str">
        <f>Agencia[[#This Row],[territorio]]&amp;",regional,trabajadores,dependientes,informados,honorarios,anual,sii,"&amp;Agencia[[#This Row],[coleccion]]&amp;","&amp;Agencia[[#This Row],[sector]]&amp;","&amp;Agencia[[#This Row],[tema]]&amp;","&amp;Agencia[[#This Row],[contenido]]</f>
        <v>Región de Tarapacá,regional,trabajadores,dependientes,informados,honorarios,anual,sii,Agencia Información,Economía,Trabajadores dependientes o a honorarios,Empresas</v>
      </c>
      <c r="S417" s="37" t="str">
        <f>HYPERLINK("https://analytics.zoho.com/open-view/2395394000008038797?ZOHO_CRITERIA=%225.1%20Empresas_Tama%C3%B1o%22.%22Cod_Regi%C3%B3n%22%3D"&amp;Agencia[[#This Row],[Filtro URL]])</f>
        <v>https://analytics.zoho.com/open-view/2395394000008038797?ZOHO_CRITERIA=%225.1%20Empresas_Tama%C3%B1o%22.%22Cod_Regi%C3%B3n%22%3D1</v>
      </c>
      <c r="T417" s="108" t="str">
        <f>"100-R-"&amp;Agencia[[#This Row],[Filtro URL]]</f>
        <v>100-R-1</v>
      </c>
      <c r="U417" s="46" t="str">
        <f t="shared" si="177"/>
        <v>#1774B9</v>
      </c>
      <c r="V417" s="93" t="str">
        <f>+Agencia[[#This Row],[idcoleccion]]&amp;"-"&amp;Agencia[[#This Row],[id]]</f>
        <v>990-0406</v>
      </c>
      <c r="W417" s="93">
        <f>+VLOOKUP(Agencia[[#This Row],[Filtro URL]],Estructura!$X$4:$Y$500,2,0)</f>
        <v>99200001</v>
      </c>
      <c r="X417" s="93" t="str">
        <f>+VLOOKUP(Agencia[[#This Row],[tema]],Estructura!$A$4:$C$500,3,0)</f>
        <v>T-1006</v>
      </c>
      <c r="Y417" s="93" t="str">
        <f>+VLOOKUP(Agencia[[#This Row],[contenido]],Estructura!$E$4:$G$500,3,0)</f>
        <v>C-993</v>
      </c>
      <c r="Z417" s="93" t="str">
        <f>+VLOOKUP(Agencia[[#This Row],[Filtro Integrado]],Estructura!$I$4:$K$500,3,0)</f>
        <v>FI-993</v>
      </c>
      <c r="AA417" s="93" t="str">
        <f>+VLOOKUP(Agencia[[#This Row],[Muestra]],Estructura!$M$4:$O$500,3,0)</f>
        <v>M-1060</v>
      </c>
    </row>
    <row r="418" spans="1:27" ht="57.6" x14ac:dyDescent="0.3">
      <c r="A418" s="21" t="s">
        <v>905</v>
      </c>
      <c r="B418" s="23">
        <f t="shared" si="181"/>
        <v>990</v>
      </c>
      <c r="C418" s="24" t="str">
        <f t="shared" si="182"/>
        <v>Agencia Información</v>
      </c>
      <c r="D418" s="72" t="str">
        <f t="shared" si="183"/>
        <v>Economía</v>
      </c>
      <c r="E418" s="19">
        <v>2</v>
      </c>
      <c r="F418" s="18" t="s">
        <v>1396</v>
      </c>
      <c r="G418" s="18" t="s">
        <v>1470</v>
      </c>
      <c r="H418" s="33" t="s">
        <v>16</v>
      </c>
      <c r="I418" s="34" t="s">
        <v>369</v>
      </c>
      <c r="J418" s="9" t="str">
        <f t="shared" ref="J418:J432" si="188">+J417</f>
        <v>Ninguno</v>
      </c>
      <c r="K418" s="9" t="str">
        <f t="shared" si="184"/>
        <v>Trabajadores informados</v>
      </c>
      <c r="L418" s="9" t="str">
        <f t="shared" si="185"/>
        <v>Periodo 2005-2019</v>
      </c>
      <c r="M418" s="9" t="str">
        <f t="shared" si="186"/>
        <v>Personas</v>
      </c>
      <c r="N418" s="9" t="str">
        <f t="shared" si="187"/>
        <v>Servicio de Impuestos Internos (SII)</v>
      </c>
      <c r="O418" s="20" t="str">
        <f>+"Número de trabajadores informados por tipo de contrato para cada año en la "&amp;Agencia[[#This Row],[territorio]]&amp;", "&amp;Agencia[[#This Row],[temporalidad]]</f>
        <v>Número de trabajadores informados por tipo de contrato para cada año en la Región de Antofagasta, Periodo 2005-2019</v>
      </c>
      <c r="P418" s="112" t="s">
        <v>5712</v>
      </c>
      <c r="Q418" s="11" t="str">
        <f t="shared" si="176"/>
        <v>Gráfico de Evolución</v>
      </c>
      <c r="R418" s="148" t="str">
        <f>Agencia[[#This Row],[territorio]]&amp;",regional,trabajadores,dependientes,informados,honorarios,anual,sii,"&amp;Agencia[[#This Row],[coleccion]]&amp;","&amp;Agencia[[#This Row],[sector]]&amp;","&amp;Agencia[[#This Row],[tema]]&amp;","&amp;Agencia[[#This Row],[contenido]]</f>
        <v>Región de Antofagasta,regional,trabajadores,dependientes,informados,honorarios,anual,sii,Agencia Información,Economía,Trabajadores dependientes o a honorarios,Empresas</v>
      </c>
      <c r="S418" s="37" t="str">
        <f>HYPERLINK("https://analytics.zoho.com/open-view/2395394000008038797?ZOHO_CRITERIA=%225.1%20Empresas_Tama%C3%B1o%22.%22Cod_Regi%C3%B3n%22%3D"&amp;Agencia[[#This Row],[Filtro URL]])</f>
        <v>https://analytics.zoho.com/open-view/2395394000008038797?ZOHO_CRITERIA=%225.1%20Empresas_Tama%C3%B1o%22.%22Cod_Regi%C3%B3n%22%3D2</v>
      </c>
      <c r="T418" s="108" t="str">
        <f>"100-R-"&amp;Agencia[[#This Row],[Filtro URL]]</f>
        <v>100-R-2</v>
      </c>
      <c r="U418" s="46" t="str">
        <f t="shared" si="177"/>
        <v>#1774B9</v>
      </c>
      <c r="V418" s="93" t="str">
        <f>+Agencia[[#This Row],[idcoleccion]]&amp;"-"&amp;Agencia[[#This Row],[id]]</f>
        <v>990-0407</v>
      </c>
      <c r="W418" s="93">
        <f>+VLOOKUP(Agencia[[#This Row],[Filtro URL]],Estructura!$X$4:$Y$500,2,0)</f>
        <v>99200002</v>
      </c>
      <c r="X418" s="93" t="str">
        <f>+VLOOKUP(Agencia[[#This Row],[tema]],Estructura!$A$4:$C$500,3,0)</f>
        <v>T-1006</v>
      </c>
      <c r="Y418" s="93" t="str">
        <f>+VLOOKUP(Agencia[[#This Row],[contenido]],Estructura!$E$4:$G$500,3,0)</f>
        <v>C-993</v>
      </c>
      <c r="Z418" s="93" t="str">
        <f>+VLOOKUP(Agencia[[#This Row],[Filtro Integrado]],Estructura!$I$4:$K$500,3,0)</f>
        <v>FI-993</v>
      </c>
      <c r="AA418" s="93" t="str">
        <f>+VLOOKUP(Agencia[[#This Row],[Muestra]],Estructura!$M$4:$O$500,3,0)</f>
        <v>M-1060</v>
      </c>
    </row>
    <row r="419" spans="1:27" ht="57.6" x14ac:dyDescent="0.3">
      <c r="A419" s="21" t="s">
        <v>906</v>
      </c>
      <c r="B419" s="23">
        <f t="shared" si="181"/>
        <v>990</v>
      </c>
      <c r="C419" s="24" t="str">
        <f t="shared" si="182"/>
        <v>Agencia Información</v>
      </c>
      <c r="D419" s="72" t="str">
        <f t="shared" si="183"/>
        <v>Economía</v>
      </c>
      <c r="E419" s="19">
        <v>3</v>
      </c>
      <c r="F419" s="18" t="s">
        <v>1396</v>
      </c>
      <c r="G419" s="18" t="s">
        <v>1470</v>
      </c>
      <c r="H419" s="33" t="s">
        <v>16</v>
      </c>
      <c r="I419" s="34" t="s">
        <v>370</v>
      </c>
      <c r="J419" s="9" t="str">
        <f t="shared" si="188"/>
        <v>Ninguno</v>
      </c>
      <c r="K419" s="9" t="str">
        <f t="shared" si="184"/>
        <v>Trabajadores informados</v>
      </c>
      <c r="L419" s="9" t="str">
        <f t="shared" si="185"/>
        <v>Periodo 2005-2019</v>
      </c>
      <c r="M419" s="9" t="str">
        <f t="shared" si="186"/>
        <v>Personas</v>
      </c>
      <c r="N419" s="9" t="str">
        <f t="shared" si="187"/>
        <v>Servicio de Impuestos Internos (SII)</v>
      </c>
      <c r="O419" s="20" t="str">
        <f>+"Número de trabajadores informados por tipo de contrato para cada año en la "&amp;Agencia[[#This Row],[territorio]]&amp;", "&amp;Agencia[[#This Row],[temporalidad]]</f>
        <v>Número de trabajadores informados por tipo de contrato para cada año en la Región de Atacama, Periodo 2005-2019</v>
      </c>
      <c r="P419" s="112" t="s">
        <v>5777</v>
      </c>
      <c r="Q419" s="11" t="str">
        <f t="shared" si="176"/>
        <v>Gráfico de Evolución</v>
      </c>
      <c r="R419" s="148" t="str">
        <f>Agencia[[#This Row],[territorio]]&amp;",regional,trabajadores,dependientes,informados,honorarios,anual,sii,"&amp;Agencia[[#This Row],[coleccion]]&amp;","&amp;Agencia[[#This Row],[sector]]&amp;","&amp;Agencia[[#This Row],[tema]]&amp;","&amp;Agencia[[#This Row],[contenido]]</f>
        <v>Región de Atacama,regional,trabajadores,dependientes,informados,honorarios,anual,sii,Agencia Información,Economía,Trabajadores dependientes o a honorarios,Empresas</v>
      </c>
      <c r="S419" s="37" t="str">
        <f>HYPERLINK("https://analytics.zoho.com/open-view/2395394000008038797?ZOHO_CRITERIA=%225.1%20Empresas_Tama%C3%B1o%22.%22Cod_Regi%C3%B3n%22%3D"&amp;Agencia[[#This Row],[Filtro URL]])</f>
        <v>https://analytics.zoho.com/open-view/2395394000008038797?ZOHO_CRITERIA=%225.1%20Empresas_Tama%C3%B1o%22.%22Cod_Regi%C3%B3n%22%3D3</v>
      </c>
      <c r="T419" s="108" t="str">
        <f>"100-R-"&amp;Agencia[[#This Row],[Filtro URL]]</f>
        <v>100-R-3</v>
      </c>
      <c r="U419" s="46" t="str">
        <f t="shared" si="177"/>
        <v>#1774B9</v>
      </c>
      <c r="V419" s="93" t="str">
        <f>+Agencia[[#This Row],[idcoleccion]]&amp;"-"&amp;Agencia[[#This Row],[id]]</f>
        <v>990-0408</v>
      </c>
      <c r="W419" s="93">
        <f>+VLOOKUP(Agencia[[#This Row],[Filtro URL]],Estructura!$X$4:$Y$500,2,0)</f>
        <v>99200003</v>
      </c>
      <c r="X419" s="93" t="str">
        <f>+VLOOKUP(Agencia[[#This Row],[tema]],Estructura!$A$4:$C$500,3,0)</f>
        <v>T-1006</v>
      </c>
      <c r="Y419" s="93" t="str">
        <f>+VLOOKUP(Agencia[[#This Row],[contenido]],Estructura!$E$4:$G$500,3,0)</f>
        <v>C-993</v>
      </c>
      <c r="Z419" s="93" t="str">
        <f>+VLOOKUP(Agencia[[#This Row],[Filtro Integrado]],Estructura!$I$4:$K$500,3,0)</f>
        <v>FI-993</v>
      </c>
      <c r="AA419" s="93" t="str">
        <f>+VLOOKUP(Agencia[[#This Row],[Muestra]],Estructura!$M$4:$O$500,3,0)</f>
        <v>M-1060</v>
      </c>
    </row>
    <row r="420" spans="1:27" ht="57.6" x14ac:dyDescent="0.3">
      <c r="A420" s="21" t="s">
        <v>907</v>
      </c>
      <c r="B420" s="23">
        <f t="shared" si="181"/>
        <v>990</v>
      </c>
      <c r="C420" s="24" t="str">
        <f t="shared" si="182"/>
        <v>Agencia Información</v>
      </c>
      <c r="D420" s="72" t="str">
        <f t="shared" si="183"/>
        <v>Economía</v>
      </c>
      <c r="E420" s="19">
        <v>4</v>
      </c>
      <c r="F420" s="18" t="s">
        <v>1396</v>
      </c>
      <c r="G420" s="18" t="s">
        <v>1470</v>
      </c>
      <c r="H420" s="33" t="s">
        <v>16</v>
      </c>
      <c r="I420" s="34" t="s">
        <v>371</v>
      </c>
      <c r="J420" s="9" t="str">
        <f t="shared" si="188"/>
        <v>Ninguno</v>
      </c>
      <c r="K420" s="9" t="str">
        <f t="shared" si="184"/>
        <v>Trabajadores informados</v>
      </c>
      <c r="L420" s="9" t="str">
        <f t="shared" si="185"/>
        <v>Periodo 2005-2019</v>
      </c>
      <c r="M420" s="9" t="str">
        <f t="shared" si="186"/>
        <v>Personas</v>
      </c>
      <c r="N420" s="9" t="str">
        <f t="shared" si="187"/>
        <v>Servicio de Impuestos Internos (SII)</v>
      </c>
      <c r="O420" s="20" t="str">
        <f>+"Número de trabajadores informados por tipo de contrato para cada año en la "&amp;Agencia[[#This Row],[territorio]]&amp;", "&amp;Agencia[[#This Row],[temporalidad]]</f>
        <v>Número de trabajadores informados por tipo de contrato para cada año en la Región de Coquimbo, Periodo 2005-2019</v>
      </c>
      <c r="P420" s="112" t="s">
        <v>5778</v>
      </c>
      <c r="Q420" s="11" t="str">
        <f t="shared" si="176"/>
        <v>Gráfico de Evolución</v>
      </c>
      <c r="R420" s="148" t="str">
        <f>Agencia[[#This Row],[territorio]]&amp;",regional,trabajadores,dependientes,informados,honorarios,anual,sii,"&amp;Agencia[[#This Row],[coleccion]]&amp;","&amp;Agencia[[#This Row],[sector]]&amp;","&amp;Agencia[[#This Row],[tema]]&amp;","&amp;Agencia[[#This Row],[contenido]]</f>
        <v>Región de Coquimbo,regional,trabajadores,dependientes,informados,honorarios,anual,sii,Agencia Información,Economía,Trabajadores dependientes o a honorarios,Empresas</v>
      </c>
      <c r="S420" s="37" t="str">
        <f>HYPERLINK("https://analytics.zoho.com/open-view/2395394000008038797?ZOHO_CRITERIA=%225.1%20Empresas_Tama%C3%B1o%22.%22Cod_Regi%C3%B3n%22%3D"&amp;Agencia[[#This Row],[Filtro URL]])</f>
        <v>https://analytics.zoho.com/open-view/2395394000008038797?ZOHO_CRITERIA=%225.1%20Empresas_Tama%C3%B1o%22.%22Cod_Regi%C3%B3n%22%3D4</v>
      </c>
      <c r="T420" s="108" t="str">
        <f>"100-R-"&amp;Agencia[[#This Row],[Filtro URL]]</f>
        <v>100-R-4</v>
      </c>
      <c r="U420" s="46" t="str">
        <f t="shared" si="177"/>
        <v>#1774B9</v>
      </c>
      <c r="V420" s="93" t="str">
        <f>+Agencia[[#This Row],[idcoleccion]]&amp;"-"&amp;Agencia[[#This Row],[id]]</f>
        <v>990-0409</v>
      </c>
      <c r="W420" s="93">
        <f>+VLOOKUP(Agencia[[#This Row],[Filtro URL]],Estructura!$X$4:$Y$500,2,0)</f>
        <v>99200004</v>
      </c>
      <c r="X420" s="93" t="str">
        <f>+VLOOKUP(Agencia[[#This Row],[tema]],Estructura!$A$4:$C$500,3,0)</f>
        <v>T-1006</v>
      </c>
      <c r="Y420" s="93" t="str">
        <f>+VLOOKUP(Agencia[[#This Row],[contenido]],Estructura!$E$4:$G$500,3,0)</f>
        <v>C-993</v>
      </c>
      <c r="Z420" s="93" t="str">
        <f>+VLOOKUP(Agencia[[#This Row],[Filtro Integrado]],Estructura!$I$4:$K$500,3,0)</f>
        <v>FI-993</v>
      </c>
      <c r="AA420" s="93" t="str">
        <f>+VLOOKUP(Agencia[[#This Row],[Muestra]],Estructura!$M$4:$O$500,3,0)</f>
        <v>M-1060</v>
      </c>
    </row>
    <row r="421" spans="1:27" ht="57.6" x14ac:dyDescent="0.3">
      <c r="A421" s="21" t="s">
        <v>908</v>
      </c>
      <c r="B421" s="23">
        <f t="shared" si="181"/>
        <v>990</v>
      </c>
      <c r="C421" s="24" t="str">
        <f t="shared" si="182"/>
        <v>Agencia Información</v>
      </c>
      <c r="D421" s="72" t="str">
        <f t="shared" si="183"/>
        <v>Economía</v>
      </c>
      <c r="E421" s="19">
        <v>5</v>
      </c>
      <c r="F421" s="18" t="s">
        <v>1396</v>
      </c>
      <c r="G421" s="18" t="s">
        <v>1470</v>
      </c>
      <c r="H421" s="33" t="s">
        <v>16</v>
      </c>
      <c r="I421" s="34" t="s">
        <v>372</v>
      </c>
      <c r="J421" s="9" t="str">
        <f t="shared" si="188"/>
        <v>Ninguno</v>
      </c>
      <c r="K421" s="9" t="str">
        <f t="shared" si="184"/>
        <v>Trabajadores informados</v>
      </c>
      <c r="L421" s="9" t="str">
        <f t="shared" si="185"/>
        <v>Periodo 2005-2019</v>
      </c>
      <c r="M421" s="9" t="str">
        <f t="shared" si="186"/>
        <v>Personas</v>
      </c>
      <c r="N421" s="9" t="str">
        <f t="shared" si="187"/>
        <v>Servicio de Impuestos Internos (SII)</v>
      </c>
      <c r="O421" s="20" t="str">
        <f>+"Número de trabajadores informados por tipo de contrato para cada año en la "&amp;Agencia[[#This Row],[territorio]]&amp;", "&amp;Agencia[[#This Row],[temporalidad]]</f>
        <v>Número de trabajadores informados por tipo de contrato para cada año en la Región de Valparaíso, Periodo 2005-2019</v>
      </c>
      <c r="P421" s="112" t="s">
        <v>5713</v>
      </c>
      <c r="Q421" s="11" t="str">
        <f t="shared" si="176"/>
        <v>Gráfico de Evolución</v>
      </c>
      <c r="R421" s="148" t="str">
        <f>Agencia[[#This Row],[territorio]]&amp;",regional,trabajadores,dependientes,informados,honorarios,anual,sii,"&amp;Agencia[[#This Row],[coleccion]]&amp;","&amp;Agencia[[#This Row],[sector]]&amp;","&amp;Agencia[[#This Row],[tema]]&amp;","&amp;Agencia[[#This Row],[contenido]]</f>
        <v>Región de Valparaíso,regional,trabajadores,dependientes,informados,honorarios,anual,sii,Agencia Información,Economía,Trabajadores dependientes o a honorarios,Empresas</v>
      </c>
      <c r="S421" s="37" t="str">
        <f>HYPERLINK("https://analytics.zoho.com/open-view/2395394000008038797?ZOHO_CRITERIA=%225.1%20Empresas_Tama%C3%B1o%22.%22Cod_Regi%C3%B3n%22%3D"&amp;Agencia[[#This Row],[Filtro URL]])</f>
        <v>https://analytics.zoho.com/open-view/2395394000008038797?ZOHO_CRITERIA=%225.1%20Empresas_Tama%C3%B1o%22.%22Cod_Regi%C3%B3n%22%3D5</v>
      </c>
      <c r="T421" s="108" t="str">
        <f>"100-R-"&amp;Agencia[[#This Row],[Filtro URL]]</f>
        <v>100-R-5</v>
      </c>
      <c r="U421" s="46" t="str">
        <f t="shared" si="177"/>
        <v>#1774B9</v>
      </c>
      <c r="V421" s="93" t="str">
        <f>+Agencia[[#This Row],[idcoleccion]]&amp;"-"&amp;Agencia[[#This Row],[id]]</f>
        <v>990-0410</v>
      </c>
      <c r="W421" s="93">
        <f>+VLOOKUP(Agencia[[#This Row],[Filtro URL]],Estructura!$X$4:$Y$500,2,0)</f>
        <v>99200005</v>
      </c>
      <c r="X421" s="93" t="str">
        <f>+VLOOKUP(Agencia[[#This Row],[tema]],Estructura!$A$4:$C$500,3,0)</f>
        <v>T-1006</v>
      </c>
      <c r="Y421" s="93" t="str">
        <f>+VLOOKUP(Agencia[[#This Row],[contenido]],Estructura!$E$4:$G$500,3,0)</f>
        <v>C-993</v>
      </c>
      <c r="Z421" s="93" t="str">
        <f>+VLOOKUP(Agencia[[#This Row],[Filtro Integrado]],Estructura!$I$4:$K$500,3,0)</f>
        <v>FI-993</v>
      </c>
      <c r="AA421" s="93" t="str">
        <f>+VLOOKUP(Agencia[[#This Row],[Muestra]],Estructura!$M$4:$O$500,3,0)</f>
        <v>M-1060</v>
      </c>
    </row>
    <row r="422" spans="1:27" ht="57.6" x14ac:dyDescent="0.3">
      <c r="A422" s="21" t="s">
        <v>909</v>
      </c>
      <c r="B422" s="23">
        <f t="shared" si="181"/>
        <v>990</v>
      </c>
      <c r="C422" s="24" t="str">
        <f t="shared" si="182"/>
        <v>Agencia Información</v>
      </c>
      <c r="D422" s="72" t="str">
        <f t="shared" si="183"/>
        <v>Economía</v>
      </c>
      <c r="E422" s="19">
        <v>6</v>
      </c>
      <c r="F422" s="18" t="s">
        <v>1396</v>
      </c>
      <c r="G422" s="18" t="s">
        <v>1470</v>
      </c>
      <c r="H422" s="33" t="s">
        <v>16</v>
      </c>
      <c r="I422" s="34" t="s">
        <v>373</v>
      </c>
      <c r="J422" s="9" t="str">
        <f t="shared" si="188"/>
        <v>Ninguno</v>
      </c>
      <c r="K422" s="9" t="str">
        <f t="shared" si="184"/>
        <v>Trabajadores informados</v>
      </c>
      <c r="L422" s="9" t="str">
        <f t="shared" si="185"/>
        <v>Periodo 2005-2019</v>
      </c>
      <c r="M422" s="9" t="str">
        <f t="shared" si="186"/>
        <v>Personas</v>
      </c>
      <c r="N422" s="9" t="str">
        <f t="shared" si="187"/>
        <v>Servicio de Impuestos Internos (SII)</v>
      </c>
      <c r="O422" s="20" t="str">
        <f>+"Número de trabajadores informados por tipo de contrato para cada año en la "&amp;Agencia[[#This Row],[territorio]]&amp;", "&amp;Agencia[[#This Row],[temporalidad]]</f>
        <v>Número de trabajadores informados por tipo de contrato para cada año en la Región de O'Higgins, Periodo 2005-2019</v>
      </c>
      <c r="P422" s="112" t="s">
        <v>5779</v>
      </c>
      <c r="Q422" s="11" t="str">
        <f t="shared" si="176"/>
        <v>Gráfico de Evolución</v>
      </c>
      <c r="R422" s="148" t="str">
        <f>Agencia[[#This Row],[territorio]]&amp;",regional,trabajadores,dependientes,informados,honorarios,anual,sii,"&amp;Agencia[[#This Row],[coleccion]]&amp;","&amp;Agencia[[#This Row],[sector]]&amp;","&amp;Agencia[[#This Row],[tema]]&amp;","&amp;Agencia[[#This Row],[contenido]]</f>
        <v>Región de O'Higgins,regional,trabajadores,dependientes,informados,honorarios,anual,sii,Agencia Información,Economía,Trabajadores dependientes o a honorarios,Empresas</v>
      </c>
      <c r="S422" s="37" t="str">
        <f>HYPERLINK("https://analytics.zoho.com/open-view/2395394000008038797?ZOHO_CRITERIA=%225.1%20Empresas_Tama%C3%B1o%22.%22Cod_Regi%C3%B3n%22%3D"&amp;Agencia[[#This Row],[Filtro URL]])</f>
        <v>https://analytics.zoho.com/open-view/2395394000008038797?ZOHO_CRITERIA=%225.1%20Empresas_Tama%C3%B1o%22.%22Cod_Regi%C3%B3n%22%3D6</v>
      </c>
      <c r="T422" s="108" t="str">
        <f>"100-R-"&amp;Agencia[[#This Row],[Filtro URL]]</f>
        <v>100-R-6</v>
      </c>
      <c r="U422" s="46" t="str">
        <f t="shared" si="177"/>
        <v>#1774B9</v>
      </c>
      <c r="V422" s="93" t="str">
        <f>+Agencia[[#This Row],[idcoleccion]]&amp;"-"&amp;Agencia[[#This Row],[id]]</f>
        <v>990-0411</v>
      </c>
      <c r="W422" s="93">
        <f>+VLOOKUP(Agencia[[#This Row],[Filtro URL]],Estructura!$X$4:$Y$500,2,0)</f>
        <v>99200006</v>
      </c>
      <c r="X422" s="93" t="str">
        <f>+VLOOKUP(Agencia[[#This Row],[tema]],Estructura!$A$4:$C$500,3,0)</f>
        <v>T-1006</v>
      </c>
      <c r="Y422" s="93" t="str">
        <f>+VLOOKUP(Agencia[[#This Row],[contenido]],Estructura!$E$4:$G$500,3,0)</f>
        <v>C-993</v>
      </c>
      <c r="Z422" s="93" t="str">
        <f>+VLOOKUP(Agencia[[#This Row],[Filtro Integrado]],Estructura!$I$4:$K$500,3,0)</f>
        <v>FI-993</v>
      </c>
      <c r="AA422" s="93" t="str">
        <f>+VLOOKUP(Agencia[[#This Row],[Muestra]],Estructura!$M$4:$O$500,3,0)</f>
        <v>M-1060</v>
      </c>
    </row>
    <row r="423" spans="1:27" ht="57.6" x14ac:dyDescent="0.3">
      <c r="A423" s="21" t="s">
        <v>910</v>
      </c>
      <c r="B423" s="23">
        <f t="shared" si="181"/>
        <v>990</v>
      </c>
      <c r="C423" s="24" t="str">
        <f t="shared" si="182"/>
        <v>Agencia Información</v>
      </c>
      <c r="D423" s="72" t="str">
        <f t="shared" si="183"/>
        <v>Economía</v>
      </c>
      <c r="E423" s="19">
        <v>7</v>
      </c>
      <c r="F423" s="18" t="s">
        <v>1396</v>
      </c>
      <c r="G423" s="18" t="s">
        <v>1470</v>
      </c>
      <c r="H423" s="33" t="s">
        <v>16</v>
      </c>
      <c r="I423" s="34" t="s">
        <v>374</v>
      </c>
      <c r="J423" s="9" t="str">
        <f t="shared" si="188"/>
        <v>Ninguno</v>
      </c>
      <c r="K423" s="9" t="str">
        <f t="shared" si="184"/>
        <v>Trabajadores informados</v>
      </c>
      <c r="L423" s="9" t="str">
        <f t="shared" si="185"/>
        <v>Periodo 2005-2019</v>
      </c>
      <c r="M423" s="9" t="str">
        <f t="shared" si="186"/>
        <v>Personas</v>
      </c>
      <c r="N423" s="9" t="str">
        <f t="shared" si="187"/>
        <v>Servicio de Impuestos Internos (SII)</v>
      </c>
      <c r="O423" s="20" t="str">
        <f>+"Número de trabajadores informados por tipo de contrato para cada año en la "&amp;Agencia[[#This Row],[territorio]]&amp;", "&amp;Agencia[[#This Row],[temporalidad]]</f>
        <v>Número de trabajadores informados por tipo de contrato para cada año en la Región de Maule, Periodo 2005-2019</v>
      </c>
      <c r="P423" s="112" t="s">
        <v>5714</v>
      </c>
      <c r="Q423" s="11" t="str">
        <f t="shared" si="176"/>
        <v>Gráfico de Evolución</v>
      </c>
      <c r="R423" s="148" t="str">
        <f>Agencia[[#This Row],[territorio]]&amp;",regional,trabajadores,dependientes,informados,honorarios,anual,sii,"&amp;Agencia[[#This Row],[coleccion]]&amp;","&amp;Agencia[[#This Row],[sector]]&amp;","&amp;Agencia[[#This Row],[tema]]&amp;","&amp;Agencia[[#This Row],[contenido]]</f>
        <v>Región de Maule,regional,trabajadores,dependientes,informados,honorarios,anual,sii,Agencia Información,Economía,Trabajadores dependientes o a honorarios,Empresas</v>
      </c>
      <c r="S423" s="37" t="str">
        <f>HYPERLINK("https://analytics.zoho.com/open-view/2395394000008038797?ZOHO_CRITERIA=%225.1%20Empresas_Tama%C3%B1o%22.%22Cod_Regi%C3%B3n%22%3D"&amp;Agencia[[#This Row],[Filtro URL]])</f>
        <v>https://analytics.zoho.com/open-view/2395394000008038797?ZOHO_CRITERIA=%225.1%20Empresas_Tama%C3%B1o%22.%22Cod_Regi%C3%B3n%22%3D7</v>
      </c>
      <c r="T423" s="108" t="str">
        <f>"100-R-"&amp;Agencia[[#This Row],[Filtro URL]]</f>
        <v>100-R-7</v>
      </c>
      <c r="U423" s="46" t="str">
        <f t="shared" si="177"/>
        <v>#1774B9</v>
      </c>
      <c r="V423" s="93" t="str">
        <f>+Agencia[[#This Row],[idcoleccion]]&amp;"-"&amp;Agencia[[#This Row],[id]]</f>
        <v>990-0412</v>
      </c>
      <c r="W423" s="93">
        <f>+VLOOKUP(Agencia[[#This Row],[Filtro URL]],Estructura!$X$4:$Y$500,2,0)</f>
        <v>99200007</v>
      </c>
      <c r="X423" s="93" t="str">
        <f>+VLOOKUP(Agencia[[#This Row],[tema]],Estructura!$A$4:$C$500,3,0)</f>
        <v>T-1006</v>
      </c>
      <c r="Y423" s="93" t="str">
        <f>+VLOOKUP(Agencia[[#This Row],[contenido]],Estructura!$E$4:$G$500,3,0)</f>
        <v>C-993</v>
      </c>
      <c r="Z423" s="93" t="str">
        <f>+VLOOKUP(Agencia[[#This Row],[Filtro Integrado]],Estructura!$I$4:$K$500,3,0)</f>
        <v>FI-993</v>
      </c>
      <c r="AA423" s="93" t="str">
        <f>+VLOOKUP(Agencia[[#This Row],[Muestra]],Estructura!$M$4:$O$500,3,0)</f>
        <v>M-1060</v>
      </c>
    </row>
    <row r="424" spans="1:27" ht="57.6" x14ac:dyDescent="0.3">
      <c r="A424" s="21" t="s">
        <v>911</v>
      </c>
      <c r="B424" s="23">
        <f t="shared" si="181"/>
        <v>990</v>
      </c>
      <c r="C424" s="24" t="str">
        <f t="shared" si="182"/>
        <v>Agencia Información</v>
      </c>
      <c r="D424" s="72" t="str">
        <f t="shared" si="183"/>
        <v>Economía</v>
      </c>
      <c r="E424" s="19">
        <v>8</v>
      </c>
      <c r="F424" s="18" t="s">
        <v>1396</v>
      </c>
      <c r="G424" s="18" t="s">
        <v>1470</v>
      </c>
      <c r="H424" s="33" t="s">
        <v>16</v>
      </c>
      <c r="I424" s="34" t="s">
        <v>375</v>
      </c>
      <c r="J424" s="9" t="str">
        <f t="shared" si="188"/>
        <v>Ninguno</v>
      </c>
      <c r="K424" s="9" t="str">
        <f t="shared" si="184"/>
        <v>Trabajadores informados</v>
      </c>
      <c r="L424" s="9" t="str">
        <f t="shared" si="185"/>
        <v>Periodo 2005-2019</v>
      </c>
      <c r="M424" s="9" t="str">
        <f t="shared" si="186"/>
        <v>Personas</v>
      </c>
      <c r="N424" s="9" t="str">
        <f t="shared" si="187"/>
        <v>Servicio de Impuestos Internos (SII)</v>
      </c>
      <c r="O424" s="20" t="str">
        <f>+"Número de trabajadores informados por tipo de contrato para cada año en la "&amp;Agencia[[#This Row],[territorio]]&amp;", "&amp;Agencia[[#This Row],[temporalidad]]</f>
        <v>Número de trabajadores informados por tipo de contrato para cada año en la Región del Biobío, Periodo 2005-2019</v>
      </c>
      <c r="P424" s="112" t="s">
        <v>5715</v>
      </c>
      <c r="Q424" s="11" t="str">
        <f t="shared" si="176"/>
        <v>Gráfico de Evolución</v>
      </c>
      <c r="R424" s="148" t="str">
        <f>Agencia[[#This Row],[territorio]]&amp;",regional,trabajadores,dependientes,informados,honorarios,anual,sii,"&amp;Agencia[[#This Row],[coleccion]]&amp;","&amp;Agencia[[#This Row],[sector]]&amp;","&amp;Agencia[[#This Row],[tema]]&amp;","&amp;Agencia[[#This Row],[contenido]]</f>
        <v>Región del Biobío,regional,trabajadores,dependientes,informados,honorarios,anual,sii,Agencia Información,Economía,Trabajadores dependientes o a honorarios,Empresas</v>
      </c>
      <c r="S424" s="37" t="str">
        <f>HYPERLINK("https://analytics.zoho.com/open-view/2395394000008038797?ZOHO_CRITERIA=%225.1%20Empresas_Tama%C3%B1o%22.%22Cod_Regi%C3%B3n%22%3D"&amp;Agencia[[#This Row],[Filtro URL]])</f>
        <v>https://analytics.zoho.com/open-view/2395394000008038797?ZOHO_CRITERIA=%225.1%20Empresas_Tama%C3%B1o%22.%22Cod_Regi%C3%B3n%22%3D8</v>
      </c>
      <c r="T424" s="108" t="str">
        <f>"100-R-"&amp;Agencia[[#This Row],[Filtro URL]]</f>
        <v>100-R-8</v>
      </c>
      <c r="U424" s="46" t="str">
        <f t="shared" si="177"/>
        <v>#1774B9</v>
      </c>
      <c r="V424" s="93" t="str">
        <f>+Agencia[[#This Row],[idcoleccion]]&amp;"-"&amp;Agencia[[#This Row],[id]]</f>
        <v>990-0413</v>
      </c>
      <c r="W424" s="93">
        <f>+VLOOKUP(Agencia[[#This Row],[Filtro URL]],Estructura!$X$4:$Y$500,2,0)</f>
        <v>99200008</v>
      </c>
      <c r="X424" s="93" t="str">
        <f>+VLOOKUP(Agencia[[#This Row],[tema]],Estructura!$A$4:$C$500,3,0)</f>
        <v>T-1006</v>
      </c>
      <c r="Y424" s="93" t="str">
        <f>+VLOOKUP(Agencia[[#This Row],[contenido]],Estructura!$E$4:$G$500,3,0)</f>
        <v>C-993</v>
      </c>
      <c r="Z424" s="93" t="str">
        <f>+VLOOKUP(Agencia[[#This Row],[Filtro Integrado]],Estructura!$I$4:$K$500,3,0)</f>
        <v>FI-993</v>
      </c>
      <c r="AA424" s="93" t="str">
        <f>+VLOOKUP(Agencia[[#This Row],[Muestra]],Estructura!$M$4:$O$500,3,0)</f>
        <v>M-1060</v>
      </c>
    </row>
    <row r="425" spans="1:27" ht="57.6" x14ac:dyDescent="0.3">
      <c r="A425" s="21" t="s">
        <v>912</v>
      </c>
      <c r="B425" s="23">
        <f t="shared" si="181"/>
        <v>990</v>
      </c>
      <c r="C425" s="24" t="str">
        <f t="shared" si="182"/>
        <v>Agencia Información</v>
      </c>
      <c r="D425" s="72" t="str">
        <f t="shared" si="183"/>
        <v>Economía</v>
      </c>
      <c r="E425" s="19">
        <v>9</v>
      </c>
      <c r="F425" s="18" t="s">
        <v>1396</v>
      </c>
      <c r="G425" s="18" t="s">
        <v>1470</v>
      </c>
      <c r="H425" s="33" t="s">
        <v>16</v>
      </c>
      <c r="I425" s="34" t="s">
        <v>376</v>
      </c>
      <c r="J425" s="9" t="str">
        <f t="shared" si="188"/>
        <v>Ninguno</v>
      </c>
      <c r="K425" s="9" t="str">
        <f t="shared" si="184"/>
        <v>Trabajadores informados</v>
      </c>
      <c r="L425" s="9" t="str">
        <f t="shared" si="185"/>
        <v>Periodo 2005-2019</v>
      </c>
      <c r="M425" s="9" t="str">
        <f t="shared" si="186"/>
        <v>Personas</v>
      </c>
      <c r="N425" s="9" t="str">
        <f t="shared" si="187"/>
        <v>Servicio de Impuestos Internos (SII)</v>
      </c>
      <c r="O425" s="20" t="str">
        <f>+"Número de trabajadores informados por tipo de contrato para cada año en la "&amp;Agencia[[#This Row],[territorio]]&amp;", "&amp;Agencia[[#This Row],[temporalidad]]</f>
        <v>Número de trabajadores informados por tipo de contrato para cada año en la Región de La Araucanía, Periodo 2005-2019</v>
      </c>
      <c r="P425" s="112" t="s">
        <v>5771</v>
      </c>
      <c r="Q425" s="11" t="str">
        <f t="shared" si="176"/>
        <v>Gráfico de Evolución</v>
      </c>
      <c r="R425" s="148" t="str">
        <f>Agencia[[#This Row],[territorio]]&amp;",regional,trabajadores,dependientes,informados,honorarios,anual,sii,"&amp;Agencia[[#This Row],[coleccion]]&amp;","&amp;Agencia[[#This Row],[sector]]&amp;","&amp;Agencia[[#This Row],[tema]]&amp;","&amp;Agencia[[#This Row],[contenido]]</f>
        <v>Región de La Araucanía,regional,trabajadores,dependientes,informados,honorarios,anual,sii,Agencia Información,Economía,Trabajadores dependientes o a honorarios,Empresas</v>
      </c>
      <c r="S425" s="37" t="str">
        <f>HYPERLINK("https://analytics.zoho.com/open-view/2395394000008038797?ZOHO_CRITERIA=%225.1%20Empresas_Tama%C3%B1o%22.%22Cod_Regi%C3%B3n%22%3D"&amp;Agencia[[#This Row],[Filtro URL]])</f>
        <v>https://analytics.zoho.com/open-view/2395394000008038797?ZOHO_CRITERIA=%225.1%20Empresas_Tama%C3%B1o%22.%22Cod_Regi%C3%B3n%22%3D9</v>
      </c>
      <c r="T425" s="108" t="str">
        <f>"100-R-"&amp;Agencia[[#This Row],[Filtro URL]]</f>
        <v>100-R-9</v>
      </c>
      <c r="U425" s="46" t="str">
        <f t="shared" si="177"/>
        <v>#1774B9</v>
      </c>
      <c r="V425" s="93" t="str">
        <f>+Agencia[[#This Row],[idcoleccion]]&amp;"-"&amp;Agencia[[#This Row],[id]]</f>
        <v>990-0414</v>
      </c>
      <c r="W425" s="93">
        <f>+VLOOKUP(Agencia[[#This Row],[Filtro URL]],Estructura!$X$4:$Y$500,2,0)</f>
        <v>99200009</v>
      </c>
      <c r="X425" s="93" t="str">
        <f>+VLOOKUP(Agencia[[#This Row],[tema]],Estructura!$A$4:$C$500,3,0)</f>
        <v>T-1006</v>
      </c>
      <c r="Y425" s="93" t="str">
        <f>+VLOOKUP(Agencia[[#This Row],[contenido]],Estructura!$E$4:$G$500,3,0)</f>
        <v>C-993</v>
      </c>
      <c r="Z425" s="93" t="str">
        <f>+VLOOKUP(Agencia[[#This Row],[Filtro Integrado]],Estructura!$I$4:$K$500,3,0)</f>
        <v>FI-993</v>
      </c>
      <c r="AA425" s="93" t="str">
        <f>+VLOOKUP(Agencia[[#This Row],[Muestra]],Estructura!$M$4:$O$500,3,0)</f>
        <v>M-1060</v>
      </c>
    </row>
    <row r="426" spans="1:27" ht="57.6" x14ac:dyDescent="0.3">
      <c r="A426" s="21" t="s">
        <v>913</v>
      </c>
      <c r="B426" s="23">
        <f t="shared" si="181"/>
        <v>990</v>
      </c>
      <c r="C426" s="24" t="str">
        <f t="shared" si="182"/>
        <v>Agencia Información</v>
      </c>
      <c r="D426" s="72" t="str">
        <f t="shared" si="183"/>
        <v>Economía</v>
      </c>
      <c r="E426" s="19">
        <v>10</v>
      </c>
      <c r="F426" s="18" t="s">
        <v>1396</v>
      </c>
      <c r="G426" s="18" t="s">
        <v>1470</v>
      </c>
      <c r="H426" s="33" t="s">
        <v>16</v>
      </c>
      <c r="I426" s="34" t="s">
        <v>377</v>
      </c>
      <c r="J426" s="9" t="str">
        <f t="shared" si="188"/>
        <v>Ninguno</v>
      </c>
      <c r="K426" s="9" t="str">
        <f t="shared" si="184"/>
        <v>Trabajadores informados</v>
      </c>
      <c r="L426" s="9" t="str">
        <f t="shared" si="185"/>
        <v>Periodo 2005-2019</v>
      </c>
      <c r="M426" s="9" t="str">
        <f t="shared" si="186"/>
        <v>Personas</v>
      </c>
      <c r="N426" s="9" t="str">
        <f t="shared" si="187"/>
        <v>Servicio de Impuestos Internos (SII)</v>
      </c>
      <c r="O426" s="20" t="str">
        <f>+"Número de trabajadores informados por tipo de contrato para cada año en la "&amp;Agencia[[#This Row],[territorio]]&amp;", "&amp;Agencia[[#This Row],[temporalidad]]</f>
        <v>Número de trabajadores informados por tipo de contrato para cada año en la Región de Los Lagos, Periodo 2005-2019</v>
      </c>
      <c r="P426" s="112" t="s">
        <v>5772</v>
      </c>
      <c r="Q426" s="11" t="str">
        <f t="shared" si="176"/>
        <v>Gráfico de Evolución</v>
      </c>
      <c r="R426" s="148" t="str">
        <f>Agencia[[#This Row],[territorio]]&amp;",regional,trabajadores,dependientes,informados,honorarios,anual,sii,"&amp;Agencia[[#This Row],[coleccion]]&amp;","&amp;Agencia[[#This Row],[sector]]&amp;","&amp;Agencia[[#This Row],[tema]]&amp;","&amp;Agencia[[#This Row],[contenido]]</f>
        <v>Región de Los Lagos,regional,trabajadores,dependientes,informados,honorarios,anual,sii,Agencia Información,Economía,Trabajadores dependientes o a honorarios,Empresas</v>
      </c>
      <c r="S426" s="37" t="str">
        <f>HYPERLINK("https://analytics.zoho.com/open-view/2395394000008038797?ZOHO_CRITERIA=%225.1%20Empresas_Tama%C3%B1o%22.%22Cod_Regi%C3%B3n%22%3D"&amp;Agencia[[#This Row],[Filtro URL]])</f>
        <v>https://analytics.zoho.com/open-view/2395394000008038797?ZOHO_CRITERIA=%225.1%20Empresas_Tama%C3%B1o%22.%22Cod_Regi%C3%B3n%22%3D10</v>
      </c>
      <c r="T426" s="108" t="str">
        <f>"100-R-"&amp;Agencia[[#This Row],[Filtro URL]]</f>
        <v>100-R-10</v>
      </c>
      <c r="U426" s="46" t="str">
        <f t="shared" si="177"/>
        <v>#1774B9</v>
      </c>
      <c r="V426" s="93" t="str">
        <f>+Agencia[[#This Row],[idcoleccion]]&amp;"-"&amp;Agencia[[#This Row],[id]]</f>
        <v>990-0415</v>
      </c>
      <c r="W426" s="93">
        <f>+VLOOKUP(Agencia[[#This Row],[Filtro URL]],Estructura!$X$4:$Y$500,2,0)</f>
        <v>99200010</v>
      </c>
      <c r="X426" s="93" t="str">
        <f>+VLOOKUP(Agencia[[#This Row],[tema]],Estructura!$A$4:$C$500,3,0)</f>
        <v>T-1006</v>
      </c>
      <c r="Y426" s="93" t="str">
        <f>+VLOOKUP(Agencia[[#This Row],[contenido]],Estructura!$E$4:$G$500,3,0)</f>
        <v>C-993</v>
      </c>
      <c r="Z426" s="93" t="str">
        <f>+VLOOKUP(Agencia[[#This Row],[Filtro Integrado]],Estructura!$I$4:$K$500,3,0)</f>
        <v>FI-993</v>
      </c>
      <c r="AA426" s="93" t="str">
        <f>+VLOOKUP(Agencia[[#This Row],[Muestra]],Estructura!$M$4:$O$500,3,0)</f>
        <v>M-1060</v>
      </c>
    </row>
    <row r="427" spans="1:27" ht="57.6" x14ac:dyDescent="0.3">
      <c r="A427" s="21" t="s">
        <v>914</v>
      </c>
      <c r="B427" s="23">
        <f t="shared" si="181"/>
        <v>990</v>
      </c>
      <c r="C427" s="24" t="str">
        <f t="shared" si="182"/>
        <v>Agencia Información</v>
      </c>
      <c r="D427" s="72" t="str">
        <f t="shared" si="183"/>
        <v>Economía</v>
      </c>
      <c r="E427" s="19">
        <v>11</v>
      </c>
      <c r="F427" s="18" t="s">
        <v>1396</v>
      </c>
      <c r="G427" s="18" t="s">
        <v>1470</v>
      </c>
      <c r="H427" s="33" t="s">
        <v>16</v>
      </c>
      <c r="I427" s="34" t="s">
        <v>378</v>
      </c>
      <c r="J427" s="9" t="str">
        <f t="shared" si="188"/>
        <v>Ninguno</v>
      </c>
      <c r="K427" s="9" t="str">
        <f t="shared" si="184"/>
        <v>Trabajadores informados</v>
      </c>
      <c r="L427" s="9" t="str">
        <f t="shared" si="185"/>
        <v>Periodo 2005-2019</v>
      </c>
      <c r="M427" s="9" t="str">
        <f t="shared" si="186"/>
        <v>Personas</v>
      </c>
      <c r="N427" s="9" t="str">
        <f t="shared" si="187"/>
        <v>Servicio de Impuestos Internos (SII)</v>
      </c>
      <c r="O427" s="20" t="str">
        <f>+"Número de trabajadores informados por tipo de contrato para cada año en la "&amp;Agencia[[#This Row],[territorio]]&amp;", "&amp;Agencia[[#This Row],[temporalidad]]</f>
        <v>Número de trabajadores informados por tipo de contrato para cada año en la Región de Aysén, Periodo 2005-2019</v>
      </c>
      <c r="P427" s="112" t="s">
        <v>5716</v>
      </c>
      <c r="Q427" s="11" t="str">
        <f t="shared" si="176"/>
        <v>Gráfico de Evolución</v>
      </c>
      <c r="R427" s="148" t="str">
        <f>Agencia[[#This Row],[territorio]]&amp;",regional,trabajadores,dependientes,informados,honorarios,anual,sii,"&amp;Agencia[[#This Row],[coleccion]]&amp;","&amp;Agencia[[#This Row],[sector]]&amp;","&amp;Agencia[[#This Row],[tema]]&amp;","&amp;Agencia[[#This Row],[contenido]]</f>
        <v>Región de Aysén,regional,trabajadores,dependientes,informados,honorarios,anual,sii,Agencia Información,Economía,Trabajadores dependientes o a honorarios,Empresas</v>
      </c>
      <c r="S427" s="37" t="str">
        <f>HYPERLINK("https://analytics.zoho.com/open-view/2395394000008038797?ZOHO_CRITERIA=%225.1%20Empresas_Tama%C3%B1o%22.%22Cod_Regi%C3%B3n%22%3D"&amp;Agencia[[#This Row],[Filtro URL]])</f>
        <v>https://analytics.zoho.com/open-view/2395394000008038797?ZOHO_CRITERIA=%225.1%20Empresas_Tama%C3%B1o%22.%22Cod_Regi%C3%B3n%22%3D11</v>
      </c>
      <c r="T427" s="108" t="str">
        <f>"100-R-"&amp;Agencia[[#This Row],[Filtro URL]]</f>
        <v>100-R-11</v>
      </c>
      <c r="U427" s="46" t="str">
        <f t="shared" si="177"/>
        <v>#1774B9</v>
      </c>
      <c r="V427" s="93" t="str">
        <f>+Agencia[[#This Row],[idcoleccion]]&amp;"-"&amp;Agencia[[#This Row],[id]]</f>
        <v>990-0416</v>
      </c>
      <c r="W427" s="93">
        <f>+VLOOKUP(Agencia[[#This Row],[Filtro URL]],Estructura!$X$4:$Y$500,2,0)</f>
        <v>99200011</v>
      </c>
      <c r="X427" s="93" t="str">
        <f>+VLOOKUP(Agencia[[#This Row],[tema]],Estructura!$A$4:$C$500,3,0)</f>
        <v>T-1006</v>
      </c>
      <c r="Y427" s="93" t="str">
        <f>+VLOOKUP(Agencia[[#This Row],[contenido]],Estructura!$E$4:$G$500,3,0)</f>
        <v>C-993</v>
      </c>
      <c r="Z427" s="93" t="str">
        <f>+VLOOKUP(Agencia[[#This Row],[Filtro Integrado]],Estructura!$I$4:$K$500,3,0)</f>
        <v>FI-993</v>
      </c>
      <c r="AA427" s="93" t="str">
        <f>+VLOOKUP(Agencia[[#This Row],[Muestra]],Estructura!$M$4:$O$500,3,0)</f>
        <v>M-1060</v>
      </c>
    </row>
    <row r="428" spans="1:27" ht="57.6" x14ac:dyDescent="0.3">
      <c r="A428" s="21" t="s">
        <v>915</v>
      </c>
      <c r="B428" s="23">
        <f t="shared" si="181"/>
        <v>990</v>
      </c>
      <c r="C428" s="24" t="str">
        <f t="shared" si="182"/>
        <v>Agencia Información</v>
      </c>
      <c r="D428" s="72" t="str">
        <f t="shared" si="183"/>
        <v>Economía</v>
      </c>
      <c r="E428" s="19">
        <v>12</v>
      </c>
      <c r="F428" s="18" t="s">
        <v>1396</v>
      </c>
      <c r="G428" s="18" t="s">
        <v>1470</v>
      </c>
      <c r="H428" s="33" t="s">
        <v>16</v>
      </c>
      <c r="I428" s="34" t="s">
        <v>379</v>
      </c>
      <c r="J428" s="9" t="str">
        <f t="shared" si="188"/>
        <v>Ninguno</v>
      </c>
      <c r="K428" s="9" t="str">
        <f t="shared" si="184"/>
        <v>Trabajadores informados</v>
      </c>
      <c r="L428" s="9" t="str">
        <f t="shared" si="185"/>
        <v>Periodo 2005-2019</v>
      </c>
      <c r="M428" s="9" t="str">
        <f t="shared" si="186"/>
        <v>Personas</v>
      </c>
      <c r="N428" s="9" t="str">
        <f t="shared" si="187"/>
        <v>Servicio de Impuestos Internos (SII)</v>
      </c>
      <c r="O428" s="20" t="str">
        <f>+"Número de trabajadores informados por tipo de contrato para cada año en la "&amp;Agencia[[#This Row],[territorio]]&amp;", "&amp;Agencia[[#This Row],[temporalidad]]</f>
        <v>Número de trabajadores informados por tipo de contrato para cada año en la Región de Magallanes, Periodo 2005-2019</v>
      </c>
      <c r="P428" s="112" t="s">
        <v>5773</v>
      </c>
      <c r="Q428" s="11" t="str">
        <f t="shared" si="176"/>
        <v>Gráfico de Evolución</v>
      </c>
      <c r="R428" s="148" t="str">
        <f>Agencia[[#This Row],[territorio]]&amp;",regional,trabajadores,dependientes,informados,honorarios,anual,sii,"&amp;Agencia[[#This Row],[coleccion]]&amp;","&amp;Agencia[[#This Row],[sector]]&amp;","&amp;Agencia[[#This Row],[tema]]&amp;","&amp;Agencia[[#This Row],[contenido]]</f>
        <v>Región de Magallanes,regional,trabajadores,dependientes,informados,honorarios,anual,sii,Agencia Información,Economía,Trabajadores dependientes o a honorarios,Empresas</v>
      </c>
      <c r="S428" s="37" t="str">
        <f>HYPERLINK("https://analytics.zoho.com/open-view/2395394000008038797?ZOHO_CRITERIA=%225.1%20Empresas_Tama%C3%B1o%22.%22Cod_Regi%C3%B3n%22%3D"&amp;Agencia[[#This Row],[Filtro URL]])</f>
        <v>https://analytics.zoho.com/open-view/2395394000008038797?ZOHO_CRITERIA=%225.1%20Empresas_Tama%C3%B1o%22.%22Cod_Regi%C3%B3n%22%3D12</v>
      </c>
      <c r="T428" s="108" t="str">
        <f>"100-R-"&amp;Agencia[[#This Row],[Filtro URL]]</f>
        <v>100-R-12</v>
      </c>
      <c r="U428" s="46" t="str">
        <f t="shared" si="177"/>
        <v>#1774B9</v>
      </c>
      <c r="V428" s="93" t="str">
        <f>+Agencia[[#This Row],[idcoleccion]]&amp;"-"&amp;Agencia[[#This Row],[id]]</f>
        <v>990-0417</v>
      </c>
      <c r="W428" s="93">
        <f>+VLOOKUP(Agencia[[#This Row],[Filtro URL]],Estructura!$X$4:$Y$500,2,0)</f>
        <v>99200012</v>
      </c>
      <c r="X428" s="93" t="str">
        <f>+VLOOKUP(Agencia[[#This Row],[tema]],Estructura!$A$4:$C$500,3,0)</f>
        <v>T-1006</v>
      </c>
      <c r="Y428" s="93" t="str">
        <f>+VLOOKUP(Agencia[[#This Row],[contenido]],Estructura!$E$4:$G$500,3,0)</f>
        <v>C-993</v>
      </c>
      <c r="Z428" s="93" t="str">
        <f>+VLOOKUP(Agencia[[#This Row],[Filtro Integrado]],Estructura!$I$4:$K$500,3,0)</f>
        <v>FI-993</v>
      </c>
      <c r="AA428" s="93" t="str">
        <f>+VLOOKUP(Agencia[[#This Row],[Muestra]],Estructura!$M$4:$O$500,3,0)</f>
        <v>M-1060</v>
      </c>
    </row>
    <row r="429" spans="1:27" ht="57.6" x14ac:dyDescent="0.3">
      <c r="A429" s="21" t="s">
        <v>916</v>
      </c>
      <c r="B429" s="23">
        <f t="shared" si="181"/>
        <v>990</v>
      </c>
      <c r="C429" s="24" t="str">
        <f t="shared" si="182"/>
        <v>Agencia Información</v>
      </c>
      <c r="D429" s="72" t="str">
        <f t="shared" si="183"/>
        <v>Economía</v>
      </c>
      <c r="E429" s="19">
        <v>13</v>
      </c>
      <c r="F429" s="18" t="s">
        <v>1396</v>
      </c>
      <c r="G429" s="18" t="s">
        <v>1470</v>
      </c>
      <c r="H429" s="33" t="s">
        <v>16</v>
      </c>
      <c r="I429" s="34" t="s">
        <v>380</v>
      </c>
      <c r="J429" s="9" t="str">
        <f t="shared" si="188"/>
        <v>Ninguno</v>
      </c>
      <c r="K429" s="9" t="str">
        <f t="shared" si="184"/>
        <v>Trabajadores informados</v>
      </c>
      <c r="L429" s="9" t="str">
        <f t="shared" si="185"/>
        <v>Periodo 2005-2019</v>
      </c>
      <c r="M429" s="9" t="str">
        <f t="shared" si="186"/>
        <v>Personas</v>
      </c>
      <c r="N429" s="9" t="str">
        <f t="shared" si="187"/>
        <v>Servicio de Impuestos Internos (SII)</v>
      </c>
      <c r="O429" s="20" t="str">
        <f>+"Número de trabajadores informados por tipo de contrato para cada año en la "&amp;Agencia[[#This Row],[territorio]]&amp;", "&amp;Agencia[[#This Row],[temporalidad]]</f>
        <v>Número de trabajadores informados por tipo de contrato para cada año en la Región Metropolitana, Periodo 2005-2019</v>
      </c>
      <c r="P429" s="112" t="s">
        <v>5717</v>
      </c>
      <c r="Q429" s="11" t="str">
        <f t="shared" si="176"/>
        <v>Gráfico de Evolución</v>
      </c>
      <c r="R429" s="148" t="str">
        <f>Agencia[[#This Row],[territorio]]&amp;",regional,trabajadores,dependientes,informados,honorarios,anual,sii,"&amp;Agencia[[#This Row],[coleccion]]&amp;","&amp;Agencia[[#This Row],[sector]]&amp;","&amp;Agencia[[#This Row],[tema]]&amp;","&amp;Agencia[[#This Row],[contenido]]</f>
        <v>Región Metropolitana,regional,trabajadores,dependientes,informados,honorarios,anual,sii,Agencia Información,Economía,Trabajadores dependientes o a honorarios,Empresas</v>
      </c>
      <c r="S429" s="37" t="str">
        <f>HYPERLINK("https://analytics.zoho.com/open-view/2395394000008038797?ZOHO_CRITERIA=%225.1%20Empresas_Tama%C3%B1o%22.%22Cod_Regi%C3%B3n%22%3D"&amp;Agencia[[#This Row],[Filtro URL]])</f>
        <v>https://analytics.zoho.com/open-view/2395394000008038797?ZOHO_CRITERIA=%225.1%20Empresas_Tama%C3%B1o%22.%22Cod_Regi%C3%B3n%22%3D13</v>
      </c>
      <c r="T429" s="108" t="str">
        <f>"200-R-"&amp;Agencia[[#This Row],[Filtro URL]]</f>
        <v>200-R-13</v>
      </c>
      <c r="U429" s="46" t="str">
        <f t="shared" si="177"/>
        <v>#1774B9</v>
      </c>
      <c r="V429" s="93" t="str">
        <f>+Agencia[[#This Row],[idcoleccion]]&amp;"-"&amp;Agencia[[#This Row],[id]]</f>
        <v>990-0418</v>
      </c>
      <c r="W429" s="93">
        <f>+VLOOKUP(Agencia[[#This Row],[Filtro URL]],Estructura!$X$4:$Y$500,2,0)</f>
        <v>99200013</v>
      </c>
      <c r="X429" s="93" t="str">
        <f>+VLOOKUP(Agencia[[#This Row],[tema]],Estructura!$A$4:$C$500,3,0)</f>
        <v>T-1006</v>
      </c>
      <c r="Y429" s="93" t="str">
        <f>+VLOOKUP(Agencia[[#This Row],[contenido]],Estructura!$E$4:$G$500,3,0)</f>
        <v>C-993</v>
      </c>
      <c r="Z429" s="93" t="str">
        <f>+VLOOKUP(Agencia[[#This Row],[Filtro Integrado]],Estructura!$I$4:$K$500,3,0)</f>
        <v>FI-993</v>
      </c>
      <c r="AA429" s="93" t="str">
        <f>+VLOOKUP(Agencia[[#This Row],[Muestra]],Estructura!$M$4:$O$500,3,0)</f>
        <v>M-1060</v>
      </c>
    </row>
    <row r="430" spans="1:27" ht="57.6" x14ac:dyDescent="0.3">
      <c r="A430" s="21" t="s">
        <v>917</v>
      </c>
      <c r="B430" s="23">
        <f t="shared" si="181"/>
        <v>990</v>
      </c>
      <c r="C430" s="24" t="str">
        <f t="shared" si="182"/>
        <v>Agencia Información</v>
      </c>
      <c r="D430" s="72" t="str">
        <f t="shared" si="183"/>
        <v>Economía</v>
      </c>
      <c r="E430" s="19">
        <v>14</v>
      </c>
      <c r="F430" s="18" t="s">
        <v>1396</v>
      </c>
      <c r="G430" s="18" t="s">
        <v>1470</v>
      </c>
      <c r="H430" s="33" t="s">
        <v>16</v>
      </c>
      <c r="I430" s="34" t="s">
        <v>381</v>
      </c>
      <c r="J430" s="9" t="str">
        <f t="shared" si="188"/>
        <v>Ninguno</v>
      </c>
      <c r="K430" s="9" t="str">
        <f t="shared" si="184"/>
        <v>Trabajadores informados</v>
      </c>
      <c r="L430" s="9" t="str">
        <f t="shared" si="185"/>
        <v>Periodo 2005-2019</v>
      </c>
      <c r="M430" s="9" t="str">
        <f t="shared" si="186"/>
        <v>Personas</v>
      </c>
      <c r="N430" s="9" t="str">
        <f t="shared" si="187"/>
        <v>Servicio de Impuestos Internos (SII)</v>
      </c>
      <c r="O430" s="20" t="str">
        <f>+"Número de trabajadores informados por tipo de contrato para cada año en la "&amp;Agencia[[#This Row],[territorio]]&amp;", "&amp;Agencia[[#This Row],[temporalidad]]</f>
        <v>Número de trabajadores informados por tipo de contrato para cada año en la Región de Los Ríos, Periodo 2005-2019</v>
      </c>
      <c r="P430" s="112" t="s">
        <v>5774</v>
      </c>
      <c r="Q430" s="11" t="str">
        <f t="shared" si="176"/>
        <v>Gráfico de Evolución</v>
      </c>
      <c r="R430" s="148" t="str">
        <f>Agencia[[#This Row],[territorio]]&amp;",regional,trabajadores,dependientes,informados,honorarios,anual,sii,"&amp;Agencia[[#This Row],[coleccion]]&amp;","&amp;Agencia[[#This Row],[sector]]&amp;","&amp;Agencia[[#This Row],[tema]]&amp;","&amp;Agencia[[#This Row],[contenido]]</f>
        <v>Región de Los Ríos,regional,trabajadores,dependientes,informados,honorarios,anual,sii,Agencia Información,Economía,Trabajadores dependientes o a honorarios,Empresas</v>
      </c>
      <c r="S430" s="37" t="str">
        <f>HYPERLINK("https://analytics.zoho.com/open-view/2395394000008038797?ZOHO_CRITERIA=%225.1%20Empresas_Tama%C3%B1o%22.%22Cod_Regi%C3%B3n%22%3D"&amp;Agencia[[#This Row],[Filtro URL]])</f>
        <v>https://analytics.zoho.com/open-view/2395394000008038797?ZOHO_CRITERIA=%225.1%20Empresas_Tama%C3%B1o%22.%22Cod_Regi%C3%B3n%22%3D14</v>
      </c>
      <c r="T430" s="108" t="str">
        <f>"100-R-"&amp;Agencia[[#This Row],[Filtro URL]]</f>
        <v>100-R-14</v>
      </c>
      <c r="U430" s="46" t="str">
        <f t="shared" si="177"/>
        <v>#1774B9</v>
      </c>
      <c r="V430" s="93" t="str">
        <f>+Agencia[[#This Row],[idcoleccion]]&amp;"-"&amp;Agencia[[#This Row],[id]]</f>
        <v>990-0419</v>
      </c>
      <c r="W430" s="93">
        <f>+VLOOKUP(Agencia[[#This Row],[Filtro URL]],Estructura!$X$4:$Y$500,2,0)</f>
        <v>99200014</v>
      </c>
      <c r="X430" s="93" t="str">
        <f>+VLOOKUP(Agencia[[#This Row],[tema]],Estructura!$A$4:$C$500,3,0)</f>
        <v>T-1006</v>
      </c>
      <c r="Y430" s="93" t="str">
        <f>+VLOOKUP(Agencia[[#This Row],[contenido]],Estructura!$E$4:$G$500,3,0)</f>
        <v>C-993</v>
      </c>
      <c r="Z430" s="93" t="str">
        <f>+VLOOKUP(Agencia[[#This Row],[Filtro Integrado]],Estructura!$I$4:$K$500,3,0)</f>
        <v>FI-993</v>
      </c>
      <c r="AA430" s="93" t="str">
        <f>+VLOOKUP(Agencia[[#This Row],[Muestra]],Estructura!$M$4:$O$500,3,0)</f>
        <v>M-1060</v>
      </c>
    </row>
    <row r="431" spans="1:27" ht="57.6" x14ac:dyDescent="0.3">
      <c r="A431" s="21" t="s">
        <v>918</v>
      </c>
      <c r="B431" s="23">
        <f t="shared" si="181"/>
        <v>990</v>
      </c>
      <c r="C431" s="24" t="str">
        <f t="shared" si="182"/>
        <v>Agencia Información</v>
      </c>
      <c r="D431" s="72" t="str">
        <f t="shared" si="183"/>
        <v>Economía</v>
      </c>
      <c r="E431" s="19">
        <v>15</v>
      </c>
      <c r="F431" s="18" t="s">
        <v>1396</v>
      </c>
      <c r="G431" s="18" t="s">
        <v>1470</v>
      </c>
      <c r="H431" s="33" t="s">
        <v>16</v>
      </c>
      <c r="I431" s="34" t="s">
        <v>382</v>
      </c>
      <c r="J431" s="9" t="str">
        <f t="shared" si="188"/>
        <v>Ninguno</v>
      </c>
      <c r="K431" s="9" t="str">
        <f t="shared" si="184"/>
        <v>Trabajadores informados</v>
      </c>
      <c r="L431" s="9" t="str">
        <f t="shared" si="185"/>
        <v>Periodo 2005-2019</v>
      </c>
      <c r="M431" s="9" t="str">
        <f t="shared" si="186"/>
        <v>Personas</v>
      </c>
      <c r="N431" s="9" t="str">
        <f t="shared" si="187"/>
        <v>Servicio de Impuestos Internos (SII)</v>
      </c>
      <c r="O431" s="20" t="str">
        <f>+"Número de trabajadores informados por tipo de contrato para cada año en la "&amp;Agencia[[#This Row],[territorio]]&amp;", "&amp;Agencia[[#This Row],[temporalidad]]</f>
        <v>Número de trabajadores informados por tipo de contrato para cada año en la Región de Arica y Parinacota, Periodo 2005-2019</v>
      </c>
      <c r="P431" s="112" t="s">
        <v>5775</v>
      </c>
      <c r="Q431" s="11" t="str">
        <f t="shared" si="176"/>
        <v>Gráfico de Evolución</v>
      </c>
      <c r="R431" s="148" t="str">
        <f>Agencia[[#This Row],[territorio]]&amp;",regional,trabajadores,dependientes,informados,honorarios,anual,sii,"&amp;Agencia[[#This Row],[coleccion]]&amp;","&amp;Agencia[[#This Row],[sector]]&amp;","&amp;Agencia[[#This Row],[tema]]&amp;","&amp;Agencia[[#This Row],[contenido]]</f>
        <v>Región de Arica y Parinacota,regional,trabajadores,dependientes,informados,honorarios,anual,sii,Agencia Información,Economía,Trabajadores dependientes o a honorarios,Empresas</v>
      </c>
      <c r="S431" s="37" t="str">
        <f>HYPERLINK("https://analytics.zoho.com/open-view/2395394000008038797?ZOHO_CRITERIA=%225.1%20Empresas_Tama%C3%B1o%22.%22Cod_Regi%C3%B3n%22%3D"&amp;Agencia[[#This Row],[Filtro URL]])</f>
        <v>https://analytics.zoho.com/open-view/2395394000008038797?ZOHO_CRITERIA=%225.1%20Empresas_Tama%C3%B1o%22.%22Cod_Regi%C3%B3n%22%3D15</v>
      </c>
      <c r="T431" s="108" t="str">
        <f>"100-R-"&amp;Agencia[[#This Row],[Filtro URL]]</f>
        <v>100-R-15</v>
      </c>
      <c r="U431" s="46" t="str">
        <f t="shared" si="177"/>
        <v>#1774B9</v>
      </c>
      <c r="V431" s="93" t="str">
        <f>+Agencia[[#This Row],[idcoleccion]]&amp;"-"&amp;Agencia[[#This Row],[id]]</f>
        <v>990-0420</v>
      </c>
      <c r="W431" s="93">
        <f>+VLOOKUP(Agencia[[#This Row],[Filtro URL]],Estructura!$X$4:$Y$500,2,0)</f>
        <v>99200015</v>
      </c>
      <c r="X431" s="93" t="str">
        <f>+VLOOKUP(Agencia[[#This Row],[tema]],Estructura!$A$4:$C$500,3,0)</f>
        <v>T-1006</v>
      </c>
      <c r="Y431" s="93" t="str">
        <f>+VLOOKUP(Agencia[[#This Row],[contenido]],Estructura!$E$4:$G$500,3,0)</f>
        <v>C-993</v>
      </c>
      <c r="Z431" s="93" t="str">
        <f>+VLOOKUP(Agencia[[#This Row],[Filtro Integrado]],Estructura!$I$4:$K$500,3,0)</f>
        <v>FI-993</v>
      </c>
      <c r="AA431" s="93" t="str">
        <f>+VLOOKUP(Agencia[[#This Row],[Muestra]],Estructura!$M$4:$O$500,3,0)</f>
        <v>M-1060</v>
      </c>
    </row>
    <row r="432" spans="1:27" ht="57.6" x14ac:dyDescent="0.3">
      <c r="A432" s="21" t="s">
        <v>919</v>
      </c>
      <c r="B432" s="23">
        <f t="shared" si="181"/>
        <v>990</v>
      </c>
      <c r="C432" s="24" t="str">
        <f t="shared" si="182"/>
        <v>Agencia Información</v>
      </c>
      <c r="D432" s="72" t="str">
        <f t="shared" si="183"/>
        <v>Economía</v>
      </c>
      <c r="E432" s="19">
        <v>16</v>
      </c>
      <c r="F432" s="18" t="s">
        <v>1396</v>
      </c>
      <c r="G432" s="18" t="s">
        <v>1470</v>
      </c>
      <c r="H432" s="33" t="s">
        <v>16</v>
      </c>
      <c r="I432" s="34" t="s">
        <v>383</v>
      </c>
      <c r="J432" s="9" t="str">
        <f t="shared" si="188"/>
        <v>Ninguno</v>
      </c>
      <c r="K432" s="9" t="str">
        <f t="shared" si="184"/>
        <v>Trabajadores informados</v>
      </c>
      <c r="L432" s="9" t="str">
        <f t="shared" si="185"/>
        <v>Periodo 2005-2019</v>
      </c>
      <c r="M432" s="9" t="str">
        <f t="shared" si="186"/>
        <v>Personas</v>
      </c>
      <c r="N432" s="9" t="str">
        <f t="shared" si="187"/>
        <v>Servicio de Impuestos Internos (SII)</v>
      </c>
      <c r="O432" s="20" t="str">
        <f>+"Número de trabajadores informados por tipo de contrato para cada año en la "&amp;Agencia[[#This Row],[territorio]]&amp;", "&amp;Agencia[[#This Row],[temporalidad]]</f>
        <v>Número de trabajadores informados por tipo de contrato para cada año en la Región de Ñuble, Periodo 2005-2019</v>
      </c>
      <c r="P432" s="112" t="s">
        <v>5776</v>
      </c>
      <c r="Q432" s="11" t="str">
        <f t="shared" si="176"/>
        <v>Gráfico de Evolución</v>
      </c>
      <c r="R432" s="148" t="str">
        <f>Agencia[[#This Row],[territorio]]&amp;",regional,trabajadores,dependientes,informados,honorarios,anual,sii,"&amp;Agencia[[#This Row],[coleccion]]&amp;","&amp;Agencia[[#This Row],[sector]]&amp;","&amp;Agencia[[#This Row],[tema]]&amp;","&amp;Agencia[[#This Row],[contenido]]</f>
        <v>Región de Ñuble,regional,trabajadores,dependientes,informados,honorarios,anual,sii,Agencia Información,Economía,Trabajadores dependientes o a honorarios,Empresas</v>
      </c>
      <c r="S432" s="37" t="str">
        <f>HYPERLINK("https://analytics.zoho.com/open-view/2395394000008038797?ZOHO_CRITERIA=%225.1%20Empresas_Tama%C3%B1o%22.%22Cod_Regi%C3%B3n%22%3D"&amp;Agencia[[#This Row],[Filtro URL]])</f>
        <v>https://analytics.zoho.com/open-view/2395394000008038797?ZOHO_CRITERIA=%225.1%20Empresas_Tama%C3%B1o%22.%22Cod_Regi%C3%B3n%22%3D16</v>
      </c>
      <c r="T432" s="108" t="str">
        <f>"100-R-"&amp;Agencia[[#This Row],[Filtro URL]]</f>
        <v>100-R-16</v>
      </c>
      <c r="U432" s="46" t="str">
        <f t="shared" si="177"/>
        <v>#1774B9</v>
      </c>
      <c r="V432" s="93" t="str">
        <f>+Agencia[[#This Row],[idcoleccion]]&amp;"-"&amp;Agencia[[#This Row],[id]]</f>
        <v>990-0421</v>
      </c>
      <c r="W432" s="93">
        <f>+VLOOKUP(Agencia[[#This Row],[Filtro URL]],Estructura!$X$4:$Y$500,2,0)</f>
        <v>99200016</v>
      </c>
      <c r="X432" s="93" t="str">
        <f>+VLOOKUP(Agencia[[#This Row],[tema]],Estructura!$A$4:$C$500,3,0)</f>
        <v>T-1006</v>
      </c>
      <c r="Y432" s="93" t="str">
        <f>+VLOOKUP(Agencia[[#This Row],[contenido]],Estructura!$E$4:$G$500,3,0)</f>
        <v>C-993</v>
      </c>
      <c r="Z432" s="93" t="str">
        <f>+VLOOKUP(Agencia[[#This Row],[Filtro Integrado]],Estructura!$I$4:$K$500,3,0)</f>
        <v>FI-993</v>
      </c>
      <c r="AA432" s="93" t="str">
        <f>+VLOOKUP(Agencia[[#This Row],[Muestra]],Estructura!$M$4:$O$500,3,0)</f>
        <v>M-1060</v>
      </c>
    </row>
    <row r="433" spans="1:27" ht="51" x14ac:dyDescent="0.3">
      <c r="A433" s="21" t="s">
        <v>920</v>
      </c>
      <c r="B433" s="23">
        <f t="shared" si="181"/>
        <v>990</v>
      </c>
      <c r="C433" s="24" t="str">
        <f t="shared" si="182"/>
        <v>Agencia Información</v>
      </c>
      <c r="D433" s="72" t="s">
        <v>14</v>
      </c>
      <c r="E433" s="14">
        <v>0</v>
      </c>
      <c r="F433" s="18" t="s">
        <v>1421</v>
      </c>
      <c r="G433" s="18" t="s">
        <v>4290</v>
      </c>
      <c r="H433" s="31" t="s">
        <v>20</v>
      </c>
      <c r="I433" s="32" t="s">
        <v>15</v>
      </c>
      <c r="J433" s="9" t="s">
        <v>956</v>
      </c>
      <c r="K433" s="9" t="s">
        <v>9297</v>
      </c>
      <c r="L433" s="9" t="s">
        <v>1423</v>
      </c>
      <c r="M433" s="9" t="s">
        <v>1425</v>
      </c>
      <c r="N433" s="9" t="s">
        <v>1422</v>
      </c>
      <c r="O433" s="20" t="str">
        <f>+"Evolución de Puntaje SIMCE de Lectura por Dependencia de Establecimientos para 4° Básico en "&amp;I433&amp;" para el "&amp;Agencia[[#This Row],[temporalidad]]</f>
        <v>Evolución de Puntaje SIMCE de Lectura por Dependencia de Establecimientos para 4° Básico en Chile para el Periodo 2015 - 2018</v>
      </c>
      <c r="P433" s="112" t="s">
        <v>6165</v>
      </c>
      <c r="Q433" s="11" t="s">
        <v>784</v>
      </c>
      <c r="R433" s="20" t="str">
        <f>Agencia[[#This Row],[territorio]]&amp;",educación básica,cuarto básico,puntaje,lectura,municipal,subvencionado,corporación,lenguaje,particular,"&amp;Agencia[[#This Row],[coleccion]]&amp;","&amp;Agencia[[#This Row],[sector]]&amp;","&amp;Agencia[[#This Row],[tema]]&amp;","&amp;Agencia[[#This Row],[contenido]]</f>
        <v>Chile,educación básica,cuarto básico,puntaje,lectura,municipal,subvencionado,corporación,lenguaje,particular,Agencia Información,Educación,SIMCE,Métricas de la Educación</v>
      </c>
      <c r="S433" s="22" t="s">
        <v>1424</v>
      </c>
      <c r="T433" s="108" t="s">
        <v>957</v>
      </c>
      <c r="U433" s="46" t="str">
        <f t="shared" si="177"/>
        <v>#1774B9</v>
      </c>
      <c r="V433" s="93" t="str">
        <f>+Agencia[[#This Row],[idcoleccion]]&amp;"-"&amp;Agencia[[#This Row],[id]]</f>
        <v>990-0422</v>
      </c>
      <c r="W433" s="93">
        <f>+VLOOKUP(Agencia[[#This Row],[Filtro URL]],Estructura!$X$4:$Y$500,2,0)</f>
        <v>99100000</v>
      </c>
      <c r="X433" s="93" t="str">
        <f>+VLOOKUP(Agencia[[#This Row],[tema]],Estructura!$A$4:$C$500,3,0)</f>
        <v>T-1032</v>
      </c>
      <c r="Y433" s="93" t="str">
        <f>+VLOOKUP(Agencia[[#This Row],[contenido]],Estructura!$E$4:$G$500,3,0)</f>
        <v>C-1018</v>
      </c>
      <c r="Z433" s="93" t="str">
        <f>+VLOOKUP(Agencia[[#This Row],[Filtro Integrado]],Estructura!$I$4:$K$500,3,0)</f>
        <v>FI-994</v>
      </c>
      <c r="AA433" s="93" t="str">
        <f>+VLOOKUP(Agencia[[#This Row],[Muestra]],Estructura!$M$4:$O$500,3,0)</f>
        <v>M-1061</v>
      </c>
    </row>
    <row r="434" spans="1:27" ht="57.6" x14ac:dyDescent="0.3">
      <c r="A434" s="21" t="s">
        <v>921</v>
      </c>
      <c r="B434" s="23">
        <f t="shared" si="181"/>
        <v>990</v>
      </c>
      <c r="C434" s="24" t="str">
        <f t="shared" si="182"/>
        <v>Agencia Información</v>
      </c>
      <c r="D434" s="72" t="str">
        <f t="shared" ref="D434:D449" si="189">+D433</f>
        <v>Educación</v>
      </c>
      <c r="E434" s="19">
        <v>1</v>
      </c>
      <c r="F434" s="18" t="s">
        <v>1421</v>
      </c>
      <c r="G434" s="18" t="s">
        <v>4290</v>
      </c>
      <c r="H434" s="33" t="s">
        <v>16</v>
      </c>
      <c r="I434" s="34" t="s">
        <v>368</v>
      </c>
      <c r="J434" s="9" t="s">
        <v>18</v>
      </c>
      <c r="K434" s="9" t="str">
        <f t="shared" ref="K434:K449" si="190">+K433</f>
        <v>Puntaje promedio</v>
      </c>
      <c r="L434" s="9" t="str">
        <f t="shared" ref="L434:L449" si="191">+L433</f>
        <v>Periodo 2015 - 2018</v>
      </c>
      <c r="M434" s="9" t="str">
        <f t="shared" ref="M434:M449" si="192">+M433</f>
        <v>Puntaje</v>
      </c>
      <c r="N434" s="9" t="str">
        <f t="shared" ref="N434:N449" si="193">+N433</f>
        <v>Agencia de Calidad de la Educación</v>
      </c>
      <c r="O434" s="20" t="str">
        <f>+"Evolución de Puntaje SIMCE de Lectura por Dependencia de Establecimientos para 4° Básico en la "&amp;I434&amp;" para el "&amp;Agencia[[#This Row],[temporalidad]]</f>
        <v>Evolución de Puntaje SIMCE de Lectura por Dependencia de Establecimientos para 4° Básico en la Región de Tarapacá para el Periodo 2015 - 2018</v>
      </c>
      <c r="P434" s="112" t="s">
        <v>6166</v>
      </c>
      <c r="Q434" s="11" t="str">
        <f t="shared" si="176"/>
        <v>Gráfico de Evolución</v>
      </c>
      <c r="R434" s="148" t="str">
        <f>Agencia[[#This Row],[territorio]]&amp;",educación básica,cuarto básico,puntaje,lectura,municipal,subvencionado,corporación,lenguaje,particular,"&amp;Agencia[[#This Row],[coleccion]]&amp;","&amp;Agencia[[#This Row],[sector]]&amp;","&amp;Agencia[[#This Row],[tema]]&amp;","&amp;Agencia[[#This Row],[contenido]]</f>
        <v>Región de Tarapacá,educación básica,cuarto básico,puntaje,lectura,municipal,subvencionado,corporación,lenguaje,particular,Agencia Información,Educación,SIMCE,Métricas de la Educación</v>
      </c>
      <c r="S434" s="83" t="str">
        <f>HYPERLINK("https://analytics.zoho.com/open-view/2395394000009042076?ZOHO_CRITERIA=%22Localiza%20CL%22.%22Codreg%22%3D"&amp;Agencia[[#This Row],[Filtro URL]])</f>
        <v>https://analytics.zoho.com/open-view/2395394000009042076?ZOHO_CRITERIA=%22Localiza%20CL%22.%22Codreg%22%3D1</v>
      </c>
      <c r="T434" s="108" t="str">
        <f>"100-C-"&amp;Agencia[[#This Row],[Filtro URL]]</f>
        <v>100-C-1</v>
      </c>
      <c r="U434" s="46" t="str">
        <f t="shared" si="177"/>
        <v>#1774B9</v>
      </c>
      <c r="V434" s="93" t="str">
        <f>+Agencia[[#This Row],[idcoleccion]]&amp;"-"&amp;Agencia[[#This Row],[id]]</f>
        <v>990-0423</v>
      </c>
      <c r="W434" s="93">
        <f>+VLOOKUP(Agencia[[#This Row],[Filtro URL]],Estructura!$X$4:$Y$500,2,0)</f>
        <v>99200001</v>
      </c>
      <c r="X434" s="93" t="str">
        <f>+VLOOKUP(Agencia[[#This Row],[tema]],Estructura!$A$4:$C$500,3,0)</f>
        <v>T-1032</v>
      </c>
      <c r="Y434" s="93" t="str">
        <f>+VLOOKUP(Agencia[[#This Row],[contenido]],Estructura!$E$4:$G$500,3,0)</f>
        <v>C-1018</v>
      </c>
      <c r="Z434" s="93" t="str">
        <f>+VLOOKUP(Agencia[[#This Row],[Filtro Integrado]],Estructura!$I$4:$K$500,3,0)</f>
        <v>FI-991</v>
      </c>
      <c r="AA434" s="93" t="str">
        <f>+VLOOKUP(Agencia[[#This Row],[Muestra]],Estructura!$M$4:$O$500,3,0)</f>
        <v>M-1061</v>
      </c>
    </row>
    <row r="435" spans="1:27" ht="57.6" x14ac:dyDescent="0.3">
      <c r="A435" s="21" t="s">
        <v>922</v>
      </c>
      <c r="B435" s="23">
        <f t="shared" si="181"/>
        <v>990</v>
      </c>
      <c r="C435" s="24" t="str">
        <f t="shared" si="182"/>
        <v>Agencia Información</v>
      </c>
      <c r="D435" s="72" t="str">
        <f t="shared" si="189"/>
        <v>Educación</v>
      </c>
      <c r="E435" s="19">
        <v>2</v>
      </c>
      <c r="F435" s="18" t="s">
        <v>1421</v>
      </c>
      <c r="G435" s="18" t="s">
        <v>4290</v>
      </c>
      <c r="H435" s="33" t="s">
        <v>16</v>
      </c>
      <c r="I435" s="34" t="s">
        <v>369</v>
      </c>
      <c r="J435" s="9" t="str">
        <f t="shared" ref="J435:J449" si="194">+J434</f>
        <v>Comuna</v>
      </c>
      <c r="K435" s="9" t="str">
        <f t="shared" si="190"/>
        <v>Puntaje promedio</v>
      </c>
      <c r="L435" s="9" t="str">
        <f t="shared" si="191"/>
        <v>Periodo 2015 - 2018</v>
      </c>
      <c r="M435" s="9" t="str">
        <f t="shared" si="192"/>
        <v>Puntaje</v>
      </c>
      <c r="N435" s="9" t="str">
        <f t="shared" si="193"/>
        <v>Agencia de Calidad de la Educación</v>
      </c>
      <c r="O435" s="20" t="str">
        <f>+"Evolución de Puntaje SIMCE de Lectura por Dependencia de Establecimientos para 4° Básico en la "&amp;I435&amp;" para el "&amp;Agencia[[#This Row],[temporalidad]]</f>
        <v>Evolución de Puntaje SIMCE de Lectura por Dependencia de Establecimientos para 4° Básico en la Región de Antofagasta para el Periodo 2015 - 2018</v>
      </c>
      <c r="P435" s="112" t="s">
        <v>6167</v>
      </c>
      <c r="Q435" s="11" t="str">
        <f t="shared" si="176"/>
        <v>Gráfico de Evolución</v>
      </c>
      <c r="R435" s="148" t="str">
        <f>Agencia[[#This Row],[territorio]]&amp;",educación básica,cuarto básico,puntaje,lectura,municipal,subvencionado,corporación,lenguaje,particular,"&amp;Agencia[[#This Row],[coleccion]]&amp;","&amp;Agencia[[#This Row],[sector]]&amp;","&amp;Agencia[[#This Row],[tema]]&amp;","&amp;Agencia[[#This Row],[contenido]]</f>
        <v>Región de Antofagasta,educación básica,cuarto básico,puntaje,lectura,municipal,subvencionado,corporación,lenguaje,particular,Agencia Información,Educación,SIMCE,Métricas de la Educación</v>
      </c>
      <c r="S435" s="83" t="str">
        <f>HYPERLINK("https://analytics.zoho.com/open-view/2395394000009042076?ZOHO_CRITERIA=%22Localiza%20CL%22.%22Codreg%22%3D"&amp;Agencia[[#This Row],[Filtro URL]])</f>
        <v>https://analytics.zoho.com/open-view/2395394000009042076?ZOHO_CRITERIA=%22Localiza%20CL%22.%22Codreg%22%3D2</v>
      </c>
      <c r="T435" s="108" t="str">
        <f>"100-C-"&amp;Agencia[[#This Row],[Filtro URL]]</f>
        <v>100-C-2</v>
      </c>
      <c r="U435" s="46" t="str">
        <f t="shared" si="177"/>
        <v>#1774B9</v>
      </c>
      <c r="V435" s="93" t="str">
        <f>+Agencia[[#This Row],[idcoleccion]]&amp;"-"&amp;Agencia[[#This Row],[id]]</f>
        <v>990-0424</v>
      </c>
      <c r="W435" s="93">
        <f>+VLOOKUP(Agencia[[#This Row],[Filtro URL]],Estructura!$X$4:$Y$500,2,0)</f>
        <v>99200002</v>
      </c>
      <c r="X435" s="93" t="str">
        <f>+VLOOKUP(Agencia[[#This Row],[tema]],Estructura!$A$4:$C$500,3,0)</f>
        <v>T-1032</v>
      </c>
      <c r="Y435" s="93" t="str">
        <f>+VLOOKUP(Agencia[[#This Row],[contenido]],Estructura!$E$4:$G$500,3,0)</f>
        <v>C-1018</v>
      </c>
      <c r="Z435" s="93" t="str">
        <f>+VLOOKUP(Agencia[[#This Row],[Filtro Integrado]],Estructura!$I$4:$K$500,3,0)</f>
        <v>FI-991</v>
      </c>
      <c r="AA435" s="93" t="str">
        <f>+VLOOKUP(Agencia[[#This Row],[Muestra]],Estructura!$M$4:$O$500,3,0)</f>
        <v>M-1061</v>
      </c>
    </row>
    <row r="436" spans="1:27" ht="57.6" x14ac:dyDescent="0.3">
      <c r="A436" s="21" t="s">
        <v>923</v>
      </c>
      <c r="B436" s="23">
        <f t="shared" si="181"/>
        <v>990</v>
      </c>
      <c r="C436" s="24" t="str">
        <f t="shared" si="182"/>
        <v>Agencia Información</v>
      </c>
      <c r="D436" s="72" t="str">
        <f t="shared" si="189"/>
        <v>Educación</v>
      </c>
      <c r="E436" s="19">
        <v>3</v>
      </c>
      <c r="F436" s="18" t="s">
        <v>1421</v>
      </c>
      <c r="G436" s="18" t="s">
        <v>4290</v>
      </c>
      <c r="H436" s="33" t="s">
        <v>16</v>
      </c>
      <c r="I436" s="34" t="s">
        <v>370</v>
      </c>
      <c r="J436" s="9" t="str">
        <f t="shared" si="194"/>
        <v>Comuna</v>
      </c>
      <c r="K436" s="9" t="str">
        <f t="shared" si="190"/>
        <v>Puntaje promedio</v>
      </c>
      <c r="L436" s="9" t="str">
        <f t="shared" si="191"/>
        <v>Periodo 2015 - 2018</v>
      </c>
      <c r="M436" s="9" t="str">
        <f t="shared" si="192"/>
        <v>Puntaje</v>
      </c>
      <c r="N436" s="9" t="str">
        <f t="shared" si="193"/>
        <v>Agencia de Calidad de la Educación</v>
      </c>
      <c r="O436" s="20" t="str">
        <f>+"Evolución de Puntaje SIMCE de Lectura por Dependencia de Establecimientos para 4° Básico en la "&amp;I436&amp;" para el "&amp;Agencia[[#This Row],[temporalidad]]</f>
        <v>Evolución de Puntaje SIMCE de Lectura por Dependencia de Establecimientos para 4° Básico en la Región de Atacama para el Periodo 2015 - 2018</v>
      </c>
      <c r="P436" s="112" t="s">
        <v>6168</v>
      </c>
      <c r="Q436" s="11" t="str">
        <f t="shared" si="176"/>
        <v>Gráfico de Evolución</v>
      </c>
      <c r="R436" s="148" t="str">
        <f>Agencia[[#This Row],[territorio]]&amp;",educación básica,cuarto básico,puntaje,lectura,municipal,subvencionado,corporación,lenguaje,particular,"&amp;Agencia[[#This Row],[coleccion]]&amp;","&amp;Agencia[[#This Row],[sector]]&amp;","&amp;Agencia[[#This Row],[tema]]&amp;","&amp;Agencia[[#This Row],[contenido]]</f>
        <v>Región de Atacama,educación básica,cuarto básico,puntaje,lectura,municipal,subvencionado,corporación,lenguaje,particular,Agencia Información,Educación,SIMCE,Métricas de la Educación</v>
      </c>
      <c r="S436" s="83" t="str">
        <f>HYPERLINK("https://analytics.zoho.com/open-view/2395394000009042076?ZOHO_CRITERIA=%22Localiza%20CL%22.%22Codreg%22%3D"&amp;Agencia[[#This Row],[Filtro URL]])</f>
        <v>https://analytics.zoho.com/open-view/2395394000009042076?ZOHO_CRITERIA=%22Localiza%20CL%22.%22Codreg%22%3D3</v>
      </c>
      <c r="T436" s="108" t="str">
        <f>"100-C-"&amp;Agencia[[#This Row],[Filtro URL]]</f>
        <v>100-C-3</v>
      </c>
      <c r="U436" s="46" t="str">
        <f t="shared" si="177"/>
        <v>#1774B9</v>
      </c>
      <c r="V436" s="93" t="str">
        <f>+Agencia[[#This Row],[idcoleccion]]&amp;"-"&amp;Agencia[[#This Row],[id]]</f>
        <v>990-0425</v>
      </c>
      <c r="W436" s="93">
        <f>+VLOOKUP(Agencia[[#This Row],[Filtro URL]],Estructura!$X$4:$Y$500,2,0)</f>
        <v>99200003</v>
      </c>
      <c r="X436" s="93" t="str">
        <f>+VLOOKUP(Agencia[[#This Row],[tema]],Estructura!$A$4:$C$500,3,0)</f>
        <v>T-1032</v>
      </c>
      <c r="Y436" s="93" t="str">
        <f>+VLOOKUP(Agencia[[#This Row],[contenido]],Estructura!$E$4:$G$500,3,0)</f>
        <v>C-1018</v>
      </c>
      <c r="Z436" s="93" t="str">
        <f>+VLOOKUP(Agencia[[#This Row],[Filtro Integrado]],Estructura!$I$4:$K$500,3,0)</f>
        <v>FI-991</v>
      </c>
      <c r="AA436" s="93" t="str">
        <f>+VLOOKUP(Agencia[[#This Row],[Muestra]],Estructura!$M$4:$O$500,3,0)</f>
        <v>M-1061</v>
      </c>
    </row>
    <row r="437" spans="1:27" ht="57.6" x14ac:dyDescent="0.3">
      <c r="A437" s="21" t="s">
        <v>924</v>
      </c>
      <c r="B437" s="23">
        <f t="shared" si="181"/>
        <v>990</v>
      </c>
      <c r="C437" s="24" t="str">
        <f t="shared" si="182"/>
        <v>Agencia Información</v>
      </c>
      <c r="D437" s="72" t="str">
        <f t="shared" si="189"/>
        <v>Educación</v>
      </c>
      <c r="E437" s="19">
        <v>4</v>
      </c>
      <c r="F437" s="18" t="s">
        <v>1421</v>
      </c>
      <c r="G437" s="18" t="s">
        <v>4290</v>
      </c>
      <c r="H437" s="33" t="s">
        <v>16</v>
      </c>
      <c r="I437" s="34" t="s">
        <v>371</v>
      </c>
      <c r="J437" s="9" t="str">
        <f t="shared" si="194"/>
        <v>Comuna</v>
      </c>
      <c r="K437" s="9" t="str">
        <f t="shared" si="190"/>
        <v>Puntaje promedio</v>
      </c>
      <c r="L437" s="9" t="str">
        <f t="shared" si="191"/>
        <v>Periodo 2015 - 2018</v>
      </c>
      <c r="M437" s="9" t="str">
        <f t="shared" si="192"/>
        <v>Puntaje</v>
      </c>
      <c r="N437" s="9" t="str">
        <f t="shared" si="193"/>
        <v>Agencia de Calidad de la Educación</v>
      </c>
      <c r="O437" s="20" t="str">
        <f>+"Evolución de Puntaje SIMCE de Lectura por Dependencia de Establecimientos para 4° Básico en la "&amp;I437&amp;" para el "&amp;Agencia[[#This Row],[temporalidad]]</f>
        <v>Evolución de Puntaje SIMCE de Lectura por Dependencia de Establecimientos para 4° Básico en la Región de Coquimbo para el Periodo 2015 - 2018</v>
      </c>
      <c r="P437" s="112" t="s">
        <v>6169</v>
      </c>
      <c r="Q437" s="11" t="str">
        <f t="shared" si="176"/>
        <v>Gráfico de Evolución</v>
      </c>
      <c r="R437" s="148" t="str">
        <f>Agencia[[#This Row],[territorio]]&amp;",educación básica,cuarto básico,puntaje,lectura,municipal,subvencionado,corporación,lenguaje,particular,"&amp;Agencia[[#This Row],[coleccion]]&amp;","&amp;Agencia[[#This Row],[sector]]&amp;","&amp;Agencia[[#This Row],[tema]]&amp;","&amp;Agencia[[#This Row],[contenido]]</f>
        <v>Región de Coquimbo,educación básica,cuarto básico,puntaje,lectura,municipal,subvencionado,corporación,lenguaje,particular,Agencia Información,Educación,SIMCE,Métricas de la Educación</v>
      </c>
      <c r="S437" s="83" t="str">
        <f>HYPERLINK("https://analytics.zoho.com/open-view/2395394000009042076?ZOHO_CRITERIA=%22Localiza%20CL%22.%22Codreg%22%3D"&amp;Agencia[[#This Row],[Filtro URL]])</f>
        <v>https://analytics.zoho.com/open-view/2395394000009042076?ZOHO_CRITERIA=%22Localiza%20CL%22.%22Codreg%22%3D4</v>
      </c>
      <c r="T437" s="108" t="str">
        <f>"100-C-"&amp;Agencia[[#This Row],[Filtro URL]]</f>
        <v>100-C-4</v>
      </c>
      <c r="U437" s="46" t="str">
        <f t="shared" si="177"/>
        <v>#1774B9</v>
      </c>
      <c r="V437" s="93" t="str">
        <f>+Agencia[[#This Row],[idcoleccion]]&amp;"-"&amp;Agencia[[#This Row],[id]]</f>
        <v>990-0426</v>
      </c>
      <c r="W437" s="93">
        <f>+VLOOKUP(Agencia[[#This Row],[Filtro URL]],Estructura!$X$4:$Y$500,2,0)</f>
        <v>99200004</v>
      </c>
      <c r="X437" s="93" t="str">
        <f>+VLOOKUP(Agencia[[#This Row],[tema]],Estructura!$A$4:$C$500,3,0)</f>
        <v>T-1032</v>
      </c>
      <c r="Y437" s="93" t="str">
        <f>+VLOOKUP(Agencia[[#This Row],[contenido]],Estructura!$E$4:$G$500,3,0)</f>
        <v>C-1018</v>
      </c>
      <c r="Z437" s="93" t="str">
        <f>+VLOOKUP(Agencia[[#This Row],[Filtro Integrado]],Estructura!$I$4:$K$500,3,0)</f>
        <v>FI-991</v>
      </c>
      <c r="AA437" s="93" t="str">
        <f>+VLOOKUP(Agencia[[#This Row],[Muestra]],Estructura!$M$4:$O$500,3,0)</f>
        <v>M-1061</v>
      </c>
    </row>
    <row r="438" spans="1:27" ht="57.6" x14ac:dyDescent="0.3">
      <c r="A438" s="21" t="s">
        <v>925</v>
      </c>
      <c r="B438" s="23">
        <f t="shared" si="181"/>
        <v>990</v>
      </c>
      <c r="C438" s="24" t="str">
        <f t="shared" si="182"/>
        <v>Agencia Información</v>
      </c>
      <c r="D438" s="72" t="str">
        <f t="shared" si="189"/>
        <v>Educación</v>
      </c>
      <c r="E438" s="19">
        <v>5</v>
      </c>
      <c r="F438" s="18" t="s">
        <v>1421</v>
      </c>
      <c r="G438" s="18" t="s">
        <v>4290</v>
      </c>
      <c r="H438" s="33" t="s">
        <v>16</v>
      </c>
      <c r="I438" s="34" t="s">
        <v>372</v>
      </c>
      <c r="J438" s="9" t="str">
        <f t="shared" si="194"/>
        <v>Comuna</v>
      </c>
      <c r="K438" s="9" t="str">
        <f t="shared" si="190"/>
        <v>Puntaje promedio</v>
      </c>
      <c r="L438" s="9" t="str">
        <f t="shared" si="191"/>
        <v>Periodo 2015 - 2018</v>
      </c>
      <c r="M438" s="9" t="str">
        <f t="shared" si="192"/>
        <v>Puntaje</v>
      </c>
      <c r="N438" s="9" t="str">
        <f t="shared" si="193"/>
        <v>Agencia de Calidad de la Educación</v>
      </c>
      <c r="O438" s="20" t="str">
        <f>+"Evolución de Puntaje SIMCE de Lectura por Dependencia de Establecimientos para 4° Básico en la "&amp;I438&amp;" para el "&amp;Agencia[[#This Row],[temporalidad]]</f>
        <v>Evolución de Puntaje SIMCE de Lectura por Dependencia de Establecimientos para 4° Básico en la Región de Valparaíso para el Periodo 2015 - 2018</v>
      </c>
      <c r="P438" s="112" t="s">
        <v>6170</v>
      </c>
      <c r="Q438" s="11" t="str">
        <f t="shared" si="176"/>
        <v>Gráfico de Evolución</v>
      </c>
      <c r="R438" s="148" t="str">
        <f>Agencia[[#This Row],[territorio]]&amp;",educación básica,cuarto básico,puntaje,lectura,municipal,subvencionado,corporación,lenguaje,particular,"&amp;Agencia[[#This Row],[coleccion]]&amp;","&amp;Agencia[[#This Row],[sector]]&amp;","&amp;Agencia[[#This Row],[tema]]&amp;","&amp;Agencia[[#This Row],[contenido]]</f>
        <v>Región de Valparaíso,educación básica,cuarto básico,puntaje,lectura,municipal,subvencionado,corporación,lenguaje,particular,Agencia Información,Educación,SIMCE,Métricas de la Educación</v>
      </c>
      <c r="S438" s="83" t="str">
        <f>HYPERLINK("https://analytics.zoho.com/open-view/2395394000009042076?ZOHO_CRITERIA=%22Localiza%20CL%22.%22Codreg%22%3D"&amp;Agencia[[#This Row],[Filtro URL]])</f>
        <v>https://analytics.zoho.com/open-view/2395394000009042076?ZOHO_CRITERIA=%22Localiza%20CL%22.%22Codreg%22%3D5</v>
      </c>
      <c r="T438" s="108" t="str">
        <f>"100-C-"&amp;Agencia[[#This Row],[Filtro URL]]</f>
        <v>100-C-5</v>
      </c>
      <c r="U438" s="46" t="str">
        <f t="shared" si="177"/>
        <v>#1774B9</v>
      </c>
      <c r="V438" s="93" t="str">
        <f>+Agencia[[#This Row],[idcoleccion]]&amp;"-"&amp;Agencia[[#This Row],[id]]</f>
        <v>990-0427</v>
      </c>
      <c r="W438" s="93">
        <f>+VLOOKUP(Agencia[[#This Row],[Filtro URL]],Estructura!$X$4:$Y$500,2,0)</f>
        <v>99200005</v>
      </c>
      <c r="X438" s="93" t="str">
        <f>+VLOOKUP(Agencia[[#This Row],[tema]],Estructura!$A$4:$C$500,3,0)</f>
        <v>T-1032</v>
      </c>
      <c r="Y438" s="93" t="str">
        <f>+VLOOKUP(Agencia[[#This Row],[contenido]],Estructura!$E$4:$G$500,3,0)</f>
        <v>C-1018</v>
      </c>
      <c r="Z438" s="93" t="str">
        <f>+VLOOKUP(Agencia[[#This Row],[Filtro Integrado]],Estructura!$I$4:$K$500,3,0)</f>
        <v>FI-991</v>
      </c>
      <c r="AA438" s="93" t="str">
        <f>+VLOOKUP(Agencia[[#This Row],[Muestra]],Estructura!$M$4:$O$500,3,0)</f>
        <v>M-1061</v>
      </c>
    </row>
    <row r="439" spans="1:27" ht="57.6" x14ac:dyDescent="0.3">
      <c r="A439" s="21" t="s">
        <v>926</v>
      </c>
      <c r="B439" s="23">
        <f t="shared" si="181"/>
        <v>990</v>
      </c>
      <c r="C439" s="24" t="str">
        <f t="shared" si="182"/>
        <v>Agencia Información</v>
      </c>
      <c r="D439" s="72" t="str">
        <f t="shared" si="189"/>
        <v>Educación</v>
      </c>
      <c r="E439" s="19">
        <v>6</v>
      </c>
      <c r="F439" s="18" t="s">
        <v>1421</v>
      </c>
      <c r="G439" s="18" t="s">
        <v>4290</v>
      </c>
      <c r="H439" s="33" t="s">
        <v>16</v>
      </c>
      <c r="I439" s="34" t="s">
        <v>373</v>
      </c>
      <c r="J439" s="9" t="str">
        <f t="shared" si="194"/>
        <v>Comuna</v>
      </c>
      <c r="K439" s="9" t="str">
        <f t="shared" si="190"/>
        <v>Puntaje promedio</v>
      </c>
      <c r="L439" s="9" t="str">
        <f t="shared" si="191"/>
        <v>Periodo 2015 - 2018</v>
      </c>
      <c r="M439" s="9" t="str">
        <f t="shared" si="192"/>
        <v>Puntaje</v>
      </c>
      <c r="N439" s="9" t="str">
        <f t="shared" si="193"/>
        <v>Agencia de Calidad de la Educación</v>
      </c>
      <c r="O439" s="20" t="str">
        <f>+"Evolución de Puntaje SIMCE de Lectura por Dependencia de Establecimientos para 4° Básico en la "&amp;I439&amp;" para el "&amp;Agencia[[#This Row],[temporalidad]]</f>
        <v>Evolución de Puntaje SIMCE de Lectura por Dependencia de Establecimientos para 4° Básico en la Región de O'Higgins para el Periodo 2015 - 2018</v>
      </c>
      <c r="P439" s="112" t="s">
        <v>6171</v>
      </c>
      <c r="Q439" s="11" t="str">
        <f t="shared" si="176"/>
        <v>Gráfico de Evolución</v>
      </c>
      <c r="R439" s="148" t="str">
        <f>Agencia[[#This Row],[territorio]]&amp;",educación básica,cuarto básico,puntaje,lectura,municipal,subvencionado,corporación,lenguaje,particular,"&amp;Agencia[[#This Row],[coleccion]]&amp;","&amp;Agencia[[#This Row],[sector]]&amp;","&amp;Agencia[[#This Row],[tema]]&amp;","&amp;Agencia[[#This Row],[contenido]]</f>
        <v>Región de O'Higgins,educación básica,cuarto básico,puntaje,lectura,municipal,subvencionado,corporación,lenguaje,particular,Agencia Información,Educación,SIMCE,Métricas de la Educación</v>
      </c>
      <c r="S439" s="83" t="str">
        <f>HYPERLINK("https://analytics.zoho.com/open-view/2395394000009042076?ZOHO_CRITERIA=%22Localiza%20CL%22.%22Codreg%22%3D"&amp;Agencia[[#This Row],[Filtro URL]])</f>
        <v>https://analytics.zoho.com/open-view/2395394000009042076?ZOHO_CRITERIA=%22Localiza%20CL%22.%22Codreg%22%3D6</v>
      </c>
      <c r="T439" s="108" t="str">
        <f>"100-C-"&amp;Agencia[[#This Row],[Filtro URL]]</f>
        <v>100-C-6</v>
      </c>
      <c r="U439" s="46" t="str">
        <f t="shared" si="177"/>
        <v>#1774B9</v>
      </c>
      <c r="V439" s="93" t="str">
        <f>+Agencia[[#This Row],[idcoleccion]]&amp;"-"&amp;Agencia[[#This Row],[id]]</f>
        <v>990-0428</v>
      </c>
      <c r="W439" s="93">
        <f>+VLOOKUP(Agencia[[#This Row],[Filtro URL]],Estructura!$X$4:$Y$500,2,0)</f>
        <v>99200006</v>
      </c>
      <c r="X439" s="93" t="str">
        <f>+VLOOKUP(Agencia[[#This Row],[tema]],Estructura!$A$4:$C$500,3,0)</f>
        <v>T-1032</v>
      </c>
      <c r="Y439" s="93" t="str">
        <f>+VLOOKUP(Agencia[[#This Row],[contenido]],Estructura!$E$4:$G$500,3,0)</f>
        <v>C-1018</v>
      </c>
      <c r="Z439" s="93" t="str">
        <f>+VLOOKUP(Agencia[[#This Row],[Filtro Integrado]],Estructura!$I$4:$K$500,3,0)</f>
        <v>FI-991</v>
      </c>
      <c r="AA439" s="93" t="str">
        <f>+VLOOKUP(Agencia[[#This Row],[Muestra]],Estructura!$M$4:$O$500,3,0)</f>
        <v>M-1061</v>
      </c>
    </row>
    <row r="440" spans="1:27" ht="57.6" x14ac:dyDescent="0.3">
      <c r="A440" s="21" t="s">
        <v>927</v>
      </c>
      <c r="B440" s="23">
        <f t="shared" si="181"/>
        <v>990</v>
      </c>
      <c r="C440" s="24" t="str">
        <f t="shared" si="182"/>
        <v>Agencia Información</v>
      </c>
      <c r="D440" s="72" t="str">
        <f t="shared" si="189"/>
        <v>Educación</v>
      </c>
      <c r="E440" s="19">
        <v>7</v>
      </c>
      <c r="F440" s="18" t="s">
        <v>1421</v>
      </c>
      <c r="G440" s="18" t="s">
        <v>4290</v>
      </c>
      <c r="H440" s="33" t="s">
        <v>16</v>
      </c>
      <c r="I440" s="34" t="s">
        <v>374</v>
      </c>
      <c r="J440" s="9" t="str">
        <f t="shared" si="194"/>
        <v>Comuna</v>
      </c>
      <c r="K440" s="9" t="str">
        <f t="shared" si="190"/>
        <v>Puntaje promedio</v>
      </c>
      <c r="L440" s="9" t="str">
        <f t="shared" si="191"/>
        <v>Periodo 2015 - 2018</v>
      </c>
      <c r="M440" s="9" t="str">
        <f t="shared" si="192"/>
        <v>Puntaje</v>
      </c>
      <c r="N440" s="9" t="str">
        <f t="shared" si="193"/>
        <v>Agencia de Calidad de la Educación</v>
      </c>
      <c r="O440" s="20" t="str">
        <f>+"Evolución de Puntaje SIMCE de Lectura por Dependencia de Establecimientos para 4° Básico en la "&amp;I440&amp;" para el "&amp;Agencia[[#This Row],[temporalidad]]</f>
        <v>Evolución de Puntaje SIMCE de Lectura por Dependencia de Establecimientos para 4° Básico en la Región de Maule para el Periodo 2015 - 2018</v>
      </c>
      <c r="P440" s="112" t="s">
        <v>6172</v>
      </c>
      <c r="Q440" s="11" t="str">
        <f t="shared" si="176"/>
        <v>Gráfico de Evolución</v>
      </c>
      <c r="R440" s="148" t="str">
        <f>Agencia[[#This Row],[territorio]]&amp;",educación básica,cuarto básico,puntaje,lectura,municipal,subvencionado,corporación,lenguaje,particular,"&amp;Agencia[[#This Row],[coleccion]]&amp;","&amp;Agencia[[#This Row],[sector]]&amp;","&amp;Agencia[[#This Row],[tema]]&amp;","&amp;Agencia[[#This Row],[contenido]]</f>
        <v>Región de Maule,educación básica,cuarto básico,puntaje,lectura,municipal,subvencionado,corporación,lenguaje,particular,Agencia Información,Educación,SIMCE,Métricas de la Educación</v>
      </c>
      <c r="S440" s="83" t="str">
        <f>HYPERLINK("https://analytics.zoho.com/open-view/2395394000009042076?ZOHO_CRITERIA=%22Localiza%20CL%22.%22Codreg%22%3D"&amp;Agencia[[#This Row],[Filtro URL]])</f>
        <v>https://analytics.zoho.com/open-view/2395394000009042076?ZOHO_CRITERIA=%22Localiza%20CL%22.%22Codreg%22%3D7</v>
      </c>
      <c r="T440" s="108" t="str">
        <f>"100-C-"&amp;Agencia[[#This Row],[Filtro URL]]</f>
        <v>100-C-7</v>
      </c>
      <c r="U440" s="46" t="str">
        <f t="shared" si="177"/>
        <v>#1774B9</v>
      </c>
      <c r="V440" s="93" t="str">
        <f>+Agencia[[#This Row],[idcoleccion]]&amp;"-"&amp;Agencia[[#This Row],[id]]</f>
        <v>990-0429</v>
      </c>
      <c r="W440" s="93">
        <f>+VLOOKUP(Agencia[[#This Row],[Filtro URL]],Estructura!$X$4:$Y$500,2,0)</f>
        <v>99200007</v>
      </c>
      <c r="X440" s="93" t="str">
        <f>+VLOOKUP(Agencia[[#This Row],[tema]],Estructura!$A$4:$C$500,3,0)</f>
        <v>T-1032</v>
      </c>
      <c r="Y440" s="93" t="str">
        <f>+VLOOKUP(Agencia[[#This Row],[contenido]],Estructura!$E$4:$G$500,3,0)</f>
        <v>C-1018</v>
      </c>
      <c r="Z440" s="93" t="str">
        <f>+VLOOKUP(Agencia[[#This Row],[Filtro Integrado]],Estructura!$I$4:$K$500,3,0)</f>
        <v>FI-991</v>
      </c>
      <c r="AA440" s="93" t="str">
        <f>+VLOOKUP(Agencia[[#This Row],[Muestra]],Estructura!$M$4:$O$500,3,0)</f>
        <v>M-1061</v>
      </c>
    </row>
    <row r="441" spans="1:27" ht="57.6" x14ac:dyDescent="0.3">
      <c r="A441" s="21" t="s">
        <v>928</v>
      </c>
      <c r="B441" s="23">
        <f t="shared" si="181"/>
        <v>990</v>
      </c>
      <c r="C441" s="24" t="str">
        <f t="shared" si="182"/>
        <v>Agencia Información</v>
      </c>
      <c r="D441" s="72" t="str">
        <f t="shared" si="189"/>
        <v>Educación</v>
      </c>
      <c r="E441" s="19">
        <v>8</v>
      </c>
      <c r="F441" s="18" t="s">
        <v>1421</v>
      </c>
      <c r="G441" s="18" t="s">
        <v>4290</v>
      </c>
      <c r="H441" s="33" t="s">
        <v>16</v>
      </c>
      <c r="I441" s="34" t="s">
        <v>375</v>
      </c>
      <c r="J441" s="9" t="str">
        <f t="shared" si="194"/>
        <v>Comuna</v>
      </c>
      <c r="K441" s="9" t="str">
        <f t="shared" si="190"/>
        <v>Puntaje promedio</v>
      </c>
      <c r="L441" s="9" t="str">
        <f t="shared" si="191"/>
        <v>Periodo 2015 - 2018</v>
      </c>
      <c r="M441" s="9" t="str">
        <f t="shared" si="192"/>
        <v>Puntaje</v>
      </c>
      <c r="N441" s="9" t="str">
        <f t="shared" si="193"/>
        <v>Agencia de Calidad de la Educación</v>
      </c>
      <c r="O441" s="20" t="str">
        <f>+"Evolución de Puntaje SIMCE de Lectura por Dependencia de Establecimientos para 4° Básico en la "&amp;I441&amp;" para el "&amp;Agencia[[#This Row],[temporalidad]]</f>
        <v>Evolución de Puntaje SIMCE de Lectura por Dependencia de Establecimientos para 4° Básico en la Región del Biobío para el Periodo 2015 - 2018</v>
      </c>
      <c r="P441" s="112" t="s">
        <v>6173</v>
      </c>
      <c r="Q441" s="11" t="str">
        <f t="shared" si="176"/>
        <v>Gráfico de Evolución</v>
      </c>
      <c r="R441" s="148" t="str">
        <f>Agencia[[#This Row],[territorio]]&amp;",educación básica,cuarto básico,puntaje,lectura,municipal,subvencionado,corporación,lenguaje,particular,"&amp;Agencia[[#This Row],[coleccion]]&amp;","&amp;Agencia[[#This Row],[sector]]&amp;","&amp;Agencia[[#This Row],[tema]]&amp;","&amp;Agencia[[#This Row],[contenido]]</f>
        <v>Región del Biobío,educación básica,cuarto básico,puntaje,lectura,municipal,subvencionado,corporación,lenguaje,particular,Agencia Información,Educación,SIMCE,Métricas de la Educación</v>
      </c>
      <c r="S441" s="83" t="str">
        <f>HYPERLINK("https://analytics.zoho.com/open-view/2395394000009042076?ZOHO_CRITERIA=%22Localiza%20CL%22.%22Codreg%22%3D"&amp;Agencia[[#This Row],[Filtro URL]])</f>
        <v>https://analytics.zoho.com/open-view/2395394000009042076?ZOHO_CRITERIA=%22Localiza%20CL%22.%22Codreg%22%3D8</v>
      </c>
      <c r="T441" s="108" t="str">
        <f>"100-C-"&amp;Agencia[[#This Row],[Filtro URL]]</f>
        <v>100-C-8</v>
      </c>
      <c r="U441" s="46" t="str">
        <f t="shared" si="177"/>
        <v>#1774B9</v>
      </c>
      <c r="V441" s="93" t="str">
        <f>+Agencia[[#This Row],[idcoleccion]]&amp;"-"&amp;Agencia[[#This Row],[id]]</f>
        <v>990-0430</v>
      </c>
      <c r="W441" s="93">
        <f>+VLOOKUP(Agencia[[#This Row],[Filtro URL]],Estructura!$X$4:$Y$500,2,0)</f>
        <v>99200008</v>
      </c>
      <c r="X441" s="93" t="str">
        <f>+VLOOKUP(Agencia[[#This Row],[tema]],Estructura!$A$4:$C$500,3,0)</f>
        <v>T-1032</v>
      </c>
      <c r="Y441" s="93" t="str">
        <f>+VLOOKUP(Agencia[[#This Row],[contenido]],Estructura!$E$4:$G$500,3,0)</f>
        <v>C-1018</v>
      </c>
      <c r="Z441" s="93" t="str">
        <f>+VLOOKUP(Agencia[[#This Row],[Filtro Integrado]],Estructura!$I$4:$K$500,3,0)</f>
        <v>FI-991</v>
      </c>
      <c r="AA441" s="93" t="str">
        <f>+VLOOKUP(Agencia[[#This Row],[Muestra]],Estructura!$M$4:$O$500,3,0)</f>
        <v>M-1061</v>
      </c>
    </row>
    <row r="442" spans="1:27" ht="57.6" x14ac:dyDescent="0.3">
      <c r="A442" s="21" t="s">
        <v>929</v>
      </c>
      <c r="B442" s="23">
        <f t="shared" si="181"/>
        <v>990</v>
      </c>
      <c r="C442" s="24" t="str">
        <f t="shared" si="182"/>
        <v>Agencia Información</v>
      </c>
      <c r="D442" s="72" t="str">
        <f t="shared" si="189"/>
        <v>Educación</v>
      </c>
      <c r="E442" s="19">
        <v>9</v>
      </c>
      <c r="F442" s="18" t="s">
        <v>1421</v>
      </c>
      <c r="G442" s="18" t="s">
        <v>4290</v>
      </c>
      <c r="H442" s="33" t="s">
        <v>16</v>
      </c>
      <c r="I442" s="34" t="s">
        <v>376</v>
      </c>
      <c r="J442" s="9" t="str">
        <f t="shared" si="194"/>
        <v>Comuna</v>
      </c>
      <c r="K442" s="9" t="str">
        <f t="shared" si="190"/>
        <v>Puntaje promedio</v>
      </c>
      <c r="L442" s="9" t="str">
        <f t="shared" si="191"/>
        <v>Periodo 2015 - 2018</v>
      </c>
      <c r="M442" s="9" t="str">
        <f t="shared" si="192"/>
        <v>Puntaje</v>
      </c>
      <c r="N442" s="9" t="str">
        <f t="shared" si="193"/>
        <v>Agencia de Calidad de la Educación</v>
      </c>
      <c r="O442" s="20" t="str">
        <f>+"Evolución de Puntaje SIMCE de Lectura por Dependencia de Establecimientos para 4° Básico en la "&amp;I442&amp;" para el "&amp;Agencia[[#This Row],[temporalidad]]</f>
        <v>Evolución de Puntaje SIMCE de Lectura por Dependencia de Establecimientos para 4° Básico en la Región de La Araucanía para el Periodo 2015 - 2018</v>
      </c>
      <c r="P442" s="112" t="s">
        <v>6229</v>
      </c>
      <c r="Q442" s="11" t="str">
        <f t="shared" si="176"/>
        <v>Gráfico de Evolución</v>
      </c>
      <c r="R442" s="148" t="str">
        <f>Agencia[[#This Row],[territorio]]&amp;",educación básica,cuarto básico,puntaje,lectura,municipal,subvencionado,corporación,lenguaje,particular,"&amp;Agencia[[#This Row],[coleccion]]&amp;","&amp;Agencia[[#This Row],[sector]]&amp;","&amp;Agencia[[#This Row],[tema]]&amp;","&amp;Agencia[[#This Row],[contenido]]</f>
        <v>Región de La Araucanía,educación básica,cuarto básico,puntaje,lectura,municipal,subvencionado,corporación,lenguaje,particular,Agencia Información,Educación,SIMCE,Métricas de la Educación</v>
      </c>
      <c r="S442" s="83" t="str">
        <f>HYPERLINK("https://analytics.zoho.com/open-view/2395394000009042076?ZOHO_CRITERIA=%22Localiza%20CL%22.%22Codreg%22%3D"&amp;Agencia[[#This Row],[Filtro URL]])</f>
        <v>https://analytics.zoho.com/open-view/2395394000009042076?ZOHO_CRITERIA=%22Localiza%20CL%22.%22Codreg%22%3D9</v>
      </c>
      <c r="T442" s="108" t="str">
        <f>"100-C-"&amp;Agencia[[#This Row],[Filtro URL]]</f>
        <v>100-C-9</v>
      </c>
      <c r="U442" s="46" t="str">
        <f t="shared" si="177"/>
        <v>#1774B9</v>
      </c>
      <c r="V442" s="93" t="str">
        <f>+Agencia[[#This Row],[idcoleccion]]&amp;"-"&amp;Agencia[[#This Row],[id]]</f>
        <v>990-0431</v>
      </c>
      <c r="W442" s="93">
        <f>+VLOOKUP(Agencia[[#This Row],[Filtro URL]],Estructura!$X$4:$Y$500,2,0)</f>
        <v>99200009</v>
      </c>
      <c r="X442" s="93" t="str">
        <f>+VLOOKUP(Agencia[[#This Row],[tema]],Estructura!$A$4:$C$500,3,0)</f>
        <v>T-1032</v>
      </c>
      <c r="Y442" s="93" t="str">
        <f>+VLOOKUP(Agencia[[#This Row],[contenido]],Estructura!$E$4:$G$500,3,0)</f>
        <v>C-1018</v>
      </c>
      <c r="Z442" s="93" t="str">
        <f>+VLOOKUP(Agencia[[#This Row],[Filtro Integrado]],Estructura!$I$4:$K$500,3,0)</f>
        <v>FI-991</v>
      </c>
      <c r="AA442" s="93" t="str">
        <f>+VLOOKUP(Agencia[[#This Row],[Muestra]],Estructura!$M$4:$O$500,3,0)</f>
        <v>M-1061</v>
      </c>
    </row>
    <row r="443" spans="1:27" ht="57.6" x14ac:dyDescent="0.3">
      <c r="A443" s="21" t="s">
        <v>930</v>
      </c>
      <c r="B443" s="23">
        <f t="shared" si="181"/>
        <v>990</v>
      </c>
      <c r="C443" s="24" t="str">
        <f t="shared" si="182"/>
        <v>Agencia Información</v>
      </c>
      <c r="D443" s="72" t="str">
        <f t="shared" si="189"/>
        <v>Educación</v>
      </c>
      <c r="E443" s="19">
        <v>10</v>
      </c>
      <c r="F443" s="18" t="s">
        <v>1421</v>
      </c>
      <c r="G443" s="18" t="s">
        <v>4290</v>
      </c>
      <c r="H443" s="33" t="s">
        <v>16</v>
      </c>
      <c r="I443" s="34" t="s">
        <v>377</v>
      </c>
      <c r="J443" s="9" t="str">
        <f t="shared" si="194"/>
        <v>Comuna</v>
      </c>
      <c r="K443" s="9" t="str">
        <f t="shared" si="190"/>
        <v>Puntaje promedio</v>
      </c>
      <c r="L443" s="9" t="str">
        <f t="shared" si="191"/>
        <v>Periodo 2015 - 2018</v>
      </c>
      <c r="M443" s="9" t="str">
        <f t="shared" si="192"/>
        <v>Puntaje</v>
      </c>
      <c r="N443" s="9" t="str">
        <f t="shared" si="193"/>
        <v>Agencia de Calidad de la Educación</v>
      </c>
      <c r="O443" s="20" t="str">
        <f>+"Evolución de Puntaje SIMCE de Lectura por Dependencia de Establecimientos para 4° Básico en la "&amp;I443&amp;" para el "&amp;Agencia[[#This Row],[temporalidad]]</f>
        <v>Evolución de Puntaje SIMCE de Lectura por Dependencia de Establecimientos para 4° Básico en la Región de Los Lagos para el Periodo 2015 - 2018</v>
      </c>
      <c r="P443" s="112" t="s">
        <v>6174</v>
      </c>
      <c r="Q443" s="11" t="str">
        <f t="shared" si="176"/>
        <v>Gráfico de Evolución</v>
      </c>
      <c r="R443" s="148" t="str">
        <f>Agencia[[#This Row],[territorio]]&amp;",educación básica,cuarto básico,puntaje,lectura,municipal,subvencionado,corporación,lenguaje,particular,"&amp;Agencia[[#This Row],[coleccion]]&amp;","&amp;Agencia[[#This Row],[sector]]&amp;","&amp;Agencia[[#This Row],[tema]]&amp;","&amp;Agencia[[#This Row],[contenido]]</f>
        <v>Región de Los Lagos,educación básica,cuarto básico,puntaje,lectura,municipal,subvencionado,corporación,lenguaje,particular,Agencia Información,Educación,SIMCE,Métricas de la Educación</v>
      </c>
      <c r="S443" s="83" t="str">
        <f>HYPERLINK("https://analytics.zoho.com/open-view/2395394000009042076?ZOHO_CRITERIA=%22Localiza%20CL%22.%22Codreg%22%3D"&amp;Agencia[[#This Row],[Filtro URL]])</f>
        <v>https://analytics.zoho.com/open-view/2395394000009042076?ZOHO_CRITERIA=%22Localiza%20CL%22.%22Codreg%22%3D10</v>
      </c>
      <c r="T443" s="108" t="str">
        <f>"100-C-"&amp;Agencia[[#This Row],[Filtro URL]]</f>
        <v>100-C-10</v>
      </c>
      <c r="U443" s="46" t="str">
        <f t="shared" si="177"/>
        <v>#1774B9</v>
      </c>
      <c r="V443" s="93" t="str">
        <f>+Agencia[[#This Row],[idcoleccion]]&amp;"-"&amp;Agencia[[#This Row],[id]]</f>
        <v>990-0432</v>
      </c>
      <c r="W443" s="93">
        <f>+VLOOKUP(Agencia[[#This Row],[Filtro URL]],Estructura!$X$4:$Y$500,2,0)</f>
        <v>99200010</v>
      </c>
      <c r="X443" s="93" t="str">
        <f>+VLOOKUP(Agencia[[#This Row],[tema]],Estructura!$A$4:$C$500,3,0)</f>
        <v>T-1032</v>
      </c>
      <c r="Y443" s="93" t="str">
        <f>+VLOOKUP(Agencia[[#This Row],[contenido]],Estructura!$E$4:$G$500,3,0)</f>
        <v>C-1018</v>
      </c>
      <c r="Z443" s="93" t="str">
        <f>+VLOOKUP(Agencia[[#This Row],[Filtro Integrado]],Estructura!$I$4:$K$500,3,0)</f>
        <v>FI-991</v>
      </c>
      <c r="AA443" s="93" t="str">
        <f>+VLOOKUP(Agencia[[#This Row],[Muestra]],Estructura!$M$4:$O$500,3,0)</f>
        <v>M-1061</v>
      </c>
    </row>
    <row r="444" spans="1:27" ht="57.6" x14ac:dyDescent="0.3">
      <c r="A444" s="21" t="s">
        <v>931</v>
      </c>
      <c r="B444" s="23">
        <f t="shared" si="181"/>
        <v>990</v>
      </c>
      <c r="C444" s="24" t="str">
        <f t="shared" si="182"/>
        <v>Agencia Información</v>
      </c>
      <c r="D444" s="72" t="str">
        <f t="shared" si="189"/>
        <v>Educación</v>
      </c>
      <c r="E444" s="19">
        <v>11</v>
      </c>
      <c r="F444" s="18" t="s">
        <v>1421</v>
      </c>
      <c r="G444" s="18" t="s">
        <v>4290</v>
      </c>
      <c r="H444" s="33" t="s">
        <v>16</v>
      </c>
      <c r="I444" s="34" t="s">
        <v>378</v>
      </c>
      <c r="J444" s="9" t="str">
        <f t="shared" si="194"/>
        <v>Comuna</v>
      </c>
      <c r="K444" s="9" t="str">
        <f t="shared" si="190"/>
        <v>Puntaje promedio</v>
      </c>
      <c r="L444" s="9" t="str">
        <f t="shared" si="191"/>
        <v>Periodo 2015 - 2018</v>
      </c>
      <c r="M444" s="9" t="str">
        <f t="shared" si="192"/>
        <v>Puntaje</v>
      </c>
      <c r="N444" s="9" t="str">
        <f t="shared" si="193"/>
        <v>Agencia de Calidad de la Educación</v>
      </c>
      <c r="O444" s="20" t="str">
        <f>+"Evolución de Puntaje SIMCE de Lectura por Dependencia de Establecimientos para 4° Básico en la "&amp;I444&amp;" para el "&amp;Agencia[[#This Row],[temporalidad]]</f>
        <v>Evolución de Puntaje SIMCE de Lectura por Dependencia de Establecimientos para 4° Básico en la Región de Aysén para el Periodo 2015 - 2018</v>
      </c>
      <c r="P444" s="112" t="s">
        <v>6175</v>
      </c>
      <c r="Q444" s="11" t="str">
        <f t="shared" si="176"/>
        <v>Gráfico de Evolución</v>
      </c>
      <c r="R444" s="148" t="str">
        <f>Agencia[[#This Row],[territorio]]&amp;",educación básica,cuarto básico,puntaje,lectura,municipal,subvencionado,corporación,lenguaje,particular,"&amp;Agencia[[#This Row],[coleccion]]&amp;","&amp;Agencia[[#This Row],[sector]]&amp;","&amp;Agencia[[#This Row],[tema]]&amp;","&amp;Agencia[[#This Row],[contenido]]</f>
        <v>Región de Aysén,educación básica,cuarto básico,puntaje,lectura,municipal,subvencionado,corporación,lenguaje,particular,Agencia Información,Educación,SIMCE,Métricas de la Educación</v>
      </c>
      <c r="S444" s="83" t="str">
        <f>HYPERLINK("https://analytics.zoho.com/open-view/2395394000009042076?ZOHO_CRITERIA=%22Localiza%20CL%22.%22Codreg%22%3D"&amp;Agencia[[#This Row],[Filtro URL]])</f>
        <v>https://analytics.zoho.com/open-view/2395394000009042076?ZOHO_CRITERIA=%22Localiza%20CL%22.%22Codreg%22%3D11</v>
      </c>
      <c r="T444" s="108" t="str">
        <f>"100-C-"&amp;Agencia[[#This Row],[Filtro URL]]</f>
        <v>100-C-11</v>
      </c>
      <c r="U444" s="46" t="str">
        <f t="shared" si="177"/>
        <v>#1774B9</v>
      </c>
      <c r="V444" s="93" t="str">
        <f>+Agencia[[#This Row],[idcoleccion]]&amp;"-"&amp;Agencia[[#This Row],[id]]</f>
        <v>990-0433</v>
      </c>
      <c r="W444" s="93">
        <f>+VLOOKUP(Agencia[[#This Row],[Filtro URL]],Estructura!$X$4:$Y$500,2,0)</f>
        <v>99200011</v>
      </c>
      <c r="X444" s="93" t="str">
        <f>+VLOOKUP(Agencia[[#This Row],[tema]],Estructura!$A$4:$C$500,3,0)</f>
        <v>T-1032</v>
      </c>
      <c r="Y444" s="93" t="str">
        <f>+VLOOKUP(Agencia[[#This Row],[contenido]],Estructura!$E$4:$G$500,3,0)</f>
        <v>C-1018</v>
      </c>
      <c r="Z444" s="93" t="str">
        <f>+VLOOKUP(Agencia[[#This Row],[Filtro Integrado]],Estructura!$I$4:$K$500,3,0)</f>
        <v>FI-991</v>
      </c>
      <c r="AA444" s="93" t="str">
        <f>+VLOOKUP(Agencia[[#This Row],[Muestra]],Estructura!$M$4:$O$500,3,0)</f>
        <v>M-1061</v>
      </c>
    </row>
    <row r="445" spans="1:27" ht="57.6" x14ac:dyDescent="0.3">
      <c r="A445" s="21" t="s">
        <v>932</v>
      </c>
      <c r="B445" s="23">
        <f t="shared" si="181"/>
        <v>990</v>
      </c>
      <c r="C445" s="24" t="str">
        <f t="shared" si="182"/>
        <v>Agencia Información</v>
      </c>
      <c r="D445" s="72" t="str">
        <f t="shared" si="189"/>
        <v>Educación</v>
      </c>
      <c r="E445" s="19">
        <v>12</v>
      </c>
      <c r="F445" s="18" t="s">
        <v>1421</v>
      </c>
      <c r="G445" s="18" t="s">
        <v>4290</v>
      </c>
      <c r="H445" s="33" t="s">
        <v>16</v>
      </c>
      <c r="I445" s="34" t="s">
        <v>379</v>
      </c>
      <c r="J445" s="9" t="str">
        <f t="shared" si="194"/>
        <v>Comuna</v>
      </c>
      <c r="K445" s="9" t="str">
        <f t="shared" si="190"/>
        <v>Puntaje promedio</v>
      </c>
      <c r="L445" s="9" t="str">
        <f t="shared" si="191"/>
        <v>Periodo 2015 - 2018</v>
      </c>
      <c r="M445" s="9" t="str">
        <f t="shared" si="192"/>
        <v>Puntaje</v>
      </c>
      <c r="N445" s="9" t="str">
        <f t="shared" si="193"/>
        <v>Agencia de Calidad de la Educación</v>
      </c>
      <c r="O445" s="20" t="str">
        <f>+"Evolución de Puntaje SIMCE de Lectura por Dependencia de Establecimientos para 4° Básico en la "&amp;I445&amp;" para el "&amp;Agencia[[#This Row],[temporalidad]]</f>
        <v>Evolución de Puntaje SIMCE de Lectura por Dependencia de Establecimientos para 4° Básico en la Región de Magallanes para el Periodo 2015 - 2018</v>
      </c>
      <c r="P445" s="112" t="s">
        <v>6176</v>
      </c>
      <c r="Q445" s="11" t="str">
        <f t="shared" si="176"/>
        <v>Gráfico de Evolución</v>
      </c>
      <c r="R445" s="148" t="str">
        <f>Agencia[[#This Row],[territorio]]&amp;",educación básica,cuarto básico,puntaje,lectura,municipal,subvencionado,corporación,lenguaje,particular,"&amp;Agencia[[#This Row],[coleccion]]&amp;","&amp;Agencia[[#This Row],[sector]]&amp;","&amp;Agencia[[#This Row],[tema]]&amp;","&amp;Agencia[[#This Row],[contenido]]</f>
        <v>Región de Magallanes,educación básica,cuarto básico,puntaje,lectura,municipal,subvencionado,corporación,lenguaje,particular,Agencia Información,Educación,SIMCE,Métricas de la Educación</v>
      </c>
      <c r="S445" s="83" t="str">
        <f>HYPERLINK("https://analytics.zoho.com/open-view/2395394000009042076?ZOHO_CRITERIA=%22Localiza%20CL%22.%22Codreg%22%3D"&amp;Agencia[[#This Row],[Filtro URL]])</f>
        <v>https://analytics.zoho.com/open-view/2395394000009042076?ZOHO_CRITERIA=%22Localiza%20CL%22.%22Codreg%22%3D12</v>
      </c>
      <c r="T445" s="108" t="str">
        <f>"100-C-"&amp;Agencia[[#This Row],[Filtro URL]]</f>
        <v>100-C-12</v>
      </c>
      <c r="U445" s="46" t="str">
        <f t="shared" si="177"/>
        <v>#1774B9</v>
      </c>
      <c r="V445" s="93" t="str">
        <f>+Agencia[[#This Row],[idcoleccion]]&amp;"-"&amp;Agencia[[#This Row],[id]]</f>
        <v>990-0434</v>
      </c>
      <c r="W445" s="93">
        <f>+VLOOKUP(Agencia[[#This Row],[Filtro URL]],Estructura!$X$4:$Y$500,2,0)</f>
        <v>99200012</v>
      </c>
      <c r="X445" s="93" t="str">
        <f>+VLOOKUP(Agencia[[#This Row],[tema]],Estructura!$A$4:$C$500,3,0)</f>
        <v>T-1032</v>
      </c>
      <c r="Y445" s="93" t="str">
        <f>+VLOOKUP(Agencia[[#This Row],[contenido]],Estructura!$E$4:$G$500,3,0)</f>
        <v>C-1018</v>
      </c>
      <c r="Z445" s="93" t="str">
        <f>+VLOOKUP(Agencia[[#This Row],[Filtro Integrado]],Estructura!$I$4:$K$500,3,0)</f>
        <v>FI-991</v>
      </c>
      <c r="AA445" s="93" t="str">
        <f>+VLOOKUP(Agencia[[#This Row],[Muestra]],Estructura!$M$4:$O$500,3,0)</f>
        <v>M-1061</v>
      </c>
    </row>
    <row r="446" spans="1:27" ht="57.6" x14ac:dyDescent="0.3">
      <c r="A446" s="21" t="s">
        <v>933</v>
      </c>
      <c r="B446" s="23">
        <f t="shared" si="181"/>
        <v>990</v>
      </c>
      <c r="C446" s="24" t="str">
        <f t="shared" si="182"/>
        <v>Agencia Información</v>
      </c>
      <c r="D446" s="72" t="str">
        <f t="shared" si="189"/>
        <v>Educación</v>
      </c>
      <c r="E446" s="19">
        <v>13</v>
      </c>
      <c r="F446" s="18" t="s">
        <v>1421</v>
      </c>
      <c r="G446" s="18" t="s">
        <v>4290</v>
      </c>
      <c r="H446" s="33" t="s">
        <v>16</v>
      </c>
      <c r="I446" s="34" t="s">
        <v>380</v>
      </c>
      <c r="J446" s="9" t="str">
        <f t="shared" si="194"/>
        <v>Comuna</v>
      </c>
      <c r="K446" s="9" t="str">
        <f t="shared" si="190"/>
        <v>Puntaje promedio</v>
      </c>
      <c r="L446" s="9" t="str">
        <f t="shared" si="191"/>
        <v>Periodo 2015 - 2018</v>
      </c>
      <c r="M446" s="9" t="str">
        <f t="shared" si="192"/>
        <v>Puntaje</v>
      </c>
      <c r="N446" s="9" t="str">
        <f t="shared" si="193"/>
        <v>Agencia de Calidad de la Educación</v>
      </c>
      <c r="O446" s="20" t="str">
        <f>+"Evolución de Puntaje SIMCE de Lectura por Dependencia de Establecimientos para 4° Básico en la "&amp;I446&amp;" para el "&amp;Agencia[[#This Row],[temporalidad]]</f>
        <v>Evolución de Puntaje SIMCE de Lectura por Dependencia de Establecimientos para 4° Básico en la Región Metropolitana para el Periodo 2015 - 2018</v>
      </c>
      <c r="P446" s="112" t="s">
        <v>6177</v>
      </c>
      <c r="Q446" s="11" t="str">
        <f t="shared" ref="Q446:Q509" si="195">+Q445</f>
        <v>Gráfico de Evolución</v>
      </c>
      <c r="R446" s="148" t="str">
        <f>Agencia[[#This Row],[territorio]]&amp;",educación básica,cuarto básico,puntaje,lectura,municipal,subvencionado,corporación,lenguaje,particular,"&amp;Agencia[[#This Row],[coleccion]]&amp;","&amp;Agencia[[#This Row],[sector]]&amp;","&amp;Agencia[[#This Row],[tema]]&amp;","&amp;Agencia[[#This Row],[contenido]]</f>
        <v>Región Metropolitana,educación básica,cuarto básico,puntaje,lectura,municipal,subvencionado,corporación,lenguaje,particular,Agencia Información,Educación,SIMCE,Métricas de la Educación</v>
      </c>
      <c r="S446" s="83" t="str">
        <f>HYPERLINK("https://analytics.zoho.com/open-view/2395394000009042076?ZOHO_CRITERIA=%22Localiza%20CL%22.%22Codreg%22%3D"&amp;Agencia[[#This Row],[Filtro URL]])</f>
        <v>https://analytics.zoho.com/open-view/2395394000009042076?ZOHO_CRITERIA=%22Localiza%20CL%22.%22Codreg%22%3D13</v>
      </c>
      <c r="T446" s="111" t="str">
        <f>"200-C-"&amp;Agencia[[#This Row],[Filtro URL]]</f>
        <v>200-C-13</v>
      </c>
      <c r="U446" s="46" t="str">
        <f t="shared" ref="U446:U509" si="196">+U445</f>
        <v>#1774B9</v>
      </c>
      <c r="V446" s="93" t="str">
        <f>+Agencia[[#This Row],[idcoleccion]]&amp;"-"&amp;Agencia[[#This Row],[id]]</f>
        <v>990-0435</v>
      </c>
      <c r="W446" s="93">
        <f>+VLOOKUP(Agencia[[#This Row],[Filtro URL]],Estructura!$X$4:$Y$500,2,0)</f>
        <v>99200013</v>
      </c>
      <c r="X446" s="93" t="str">
        <f>+VLOOKUP(Agencia[[#This Row],[tema]],Estructura!$A$4:$C$500,3,0)</f>
        <v>T-1032</v>
      </c>
      <c r="Y446" s="93" t="str">
        <f>+VLOOKUP(Agencia[[#This Row],[contenido]],Estructura!$E$4:$G$500,3,0)</f>
        <v>C-1018</v>
      </c>
      <c r="Z446" s="93" t="str">
        <f>+VLOOKUP(Agencia[[#This Row],[Filtro Integrado]],Estructura!$I$4:$K$500,3,0)</f>
        <v>FI-991</v>
      </c>
      <c r="AA446" s="93" t="str">
        <f>+VLOOKUP(Agencia[[#This Row],[Muestra]],Estructura!$M$4:$O$500,3,0)</f>
        <v>M-1061</v>
      </c>
    </row>
    <row r="447" spans="1:27" ht="57.6" x14ac:dyDescent="0.3">
      <c r="A447" s="21" t="s">
        <v>934</v>
      </c>
      <c r="B447" s="23">
        <f t="shared" si="181"/>
        <v>990</v>
      </c>
      <c r="C447" s="24" t="str">
        <f t="shared" si="182"/>
        <v>Agencia Información</v>
      </c>
      <c r="D447" s="72" t="str">
        <f t="shared" si="189"/>
        <v>Educación</v>
      </c>
      <c r="E447" s="19">
        <v>14</v>
      </c>
      <c r="F447" s="18" t="s">
        <v>1421</v>
      </c>
      <c r="G447" s="18" t="s">
        <v>4290</v>
      </c>
      <c r="H447" s="33" t="s">
        <v>16</v>
      </c>
      <c r="I447" s="34" t="s">
        <v>381</v>
      </c>
      <c r="J447" s="9" t="str">
        <f t="shared" si="194"/>
        <v>Comuna</v>
      </c>
      <c r="K447" s="9" t="str">
        <f t="shared" si="190"/>
        <v>Puntaje promedio</v>
      </c>
      <c r="L447" s="9" t="str">
        <f t="shared" si="191"/>
        <v>Periodo 2015 - 2018</v>
      </c>
      <c r="M447" s="9" t="str">
        <f t="shared" si="192"/>
        <v>Puntaje</v>
      </c>
      <c r="N447" s="9" t="str">
        <f t="shared" si="193"/>
        <v>Agencia de Calidad de la Educación</v>
      </c>
      <c r="O447" s="20" t="str">
        <f>+"Evolución de Puntaje SIMCE de Lectura por Dependencia de Establecimientos para 4° Básico en la "&amp;I447&amp;" para el "&amp;Agencia[[#This Row],[temporalidad]]</f>
        <v>Evolución de Puntaje SIMCE de Lectura por Dependencia de Establecimientos para 4° Básico en la Región de Los Ríos para el Periodo 2015 - 2018</v>
      </c>
      <c r="P447" s="112" t="s">
        <v>6178</v>
      </c>
      <c r="Q447" s="11" t="str">
        <f t="shared" si="195"/>
        <v>Gráfico de Evolución</v>
      </c>
      <c r="R447" s="148" t="str">
        <f>Agencia[[#This Row],[territorio]]&amp;",educación básica,cuarto básico,puntaje,lectura,municipal,subvencionado,corporación,lenguaje,particular,"&amp;Agencia[[#This Row],[coleccion]]&amp;","&amp;Agencia[[#This Row],[sector]]&amp;","&amp;Agencia[[#This Row],[tema]]&amp;","&amp;Agencia[[#This Row],[contenido]]</f>
        <v>Región de Los Ríos,educación básica,cuarto básico,puntaje,lectura,municipal,subvencionado,corporación,lenguaje,particular,Agencia Información,Educación,SIMCE,Métricas de la Educación</v>
      </c>
      <c r="S447" s="83" t="str">
        <f>HYPERLINK("https://analytics.zoho.com/open-view/2395394000009042076?ZOHO_CRITERIA=%22Localiza%20CL%22.%22Codreg%22%3D"&amp;Agencia[[#This Row],[Filtro URL]])</f>
        <v>https://analytics.zoho.com/open-view/2395394000009042076?ZOHO_CRITERIA=%22Localiza%20CL%22.%22Codreg%22%3D14</v>
      </c>
      <c r="T447" s="108" t="str">
        <f>"100-C-"&amp;Agencia[[#This Row],[Filtro URL]]</f>
        <v>100-C-14</v>
      </c>
      <c r="U447" s="46" t="str">
        <f t="shared" si="196"/>
        <v>#1774B9</v>
      </c>
      <c r="V447" s="93" t="str">
        <f>+Agencia[[#This Row],[idcoleccion]]&amp;"-"&amp;Agencia[[#This Row],[id]]</f>
        <v>990-0436</v>
      </c>
      <c r="W447" s="93">
        <f>+VLOOKUP(Agencia[[#This Row],[Filtro URL]],Estructura!$X$4:$Y$500,2,0)</f>
        <v>99200014</v>
      </c>
      <c r="X447" s="93" t="str">
        <f>+VLOOKUP(Agencia[[#This Row],[tema]],Estructura!$A$4:$C$500,3,0)</f>
        <v>T-1032</v>
      </c>
      <c r="Y447" s="93" t="str">
        <f>+VLOOKUP(Agencia[[#This Row],[contenido]],Estructura!$E$4:$G$500,3,0)</f>
        <v>C-1018</v>
      </c>
      <c r="Z447" s="93" t="str">
        <f>+VLOOKUP(Agencia[[#This Row],[Filtro Integrado]],Estructura!$I$4:$K$500,3,0)</f>
        <v>FI-991</v>
      </c>
      <c r="AA447" s="93" t="str">
        <f>+VLOOKUP(Agencia[[#This Row],[Muestra]],Estructura!$M$4:$O$500,3,0)</f>
        <v>M-1061</v>
      </c>
    </row>
    <row r="448" spans="1:27" ht="61.2" x14ac:dyDescent="0.3">
      <c r="A448" s="21" t="s">
        <v>935</v>
      </c>
      <c r="B448" s="23">
        <f t="shared" si="181"/>
        <v>990</v>
      </c>
      <c r="C448" s="24" t="str">
        <f t="shared" si="182"/>
        <v>Agencia Información</v>
      </c>
      <c r="D448" s="72" t="str">
        <f t="shared" si="189"/>
        <v>Educación</v>
      </c>
      <c r="E448" s="19">
        <v>15</v>
      </c>
      <c r="F448" s="18" t="s">
        <v>1421</v>
      </c>
      <c r="G448" s="18" t="s">
        <v>4290</v>
      </c>
      <c r="H448" s="33" t="s">
        <v>16</v>
      </c>
      <c r="I448" s="34" t="s">
        <v>382</v>
      </c>
      <c r="J448" s="9" t="str">
        <f t="shared" si="194"/>
        <v>Comuna</v>
      </c>
      <c r="K448" s="9" t="str">
        <f t="shared" si="190"/>
        <v>Puntaje promedio</v>
      </c>
      <c r="L448" s="9" t="str">
        <f t="shared" si="191"/>
        <v>Periodo 2015 - 2018</v>
      </c>
      <c r="M448" s="9" t="str">
        <f t="shared" si="192"/>
        <v>Puntaje</v>
      </c>
      <c r="N448" s="9" t="str">
        <f t="shared" si="193"/>
        <v>Agencia de Calidad de la Educación</v>
      </c>
      <c r="O448" s="20" t="str">
        <f>+"Evolución de Puntaje SIMCE de Lectura por Dependencia de Establecimientos para 4° Básico en la "&amp;I448&amp;" para el "&amp;Agencia[[#This Row],[temporalidad]]</f>
        <v>Evolución de Puntaje SIMCE de Lectura por Dependencia de Establecimientos para 4° Básico en la Región de Arica y Parinacota para el Periodo 2015 - 2018</v>
      </c>
      <c r="P448" s="112" t="s">
        <v>6179</v>
      </c>
      <c r="Q448" s="11" t="str">
        <f t="shared" si="195"/>
        <v>Gráfico de Evolución</v>
      </c>
      <c r="R448" s="148" t="str">
        <f>Agencia[[#This Row],[territorio]]&amp;",educación básica,cuarto básico,puntaje,lectura,municipal,subvencionado,corporación,lenguaje,particular,"&amp;Agencia[[#This Row],[coleccion]]&amp;","&amp;Agencia[[#This Row],[sector]]&amp;","&amp;Agencia[[#This Row],[tema]]&amp;","&amp;Agencia[[#This Row],[contenido]]</f>
        <v>Región de Arica y Parinacota,educación básica,cuarto básico,puntaje,lectura,municipal,subvencionado,corporación,lenguaje,particular,Agencia Información,Educación,SIMCE,Métricas de la Educación</v>
      </c>
      <c r="S448" s="83" t="str">
        <f>HYPERLINK("https://analytics.zoho.com/open-view/2395394000009042076?ZOHO_CRITERIA=%22Localiza%20CL%22.%22Codreg%22%3D"&amp;Agencia[[#This Row],[Filtro URL]])</f>
        <v>https://analytics.zoho.com/open-view/2395394000009042076?ZOHO_CRITERIA=%22Localiza%20CL%22.%22Codreg%22%3D15</v>
      </c>
      <c r="T448" s="108" t="str">
        <f>"100-C-"&amp;Agencia[[#This Row],[Filtro URL]]</f>
        <v>100-C-15</v>
      </c>
      <c r="U448" s="46" t="str">
        <f t="shared" si="196"/>
        <v>#1774B9</v>
      </c>
      <c r="V448" s="93" t="str">
        <f>+Agencia[[#This Row],[idcoleccion]]&amp;"-"&amp;Agencia[[#This Row],[id]]</f>
        <v>990-0437</v>
      </c>
      <c r="W448" s="93">
        <f>+VLOOKUP(Agencia[[#This Row],[Filtro URL]],Estructura!$X$4:$Y$500,2,0)</f>
        <v>99200015</v>
      </c>
      <c r="X448" s="93" t="str">
        <f>+VLOOKUP(Agencia[[#This Row],[tema]],Estructura!$A$4:$C$500,3,0)</f>
        <v>T-1032</v>
      </c>
      <c r="Y448" s="93" t="str">
        <f>+VLOOKUP(Agencia[[#This Row],[contenido]],Estructura!$E$4:$G$500,3,0)</f>
        <v>C-1018</v>
      </c>
      <c r="Z448" s="93" t="str">
        <f>+VLOOKUP(Agencia[[#This Row],[Filtro Integrado]],Estructura!$I$4:$K$500,3,0)</f>
        <v>FI-991</v>
      </c>
      <c r="AA448" s="93" t="str">
        <f>+VLOOKUP(Agencia[[#This Row],[Muestra]],Estructura!$M$4:$O$500,3,0)</f>
        <v>M-1061</v>
      </c>
    </row>
    <row r="449" spans="1:27" ht="57.6" x14ac:dyDescent="0.3">
      <c r="A449" s="21" t="s">
        <v>936</v>
      </c>
      <c r="B449" s="23">
        <f t="shared" si="181"/>
        <v>990</v>
      </c>
      <c r="C449" s="24" t="str">
        <f t="shared" si="182"/>
        <v>Agencia Información</v>
      </c>
      <c r="D449" s="72" t="str">
        <f t="shared" si="189"/>
        <v>Educación</v>
      </c>
      <c r="E449" s="19">
        <v>16</v>
      </c>
      <c r="F449" s="18" t="s">
        <v>1421</v>
      </c>
      <c r="G449" s="18" t="s">
        <v>4290</v>
      </c>
      <c r="H449" s="33" t="s">
        <v>16</v>
      </c>
      <c r="I449" s="34" t="s">
        <v>383</v>
      </c>
      <c r="J449" s="9" t="str">
        <f t="shared" si="194"/>
        <v>Comuna</v>
      </c>
      <c r="K449" s="9" t="str">
        <f t="shared" si="190"/>
        <v>Puntaje promedio</v>
      </c>
      <c r="L449" s="9" t="str">
        <f t="shared" si="191"/>
        <v>Periodo 2015 - 2018</v>
      </c>
      <c r="M449" s="9" t="str">
        <f t="shared" si="192"/>
        <v>Puntaje</v>
      </c>
      <c r="N449" s="9" t="str">
        <f t="shared" si="193"/>
        <v>Agencia de Calidad de la Educación</v>
      </c>
      <c r="O449" s="20" t="str">
        <f>+"Evolución de Puntaje SIMCE de Lectura por Dependencia de Establecimientos para 4° Básico en la "&amp;I449&amp;" para el "&amp;Agencia[[#This Row],[temporalidad]]</f>
        <v>Evolución de Puntaje SIMCE de Lectura por Dependencia de Establecimientos para 4° Básico en la Región de Ñuble para el Periodo 2015 - 2018</v>
      </c>
      <c r="P449" s="112" t="s">
        <v>6180</v>
      </c>
      <c r="Q449" s="11" t="str">
        <f t="shared" si="195"/>
        <v>Gráfico de Evolución</v>
      </c>
      <c r="R449" s="148" t="str">
        <f>Agencia[[#This Row],[territorio]]&amp;",educación básica,cuarto básico,puntaje,lectura,municipal,subvencionado,corporación,lenguaje,particular,"&amp;Agencia[[#This Row],[coleccion]]&amp;","&amp;Agencia[[#This Row],[sector]]&amp;","&amp;Agencia[[#This Row],[tema]]&amp;","&amp;Agencia[[#This Row],[contenido]]</f>
        <v>Región de Ñuble,educación básica,cuarto básico,puntaje,lectura,municipal,subvencionado,corporación,lenguaje,particular,Agencia Información,Educación,SIMCE,Métricas de la Educación</v>
      </c>
      <c r="S449" s="83" t="str">
        <f>HYPERLINK("https://analytics.zoho.com/open-view/2395394000009042076?ZOHO_CRITERIA=%22Localiza%20CL%22.%22Codreg%22%3D"&amp;Agencia[[#This Row],[Filtro URL]])</f>
        <v>https://analytics.zoho.com/open-view/2395394000009042076?ZOHO_CRITERIA=%22Localiza%20CL%22.%22Codreg%22%3D16</v>
      </c>
      <c r="T449" s="108" t="str">
        <f>"100-C-"&amp;Agencia[[#This Row],[Filtro URL]]</f>
        <v>100-C-16</v>
      </c>
      <c r="U449" s="46" t="str">
        <f t="shared" si="196"/>
        <v>#1774B9</v>
      </c>
      <c r="V449" s="93" t="str">
        <f>+Agencia[[#This Row],[idcoleccion]]&amp;"-"&amp;Agencia[[#This Row],[id]]</f>
        <v>990-0438</v>
      </c>
      <c r="W449" s="93">
        <f>+VLOOKUP(Agencia[[#This Row],[Filtro URL]],Estructura!$X$4:$Y$500,2,0)</f>
        <v>99200016</v>
      </c>
      <c r="X449" s="93" t="str">
        <f>+VLOOKUP(Agencia[[#This Row],[tema]],Estructura!$A$4:$C$500,3,0)</f>
        <v>T-1032</v>
      </c>
      <c r="Y449" s="93" t="str">
        <f>+VLOOKUP(Agencia[[#This Row],[contenido]],Estructura!$E$4:$G$500,3,0)</f>
        <v>C-1018</v>
      </c>
      <c r="Z449" s="93" t="str">
        <f>+VLOOKUP(Agencia[[#This Row],[Filtro Integrado]],Estructura!$I$4:$K$500,3,0)</f>
        <v>FI-991</v>
      </c>
      <c r="AA449" s="93" t="str">
        <f>+VLOOKUP(Agencia[[#This Row],[Muestra]],Estructura!$M$4:$O$500,3,0)</f>
        <v>M-1061</v>
      </c>
    </row>
    <row r="450" spans="1:27" ht="40.799999999999997" x14ac:dyDescent="0.3">
      <c r="A450" s="21" t="s">
        <v>937</v>
      </c>
      <c r="B450" s="23">
        <f t="shared" si="181"/>
        <v>990</v>
      </c>
      <c r="C450" s="24" t="str">
        <f t="shared" si="182"/>
        <v>Agencia Información</v>
      </c>
      <c r="D450" s="72" t="s">
        <v>14</v>
      </c>
      <c r="E450" s="14">
        <v>0</v>
      </c>
      <c r="F450" s="18" t="s">
        <v>1421</v>
      </c>
      <c r="G450" s="18" t="s">
        <v>4290</v>
      </c>
      <c r="H450" s="31" t="s">
        <v>20</v>
      </c>
      <c r="I450" s="32" t="s">
        <v>15</v>
      </c>
      <c r="J450" s="9" t="s">
        <v>956</v>
      </c>
      <c r="K450" s="9" t="s">
        <v>9297</v>
      </c>
      <c r="L450" s="9" t="s">
        <v>1423</v>
      </c>
      <c r="M450" s="9" t="s">
        <v>1425</v>
      </c>
      <c r="N450" s="9" t="s">
        <v>1422</v>
      </c>
      <c r="O450" s="20" t="str">
        <f>+"Evolución de Puntaje SIMCE de Lectura según área urbana o rural para 6° Básico en "&amp;I450&amp;" para el "&amp;Agencia[[#This Row],[temporalidad]]</f>
        <v>Evolución de Puntaje SIMCE de Lectura según área urbana o rural para 6° Básico en Chile para el Periodo 2015 - 2018</v>
      </c>
      <c r="P450" s="112" t="s">
        <v>6181</v>
      </c>
      <c r="Q450" s="11" t="s">
        <v>784</v>
      </c>
      <c r="R450" s="20" t="str">
        <f>Agencia[[#This Row],[territorio]]&amp;",educación básica,sexto básico,puntaje,lectura,rural,urbano,lenguaje,"&amp;Agencia[[#This Row],[coleccion]]&amp;","&amp;Agencia[[#This Row],[sector]]&amp;","&amp;Agencia[[#This Row],[tema]]&amp;","&amp;Agencia[[#This Row],[contenido]]</f>
        <v>Chile,educación básica,sexto básico,puntaje,lectura,rural,urbano,lenguaje,Agencia Información,Educación,SIMCE,Métricas de la Educación</v>
      </c>
      <c r="S450" s="83" t="s">
        <v>5150</v>
      </c>
      <c r="T450" s="108" t="s">
        <v>957</v>
      </c>
      <c r="U450" s="46" t="str">
        <f t="shared" si="196"/>
        <v>#1774B9</v>
      </c>
      <c r="V450" s="93" t="str">
        <f>+Agencia[[#This Row],[idcoleccion]]&amp;"-"&amp;Agencia[[#This Row],[id]]</f>
        <v>990-0439</v>
      </c>
      <c r="W450" s="93">
        <f>+VLOOKUP(Agencia[[#This Row],[Filtro URL]],Estructura!$X$4:$Y$500,2,0)</f>
        <v>99100000</v>
      </c>
      <c r="X450" s="93" t="str">
        <f>+VLOOKUP(Agencia[[#This Row],[tema]],Estructura!$A$4:$C$500,3,0)</f>
        <v>T-1032</v>
      </c>
      <c r="Y450" s="93" t="str">
        <f>+VLOOKUP(Agencia[[#This Row],[contenido]],Estructura!$E$4:$G$500,3,0)</f>
        <v>C-1018</v>
      </c>
      <c r="Z450" s="93" t="str">
        <f>+VLOOKUP(Agencia[[#This Row],[Filtro Integrado]],Estructura!$I$4:$K$500,3,0)</f>
        <v>FI-994</v>
      </c>
      <c r="AA450" s="93" t="str">
        <f>+VLOOKUP(Agencia[[#This Row],[Muestra]],Estructura!$M$4:$O$500,3,0)</f>
        <v>M-1061</v>
      </c>
    </row>
    <row r="451" spans="1:27" ht="57.6" x14ac:dyDescent="0.3">
      <c r="A451" s="21" t="s">
        <v>938</v>
      </c>
      <c r="B451" s="23">
        <f t="shared" si="181"/>
        <v>990</v>
      </c>
      <c r="C451" s="24" t="str">
        <f t="shared" si="182"/>
        <v>Agencia Información</v>
      </c>
      <c r="D451" s="72" t="str">
        <f t="shared" ref="D451:D466" si="197">+D450</f>
        <v>Educación</v>
      </c>
      <c r="E451" s="19">
        <v>1</v>
      </c>
      <c r="F451" s="18" t="s">
        <v>1421</v>
      </c>
      <c r="G451" s="18" t="s">
        <v>4290</v>
      </c>
      <c r="H451" s="33" t="s">
        <v>16</v>
      </c>
      <c r="I451" s="34" t="s">
        <v>368</v>
      </c>
      <c r="J451" s="9" t="s">
        <v>18</v>
      </c>
      <c r="K451" s="9" t="str">
        <f t="shared" ref="K451:K466" si="198">+K450</f>
        <v>Puntaje promedio</v>
      </c>
      <c r="L451" s="9" t="str">
        <f t="shared" ref="L451:L466" si="199">+L450</f>
        <v>Periodo 2015 - 2018</v>
      </c>
      <c r="M451" s="9" t="str">
        <f t="shared" ref="M451:M466" si="200">+M450</f>
        <v>Puntaje</v>
      </c>
      <c r="N451" s="9" t="str">
        <f t="shared" ref="N451:N466" si="201">+N450</f>
        <v>Agencia de Calidad de la Educación</v>
      </c>
      <c r="O451" s="20" t="str">
        <f>+"Evolución de Puntaje SIMCE de Lectura según área urbana o rural para 6° Básico en la "&amp;I451&amp;" para el "&amp;Agencia[[#This Row],[temporalidad]]</f>
        <v>Evolución de Puntaje SIMCE de Lectura según área urbana o rural para 6° Básico en la Región de Tarapacá para el Periodo 2015 - 2018</v>
      </c>
      <c r="P451" s="112" t="s">
        <v>6182</v>
      </c>
      <c r="Q451" s="11" t="str">
        <f t="shared" si="195"/>
        <v>Gráfico de Evolución</v>
      </c>
      <c r="R451" s="148" t="str">
        <f>Agencia[[#This Row],[territorio]]&amp;",educación básica,sexto básico,puntaje,lectura,rural,urbano,lenguaje,"&amp;Agencia[[#This Row],[coleccion]]&amp;","&amp;Agencia[[#This Row],[sector]]&amp;","&amp;Agencia[[#This Row],[tema]]&amp;","&amp;Agencia[[#This Row],[contenido]]</f>
        <v>Región de Tarapacá,educación básica,sexto básico,puntaje,lectura,rural,urbano,lenguaje,Agencia Información,Educación,SIMCE,Métricas de la Educación</v>
      </c>
      <c r="S451" s="83" t="str">
        <f>HYPERLINK("https://analytics.zoho.com/open-view/2395394000009042179?ZOHO_CRITERIA=%22Localiza%20CL%22.%22Codreg%22%3D"&amp;Agencia[[#This Row],[Filtro URL]])</f>
        <v>https://analytics.zoho.com/open-view/2395394000009042179?ZOHO_CRITERIA=%22Localiza%20CL%22.%22Codreg%22%3D1</v>
      </c>
      <c r="T451" s="108" t="str">
        <f>"100-C-"&amp;Agencia[[#This Row],[Filtro URL]]</f>
        <v>100-C-1</v>
      </c>
      <c r="U451" s="46" t="str">
        <f t="shared" si="196"/>
        <v>#1774B9</v>
      </c>
      <c r="V451" s="93" t="str">
        <f>+Agencia[[#This Row],[idcoleccion]]&amp;"-"&amp;Agencia[[#This Row],[id]]</f>
        <v>990-0440</v>
      </c>
      <c r="W451" s="93">
        <f>+VLOOKUP(Agencia[[#This Row],[Filtro URL]],Estructura!$X$4:$Y$500,2,0)</f>
        <v>99200001</v>
      </c>
      <c r="X451" s="93" t="str">
        <f>+VLOOKUP(Agencia[[#This Row],[tema]],Estructura!$A$4:$C$500,3,0)</f>
        <v>T-1032</v>
      </c>
      <c r="Y451" s="93" t="str">
        <f>+VLOOKUP(Agencia[[#This Row],[contenido]],Estructura!$E$4:$G$500,3,0)</f>
        <v>C-1018</v>
      </c>
      <c r="Z451" s="93" t="str">
        <f>+VLOOKUP(Agencia[[#This Row],[Filtro Integrado]],Estructura!$I$4:$K$500,3,0)</f>
        <v>FI-991</v>
      </c>
      <c r="AA451" s="93" t="str">
        <f>+VLOOKUP(Agencia[[#This Row],[Muestra]],Estructura!$M$4:$O$500,3,0)</f>
        <v>M-1061</v>
      </c>
    </row>
    <row r="452" spans="1:27" ht="57.6" x14ac:dyDescent="0.3">
      <c r="A452" s="21" t="s">
        <v>1563</v>
      </c>
      <c r="B452" s="23">
        <f t="shared" si="181"/>
        <v>990</v>
      </c>
      <c r="C452" s="24" t="str">
        <f t="shared" si="182"/>
        <v>Agencia Información</v>
      </c>
      <c r="D452" s="72" t="str">
        <f t="shared" si="197"/>
        <v>Educación</v>
      </c>
      <c r="E452" s="19">
        <v>2</v>
      </c>
      <c r="F452" s="18" t="s">
        <v>1421</v>
      </c>
      <c r="G452" s="18" t="s">
        <v>4290</v>
      </c>
      <c r="H452" s="33" t="s">
        <v>16</v>
      </c>
      <c r="I452" s="34" t="s">
        <v>369</v>
      </c>
      <c r="J452" s="9" t="str">
        <f t="shared" ref="J452:J466" si="202">+J451</f>
        <v>Comuna</v>
      </c>
      <c r="K452" s="9" t="str">
        <f t="shared" si="198"/>
        <v>Puntaje promedio</v>
      </c>
      <c r="L452" s="9" t="str">
        <f t="shared" si="199"/>
        <v>Periodo 2015 - 2018</v>
      </c>
      <c r="M452" s="9" t="str">
        <f t="shared" si="200"/>
        <v>Puntaje</v>
      </c>
      <c r="N452" s="9" t="str">
        <f t="shared" si="201"/>
        <v>Agencia de Calidad de la Educación</v>
      </c>
      <c r="O452" s="20" t="str">
        <f>+"Evolución de Puntaje SIMCE de Lectura según área urbana o rural para 6° Básico en la "&amp;I452&amp;" para el "&amp;Agencia[[#This Row],[temporalidad]]</f>
        <v>Evolución de Puntaje SIMCE de Lectura según área urbana o rural para 6° Básico en la Región de Antofagasta para el Periodo 2015 - 2018</v>
      </c>
      <c r="P452" s="112" t="s">
        <v>6183</v>
      </c>
      <c r="Q452" s="11" t="str">
        <f t="shared" si="195"/>
        <v>Gráfico de Evolución</v>
      </c>
      <c r="R452" s="148" t="str">
        <f>Agencia[[#This Row],[territorio]]&amp;",educación básica,sexto básico,puntaje,lectura,rural,urbano,lenguaje,"&amp;Agencia[[#This Row],[coleccion]]&amp;","&amp;Agencia[[#This Row],[sector]]&amp;","&amp;Agencia[[#This Row],[tema]]&amp;","&amp;Agencia[[#This Row],[contenido]]</f>
        <v>Región de Antofagasta,educación básica,sexto básico,puntaje,lectura,rural,urbano,lenguaje,Agencia Información,Educación,SIMCE,Métricas de la Educación</v>
      </c>
      <c r="S452" s="83" t="str">
        <f>HYPERLINK("https://analytics.zoho.com/open-view/2395394000009042179?ZOHO_CRITERIA=%22Localiza%20CL%22.%22Codreg%22%3D"&amp;Agencia[[#This Row],[Filtro URL]])</f>
        <v>https://analytics.zoho.com/open-view/2395394000009042179?ZOHO_CRITERIA=%22Localiza%20CL%22.%22Codreg%22%3D2</v>
      </c>
      <c r="T452" s="108" t="str">
        <f>"100-C-"&amp;Agencia[[#This Row],[Filtro URL]]</f>
        <v>100-C-2</v>
      </c>
      <c r="U452" s="46" t="str">
        <f t="shared" si="196"/>
        <v>#1774B9</v>
      </c>
      <c r="V452" s="93" t="str">
        <f>+Agencia[[#This Row],[idcoleccion]]&amp;"-"&amp;Agencia[[#This Row],[id]]</f>
        <v>990-0441</v>
      </c>
      <c r="W452" s="93">
        <f>+VLOOKUP(Agencia[[#This Row],[Filtro URL]],Estructura!$X$4:$Y$500,2,0)</f>
        <v>99200002</v>
      </c>
      <c r="X452" s="93" t="str">
        <f>+VLOOKUP(Agencia[[#This Row],[tema]],Estructura!$A$4:$C$500,3,0)</f>
        <v>T-1032</v>
      </c>
      <c r="Y452" s="93" t="str">
        <f>+VLOOKUP(Agencia[[#This Row],[contenido]],Estructura!$E$4:$G$500,3,0)</f>
        <v>C-1018</v>
      </c>
      <c r="Z452" s="93" t="str">
        <f>+VLOOKUP(Agencia[[#This Row],[Filtro Integrado]],Estructura!$I$4:$K$500,3,0)</f>
        <v>FI-991</v>
      </c>
      <c r="AA452" s="93" t="str">
        <f>+VLOOKUP(Agencia[[#This Row],[Muestra]],Estructura!$M$4:$O$500,3,0)</f>
        <v>M-1061</v>
      </c>
    </row>
    <row r="453" spans="1:27" ht="57.6" x14ac:dyDescent="0.3">
      <c r="A453" s="21" t="s">
        <v>1564</v>
      </c>
      <c r="B453" s="23">
        <f t="shared" si="181"/>
        <v>990</v>
      </c>
      <c r="C453" s="24" t="str">
        <f t="shared" si="182"/>
        <v>Agencia Información</v>
      </c>
      <c r="D453" s="72" t="str">
        <f t="shared" si="197"/>
        <v>Educación</v>
      </c>
      <c r="E453" s="19">
        <v>3</v>
      </c>
      <c r="F453" s="18" t="s">
        <v>1421</v>
      </c>
      <c r="G453" s="18" t="s">
        <v>4290</v>
      </c>
      <c r="H453" s="33" t="s">
        <v>16</v>
      </c>
      <c r="I453" s="34" t="s">
        <v>370</v>
      </c>
      <c r="J453" s="9" t="str">
        <f t="shared" si="202"/>
        <v>Comuna</v>
      </c>
      <c r="K453" s="9" t="str">
        <f t="shared" si="198"/>
        <v>Puntaje promedio</v>
      </c>
      <c r="L453" s="9" t="str">
        <f t="shared" si="199"/>
        <v>Periodo 2015 - 2018</v>
      </c>
      <c r="M453" s="9" t="str">
        <f t="shared" si="200"/>
        <v>Puntaje</v>
      </c>
      <c r="N453" s="9" t="str">
        <f t="shared" si="201"/>
        <v>Agencia de Calidad de la Educación</v>
      </c>
      <c r="O453" s="20" t="str">
        <f>+"Evolución de Puntaje SIMCE de Lectura según área urbana o rural para 6° Básico en la "&amp;I453&amp;" para el "&amp;Agencia[[#This Row],[temporalidad]]</f>
        <v>Evolución de Puntaje SIMCE de Lectura según área urbana o rural para 6° Básico en la Región de Atacama para el Periodo 2015 - 2018</v>
      </c>
      <c r="P453" s="112" t="s">
        <v>6184</v>
      </c>
      <c r="Q453" s="11" t="str">
        <f t="shared" si="195"/>
        <v>Gráfico de Evolución</v>
      </c>
      <c r="R453" s="148" t="str">
        <f>Agencia[[#This Row],[territorio]]&amp;",educación básica,sexto básico,puntaje,lectura,rural,urbano,lenguaje,"&amp;Agencia[[#This Row],[coleccion]]&amp;","&amp;Agencia[[#This Row],[sector]]&amp;","&amp;Agencia[[#This Row],[tema]]&amp;","&amp;Agencia[[#This Row],[contenido]]</f>
        <v>Región de Atacama,educación básica,sexto básico,puntaje,lectura,rural,urbano,lenguaje,Agencia Información,Educación,SIMCE,Métricas de la Educación</v>
      </c>
      <c r="S453" s="83" t="str">
        <f>HYPERLINK("https://analytics.zoho.com/open-view/2395394000009042179?ZOHO_CRITERIA=%22Localiza%20CL%22.%22Codreg%22%3D"&amp;Agencia[[#This Row],[Filtro URL]])</f>
        <v>https://analytics.zoho.com/open-view/2395394000009042179?ZOHO_CRITERIA=%22Localiza%20CL%22.%22Codreg%22%3D3</v>
      </c>
      <c r="T453" s="108" t="str">
        <f>"100-C-"&amp;Agencia[[#This Row],[Filtro URL]]</f>
        <v>100-C-3</v>
      </c>
      <c r="U453" s="46" t="str">
        <f t="shared" si="196"/>
        <v>#1774B9</v>
      </c>
      <c r="V453" s="93" t="str">
        <f>+Agencia[[#This Row],[idcoleccion]]&amp;"-"&amp;Agencia[[#This Row],[id]]</f>
        <v>990-0442</v>
      </c>
      <c r="W453" s="93">
        <f>+VLOOKUP(Agencia[[#This Row],[Filtro URL]],Estructura!$X$4:$Y$500,2,0)</f>
        <v>99200003</v>
      </c>
      <c r="X453" s="93" t="str">
        <f>+VLOOKUP(Agencia[[#This Row],[tema]],Estructura!$A$4:$C$500,3,0)</f>
        <v>T-1032</v>
      </c>
      <c r="Y453" s="93" t="str">
        <f>+VLOOKUP(Agencia[[#This Row],[contenido]],Estructura!$E$4:$G$500,3,0)</f>
        <v>C-1018</v>
      </c>
      <c r="Z453" s="93" t="str">
        <f>+VLOOKUP(Agencia[[#This Row],[Filtro Integrado]],Estructura!$I$4:$K$500,3,0)</f>
        <v>FI-991</v>
      </c>
      <c r="AA453" s="93" t="str">
        <f>+VLOOKUP(Agencia[[#This Row],[Muestra]],Estructura!$M$4:$O$500,3,0)</f>
        <v>M-1061</v>
      </c>
    </row>
    <row r="454" spans="1:27" ht="57.6" x14ac:dyDescent="0.3">
      <c r="A454" s="21" t="s">
        <v>1565</v>
      </c>
      <c r="B454" s="23">
        <f t="shared" si="181"/>
        <v>990</v>
      </c>
      <c r="C454" s="24" t="str">
        <f t="shared" si="182"/>
        <v>Agencia Información</v>
      </c>
      <c r="D454" s="72" t="str">
        <f t="shared" si="197"/>
        <v>Educación</v>
      </c>
      <c r="E454" s="19">
        <v>4</v>
      </c>
      <c r="F454" s="18" t="s">
        <v>1421</v>
      </c>
      <c r="G454" s="18" t="s">
        <v>4290</v>
      </c>
      <c r="H454" s="33" t="s">
        <v>16</v>
      </c>
      <c r="I454" s="34" t="s">
        <v>371</v>
      </c>
      <c r="J454" s="9" t="str">
        <f t="shared" si="202"/>
        <v>Comuna</v>
      </c>
      <c r="K454" s="9" t="str">
        <f t="shared" si="198"/>
        <v>Puntaje promedio</v>
      </c>
      <c r="L454" s="9" t="str">
        <f t="shared" si="199"/>
        <v>Periodo 2015 - 2018</v>
      </c>
      <c r="M454" s="9" t="str">
        <f t="shared" si="200"/>
        <v>Puntaje</v>
      </c>
      <c r="N454" s="9" t="str">
        <f t="shared" si="201"/>
        <v>Agencia de Calidad de la Educación</v>
      </c>
      <c r="O454" s="20" t="str">
        <f>+"Evolución de Puntaje SIMCE de Lectura según área urbana o rural para 6° Básico en la "&amp;I454&amp;" para el "&amp;Agencia[[#This Row],[temporalidad]]</f>
        <v>Evolución de Puntaje SIMCE de Lectura según área urbana o rural para 6° Básico en la Región de Coquimbo para el Periodo 2015 - 2018</v>
      </c>
      <c r="P454" s="112" t="s">
        <v>6185</v>
      </c>
      <c r="Q454" s="11" t="str">
        <f t="shared" si="195"/>
        <v>Gráfico de Evolución</v>
      </c>
      <c r="R454" s="148" t="str">
        <f>Agencia[[#This Row],[territorio]]&amp;",educación básica,sexto básico,puntaje,lectura,rural,urbano,lenguaje,"&amp;Agencia[[#This Row],[coleccion]]&amp;","&amp;Agencia[[#This Row],[sector]]&amp;","&amp;Agencia[[#This Row],[tema]]&amp;","&amp;Agencia[[#This Row],[contenido]]</f>
        <v>Región de Coquimbo,educación básica,sexto básico,puntaje,lectura,rural,urbano,lenguaje,Agencia Información,Educación,SIMCE,Métricas de la Educación</v>
      </c>
      <c r="S454" s="83" t="str">
        <f>HYPERLINK("https://analytics.zoho.com/open-view/2395394000009042179?ZOHO_CRITERIA=%22Localiza%20CL%22.%22Codreg%22%3D"&amp;Agencia[[#This Row],[Filtro URL]])</f>
        <v>https://analytics.zoho.com/open-view/2395394000009042179?ZOHO_CRITERIA=%22Localiza%20CL%22.%22Codreg%22%3D4</v>
      </c>
      <c r="T454" s="108" t="str">
        <f>"100-C-"&amp;Agencia[[#This Row],[Filtro URL]]</f>
        <v>100-C-4</v>
      </c>
      <c r="U454" s="46" t="str">
        <f t="shared" si="196"/>
        <v>#1774B9</v>
      </c>
      <c r="V454" s="93" t="str">
        <f>+Agencia[[#This Row],[idcoleccion]]&amp;"-"&amp;Agencia[[#This Row],[id]]</f>
        <v>990-0443</v>
      </c>
      <c r="W454" s="93">
        <f>+VLOOKUP(Agencia[[#This Row],[Filtro URL]],Estructura!$X$4:$Y$500,2,0)</f>
        <v>99200004</v>
      </c>
      <c r="X454" s="93" t="str">
        <f>+VLOOKUP(Agencia[[#This Row],[tema]],Estructura!$A$4:$C$500,3,0)</f>
        <v>T-1032</v>
      </c>
      <c r="Y454" s="93" t="str">
        <f>+VLOOKUP(Agencia[[#This Row],[contenido]],Estructura!$E$4:$G$500,3,0)</f>
        <v>C-1018</v>
      </c>
      <c r="Z454" s="93" t="str">
        <f>+VLOOKUP(Agencia[[#This Row],[Filtro Integrado]],Estructura!$I$4:$K$500,3,0)</f>
        <v>FI-991</v>
      </c>
      <c r="AA454" s="93" t="str">
        <f>+VLOOKUP(Agencia[[#This Row],[Muestra]],Estructura!$M$4:$O$500,3,0)</f>
        <v>M-1061</v>
      </c>
    </row>
    <row r="455" spans="1:27" ht="57.6" x14ac:dyDescent="0.3">
      <c r="A455" s="21" t="s">
        <v>1566</v>
      </c>
      <c r="B455" s="23">
        <f t="shared" si="181"/>
        <v>990</v>
      </c>
      <c r="C455" s="24" t="str">
        <f t="shared" si="182"/>
        <v>Agencia Información</v>
      </c>
      <c r="D455" s="72" t="str">
        <f t="shared" si="197"/>
        <v>Educación</v>
      </c>
      <c r="E455" s="19">
        <v>5</v>
      </c>
      <c r="F455" s="18" t="s">
        <v>1421</v>
      </c>
      <c r="G455" s="18" t="s">
        <v>4290</v>
      </c>
      <c r="H455" s="33" t="s">
        <v>16</v>
      </c>
      <c r="I455" s="34" t="s">
        <v>372</v>
      </c>
      <c r="J455" s="9" t="str">
        <f t="shared" si="202"/>
        <v>Comuna</v>
      </c>
      <c r="K455" s="9" t="str">
        <f t="shared" si="198"/>
        <v>Puntaje promedio</v>
      </c>
      <c r="L455" s="9" t="str">
        <f t="shared" si="199"/>
        <v>Periodo 2015 - 2018</v>
      </c>
      <c r="M455" s="9" t="str">
        <f t="shared" si="200"/>
        <v>Puntaje</v>
      </c>
      <c r="N455" s="9" t="str">
        <f t="shared" si="201"/>
        <v>Agencia de Calidad de la Educación</v>
      </c>
      <c r="O455" s="20" t="str">
        <f>+"Evolución de Puntaje SIMCE de Lectura según área urbana o rural para 6° Básico en la "&amp;I455&amp;" para el "&amp;Agencia[[#This Row],[temporalidad]]</f>
        <v>Evolución de Puntaje SIMCE de Lectura según área urbana o rural para 6° Básico en la Región de Valparaíso para el Periodo 2015 - 2018</v>
      </c>
      <c r="P455" s="112" t="s">
        <v>6186</v>
      </c>
      <c r="Q455" s="11" t="str">
        <f t="shared" si="195"/>
        <v>Gráfico de Evolución</v>
      </c>
      <c r="R455" s="148" t="str">
        <f>Agencia[[#This Row],[territorio]]&amp;",educación básica,sexto básico,puntaje,lectura,rural,urbano,lenguaje,"&amp;Agencia[[#This Row],[coleccion]]&amp;","&amp;Agencia[[#This Row],[sector]]&amp;","&amp;Agencia[[#This Row],[tema]]&amp;","&amp;Agencia[[#This Row],[contenido]]</f>
        <v>Región de Valparaíso,educación básica,sexto básico,puntaje,lectura,rural,urbano,lenguaje,Agencia Información,Educación,SIMCE,Métricas de la Educación</v>
      </c>
      <c r="S455" s="83" t="str">
        <f>HYPERLINK("https://analytics.zoho.com/open-view/2395394000009042179?ZOHO_CRITERIA=%22Localiza%20CL%22.%22Codreg%22%3D"&amp;Agencia[[#This Row],[Filtro URL]])</f>
        <v>https://analytics.zoho.com/open-view/2395394000009042179?ZOHO_CRITERIA=%22Localiza%20CL%22.%22Codreg%22%3D5</v>
      </c>
      <c r="T455" s="108" t="str">
        <f>"100-C-"&amp;Agencia[[#This Row],[Filtro URL]]</f>
        <v>100-C-5</v>
      </c>
      <c r="U455" s="46" t="str">
        <f t="shared" si="196"/>
        <v>#1774B9</v>
      </c>
      <c r="V455" s="93" t="str">
        <f>+Agencia[[#This Row],[idcoleccion]]&amp;"-"&amp;Agencia[[#This Row],[id]]</f>
        <v>990-0444</v>
      </c>
      <c r="W455" s="93">
        <f>+VLOOKUP(Agencia[[#This Row],[Filtro URL]],Estructura!$X$4:$Y$500,2,0)</f>
        <v>99200005</v>
      </c>
      <c r="X455" s="93" t="str">
        <f>+VLOOKUP(Agencia[[#This Row],[tema]],Estructura!$A$4:$C$500,3,0)</f>
        <v>T-1032</v>
      </c>
      <c r="Y455" s="93" t="str">
        <f>+VLOOKUP(Agencia[[#This Row],[contenido]],Estructura!$E$4:$G$500,3,0)</f>
        <v>C-1018</v>
      </c>
      <c r="Z455" s="93" t="str">
        <f>+VLOOKUP(Agencia[[#This Row],[Filtro Integrado]],Estructura!$I$4:$K$500,3,0)</f>
        <v>FI-991</v>
      </c>
      <c r="AA455" s="93" t="str">
        <f>+VLOOKUP(Agencia[[#This Row],[Muestra]],Estructura!$M$4:$O$500,3,0)</f>
        <v>M-1061</v>
      </c>
    </row>
    <row r="456" spans="1:27" ht="40.799999999999997" x14ac:dyDescent="0.3">
      <c r="A456" s="21" t="s">
        <v>1567</v>
      </c>
      <c r="B456" s="23">
        <f t="shared" si="181"/>
        <v>990</v>
      </c>
      <c r="C456" s="24" t="str">
        <f t="shared" si="182"/>
        <v>Agencia Información</v>
      </c>
      <c r="D456" s="72" t="str">
        <f t="shared" si="197"/>
        <v>Educación</v>
      </c>
      <c r="E456" s="19">
        <v>6</v>
      </c>
      <c r="F456" s="18" t="s">
        <v>1421</v>
      </c>
      <c r="G456" s="18" t="s">
        <v>4290</v>
      </c>
      <c r="H456" s="33" t="s">
        <v>16</v>
      </c>
      <c r="I456" s="34" t="s">
        <v>373</v>
      </c>
      <c r="J456" s="9" t="str">
        <f t="shared" si="202"/>
        <v>Comuna</v>
      </c>
      <c r="K456" s="9" t="str">
        <f t="shared" si="198"/>
        <v>Puntaje promedio</v>
      </c>
      <c r="L456" s="9" t="str">
        <f t="shared" si="199"/>
        <v>Periodo 2015 - 2018</v>
      </c>
      <c r="M456" s="9" t="str">
        <f t="shared" si="200"/>
        <v>Puntaje</v>
      </c>
      <c r="N456" s="9" t="str">
        <f t="shared" si="201"/>
        <v>Agencia de Calidad de la Educación</v>
      </c>
      <c r="O456" s="20" t="str">
        <f>+"Evolución de Puntaje SIMCE de Lectura según área urbana o rural para 6° Básico en la "&amp;I456&amp;" para el "&amp;Agencia[[#This Row],[temporalidad]]</f>
        <v>Evolución de Puntaje SIMCE de Lectura según área urbana o rural para 6° Básico en la Región de O'Higgins para el Periodo 2015 - 2018</v>
      </c>
      <c r="P456" s="112" t="s">
        <v>6187</v>
      </c>
      <c r="Q456" s="11" t="str">
        <f t="shared" si="195"/>
        <v>Gráfico de Evolución</v>
      </c>
      <c r="R456" s="148" t="str">
        <f>Agencia[[#This Row],[territorio]]&amp;",educación básica,sexto básico,puntaje,lectura,rural,urbano,lenguaje,"&amp;Agencia[[#This Row],[coleccion]]&amp;","&amp;Agencia[[#This Row],[sector]]&amp;","&amp;Agencia[[#This Row],[tema]]&amp;","&amp;Agencia[[#This Row],[contenido]]</f>
        <v>Región de O'Higgins,educación básica,sexto básico,puntaje,lectura,rural,urbano,lenguaje,Agencia Información,Educación,SIMCE,Métricas de la Educación</v>
      </c>
      <c r="S456" s="83" t="s">
        <v>5174</v>
      </c>
      <c r="T456" s="108" t="str">
        <f>"100-C-"&amp;Agencia[[#This Row],[Filtro URL]]</f>
        <v>100-C-6</v>
      </c>
      <c r="U456" s="46" t="str">
        <f t="shared" si="196"/>
        <v>#1774B9</v>
      </c>
      <c r="V456" s="93" t="str">
        <f>+Agencia[[#This Row],[idcoleccion]]&amp;"-"&amp;Agencia[[#This Row],[id]]</f>
        <v>990-0445</v>
      </c>
      <c r="W456" s="93">
        <f>+VLOOKUP(Agencia[[#This Row],[Filtro URL]],Estructura!$X$4:$Y$500,2,0)</f>
        <v>99200006</v>
      </c>
      <c r="X456" s="93" t="str">
        <f>+VLOOKUP(Agencia[[#This Row],[tema]],Estructura!$A$4:$C$500,3,0)</f>
        <v>T-1032</v>
      </c>
      <c r="Y456" s="93" t="str">
        <f>+VLOOKUP(Agencia[[#This Row],[contenido]],Estructura!$E$4:$G$500,3,0)</f>
        <v>C-1018</v>
      </c>
      <c r="Z456" s="93" t="str">
        <f>+VLOOKUP(Agencia[[#This Row],[Filtro Integrado]],Estructura!$I$4:$K$500,3,0)</f>
        <v>FI-991</v>
      </c>
      <c r="AA456" s="93" t="str">
        <f>+VLOOKUP(Agencia[[#This Row],[Muestra]],Estructura!$M$4:$O$500,3,0)</f>
        <v>M-1061</v>
      </c>
    </row>
    <row r="457" spans="1:27" ht="57.6" x14ac:dyDescent="0.3">
      <c r="A457" s="21" t="s">
        <v>1568</v>
      </c>
      <c r="B457" s="23">
        <f t="shared" si="181"/>
        <v>990</v>
      </c>
      <c r="C457" s="24" t="str">
        <f t="shared" si="182"/>
        <v>Agencia Información</v>
      </c>
      <c r="D457" s="72" t="str">
        <f t="shared" si="197"/>
        <v>Educación</v>
      </c>
      <c r="E457" s="19">
        <v>7</v>
      </c>
      <c r="F457" s="18" t="s">
        <v>1421</v>
      </c>
      <c r="G457" s="18" t="s">
        <v>4290</v>
      </c>
      <c r="H457" s="33" t="s">
        <v>16</v>
      </c>
      <c r="I457" s="34" t="s">
        <v>374</v>
      </c>
      <c r="J457" s="9" t="str">
        <f t="shared" si="202"/>
        <v>Comuna</v>
      </c>
      <c r="K457" s="9" t="str">
        <f t="shared" si="198"/>
        <v>Puntaje promedio</v>
      </c>
      <c r="L457" s="9" t="str">
        <f t="shared" si="199"/>
        <v>Periodo 2015 - 2018</v>
      </c>
      <c r="M457" s="9" t="str">
        <f t="shared" si="200"/>
        <v>Puntaje</v>
      </c>
      <c r="N457" s="9" t="str">
        <f t="shared" si="201"/>
        <v>Agencia de Calidad de la Educación</v>
      </c>
      <c r="O457" s="20" t="str">
        <f>+"Evolución de Puntaje SIMCE de Lectura según área urbana o rural para 6° Básico en la "&amp;I457&amp;" para el "&amp;Agencia[[#This Row],[temporalidad]]</f>
        <v>Evolución de Puntaje SIMCE de Lectura según área urbana o rural para 6° Básico en la Región de Maule para el Periodo 2015 - 2018</v>
      </c>
      <c r="P457" s="112" t="s">
        <v>6188</v>
      </c>
      <c r="Q457" s="11" t="str">
        <f t="shared" si="195"/>
        <v>Gráfico de Evolución</v>
      </c>
      <c r="R457" s="148" t="str">
        <f>Agencia[[#This Row],[territorio]]&amp;",educación básica,sexto básico,puntaje,lectura,rural,urbano,lenguaje,"&amp;Agencia[[#This Row],[coleccion]]&amp;","&amp;Agencia[[#This Row],[sector]]&amp;","&amp;Agencia[[#This Row],[tema]]&amp;","&amp;Agencia[[#This Row],[contenido]]</f>
        <v>Región de Maule,educación básica,sexto básico,puntaje,lectura,rural,urbano,lenguaje,Agencia Información,Educación,SIMCE,Métricas de la Educación</v>
      </c>
      <c r="S457" s="83" t="str">
        <f>HYPERLINK("https://analytics.zoho.com/open-view/2395394000009042179?ZOHO_CRITERIA=%22Localiza%20CL%22.%22Codreg%22%3D"&amp;Agencia[[#This Row],[Filtro URL]])</f>
        <v>https://analytics.zoho.com/open-view/2395394000009042179?ZOHO_CRITERIA=%22Localiza%20CL%22.%22Codreg%22%3D7</v>
      </c>
      <c r="T457" s="108" t="str">
        <f>"100-C-"&amp;Agencia[[#This Row],[Filtro URL]]</f>
        <v>100-C-7</v>
      </c>
      <c r="U457" s="46" t="str">
        <f t="shared" si="196"/>
        <v>#1774B9</v>
      </c>
      <c r="V457" s="93" t="str">
        <f>+Agencia[[#This Row],[idcoleccion]]&amp;"-"&amp;Agencia[[#This Row],[id]]</f>
        <v>990-0446</v>
      </c>
      <c r="W457" s="93">
        <f>+VLOOKUP(Agencia[[#This Row],[Filtro URL]],Estructura!$X$4:$Y$500,2,0)</f>
        <v>99200007</v>
      </c>
      <c r="X457" s="93" t="str">
        <f>+VLOOKUP(Agencia[[#This Row],[tema]],Estructura!$A$4:$C$500,3,0)</f>
        <v>T-1032</v>
      </c>
      <c r="Y457" s="93" t="str">
        <f>+VLOOKUP(Agencia[[#This Row],[contenido]],Estructura!$E$4:$G$500,3,0)</f>
        <v>C-1018</v>
      </c>
      <c r="Z457" s="93" t="str">
        <f>+VLOOKUP(Agencia[[#This Row],[Filtro Integrado]],Estructura!$I$4:$K$500,3,0)</f>
        <v>FI-991</v>
      </c>
      <c r="AA457" s="93" t="str">
        <f>+VLOOKUP(Agencia[[#This Row],[Muestra]],Estructura!$M$4:$O$500,3,0)</f>
        <v>M-1061</v>
      </c>
    </row>
    <row r="458" spans="1:27" ht="57.6" x14ac:dyDescent="0.3">
      <c r="A458" s="21" t="s">
        <v>1569</v>
      </c>
      <c r="B458" s="23">
        <f t="shared" si="181"/>
        <v>990</v>
      </c>
      <c r="C458" s="24" t="str">
        <f t="shared" si="182"/>
        <v>Agencia Información</v>
      </c>
      <c r="D458" s="72" t="str">
        <f t="shared" si="197"/>
        <v>Educación</v>
      </c>
      <c r="E458" s="19">
        <v>8</v>
      </c>
      <c r="F458" s="18" t="s">
        <v>1421</v>
      </c>
      <c r="G458" s="18" t="s">
        <v>4290</v>
      </c>
      <c r="H458" s="33" t="s">
        <v>16</v>
      </c>
      <c r="I458" s="34" t="s">
        <v>375</v>
      </c>
      <c r="J458" s="9" t="str">
        <f t="shared" si="202"/>
        <v>Comuna</v>
      </c>
      <c r="K458" s="9" t="str">
        <f t="shared" si="198"/>
        <v>Puntaje promedio</v>
      </c>
      <c r="L458" s="9" t="str">
        <f t="shared" si="199"/>
        <v>Periodo 2015 - 2018</v>
      </c>
      <c r="M458" s="9" t="str">
        <f t="shared" si="200"/>
        <v>Puntaje</v>
      </c>
      <c r="N458" s="9" t="str">
        <f t="shared" si="201"/>
        <v>Agencia de Calidad de la Educación</v>
      </c>
      <c r="O458" s="20" t="str">
        <f>+"Evolución de Puntaje SIMCE de Lectura según área urbana o rural para 6° Básico en la "&amp;I458&amp;" para el "&amp;Agencia[[#This Row],[temporalidad]]</f>
        <v>Evolución de Puntaje SIMCE de Lectura según área urbana o rural para 6° Básico en la Región del Biobío para el Periodo 2015 - 2018</v>
      </c>
      <c r="P458" s="112" t="s">
        <v>6230</v>
      </c>
      <c r="Q458" s="11" t="str">
        <f t="shared" si="195"/>
        <v>Gráfico de Evolución</v>
      </c>
      <c r="R458" s="148" t="str">
        <f>Agencia[[#This Row],[territorio]]&amp;",educación básica,sexto básico,puntaje,lectura,rural,urbano,lenguaje,"&amp;Agencia[[#This Row],[coleccion]]&amp;","&amp;Agencia[[#This Row],[sector]]&amp;","&amp;Agencia[[#This Row],[tema]]&amp;","&amp;Agencia[[#This Row],[contenido]]</f>
        <v>Región del Biobío,educación básica,sexto básico,puntaje,lectura,rural,urbano,lenguaje,Agencia Información,Educación,SIMCE,Métricas de la Educación</v>
      </c>
      <c r="S458" s="83" t="str">
        <f>HYPERLINK("https://analytics.zoho.com/open-view/2395394000009042179?ZOHO_CRITERIA=%22Localiza%20CL%22.%22Codreg%22%3D"&amp;Agencia[[#This Row],[Filtro URL]])</f>
        <v>https://analytics.zoho.com/open-view/2395394000009042179?ZOHO_CRITERIA=%22Localiza%20CL%22.%22Codreg%22%3D8</v>
      </c>
      <c r="T458" s="108" t="str">
        <f>"100-C-"&amp;Agencia[[#This Row],[Filtro URL]]</f>
        <v>100-C-8</v>
      </c>
      <c r="U458" s="46" t="str">
        <f t="shared" si="196"/>
        <v>#1774B9</v>
      </c>
      <c r="V458" s="93" t="str">
        <f>+Agencia[[#This Row],[idcoleccion]]&amp;"-"&amp;Agencia[[#This Row],[id]]</f>
        <v>990-0447</v>
      </c>
      <c r="W458" s="93">
        <f>+VLOOKUP(Agencia[[#This Row],[Filtro URL]],Estructura!$X$4:$Y$500,2,0)</f>
        <v>99200008</v>
      </c>
      <c r="X458" s="93" t="str">
        <f>+VLOOKUP(Agencia[[#This Row],[tema]],Estructura!$A$4:$C$500,3,0)</f>
        <v>T-1032</v>
      </c>
      <c r="Y458" s="93" t="str">
        <f>+VLOOKUP(Agencia[[#This Row],[contenido]],Estructura!$E$4:$G$500,3,0)</f>
        <v>C-1018</v>
      </c>
      <c r="Z458" s="93" t="str">
        <f>+VLOOKUP(Agencia[[#This Row],[Filtro Integrado]],Estructura!$I$4:$K$500,3,0)</f>
        <v>FI-991</v>
      </c>
      <c r="AA458" s="93" t="str">
        <f>+VLOOKUP(Agencia[[#This Row],[Muestra]],Estructura!$M$4:$O$500,3,0)</f>
        <v>M-1061</v>
      </c>
    </row>
    <row r="459" spans="1:27" ht="57.6" x14ac:dyDescent="0.3">
      <c r="A459" s="21" t="s">
        <v>1570</v>
      </c>
      <c r="B459" s="23">
        <f t="shared" si="181"/>
        <v>990</v>
      </c>
      <c r="C459" s="24" t="str">
        <f t="shared" si="182"/>
        <v>Agencia Información</v>
      </c>
      <c r="D459" s="72" t="str">
        <f t="shared" si="197"/>
        <v>Educación</v>
      </c>
      <c r="E459" s="19">
        <v>9</v>
      </c>
      <c r="F459" s="18" t="s">
        <v>1421</v>
      </c>
      <c r="G459" s="18" t="s">
        <v>4290</v>
      </c>
      <c r="H459" s="33" t="s">
        <v>16</v>
      </c>
      <c r="I459" s="34" t="s">
        <v>376</v>
      </c>
      <c r="J459" s="9" t="str">
        <f t="shared" si="202"/>
        <v>Comuna</v>
      </c>
      <c r="K459" s="9" t="str">
        <f t="shared" si="198"/>
        <v>Puntaje promedio</v>
      </c>
      <c r="L459" s="9" t="str">
        <f t="shared" si="199"/>
        <v>Periodo 2015 - 2018</v>
      </c>
      <c r="M459" s="9" t="str">
        <f t="shared" si="200"/>
        <v>Puntaje</v>
      </c>
      <c r="N459" s="9" t="str">
        <f t="shared" si="201"/>
        <v>Agencia de Calidad de la Educación</v>
      </c>
      <c r="O459" s="20" t="str">
        <f>+"Evolución de Puntaje SIMCE de Lectura según área urbana o rural para 6° Básico en la "&amp;I459&amp;" para el "&amp;Agencia[[#This Row],[temporalidad]]</f>
        <v>Evolución de Puntaje SIMCE de Lectura según área urbana o rural para 6° Básico en la Región de La Araucanía para el Periodo 2015 - 2018</v>
      </c>
      <c r="P459" s="112" t="s">
        <v>6189</v>
      </c>
      <c r="Q459" s="11" t="str">
        <f t="shared" si="195"/>
        <v>Gráfico de Evolución</v>
      </c>
      <c r="R459" s="148" t="str">
        <f>Agencia[[#This Row],[territorio]]&amp;",educación básica,sexto básico,puntaje,lectura,rural,urbano,lenguaje,"&amp;Agencia[[#This Row],[coleccion]]&amp;","&amp;Agencia[[#This Row],[sector]]&amp;","&amp;Agencia[[#This Row],[tema]]&amp;","&amp;Agencia[[#This Row],[contenido]]</f>
        <v>Región de La Araucanía,educación básica,sexto básico,puntaje,lectura,rural,urbano,lenguaje,Agencia Información,Educación,SIMCE,Métricas de la Educación</v>
      </c>
      <c r="S459" s="83" t="str">
        <f>HYPERLINK("https://analytics.zoho.com/open-view/2395394000009042179?ZOHO_CRITERIA=%22Localiza%20CL%22.%22Codreg%22%3D"&amp;Agencia[[#This Row],[Filtro URL]])</f>
        <v>https://analytics.zoho.com/open-view/2395394000009042179?ZOHO_CRITERIA=%22Localiza%20CL%22.%22Codreg%22%3D9</v>
      </c>
      <c r="T459" s="108" t="str">
        <f>"100-C-"&amp;Agencia[[#This Row],[Filtro URL]]</f>
        <v>100-C-9</v>
      </c>
      <c r="U459" s="46" t="str">
        <f t="shared" si="196"/>
        <v>#1774B9</v>
      </c>
      <c r="V459" s="93" t="str">
        <f>+Agencia[[#This Row],[idcoleccion]]&amp;"-"&amp;Agencia[[#This Row],[id]]</f>
        <v>990-0448</v>
      </c>
      <c r="W459" s="93">
        <f>+VLOOKUP(Agencia[[#This Row],[Filtro URL]],Estructura!$X$4:$Y$500,2,0)</f>
        <v>99200009</v>
      </c>
      <c r="X459" s="93" t="str">
        <f>+VLOOKUP(Agencia[[#This Row],[tema]],Estructura!$A$4:$C$500,3,0)</f>
        <v>T-1032</v>
      </c>
      <c r="Y459" s="93" t="str">
        <f>+VLOOKUP(Agencia[[#This Row],[contenido]],Estructura!$E$4:$G$500,3,0)</f>
        <v>C-1018</v>
      </c>
      <c r="Z459" s="93" t="str">
        <f>+VLOOKUP(Agencia[[#This Row],[Filtro Integrado]],Estructura!$I$4:$K$500,3,0)</f>
        <v>FI-991</v>
      </c>
      <c r="AA459" s="93" t="str">
        <f>+VLOOKUP(Agencia[[#This Row],[Muestra]],Estructura!$M$4:$O$500,3,0)</f>
        <v>M-1061</v>
      </c>
    </row>
    <row r="460" spans="1:27" ht="57.6" x14ac:dyDescent="0.3">
      <c r="A460" s="21" t="s">
        <v>1571</v>
      </c>
      <c r="B460" s="23">
        <f t="shared" si="181"/>
        <v>990</v>
      </c>
      <c r="C460" s="24" t="str">
        <f t="shared" si="182"/>
        <v>Agencia Información</v>
      </c>
      <c r="D460" s="72" t="str">
        <f t="shared" si="197"/>
        <v>Educación</v>
      </c>
      <c r="E460" s="19">
        <v>10</v>
      </c>
      <c r="F460" s="18" t="s">
        <v>1421</v>
      </c>
      <c r="G460" s="18" t="s">
        <v>4290</v>
      </c>
      <c r="H460" s="33" t="s">
        <v>16</v>
      </c>
      <c r="I460" s="34" t="s">
        <v>377</v>
      </c>
      <c r="J460" s="9" t="str">
        <f t="shared" si="202"/>
        <v>Comuna</v>
      </c>
      <c r="K460" s="9" t="str">
        <f t="shared" si="198"/>
        <v>Puntaje promedio</v>
      </c>
      <c r="L460" s="9" t="str">
        <f t="shared" si="199"/>
        <v>Periodo 2015 - 2018</v>
      </c>
      <c r="M460" s="9" t="str">
        <f t="shared" si="200"/>
        <v>Puntaje</v>
      </c>
      <c r="N460" s="9" t="str">
        <f t="shared" si="201"/>
        <v>Agencia de Calidad de la Educación</v>
      </c>
      <c r="O460" s="20" t="str">
        <f>+"Evolución de Puntaje SIMCE de Lectura según área urbana o rural para 6° Básico en la "&amp;I460&amp;" para el "&amp;Agencia[[#This Row],[temporalidad]]</f>
        <v>Evolución de Puntaje SIMCE de Lectura según área urbana o rural para 6° Básico en la Región de Los Lagos para el Periodo 2015 - 2018</v>
      </c>
      <c r="P460" s="112" t="s">
        <v>6190</v>
      </c>
      <c r="Q460" s="11" t="str">
        <f t="shared" si="195"/>
        <v>Gráfico de Evolución</v>
      </c>
      <c r="R460" s="148" t="str">
        <f>Agencia[[#This Row],[territorio]]&amp;",educación básica,sexto básico,puntaje,lectura,rural,urbano,lenguaje,"&amp;Agencia[[#This Row],[coleccion]]&amp;","&amp;Agencia[[#This Row],[sector]]&amp;","&amp;Agencia[[#This Row],[tema]]&amp;","&amp;Agencia[[#This Row],[contenido]]</f>
        <v>Región de Los Lagos,educación básica,sexto básico,puntaje,lectura,rural,urbano,lenguaje,Agencia Información,Educación,SIMCE,Métricas de la Educación</v>
      </c>
      <c r="S460" s="83" t="str">
        <f>HYPERLINK("https://analytics.zoho.com/open-view/2395394000009042179?ZOHO_CRITERIA=%22Localiza%20CL%22.%22Codreg%22%3D"&amp;Agencia[[#This Row],[Filtro URL]])</f>
        <v>https://analytics.zoho.com/open-view/2395394000009042179?ZOHO_CRITERIA=%22Localiza%20CL%22.%22Codreg%22%3D10</v>
      </c>
      <c r="T460" s="108" t="str">
        <f>"100-C-"&amp;Agencia[[#This Row],[Filtro URL]]</f>
        <v>100-C-10</v>
      </c>
      <c r="U460" s="46" t="str">
        <f t="shared" si="196"/>
        <v>#1774B9</v>
      </c>
      <c r="V460" s="93" t="str">
        <f>+Agencia[[#This Row],[idcoleccion]]&amp;"-"&amp;Agencia[[#This Row],[id]]</f>
        <v>990-0449</v>
      </c>
      <c r="W460" s="93">
        <f>+VLOOKUP(Agencia[[#This Row],[Filtro URL]],Estructura!$X$4:$Y$500,2,0)</f>
        <v>99200010</v>
      </c>
      <c r="X460" s="93" t="str">
        <f>+VLOOKUP(Agencia[[#This Row],[tema]],Estructura!$A$4:$C$500,3,0)</f>
        <v>T-1032</v>
      </c>
      <c r="Y460" s="93" t="str">
        <f>+VLOOKUP(Agencia[[#This Row],[contenido]],Estructura!$E$4:$G$500,3,0)</f>
        <v>C-1018</v>
      </c>
      <c r="Z460" s="93" t="str">
        <f>+VLOOKUP(Agencia[[#This Row],[Filtro Integrado]],Estructura!$I$4:$K$500,3,0)</f>
        <v>FI-991</v>
      </c>
      <c r="AA460" s="93" t="str">
        <f>+VLOOKUP(Agencia[[#This Row],[Muestra]],Estructura!$M$4:$O$500,3,0)</f>
        <v>M-1061</v>
      </c>
    </row>
    <row r="461" spans="1:27" ht="57.6" x14ac:dyDescent="0.3">
      <c r="A461" s="21" t="s">
        <v>1572</v>
      </c>
      <c r="B461" s="23">
        <f t="shared" si="181"/>
        <v>990</v>
      </c>
      <c r="C461" s="24" t="str">
        <f t="shared" si="182"/>
        <v>Agencia Información</v>
      </c>
      <c r="D461" s="72" t="str">
        <f t="shared" si="197"/>
        <v>Educación</v>
      </c>
      <c r="E461" s="19">
        <v>11</v>
      </c>
      <c r="F461" s="18" t="s">
        <v>1421</v>
      </c>
      <c r="G461" s="18" t="s">
        <v>4290</v>
      </c>
      <c r="H461" s="33" t="s">
        <v>16</v>
      </c>
      <c r="I461" s="34" t="s">
        <v>378</v>
      </c>
      <c r="J461" s="9" t="str">
        <f t="shared" si="202"/>
        <v>Comuna</v>
      </c>
      <c r="K461" s="9" t="str">
        <f t="shared" si="198"/>
        <v>Puntaje promedio</v>
      </c>
      <c r="L461" s="9" t="str">
        <f t="shared" si="199"/>
        <v>Periodo 2015 - 2018</v>
      </c>
      <c r="M461" s="9" t="str">
        <f t="shared" si="200"/>
        <v>Puntaje</v>
      </c>
      <c r="N461" s="9" t="str">
        <f t="shared" si="201"/>
        <v>Agencia de Calidad de la Educación</v>
      </c>
      <c r="O461" s="20" t="str">
        <f>+"Evolución de Puntaje SIMCE de Lectura según área urbana o rural para 6° Básico en la "&amp;I461&amp;" para el "&amp;Agencia[[#This Row],[temporalidad]]</f>
        <v>Evolución de Puntaje SIMCE de Lectura según área urbana o rural para 6° Básico en la Región de Aysén para el Periodo 2015 - 2018</v>
      </c>
      <c r="P461" s="112" t="s">
        <v>6191</v>
      </c>
      <c r="Q461" s="11" t="str">
        <f t="shared" si="195"/>
        <v>Gráfico de Evolución</v>
      </c>
      <c r="R461" s="148" t="str">
        <f>Agencia[[#This Row],[territorio]]&amp;",educación básica,sexto básico,puntaje,lectura,rural,urbano,lenguaje,"&amp;Agencia[[#This Row],[coleccion]]&amp;","&amp;Agencia[[#This Row],[sector]]&amp;","&amp;Agencia[[#This Row],[tema]]&amp;","&amp;Agencia[[#This Row],[contenido]]</f>
        <v>Región de Aysén,educación básica,sexto básico,puntaje,lectura,rural,urbano,lenguaje,Agencia Información,Educación,SIMCE,Métricas de la Educación</v>
      </c>
      <c r="S461" s="83" t="str">
        <f>HYPERLINK("https://analytics.zoho.com/open-view/2395394000009042179?ZOHO_CRITERIA=%22Localiza%20CL%22.%22Codreg%22%3D"&amp;Agencia[[#This Row],[Filtro URL]])</f>
        <v>https://analytics.zoho.com/open-view/2395394000009042179?ZOHO_CRITERIA=%22Localiza%20CL%22.%22Codreg%22%3D11</v>
      </c>
      <c r="T461" s="108" t="str">
        <f>"100-C-"&amp;Agencia[[#This Row],[Filtro URL]]</f>
        <v>100-C-11</v>
      </c>
      <c r="U461" s="46" t="str">
        <f t="shared" si="196"/>
        <v>#1774B9</v>
      </c>
      <c r="V461" s="93" t="str">
        <f>+Agencia[[#This Row],[idcoleccion]]&amp;"-"&amp;Agencia[[#This Row],[id]]</f>
        <v>990-0450</v>
      </c>
      <c r="W461" s="93">
        <f>+VLOOKUP(Agencia[[#This Row],[Filtro URL]],Estructura!$X$4:$Y$500,2,0)</f>
        <v>99200011</v>
      </c>
      <c r="X461" s="93" t="str">
        <f>+VLOOKUP(Agencia[[#This Row],[tema]],Estructura!$A$4:$C$500,3,0)</f>
        <v>T-1032</v>
      </c>
      <c r="Y461" s="93" t="str">
        <f>+VLOOKUP(Agencia[[#This Row],[contenido]],Estructura!$E$4:$G$500,3,0)</f>
        <v>C-1018</v>
      </c>
      <c r="Z461" s="93" t="str">
        <f>+VLOOKUP(Agencia[[#This Row],[Filtro Integrado]],Estructura!$I$4:$K$500,3,0)</f>
        <v>FI-991</v>
      </c>
      <c r="AA461" s="93" t="str">
        <f>+VLOOKUP(Agencia[[#This Row],[Muestra]],Estructura!$M$4:$O$500,3,0)</f>
        <v>M-1061</v>
      </c>
    </row>
    <row r="462" spans="1:27" ht="57.6" x14ac:dyDescent="0.3">
      <c r="A462" s="21" t="s">
        <v>1573</v>
      </c>
      <c r="B462" s="23">
        <f t="shared" si="181"/>
        <v>990</v>
      </c>
      <c r="C462" s="24" t="str">
        <f t="shared" si="182"/>
        <v>Agencia Información</v>
      </c>
      <c r="D462" s="72" t="str">
        <f t="shared" si="197"/>
        <v>Educación</v>
      </c>
      <c r="E462" s="19">
        <v>12</v>
      </c>
      <c r="F462" s="18" t="s">
        <v>1421</v>
      </c>
      <c r="G462" s="18" t="s">
        <v>4290</v>
      </c>
      <c r="H462" s="33" t="s">
        <v>16</v>
      </c>
      <c r="I462" s="34" t="s">
        <v>379</v>
      </c>
      <c r="J462" s="9" t="str">
        <f t="shared" si="202"/>
        <v>Comuna</v>
      </c>
      <c r="K462" s="9" t="str">
        <f t="shared" si="198"/>
        <v>Puntaje promedio</v>
      </c>
      <c r="L462" s="9" t="str">
        <f t="shared" si="199"/>
        <v>Periodo 2015 - 2018</v>
      </c>
      <c r="M462" s="9" t="str">
        <f t="shared" si="200"/>
        <v>Puntaje</v>
      </c>
      <c r="N462" s="9" t="str">
        <f t="shared" si="201"/>
        <v>Agencia de Calidad de la Educación</v>
      </c>
      <c r="O462" s="20" t="str">
        <f>+"Evolución de Puntaje SIMCE de Lectura según área urbana o rural para 6° Básico en la "&amp;I462&amp;" para el "&amp;Agencia[[#This Row],[temporalidad]]</f>
        <v>Evolución de Puntaje SIMCE de Lectura según área urbana o rural para 6° Básico en la Región de Magallanes para el Periodo 2015 - 2018</v>
      </c>
      <c r="P462" s="112" t="s">
        <v>6192</v>
      </c>
      <c r="Q462" s="11" t="str">
        <f t="shared" si="195"/>
        <v>Gráfico de Evolución</v>
      </c>
      <c r="R462" s="148" t="str">
        <f>Agencia[[#This Row],[territorio]]&amp;",educación básica,sexto básico,puntaje,lectura,rural,urbano,lenguaje,"&amp;Agencia[[#This Row],[coleccion]]&amp;","&amp;Agencia[[#This Row],[sector]]&amp;","&amp;Agencia[[#This Row],[tema]]&amp;","&amp;Agencia[[#This Row],[contenido]]</f>
        <v>Región de Magallanes,educación básica,sexto básico,puntaje,lectura,rural,urbano,lenguaje,Agencia Información,Educación,SIMCE,Métricas de la Educación</v>
      </c>
      <c r="S462" s="83" t="str">
        <f>HYPERLINK("https://analytics.zoho.com/open-view/2395394000009042179?ZOHO_CRITERIA=%22Localiza%20CL%22.%22Codreg%22%3D"&amp;Agencia[[#This Row],[Filtro URL]])</f>
        <v>https://analytics.zoho.com/open-view/2395394000009042179?ZOHO_CRITERIA=%22Localiza%20CL%22.%22Codreg%22%3D12</v>
      </c>
      <c r="T462" s="108" t="str">
        <f>"100-C-"&amp;Agencia[[#This Row],[Filtro URL]]</f>
        <v>100-C-12</v>
      </c>
      <c r="U462" s="46" t="str">
        <f t="shared" si="196"/>
        <v>#1774B9</v>
      </c>
      <c r="V462" s="93" t="str">
        <f>+Agencia[[#This Row],[idcoleccion]]&amp;"-"&amp;Agencia[[#This Row],[id]]</f>
        <v>990-0451</v>
      </c>
      <c r="W462" s="93">
        <f>+VLOOKUP(Agencia[[#This Row],[Filtro URL]],Estructura!$X$4:$Y$500,2,0)</f>
        <v>99200012</v>
      </c>
      <c r="X462" s="93" t="str">
        <f>+VLOOKUP(Agencia[[#This Row],[tema]],Estructura!$A$4:$C$500,3,0)</f>
        <v>T-1032</v>
      </c>
      <c r="Y462" s="93" t="str">
        <f>+VLOOKUP(Agencia[[#This Row],[contenido]],Estructura!$E$4:$G$500,3,0)</f>
        <v>C-1018</v>
      </c>
      <c r="Z462" s="93" t="str">
        <f>+VLOOKUP(Agencia[[#This Row],[Filtro Integrado]],Estructura!$I$4:$K$500,3,0)</f>
        <v>FI-991</v>
      </c>
      <c r="AA462" s="93" t="str">
        <f>+VLOOKUP(Agencia[[#This Row],[Muestra]],Estructura!$M$4:$O$500,3,0)</f>
        <v>M-1061</v>
      </c>
    </row>
    <row r="463" spans="1:27" ht="57.6" x14ac:dyDescent="0.3">
      <c r="A463" s="21" t="s">
        <v>1574</v>
      </c>
      <c r="B463" s="23">
        <f t="shared" si="181"/>
        <v>990</v>
      </c>
      <c r="C463" s="24" t="str">
        <f t="shared" si="182"/>
        <v>Agencia Información</v>
      </c>
      <c r="D463" s="72" t="str">
        <f t="shared" si="197"/>
        <v>Educación</v>
      </c>
      <c r="E463" s="19">
        <v>13</v>
      </c>
      <c r="F463" s="18" t="s">
        <v>1421</v>
      </c>
      <c r="G463" s="18" t="s">
        <v>4290</v>
      </c>
      <c r="H463" s="33" t="s">
        <v>16</v>
      </c>
      <c r="I463" s="34" t="s">
        <v>380</v>
      </c>
      <c r="J463" s="9" t="str">
        <f t="shared" si="202"/>
        <v>Comuna</v>
      </c>
      <c r="K463" s="9" t="str">
        <f t="shared" si="198"/>
        <v>Puntaje promedio</v>
      </c>
      <c r="L463" s="9" t="str">
        <f t="shared" si="199"/>
        <v>Periodo 2015 - 2018</v>
      </c>
      <c r="M463" s="9" t="str">
        <f t="shared" si="200"/>
        <v>Puntaje</v>
      </c>
      <c r="N463" s="9" t="str">
        <f t="shared" si="201"/>
        <v>Agencia de Calidad de la Educación</v>
      </c>
      <c r="O463" s="20" t="str">
        <f>+"Evolución de Puntaje SIMCE de Lectura según área urbana o rural para 6° Básico en la "&amp;I463&amp;" para el "&amp;Agencia[[#This Row],[temporalidad]]</f>
        <v>Evolución de Puntaje SIMCE de Lectura según área urbana o rural para 6° Básico en la Región Metropolitana para el Periodo 2015 - 2018</v>
      </c>
      <c r="P463" s="112" t="s">
        <v>6193</v>
      </c>
      <c r="Q463" s="11" t="str">
        <f t="shared" si="195"/>
        <v>Gráfico de Evolución</v>
      </c>
      <c r="R463" s="148" t="str">
        <f>Agencia[[#This Row],[territorio]]&amp;",educación básica,sexto básico,puntaje,lectura,rural,urbano,lenguaje,"&amp;Agencia[[#This Row],[coleccion]]&amp;","&amp;Agencia[[#This Row],[sector]]&amp;","&amp;Agencia[[#This Row],[tema]]&amp;","&amp;Agencia[[#This Row],[contenido]]</f>
        <v>Región Metropolitana,educación básica,sexto básico,puntaje,lectura,rural,urbano,lenguaje,Agencia Información,Educación,SIMCE,Métricas de la Educación</v>
      </c>
      <c r="S463" s="83" t="str">
        <f>HYPERLINK("https://analytics.zoho.com/open-view/2395394000009042179?ZOHO_CRITERIA=%22Localiza%20CL%22.%22Codreg%22%3D"&amp;Agencia[[#This Row],[Filtro URL]])</f>
        <v>https://analytics.zoho.com/open-view/2395394000009042179?ZOHO_CRITERIA=%22Localiza%20CL%22.%22Codreg%22%3D13</v>
      </c>
      <c r="T463" s="111" t="str">
        <f>"200-C-"&amp;Agencia[[#This Row],[Filtro URL]]</f>
        <v>200-C-13</v>
      </c>
      <c r="U463" s="46" t="str">
        <f t="shared" si="196"/>
        <v>#1774B9</v>
      </c>
      <c r="V463" s="93" t="str">
        <f>+Agencia[[#This Row],[idcoleccion]]&amp;"-"&amp;Agencia[[#This Row],[id]]</f>
        <v>990-0452</v>
      </c>
      <c r="W463" s="93">
        <f>+VLOOKUP(Agencia[[#This Row],[Filtro URL]],Estructura!$X$4:$Y$500,2,0)</f>
        <v>99200013</v>
      </c>
      <c r="X463" s="93" t="str">
        <f>+VLOOKUP(Agencia[[#This Row],[tema]],Estructura!$A$4:$C$500,3,0)</f>
        <v>T-1032</v>
      </c>
      <c r="Y463" s="93" t="str">
        <f>+VLOOKUP(Agencia[[#This Row],[contenido]],Estructura!$E$4:$G$500,3,0)</f>
        <v>C-1018</v>
      </c>
      <c r="Z463" s="93" t="str">
        <f>+VLOOKUP(Agencia[[#This Row],[Filtro Integrado]],Estructura!$I$4:$K$500,3,0)</f>
        <v>FI-991</v>
      </c>
      <c r="AA463" s="93" t="str">
        <f>+VLOOKUP(Agencia[[#This Row],[Muestra]],Estructura!$M$4:$O$500,3,0)</f>
        <v>M-1061</v>
      </c>
    </row>
    <row r="464" spans="1:27" ht="57.6" x14ac:dyDescent="0.3">
      <c r="A464" s="21" t="s">
        <v>1575</v>
      </c>
      <c r="B464" s="23">
        <f t="shared" si="181"/>
        <v>990</v>
      </c>
      <c r="C464" s="24" t="str">
        <f t="shared" si="182"/>
        <v>Agencia Información</v>
      </c>
      <c r="D464" s="72" t="str">
        <f t="shared" si="197"/>
        <v>Educación</v>
      </c>
      <c r="E464" s="19">
        <v>14</v>
      </c>
      <c r="F464" s="18" t="s">
        <v>1421</v>
      </c>
      <c r="G464" s="18" t="s">
        <v>4290</v>
      </c>
      <c r="H464" s="33" t="s">
        <v>16</v>
      </c>
      <c r="I464" s="34" t="s">
        <v>381</v>
      </c>
      <c r="J464" s="9" t="str">
        <f t="shared" si="202"/>
        <v>Comuna</v>
      </c>
      <c r="K464" s="9" t="str">
        <f t="shared" si="198"/>
        <v>Puntaje promedio</v>
      </c>
      <c r="L464" s="9" t="str">
        <f t="shared" si="199"/>
        <v>Periodo 2015 - 2018</v>
      </c>
      <c r="M464" s="9" t="str">
        <f t="shared" si="200"/>
        <v>Puntaje</v>
      </c>
      <c r="N464" s="9" t="str">
        <f t="shared" si="201"/>
        <v>Agencia de Calidad de la Educación</v>
      </c>
      <c r="O464" s="20" t="str">
        <f>+"Evolución de Puntaje SIMCE de Lectura según área urbana o rural para 6° Básico en la "&amp;I464&amp;" para el "&amp;Agencia[[#This Row],[temporalidad]]</f>
        <v>Evolución de Puntaje SIMCE de Lectura según área urbana o rural para 6° Básico en la Región de Los Ríos para el Periodo 2015 - 2018</v>
      </c>
      <c r="P464" s="112" t="s">
        <v>6194</v>
      </c>
      <c r="Q464" s="11" t="str">
        <f t="shared" si="195"/>
        <v>Gráfico de Evolución</v>
      </c>
      <c r="R464" s="148" t="str">
        <f>Agencia[[#This Row],[territorio]]&amp;",educación básica,sexto básico,puntaje,lectura,rural,urbano,lenguaje,"&amp;Agencia[[#This Row],[coleccion]]&amp;","&amp;Agencia[[#This Row],[sector]]&amp;","&amp;Agencia[[#This Row],[tema]]&amp;","&amp;Agencia[[#This Row],[contenido]]</f>
        <v>Región de Los Ríos,educación básica,sexto básico,puntaje,lectura,rural,urbano,lenguaje,Agencia Información,Educación,SIMCE,Métricas de la Educación</v>
      </c>
      <c r="S464" s="83" t="str">
        <f>HYPERLINK("https://analytics.zoho.com/open-view/2395394000009042179?ZOHO_CRITERIA=%22Localiza%20CL%22.%22Codreg%22%3D"&amp;Agencia[[#This Row],[Filtro URL]])</f>
        <v>https://analytics.zoho.com/open-view/2395394000009042179?ZOHO_CRITERIA=%22Localiza%20CL%22.%22Codreg%22%3D14</v>
      </c>
      <c r="T464" s="108" t="str">
        <f>"100-C-"&amp;Agencia[[#This Row],[Filtro URL]]</f>
        <v>100-C-14</v>
      </c>
      <c r="U464" s="46" t="str">
        <f t="shared" si="196"/>
        <v>#1774B9</v>
      </c>
      <c r="V464" s="93" t="str">
        <f>+Agencia[[#This Row],[idcoleccion]]&amp;"-"&amp;Agencia[[#This Row],[id]]</f>
        <v>990-0453</v>
      </c>
      <c r="W464" s="93">
        <f>+VLOOKUP(Agencia[[#This Row],[Filtro URL]],Estructura!$X$4:$Y$500,2,0)</f>
        <v>99200014</v>
      </c>
      <c r="X464" s="93" t="str">
        <f>+VLOOKUP(Agencia[[#This Row],[tema]],Estructura!$A$4:$C$500,3,0)</f>
        <v>T-1032</v>
      </c>
      <c r="Y464" s="93" t="str">
        <f>+VLOOKUP(Agencia[[#This Row],[contenido]],Estructura!$E$4:$G$500,3,0)</f>
        <v>C-1018</v>
      </c>
      <c r="Z464" s="93" t="str">
        <f>+VLOOKUP(Agencia[[#This Row],[Filtro Integrado]],Estructura!$I$4:$K$500,3,0)</f>
        <v>FI-991</v>
      </c>
      <c r="AA464" s="93" t="str">
        <f>+VLOOKUP(Agencia[[#This Row],[Muestra]],Estructura!$M$4:$O$500,3,0)</f>
        <v>M-1061</v>
      </c>
    </row>
    <row r="465" spans="1:27" ht="57.6" x14ac:dyDescent="0.3">
      <c r="A465" s="21" t="s">
        <v>1576</v>
      </c>
      <c r="B465" s="23">
        <f t="shared" si="181"/>
        <v>990</v>
      </c>
      <c r="C465" s="24" t="str">
        <f t="shared" si="182"/>
        <v>Agencia Información</v>
      </c>
      <c r="D465" s="72" t="str">
        <f t="shared" si="197"/>
        <v>Educación</v>
      </c>
      <c r="E465" s="19">
        <v>15</v>
      </c>
      <c r="F465" s="18" t="s">
        <v>1421</v>
      </c>
      <c r="G465" s="18" t="s">
        <v>4290</v>
      </c>
      <c r="H465" s="33" t="s">
        <v>16</v>
      </c>
      <c r="I465" s="34" t="s">
        <v>382</v>
      </c>
      <c r="J465" s="9" t="str">
        <f t="shared" si="202"/>
        <v>Comuna</v>
      </c>
      <c r="K465" s="9" t="str">
        <f t="shared" si="198"/>
        <v>Puntaje promedio</v>
      </c>
      <c r="L465" s="9" t="str">
        <f t="shared" si="199"/>
        <v>Periodo 2015 - 2018</v>
      </c>
      <c r="M465" s="9" t="str">
        <f t="shared" si="200"/>
        <v>Puntaje</v>
      </c>
      <c r="N465" s="9" t="str">
        <f t="shared" si="201"/>
        <v>Agencia de Calidad de la Educación</v>
      </c>
      <c r="O465" s="20" t="str">
        <f>+"Evolución de Puntaje SIMCE de Lectura según área urbana o rural para 6° Básico en la "&amp;I465&amp;" para el "&amp;Agencia[[#This Row],[temporalidad]]</f>
        <v>Evolución de Puntaje SIMCE de Lectura según área urbana o rural para 6° Básico en la Región de Arica y Parinacota para el Periodo 2015 - 2018</v>
      </c>
      <c r="P465" s="112" t="s">
        <v>6195</v>
      </c>
      <c r="Q465" s="11" t="str">
        <f t="shared" si="195"/>
        <v>Gráfico de Evolución</v>
      </c>
      <c r="R465" s="148" t="str">
        <f>Agencia[[#This Row],[territorio]]&amp;",educación básica,sexto básico,puntaje,lectura,rural,urbano,lenguaje,"&amp;Agencia[[#This Row],[coleccion]]&amp;","&amp;Agencia[[#This Row],[sector]]&amp;","&amp;Agencia[[#This Row],[tema]]&amp;","&amp;Agencia[[#This Row],[contenido]]</f>
        <v>Región de Arica y Parinacota,educación básica,sexto básico,puntaje,lectura,rural,urbano,lenguaje,Agencia Información,Educación,SIMCE,Métricas de la Educación</v>
      </c>
      <c r="S465" s="83" t="str">
        <f>HYPERLINK("https://analytics.zoho.com/open-view/2395394000009042179?ZOHO_CRITERIA=%22Localiza%20CL%22.%22Codreg%22%3D"&amp;Agencia[[#This Row],[Filtro URL]])</f>
        <v>https://analytics.zoho.com/open-view/2395394000009042179?ZOHO_CRITERIA=%22Localiza%20CL%22.%22Codreg%22%3D15</v>
      </c>
      <c r="T465" s="108" t="str">
        <f>"100-C-"&amp;Agencia[[#This Row],[Filtro URL]]</f>
        <v>100-C-15</v>
      </c>
      <c r="U465" s="46" t="str">
        <f t="shared" si="196"/>
        <v>#1774B9</v>
      </c>
      <c r="V465" s="93" t="str">
        <f>+Agencia[[#This Row],[idcoleccion]]&amp;"-"&amp;Agencia[[#This Row],[id]]</f>
        <v>990-0454</v>
      </c>
      <c r="W465" s="93">
        <f>+VLOOKUP(Agencia[[#This Row],[Filtro URL]],Estructura!$X$4:$Y$500,2,0)</f>
        <v>99200015</v>
      </c>
      <c r="X465" s="93" t="str">
        <f>+VLOOKUP(Agencia[[#This Row],[tema]],Estructura!$A$4:$C$500,3,0)</f>
        <v>T-1032</v>
      </c>
      <c r="Y465" s="93" t="str">
        <f>+VLOOKUP(Agencia[[#This Row],[contenido]],Estructura!$E$4:$G$500,3,0)</f>
        <v>C-1018</v>
      </c>
      <c r="Z465" s="93" t="str">
        <f>+VLOOKUP(Agencia[[#This Row],[Filtro Integrado]],Estructura!$I$4:$K$500,3,0)</f>
        <v>FI-991</v>
      </c>
      <c r="AA465" s="93" t="str">
        <f>+VLOOKUP(Agencia[[#This Row],[Muestra]],Estructura!$M$4:$O$500,3,0)</f>
        <v>M-1061</v>
      </c>
    </row>
    <row r="466" spans="1:27" ht="57.6" x14ac:dyDescent="0.3">
      <c r="A466" s="21" t="s">
        <v>1577</v>
      </c>
      <c r="B466" s="23">
        <f t="shared" si="181"/>
        <v>990</v>
      </c>
      <c r="C466" s="24" t="str">
        <f t="shared" si="182"/>
        <v>Agencia Información</v>
      </c>
      <c r="D466" s="72" t="str">
        <f t="shared" si="197"/>
        <v>Educación</v>
      </c>
      <c r="E466" s="19">
        <v>16</v>
      </c>
      <c r="F466" s="18" t="s">
        <v>1421</v>
      </c>
      <c r="G466" s="18" t="s">
        <v>4290</v>
      </c>
      <c r="H466" s="33" t="s">
        <v>16</v>
      </c>
      <c r="I466" s="34" t="s">
        <v>383</v>
      </c>
      <c r="J466" s="9" t="str">
        <f t="shared" si="202"/>
        <v>Comuna</v>
      </c>
      <c r="K466" s="9" t="str">
        <f t="shared" si="198"/>
        <v>Puntaje promedio</v>
      </c>
      <c r="L466" s="9" t="str">
        <f t="shared" si="199"/>
        <v>Periodo 2015 - 2018</v>
      </c>
      <c r="M466" s="9" t="str">
        <f t="shared" si="200"/>
        <v>Puntaje</v>
      </c>
      <c r="N466" s="9" t="str">
        <f t="shared" si="201"/>
        <v>Agencia de Calidad de la Educación</v>
      </c>
      <c r="O466" s="20" t="str">
        <f>+"Evolución de Puntaje SIMCE de Lectura según área urbana o rural para 6° Básico en la "&amp;I466&amp;" para el "&amp;Agencia[[#This Row],[temporalidad]]</f>
        <v>Evolución de Puntaje SIMCE de Lectura según área urbana o rural para 6° Básico en la Región de Ñuble para el Periodo 2015 - 2018</v>
      </c>
      <c r="P466" s="112" t="s">
        <v>6196</v>
      </c>
      <c r="Q466" s="11" t="str">
        <f t="shared" si="195"/>
        <v>Gráfico de Evolución</v>
      </c>
      <c r="R466" s="148" t="str">
        <f>Agencia[[#This Row],[territorio]]&amp;",educación básica,sexto básico,puntaje,lectura,rural,urbano,lenguaje,"&amp;Agencia[[#This Row],[coleccion]]&amp;","&amp;Agencia[[#This Row],[sector]]&amp;","&amp;Agencia[[#This Row],[tema]]&amp;","&amp;Agencia[[#This Row],[contenido]]</f>
        <v>Región de Ñuble,educación básica,sexto básico,puntaje,lectura,rural,urbano,lenguaje,Agencia Información,Educación,SIMCE,Métricas de la Educación</v>
      </c>
      <c r="S466" s="83" t="str">
        <f>HYPERLINK("https://analytics.zoho.com/open-view/2395394000009042179?ZOHO_CRITERIA=%22Localiza%20CL%22.%22Codreg%22%3D"&amp;Agencia[[#This Row],[Filtro URL]])</f>
        <v>https://analytics.zoho.com/open-view/2395394000009042179?ZOHO_CRITERIA=%22Localiza%20CL%22.%22Codreg%22%3D16</v>
      </c>
      <c r="T466" s="108" t="str">
        <f>"100-C-"&amp;Agencia[[#This Row],[Filtro URL]]</f>
        <v>100-C-16</v>
      </c>
      <c r="U466" s="46" t="str">
        <f t="shared" si="196"/>
        <v>#1774B9</v>
      </c>
      <c r="V466" s="93" t="str">
        <f>+Agencia[[#This Row],[idcoleccion]]&amp;"-"&amp;Agencia[[#This Row],[id]]</f>
        <v>990-0455</v>
      </c>
      <c r="W466" s="93">
        <f>+VLOOKUP(Agencia[[#This Row],[Filtro URL]],Estructura!$X$4:$Y$500,2,0)</f>
        <v>99200016</v>
      </c>
      <c r="X466" s="93" t="str">
        <f>+VLOOKUP(Agencia[[#This Row],[tema]],Estructura!$A$4:$C$500,3,0)</f>
        <v>T-1032</v>
      </c>
      <c r="Y466" s="93" t="str">
        <f>+VLOOKUP(Agencia[[#This Row],[contenido]],Estructura!$E$4:$G$500,3,0)</f>
        <v>C-1018</v>
      </c>
      <c r="Z466" s="93" t="str">
        <f>+VLOOKUP(Agencia[[#This Row],[Filtro Integrado]],Estructura!$I$4:$K$500,3,0)</f>
        <v>FI-991</v>
      </c>
      <c r="AA466" s="93" t="str">
        <f>+VLOOKUP(Agencia[[#This Row],[Muestra]],Estructura!$M$4:$O$500,3,0)</f>
        <v>M-1061</v>
      </c>
    </row>
    <row r="467" spans="1:27" ht="51" x14ac:dyDescent="0.3">
      <c r="A467" s="21" t="s">
        <v>1578</v>
      </c>
      <c r="B467" s="23">
        <f t="shared" si="181"/>
        <v>990</v>
      </c>
      <c r="C467" s="24" t="str">
        <f t="shared" si="182"/>
        <v>Agencia Información</v>
      </c>
      <c r="D467" s="72" t="s">
        <v>14</v>
      </c>
      <c r="E467" s="14">
        <v>0</v>
      </c>
      <c r="F467" s="18" t="s">
        <v>1421</v>
      </c>
      <c r="G467" s="18" t="s">
        <v>4290</v>
      </c>
      <c r="H467" s="31" t="s">
        <v>20</v>
      </c>
      <c r="I467" s="32" t="s">
        <v>15</v>
      </c>
      <c r="J467" s="9" t="s">
        <v>16</v>
      </c>
      <c r="K467" s="9" t="s">
        <v>9298</v>
      </c>
      <c r="L467" s="9" t="s">
        <v>457</v>
      </c>
      <c r="M467" s="9" t="s">
        <v>1425</v>
      </c>
      <c r="N467" s="9" t="s">
        <v>1422</v>
      </c>
      <c r="O467" s="20" t="str">
        <f>+"Mapa Puntaje Promedio y Máximo en prueba SIMCE de Lectura de 8vo Básico por Comuna en "&amp;I467&amp;" para el "&amp;Agencia[[#This Row],[temporalidad]]</f>
        <v>Mapa Puntaje Promedio y Máximo en prueba SIMCE de Lectura de 8vo Básico por Comuna en Chile para el Año 2020</v>
      </c>
      <c r="P467" s="112" t="s">
        <v>6197</v>
      </c>
      <c r="Q467" s="11" t="s">
        <v>794</v>
      </c>
      <c r="R467" s="20" t="str">
        <f>Agencia[[#This Row],[territorio]]&amp;",educación básica,octavo básico,puntaje,lectura,promedio,máximo,lenguaje,"&amp;Agencia[[#This Row],[coleccion]]&amp;","&amp;Agencia[[#This Row],[sector]]&amp;","&amp;Agencia[[#This Row],[tema]]&amp;","&amp;Agencia[[#This Row],[contenido]]</f>
        <v>Chile,educación básica,octavo básico,puntaje,lectura,promedio,máximo,lenguaje,Agencia Información,Educación,SIMCE,Métricas de la Educación</v>
      </c>
      <c r="S467" s="37" t="s">
        <v>1426</v>
      </c>
      <c r="T467" s="108" t="s">
        <v>957</v>
      </c>
      <c r="U467" s="46" t="str">
        <f t="shared" si="196"/>
        <v>#1774B9</v>
      </c>
      <c r="V467" s="93" t="str">
        <f>+Agencia[[#This Row],[idcoleccion]]&amp;"-"&amp;Agencia[[#This Row],[id]]</f>
        <v>990-0456</v>
      </c>
      <c r="W467" s="93">
        <f>+VLOOKUP(Agencia[[#This Row],[Filtro URL]],Estructura!$X$4:$Y$500,2,0)</f>
        <v>99100000</v>
      </c>
      <c r="X467" s="93" t="str">
        <f>+VLOOKUP(Agencia[[#This Row],[tema]],Estructura!$A$4:$C$500,3,0)</f>
        <v>T-1032</v>
      </c>
      <c r="Y467" s="93" t="str">
        <f>+VLOOKUP(Agencia[[#This Row],[contenido]],Estructura!$E$4:$G$500,3,0)</f>
        <v>C-1018</v>
      </c>
      <c r="Z467" s="93" t="str">
        <f>+VLOOKUP(Agencia[[#This Row],[Filtro Integrado]],Estructura!$I$4:$K$500,3,0)</f>
        <v>FI-992</v>
      </c>
      <c r="AA467" s="93" t="str">
        <f>+VLOOKUP(Agencia[[#This Row],[Muestra]],Estructura!$M$4:$O$500,3,0)</f>
        <v>M-1062</v>
      </c>
    </row>
    <row r="468" spans="1:27" ht="57.6" x14ac:dyDescent="0.3">
      <c r="A468" s="21" t="s">
        <v>958</v>
      </c>
      <c r="B468" s="23">
        <f t="shared" si="181"/>
        <v>990</v>
      </c>
      <c r="C468" s="24" t="str">
        <f t="shared" si="182"/>
        <v>Agencia Información</v>
      </c>
      <c r="D468" s="72" t="str">
        <f t="shared" ref="D468:D483" si="203">+D467</f>
        <v>Educación</v>
      </c>
      <c r="E468" s="19">
        <v>1</v>
      </c>
      <c r="F468" s="18" t="s">
        <v>1421</v>
      </c>
      <c r="G468" s="18" t="s">
        <v>4290</v>
      </c>
      <c r="H468" s="33" t="s">
        <v>16</v>
      </c>
      <c r="I468" s="34" t="s">
        <v>368</v>
      </c>
      <c r="J468" s="9" t="s">
        <v>403</v>
      </c>
      <c r="K468" s="9" t="str">
        <f t="shared" ref="K468:K483" si="204">+K467</f>
        <v>Puntaje promedio y máximo</v>
      </c>
      <c r="L468" s="9" t="str">
        <f t="shared" ref="L468:L483" si="205">+L467</f>
        <v>Año 2020</v>
      </c>
      <c r="M468" s="9" t="str">
        <f t="shared" ref="M468:M483" si="206">+M467</f>
        <v>Puntaje</v>
      </c>
      <c r="N468" s="9" t="str">
        <f t="shared" ref="N468:N483" si="207">+N467</f>
        <v>Agencia de Calidad de la Educación</v>
      </c>
      <c r="O468" s="20" t="str">
        <f>+"Mapa Puntaje Promedio y Máximo en prueba SIMCE de Lectura de 8vo Básico por Comuna en la "&amp;I468&amp;" para el "&amp;Agencia[[#This Row],[temporalidad]]</f>
        <v>Mapa Puntaje Promedio y Máximo en prueba SIMCE de Lectura de 8vo Básico por Comuna en la Región de Tarapacá para el Año 2020</v>
      </c>
      <c r="P468" s="112" t="s">
        <v>6231</v>
      </c>
      <c r="Q468" s="11" t="str">
        <f t="shared" si="195"/>
        <v>Mapa de calor</v>
      </c>
      <c r="R468" s="148" t="str">
        <f>Agencia[[#This Row],[territorio]]&amp;",educación básica,octavo básico,puntaje,lectura,promedio,máximo,lenguaje,"&amp;Agencia[[#This Row],[coleccion]]&amp;","&amp;Agencia[[#This Row],[sector]]&amp;","&amp;Agencia[[#This Row],[tema]]&amp;","&amp;Agencia[[#This Row],[contenido]]</f>
        <v>Región de Tarapacá,educación básica,octavo básico,puntaje,lectura,promedio,máximo,lenguaje,Agencia Información,Educación,SIMCE,Métricas de la Educación</v>
      </c>
      <c r="S468" s="83" t="str">
        <f>HYPERLINK("https://analytics.zoho.com/open-view/2395394000009042285?ZOHO_CRITERIA=%22Localiza%20CL%22.%22Codreg%22%3D"&amp;Agencia[[#This Row],[Filtro URL]])</f>
        <v>https://analytics.zoho.com/open-view/2395394000009042285?ZOHO_CRITERIA=%22Localiza%20CL%22.%22Codreg%22%3D1</v>
      </c>
      <c r="T468" s="108" t="str">
        <f>"100-C-"&amp;Agencia[[#This Row],[Filtro URL]]</f>
        <v>100-C-1</v>
      </c>
      <c r="U468" s="46" t="str">
        <f t="shared" si="196"/>
        <v>#1774B9</v>
      </c>
      <c r="V468" s="93" t="str">
        <f>+Agencia[[#This Row],[idcoleccion]]&amp;"-"&amp;Agencia[[#This Row],[id]]</f>
        <v>990-0457</v>
      </c>
      <c r="W468" s="93">
        <f>+VLOOKUP(Agencia[[#This Row],[Filtro URL]],Estructura!$X$4:$Y$500,2,0)</f>
        <v>99200001</v>
      </c>
      <c r="X468" s="93" t="str">
        <f>+VLOOKUP(Agencia[[#This Row],[tema]],Estructura!$A$4:$C$500,3,0)</f>
        <v>T-1032</v>
      </c>
      <c r="Y468" s="93" t="str">
        <f>+VLOOKUP(Agencia[[#This Row],[contenido]],Estructura!$E$4:$G$500,3,0)</f>
        <v>C-1018</v>
      </c>
      <c r="Z468" s="93" t="str">
        <f>+VLOOKUP(Agencia[[#This Row],[Filtro Integrado]],Estructura!$I$4:$K$500,3,0)</f>
        <v>FI-993</v>
      </c>
      <c r="AA468" s="93" t="str">
        <f>+VLOOKUP(Agencia[[#This Row],[Muestra]],Estructura!$M$4:$O$500,3,0)</f>
        <v>M-1062</v>
      </c>
    </row>
    <row r="469" spans="1:27" ht="57.6" x14ac:dyDescent="0.3">
      <c r="A469" s="21" t="s">
        <v>959</v>
      </c>
      <c r="B469" s="23">
        <f t="shared" si="181"/>
        <v>990</v>
      </c>
      <c r="C469" s="24" t="str">
        <f t="shared" si="182"/>
        <v>Agencia Información</v>
      </c>
      <c r="D469" s="72" t="str">
        <f t="shared" si="203"/>
        <v>Educación</v>
      </c>
      <c r="E469" s="19">
        <v>2</v>
      </c>
      <c r="F469" s="18" t="s">
        <v>1421</v>
      </c>
      <c r="G469" s="18" t="s">
        <v>4290</v>
      </c>
      <c r="H469" s="33" t="s">
        <v>16</v>
      </c>
      <c r="I469" s="34" t="s">
        <v>369</v>
      </c>
      <c r="J469" s="9" t="str">
        <f t="shared" ref="J469:J483" si="208">+J468</f>
        <v>Ninguno</v>
      </c>
      <c r="K469" s="9" t="str">
        <f t="shared" si="204"/>
        <v>Puntaje promedio y máximo</v>
      </c>
      <c r="L469" s="9" t="str">
        <f t="shared" si="205"/>
        <v>Año 2020</v>
      </c>
      <c r="M469" s="9" t="str">
        <f t="shared" si="206"/>
        <v>Puntaje</v>
      </c>
      <c r="N469" s="9" t="str">
        <f t="shared" si="207"/>
        <v>Agencia de Calidad de la Educación</v>
      </c>
      <c r="O469" s="20" t="str">
        <f>+"Mapa Puntaje Promedio y Máximo en prueba SIMCE de Lectura de 8vo Básico por Comuna en la "&amp;I469&amp;" para el "&amp;Agencia[[#This Row],[temporalidad]]</f>
        <v>Mapa Puntaje Promedio y Máximo en prueba SIMCE de Lectura de 8vo Básico por Comuna en la Región de Antofagasta para el Año 2020</v>
      </c>
      <c r="P469" s="112" t="s">
        <v>6232</v>
      </c>
      <c r="Q469" s="11" t="str">
        <f t="shared" si="195"/>
        <v>Mapa de calor</v>
      </c>
      <c r="R469" s="148" t="str">
        <f>Agencia[[#This Row],[territorio]]&amp;",educación básica,octavo básico,puntaje,lectura,promedio,máximo,lenguaje,"&amp;Agencia[[#This Row],[coleccion]]&amp;","&amp;Agencia[[#This Row],[sector]]&amp;","&amp;Agencia[[#This Row],[tema]]&amp;","&amp;Agencia[[#This Row],[contenido]]</f>
        <v>Región de Antofagasta,educación básica,octavo básico,puntaje,lectura,promedio,máximo,lenguaje,Agencia Información,Educación,SIMCE,Métricas de la Educación</v>
      </c>
      <c r="S469" s="83" t="str">
        <f>HYPERLINK("https://analytics.zoho.com/open-view/2395394000009042285?ZOHO_CRITERIA=%22Localiza%20CL%22.%22Codreg%22%3D"&amp;Agencia[[#This Row],[Filtro URL]])</f>
        <v>https://analytics.zoho.com/open-view/2395394000009042285?ZOHO_CRITERIA=%22Localiza%20CL%22.%22Codreg%22%3D2</v>
      </c>
      <c r="T469" s="108" t="str">
        <f>"100-C-"&amp;Agencia[[#This Row],[Filtro URL]]</f>
        <v>100-C-2</v>
      </c>
      <c r="U469" s="46" t="str">
        <f t="shared" si="196"/>
        <v>#1774B9</v>
      </c>
      <c r="V469" s="93" t="str">
        <f>+Agencia[[#This Row],[idcoleccion]]&amp;"-"&amp;Agencia[[#This Row],[id]]</f>
        <v>990-0458</v>
      </c>
      <c r="W469" s="93">
        <f>+VLOOKUP(Agencia[[#This Row],[Filtro URL]],Estructura!$X$4:$Y$500,2,0)</f>
        <v>99200002</v>
      </c>
      <c r="X469" s="93" t="str">
        <f>+VLOOKUP(Agencia[[#This Row],[tema]],Estructura!$A$4:$C$500,3,0)</f>
        <v>T-1032</v>
      </c>
      <c r="Y469" s="93" t="str">
        <f>+VLOOKUP(Agencia[[#This Row],[contenido]],Estructura!$E$4:$G$500,3,0)</f>
        <v>C-1018</v>
      </c>
      <c r="Z469" s="93" t="str">
        <f>+VLOOKUP(Agencia[[#This Row],[Filtro Integrado]],Estructura!$I$4:$K$500,3,0)</f>
        <v>FI-993</v>
      </c>
      <c r="AA469" s="93" t="str">
        <f>+VLOOKUP(Agencia[[#This Row],[Muestra]],Estructura!$M$4:$O$500,3,0)</f>
        <v>M-1062</v>
      </c>
    </row>
    <row r="470" spans="1:27" ht="57.6" x14ac:dyDescent="0.3">
      <c r="A470" s="21" t="s">
        <v>960</v>
      </c>
      <c r="B470" s="23">
        <f t="shared" si="181"/>
        <v>990</v>
      </c>
      <c r="C470" s="24" t="str">
        <f t="shared" si="182"/>
        <v>Agencia Información</v>
      </c>
      <c r="D470" s="72" t="str">
        <f t="shared" si="203"/>
        <v>Educación</v>
      </c>
      <c r="E470" s="19">
        <v>3</v>
      </c>
      <c r="F470" s="18" t="s">
        <v>1421</v>
      </c>
      <c r="G470" s="18" t="s">
        <v>4290</v>
      </c>
      <c r="H470" s="33" t="s">
        <v>16</v>
      </c>
      <c r="I470" s="34" t="s">
        <v>370</v>
      </c>
      <c r="J470" s="9" t="str">
        <f t="shared" si="208"/>
        <v>Ninguno</v>
      </c>
      <c r="K470" s="9" t="str">
        <f t="shared" si="204"/>
        <v>Puntaje promedio y máximo</v>
      </c>
      <c r="L470" s="9" t="str">
        <f t="shared" si="205"/>
        <v>Año 2020</v>
      </c>
      <c r="M470" s="9" t="str">
        <f t="shared" si="206"/>
        <v>Puntaje</v>
      </c>
      <c r="N470" s="9" t="str">
        <f t="shared" si="207"/>
        <v>Agencia de Calidad de la Educación</v>
      </c>
      <c r="O470" s="20" t="str">
        <f>+"Mapa Puntaje Promedio y Máximo en prueba SIMCE de Lectura de 8vo Básico por Comuna en la "&amp;I470&amp;" para el "&amp;Agencia[[#This Row],[temporalidad]]</f>
        <v>Mapa Puntaje Promedio y Máximo en prueba SIMCE de Lectura de 8vo Básico por Comuna en la Región de Atacama para el Año 2020</v>
      </c>
      <c r="P470" s="112" t="s">
        <v>6233</v>
      </c>
      <c r="Q470" s="11" t="str">
        <f t="shared" si="195"/>
        <v>Mapa de calor</v>
      </c>
      <c r="R470" s="148" t="str">
        <f>Agencia[[#This Row],[territorio]]&amp;",educación básica,octavo básico,puntaje,lectura,promedio,máximo,lenguaje,"&amp;Agencia[[#This Row],[coleccion]]&amp;","&amp;Agencia[[#This Row],[sector]]&amp;","&amp;Agencia[[#This Row],[tema]]&amp;","&amp;Agencia[[#This Row],[contenido]]</f>
        <v>Región de Atacama,educación básica,octavo básico,puntaje,lectura,promedio,máximo,lenguaje,Agencia Información,Educación,SIMCE,Métricas de la Educación</v>
      </c>
      <c r="S470" s="83" t="str">
        <f>HYPERLINK("https://analytics.zoho.com/open-view/2395394000009042285?ZOHO_CRITERIA=%22Localiza%20CL%22.%22Codreg%22%3D"&amp;Agencia[[#This Row],[Filtro URL]])</f>
        <v>https://analytics.zoho.com/open-view/2395394000009042285?ZOHO_CRITERIA=%22Localiza%20CL%22.%22Codreg%22%3D3</v>
      </c>
      <c r="T470" s="108" t="str">
        <f>"100-C-"&amp;Agencia[[#This Row],[Filtro URL]]</f>
        <v>100-C-3</v>
      </c>
      <c r="U470" s="46" t="str">
        <f t="shared" si="196"/>
        <v>#1774B9</v>
      </c>
      <c r="V470" s="93" t="str">
        <f>+Agencia[[#This Row],[idcoleccion]]&amp;"-"&amp;Agencia[[#This Row],[id]]</f>
        <v>990-0459</v>
      </c>
      <c r="W470" s="93">
        <f>+VLOOKUP(Agencia[[#This Row],[Filtro URL]],Estructura!$X$4:$Y$500,2,0)</f>
        <v>99200003</v>
      </c>
      <c r="X470" s="93" t="str">
        <f>+VLOOKUP(Agencia[[#This Row],[tema]],Estructura!$A$4:$C$500,3,0)</f>
        <v>T-1032</v>
      </c>
      <c r="Y470" s="93" t="str">
        <f>+VLOOKUP(Agencia[[#This Row],[contenido]],Estructura!$E$4:$G$500,3,0)</f>
        <v>C-1018</v>
      </c>
      <c r="Z470" s="93" t="str">
        <f>+VLOOKUP(Agencia[[#This Row],[Filtro Integrado]],Estructura!$I$4:$K$500,3,0)</f>
        <v>FI-993</v>
      </c>
      <c r="AA470" s="93" t="str">
        <f>+VLOOKUP(Agencia[[#This Row],[Muestra]],Estructura!$M$4:$O$500,3,0)</f>
        <v>M-1062</v>
      </c>
    </row>
    <row r="471" spans="1:27" ht="57.6" x14ac:dyDescent="0.3">
      <c r="A471" s="21" t="s">
        <v>961</v>
      </c>
      <c r="B471" s="23">
        <f t="shared" si="181"/>
        <v>990</v>
      </c>
      <c r="C471" s="24" t="str">
        <f t="shared" si="182"/>
        <v>Agencia Información</v>
      </c>
      <c r="D471" s="72" t="str">
        <f t="shared" si="203"/>
        <v>Educación</v>
      </c>
      <c r="E471" s="19">
        <v>4</v>
      </c>
      <c r="F471" s="18" t="s">
        <v>1421</v>
      </c>
      <c r="G471" s="18" t="s">
        <v>4290</v>
      </c>
      <c r="H471" s="33" t="s">
        <v>16</v>
      </c>
      <c r="I471" s="34" t="s">
        <v>371</v>
      </c>
      <c r="J471" s="9" t="str">
        <f t="shared" si="208"/>
        <v>Ninguno</v>
      </c>
      <c r="K471" s="9" t="str">
        <f t="shared" si="204"/>
        <v>Puntaje promedio y máximo</v>
      </c>
      <c r="L471" s="9" t="str">
        <f t="shared" si="205"/>
        <v>Año 2020</v>
      </c>
      <c r="M471" s="9" t="str">
        <f t="shared" si="206"/>
        <v>Puntaje</v>
      </c>
      <c r="N471" s="9" t="str">
        <f t="shared" si="207"/>
        <v>Agencia de Calidad de la Educación</v>
      </c>
      <c r="O471" s="20" t="str">
        <f>+"Mapa Puntaje Promedio y Máximo en prueba SIMCE de Lectura de 8vo Básico por Comuna en la "&amp;I471&amp;" para el "&amp;Agencia[[#This Row],[temporalidad]]</f>
        <v>Mapa Puntaje Promedio y Máximo en prueba SIMCE de Lectura de 8vo Básico por Comuna en la Región de Coquimbo para el Año 2020</v>
      </c>
      <c r="P471" s="112" t="s">
        <v>6234</v>
      </c>
      <c r="Q471" s="11" t="str">
        <f t="shared" si="195"/>
        <v>Mapa de calor</v>
      </c>
      <c r="R471" s="148" t="str">
        <f>Agencia[[#This Row],[territorio]]&amp;",educación básica,octavo básico,puntaje,lectura,promedio,máximo,lenguaje,"&amp;Agencia[[#This Row],[coleccion]]&amp;","&amp;Agencia[[#This Row],[sector]]&amp;","&amp;Agencia[[#This Row],[tema]]&amp;","&amp;Agencia[[#This Row],[contenido]]</f>
        <v>Región de Coquimbo,educación básica,octavo básico,puntaje,lectura,promedio,máximo,lenguaje,Agencia Información,Educación,SIMCE,Métricas de la Educación</v>
      </c>
      <c r="S471" s="83" t="str">
        <f>HYPERLINK("https://analytics.zoho.com/open-view/2395394000009042285?ZOHO_CRITERIA=%22Localiza%20CL%22.%22Codreg%22%3D"&amp;Agencia[[#This Row],[Filtro URL]])</f>
        <v>https://analytics.zoho.com/open-view/2395394000009042285?ZOHO_CRITERIA=%22Localiza%20CL%22.%22Codreg%22%3D4</v>
      </c>
      <c r="T471" s="108" t="str">
        <f>"100-C-"&amp;Agencia[[#This Row],[Filtro URL]]</f>
        <v>100-C-4</v>
      </c>
      <c r="U471" s="46" t="str">
        <f t="shared" si="196"/>
        <v>#1774B9</v>
      </c>
      <c r="V471" s="93" t="str">
        <f>+Agencia[[#This Row],[idcoleccion]]&amp;"-"&amp;Agencia[[#This Row],[id]]</f>
        <v>990-0460</v>
      </c>
      <c r="W471" s="93">
        <f>+VLOOKUP(Agencia[[#This Row],[Filtro URL]],Estructura!$X$4:$Y$500,2,0)</f>
        <v>99200004</v>
      </c>
      <c r="X471" s="93" t="str">
        <f>+VLOOKUP(Agencia[[#This Row],[tema]],Estructura!$A$4:$C$500,3,0)</f>
        <v>T-1032</v>
      </c>
      <c r="Y471" s="93" t="str">
        <f>+VLOOKUP(Agencia[[#This Row],[contenido]],Estructura!$E$4:$G$500,3,0)</f>
        <v>C-1018</v>
      </c>
      <c r="Z471" s="93" t="str">
        <f>+VLOOKUP(Agencia[[#This Row],[Filtro Integrado]],Estructura!$I$4:$K$500,3,0)</f>
        <v>FI-993</v>
      </c>
      <c r="AA471" s="93" t="str">
        <f>+VLOOKUP(Agencia[[#This Row],[Muestra]],Estructura!$M$4:$O$500,3,0)</f>
        <v>M-1062</v>
      </c>
    </row>
    <row r="472" spans="1:27" ht="57.6" x14ac:dyDescent="0.3">
      <c r="A472" s="21" t="s">
        <v>962</v>
      </c>
      <c r="B472" s="23">
        <f t="shared" si="181"/>
        <v>990</v>
      </c>
      <c r="C472" s="24" t="str">
        <f t="shared" si="182"/>
        <v>Agencia Información</v>
      </c>
      <c r="D472" s="72" t="str">
        <f t="shared" si="203"/>
        <v>Educación</v>
      </c>
      <c r="E472" s="19">
        <v>5</v>
      </c>
      <c r="F472" s="18" t="s">
        <v>1421</v>
      </c>
      <c r="G472" s="18" t="s">
        <v>4290</v>
      </c>
      <c r="H472" s="33" t="s">
        <v>16</v>
      </c>
      <c r="I472" s="34" t="s">
        <v>372</v>
      </c>
      <c r="J472" s="9" t="str">
        <f t="shared" si="208"/>
        <v>Ninguno</v>
      </c>
      <c r="K472" s="9" t="str">
        <f t="shared" si="204"/>
        <v>Puntaje promedio y máximo</v>
      </c>
      <c r="L472" s="9" t="str">
        <f t="shared" si="205"/>
        <v>Año 2020</v>
      </c>
      <c r="M472" s="9" t="str">
        <f t="shared" si="206"/>
        <v>Puntaje</v>
      </c>
      <c r="N472" s="9" t="str">
        <f t="shared" si="207"/>
        <v>Agencia de Calidad de la Educación</v>
      </c>
      <c r="O472" s="20" t="str">
        <f>+"Mapa Puntaje Promedio y Máximo en prueba SIMCE de Lectura de 8vo Básico por Comuna en la "&amp;I472&amp;" para el "&amp;Agencia[[#This Row],[temporalidad]]</f>
        <v>Mapa Puntaje Promedio y Máximo en prueba SIMCE de Lectura de 8vo Básico por Comuna en la Región de Valparaíso para el Año 2020</v>
      </c>
      <c r="P472" s="112" t="s">
        <v>6235</v>
      </c>
      <c r="Q472" s="11" t="str">
        <f t="shared" si="195"/>
        <v>Mapa de calor</v>
      </c>
      <c r="R472" s="148" t="str">
        <f>Agencia[[#This Row],[territorio]]&amp;",educación básica,octavo básico,puntaje,lectura,promedio,máximo,lenguaje,"&amp;Agencia[[#This Row],[coleccion]]&amp;","&amp;Agencia[[#This Row],[sector]]&amp;","&amp;Agencia[[#This Row],[tema]]&amp;","&amp;Agencia[[#This Row],[contenido]]</f>
        <v>Región de Valparaíso,educación básica,octavo básico,puntaje,lectura,promedio,máximo,lenguaje,Agencia Información,Educación,SIMCE,Métricas de la Educación</v>
      </c>
      <c r="S472" s="83" t="str">
        <f>HYPERLINK("https://analytics.zoho.com/open-view/2395394000009042285?ZOHO_CRITERIA=%22Localiza%20CL%22.%22Codreg%22%3D"&amp;Agencia[[#This Row],[Filtro URL]])</f>
        <v>https://analytics.zoho.com/open-view/2395394000009042285?ZOHO_CRITERIA=%22Localiza%20CL%22.%22Codreg%22%3D5</v>
      </c>
      <c r="T472" s="108" t="str">
        <f>"100-C-"&amp;Agencia[[#This Row],[Filtro URL]]</f>
        <v>100-C-5</v>
      </c>
      <c r="U472" s="46" t="str">
        <f t="shared" si="196"/>
        <v>#1774B9</v>
      </c>
      <c r="V472" s="93" t="str">
        <f>+Agencia[[#This Row],[idcoleccion]]&amp;"-"&amp;Agencia[[#This Row],[id]]</f>
        <v>990-0461</v>
      </c>
      <c r="W472" s="93">
        <f>+VLOOKUP(Agencia[[#This Row],[Filtro URL]],Estructura!$X$4:$Y$500,2,0)</f>
        <v>99200005</v>
      </c>
      <c r="X472" s="93" t="str">
        <f>+VLOOKUP(Agencia[[#This Row],[tema]],Estructura!$A$4:$C$500,3,0)</f>
        <v>T-1032</v>
      </c>
      <c r="Y472" s="93" t="str">
        <f>+VLOOKUP(Agencia[[#This Row],[contenido]],Estructura!$E$4:$G$500,3,0)</f>
        <v>C-1018</v>
      </c>
      <c r="Z472" s="93" t="str">
        <f>+VLOOKUP(Agencia[[#This Row],[Filtro Integrado]],Estructura!$I$4:$K$500,3,0)</f>
        <v>FI-993</v>
      </c>
      <c r="AA472" s="93" t="str">
        <f>+VLOOKUP(Agencia[[#This Row],[Muestra]],Estructura!$M$4:$O$500,3,0)</f>
        <v>M-1062</v>
      </c>
    </row>
    <row r="473" spans="1:27" ht="57.6" x14ac:dyDescent="0.3">
      <c r="A473" s="21" t="s">
        <v>963</v>
      </c>
      <c r="B473" s="23">
        <f t="shared" si="181"/>
        <v>990</v>
      </c>
      <c r="C473" s="24" t="str">
        <f t="shared" si="182"/>
        <v>Agencia Información</v>
      </c>
      <c r="D473" s="72" t="str">
        <f t="shared" si="203"/>
        <v>Educación</v>
      </c>
      <c r="E473" s="19">
        <v>6</v>
      </c>
      <c r="F473" s="18" t="s">
        <v>1421</v>
      </c>
      <c r="G473" s="18" t="s">
        <v>4290</v>
      </c>
      <c r="H473" s="33" t="s">
        <v>16</v>
      </c>
      <c r="I473" s="34" t="s">
        <v>373</v>
      </c>
      <c r="J473" s="9" t="str">
        <f t="shared" si="208"/>
        <v>Ninguno</v>
      </c>
      <c r="K473" s="9" t="str">
        <f t="shared" si="204"/>
        <v>Puntaje promedio y máximo</v>
      </c>
      <c r="L473" s="9" t="str">
        <f t="shared" si="205"/>
        <v>Año 2020</v>
      </c>
      <c r="M473" s="9" t="str">
        <f t="shared" si="206"/>
        <v>Puntaje</v>
      </c>
      <c r="N473" s="9" t="str">
        <f t="shared" si="207"/>
        <v>Agencia de Calidad de la Educación</v>
      </c>
      <c r="O473" s="20" t="str">
        <f>+"Mapa Puntaje Promedio y Máximo en prueba SIMCE de Lectura de 8vo Básico por Comuna en la "&amp;I473&amp;" para el "&amp;Agencia[[#This Row],[temporalidad]]</f>
        <v>Mapa Puntaje Promedio y Máximo en prueba SIMCE de Lectura de 8vo Básico por Comuna en la Región de O'Higgins para el Año 2020</v>
      </c>
      <c r="P473" s="112" t="s">
        <v>6236</v>
      </c>
      <c r="Q473" s="11" t="str">
        <f t="shared" si="195"/>
        <v>Mapa de calor</v>
      </c>
      <c r="R473" s="148" t="str">
        <f>Agencia[[#This Row],[territorio]]&amp;",educación básica,octavo básico,puntaje,lectura,promedio,máximo,lenguaje,"&amp;Agencia[[#This Row],[coleccion]]&amp;","&amp;Agencia[[#This Row],[sector]]&amp;","&amp;Agencia[[#This Row],[tema]]&amp;","&amp;Agencia[[#This Row],[contenido]]</f>
        <v>Región de O'Higgins,educación básica,octavo básico,puntaje,lectura,promedio,máximo,lenguaje,Agencia Información,Educación,SIMCE,Métricas de la Educación</v>
      </c>
      <c r="S473" s="83" t="str">
        <f>HYPERLINK("https://analytics.zoho.com/open-view/2395394000009042285?ZOHO_CRITERIA=%22Localiza%20CL%22.%22Codreg%22%3D"&amp;Agencia[[#This Row],[Filtro URL]])</f>
        <v>https://analytics.zoho.com/open-view/2395394000009042285?ZOHO_CRITERIA=%22Localiza%20CL%22.%22Codreg%22%3D6</v>
      </c>
      <c r="T473" s="108" t="str">
        <f>"100-C-"&amp;Agencia[[#This Row],[Filtro URL]]</f>
        <v>100-C-6</v>
      </c>
      <c r="U473" s="46" t="str">
        <f t="shared" si="196"/>
        <v>#1774B9</v>
      </c>
      <c r="V473" s="93" t="str">
        <f>+Agencia[[#This Row],[idcoleccion]]&amp;"-"&amp;Agencia[[#This Row],[id]]</f>
        <v>990-0462</v>
      </c>
      <c r="W473" s="93">
        <f>+VLOOKUP(Agencia[[#This Row],[Filtro URL]],Estructura!$X$4:$Y$500,2,0)</f>
        <v>99200006</v>
      </c>
      <c r="X473" s="93" t="str">
        <f>+VLOOKUP(Agencia[[#This Row],[tema]],Estructura!$A$4:$C$500,3,0)</f>
        <v>T-1032</v>
      </c>
      <c r="Y473" s="93" t="str">
        <f>+VLOOKUP(Agencia[[#This Row],[contenido]],Estructura!$E$4:$G$500,3,0)</f>
        <v>C-1018</v>
      </c>
      <c r="Z473" s="93" t="str">
        <f>+VLOOKUP(Agencia[[#This Row],[Filtro Integrado]],Estructura!$I$4:$K$500,3,0)</f>
        <v>FI-993</v>
      </c>
      <c r="AA473" s="93" t="str">
        <f>+VLOOKUP(Agencia[[#This Row],[Muestra]],Estructura!$M$4:$O$500,3,0)</f>
        <v>M-1062</v>
      </c>
    </row>
    <row r="474" spans="1:27" ht="57.6" x14ac:dyDescent="0.3">
      <c r="A474" s="21" t="s">
        <v>964</v>
      </c>
      <c r="B474" s="23">
        <f t="shared" si="181"/>
        <v>990</v>
      </c>
      <c r="C474" s="24" t="str">
        <f t="shared" si="182"/>
        <v>Agencia Información</v>
      </c>
      <c r="D474" s="72" t="str">
        <f t="shared" si="203"/>
        <v>Educación</v>
      </c>
      <c r="E474" s="19">
        <v>7</v>
      </c>
      <c r="F474" s="18" t="s">
        <v>1421</v>
      </c>
      <c r="G474" s="18" t="s">
        <v>4290</v>
      </c>
      <c r="H474" s="33" t="s">
        <v>16</v>
      </c>
      <c r="I474" s="34" t="s">
        <v>374</v>
      </c>
      <c r="J474" s="9" t="str">
        <f t="shared" si="208"/>
        <v>Ninguno</v>
      </c>
      <c r="K474" s="9" t="str">
        <f t="shared" si="204"/>
        <v>Puntaje promedio y máximo</v>
      </c>
      <c r="L474" s="9" t="str">
        <f t="shared" si="205"/>
        <v>Año 2020</v>
      </c>
      <c r="M474" s="9" t="str">
        <f t="shared" si="206"/>
        <v>Puntaje</v>
      </c>
      <c r="N474" s="9" t="str">
        <f t="shared" si="207"/>
        <v>Agencia de Calidad de la Educación</v>
      </c>
      <c r="O474" s="20" t="str">
        <f>+"Mapa Puntaje Promedio y Máximo en prueba SIMCE de Lectura de 8vo Básico por Comuna en la "&amp;I474&amp;" para el "&amp;Agencia[[#This Row],[temporalidad]]</f>
        <v>Mapa Puntaje Promedio y Máximo en prueba SIMCE de Lectura de 8vo Básico por Comuna en la Región de Maule para el Año 2020</v>
      </c>
      <c r="P474" s="112" t="s">
        <v>6237</v>
      </c>
      <c r="Q474" s="11" t="str">
        <f t="shared" si="195"/>
        <v>Mapa de calor</v>
      </c>
      <c r="R474" s="148" t="str">
        <f>Agencia[[#This Row],[territorio]]&amp;",educación básica,octavo básico,puntaje,lectura,promedio,máximo,lenguaje,"&amp;Agencia[[#This Row],[coleccion]]&amp;","&amp;Agencia[[#This Row],[sector]]&amp;","&amp;Agencia[[#This Row],[tema]]&amp;","&amp;Agencia[[#This Row],[contenido]]</f>
        <v>Región de Maule,educación básica,octavo básico,puntaje,lectura,promedio,máximo,lenguaje,Agencia Información,Educación,SIMCE,Métricas de la Educación</v>
      </c>
      <c r="S474" s="83" t="str">
        <f>HYPERLINK("https://analytics.zoho.com/open-view/2395394000009042285?ZOHO_CRITERIA=%22Localiza%20CL%22.%22Codreg%22%3D"&amp;Agencia[[#This Row],[Filtro URL]])</f>
        <v>https://analytics.zoho.com/open-view/2395394000009042285?ZOHO_CRITERIA=%22Localiza%20CL%22.%22Codreg%22%3D7</v>
      </c>
      <c r="T474" s="108" t="str">
        <f>"100-C-"&amp;Agencia[[#This Row],[Filtro URL]]</f>
        <v>100-C-7</v>
      </c>
      <c r="U474" s="46" t="str">
        <f t="shared" si="196"/>
        <v>#1774B9</v>
      </c>
      <c r="V474" s="93" t="str">
        <f>+Agencia[[#This Row],[idcoleccion]]&amp;"-"&amp;Agencia[[#This Row],[id]]</f>
        <v>990-0463</v>
      </c>
      <c r="W474" s="93">
        <f>+VLOOKUP(Agencia[[#This Row],[Filtro URL]],Estructura!$X$4:$Y$500,2,0)</f>
        <v>99200007</v>
      </c>
      <c r="X474" s="93" t="str">
        <f>+VLOOKUP(Agencia[[#This Row],[tema]],Estructura!$A$4:$C$500,3,0)</f>
        <v>T-1032</v>
      </c>
      <c r="Y474" s="93" t="str">
        <f>+VLOOKUP(Agencia[[#This Row],[contenido]],Estructura!$E$4:$G$500,3,0)</f>
        <v>C-1018</v>
      </c>
      <c r="Z474" s="93" t="str">
        <f>+VLOOKUP(Agencia[[#This Row],[Filtro Integrado]],Estructura!$I$4:$K$500,3,0)</f>
        <v>FI-993</v>
      </c>
      <c r="AA474" s="93" t="str">
        <f>+VLOOKUP(Agencia[[#This Row],[Muestra]],Estructura!$M$4:$O$500,3,0)</f>
        <v>M-1062</v>
      </c>
    </row>
    <row r="475" spans="1:27" ht="57.6" x14ac:dyDescent="0.3">
      <c r="A475" s="21" t="s">
        <v>965</v>
      </c>
      <c r="B475" s="23">
        <f t="shared" si="181"/>
        <v>990</v>
      </c>
      <c r="C475" s="24" t="str">
        <f t="shared" si="182"/>
        <v>Agencia Información</v>
      </c>
      <c r="D475" s="72" t="str">
        <f t="shared" si="203"/>
        <v>Educación</v>
      </c>
      <c r="E475" s="19">
        <v>8</v>
      </c>
      <c r="F475" s="18" t="s">
        <v>1421</v>
      </c>
      <c r="G475" s="18" t="s">
        <v>4290</v>
      </c>
      <c r="H475" s="33" t="s">
        <v>16</v>
      </c>
      <c r="I475" s="34" t="s">
        <v>375</v>
      </c>
      <c r="J475" s="9" t="str">
        <f t="shared" si="208"/>
        <v>Ninguno</v>
      </c>
      <c r="K475" s="9" t="str">
        <f t="shared" si="204"/>
        <v>Puntaje promedio y máximo</v>
      </c>
      <c r="L475" s="9" t="str">
        <f t="shared" si="205"/>
        <v>Año 2020</v>
      </c>
      <c r="M475" s="9" t="str">
        <f t="shared" si="206"/>
        <v>Puntaje</v>
      </c>
      <c r="N475" s="9" t="str">
        <f t="shared" si="207"/>
        <v>Agencia de Calidad de la Educación</v>
      </c>
      <c r="O475" s="20" t="str">
        <f>+"Mapa Puntaje Promedio y Máximo en prueba SIMCE de Lectura de 8vo Básico por Comuna en la "&amp;I475&amp;" para el "&amp;Agencia[[#This Row],[temporalidad]]</f>
        <v>Mapa Puntaje Promedio y Máximo en prueba SIMCE de Lectura de 8vo Básico por Comuna en la Región del Biobío para el Año 2020</v>
      </c>
      <c r="P475" s="112" t="s">
        <v>6238</v>
      </c>
      <c r="Q475" s="11" t="str">
        <f t="shared" si="195"/>
        <v>Mapa de calor</v>
      </c>
      <c r="R475" s="148" t="str">
        <f>Agencia[[#This Row],[territorio]]&amp;",educación básica,octavo básico,puntaje,lectura,promedio,máximo,lenguaje,"&amp;Agencia[[#This Row],[coleccion]]&amp;","&amp;Agencia[[#This Row],[sector]]&amp;","&amp;Agencia[[#This Row],[tema]]&amp;","&amp;Agencia[[#This Row],[contenido]]</f>
        <v>Región del Biobío,educación básica,octavo básico,puntaje,lectura,promedio,máximo,lenguaje,Agencia Información,Educación,SIMCE,Métricas de la Educación</v>
      </c>
      <c r="S475" s="83" t="str">
        <f>HYPERLINK("https://analytics.zoho.com/open-view/2395394000009042285?ZOHO_CRITERIA=%22Localiza%20CL%22.%22Codreg%22%3D"&amp;Agencia[[#This Row],[Filtro URL]])</f>
        <v>https://analytics.zoho.com/open-view/2395394000009042285?ZOHO_CRITERIA=%22Localiza%20CL%22.%22Codreg%22%3D8</v>
      </c>
      <c r="T475" s="108" t="str">
        <f>"100-C-"&amp;Agencia[[#This Row],[Filtro URL]]</f>
        <v>100-C-8</v>
      </c>
      <c r="U475" s="46" t="str">
        <f t="shared" si="196"/>
        <v>#1774B9</v>
      </c>
      <c r="V475" s="93" t="str">
        <f>+Agencia[[#This Row],[idcoleccion]]&amp;"-"&amp;Agencia[[#This Row],[id]]</f>
        <v>990-0464</v>
      </c>
      <c r="W475" s="93">
        <f>+VLOOKUP(Agencia[[#This Row],[Filtro URL]],Estructura!$X$4:$Y$500,2,0)</f>
        <v>99200008</v>
      </c>
      <c r="X475" s="93" t="str">
        <f>+VLOOKUP(Agencia[[#This Row],[tema]],Estructura!$A$4:$C$500,3,0)</f>
        <v>T-1032</v>
      </c>
      <c r="Y475" s="93" t="str">
        <f>+VLOOKUP(Agencia[[#This Row],[contenido]],Estructura!$E$4:$G$500,3,0)</f>
        <v>C-1018</v>
      </c>
      <c r="Z475" s="93" t="str">
        <f>+VLOOKUP(Agencia[[#This Row],[Filtro Integrado]],Estructura!$I$4:$K$500,3,0)</f>
        <v>FI-993</v>
      </c>
      <c r="AA475" s="93" t="str">
        <f>+VLOOKUP(Agencia[[#This Row],[Muestra]],Estructura!$M$4:$O$500,3,0)</f>
        <v>M-1062</v>
      </c>
    </row>
    <row r="476" spans="1:27" ht="57.6" x14ac:dyDescent="0.3">
      <c r="A476" s="21" t="s">
        <v>966</v>
      </c>
      <c r="B476" s="23">
        <f t="shared" si="181"/>
        <v>990</v>
      </c>
      <c r="C476" s="24" t="str">
        <f t="shared" si="182"/>
        <v>Agencia Información</v>
      </c>
      <c r="D476" s="72" t="str">
        <f t="shared" si="203"/>
        <v>Educación</v>
      </c>
      <c r="E476" s="19">
        <v>9</v>
      </c>
      <c r="F476" s="18" t="s">
        <v>1421</v>
      </c>
      <c r="G476" s="18" t="s">
        <v>4290</v>
      </c>
      <c r="H476" s="33" t="s">
        <v>16</v>
      </c>
      <c r="I476" s="34" t="s">
        <v>376</v>
      </c>
      <c r="J476" s="9" t="str">
        <f t="shared" si="208"/>
        <v>Ninguno</v>
      </c>
      <c r="K476" s="9" t="str">
        <f t="shared" si="204"/>
        <v>Puntaje promedio y máximo</v>
      </c>
      <c r="L476" s="9" t="str">
        <f t="shared" si="205"/>
        <v>Año 2020</v>
      </c>
      <c r="M476" s="9" t="str">
        <f t="shared" si="206"/>
        <v>Puntaje</v>
      </c>
      <c r="N476" s="9" t="str">
        <f t="shared" si="207"/>
        <v>Agencia de Calidad de la Educación</v>
      </c>
      <c r="O476" s="20" t="str">
        <f>+"Mapa Puntaje Promedio y Máximo en prueba SIMCE de Lectura de 8vo Básico por Comuna en la "&amp;I476&amp;" para el "&amp;Agencia[[#This Row],[temporalidad]]</f>
        <v>Mapa Puntaje Promedio y Máximo en prueba SIMCE de Lectura de 8vo Básico por Comuna en la Región de La Araucanía para el Año 2020</v>
      </c>
      <c r="P476" s="112" t="s">
        <v>6239</v>
      </c>
      <c r="Q476" s="11" t="str">
        <f t="shared" si="195"/>
        <v>Mapa de calor</v>
      </c>
      <c r="R476" s="148" t="str">
        <f>Agencia[[#This Row],[territorio]]&amp;",educación básica,octavo básico,puntaje,lectura,promedio,máximo,lenguaje,"&amp;Agencia[[#This Row],[coleccion]]&amp;","&amp;Agencia[[#This Row],[sector]]&amp;","&amp;Agencia[[#This Row],[tema]]&amp;","&amp;Agencia[[#This Row],[contenido]]</f>
        <v>Región de La Araucanía,educación básica,octavo básico,puntaje,lectura,promedio,máximo,lenguaje,Agencia Información,Educación,SIMCE,Métricas de la Educación</v>
      </c>
      <c r="S476" s="83" t="str">
        <f>HYPERLINK("https://analytics.zoho.com/open-view/2395394000009042285?ZOHO_CRITERIA=%22Localiza%20CL%22.%22Codreg%22%3D"&amp;Agencia[[#This Row],[Filtro URL]])</f>
        <v>https://analytics.zoho.com/open-view/2395394000009042285?ZOHO_CRITERIA=%22Localiza%20CL%22.%22Codreg%22%3D9</v>
      </c>
      <c r="T476" s="108" t="str">
        <f>"100-C-"&amp;Agencia[[#This Row],[Filtro URL]]</f>
        <v>100-C-9</v>
      </c>
      <c r="U476" s="46" t="str">
        <f t="shared" si="196"/>
        <v>#1774B9</v>
      </c>
      <c r="V476" s="93" t="str">
        <f>+Agencia[[#This Row],[idcoleccion]]&amp;"-"&amp;Agencia[[#This Row],[id]]</f>
        <v>990-0465</v>
      </c>
      <c r="W476" s="93">
        <f>+VLOOKUP(Agencia[[#This Row],[Filtro URL]],Estructura!$X$4:$Y$500,2,0)</f>
        <v>99200009</v>
      </c>
      <c r="X476" s="93" t="str">
        <f>+VLOOKUP(Agencia[[#This Row],[tema]],Estructura!$A$4:$C$500,3,0)</f>
        <v>T-1032</v>
      </c>
      <c r="Y476" s="93" t="str">
        <f>+VLOOKUP(Agencia[[#This Row],[contenido]],Estructura!$E$4:$G$500,3,0)</f>
        <v>C-1018</v>
      </c>
      <c r="Z476" s="93" t="str">
        <f>+VLOOKUP(Agencia[[#This Row],[Filtro Integrado]],Estructura!$I$4:$K$500,3,0)</f>
        <v>FI-993</v>
      </c>
      <c r="AA476" s="93" t="str">
        <f>+VLOOKUP(Agencia[[#This Row],[Muestra]],Estructura!$M$4:$O$500,3,0)</f>
        <v>M-1062</v>
      </c>
    </row>
    <row r="477" spans="1:27" ht="57.6" x14ac:dyDescent="0.3">
      <c r="A477" s="21" t="s">
        <v>967</v>
      </c>
      <c r="B477" s="23">
        <f t="shared" si="181"/>
        <v>990</v>
      </c>
      <c r="C477" s="24" t="str">
        <f t="shared" si="182"/>
        <v>Agencia Información</v>
      </c>
      <c r="D477" s="72" t="str">
        <f t="shared" si="203"/>
        <v>Educación</v>
      </c>
      <c r="E477" s="19">
        <v>10</v>
      </c>
      <c r="F477" s="18" t="s">
        <v>1421</v>
      </c>
      <c r="G477" s="18" t="s">
        <v>4290</v>
      </c>
      <c r="H477" s="33" t="s">
        <v>16</v>
      </c>
      <c r="I477" s="34" t="s">
        <v>377</v>
      </c>
      <c r="J477" s="9" t="str">
        <f t="shared" si="208"/>
        <v>Ninguno</v>
      </c>
      <c r="K477" s="9" t="str">
        <f t="shared" si="204"/>
        <v>Puntaje promedio y máximo</v>
      </c>
      <c r="L477" s="9" t="str">
        <f t="shared" si="205"/>
        <v>Año 2020</v>
      </c>
      <c r="M477" s="9" t="str">
        <f t="shared" si="206"/>
        <v>Puntaje</v>
      </c>
      <c r="N477" s="9" t="str">
        <f t="shared" si="207"/>
        <v>Agencia de Calidad de la Educación</v>
      </c>
      <c r="O477" s="20" t="str">
        <f>+"Mapa Puntaje Promedio y Máximo en prueba SIMCE de Lectura de 8vo Básico por Comuna en la "&amp;I477&amp;" para el "&amp;Agencia[[#This Row],[temporalidad]]</f>
        <v>Mapa Puntaje Promedio y Máximo en prueba SIMCE de Lectura de 8vo Básico por Comuna en la Región de Los Lagos para el Año 2020</v>
      </c>
      <c r="P477" s="112" t="s">
        <v>6240</v>
      </c>
      <c r="Q477" s="11" t="str">
        <f t="shared" si="195"/>
        <v>Mapa de calor</v>
      </c>
      <c r="R477" s="148" t="str">
        <f>Agencia[[#This Row],[territorio]]&amp;",educación básica,octavo básico,puntaje,lectura,promedio,máximo,lenguaje,"&amp;Agencia[[#This Row],[coleccion]]&amp;","&amp;Agencia[[#This Row],[sector]]&amp;","&amp;Agencia[[#This Row],[tema]]&amp;","&amp;Agencia[[#This Row],[contenido]]</f>
        <v>Región de Los Lagos,educación básica,octavo básico,puntaje,lectura,promedio,máximo,lenguaje,Agencia Información,Educación,SIMCE,Métricas de la Educación</v>
      </c>
      <c r="S477" s="83" t="str">
        <f>HYPERLINK("https://analytics.zoho.com/open-view/2395394000009042285?ZOHO_CRITERIA=%22Localiza%20CL%22.%22Codreg%22%3D"&amp;Agencia[[#This Row],[Filtro URL]])</f>
        <v>https://analytics.zoho.com/open-view/2395394000009042285?ZOHO_CRITERIA=%22Localiza%20CL%22.%22Codreg%22%3D10</v>
      </c>
      <c r="T477" s="108" t="str">
        <f>"100-C-"&amp;Agencia[[#This Row],[Filtro URL]]</f>
        <v>100-C-10</v>
      </c>
      <c r="U477" s="46" t="str">
        <f t="shared" si="196"/>
        <v>#1774B9</v>
      </c>
      <c r="V477" s="93" t="str">
        <f>+Agencia[[#This Row],[idcoleccion]]&amp;"-"&amp;Agencia[[#This Row],[id]]</f>
        <v>990-0466</v>
      </c>
      <c r="W477" s="93">
        <f>+VLOOKUP(Agencia[[#This Row],[Filtro URL]],Estructura!$X$4:$Y$500,2,0)</f>
        <v>99200010</v>
      </c>
      <c r="X477" s="93" t="str">
        <f>+VLOOKUP(Agencia[[#This Row],[tema]],Estructura!$A$4:$C$500,3,0)</f>
        <v>T-1032</v>
      </c>
      <c r="Y477" s="93" t="str">
        <f>+VLOOKUP(Agencia[[#This Row],[contenido]],Estructura!$E$4:$G$500,3,0)</f>
        <v>C-1018</v>
      </c>
      <c r="Z477" s="93" t="str">
        <f>+VLOOKUP(Agencia[[#This Row],[Filtro Integrado]],Estructura!$I$4:$K$500,3,0)</f>
        <v>FI-993</v>
      </c>
      <c r="AA477" s="93" t="str">
        <f>+VLOOKUP(Agencia[[#This Row],[Muestra]],Estructura!$M$4:$O$500,3,0)</f>
        <v>M-1062</v>
      </c>
    </row>
    <row r="478" spans="1:27" ht="57.6" x14ac:dyDescent="0.3">
      <c r="A478" s="21" t="s">
        <v>968</v>
      </c>
      <c r="B478" s="23">
        <f t="shared" ref="B478:B541" si="209">+B477</f>
        <v>990</v>
      </c>
      <c r="C478" s="24" t="str">
        <f t="shared" si="182"/>
        <v>Agencia Información</v>
      </c>
      <c r="D478" s="72" t="str">
        <f t="shared" si="203"/>
        <v>Educación</v>
      </c>
      <c r="E478" s="19">
        <v>11</v>
      </c>
      <c r="F478" s="18" t="s">
        <v>1421</v>
      </c>
      <c r="G478" s="18" t="s">
        <v>4290</v>
      </c>
      <c r="H478" s="33" t="s">
        <v>16</v>
      </c>
      <c r="I478" s="34" t="s">
        <v>378</v>
      </c>
      <c r="J478" s="9" t="str">
        <f t="shared" si="208"/>
        <v>Ninguno</v>
      </c>
      <c r="K478" s="9" t="str">
        <f t="shared" si="204"/>
        <v>Puntaje promedio y máximo</v>
      </c>
      <c r="L478" s="9" t="str">
        <f t="shared" si="205"/>
        <v>Año 2020</v>
      </c>
      <c r="M478" s="9" t="str">
        <f t="shared" si="206"/>
        <v>Puntaje</v>
      </c>
      <c r="N478" s="9" t="str">
        <f t="shared" si="207"/>
        <v>Agencia de Calidad de la Educación</v>
      </c>
      <c r="O478" s="20" t="str">
        <f>+"Mapa Puntaje Promedio y Máximo en prueba SIMCE de Lectura de 8vo Básico por Comuna en la "&amp;I478&amp;" para el "&amp;Agencia[[#This Row],[temporalidad]]</f>
        <v>Mapa Puntaje Promedio y Máximo en prueba SIMCE de Lectura de 8vo Básico por Comuna en la Región de Aysén para el Año 2020</v>
      </c>
      <c r="P478" s="112" t="s">
        <v>6241</v>
      </c>
      <c r="Q478" s="11" t="str">
        <f t="shared" si="195"/>
        <v>Mapa de calor</v>
      </c>
      <c r="R478" s="148" t="str">
        <f>Agencia[[#This Row],[territorio]]&amp;",educación básica,octavo básico,puntaje,lectura,promedio,máximo,lenguaje,"&amp;Agencia[[#This Row],[coleccion]]&amp;","&amp;Agencia[[#This Row],[sector]]&amp;","&amp;Agencia[[#This Row],[tema]]&amp;","&amp;Agencia[[#This Row],[contenido]]</f>
        <v>Región de Aysén,educación básica,octavo básico,puntaje,lectura,promedio,máximo,lenguaje,Agencia Información,Educación,SIMCE,Métricas de la Educación</v>
      </c>
      <c r="S478" s="83" t="str">
        <f>HYPERLINK("https://analytics.zoho.com/open-view/2395394000009042285?ZOHO_CRITERIA=%22Localiza%20CL%22.%22Codreg%22%3D"&amp;Agencia[[#This Row],[Filtro URL]])</f>
        <v>https://analytics.zoho.com/open-view/2395394000009042285?ZOHO_CRITERIA=%22Localiza%20CL%22.%22Codreg%22%3D11</v>
      </c>
      <c r="T478" s="108" t="str">
        <f>"100-C-"&amp;Agencia[[#This Row],[Filtro URL]]</f>
        <v>100-C-11</v>
      </c>
      <c r="U478" s="46" t="str">
        <f t="shared" si="196"/>
        <v>#1774B9</v>
      </c>
      <c r="V478" s="93" t="str">
        <f>+Agencia[[#This Row],[idcoleccion]]&amp;"-"&amp;Agencia[[#This Row],[id]]</f>
        <v>990-0467</v>
      </c>
      <c r="W478" s="93">
        <f>+VLOOKUP(Agencia[[#This Row],[Filtro URL]],Estructura!$X$4:$Y$500,2,0)</f>
        <v>99200011</v>
      </c>
      <c r="X478" s="93" t="str">
        <f>+VLOOKUP(Agencia[[#This Row],[tema]],Estructura!$A$4:$C$500,3,0)</f>
        <v>T-1032</v>
      </c>
      <c r="Y478" s="93" t="str">
        <f>+VLOOKUP(Agencia[[#This Row],[contenido]],Estructura!$E$4:$G$500,3,0)</f>
        <v>C-1018</v>
      </c>
      <c r="Z478" s="93" t="str">
        <f>+VLOOKUP(Agencia[[#This Row],[Filtro Integrado]],Estructura!$I$4:$K$500,3,0)</f>
        <v>FI-993</v>
      </c>
      <c r="AA478" s="93" t="str">
        <f>+VLOOKUP(Agencia[[#This Row],[Muestra]],Estructura!$M$4:$O$500,3,0)</f>
        <v>M-1062</v>
      </c>
    </row>
    <row r="479" spans="1:27" ht="57.6" x14ac:dyDescent="0.3">
      <c r="A479" s="21" t="s">
        <v>969</v>
      </c>
      <c r="B479" s="23">
        <f t="shared" si="209"/>
        <v>990</v>
      </c>
      <c r="C479" s="24" t="str">
        <f t="shared" ref="C479:C542" si="210">+C478</f>
        <v>Agencia Información</v>
      </c>
      <c r="D479" s="72" t="str">
        <f t="shared" si="203"/>
        <v>Educación</v>
      </c>
      <c r="E479" s="19">
        <v>12</v>
      </c>
      <c r="F479" s="18" t="s">
        <v>1421</v>
      </c>
      <c r="G479" s="18" t="s">
        <v>4290</v>
      </c>
      <c r="H479" s="33" t="s">
        <v>16</v>
      </c>
      <c r="I479" s="34" t="s">
        <v>379</v>
      </c>
      <c r="J479" s="9" t="str">
        <f t="shared" si="208"/>
        <v>Ninguno</v>
      </c>
      <c r="K479" s="9" t="str">
        <f t="shared" si="204"/>
        <v>Puntaje promedio y máximo</v>
      </c>
      <c r="L479" s="9" t="str">
        <f t="shared" si="205"/>
        <v>Año 2020</v>
      </c>
      <c r="M479" s="9" t="str">
        <f t="shared" si="206"/>
        <v>Puntaje</v>
      </c>
      <c r="N479" s="9" t="str">
        <f t="shared" si="207"/>
        <v>Agencia de Calidad de la Educación</v>
      </c>
      <c r="O479" s="20" t="str">
        <f>+"Mapa Puntaje Promedio y Máximo en prueba SIMCE de Lectura de 8vo Básico por Comuna en la "&amp;I479&amp;" para el "&amp;Agencia[[#This Row],[temporalidad]]</f>
        <v>Mapa Puntaje Promedio y Máximo en prueba SIMCE de Lectura de 8vo Básico por Comuna en la Región de Magallanes para el Año 2020</v>
      </c>
      <c r="P479" s="112" t="s">
        <v>6242</v>
      </c>
      <c r="Q479" s="11" t="str">
        <f t="shared" si="195"/>
        <v>Mapa de calor</v>
      </c>
      <c r="R479" s="148" t="str">
        <f>Agencia[[#This Row],[territorio]]&amp;",educación básica,octavo básico,puntaje,lectura,promedio,máximo,lenguaje,"&amp;Agencia[[#This Row],[coleccion]]&amp;","&amp;Agencia[[#This Row],[sector]]&amp;","&amp;Agencia[[#This Row],[tema]]&amp;","&amp;Agencia[[#This Row],[contenido]]</f>
        <v>Región de Magallanes,educación básica,octavo básico,puntaje,lectura,promedio,máximo,lenguaje,Agencia Información,Educación,SIMCE,Métricas de la Educación</v>
      </c>
      <c r="S479" s="83" t="str">
        <f>HYPERLINK("https://analytics.zoho.com/open-view/2395394000009042285?ZOHO_CRITERIA=%22Localiza%20CL%22.%22Codreg%22%3D"&amp;Agencia[[#This Row],[Filtro URL]])</f>
        <v>https://analytics.zoho.com/open-view/2395394000009042285?ZOHO_CRITERIA=%22Localiza%20CL%22.%22Codreg%22%3D12</v>
      </c>
      <c r="T479" s="108" t="str">
        <f>"100-C-"&amp;Agencia[[#This Row],[Filtro URL]]</f>
        <v>100-C-12</v>
      </c>
      <c r="U479" s="46" t="str">
        <f t="shared" si="196"/>
        <v>#1774B9</v>
      </c>
      <c r="V479" s="93" t="str">
        <f>+Agencia[[#This Row],[idcoleccion]]&amp;"-"&amp;Agencia[[#This Row],[id]]</f>
        <v>990-0468</v>
      </c>
      <c r="W479" s="93">
        <f>+VLOOKUP(Agencia[[#This Row],[Filtro URL]],Estructura!$X$4:$Y$500,2,0)</f>
        <v>99200012</v>
      </c>
      <c r="X479" s="93" t="str">
        <f>+VLOOKUP(Agencia[[#This Row],[tema]],Estructura!$A$4:$C$500,3,0)</f>
        <v>T-1032</v>
      </c>
      <c r="Y479" s="93" t="str">
        <f>+VLOOKUP(Agencia[[#This Row],[contenido]],Estructura!$E$4:$G$500,3,0)</f>
        <v>C-1018</v>
      </c>
      <c r="Z479" s="93" t="str">
        <f>+VLOOKUP(Agencia[[#This Row],[Filtro Integrado]],Estructura!$I$4:$K$500,3,0)</f>
        <v>FI-993</v>
      </c>
      <c r="AA479" s="93" t="str">
        <f>+VLOOKUP(Agencia[[#This Row],[Muestra]],Estructura!$M$4:$O$500,3,0)</f>
        <v>M-1062</v>
      </c>
    </row>
    <row r="480" spans="1:27" ht="57.6" x14ac:dyDescent="0.3">
      <c r="A480" s="21" t="s">
        <v>970</v>
      </c>
      <c r="B480" s="23">
        <f t="shared" si="209"/>
        <v>990</v>
      </c>
      <c r="C480" s="24" t="str">
        <f t="shared" si="210"/>
        <v>Agencia Información</v>
      </c>
      <c r="D480" s="72" t="str">
        <f t="shared" si="203"/>
        <v>Educación</v>
      </c>
      <c r="E480" s="19">
        <v>13</v>
      </c>
      <c r="F480" s="18" t="s">
        <v>1421</v>
      </c>
      <c r="G480" s="18" t="s">
        <v>4290</v>
      </c>
      <c r="H480" s="33" t="s">
        <v>16</v>
      </c>
      <c r="I480" s="34" t="s">
        <v>380</v>
      </c>
      <c r="J480" s="9" t="str">
        <f t="shared" si="208"/>
        <v>Ninguno</v>
      </c>
      <c r="K480" s="9" t="str">
        <f t="shared" si="204"/>
        <v>Puntaje promedio y máximo</v>
      </c>
      <c r="L480" s="9" t="str">
        <f t="shared" si="205"/>
        <v>Año 2020</v>
      </c>
      <c r="M480" s="9" t="str">
        <f t="shared" si="206"/>
        <v>Puntaje</v>
      </c>
      <c r="N480" s="9" t="str">
        <f t="shared" si="207"/>
        <v>Agencia de Calidad de la Educación</v>
      </c>
      <c r="O480" s="20" t="str">
        <f>+"Mapa Puntaje Promedio y Máximo en prueba SIMCE de Lectura de 8vo Básico por Comuna en la "&amp;I480&amp;" para el "&amp;Agencia[[#This Row],[temporalidad]]</f>
        <v>Mapa Puntaje Promedio y Máximo en prueba SIMCE de Lectura de 8vo Básico por Comuna en la Región Metropolitana para el Año 2020</v>
      </c>
      <c r="P480" s="112" t="s">
        <v>6243</v>
      </c>
      <c r="Q480" s="11" t="str">
        <f t="shared" si="195"/>
        <v>Mapa de calor</v>
      </c>
      <c r="R480" s="148" t="str">
        <f>Agencia[[#This Row],[territorio]]&amp;",educación básica,octavo básico,puntaje,lectura,promedio,máximo,lenguaje,"&amp;Agencia[[#This Row],[coleccion]]&amp;","&amp;Agencia[[#This Row],[sector]]&amp;","&amp;Agencia[[#This Row],[tema]]&amp;","&amp;Agencia[[#This Row],[contenido]]</f>
        <v>Región Metropolitana,educación básica,octavo básico,puntaje,lectura,promedio,máximo,lenguaje,Agencia Información,Educación,SIMCE,Métricas de la Educación</v>
      </c>
      <c r="S480" s="83" t="str">
        <f>HYPERLINK("https://analytics.zoho.com/open-view/2395394000009042285?ZOHO_CRITERIA=%22Localiza%20CL%22.%22Codreg%22%3D"&amp;Agencia[[#This Row],[Filtro URL]])</f>
        <v>https://analytics.zoho.com/open-view/2395394000009042285?ZOHO_CRITERIA=%22Localiza%20CL%22.%22Codreg%22%3D13</v>
      </c>
      <c r="T480" s="111" t="str">
        <f>"200-C-"&amp;Agencia[[#This Row],[Filtro URL]]</f>
        <v>200-C-13</v>
      </c>
      <c r="U480" s="46" t="str">
        <f t="shared" si="196"/>
        <v>#1774B9</v>
      </c>
      <c r="V480" s="93" t="str">
        <f>+Agencia[[#This Row],[idcoleccion]]&amp;"-"&amp;Agencia[[#This Row],[id]]</f>
        <v>990-0469</v>
      </c>
      <c r="W480" s="93">
        <f>+VLOOKUP(Agencia[[#This Row],[Filtro URL]],Estructura!$X$4:$Y$500,2,0)</f>
        <v>99200013</v>
      </c>
      <c r="X480" s="93" t="str">
        <f>+VLOOKUP(Agencia[[#This Row],[tema]],Estructura!$A$4:$C$500,3,0)</f>
        <v>T-1032</v>
      </c>
      <c r="Y480" s="93" t="str">
        <f>+VLOOKUP(Agencia[[#This Row],[contenido]],Estructura!$E$4:$G$500,3,0)</f>
        <v>C-1018</v>
      </c>
      <c r="Z480" s="93" t="str">
        <f>+VLOOKUP(Agencia[[#This Row],[Filtro Integrado]],Estructura!$I$4:$K$500,3,0)</f>
        <v>FI-993</v>
      </c>
      <c r="AA480" s="93" t="str">
        <f>+VLOOKUP(Agencia[[#This Row],[Muestra]],Estructura!$M$4:$O$500,3,0)</f>
        <v>M-1062</v>
      </c>
    </row>
    <row r="481" spans="1:27" ht="57.6" x14ac:dyDescent="0.3">
      <c r="A481" s="21" t="s">
        <v>971</v>
      </c>
      <c r="B481" s="23">
        <f t="shared" si="209"/>
        <v>990</v>
      </c>
      <c r="C481" s="24" t="str">
        <f t="shared" si="210"/>
        <v>Agencia Información</v>
      </c>
      <c r="D481" s="72" t="str">
        <f t="shared" si="203"/>
        <v>Educación</v>
      </c>
      <c r="E481" s="19">
        <v>14</v>
      </c>
      <c r="F481" s="18" t="s">
        <v>1421</v>
      </c>
      <c r="G481" s="18" t="s">
        <v>4290</v>
      </c>
      <c r="H481" s="33" t="s">
        <v>16</v>
      </c>
      <c r="I481" s="34" t="s">
        <v>381</v>
      </c>
      <c r="J481" s="9" t="str">
        <f t="shared" si="208"/>
        <v>Ninguno</v>
      </c>
      <c r="K481" s="9" t="str">
        <f t="shared" si="204"/>
        <v>Puntaje promedio y máximo</v>
      </c>
      <c r="L481" s="9" t="str">
        <f t="shared" si="205"/>
        <v>Año 2020</v>
      </c>
      <c r="M481" s="9" t="str">
        <f t="shared" si="206"/>
        <v>Puntaje</v>
      </c>
      <c r="N481" s="9" t="str">
        <f t="shared" si="207"/>
        <v>Agencia de Calidad de la Educación</v>
      </c>
      <c r="O481" s="20" t="str">
        <f>+"Mapa Puntaje Promedio y Máximo en prueba SIMCE de Lectura de 8vo Básico por Comuna en la "&amp;I481&amp;" para el "&amp;Agencia[[#This Row],[temporalidad]]</f>
        <v>Mapa Puntaje Promedio y Máximo en prueba SIMCE de Lectura de 8vo Básico por Comuna en la Región de Los Ríos para el Año 2020</v>
      </c>
      <c r="P481" s="112" t="s">
        <v>6244</v>
      </c>
      <c r="Q481" s="11" t="str">
        <f t="shared" si="195"/>
        <v>Mapa de calor</v>
      </c>
      <c r="R481" s="148" t="str">
        <f>Agencia[[#This Row],[territorio]]&amp;",educación básica,octavo básico,puntaje,lectura,promedio,máximo,lenguaje,"&amp;Agencia[[#This Row],[coleccion]]&amp;","&amp;Agencia[[#This Row],[sector]]&amp;","&amp;Agencia[[#This Row],[tema]]&amp;","&amp;Agencia[[#This Row],[contenido]]</f>
        <v>Región de Los Ríos,educación básica,octavo básico,puntaje,lectura,promedio,máximo,lenguaje,Agencia Información,Educación,SIMCE,Métricas de la Educación</v>
      </c>
      <c r="S481" s="83" t="str">
        <f>HYPERLINK("https://analytics.zoho.com/open-view/2395394000009042285?ZOHO_CRITERIA=%22Localiza%20CL%22.%22Codreg%22%3D"&amp;Agencia[[#This Row],[Filtro URL]])</f>
        <v>https://analytics.zoho.com/open-view/2395394000009042285?ZOHO_CRITERIA=%22Localiza%20CL%22.%22Codreg%22%3D14</v>
      </c>
      <c r="T481" s="108" t="str">
        <f>"100-C-"&amp;Agencia[[#This Row],[Filtro URL]]</f>
        <v>100-C-14</v>
      </c>
      <c r="U481" s="46" t="str">
        <f t="shared" si="196"/>
        <v>#1774B9</v>
      </c>
      <c r="V481" s="93" t="str">
        <f>+Agencia[[#This Row],[idcoleccion]]&amp;"-"&amp;Agencia[[#This Row],[id]]</f>
        <v>990-0470</v>
      </c>
      <c r="W481" s="93">
        <f>+VLOOKUP(Agencia[[#This Row],[Filtro URL]],Estructura!$X$4:$Y$500,2,0)</f>
        <v>99200014</v>
      </c>
      <c r="X481" s="93" t="str">
        <f>+VLOOKUP(Agencia[[#This Row],[tema]],Estructura!$A$4:$C$500,3,0)</f>
        <v>T-1032</v>
      </c>
      <c r="Y481" s="93" t="str">
        <f>+VLOOKUP(Agencia[[#This Row],[contenido]],Estructura!$E$4:$G$500,3,0)</f>
        <v>C-1018</v>
      </c>
      <c r="Z481" s="93" t="str">
        <f>+VLOOKUP(Agencia[[#This Row],[Filtro Integrado]],Estructura!$I$4:$K$500,3,0)</f>
        <v>FI-993</v>
      </c>
      <c r="AA481" s="93" t="str">
        <f>+VLOOKUP(Agencia[[#This Row],[Muestra]],Estructura!$M$4:$O$500,3,0)</f>
        <v>M-1062</v>
      </c>
    </row>
    <row r="482" spans="1:27" ht="61.2" x14ac:dyDescent="0.3">
      <c r="A482" s="21" t="s">
        <v>972</v>
      </c>
      <c r="B482" s="23">
        <f t="shared" si="209"/>
        <v>990</v>
      </c>
      <c r="C482" s="24" t="str">
        <f t="shared" si="210"/>
        <v>Agencia Información</v>
      </c>
      <c r="D482" s="72" t="str">
        <f t="shared" si="203"/>
        <v>Educación</v>
      </c>
      <c r="E482" s="19">
        <v>15</v>
      </c>
      <c r="F482" s="18" t="s">
        <v>1421</v>
      </c>
      <c r="G482" s="18" t="s">
        <v>4290</v>
      </c>
      <c r="H482" s="33" t="s">
        <v>16</v>
      </c>
      <c r="I482" s="34" t="s">
        <v>382</v>
      </c>
      <c r="J482" s="9" t="str">
        <f t="shared" si="208"/>
        <v>Ninguno</v>
      </c>
      <c r="K482" s="9" t="str">
        <f t="shared" si="204"/>
        <v>Puntaje promedio y máximo</v>
      </c>
      <c r="L482" s="9" t="str">
        <f t="shared" si="205"/>
        <v>Año 2020</v>
      </c>
      <c r="M482" s="9" t="str">
        <f t="shared" si="206"/>
        <v>Puntaje</v>
      </c>
      <c r="N482" s="9" t="str">
        <f t="shared" si="207"/>
        <v>Agencia de Calidad de la Educación</v>
      </c>
      <c r="O482" s="20" t="str">
        <f>+"Mapa Puntaje Promedio y Máximo en prueba SIMCE de Lectura de 8vo Básico por Comuna en la "&amp;I482&amp;" para el "&amp;Agencia[[#This Row],[temporalidad]]</f>
        <v>Mapa Puntaje Promedio y Máximo en prueba SIMCE de Lectura de 8vo Básico por Comuna en la Región de Arica y Parinacota para el Año 2020</v>
      </c>
      <c r="P482" s="112" t="s">
        <v>6245</v>
      </c>
      <c r="Q482" s="11" t="str">
        <f t="shared" si="195"/>
        <v>Mapa de calor</v>
      </c>
      <c r="R482" s="148" t="str">
        <f>Agencia[[#This Row],[territorio]]&amp;",educación básica,octavo básico,puntaje,lectura,promedio,máximo,lenguaje,"&amp;Agencia[[#This Row],[coleccion]]&amp;","&amp;Agencia[[#This Row],[sector]]&amp;","&amp;Agencia[[#This Row],[tema]]&amp;","&amp;Agencia[[#This Row],[contenido]]</f>
        <v>Región de Arica y Parinacota,educación básica,octavo básico,puntaje,lectura,promedio,máximo,lenguaje,Agencia Información,Educación,SIMCE,Métricas de la Educación</v>
      </c>
      <c r="S482" s="83" t="str">
        <f>HYPERLINK("https://analytics.zoho.com/open-view/2395394000009042285?ZOHO_CRITERIA=%22Localiza%20CL%22.%22Codreg%22%3D"&amp;Agencia[[#This Row],[Filtro URL]])</f>
        <v>https://analytics.zoho.com/open-view/2395394000009042285?ZOHO_CRITERIA=%22Localiza%20CL%22.%22Codreg%22%3D15</v>
      </c>
      <c r="T482" s="108" t="str">
        <f>"100-C-"&amp;Agencia[[#This Row],[Filtro URL]]</f>
        <v>100-C-15</v>
      </c>
      <c r="U482" s="46" t="str">
        <f t="shared" si="196"/>
        <v>#1774B9</v>
      </c>
      <c r="V482" s="93" t="str">
        <f>+Agencia[[#This Row],[idcoleccion]]&amp;"-"&amp;Agencia[[#This Row],[id]]</f>
        <v>990-0471</v>
      </c>
      <c r="W482" s="93">
        <f>+VLOOKUP(Agencia[[#This Row],[Filtro URL]],Estructura!$X$4:$Y$500,2,0)</f>
        <v>99200015</v>
      </c>
      <c r="X482" s="93" t="str">
        <f>+VLOOKUP(Agencia[[#This Row],[tema]],Estructura!$A$4:$C$500,3,0)</f>
        <v>T-1032</v>
      </c>
      <c r="Y482" s="93" t="str">
        <f>+VLOOKUP(Agencia[[#This Row],[contenido]],Estructura!$E$4:$G$500,3,0)</f>
        <v>C-1018</v>
      </c>
      <c r="Z482" s="93" t="str">
        <f>+VLOOKUP(Agencia[[#This Row],[Filtro Integrado]],Estructura!$I$4:$K$500,3,0)</f>
        <v>FI-993</v>
      </c>
      <c r="AA482" s="93" t="str">
        <f>+VLOOKUP(Agencia[[#This Row],[Muestra]],Estructura!$M$4:$O$500,3,0)</f>
        <v>M-1062</v>
      </c>
    </row>
    <row r="483" spans="1:27" ht="57.6" x14ac:dyDescent="0.3">
      <c r="A483" s="21" t="s">
        <v>973</v>
      </c>
      <c r="B483" s="23">
        <f t="shared" si="209"/>
        <v>990</v>
      </c>
      <c r="C483" s="24" t="str">
        <f t="shared" si="210"/>
        <v>Agencia Información</v>
      </c>
      <c r="D483" s="72" t="str">
        <f t="shared" si="203"/>
        <v>Educación</v>
      </c>
      <c r="E483" s="19">
        <v>16</v>
      </c>
      <c r="F483" s="18" t="s">
        <v>1421</v>
      </c>
      <c r="G483" s="18" t="s">
        <v>4290</v>
      </c>
      <c r="H483" s="33" t="s">
        <v>16</v>
      </c>
      <c r="I483" s="34" t="s">
        <v>383</v>
      </c>
      <c r="J483" s="9" t="str">
        <f t="shared" si="208"/>
        <v>Ninguno</v>
      </c>
      <c r="K483" s="9" t="str">
        <f t="shared" si="204"/>
        <v>Puntaje promedio y máximo</v>
      </c>
      <c r="L483" s="9" t="str">
        <f t="shared" si="205"/>
        <v>Año 2020</v>
      </c>
      <c r="M483" s="9" t="str">
        <f t="shared" si="206"/>
        <v>Puntaje</v>
      </c>
      <c r="N483" s="9" t="str">
        <f t="shared" si="207"/>
        <v>Agencia de Calidad de la Educación</v>
      </c>
      <c r="O483" s="20" t="str">
        <f>+"Mapa Puntaje Promedio y Máximo en prueba SIMCE de Lectura de 8vo Básico por Comuna en la "&amp;I483&amp;" para el "&amp;Agencia[[#This Row],[temporalidad]]</f>
        <v>Mapa Puntaje Promedio y Máximo en prueba SIMCE de Lectura de 8vo Básico por Comuna en la Región de Ñuble para el Año 2020</v>
      </c>
      <c r="P483" s="112" t="s">
        <v>6246</v>
      </c>
      <c r="Q483" s="11" t="str">
        <f t="shared" si="195"/>
        <v>Mapa de calor</v>
      </c>
      <c r="R483" s="148" t="str">
        <f>Agencia[[#This Row],[territorio]]&amp;",educación básica,octavo básico,puntaje,lectura,promedio,máximo,lenguaje,"&amp;Agencia[[#This Row],[coleccion]]&amp;","&amp;Agencia[[#This Row],[sector]]&amp;","&amp;Agencia[[#This Row],[tema]]&amp;","&amp;Agencia[[#This Row],[contenido]]</f>
        <v>Región de Ñuble,educación básica,octavo básico,puntaje,lectura,promedio,máximo,lenguaje,Agencia Información,Educación,SIMCE,Métricas de la Educación</v>
      </c>
      <c r="S483" s="83" t="str">
        <f>HYPERLINK("https://analytics.zoho.com/open-view/2395394000009042285?ZOHO_CRITERIA=%22Localiza%20CL%22.%22Codreg%22%3D"&amp;Agencia[[#This Row],[Filtro URL]])</f>
        <v>https://analytics.zoho.com/open-view/2395394000009042285?ZOHO_CRITERIA=%22Localiza%20CL%22.%22Codreg%22%3D16</v>
      </c>
      <c r="T483" s="108" t="str">
        <f>"100-C-"&amp;Agencia[[#This Row],[Filtro URL]]</f>
        <v>100-C-16</v>
      </c>
      <c r="U483" s="46" t="str">
        <f t="shared" si="196"/>
        <v>#1774B9</v>
      </c>
      <c r="V483" s="93" t="str">
        <f>+Agencia[[#This Row],[idcoleccion]]&amp;"-"&amp;Agencia[[#This Row],[id]]</f>
        <v>990-0472</v>
      </c>
      <c r="W483" s="93">
        <f>+VLOOKUP(Agencia[[#This Row],[Filtro URL]],Estructura!$X$4:$Y$500,2,0)</f>
        <v>99200016</v>
      </c>
      <c r="X483" s="93" t="str">
        <f>+VLOOKUP(Agencia[[#This Row],[tema]],Estructura!$A$4:$C$500,3,0)</f>
        <v>T-1032</v>
      </c>
      <c r="Y483" s="93" t="str">
        <f>+VLOOKUP(Agencia[[#This Row],[contenido]],Estructura!$E$4:$G$500,3,0)</f>
        <v>C-1018</v>
      </c>
      <c r="Z483" s="93" t="str">
        <f>+VLOOKUP(Agencia[[#This Row],[Filtro Integrado]],Estructura!$I$4:$K$500,3,0)</f>
        <v>FI-993</v>
      </c>
      <c r="AA483" s="93" t="str">
        <f>+VLOOKUP(Agencia[[#This Row],[Muestra]],Estructura!$M$4:$O$500,3,0)</f>
        <v>M-1062</v>
      </c>
    </row>
    <row r="484" spans="1:27" ht="61.2" x14ac:dyDescent="0.3">
      <c r="A484" s="21" t="s">
        <v>974</v>
      </c>
      <c r="B484" s="23">
        <f t="shared" si="209"/>
        <v>990</v>
      </c>
      <c r="C484" s="24" t="str">
        <f t="shared" si="210"/>
        <v>Agencia Información</v>
      </c>
      <c r="D484" s="72" t="s">
        <v>14</v>
      </c>
      <c r="E484" s="14">
        <v>0</v>
      </c>
      <c r="F484" s="18" t="s">
        <v>3607</v>
      </c>
      <c r="G484" s="18" t="s">
        <v>4290</v>
      </c>
      <c r="H484" s="31" t="s">
        <v>20</v>
      </c>
      <c r="I484" s="32" t="s">
        <v>15</v>
      </c>
      <c r="J484" s="9" t="s">
        <v>16</v>
      </c>
      <c r="K484" s="9" t="s">
        <v>1425</v>
      </c>
      <c r="L484" s="9" t="s">
        <v>1428</v>
      </c>
      <c r="M484" s="9" t="s">
        <v>1425</v>
      </c>
      <c r="N484" s="9" t="s">
        <v>1422</v>
      </c>
      <c r="O484" s="76" t="str">
        <f>+"Evolución del Indicador de Participación y formación ciudadana por Dependencia de Establecimientos en "&amp;I484&amp;" para el "&amp;Agencia[[#This Row],[temporalidad]]</f>
        <v>Evolución del Indicador de Participación y formación ciudadana por Dependencia de Establecimientos en Chile para el Periodo 2014 - 2019</v>
      </c>
      <c r="P484" s="112" t="s">
        <v>1427</v>
      </c>
      <c r="Q484" s="11" t="s">
        <v>784</v>
      </c>
      <c r="R484" s="20" t="str">
        <f>Agencia[[#This Row],[territorio]]&amp;",calidad,puntaje,municipal,subvencionado,corporación,particular,indicador,participación,formación,ciudadana,"&amp;Agencia[[#This Row],[coleccion]]&amp;","&amp;Agencia[[#This Row],[sector]]&amp;","&amp;Agencia[[#This Row],[tema]]&amp;","&amp;Agencia[[#This Row],[contenido]]</f>
        <v>Chile,calidad,puntaje,municipal,subvencionado,corporación,particular,indicador,participación,formación,ciudadana,Agencia Información,Educación,Indicadores de Participación y formación ciudadana,Métricas de la Educación</v>
      </c>
      <c r="S484" s="37" t="s">
        <v>1430</v>
      </c>
      <c r="T484" s="108" t="s">
        <v>805</v>
      </c>
      <c r="U484" s="46" t="str">
        <f t="shared" si="196"/>
        <v>#1774B9</v>
      </c>
      <c r="V484" s="93" t="str">
        <f>+Agencia[[#This Row],[idcoleccion]]&amp;"-"&amp;Agencia[[#This Row],[id]]</f>
        <v>990-0473</v>
      </c>
      <c r="W484" s="93">
        <f>+VLOOKUP(Agencia[[#This Row],[Filtro URL]],Estructura!$X$4:$Y$500,2,0)</f>
        <v>99100000</v>
      </c>
      <c r="X484" s="93" t="str">
        <f>+VLOOKUP(Agencia[[#This Row],[tema]],Estructura!$A$4:$C$500,3,0)</f>
        <v>T-1051</v>
      </c>
      <c r="Y484" s="93" t="str">
        <f>+VLOOKUP(Agencia[[#This Row],[contenido]],Estructura!$E$4:$G$500,3,0)</f>
        <v>C-1018</v>
      </c>
      <c r="Z484" s="93" t="str">
        <f>+VLOOKUP(Agencia[[#This Row],[Filtro Integrado]],Estructura!$I$4:$K$500,3,0)</f>
        <v>FI-992</v>
      </c>
      <c r="AA484" s="93" t="str">
        <f>+VLOOKUP(Agencia[[#This Row],[Muestra]],Estructura!$M$4:$O$500,3,0)</f>
        <v>M-1063</v>
      </c>
    </row>
    <row r="485" spans="1:27" ht="71.400000000000006" x14ac:dyDescent="0.3">
      <c r="A485" s="21" t="s">
        <v>975</v>
      </c>
      <c r="B485" s="23">
        <f t="shared" si="209"/>
        <v>990</v>
      </c>
      <c r="C485" s="24" t="str">
        <f t="shared" si="210"/>
        <v>Agencia Información</v>
      </c>
      <c r="D485" s="72" t="str">
        <f t="shared" ref="D485:D500" si="211">+D484</f>
        <v>Educación</v>
      </c>
      <c r="E485" s="19">
        <v>1</v>
      </c>
      <c r="F485" s="18" t="s">
        <v>3607</v>
      </c>
      <c r="G485" s="18" t="s">
        <v>4290</v>
      </c>
      <c r="H485" s="33" t="s">
        <v>16</v>
      </c>
      <c r="I485" s="34" t="s">
        <v>368</v>
      </c>
      <c r="J485" s="9" t="s">
        <v>403</v>
      </c>
      <c r="K485" s="9" t="str">
        <f t="shared" ref="K485:K500" si="212">+K484</f>
        <v>Puntaje</v>
      </c>
      <c r="L485" s="9" t="str">
        <f t="shared" ref="L485:L500" si="213">+L484</f>
        <v>Periodo 2014 - 2019</v>
      </c>
      <c r="M485" s="9" t="str">
        <f t="shared" ref="M485:M500" si="214">+M484</f>
        <v>Puntaje</v>
      </c>
      <c r="N485" s="9" t="str">
        <f t="shared" ref="N485:N500" si="215">+N484</f>
        <v>Agencia de Calidad de la Educación</v>
      </c>
      <c r="O485" s="76" t="str">
        <f>+"Evolución del Indicador de Participación y formación ciudadana por Dependencia de Establecimientos en la "&amp;I485&amp;" para el "&amp;Agencia[[#This Row],[temporalidad]]</f>
        <v>Evolución del Indicador de Participación y formación ciudadana por Dependencia de Establecimientos en la Región de Tarapacá para el Periodo 2014 - 2019</v>
      </c>
      <c r="P485" s="112" t="s">
        <v>6213</v>
      </c>
      <c r="Q485" s="11" t="str">
        <f t="shared" si="195"/>
        <v>Gráfico de Evolución</v>
      </c>
      <c r="R485" s="148" t="str">
        <f>Agencia[[#This Row],[territorio]]&amp;",calidad,puntaje,municipal,subvencionado,corporación,particular,indicador,participación,formación,ciudadana,"&amp;Agencia[[#This Row],[coleccion]]&amp;","&amp;Agencia[[#This Row],[sector]]&amp;","&amp;Agencia[[#This Row],[tema]]&amp;","&amp;Agencia[[#This Row],[contenido]]</f>
        <v>Región de Tarapacá,calidad,puntaje,municipal,subvencionado,corporación,particular,indicador,participación,formación,ciudadana,Agencia Información,Educación,Indicadores de Participación y formación ciudadana,Métricas de la Educación</v>
      </c>
      <c r="S485" s="83" t="str">
        <f>HYPERLINK("https://analytics.zoho.com/open-view/2395394000009042400?ZOHO_CRITERIA=%22Localiza%20CL%22.%22Codreg%22%3D"&amp;Agencia[[#This Row],[Filtro URL]])</f>
        <v>https://analytics.zoho.com/open-view/2395394000009042400?ZOHO_CRITERIA=%22Localiza%20CL%22.%22Codreg%22%3D1</v>
      </c>
      <c r="T485" s="108" t="str">
        <f>"100-R-"&amp;Agencia[[#This Row],[Filtro URL]]</f>
        <v>100-R-1</v>
      </c>
      <c r="U485" s="46" t="str">
        <f t="shared" si="196"/>
        <v>#1774B9</v>
      </c>
      <c r="V485" s="93" t="str">
        <f>+Agencia[[#This Row],[idcoleccion]]&amp;"-"&amp;Agencia[[#This Row],[id]]</f>
        <v>990-0474</v>
      </c>
      <c r="W485" s="93">
        <f>+VLOOKUP(Agencia[[#This Row],[Filtro URL]],Estructura!$X$4:$Y$500,2,0)</f>
        <v>99200001</v>
      </c>
      <c r="X485" s="93" t="str">
        <f>+VLOOKUP(Agencia[[#This Row],[tema]],Estructura!$A$4:$C$500,3,0)</f>
        <v>T-1051</v>
      </c>
      <c r="Y485" s="93" t="str">
        <f>+VLOOKUP(Agencia[[#This Row],[contenido]],Estructura!$E$4:$G$500,3,0)</f>
        <v>C-1018</v>
      </c>
      <c r="Z485" s="93" t="str">
        <f>+VLOOKUP(Agencia[[#This Row],[Filtro Integrado]],Estructura!$I$4:$K$500,3,0)</f>
        <v>FI-993</v>
      </c>
      <c r="AA485" s="93" t="str">
        <f>+VLOOKUP(Agencia[[#This Row],[Muestra]],Estructura!$M$4:$O$500,3,0)</f>
        <v>M-1063</v>
      </c>
    </row>
    <row r="486" spans="1:27" ht="71.400000000000006" x14ac:dyDescent="0.3">
      <c r="A486" s="21" t="s">
        <v>976</v>
      </c>
      <c r="B486" s="23">
        <f t="shared" si="209"/>
        <v>990</v>
      </c>
      <c r="C486" s="24" t="str">
        <f t="shared" si="210"/>
        <v>Agencia Información</v>
      </c>
      <c r="D486" s="72" t="str">
        <f t="shared" si="211"/>
        <v>Educación</v>
      </c>
      <c r="E486" s="19">
        <v>2</v>
      </c>
      <c r="F486" s="18" t="s">
        <v>3607</v>
      </c>
      <c r="G486" s="18" t="s">
        <v>4290</v>
      </c>
      <c r="H486" s="33" t="s">
        <v>16</v>
      </c>
      <c r="I486" s="34" t="s">
        <v>369</v>
      </c>
      <c r="J486" s="9" t="str">
        <f t="shared" ref="J486:J500" si="216">+J485</f>
        <v>Ninguno</v>
      </c>
      <c r="K486" s="9" t="str">
        <f t="shared" si="212"/>
        <v>Puntaje</v>
      </c>
      <c r="L486" s="9" t="str">
        <f t="shared" si="213"/>
        <v>Periodo 2014 - 2019</v>
      </c>
      <c r="M486" s="9" t="str">
        <f t="shared" si="214"/>
        <v>Puntaje</v>
      </c>
      <c r="N486" s="9" t="str">
        <f t="shared" si="215"/>
        <v>Agencia de Calidad de la Educación</v>
      </c>
      <c r="O486" s="76" t="str">
        <f>+"Evolución del Indicador de Participación y formación ciudadana por Dependencia de Establecimientos en la "&amp;I486&amp;" para el "&amp;Agencia[[#This Row],[temporalidad]]</f>
        <v>Evolución del Indicador de Participación y formación ciudadana por Dependencia de Establecimientos en la Región de Antofagasta para el Periodo 2014 - 2019</v>
      </c>
      <c r="P486" s="112" t="s">
        <v>6214</v>
      </c>
      <c r="Q486" s="11" t="str">
        <f t="shared" si="195"/>
        <v>Gráfico de Evolución</v>
      </c>
      <c r="R486" s="148" t="str">
        <f>Agencia[[#This Row],[territorio]]&amp;",calidad,puntaje,municipal,subvencionado,corporación,particular,indicador,participación,formación,ciudadana,"&amp;Agencia[[#This Row],[coleccion]]&amp;","&amp;Agencia[[#This Row],[sector]]&amp;","&amp;Agencia[[#This Row],[tema]]&amp;","&amp;Agencia[[#This Row],[contenido]]</f>
        <v>Región de Antofagasta,calidad,puntaje,municipal,subvencionado,corporación,particular,indicador,participación,formación,ciudadana,Agencia Información,Educación,Indicadores de Participación y formación ciudadana,Métricas de la Educación</v>
      </c>
      <c r="S486" s="83" t="str">
        <f>HYPERLINK("https://analytics.zoho.com/open-view/2395394000009042400?ZOHO_CRITERIA=%22Localiza%20CL%22.%22Codreg%22%3D"&amp;Agencia[[#This Row],[Filtro URL]])</f>
        <v>https://analytics.zoho.com/open-view/2395394000009042400?ZOHO_CRITERIA=%22Localiza%20CL%22.%22Codreg%22%3D2</v>
      </c>
      <c r="T486" s="108" t="str">
        <f>"100-R-"&amp;Agencia[[#This Row],[Filtro URL]]</f>
        <v>100-R-2</v>
      </c>
      <c r="U486" s="46" t="str">
        <f t="shared" si="196"/>
        <v>#1774B9</v>
      </c>
      <c r="V486" s="93" t="str">
        <f>+Agencia[[#This Row],[idcoleccion]]&amp;"-"&amp;Agencia[[#This Row],[id]]</f>
        <v>990-0475</v>
      </c>
      <c r="W486" s="93">
        <f>+VLOOKUP(Agencia[[#This Row],[Filtro URL]],Estructura!$X$4:$Y$500,2,0)</f>
        <v>99200002</v>
      </c>
      <c r="X486" s="93" t="str">
        <f>+VLOOKUP(Agencia[[#This Row],[tema]],Estructura!$A$4:$C$500,3,0)</f>
        <v>T-1051</v>
      </c>
      <c r="Y486" s="93" t="str">
        <f>+VLOOKUP(Agencia[[#This Row],[contenido]],Estructura!$E$4:$G$500,3,0)</f>
        <v>C-1018</v>
      </c>
      <c r="Z486" s="93" t="str">
        <f>+VLOOKUP(Agencia[[#This Row],[Filtro Integrado]],Estructura!$I$4:$K$500,3,0)</f>
        <v>FI-993</v>
      </c>
      <c r="AA486" s="93" t="str">
        <f>+VLOOKUP(Agencia[[#This Row],[Muestra]],Estructura!$M$4:$O$500,3,0)</f>
        <v>M-1063</v>
      </c>
    </row>
    <row r="487" spans="1:27" ht="71.400000000000006" x14ac:dyDescent="0.3">
      <c r="A487" s="21" t="s">
        <v>977</v>
      </c>
      <c r="B487" s="23">
        <f t="shared" si="209"/>
        <v>990</v>
      </c>
      <c r="C487" s="24" t="str">
        <f t="shared" si="210"/>
        <v>Agencia Información</v>
      </c>
      <c r="D487" s="72" t="str">
        <f t="shared" si="211"/>
        <v>Educación</v>
      </c>
      <c r="E487" s="19">
        <v>3</v>
      </c>
      <c r="F487" s="18" t="s">
        <v>3607</v>
      </c>
      <c r="G487" s="18" t="s">
        <v>4290</v>
      </c>
      <c r="H487" s="33" t="s">
        <v>16</v>
      </c>
      <c r="I487" s="34" t="s">
        <v>370</v>
      </c>
      <c r="J487" s="9" t="str">
        <f t="shared" si="216"/>
        <v>Ninguno</v>
      </c>
      <c r="K487" s="9" t="str">
        <f t="shared" si="212"/>
        <v>Puntaje</v>
      </c>
      <c r="L487" s="9" t="str">
        <f t="shared" si="213"/>
        <v>Periodo 2014 - 2019</v>
      </c>
      <c r="M487" s="9" t="str">
        <f t="shared" si="214"/>
        <v>Puntaje</v>
      </c>
      <c r="N487" s="9" t="str">
        <f t="shared" si="215"/>
        <v>Agencia de Calidad de la Educación</v>
      </c>
      <c r="O487" s="76" t="str">
        <f>+"Evolución del Indicador de Participación y formación ciudadana por Dependencia de Establecimientos en la "&amp;I487&amp;" para el "&amp;Agencia[[#This Row],[temporalidad]]</f>
        <v>Evolución del Indicador de Participación y formación ciudadana por Dependencia de Establecimientos en la Región de Atacama para el Periodo 2014 - 2019</v>
      </c>
      <c r="P487" s="112" t="s">
        <v>6215</v>
      </c>
      <c r="Q487" s="11" t="str">
        <f t="shared" si="195"/>
        <v>Gráfico de Evolución</v>
      </c>
      <c r="R487" s="148" t="str">
        <f>Agencia[[#This Row],[territorio]]&amp;",calidad,puntaje,municipal,subvencionado,corporación,particular,indicador,participación,formación,ciudadana,"&amp;Agencia[[#This Row],[coleccion]]&amp;","&amp;Agencia[[#This Row],[sector]]&amp;","&amp;Agencia[[#This Row],[tema]]&amp;","&amp;Agencia[[#This Row],[contenido]]</f>
        <v>Región de Atacama,calidad,puntaje,municipal,subvencionado,corporación,particular,indicador,participación,formación,ciudadana,Agencia Información,Educación,Indicadores de Participación y formación ciudadana,Métricas de la Educación</v>
      </c>
      <c r="S487" s="83" t="str">
        <f>HYPERLINK("https://analytics.zoho.com/open-view/2395394000009042400?ZOHO_CRITERIA=%22Localiza%20CL%22.%22Codreg%22%3D"&amp;Agencia[[#This Row],[Filtro URL]])</f>
        <v>https://analytics.zoho.com/open-view/2395394000009042400?ZOHO_CRITERIA=%22Localiza%20CL%22.%22Codreg%22%3D3</v>
      </c>
      <c r="T487" s="108" t="str">
        <f>"100-R-"&amp;Agencia[[#This Row],[Filtro URL]]</f>
        <v>100-R-3</v>
      </c>
      <c r="U487" s="46" t="str">
        <f t="shared" si="196"/>
        <v>#1774B9</v>
      </c>
      <c r="V487" s="93" t="str">
        <f>+Agencia[[#This Row],[idcoleccion]]&amp;"-"&amp;Agencia[[#This Row],[id]]</f>
        <v>990-0476</v>
      </c>
      <c r="W487" s="93">
        <f>+VLOOKUP(Agencia[[#This Row],[Filtro URL]],Estructura!$X$4:$Y$500,2,0)</f>
        <v>99200003</v>
      </c>
      <c r="X487" s="93" t="str">
        <f>+VLOOKUP(Agencia[[#This Row],[tema]],Estructura!$A$4:$C$500,3,0)</f>
        <v>T-1051</v>
      </c>
      <c r="Y487" s="93" t="str">
        <f>+VLOOKUP(Agencia[[#This Row],[contenido]],Estructura!$E$4:$G$500,3,0)</f>
        <v>C-1018</v>
      </c>
      <c r="Z487" s="93" t="str">
        <f>+VLOOKUP(Agencia[[#This Row],[Filtro Integrado]],Estructura!$I$4:$K$500,3,0)</f>
        <v>FI-993</v>
      </c>
      <c r="AA487" s="93" t="str">
        <f>+VLOOKUP(Agencia[[#This Row],[Muestra]],Estructura!$M$4:$O$500,3,0)</f>
        <v>M-1063</v>
      </c>
    </row>
    <row r="488" spans="1:27" ht="71.400000000000006" x14ac:dyDescent="0.3">
      <c r="A488" s="21" t="s">
        <v>978</v>
      </c>
      <c r="B488" s="23">
        <f t="shared" si="209"/>
        <v>990</v>
      </c>
      <c r="C488" s="24" t="str">
        <f t="shared" si="210"/>
        <v>Agencia Información</v>
      </c>
      <c r="D488" s="72" t="str">
        <f t="shared" si="211"/>
        <v>Educación</v>
      </c>
      <c r="E488" s="19">
        <v>4</v>
      </c>
      <c r="F488" s="18" t="s">
        <v>3607</v>
      </c>
      <c r="G488" s="18" t="s">
        <v>4290</v>
      </c>
      <c r="H488" s="33" t="s">
        <v>16</v>
      </c>
      <c r="I488" s="34" t="s">
        <v>371</v>
      </c>
      <c r="J488" s="9" t="str">
        <f t="shared" si="216"/>
        <v>Ninguno</v>
      </c>
      <c r="K488" s="9" t="str">
        <f t="shared" si="212"/>
        <v>Puntaje</v>
      </c>
      <c r="L488" s="9" t="str">
        <f t="shared" si="213"/>
        <v>Periodo 2014 - 2019</v>
      </c>
      <c r="M488" s="9" t="str">
        <f t="shared" si="214"/>
        <v>Puntaje</v>
      </c>
      <c r="N488" s="9" t="str">
        <f t="shared" si="215"/>
        <v>Agencia de Calidad de la Educación</v>
      </c>
      <c r="O488" s="76" t="str">
        <f>+"Evolución del Indicador de Participación y formación ciudadana por Dependencia de Establecimientos en la "&amp;I488&amp;" para el "&amp;Agencia[[#This Row],[temporalidad]]</f>
        <v>Evolución del Indicador de Participación y formación ciudadana por Dependencia de Establecimientos en la Región de Coquimbo para el Periodo 2014 - 2019</v>
      </c>
      <c r="P488" s="112" t="s">
        <v>6216</v>
      </c>
      <c r="Q488" s="11" t="str">
        <f t="shared" si="195"/>
        <v>Gráfico de Evolución</v>
      </c>
      <c r="R488" s="148" t="str">
        <f>Agencia[[#This Row],[territorio]]&amp;",calidad,puntaje,municipal,subvencionado,corporación,particular,indicador,participación,formación,ciudadana,"&amp;Agencia[[#This Row],[coleccion]]&amp;","&amp;Agencia[[#This Row],[sector]]&amp;","&amp;Agencia[[#This Row],[tema]]&amp;","&amp;Agencia[[#This Row],[contenido]]</f>
        <v>Región de Coquimbo,calidad,puntaje,municipal,subvencionado,corporación,particular,indicador,participación,formación,ciudadana,Agencia Información,Educación,Indicadores de Participación y formación ciudadana,Métricas de la Educación</v>
      </c>
      <c r="S488" s="83" t="str">
        <f>HYPERLINK("https://analytics.zoho.com/open-view/2395394000009042400?ZOHO_CRITERIA=%22Localiza%20CL%22.%22Codreg%22%3D"&amp;Agencia[[#This Row],[Filtro URL]])</f>
        <v>https://analytics.zoho.com/open-view/2395394000009042400?ZOHO_CRITERIA=%22Localiza%20CL%22.%22Codreg%22%3D4</v>
      </c>
      <c r="T488" s="108" t="str">
        <f>"100-R-"&amp;Agencia[[#This Row],[Filtro URL]]</f>
        <v>100-R-4</v>
      </c>
      <c r="U488" s="46" t="str">
        <f t="shared" si="196"/>
        <v>#1774B9</v>
      </c>
      <c r="V488" s="93" t="str">
        <f>+Agencia[[#This Row],[idcoleccion]]&amp;"-"&amp;Agencia[[#This Row],[id]]</f>
        <v>990-0477</v>
      </c>
      <c r="W488" s="93">
        <f>+VLOOKUP(Agencia[[#This Row],[Filtro URL]],Estructura!$X$4:$Y$500,2,0)</f>
        <v>99200004</v>
      </c>
      <c r="X488" s="93" t="str">
        <f>+VLOOKUP(Agencia[[#This Row],[tema]],Estructura!$A$4:$C$500,3,0)</f>
        <v>T-1051</v>
      </c>
      <c r="Y488" s="93" t="str">
        <f>+VLOOKUP(Agencia[[#This Row],[contenido]],Estructura!$E$4:$G$500,3,0)</f>
        <v>C-1018</v>
      </c>
      <c r="Z488" s="93" t="str">
        <f>+VLOOKUP(Agencia[[#This Row],[Filtro Integrado]],Estructura!$I$4:$K$500,3,0)</f>
        <v>FI-993</v>
      </c>
      <c r="AA488" s="93" t="str">
        <f>+VLOOKUP(Agencia[[#This Row],[Muestra]],Estructura!$M$4:$O$500,3,0)</f>
        <v>M-1063</v>
      </c>
    </row>
    <row r="489" spans="1:27" ht="71.400000000000006" x14ac:dyDescent="0.3">
      <c r="A489" s="21" t="s">
        <v>979</v>
      </c>
      <c r="B489" s="23">
        <f t="shared" si="209"/>
        <v>990</v>
      </c>
      <c r="C489" s="24" t="str">
        <f t="shared" si="210"/>
        <v>Agencia Información</v>
      </c>
      <c r="D489" s="72" t="str">
        <f t="shared" si="211"/>
        <v>Educación</v>
      </c>
      <c r="E489" s="19">
        <v>5</v>
      </c>
      <c r="F489" s="18" t="s">
        <v>3607</v>
      </c>
      <c r="G489" s="18" t="s">
        <v>4290</v>
      </c>
      <c r="H489" s="33" t="s">
        <v>16</v>
      </c>
      <c r="I489" s="34" t="s">
        <v>372</v>
      </c>
      <c r="J489" s="9" t="str">
        <f t="shared" si="216"/>
        <v>Ninguno</v>
      </c>
      <c r="K489" s="9" t="str">
        <f t="shared" si="212"/>
        <v>Puntaje</v>
      </c>
      <c r="L489" s="9" t="str">
        <f t="shared" si="213"/>
        <v>Periodo 2014 - 2019</v>
      </c>
      <c r="M489" s="9" t="str">
        <f t="shared" si="214"/>
        <v>Puntaje</v>
      </c>
      <c r="N489" s="9" t="str">
        <f t="shared" si="215"/>
        <v>Agencia de Calidad de la Educación</v>
      </c>
      <c r="O489" s="76" t="str">
        <f>+"Evolución del Indicador de Participación y formación ciudadana por Dependencia de Establecimientos en la "&amp;I489&amp;" para el "&amp;Agencia[[#This Row],[temporalidad]]</f>
        <v>Evolución del Indicador de Participación y formación ciudadana por Dependencia de Establecimientos en la Región de Valparaíso para el Periodo 2014 - 2019</v>
      </c>
      <c r="P489" s="112" t="s">
        <v>6217</v>
      </c>
      <c r="Q489" s="11" t="str">
        <f t="shared" si="195"/>
        <v>Gráfico de Evolución</v>
      </c>
      <c r="R489" s="148" t="str">
        <f>Agencia[[#This Row],[territorio]]&amp;",calidad,puntaje,municipal,subvencionado,corporación,particular,indicador,participación,formación,ciudadana,"&amp;Agencia[[#This Row],[coleccion]]&amp;","&amp;Agencia[[#This Row],[sector]]&amp;","&amp;Agencia[[#This Row],[tema]]&amp;","&amp;Agencia[[#This Row],[contenido]]</f>
        <v>Región de Valparaíso,calidad,puntaje,municipal,subvencionado,corporación,particular,indicador,participación,formación,ciudadana,Agencia Información,Educación,Indicadores de Participación y formación ciudadana,Métricas de la Educación</v>
      </c>
      <c r="S489" s="83" t="str">
        <f>HYPERLINK("https://analytics.zoho.com/open-view/2395394000009042400?ZOHO_CRITERIA=%22Localiza%20CL%22.%22Codreg%22%3D"&amp;Agencia[[#This Row],[Filtro URL]])</f>
        <v>https://analytics.zoho.com/open-view/2395394000009042400?ZOHO_CRITERIA=%22Localiza%20CL%22.%22Codreg%22%3D5</v>
      </c>
      <c r="T489" s="108" t="str">
        <f>"100-R-"&amp;Agencia[[#This Row],[Filtro URL]]</f>
        <v>100-R-5</v>
      </c>
      <c r="U489" s="46" t="str">
        <f t="shared" si="196"/>
        <v>#1774B9</v>
      </c>
      <c r="V489" s="93" t="str">
        <f>+Agencia[[#This Row],[idcoleccion]]&amp;"-"&amp;Agencia[[#This Row],[id]]</f>
        <v>990-0478</v>
      </c>
      <c r="W489" s="93">
        <f>+VLOOKUP(Agencia[[#This Row],[Filtro URL]],Estructura!$X$4:$Y$500,2,0)</f>
        <v>99200005</v>
      </c>
      <c r="X489" s="93" t="str">
        <f>+VLOOKUP(Agencia[[#This Row],[tema]],Estructura!$A$4:$C$500,3,0)</f>
        <v>T-1051</v>
      </c>
      <c r="Y489" s="93" t="str">
        <f>+VLOOKUP(Agencia[[#This Row],[contenido]],Estructura!$E$4:$G$500,3,0)</f>
        <v>C-1018</v>
      </c>
      <c r="Z489" s="93" t="str">
        <f>+VLOOKUP(Agencia[[#This Row],[Filtro Integrado]],Estructura!$I$4:$K$500,3,0)</f>
        <v>FI-993</v>
      </c>
      <c r="AA489" s="93" t="str">
        <f>+VLOOKUP(Agencia[[#This Row],[Muestra]],Estructura!$M$4:$O$500,3,0)</f>
        <v>M-1063</v>
      </c>
    </row>
    <row r="490" spans="1:27" ht="71.400000000000006" x14ac:dyDescent="0.3">
      <c r="A490" s="21" t="s">
        <v>980</v>
      </c>
      <c r="B490" s="23">
        <f t="shared" si="209"/>
        <v>990</v>
      </c>
      <c r="C490" s="24" t="str">
        <f t="shared" si="210"/>
        <v>Agencia Información</v>
      </c>
      <c r="D490" s="72" t="str">
        <f t="shared" si="211"/>
        <v>Educación</v>
      </c>
      <c r="E490" s="19">
        <v>6</v>
      </c>
      <c r="F490" s="18" t="s">
        <v>3607</v>
      </c>
      <c r="G490" s="18" t="s">
        <v>4290</v>
      </c>
      <c r="H490" s="33" t="s">
        <v>16</v>
      </c>
      <c r="I490" s="34" t="s">
        <v>373</v>
      </c>
      <c r="J490" s="9" t="str">
        <f t="shared" si="216"/>
        <v>Ninguno</v>
      </c>
      <c r="K490" s="9" t="str">
        <f t="shared" si="212"/>
        <v>Puntaje</v>
      </c>
      <c r="L490" s="9" t="str">
        <f t="shared" si="213"/>
        <v>Periodo 2014 - 2019</v>
      </c>
      <c r="M490" s="9" t="str">
        <f t="shared" si="214"/>
        <v>Puntaje</v>
      </c>
      <c r="N490" s="9" t="str">
        <f t="shared" si="215"/>
        <v>Agencia de Calidad de la Educación</v>
      </c>
      <c r="O490" s="76" t="str">
        <f>+"Evolución del Indicador de Participación y formación ciudadana por Dependencia de Establecimientos en la "&amp;I490&amp;" para el "&amp;Agencia[[#This Row],[temporalidad]]</f>
        <v>Evolución del Indicador de Participación y formación ciudadana por Dependencia de Establecimientos en la Región de O'Higgins para el Periodo 2014 - 2019</v>
      </c>
      <c r="P490" s="112" t="s">
        <v>6218</v>
      </c>
      <c r="Q490" s="11" t="str">
        <f t="shared" si="195"/>
        <v>Gráfico de Evolución</v>
      </c>
      <c r="R490" s="148" t="str">
        <f>Agencia[[#This Row],[territorio]]&amp;",calidad,puntaje,municipal,subvencionado,corporación,particular,indicador,participación,formación,ciudadana,"&amp;Agencia[[#This Row],[coleccion]]&amp;","&amp;Agencia[[#This Row],[sector]]&amp;","&amp;Agencia[[#This Row],[tema]]&amp;","&amp;Agencia[[#This Row],[contenido]]</f>
        <v>Región de O'Higgins,calidad,puntaje,municipal,subvencionado,corporación,particular,indicador,participación,formación,ciudadana,Agencia Información,Educación,Indicadores de Participación y formación ciudadana,Métricas de la Educación</v>
      </c>
      <c r="S490" s="83" t="str">
        <f>HYPERLINK("https://analytics.zoho.com/open-view/2395394000009042400?ZOHO_CRITERIA=%22Localiza%20CL%22.%22Codreg%22%3D"&amp;Agencia[[#This Row],[Filtro URL]])</f>
        <v>https://analytics.zoho.com/open-view/2395394000009042400?ZOHO_CRITERIA=%22Localiza%20CL%22.%22Codreg%22%3D6</v>
      </c>
      <c r="T490" s="108" t="str">
        <f>"100-R-"&amp;Agencia[[#This Row],[Filtro URL]]</f>
        <v>100-R-6</v>
      </c>
      <c r="U490" s="46" t="str">
        <f t="shared" si="196"/>
        <v>#1774B9</v>
      </c>
      <c r="V490" s="93" t="str">
        <f>+Agencia[[#This Row],[idcoleccion]]&amp;"-"&amp;Agencia[[#This Row],[id]]</f>
        <v>990-0479</v>
      </c>
      <c r="W490" s="93">
        <f>+VLOOKUP(Agencia[[#This Row],[Filtro URL]],Estructura!$X$4:$Y$500,2,0)</f>
        <v>99200006</v>
      </c>
      <c r="X490" s="93" t="str">
        <f>+VLOOKUP(Agencia[[#This Row],[tema]],Estructura!$A$4:$C$500,3,0)</f>
        <v>T-1051</v>
      </c>
      <c r="Y490" s="93" t="str">
        <f>+VLOOKUP(Agencia[[#This Row],[contenido]],Estructura!$E$4:$G$500,3,0)</f>
        <v>C-1018</v>
      </c>
      <c r="Z490" s="93" t="str">
        <f>+VLOOKUP(Agencia[[#This Row],[Filtro Integrado]],Estructura!$I$4:$K$500,3,0)</f>
        <v>FI-993</v>
      </c>
      <c r="AA490" s="93" t="str">
        <f>+VLOOKUP(Agencia[[#This Row],[Muestra]],Estructura!$M$4:$O$500,3,0)</f>
        <v>M-1063</v>
      </c>
    </row>
    <row r="491" spans="1:27" ht="71.400000000000006" x14ac:dyDescent="0.3">
      <c r="A491" s="21" t="s">
        <v>995</v>
      </c>
      <c r="B491" s="23">
        <f t="shared" si="209"/>
        <v>990</v>
      </c>
      <c r="C491" s="24" t="str">
        <f t="shared" si="210"/>
        <v>Agencia Información</v>
      </c>
      <c r="D491" s="72" t="str">
        <f t="shared" si="211"/>
        <v>Educación</v>
      </c>
      <c r="E491" s="19">
        <v>7</v>
      </c>
      <c r="F491" s="18" t="s">
        <v>3607</v>
      </c>
      <c r="G491" s="18" t="s">
        <v>4290</v>
      </c>
      <c r="H491" s="33" t="s">
        <v>16</v>
      </c>
      <c r="I491" s="34" t="s">
        <v>374</v>
      </c>
      <c r="J491" s="9" t="str">
        <f t="shared" si="216"/>
        <v>Ninguno</v>
      </c>
      <c r="K491" s="9" t="str">
        <f t="shared" si="212"/>
        <v>Puntaje</v>
      </c>
      <c r="L491" s="9" t="str">
        <f t="shared" si="213"/>
        <v>Periodo 2014 - 2019</v>
      </c>
      <c r="M491" s="9" t="str">
        <f t="shared" si="214"/>
        <v>Puntaje</v>
      </c>
      <c r="N491" s="9" t="str">
        <f t="shared" si="215"/>
        <v>Agencia de Calidad de la Educación</v>
      </c>
      <c r="O491" s="76" t="str">
        <f>+"Evolución del Indicador de Participación y formación ciudadana por Dependencia de Establecimientos en la "&amp;I491&amp;" para el "&amp;Agencia[[#This Row],[temporalidad]]</f>
        <v>Evolución del Indicador de Participación y formación ciudadana por Dependencia de Establecimientos en la Región de Maule para el Periodo 2014 - 2019</v>
      </c>
      <c r="P491" s="112" t="s">
        <v>6219</v>
      </c>
      <c r="Q491" s="11" t="str">
        <f t="shared" si="195"/>
        <v>Gráfico de Evolución</v>
      </c>
      <c r="R491" s="148" t="str">
        <f>Agencia[[#This Row],[territorio]]&amp;",calidad,puntaje,municipal,subvencionado,corporación,particular,indicador,participación,formación,ciudadana,"&amp;Agencia[[#This Row],[coleccion]]&amp;","&amp;Agencia[[#This Row],[sector]]&amp;","&amp;Agencia[[#This Row],[tema]]&amp;","&amp;Agencia[[#This Row],[contenido]]</f>
        <v>Región de Maule,calidad,puntaje,municipal,subvencionado,corporación,particular,indicador,participación,formación,ciudadana,Agencia Información,Educación,Indicadores de Participación y formación ciudadana,Métricas de la Educación</v>
      </c>
      <c r="S491" s="83" t="str">
        <f>HYPERLINK("https://analytics.zoho.com/open-view/2395394000009042400?ZOHO_CRITERIA=%22Localiza%20CL%22.%22Codreg%22%3D"&amp;Agencia[[#This Row],[Filtro URL]])</f>
        <v>https://analytics.zoho.com/open-view/2395394000009042400?ZOHO_CRITERIA=%22Localiza%20CL%22.%22Codreg%22%3D7</v>
      </c>
      <c r="T491" s="108" t="str">
        <f>"100-R-"&amp;Agencia[[#This Row],[Filtro URL]]</f>
        <v>100-R-7</v>
      </c>
      <c r="U491" s="46" t="str">
        <f t="shared" si="196"/>
        <v>#1774B9</v>
      </c>
      <c r="V491" s="93" t="str">
        <f>+Agencia[[#This Row],[idcoleccion]]&amp;"-"&amp;Agencia[[#This Row],[id]]</f>
        <v>990-0480</v>
      </c>
      <c r="W491" s="93">
        <f>+VLOOKUP(Agencia[[#This Row],[Filtro URL]],Estructura!$X$4:$Y$500,2,0)</f>
        <v>99200007</v>
      </c>
      <c r="X491" s="93" t="str">
        <f>+VLOOKUP(Agencia[[#This Row],[tema]],Estructura!$A$4:$C$500,3,0)</f>
        <v>T-1051</v>
      </c>
      <c r="Y491" s="93" t="str">
        <f>+VLOOKUP(Agencia[[#This Row],[contenido]],Estructura!$E$4:$G$500,3,0)</f>
        <v>C-1018</v>
      </c>
      <c r="Z491" s="93" t="str">
        <f>+VLOOKUP(Agencia[[#This Row],[Filtro Integrado]],Estructura!$I$4:$K$500,3,0)</f>
        <v>FI-993</v>
      </c>
      <c r="AA491" s="93" t="str">
        <f>+VLOOKUP(Agencia[[#This Row],[Muestra]],Estructura!$M$4:$O$500,3,0)</f>
        <v>M-1063</v>
      </c>
    </row>
    <row r="492" spans="1:27" ht="71.400000000000006" x14ac:dyDescent="0.3">
      <c r="A492" s="21" t="s">
        <v>996</v>
      </c>
      <c r="B492" s="23">
        <f t="shared" si="209"/>
        <v>990</v>
      </c>
      <c r="C492" s="24" t="str">
        <f t="shared" si="210"/>
        <v>Agencia Información</v>
      </c>
      <c r="D492" s="72" t="str">
        <f t="shared" si="211"/>
        <v>Educación</v>
      </c>
      <c r="E492" s="19">
        <v>8</v>
      </c>
      <c r="F492" s="18" t="s">
        <v>3607</v>
      </c>
      <c r="G492" s="18" t="s">
        <v>4290</v>
      </c>
      <c r="H492" s="33" t="s">
        <v>16</v>
      </c>
      <c r="I492" s="34" t="s">
        <v>375</v>
      </c>
      <c r="J492" s="9" t="str">
        <f t="shared" si="216"/>
        <v>Ninguno</v>
      </c>
      <c r="K492" s="9" t="str">
        <f t="shared" si="212"/>
        <v>Puntaje</v>
      </c>
      <c r="L492" s="9" t="str">
        <f t="shared" si="213"/>
        <v>Periodo 2014 - 2019</v>
      </c>
      <c r="M492" s="9" t="str">
        <f t="shared" si="214"/>
        <v>Puntaje</v>
      </c>
      <c r="N492" s="9" t="str">
        <f t="shared" si="215"/>
        <v>Agencia de Calidad de la Educación</v>
      </c>
      <c r="O492" s="76" t="str">
        <f>+"Evolución del Indicador de Participación y formación ciudadana por Dependencia de Establecimientos en la "&amp;I492&amp;" para el "&amp;Agencia[[#This Row],[temporalidad]]</f>
        <v>Evolución del Indicador de Participación y formación ciudadana por Dependencia de Establecimientos en la Región del Biobío para el Periodo 2014 - 2019</v>
      </c>
      <c r="P492" s="112" t="s">
        <v>6225</v>
      </c>
      <c r="Q492" s="11" t="str">
        <f t="shared" si="195"/>
        <v>Gráfico de Evolución</v>
      </c>
      <c r="R492" s="148" t="str">
        <f>Agencia[[#This Row],[territorio]]&amp;",calidad,puntaje,municipal,subvencionado,corporación,particular,indicador,participación,formación,ciudadana,"&amp;Agencia[[#This Row],[coleccion]]&amp;","&amp;Agencia[[#This Row],[sector]]&amp;","&amp;Agencia[[#This Row],[tema]]&amp;","&amp;Agencia[[#This Row],[contenido]]</f>
        <v>Región del Biobío,calidad,puntaje,municipal,subvencionado,corporación,particular,indicador,participación,formación,ciudadana,Agencia Información,Educación,Indicadores de Participación y formación ciudadana,Métricas de la Educación</v>
      </c>
      <c r="S492" s="83" t="str">
        <f>HYPERLINK("https://analytics.zoho.com/open-view/2395394000009042400?ZOHO_CRITERIA=%22Localiza%20CL%22.%22Codreg%22%3D"&amp;Agencia[[#This Row],[Filtro URL]])</f>
        <v>https://analytics.zoho.com/open-view/2395394000009042400?ZOHO_CRITERIA=%22Localiza%20CL%22.%22Codreg%22%3D8</v>
      </c>
      <c r="T492" s="108" t="str">
        <f>"100-R-"&amp;Agencia[[#This Row],[Filtro URL]]</f>
        <v>100-R-8</v>
      </c>
      <c r="U492" s="46" t="str">
        <f t="shared" si="196"/>
        <v>#1774B9</v>
      </c>
      <c r="V492" s="93" t="str">
        <f>+Agencia[[#This Row],[idcoleccion]]&amp;"-"&amp;Agencia[[#This Row],[id]]</f>
        <v>990-0481</v>
      </c>
      <c r="W492" s="93">
        <f>+VLOOKUP(Agencia[[#This Row],[Filtro URL]],Estructura!$X$4:$Y$500,2,0)</f>
        <v>99200008</v>
      </c>
      <c r="X492" s="93" t="str">
        <f>+VLOOKUP(Agencia[[#This Row],[tema]],Estructura!$A$4:$C$500,3,0)</f>
        <v>T-1051</v>
      </c>
      <c r="Y492" s="93" t="str">
        <f>+VLOOKUP(Agencia[[#This Row],[contenido]],Estructura!$E$4:$G$500,3,0)</f>
        <v>C-1018</v>
      </c>
      <c r="Z492" s="93" t="str">
        <f>+VLOOKUP(Agencia[[#This Row],[Filtro Integrado]],Estructura!$I$4:$K$500,3,0)</f>
        <v>FI-993</v>
      </c>
      <c r="AA492" s="93" t="str">
        <f>+VLOOKUP(Agencia[[#This Row],[Muestra]],Estructura!$M$4:$O$500,3,0)</f>
        <v>M-1063</v>
      </c>
    </row>
    <row r="493" spans="1:27" ht="71.400000000000006" x14ac:dyDescent="0.3">
      <c r="A493" s="21" t="s">
        <v>997</v>
      </c>
      <c r="B493" s="23">
        <f t="shared" si="209"/>
        <v>990</v>
      </c>
      <c r="C493" s="24" t="str">
        <f t="shared" si="210"/>
        <v>Agencia Información</v>
      </c>
      <c r="D493" s="72" t="str">
        <f t="shared" si="211"/>
        <v>Educación</v>
      </c>
      <c r="E493" s="19">
        <v>9</v>
      </c>
      <c r="F493" s="18" t="s">
        <v>3607</v>
      </c>
      <c r="G493" s="18" t="s">
        <v>4290</v>
      </c>
      <c r="H493" s="33" t="s">
        <v>16</v>
      </c>
      <c r="I493" s="34" t="s">
        <v>376</v>
      </c>
      <c r="J493" s="9" t="str">
        <f t="shared" si="216"/>
        <v>Ninguno</v>
      </c>
      <c r="K493" s="9" t="str">
        <f t="shared" si="212"/>
        <v>Puntaje</v>
      </c>
      <c r="L493" s="9" t="str">
        <f t="shared" si="213"/>
        <v>Periodo 2014 - 2019</v>
      </c>
      <c r="M493" s="9" t="str">
        <f t="shared" si="214"/>
        <v>Puntaje</v>
      </c>
      <c r="N493" s="9" t="str">
        <f t="shared" si="215"/>
        <v>Agencia de Calidad de la Educación</v>
      </c>
      <c r="O493" s="76" t="str">
        <f>+"Evolución del Indicador de Participación y formación ciudadana por Dependencia de Establecimientos en la "&amp;I493&amp;" para el "&amp;Agencia[[#This Row],[temporalidad]]</f>
        <v>Evolución del Indicador de Participación y formación ciudadana por Dependencia de Establecimientos en la Región de La Araucanía para el Periodo 2014 - 2019</v>
      </c>
      <c r="P493" s="112" t="s">
        <v>6220</v>
      </c>
      <c r="Q493" s="11" t="str">
        <f t="shared" si="195"/>
        <v>Gráfico de Evolución</v>
      </c>
      <c r="R493" s="148" t="str">
        <f>Agencia[[#This Row],[territorio]]&amp;",calidad,puntaje,municipal,subvencionado,corporación,particular,indicador,participación,formación,ciudadana,"&amp;Agencia[[#This Row],[coleccion]]&amp;","&amp;Agencia[[#This Row],[sector]]&amp;","&amp;Agencia[[#This Row],[tema]]&amp;","&amp;Agencia[[#This Row],[contenido]]</f>
        <v>Región de La Araucanía,calidad,puntaje,municipal,subvencionado,corporación,particular,indicador,participación,formación,ciudadana,Agencia Información,Educación,Indicadores de Participación y formación ciudadana,Métricas de la Educación</v>
      </c>
      <c r="S493" s="83" t="str">
        <f>HYPERLINK("https://analytics.zoho.com/open-view/2395394000009042400?ZOHO_CRITERIA=%22Localiza%20CL%22.%22Codreg%22%3D"&amp;Agencia[[#This Row],[Filtro URL]])</f>
        <v>https://analytics.zoho.com/open-view/2395394000009042400?ZOHO_CRITERIA=%22Localiza%20CL%22.%22Codreg%22%3D9</v>
      </c>
      <c r="T493" s="108" t="str">
        <f>"100-R-"&amp;Agencia[[#This Row],[Filtro URL]]</f>
        <v>100-R-9</v>
      </c>
      <c r="U493" s="46" t="str">
        <f t="shared" si="196"/>
        <v>#1774B9</v>
      </c>
      <c r="V493" s="93" t="str">
        <f>+Agencia[[#This Row],[idcoleccion]]&amp;"-"&amp;Agencia[[#This Row],[id]]</f>
        <v>990-0482</v>
      </c>
      <c r="W493" s="93">
        <f>+VLOOKUP(Agencia[[#This Row],[Filtro URL]],Estructura!$X$4:$Y$500,2,0)</f>
        <v>99200009</v>
      </c>
      <c r="X493" s="93" t="str">
        <f>+VLOOKUP(Agencia[[#This Row],[tema]],Estructura!$A$4:$C$500,3,0)</f>
        <v>T-1051</v>
      </c>
      <c r="Y493" s="93" t="str">
        <f>+VLOOKUP(Agencia[[#This Row],[contenido]],Estructura!$E$4:$G$500,3,0)</f>
        <v>C-1018</v>
      </c>
      <c r="Z493" s="93" t="str">
        <f>+VLOOKUP(Agencia[[#This Row],[Filtro Integrado]],Estructura!$I$4:$K$500,3,0)</f>
        <v>FI-993</v>
      </c>
      <c r="AA493" s="93" t="str">
        <f>+VLOOKUP(Agencia[[#This Row],[Muestra]],Estructura!$M$4:$O$500,3,0)</f>
        <v>M-1063</v>
      </c>
    </row>
    <row r="494" spans="1:27" ht="71.400000000000006" x14ac:dyDescent="0.3">
      <c r="A494" s="21" t="s">
        <v>998</v>
      </c>
      <c r="B494" s="23">
        <f t="shared" si="209"/>
        <v>990</v>
      </c>
      <c r="C494" s="24" t="str">
        <f t="shared" si="210"/>
        <v>Agencia Información</v>
      </c>
      <c r="D494" s="72" t="str">
        <f t="shared" si="211"/>
        <v>Educación</v>
      </c>
      <c r="E494" s="19">
        <v>10</v>
      </c>
      <c r="F494" s="18" t="s">
        <v>3607</v>
      </c>
      <c r="G494" s="18" t="s">
        <v>4290</v>
      </c>
      <c r="H494" s="33" t="s">
        <v>16</v>
      </c>
      <c r="I494" s="34" t="s">
        <v>377</v>
      </c>
      <c r="J494" s="9" t="str">
        <f t="shared" si="216"/>
        <v>Ninguno</v>
      </c>
      <c r="K494" s="9" t="str">
        <f t="shared" si="212"/>
        <v>Puntaje</v>
      </c>
      <c r="L494" s="9" t="str">
        <f t="shared" si="213"/>
        <v>Periodo 2014 - 2019</v>
      </c>
      <c r="M494" s="9" t="str">
        <f t="shared" si="214"/>
        <v>Puntaje</v>
      </c>
      <c r="N494" s="9" t="str">
        <f t="shared" si="215"/>
        <v>Agencia de Calidad de la Educación</v>
      </c>
      <c r="O494" s="76" t="str">
        <f>+"Evolución del Indicador de Participación y formación ciudadana por Dependencia de Establecimientos en la "&amp;I494&amp;" para el "&amp;Agencia[[#This Row],[temporalidad]]</f>
        <v>Evolución del Indicador de Participación y formación ciudadana por Dependencia de Establecimientos en la Región de Los Lagos para el Periodo 2014 - 2019</v>
      </c>
      <c r="P494" s="112" t="s">
        <v>6221</v>
      </c>
      <c r="Q494" s="11" t="str">
        <f t="shared" si="195"/>
        <v>Gráfico de Evolución</v>
      </c>
      <c r="R494" s="148" t="str">
        <f>Agencia[[#This Row],[territorio]]&amp;",calidad,puntaje,municipal,subvencionado,corporación,particular,indicador,participación,formación,ciudadana,"&amp;Agencia[[#This Row],[coleccion]]&amp;","&amp;Agencia[[#This Row],[sector]]&amp;","&amp;Agencia[[#This Row],[tema]]&amp;","&amp;Agencia[[#This Row],[contenido]]</f>
        <v>Región de Los Lagos,calidad,puntaje,municipal,subvencionado,corporación,particular,indicador,participación,formación,ciudadana,Agencia Información,Educación,Indicadores de Participación y formación ciudadana,Métricas de la Educación</v>
      </c>
      <c r="S494" s="83" t="str">
        <f>HYPERLINK("https://analytics.zoho.com/open-view/2395394000009042400?ZOHO_CRITERIA=%22Localiza%20CL%22.%22Codreg%22%3D"&amp;Agencia[[#This Row],[Filtro URL]])</f>
        <v>https://analytics.zoho.com/open-view/2395394000009042400?ZOHO_CRITERIA=%22Localiza%20CL%22.%22Codreg%22%3D10</v>
      </c>
      <c r="T494" s="108" t="str">
        <f>"100-R-"&amp;Agencia[[#This Row],[Filtro URL]]</f>
        <v>100-R-10</v>
      </c>
      <c r="U494" s="46" t="str">
        <f t="shared" si="196"/>
        <v>#1774B9</v>
      </c>
      <c r="V494" s="93" t="str">
        <f>+Agencia[[#This Row],[idcoleccion]]&amp;"-"&amp;Agencia[[#This Row],[id]]</f>
        <v>990-0483</v>
      </c>
      <c r="W494" s="93">
        <f>+VLOOKUP(Agencia[[#This Row],[Filtro URL]],Estructura!$X$4:$Y$500,2,0)</f>
        <v>99200010</v>
      </c>
      <c r="X494" s="93" t="str">
        <f>+VLOOKUP(Agencia[[#This Row],[tema]],Estructura!$A$4:$C$500,3,0)</f>
        <v>T-1051</v>
      </c>
      <c r="Y494" s="93" t="str">
        <f>+VLOOKUP(Agencia[[#This Row],[contenido]],Estructura!$E$4:$G$500,3,0)</f>
        <v>C-1018</v>
      </c>
      <c r="Z494" s="93" t="str">
        <f>+VLOOKUP(Agencia[[#This Row],[Filtro Integrado]],Estructura!$I$4:$K$500,3,0)</f>
        <v>FI-993</v>
      </c>
      <c r="AA494" s="93" t="str">
        <f>+VLOOKUP(Agencia[[#This Row],[Muestra]],Estructura!$M$4:$O$500,3,0)</f>
        <v>M-1063</v>
      </c>
    </row>
    <row r="495" spans="1:27" ht="71.400000000000006" x14ac:dyDescent="0.3">
      <c r="A495" s="21" t="s">
        <v>999</v>
      </c>
      <c r="B495" s="23">
        <f t="shared" si="209"/>
        <v>990</v>
      </c>
      <c r="C495" s="24" t="str">
        <f t="shared" si="210"/>
        <v>Agencia Información</v>
      </c>
      <c r="D495" s="72" t="str">
        <f t="shared" si="211"/>
        <v>Educación</v>
      </c>
      <c r="E495" s="19">
        <v>11</v>
      </c>
      <c r="F495" s="18" t="s">
        <v>3607</v>
      </c>
      <c r="G495" s="18" t="s">
        <v>4290</v>
      </c>
      <c r="H495" s="33" t="s">
        <v>16</v>
      </c>
      <c r="I495" s="34" t="s">
        <v>378</v>
      </c>
      <c r="J495" s="9" t="str">
        <f t="shared" si="216"/>
        <v>Ninguno</v>
      </c>
      <c r="K495" s="9" t="str">
        <f t="shared" si="212"/>
        <v>Puntaje</v>
      </c>
      <c r="L495" s="9" t="str">
        <f t="shared" si="213"/>
        <v>Periodo 2014 - 2019</v>
      </c>
      <c r="M495" s="9" t="str">
        <f t="shared" si="214"/>
        <v>Puntaje</v>
      </c>
      <c r="N495" s="9" t="str">
        <f t="shared" si="215"/>
        <v>Agencia de Calidad de la Educación</v>
      </c>
      <c r="O495" s="76" t="str">
        <f>+"Evolución del Indicador de Participación y formación ciudadana por Dependencia de Establecimientos en la "&amp;I495&amp;" para el "&amp;Agencia[[#This Row],[temporalidad]]</f>
        <v>Evolución del Indicador de Participación y formación ciudadana por Dependencia de Establecimientos en la Región de Aysén para el Periodo 2014 - 2019</v>
      </c>
      <c r="P495" s="112" t="s">
        <v>6222</v>
      </c>
      <c r="Q495" s="11" t="str">
        <f t="shared" si="195"/>
        <v>Gráfico de Evolución</v>
      </c>
      <c r="R495" s="148" t="str">
        <f>Agencia[[#This Row],[territorio]]&amp;",calidad,puntaje,municipal,subvencionado,corporación,particular,indicador,participación,formación,ciudadana,"&amp;Agencia[[#This Row],[coleccion]]&amp;","&amp;Agencia[[#This Row],[sector]]&amp;","&amp;Agencia[[#This Row],[tema]]&amp;","&amp;Agencia[[#This Row],[contenido]]</f>
        <v>Región de Aysén,calidad,puntaje,municipal,subvencionado,corporación,particular,indicador,participación,formación,ciudadana,Agencia Información,Educación,Indicadores de Participación y formación ciudadana,Métricas de la Educación</v>
      </c>
      <c r="S495" s="83" t="str">
        <f>HYPERLINK("https://analytics.zoho.com/open-view/2395394000009042400?ZOHO_CRITERIA=%22Localiza%20CL%22.%22Codreg%22%3D"&amp;Agencia[[#This Row],[Filtro URL]])</f>
        <v>https://analytics.zoho.com/open-view/2395394000009042400?ZOHO_CRITERIA=%22Localiza%20CL%22.%22Codreg%22%3D11</v>
      </c>
      <c r="T495" s="108" t="str">
        <f>"100-R-"&amp;Agencia[[#This Row],[Filtro URL]]</f>
        <v>100-R-11</v>
      </c>
      <c r="U495" s="46" t="str">
        <f t="shared" si="196"/>
        <v>#1774B9</v>
      </c>
      <c r="V495" s="93" t="str">
        <f>+Agencia[[#This Row],[idcoleccion]]&amp;"-"&amp;Agencia[[#This Row],[id]]</f>
        <v>990-0484</v>
      </c>
      <c r="W495" s="93">
        <f>+VLOOKUP(Agencia[[#This Row],[Filtro URL]],Estructura!$X$4:$Y$500,2,0)</f>
        <v>99200011</v>
      </c>
      <c r="X495" s="93" t="str">
        <f>+VLOOKUP(Agencia[[#This Row],[tema]],Estructura!$A$4:$C$500,3,0)</f>
        <v>T-1051</v>
      </c>
      <c r="Y495" s="93" t="str">
        <f>+VLOOKUP(Agencia[[#This Row],[contenido]],Estructura!$E$4:$G$500,3,0)</f>
        <v>C-1018</v>
      </c>
      <c r="Z495" s="93" t="str">
        <f>+VLOOKUP(Agencia[[#This Row],[Filtro Integrado]],Estructura!$I$4:$K$500,3,0)</f>
        <v>FI-993</v>
      </c>
      <c r="AA495" s="93" t="str">
        <f>+VLOOKUP(Agencia[[#This Row],[Muestra]],Estructura!$M$4:$O$500,3,0)</f>
        <v>M-1063</v>
      </c>
    </row>
    <row r="496" spans="1:27" ht="71.400000000000006" x14ac:dyDescent="0.3">
      <c r="A496" s="21" t="s">
        <v>1000</v>
      </c>
      <c r="B496" s="23">
        <f t="shared" si="209"/>
        <v>990</v>
      </c>
      <c r="C496" s="24" t="str">
        <f t="shared" si="210"/>
        <v>Agencia Información</v>
      </c>
      <c r="D496" s="72" t="str">
        <f t="shared" si="211"/>
        <v>Educación</v>
      </c>
      <c r="E496" s="19">
        <v>12</v>
      </c>
      <c r="F496" s="18" t="s">
        <v>3607</v>
      </c>
      <c r="G496" s="18" t="s">
        <v>4290</v>
      </c>
      <c r="H496" s="33" t="s">
        <v>16</v>
      </c>
      <c r="I496" s="34" t="s">
        <v>379</v>
      </c>
      <c r="J496" s="9" t="str">
        <f t="shared" si="216"/>
        <v>Ninguno</v>
      </c>
      <c r="K496" s="9" t="str">
        <f t="shared" si="212"/>
        <v>Puntaje</v>
      </c>
      <c r="L496" s="9" t="str">
        <f t="shared" si="213"/>
        <v>Periodo 2014 - 2019</v>
      </c>
      <c r="M496" s="9" t="str">
        <f t="shared" si="214"/>
        <v>Puntaje</v>
      </c>
      <c r="N496" s="9" t="str">
        <f t="shared" si="215"/>
        <v>Agencia de Calidad de la Educación</v>
      </c>
      <c r="O496" s="76" t="str">
        <f>+"Evolución del Indicador de Participación y formación ciudadana por Dependencia de Establecimientos en la "&amp;I496&amp;" para el "&amp;Agencia[[#This Row],[temporalidad]]</f>
        <v>Evolución del Indicador de Participación y formación ciudadana por Dependencia de Establecimientos en la Región de Magallanes para el Periodo 2014 - 2019</v>
      </c>
      <c r="P496" s="112" t="s">
        <v>6223</v>
      </c>
      <c r="Q496" s="11" t="str">
        <f t="shared" si="195"/>
        <v>Gráfico de Evolución</v>
      </c>
      <c r="R496" s="148" t="str">
        <f>Agencia[[#This Row],[territorio]]&amp;",calidad,puntaje,municipal,subvencionado,corporación,particular,indicador,participación,formación,ciudadana,"&amp;Agencia[[#This Row],[coleccion]]&amp;","&amp;Agencia[[#This Row],[sector]]&amp;","&amp;Agencia[[#This Row],[tema]]&amp;","&amp;Agencia[[#This Row],[contenido]]</f>
        <v>Región de Magallanes,calidad,puntaje,municipal,subvencionado,corporación,particular,indicador,participación,formación,ciudadana,Agencia Información,Educación,Indicadores de Participación y formación ciudadana,Métricas de la Educación</v>
      </c>
      <c r="S496" s="83" t="str">
        <f>HYPERLINK("https://analytics.zoho.com/open-view/2395394000009042400?ZOHO_CRITERIA=%22Localiza%20CL%22.%22Codreg%22%3D"&amp;Agencia[[#This Row],[Filtro URL]])</f>
        <v>https://analytics.zoho.com/open-view/2395394000009042400?ZOHO_CRITERIA=%22Localiza%20CL%22.%22Codreg%22%3D12</v>
      </c>
      <c r="T496" s="108" t="str">
        <f>"100-R-"&amp;Agencia[[#This Row],[Filtro URL]]</f>
        <v>100-R-12</v>
      </c>
      <c r="U496" s="46" t="str">
        <f t="shared" si="196"/>
        <v>#1774B9</v>
      </c>
      <c r="V496" s="93" t="str">
        <f>+Agencia[[#This Row],[idcoleccion]]&amp;"-"&amp;Agencia[[#This Row],[id]]</f>
        <v>990-0485</v>
      </c>
      <c r="W496" s="93">
        <f>+VLOOKUP(Agencia[[#This Row],[Filtro URL]],Estructura!$X$4:$Y$500,2,0)</f>
        <v>99200012</v>
      </c>
      <c r="X496" s="93" t="str">
        <f>+VLOOKUP(Agencia[[#This Row],[tema]],Estructura!$A$4:$C$500,3,0)</f>
        <v>T-1051</v>
      </c>
      <c r="Y496" s="93" t="str">
        <f>+VLOOKUP(Agencia[[#This Row],[contenido]],Estructura!$E$4:$G$500,3,0)</f>
        <v>C-1018</v>
      </c>
      <c r="Z496" s="93" t="str">
        <f>+VLOOKUP(Agencia[[#This Row],[Filtro Integrado]],Estructura!$I$4:$K$500,3,0)</f>
        <v>FI-993</v>
      </c>
      <c r="AA496" s="93" t="str">
        <f>+VLOOKUP(Agencia[[#This Row],[Muestra]],Estructura!$M$4:$O$500,3,0)</f>
        <v>M-1063</v>
      </c>
    </row>
    <row r="497" spans="1:27" ht="71.400000000000006" x14ac:dyDescent="0.3">
      <c r="A497" s="21" t="s">
        <v>1001</v>
      </c>
      <c r="B497" s="23">
        <f t="shared" si="209"/>
        <v>990</v>
      </c>
      <c r="C497" s="24" t="str">
        <f t="shared" si="210"/>
        <v>Agencia Información</v>
      </c>
      <c r="D497" s="72" t="str">
        <f t="shared" si="211"/>
        <v>Educación</v>
      </c>
      <c r="E497" s="19">
        <v>13</v>
      </c>
      <c r="F497" s="18" t="s">
        <v>3607</v>
      </c>
      <c r="G497" s="18" t="s">
        <v>4290</v>
      </c>
      <c r="H497" s="33" t="s">
        <v>16</v>
      </c>
      <c r="I497" s="34" t="s">
        <v>380</v>
      </c>
      <c r="J497" s="9" t="str">
        <f t="shared" si="216"/>
        <v>Ninguno</v>
      </c>
      <c r="K497" s="9" t="str">
        <f t="shared" si="212"/>
        <v>Puntaje</v>
      </c>
      <c r="L497" s="9" t="str">
        <f t="shared" si="213"/>
        <v>Periodo 2014 - 2019</v>
      </c>
      <c r="M497" s="9" t="str">
        <f t="shared" si="214"/>
        <v>Puntaje</v>
      </c>
      <c r="N497" s="9" t="str">
        <f t="shared" si="215"/>
        <v>Agencia de Calidad de la Educación</v>
      </c>
      <c r="O497" s="76" t="str">
        <f>+"Evolución del Indicador de Participación y formación ciudadana por Dependencia de Establecimientos en la "&amp;I497&amp;" para el "&amp;Agencia[[#This Row],[temporalidad]]</f>
        <v>Evolución del Indicador de Participación y formación ciudadana por Dependencia de Establecimientos en la Región Metropolitana para el Periodo 2014 - 2019</v>
      </c>
      <c r="P497" s="112" t="s">
        <v>6224</v>
      </c>
      <c r="Q497" s="11" t="str">
        <f t="shared" si="195"/>
        <v>Gráfico de Evolución</v>
      </c>
      <c r="R497" s="148" t="str">
        <f>Agencia[[#This Row],[territorio]]&amp;",calidad,puntaje,municipal,subvencionado,corporación,particular,indicador,participación,formación,ciudadana,"&amp;Agencia[[#This Row],[coleccion]]&amp;","&amp;Agencia[[#This Row],[sector]]&amp;","&amp;Agencia[[#This Row],[tema]]&amp;","&amp;Agencia[[#This Row],[contenido]]</f>
        <v>Región Metropolitana,calidad,puntaje,municipal,subvencionado,corporación,particular,indicador,participación,formación,ciudadana,Agencia Información,Educación,Indicadores de Participación y formación ciudadana,Métricas de la Educación</v>
      </c>
      <c r="S497" s="83" t="str">
        <f>HYPERLINK("https://analytics.zoho.com/open-view/2395394000009042400?ZOHO_CRITERIA=%22Localiza%20CL%22.%22Codreg%22%3D"&amp;Agencia[[#This Row],[Filtro URL]])</f>
        <v>https://analytics.zoho.com/open-view/2395394000009042400?ZOHO_CRITERIA=%22Localiza%20CL%22.%22Codreg%22%3D13</v>
      </c>
      <c r="T497" s="108" t="str">
        <f>"200-R-"&amp;Agencia[[#This Row],[Filtro URL]]</f>
        <v>200-R-13</v>
      </c>
      <c r="U497" s="46" t="str">
        <f t="shared" si="196"/>
        <v>#1774B9</v>
      </c>
      <c r="V497" s="93" t="str">
        <f>+Agencia[[#This Row],[idcoleccion]]&amp;"-"&amp;Agencia[[#This Row],[id]]</f>
        <v>990-0486</v>
      </c>
      <c r="W497" s="93">
        <f>+VLOOKUP(Agencia[[#This Row],[Filtro URL]],Estructura!$X$4:$Y$500,2,0)</f>
        <v>99200013</v>
      </c>
      <c r="X497" s="93" t="str">
        <f>+VLOOKUP(Agencia[[#This Row],[tema]],Estructura!$A$4:$C$500,3,0)</f>
        <v>T-1051</v>
      </c>
      <c r="Y497" s="93" t="str">
        <f>+VLOOKUP(Agencia[[#This Row],[contenido]],Estructura!$E$4:$G$500,3,0)</f>
        <v>C-1018</v>
      </c>
      <c r="Z497" s="93" t="str">
        <f>+VLOOKUP(Agencia[[#This Row],[Filtro Integrado]],Estructura!$I$4:$K$500,3,0)</f>
        <v>FI-993</v>
      </c>
      <c r="AA497" s="93" t="str">
        <f>+VLOOKUP(Agencia[[#This Row],[Muestra]],Estructura!$M$4:$O$500,3,0)</f>
        <v>M-1063</v>
      </c>
    </row>
    <row r="498" spans="1:27" ht="71.400000000000006" x14ac:dyDescent="0.3">
      <c r="A498" s="21" t="s">
        <v>1002</v>
      </c>
      <c r="B498" s="23">
        <f t="shared" si="209"/>
        <v>990</v>
      </c>
      <c r="C498" s="24" t="str">
        <f t="shared" si="210"/>
        <v>Agencia Información</v>
      </c>
      <c r="D498" s="72" t="str">
        <f t="shared" si="211"/>
        <v>Educación</v>
      </c>
      <c r="E498" s="19">
        <v>14</v>
      </c>
      <c r="F498" s="18" t="s">
        <v>3607</v>
      </c>
      <c r="G498" s="18" t="s">
        <v>4290</v>
      </c>
      <c r="H498" s="33" t="s">
        <v>16</v>
      </c>
      <c r="I498" s="34" t="s">
        <v>381</v>
      </c>
      <c r="J498" s="9" t="str">
        <f t="shared" si="216"/>
        <v>Ninguno</v>
      </c>
      <c r="K498" s="9" t="str">
        <f t="shared" si="212"/>
        <v>Puntaje</v>
      </c>
      <c r="L498" s="9" t="str">
        <f t="shared" si="213"/>
        <v>Periodo 2014 - 2019</v>
      </c>
      <c r="M498" s="9" t="str">
        <f t="shared" si="214"/>
        <v>Puntaje</v>
      </c>
      <c r="N498" s="9" t="str">
        <f t="shared" si="215"/>
        <v>Agencia de Calidad de la Educación</v>
      </c>
      <c r="O498" s="76" t="str">
        <f>+"Evolución del Indicador de Participación y formación ciudadana por Dependencia de Establecimientos en la "&amp;I498&amp;" para el "&amp;Agencia[[#This Row],[temporalidad]]</f>
        <v>Evolución del Indicador de Participación y formación ciudadana por Dependencia de Establecimientos en la Región de Los Ríos para el Periodo 2014 - 2019</v>
      </c>
      <c r="P498" s="112" t="s">
        <v>6226</v>
      </c>
      <c r="Q498" s="11" t="str">
        <f t="shared" si="195"/>
        <v>Gráfico de Evolución</v>
      </c>
      <c r="R498" s="148" t="str">
        <f>Agencia[[#This Row],[territorio]]&amp;",calidad,puntaje,municipal,subvencionado,corporación,particular,indicador,participación,formación,ciudadana,"&amp;Agencia[[#This Row],[coleccion]]&amp;","&amp;Agencia[[#This Row],[sector]]&amp;","&amp;Agencia[[#This Row],[tema]]&amp;","&amp;Agencia[[#This Row],[contenido]]</f>
        <v>Región de Los Ríos,calidad,puntaje,municipal,subvencionado,corporación,particular,indicador,participación,formación,ciudadana,Agencia Información,Educación,Indicadores de Participación y formación ciudadana,Métricas de la Educación</v>
      </c>
      <c r="S498" s="83" t="str">
        <f>HYPERLINK("https://analytics.zoho.com/open-view/2395394000009042400?ZOHO_CRITERIA=%22Localiza%20CL%22.%22Codreg%22%3D"&amp;Agencia[[#This Row],[Filtro URL]])</f>
        <v>https://analytics.zoho.com/open-view/2395394000009042400?ZOHO_CRITERIA=%22Localiza%20CL%22.%22Codreg%22%3D14</v>
      </c>
      <c r="T498" s="108" t="str">
        <f>"100-R-"&amp;Agencia[[#This Row],[Filtro URL]]</f>
        <v>100-R-14</v>
      </c>
      <c r="U498" s="46" t="str">
        <f t="shared" si="196"/>
        <v>#1774B9</v>
      </c>
      <c r="V498" s="93" t="str">
        <f>+Agencia[[#This Row],[idcoleccion]]&amp;"-"&amp;Agencia[[#This Row],[id]]</f>
        <v>990-0487</v>
      </c>
      <c r="W498" s="93">
        <f>+VLOOKUP(Agencia[[#This Row],[Filtro URL]],Estructura!$X$4:$Y$500,2,0)</f>
        <v>99200014</v>
      </c>
      <c r="X498" s="93" t="str">
        <f>+VLOOKUP(Agencia[[#This Row],[tema]],Estructura!$A$4:$C$500,3,0)</f>
        <v>T-1051</v>
      </c>
      <c r="Y498" s="93" t="str">
        <f>+VLOOKUP(Agencia[[#This Row],[contenido]],Estructura!$E$4:$G$500,3,0)</f>
        <v>C-1018</v>
      </c>
      <c r="Z498" s="93" t="str">
        <f>+VLOOKUP(Agencia[[#This Row],[Filtro Integrado]],Estructura!$I$4:$K$500,3,0)</f>
        <v>FI-993</v>
      </c>
      <c r="AA498" s="93" t="str">
        <f>+VLOOKUP(Agencia[[#This Row],[Muestra]],Estructura!$M$4:$O$500,3,0)</f>
        <v>M-1063</v>
      </c>
    </row>
    <row r="499" spans="1:27" ht="71.400000000000006" x14ac:dyDescent="0.3">
      <c r="A499" s="21" t="s">
        <v>1003</v>
      </c>
      <c r="B499" s="23">
        <f t="shared" si="209"/>
        <v>990</v>
      </c>
      <c r="C499" s="24" t="str">
        <f t="shared" si="210"/>
        <v>Agencia Información</v>
      </c>
      <c r="D499" s="72" t="str">
        <f t="shared" si="211"/>
        <v>Educación</v>
      </c>
      <c r="E499" s="19">
        <v>15</v>
      </c>
      <c r="F499" s="18" t="s">
        <v>3607</v>
      </c>
      <c r="G499" s="18" t="s">
        <v>4290</v>
      </c>
      <c r="H499" s="33" t="s">
        <v>16</v>
      </c>
      <c r="I499" s="34" t="s">
        <v>382</v>
      </c>
      <c r="J499" s="9" t="str">
        <f t="shared" si="216"/>
        <v>Ninguno</v>
      </c>
      <c r="K499" s="9" t="str">
        <f t="shared" si="212"/>
        <v>Puntaje</v>
      </c>
      <c r="L499" s="9" t="str">
        <f t="shared" si="213"/>
        <v>Periodo 2014 - 2019</v>
      </c>
      <c r="M499" s="9" t="str">
        <f t="shared" si="214"/>
        <v>Puntaje</v>
      </c>
      <c r="N499" s="9" t="str">
        <f t="shared" si="215"/>
        <v>Agencia de Calidad de la Educación</v>
      </c>
      <c r="O499" s="76" t="str">
        <f>+"Evolución del Indicador de Participación y formación ciudadana por Dependencia de Establecimientos en la "&amp;I499&amp;" para el "&amp;Agencia[[#This Row],[temporalidad]]</f>
        <v>Evolución del Indicador de Participación y formación ciudadana por Dependencia de Establecimientos en la Región de Arica y Parinacota para el Periodo 2014 - 2019</v>
      </c>
      <c r="P499" s="112" t="s">
        <v>6227</v>
      </c>
      <c r="Q499" s="11" t="str">
        <f t="shared" si="195"/>
        <v>Gráfico de Evolución</v>
      </c>
      <c r="R499" s="148" t="str">
        <f>Agencia[[#This Row],[territorio]]&amp;",calidad,puntaje,municipal,subvencionado,corporación,particular,indicador,participación,formación,ciudadana,"&amp;Agencia[[#This Row],[coleccion]]&amp;","&amp;Agencia[[#This Row],[sector]]&amp;","&amp;Agencia[[#This Row],[tema]]&amp;","&amp;Agencia[[#This Row],[contenido]]</f>
        <v>Región de Arica y Parinacota,calidad,puntaje,municipal,subvencionado,corporación,particular,indicador,participación,formación,ciudadana,Agencia Información,Educación,Indicadores de Participación y formación ciudadana,Métricas de la Educación</v>
      </c>
      <c r="S499" s="83" t="str">
        <f>HYPERLINK("https://analytics.zoho.com/open-view/2395394000009042400?ZOHO_CRITERIA=%22Localiza%20CL%22.%22Codreg%22%3D"&amp;Agencia[[#This Row],[Filtro URL]])</f>
        <v>https://analytics.zoho.com/open-view/2395394000009042400?ZOHO_CRITERIA=%22Localiza%20CL%22.%22Codreg%22%3D15</v>
      </c>
      <c r="T499" s="108" t="str">
        <f>"100-R-"&amp;Agencia[[#This Row],[Filtro URL]]</f>
        <v>100-R-15</v>
      </c>
      <c r="U499" s="46" t="str">
        <f t="shared" si="196"/>
        <v>#1774B9</v>
      </c>
      <c r="V499" s="93" t="str">
        <f>+Agencia[[#This Row],[idcoleccion]]&amp;"-"&amp;Agencia[[#This Row],[id]]</f>
        <v>990-0488</v>
      </c>
      <c r="W499" s="93">
        <f>+VLOOKUP(Agencia[[#This Row],[Filtro URL]],Estructura!$X$4:$Y$500,2,0)</f>
        <v>99200015</v>
      </c>
      <c r="X499" s="93" t="str">
        <f>+VLOOKUP(Agencia[[#This Row],[tema]],Estructura!$A$4:$C$500,3,0)</f>
        <v>T-1051</v>
      </c>
      <c r="Y499" s="93" t="str">
        <f>+VLOOKUP(Agencia[[#This Row],[contenido]],Estructura!$E$4:$G$500,3,0)</f>
        <v>C-1018</v>
      </c>
      <c r="Z499" s="93" t="str">
        <f>+VLOOKUP(Agencia[[#This Row],[Filtro Integrado]],Estructura!$I$4:$K$500,3,0)</f>
        <v>FI-993</v>
      </c>
      <c r="AA499" s="93" t="str">
        <f>+VLOOKUP(Agencia[[#This Row],[Muestra]],Estructura!$M$4:$O$500,3,0)</f>
        <v>M-1063</v>
      </c>
    </row>
    <row r="500" spans="1:27" ht="71.400000000000006" x14ac:dyDescent="0.3">
      <c r="A500" s="21" t="s">
        <v>1004</v>
      </c>
      <c r="B500" s="23">
        <f t="shared" si="209"/>
        <v>990</v>
      </c>
      <c r="C500" s="24" t="str">
        <f t="shared" si="210"/>
        <v>Agencia Información</v>
      </c>
      <c r="D500" s="72" t="str">
        <f t="shared" si="211"/>
        <v>Educación</v>
      </c>
      <c r="E500" s="19">
        <v>16</v>
      </c>
      <c r="F500" s="18" t="s">
        <v>3607</v>
      </c>
      <c r="G500" s="18" t="s">
        <v>4290</v>
      </c>
      <c r="H500" s="33" t="s">
        <v>16</v>
      </c>
      <c r="I500" s="34" t="s">
        <v>383</v>
      </c>
      <c r="J500" s="9" t="str">
        <f t="shared" si="216"/>
        <v>Ninguno</v>
      </c>
      <c r="K500" s="9" t="str">
        <f t="shared" si="212"/>
        <v>Puntaje</v>
      </c>
      <c r="L500" s="9" t="str">
        <f t="shared" si="213"/>
        <v>Periodo 2014 - 2019</v>
      </c>
      <c r="M500" s="9" t="str">
        <f t="shared" si="214"/>
        <v>Puntaje</v>
      </c>
      <c r="N500" s="9" t="str">
        <f t="shared" si="215"/>
        <v>Agencia de Calidad de la Educación</v>
      </c>
      <c r="O500" s="76" t="str">
        <f>+"Evolución del Indicador de Participación y formación ciudadana por Dependencia de Establecimientos en la "&amp;I500&amp;" para el "&amp;Agencia[[#This Row],[temporalidad]]</f>
        <v>Evolución del Indicador de Participación y formación ciudadana por Dependencia de Establecimientos en la Región de Ñuble para el Periodo 2014 - 2019</v>
      </c>
      <c r="P500" s="112" t="s">
        <v>6228</v>
      </c>
      <c r="Q500" s="11" t="str">
        <f t="shared" si="195"/>
        <v>Gráfico de Evolución</v>
      </c>
      <c r="R500" s="148" t="str">
        <f>Agencia[[#This Row],[territorio]]&amp;",calidad,puntaje,municipal,subvencionado,corporación,particular,indicador,participación,formación,ciudadana,"&amp;Agencia[[#This Row],[coleccion]]&amp;","&amp;Agencia[[#This Row],[sector]]&amp;","&amp;Agencia[[#This Row],[tema]]&amp;","&amp;Agencia[[#This Row],[contenido]]</f>
        <v>Región de Ñuble,calidad,puntaje,municipal,subvencionado,corporación,particular,indicador,participación,formación,ciudadana,Agencia Información,Educación,Indicadores de Participación y formación ciudadana,Métricas de la Educación</v>
      </c>
      <c r="S500" s="83" t="str">
        <f>HYPERLINK("https://analytics.zoho.com/open-view/2395394000009042400?ZOHO_CRITERIA=%22Localiza%20CL%22.%22Codreg%22%3D"&amp;Agencia[[#This Row],[Filtro URL]])</f>
        <v>https://analytics.zoho.com/open-view/2395394000009042400?ZOHO_CRITERIA=%22Localiza%20CL%22.%22Codreg%22%3D16</v>
      </c>
      <c r="T500" s="108" t="str">
        <f>"100-R-"&amp;Agencia[[#This Row],[Filtro URL]]</f>
        <v>100-R-16</v>
      </c>
      <c r="U500" s="46" t="str">
        <f t="shared" si="196"/>
        <v>#1774B9</v>
      </c>
      <c r="V500" s="93" t="str">
        <f>+Agencia[[#This Row],[idcoleccion]]&amp;"-"&amp;Agencia[[#This Row],[id]]</f>
        <v>990-0489</v>
      </c>
      <c r="W500" s="93">
        <f>+VLOOKUP(Agencia[[#This Row],[Filtro URL]],Estructura!$X$4:$Y$500,2,0)</f>
        <v>99200016</v>
      </c>
      <c r="X500" s="93" t="str">
        <f>+VLOOKUP(Agencia[[#This Row],[tema]],Estructura!$A$4:$C$500,3,0)</f>
        <v>T-1051</v>
      </c>
      <c r="Y500" s="93" t="str">
        <f>+VLOOKUP(Agencia[[#This Row],[contenido]],Estructura!$E$4:$G$500,3,0)</f>
        <v>C-1018</v>
      </c>
      <c r="Z500" s="93" t="str">
        <f>+VLOOKUP(Agencia[[#This Row],[Filtro Integrado]],Estructura!$I$4:$K$500,3,0)</f>
        <v>FI-993</v>
      </c>
      <c r="AA500" s="93" t="str">
        <f>+VLOOKUP(Agencia[[#This Row],[Muestra]],Estructura!$M$4:$O$500,3,0)</f>
        <v>M-1063</v>
      </c>
    </row>
    <row r="501" spans="1:27" ht="36" x14ac:dyDescent="0.3">
      <c r="A501" s="21" t="s">
        <v>1005</v>
      </c>
      <c r="B501" s="23">
        <f t="shared" si="209"/>
        <v>990</v>
      </c>
      <c r="C501" s="24" t="str">
        <f t="shared" si="210"/>
        <v>Agencia Información</v>
      </c>
      <c r="D501" s="72" t="s">
        <v>459</v>
      </c>
      <c r="E501" s="14">
        <v>0</v>
      </c>
      <c r="F501" s="18" t="s">
        <v>1431</v>
      </c>
      <c r="G501" s="18" t="s">
        <v>1877</v>
      </c>
      <c r="H501" s="31" t="s">
        <v>20</v>
      </c>
      <c r="I501" s="32" t="s">
        <v>15</v>
      </c>
      <c r="J501" s="9" t="s">
        <v>16</v>
      </c>
      <c r="K501" s="9" t="s">
        <v>1432</v>
      </c>
      <c r="L501" s="9" t="s">
        <v>1373</v>
      </c>
      <c r="M501" s="9" t="s">
        <v>1433</v>
      </c>
      <c r="N501" s="66" t="s">
        <v>1441</v>
      </c>
      <c r="O501" s="20" t="str">
        <f>+"Edad de Víctimas de Femicidios en "&amp;I501&amp;" para el "&amp;Agencia[[#This Row],[temporalidad]]</f>
        <v>Edad de Víctimas de Femicidios en Chile para el Periodo 2010-2021</v>
      </c>
      <c r="P501" s="112" t="s">
        <v>1434</v>
      </c>
      <c r="Q501" s="11" t="s">
        <v>576</v>
      </c>
      <c r="R501" s="20" t="str">
        <f>Agencia[[#This Row],[territorio]]&amp;"femicidio,edad,víctima,mujer,"&amp;Agencia[[#This Row],[coleccion]]&amp;","&amp;Agencia[[#This Row],[sector]]&amp;","&amp;Agencia[[#This Row],[tema]]&amp;","&amp;Agencia[[#This Row],[contenido]]</f>
        <v>Chilefemicidio,edad,víctima,mujer,Agencia Información,Mujeres,Femicidios,Violencia Contra la Mujer</v>
      </c>
      <c r="S501" s="37" t="s">
        <v>1435</v>
      </c>
      <c r="T501" s="108" t="s">
        <v>805</v>
      </c>
      <c r="U501" s="46" t="str">
        <f t="shared" si="196"/>
        <v>#1774B9</v>
      </c>
      <c r="V501" s="93" t="str">
        <f>+Agencia[[#This Row],[idcoleccion]]&amp;"-"&amp;Agencia[[#This Row],[id]]</f>
        <v>990-0490</v>
      </c>
      <c r="W501" s="93">
        <f>+VLOOKUP(Agencia[[#This Row],[Filtro URL]],Estructura!$X$4:$Y$500,2,0)</f>
        <v>99100000</v>
      </c>
      <c r="X501" s="93" t="str">
        <f>+VLOOKUP(Agencia[[#This Row],[tema]],Estructura!$A$4:$C$500,3,0)</f>
        <v>T-1033</v>
      </c>
      <c r="Y501" s="93" t="str">
        <f>+VLOOKUP(Agencia[[#This Row],[contenido]],Estructura!$E$4:$G$500,3,0)</f>
        <v>C-996</v>
      </c>
      <c r="Z501" s="93" t="str">
        <f>+VLOOKUP(Agencia[[#This Row],[Filtro Integrado]],Estructura!$I$4:$K$500,3,0)</f>
        <v>FI-992</v>
      </c>
      <c r="AA501" s="93" t="str">
        <f>+VLOOKUP(Agencia[[#This Row],[Muestra]],Estructura!$M$4:$O$500,3,0)</f>
        <v>M-1004</v>
      </c>
    </row>
    <row r="502" spans="1:27" ht="57.6" x14ac:dyDescent="0.3">
      <c r="A502" s="21" t="s">
        <v>1006</v>
      </c>
      <c r="B502" s="23">
        <f t="shared" si="209"/>
        <v>990</v>
      </c>
      <c r="C502" s="24" t="str">
        <f t="shared" si="210"/>
        <v>Agencia Información</v>
      </c>
      <c r="D502" s="72" t="str">
        <f t="shared" ref="D502:D517" si="217">+D501</f>
        <v>Mujeres</v>
      </c>
      <c r="E502" s="19">
        <v>1</v>
      </c>
      <c r="F502" s="18" t="s">
        <v>1431</v>
      </c>
      <c r="G502" s="18" t="s">
        <v>1877</v>
      </c>
      <c r="H502" s="33" t="s">
        <v>16</v>
      </c>
      <c r="I502" s="34" t="s">
        <v>368</v>
      </c>
      <c r="J502" s="9" t="str">
        <f t="shared" ref="J502:J517" si="218">+J501</f>
        <v>Región</v>
      </c>
      <c r="K502" s="9" t="str">
        <f t="shared" ref="K502:K517" si="219">+K501</f>
        <v>Cantidad de víctimas por edad</v>
      </c>
      <c r="L502" s="9" t="str">
        <f t="shared" ref="L502:L517" si="220">+L501</f>
        <v>Periodo 2010-2021</v>
      </c>
      <c r="M502" s="9" t="str">
        <f t="shared" ref="M502:M517" si="221">+M501</f>
        <v>Número de víctimas</v>
      </c>
      <c r="N502" s="36" t="str">
        <f t="shared" ref="N502:N517" si="222">+N501</f>
        <v>Ministerio de la Mujer y Equidad de Género (MINMEG)</v>
      </c>
      <c r="O502" s="20" t="str">
        <f>+"Edad de Víctimas de Femicidios en la "&amp;I502&amp;" para el "&amp;Agencia[[#This Row],[temporalidad]]</f>
        <v>Edad de Víctimas de Femicidios en la Región de Tarapacá para el Periodo 2010-2021</v>
      </c>
      <c r="P502" s="112" t="s">
        <v>6908</v>
      </c>
      <c r="Q502" s="11" t="str">
        <f t="shared" si="195"/>
        <v>Gráfico</v>
      </c>
      <c r="R502" s="70" t="str">
        <f>Agencia[[#This Row],[territorio]]&amp;",femicidio,edad,víctima,mujer,"&amp;Agencia[[#This Row],[coleccion]]&amp;","&amp;Agencia[[#This Row],[sector]]&amp;","&amp;Agencia[[#This Row],[tema]]&amp;","&amp;Agencia[[#This Row],[contenido]]</f>
        <v>Región de Tarapacá,femicidio,edad,víctima,mujer,Agencia Información,Mujeres,Femicidios,Violencia Contra la Mujer</v>
      </c>
      <c r="S502" s="83" t="str">
        <f>HYPERLINK("https://analytics.zoho.com/open-view/2395394000009080171?ZOHO_CRITERIA=%22Localiza%20CL%22.%22Codreg%22%3D"&amp;Agencia[[#This Row],[Filtro URL]])</f>
        <v>https://analytics.zoho.com/open-view/2395394000009080171?ZOHO_CRITERIA=%22Localiza%20CL%22.%22Codreg%22%3D1</v>
      </c>
      <c r="T502" s="108" t="str">
        <f>"100-R-"&amp;Agencia[[#This Row],[Filtro URL]]</f>
        <v>100-R-1</v>
      </c>
      <c r="U502" s="46" t="str">
        <f t="shared" si="196"/>
        <v>#1774B9</v>
      </c>
      <c r="V502" s="93" t="str">
        <f>+Agencia[[#This Row],[idcoleccion]]&amp;"-"&amp;Agencia[[#This Row],[id]]</f>
        <v>990-0491</v>
      </c>
      <c r="W502" s="93">
        <f>+VLOOKUP(Agencia[[#This Row],[Filtro URL]],Estructura!$X$4:$Y$500,2,0)</f>
        <v>99200001</v>
      </c>
      <c r="X502" s="93" t="str">
        <f>+VLOOKUP(Agencia[[#This Row],[tema]],Estructura!$A$4:$C$500,3,0)</f>
        <v>T-1033</v>
      </c>
      <c r="Y502" s="93" t="str">
        <f>+VLOOKUP(Agencia[[#This Row],[contenido]],Estructura!$E$4:$G$500,3,0)</f>
        <v>C-996</v>
      </c>
      <c r="Z502" s="93" t="str">
        <f>+VLOOKUP(Agencia[[#This Row],[Filtro Integrado]],Estructura!$I$4:$K$500,3,0)</f>
        <v>FI-992</v>
      </c>
      <c r="AA502" s="93" t="str">
        <f>+VLOOKUP(Agencia[[#This Row],[Muestra]],Estructura!$M$4:$O$500,3,0)</f>
        <v>M-1004</v>
      </c>
    </row>
    <row r="503" spans="1:27" ht="57.6" x14ac:dyDescent="0.3">
      <c r="A503" s="21" t="s">
        <v>1007</v>
      </c>
      <c r="B503" s="23">
        <f t="shared" si="209"/>
        <v>990</v>
      </c>
      <c r="C503" s="24" t="str">
        <f t="shared" si="210"/>
        <v>Agencia Información</v>
      </c>
      <c r="D503" s="72" t="str">
        <f t="shared" si="217"/>
        <v>Mujeres</v>
      </c>
      <c r="E503" s="19">
        <v>2</v>
      </c>
      <c r="F503" s="18" t="s">
        <v>1431</v>
      </c>
      <c r="G503" s="18" t="s">
        <v>1877</v>
      </c>
      <c r="H503" s="33" t="s">
        <v>16</v>
      </c>
      <c r="I503" s="34" t="s">
        <v>369</v>
      </c>
      <c r="J503" s="9" t="str">
        <f t="shared" si="218"/>
        <v>Región</v>
      </c>
      <c r="K503" s="9" t="str">
        <f t="shared" si="219"/>
        <v>Cantidad de víctimas por edad</v>
      </c>
      <c r="L503" s="9" t="str">
        <f t="shared" si="220"/>
        <v>Periodo 2010-2021</v>
      </c>
      <c r="M503" s="9" t="str">
        <f t="shared" si="221"/>
        <v>Número de víctimas</v>
      </c>
      <c r="N503" s="36" t="str">
        <f t="shared" si="222"/>
        <v>Ministerio de la Mujer y Equidad de Género (MINMEG)</v>
      </c>
      <c r="O503" s="20" t="str">
        <f>+"Edad de Víctimas de Femicidios en la "&amp;I503&amp;" para el "&amp;Agencia[[#This Row],[temporalidad]]</f>
        <v>Edad de Víctimas de Femicidios en la Región de Antofagasta para el Periodo 2010-2021</v>
      </c>
      <c r="P503" s="112" t="s">
        <v>6909</v>
      </c>
      <c r="Q503" s="11" t="str">
        <f t="shared" si="195"/>
        <v>Gráfico</v>
      </c>
      <c r="R503" s="148" t="str">
        <f>Agencia[[#This Row],[territorio]]&amp;",femicidio,edad,víctima,mujer,"&amp;Agencia[[#This Row],[coleccion]]&amp;","&amp;Agencia[[#This Row],[sector]]&amp;","&amp;Agencia[[#This Row],[tema]]&amp;","&amp;Agencia[[#This Row],[contenido]]</f>
        <v>Región de Antofagasta,femicidio,edad,víctima,mujer,Agencia Información,Mujeres,Femicidios,Violencia Contra la Mujer</v>
      </c>
      <c r="S503" s="83" t="str">
        <f>HYPERLINK("https://analytics.zoho.com/open-view/2395394000009080171?ZOHO_CRITERIA=%22Localiza%20CL%22.%22Codreg%22%3D"&amp;Agencia[[#This Row],[Filtro URL]])</f>
        <v>https://analytics.zoho.com/open-view/2395394000009080171?ZOHO_CRITERIA=%22Localiza%20CL%22.%22Codreg%22%3D2</v>
      </c>
      <c r="T503" s="108" t="str">
        <f>"100-R-"&amp;Agencia[[#This Row],[Filtro URL]]</f>
        <v>100-R-2</v>
      </c>
      <c r="U503" s="46" t="str">
        <f t="shared" si="196"/>
        <v>#1774B9</v>
      </c>
      <c r="V503" s="93" t="str">
        <f>+Agencia[[#This Row],[idcoleccion]]&amp;"-"&amp;Agencia[[#This Row],[id]]</f>
        <v>990-0492</v>
      </c>
      <c r="W503" s="93">
        <f>+VLOOKUP(Agencia[[#This Row],[Filtro URL]],Estructura!$X$4:$Y$500,2,0)</f>
        <v>99200002</v>
      </c>
      <c r="X503" s="93" t="str">
        <f>+VLOOKUP(Agencia[[#This Row],[tema]],Estructura!$A$4:$C$500,3,0)</f>
        <v>T-1033</v>
      </c>
      <c r="Y503" s="93" t="str">
        <f>+VLOOKUP(Agencia[[#This Row],[contenido]],Estructura!$E$4:$G$500,3,0)</f>
        <v>C-996</v>
      </c>
      <c r="Z503" s="93" t="str">
        <f>+VLOOKUP(Agencia[[#This Row],[Filtro Integrado]],Estructura!$I$4:$K$500,3,0)</f>
        <v>FI-992</v>
      </c>
      <c r="AA503" s="93" t="str">
        <f>+VLOOKUP(Agencia[[#This Row],[Muestra]],Estructura!$M$4:$O$500,3,0)</f>
        <v>M-1004</v>
      </c>
    </row>
    <row r="504" spans="1:27" ht="57.6" x14ac:dyDescent="0.3">
      <c r="A504" s="21" t="s">
        <v>1008</v>
      </c>
      <c r="B504" s="23">
        <f t="shared" si="209"/>
        <v>990</v>
      </c>
      <c r="C504" s="24" t="str">
        <f t="shared" si="210"/>
        <v>Agencia Información</v>
      </c>
      <c r="D504" s="72" t="str">
        <f t="shared" si="217"/>
        <v>Mujeres</v>
      </c>
      <c r="E504" s="19">
        <v>3</v>
      </c>
      <c r="F504" s="18" t="s">
        <v>1431</v>
      </c>
      <c r="G504" s="18" t="s">
        <v>1877</v>
      </c>
      <c r="H504" s="33" t="s">
        <v>16</v>
      </c>
      <c r="I504" s="34" t="s">
        <v>370</v>
      </c>
      <c r="J504" s="9" t="str">
        <f t="shared" si="218"/>
        <v>Región</v>
      </c>
      <c r="K504" s="9" t="str">
        <f t="shared" si="219"/>
        <v>Cantidad de víctimas por edad</v>
      </c>
      <c r="L504" s="9" t="str">
        <f t="shared" si="220"/>
        <v>Periodo 2010-2021</v>
      </c>
      <c r="M504" s="9" t="str">
        <f t="shared" si="221"/>
        <v>Número de víctimas</v>
      </c>
      <c r="N504" s="36" t="str">
        <f t="shared" si="222"/>
        <v>Ministerio de la Mujer y Equidad de Género (MINMEG)</v>
      </c>
      <c r="O504" s="20" t="str">
        <f>+"Edad de Víctimas de Femicidios en la "&amp;I504&amp;" para el "&amp;Agencia[[#This Row],[temporalidad]]</f>
        <v>Edad de Víctimas de Femicidios en la Región de Atacama para el Periodo 2010-2021</v>
      </c>
      <c r="P504" s="112" t="s">
        <v>6910</v>
      </c>
      <c r="Q504" s="11" t="str">
        <f t="shared" si="195"/>
        <v>Gráfico</v>
      </c>
      <c r="R504" s="148" t="str">
        <f>Agencia[[#This Row],[territorio]]&amp;",femicidio,edad,víctima,mujer,"&amp;Agencia[[#This Row],[coleccion]]&amp;","&amp;Agencia[[#This Row],[sector]]&amp;","&amp;Agencia[[#This Row],[tema]]&amp;","&amp;Agencia[[#This Row],[contenido]]</f>
        <v>Región de Atacama,femicidio,edad,víctima,mujer,Agencia Información,Mujeres,Femicidios,Violencia Contra la Mujer</v>
      </c>
      <c r="S504" s="83" t="str">
        <f>HYPERLINK("https://analytics.zoho.com/open-view/2395394000009080171?ZOHO_CRITERIA=%22Localiza%20CL%22.%22Codreg%22%3D"&amp;Agencia[[#This Row],[Filtro URL]])</f>
        <v>https://analytics.zoho.com/open-view/2395394000009080171?ZOHO_CRITERIA=%22Localiza%20CL%22.%22Codreg%22%3D3</v>
      </c>
      <c r="T504" s="108" t="str">
        <f>"100-R-"&amp;Agencia[[#This Row],[Filtro URL]]</f>
        <v>100-R-3</v>
      </c>
      <c r="U504" s="46" t="str">
        <f t="shared" si="196"/>
        <v>#1774B9</v>
      </c>
      <c r="V504" s="93" t="str">
        <f>+Agencia[[#This Row],[idcoleccion]]&amp;"-"&amp;Agencia[[#This Row],[id]]</f>
        <v>990-0493</v>
      </c>
      <c r="W504" s="93">
        <f>+VLOOKUP(Agencia[[#This Row],[Filtro URL]],Estructura!$X$4:$Y$500,2,0)</f>
        <v>99200003</v>
      </c>
      <c r="X504" s="93" t="str">
        <f>+VLOOKUP(Agencia[[#This Row],[tema]],Estructura!$A$4:$C$500,3,0)</f>
        <v>T-1033</v>
      </c>
      <c r="Y504" s="93" t="str">
        <f>+VLOOKUP(Agencia[[#This Row],[contenido]],Estructura!$E$4:$G$500,3,0)</f>
        <v>C-996</v>
      </c>
      <c r="Z504" s="93" t="str">
        <f>+VLOOKUP(Agencia[[#This Row],[Filtro Integrado]],Estructura!$I$4:$K$500,3,0)</f>
        <v>FI-992</v>
      </c>
      <c r="AA504" s="93" t="str">
        <f>+VLOOKUP(Agencia[[#This Row],[Muestra]],Estructura!$M$4:$O$500,3,0)</f>
        <v>M-1004</v>
      </c>
    </row>
    <row r="505" spans="1:27" ht="57.6" x14ac:dyDescent="0.3">
      <c r="A505" s="21" t="s">
        <v>1009</v>
      </c>
      <c r="B505" s="23">
        <f t="shared" si="209"/>
        <v>990</v>
      </c>
      <c r="C505" s="24" t="str">
        <f t="shared" si="210"/>
        <v>Agencia Información</v>
      </c>
      <c r="D505" s="72" t="str">
        <f t="shared" si="217"/>
        <v>Mujeres</v>
      </c>
      <c r="E505" s="19">
        <v>4</v>
      </c>
      <c r="F505" s="18" t="s">
        <v>1431</v>
      </c>
      <c r="G505" s="18" t="s">
        <v>1877</v>
      </c>
      <c r="H505" s="33" t="s">
        <v>16</v>
      </c>
      <c r="I505" s="34" t="s">
        <v>371</v>
      </c>
      <c r="J505" s="9" t="str">
        <f t="shared" si="218"/>
        <v>Región</v>
      </c>
      <c r="K505" s="9" t="str">
        <f t="shared" si="219"/>
        <v>Cantidad de víctimas por edad</v>
      </c>
      <c r="L505" s="9" t="str">
        <f t="shared" si="220"/>
        <v>Periodo 2010-2021</v>
      </c>
      <c r="M505" s="9" t="str">
        <f t="shared" si="221"/>
        <v>Número de víctimas</v>
      </c>
      <c r="N505" s="36" t="str">
        <f t="shared" si="222"/>
        <v>Ministerio de la Mujer y Equidad de Género (MINMEG)</v>
      </c>
      <c r="O505" s="20" t="str">
        <f>+"Edad de Víctimas de Femicidios en la "&amp;I505&amp;" para el "&amp;Agencia[[#This Row],[temporalidad]]</f>
        <v>Edad de Víctimas de Femicidios en la Región de Coquimbo para el Periodo 2010-2021</v>
      </c>
      <c r="P505" s="112" t="s">
        <v>6911</v>
      </c>
      <c r="Q505" s="11" t="str">
        <f t="shared" si="195"/>
        <v>Gráfico</v>
      </c>
      <c r="R505" s="148" t="str">
        <f>Agencia[[#This Row],[territorio]]&amp;",femicidio,edad,víctima,mujer,"&amp;Agencia[[#This Row],[coleccion]]&amp;","&amp;Agencia[[#This Row],[sector]]&amp;","&amp;Agencia[[#This Row],[tema]]&amp;","&amp;Agencia[[#This Row],[contenido]]</f>
        <v>Región de Coquimbo,femicidio,edad,víctima,mujer,Agencia Información,Mujeres,Femicidios,Violencia Contra la Mujer</v>
      </c>
      <c r="S505" s="83" t="str">
        <f>HYPERLINK("https://analytics.zoho.com/open-view/2395394000009080171?ZOHO_CRITERIA=%22Localiza%20CL%22.%22Codreg%22%3D"&amp;Agencia[[#This Row],[Filtro URL]])</f>
        <v>https://analytics.zoho.com/open-view/2395394000009080171?ZOHO_CRITERIA=%22Localiza%20CL%22.%22Codreg%22%3D4</v>
      </c>
      <c r="T505" s="108" t="str">
        <f>"100-R-"&amp;Agencia[[#This Row],[Filtro URL]]</f>
        <v>100-R-4</v>
      </c>
      <c r="U505" s="46" t="str">
        <f t="shared" si="196"/>
        <v>#1774B9</v>
      </c>
      <c r="V505" s="93" t="str">
        <f>+Agencia[[#This Row],[idcoleccion]]&amp;"-"&amp;Agencia[[#This Row],[id]]</f>
        <v>990-0494</v>
      </c>
      <c r="W505" s="93">
        <f>+VLOOKUP(Agencia[[#This Row],[Filtro URL]],Estructura!$X$4:$Y$500,2,0)</f>
        <v>99200004</v>
      </c>
      <c r="X505" s="93" t="str">
        <f>+VLOOKUP(Agencia[[#This Row],[tema]],Estructura!$A$4:$C$500,3,0)</f>
        <v>T-1033</v>
      </c>
      <c r="Y505" s="93" t="str">
        <f>+VLOOKUP(Agencia[[#This Row],[contenido]],Estructura!$E$4:$G$500,3,0)</f>
        <v>C-996</v>
      </c>
      <c r="Z505" s="93" t="str">
        <f>+VLOOKUP(Agencia[[#This Row],[Filtro Integrado]],Estructura!$I$4:$K$500,3,0)</f>
        <v>FI-992</v>
      </c>
      <c r="AA505" s="93" t="str">
        <f>+VLOOKUP(Agencia[[#This Row],[Muestra]],Estructura!$M$4:$O$500,3,0)</f>
        <v>M-1004</v>
      </c>
    </row>
    <row r="506" spans="1:27" ht="57.6" x14ac:dyDescent="0.3">
      <c r="A506" s="21" t="s">
        <v>1010</v>
      </c>
      <c r="B506" s="23">
        <f t="shared" si="209"/>
        <v>990</v>
      </c>
      <c r="C506" s="24" t="str">
        <f t="shared" si="210"/>
        <v>Agencia Información</v>
      </c>
      <c r="D506" s="72" t="str">
        <f t="shared" si="217"/>
        <v>Mujeres</v>
      </c>
      <c r="E506" s="19">
        <v>5</v>
      </c>
      <c r="F506" s="18" t="s">
        <v>1431</v>
      </c>
      <c r="G506" s="18" t="s">
        <v>1877</v>
      </c>
      <c r="H506" s="33" t="s">
        <v>16</v>
      </c>
      <c r="I506" s="34" t="s">
        <v>372</v>
      </c>
      <c r="J506" s="9" t="str">
        <f t="shared" si="218"/>
        <v>Región</v>
      </c>
      <c r="K506" s="9" t="str">
        <f t="shared" si="219"/>
        <v>Cantidad de víctimas por edad</v>
      </c>
      <c r="L506" s="9" t="str">
        <f t="shared" si="220"/>
        <v>Periodo 2010-2021</v>
      </c>
      <c r="M506" s="9" t="str">
        <f t="shared" si="221"/>
        <v>Número de víctimas</v>
      </c>
      <c r="N506" s="36" t="str">
        <f t="shared" si="222"/>
        <v>Ministerio de la Mujer y Equidad de Género (MINMEG)</v>
      </c>
      <c r="O506" s="20" t="str">
        <f>+"Edad de Víctimas de Femicidios en la "&amp;I506&amp;" para el "&amp;Agencia[[#This Row],[temporalidad]]</f>
        <v>Edad de Víctimas de Femicidios en la Región de Valparaíso para el Periodo 2010-2021</v>
      </c>
      <c r="P506" s="112" t="s">
        <v>6912</v>
      </c>
      <c r="Q506" s="11" t="str">
        <f t="shared" si="195"/>
        <v>Gráfico</v>
      </c>
      <c r="R506" s="148" t="str">
        <f>Agencia[[#This Row],[territorio]]&amp;",femicidio,edad,víctima,mujer,"&amp;Agencia[[#This Row],[coleccion]]&amp;","&amp;Agencia[[#This Row],[sector]]&amp;","&amp;Agencia[[#This Row],[tema]]&amp;","&amp;Agencia[[#This Row],[contenido]]</f>
        <v>Región de Valparaíso,femicidio,edad,víctima,mujer,Agencia Información,Mujeres,Femicidios,Violencia Contra la Mujer</v>
      </c>
      <c r="S506" s="83" t="str">
        <f>HYPERLINK("https://analytics.zoho.com/open-view/2395394000009080171?ZOHO_CRITERIA=%22Localiza%20CL%22.%22Codreg%22%3D"&amp;Agencia[[#This Row],[Filtro URL]])</f>
        <v>https://analytics.zoho.com/open-view/2395394000009080171?ZOHO_CRITERIA=%22Localiza%20CL%22.%22Codreg%22%3D5</v>
      </c>
      <c r="T506" s="108" t="str">
        <f>"100-R-"&amp;Agencia[[#This Row],[Filtro URL]]</f>
        <v>100-R-5</v>
      </c>
      <c r="U506" s="46" t="str">
        <f t="shared" si="196"/>
        <v>#1774B9</v>
      </c>
      <c r="V506" s="93" t="str">
        <f>+Agencia[[#This Row],[idcoleccion]]&amp;"-"&amp;Agencia[[#This Row],[id]]</f>
        <v>990-0495</v>
      </c>
      <c r="W506" s="93">
        <f>+VLOOKUP(Agencia[[#This Row],[Filtro URL]],Estructura!$X$4:$Y$500,2,0)</f>
        <v>99200005</v>
      </c>
      <c r="X506" s="93" t="str">
        <f>+VLOOKUP(Agencia[[#This Row],[tema]],Estructura!$A$4:$C$500,3,0)</f>
        <v>T-1033</v>
      </c>
      <c r="Y506" s="93" t="str">
        <f>+VLOOKUP(Agencia[[#This Row],[contenido]],Estructura!$E$4:$G$500,3,0)</f>
        <v>C-996</v>
      </c>
      <c r="Z506" s="93" t="str">
        <f>+VLOOKUP(Agencia[[#This Row],[Filtro Integrado]],Estructura!$I$4:$K$500,3,0)</f>
        <v>FI-992</v>
      </c>
      <c r="AA506" s="93" t="str">
        <f>+VLOOKUP(Agencia[[#This Row],[Muestra]],Estructura!$M$4:$O$500,3,0)</f>
        <v>M-1004</v>
      </c>
    </row>
    <row r="507" spans="1:27" ht="57.6" x14ac:dyDescent="0.3">
      <c r="A507" s="21" t="s">
        <v>1011</v>
      </c>
      <c r="B507" s="23">
        <f t="shared" si="209"/>
        <v>990</v>
      </c>
      <c r="C507" s="24" t="str">
        <f t="shared" si="210"/>
        <v>Agencia Información</v>
      </c>
      <c r="D507" s="72" t="str">
        <f t="shared" si="217"/>
        <v>Mujeres</v>
      </c>
      <c r="E507" s="19">
        <v>6</v>
      </c>
      <c r="F507" s="18" t="s">
        <v>1431</v>
      </c>
      <c r="G507" s="18" t="s">
        <v>1877</v>
      </c>
      <c r="H507" s="33" t="s">
        <v>16</v>
      </c>
      <c r="I507" s="34" t="s">
        <v>373</v>
      </c>
      <c r="J507" s="9" t="str">
        <f t="shared" si="218"/>
        <v>Región</v>
      </c>
      <c r="K507" s="9" t="str">
        <f t="shared" si="219"/>
        <v>Cantidad de víctimas por edad</v>
      </c>
      <c r="L507" s="9" t="str">
        <f t="shared" si="220"/>
        <v>Periodo 2010-2021</v>
      </c>
      <c r="M507" s="9" t="str">
        <f t="shared" si="221"/>
        <v>Número de víctimas</v>
      </c>
      <c r="N507" s="36" t="str">
        <f t="shared" si="222"/>
        <v>Ministerio de la Mujer y Equidad de Género (MINMEG)</v>
      </c>
      <c r="O507" s="20" t="str">
        <f>+"Edad de Víctimas de Femicidios en la "&amp;I507&amp;" para el "&amp;Agencia[[#This Row],[temporalidad]]</f>
        <v>Edad de Víctimas de Femicidios en la Región de O'Higgins para el Periodo 2010-2021</v>
      </c>
      <c r="P507" s="112" t="s">
        <v>6913</v>
      </c>
      <c r="Q507" s="11" t="str">
        <f t="shared" si="195"/>
        <v>Gráfico</v>
      </c>
      <c r="R507" s="148" t="str">
        <f>Agencia[[#This Row],[territorio]]&amp;",femicidio,edad,víctima,mujer,"&amp;Agencia[[#This Row],[coleccion]]&amp;","&amp;Agencia[[#This Row],[sector]]&amp;","&amp;Agencia[[#This Row],[tema]]&amp;","&amp;Agencia[[#This Row],[contenido]]</f>
        <v>Región de O'Higgins,femicidio,edad,víctima,mujer,Agencia Información,Mujeres,Femicidios,Violencia Contra la Mujer</v>
      </c>
      <c r="S507" s="83" t="str">
        <f>HYPERLINK("https://analytics.zoho.com/open-view/2395394000009080171?ZOHO_CRITERIA=%22Localiza%20CL%22.%22Codreg%22%3D"&amp;Agencia[[#This Row],[Filtro URL]])</f>
        <v>https://analytics.zoho.com/open-view/2395394000009080171?ZOHO_CRITERIA=%22Localiza%20CL%22.%22Codreg%22%3D6</v>
      </c>
      <c r="T507" s="108" t="str">
        <f>"100-R-"&amp;Agencia[[#This Row],[Filtro URL]]</f>
        <v>100-R-6</v>
      </c>
      <c r="U507" s="46" t="str">
        <f t="shared" si="196"/>
        <v>#1774B9</v>
      </c>
      <c r="V507" s="93" t="str">
        <f>+Agencia[[#This Row],[idcoleccion]]&amp;"-"&amp;Agencia[[#This Row],[id]]</f>
        <v>990-0496</v>
      </c>
      <c r="W507" s="93">
        <f>+VLOOKUP(Agencia[[#This Row],[Filtro URL]],Estructura!$X$4:$Y$500,2,0)</f>
        <v>99200006</v>
      </c>
      <c r="X507" s="93" t="str">
        <f>+VLOOKUP(Agencia[[#This Row],[tema]],Estructura!$A$4:$C$500,3,0)</f>
        <v>T-1033</v>
      </c>
      <c r="Y507" s="93" t="str">
        <f>+VLOOKUP(Agencia[[#This Row],[contenido]],Estructura!$E$4:$G$500,3,0)</f>
        <v>C-996</v>
      </c>
      <c r="Z507" s="93" t="str">
        <f>+VLOOKUP(Agencia[[#This Row],[Filtro Integrado]],Estructura!$I$4:$K$500,3,0)</f>
        <v>FI-992</v>
      </c>
      <c r="AA507" s="93" t="str">
        <f>+VLOOKUP(Agencia[[#This Row],[Muestra]],Estructura!$M$4:$O$500,3,0)</f>
        <v>M-1004</v>
      </c>
    </row>
    <row r="508" spans="1:27" ht="57.6" x14ac:dyDescent="0.3">
      <c r="A508" s="21" t="s">
        <v>1012</v>
      </c>
      <c r="B508" s="23">
        <f t="shared" si="209"/>
        <v>990</v>
      </c>
      <c r="C508" s="24" t="str">
        <f t="shared" si="210"/>
        <v>Agencia Información</v>
      </c>
      <c r="D508" s="72" t="str">
        <f t="shared" si="217"/>
        <v>Mujeres</v>
      </c>
      <c r="E508" s="19">
        <v>7</v>
      </c>
      <c r="F508" s="18" t="s">
        <v>1431</v>
      </c>
      <c r="G508" s="18" t="s">
        <v>1877</v>
      </c>
      <c r="H508" s="33" t="s">
        <v>16</v>
      </c>
      <c r="I508" s="34" t="s">
        <v>374</v>
      </c>
      <c r="J508" s="9" t="str">
        <f t="shared" si="218"/>
        <v>Región</v>
      </c>
      <c r="K508" s="9" t="str">
        <f t="shared" si="219"/>
        <v>Cantidad de víctimas por edad</v>
      </c>
      <c r="L508" s="9" t="str">
        <f t="shared" si="220"/>
        <v>Periodo 2010-2021</v>
      </c>
      <c r="M508" s="9" t="str">
        <f t="shared" si="221"/>
        <v>Número de víctimas</v>
      </c>
      <c r="N508" s="36" t="str">
        <f t="shared" si="222"/>
        <v>Ministerio de la Mujer y Equidad de Género (MINMEG)</v>
      </c>
      <c r="O508" s="20" t="str">
        <f>+"Edad de Víctimas de Femicidios en la "&amp;I508&amp;" para el "&amp;Agencia[[#This Row],[temporalidad]]</f>
        <v>Edad de Víctimas de Femicidios en la Región de Maule para el Periodo 2010-2021</v>
      </c>
      <c r="P508" s="112" t="s">
        <v>6914</v>
      </c>
      <c r="Q508" s="11" t="str">
        <f t="shared" si="195"/>
        <v>Gráfico</v>
      </c>
      <c r="R508" s="148" t="str">
        <f>Agencia[[#This Row],[territorio]]&amp;",femicidio,edad,víctima,mujer,"&amp;Agencia[[#This Row],[coleccion]]&amp;","&amp;Agencia[[#This Row],[sector]]&amp;","&amp;Agencia[[#This Row],[tema]]&amp;","&amp;Agencia[[#This Row],[contenido]]</f>
        <v>Región de Maule,femicidio,edad,víctima,mujer,Agencia Información,Mujeres,Femicidios,Violencia Contra la Mujer</v>
      </c>
      <c r="S508" s="83" t="str">
        <f>HYPERLINK("https://analytics.zoho.com/open-view/2395394000009080171?ZOHO_CRITERIA=%22Localiza%20CL%22.%22Codreg%22%3D"&amp;Agencia[[#This Row],[Filtro URL]])</f>
        <v>https://analytics.zoho.com/open-view/2395394000009080171?ZOHO_CRITERIA=%22Localiza%20CL%22.%22Codreg%22%3D7</v>
      </c>
      <c r="T508" s="108" t="str">
        <f>"100-R-"&amp;Agencia[[#This Row],[Filtro URL]]</f>
        <v>100-R-7</v>
      </c>
      <c r="U508" s="46" t="str">
        <f t="shared" si="196"/>
        <v>#1774B9</v>
      </c>
      <c r="V508" s="93" t="str">
        <f>+Agencia[[#This Row],[idcoleccion]]&amp;"-"&amp;Agencia[[#This Row],[id]]</f>
        <v>990-0497</v>
      </c>
      <c r="W508" s="93">
        <f>+VLOOKUP(Agencia[[#This Row],[Filtro URL]],Estructura!$X$4:$Y$500,2,0)</f>
        <v>99200007</v>
      </c>
      <c r="X508" s="93" t="str">
        <f>+VLOOKUP(Agencia[[#This Row],[tema]],Estructura!$A$4:$C$500,3,0)</f>
        <v>T-1033</v>
      </c>
      <c r="Y508" s="93" t="str">
        <f>+VLOOKUP(Agencia[[#This Row],[contenido]],Estructura!$E$4:$G$500,3,0)</f>
        <v>C-996</v>
      </c>
      <c r="Z508" s="93" t="str">
        <f>+VLOOKUP(Agencia[[#This Row],[Filtro Integrado]],Estructura!$I$4:$K$500,3,0)</f>
        <v>FI-992</v>
      </c>
      <c r="AA508" s="93" t="str">
        <f>+VLOOKUP(Agencia[[#This Row],[Muestra]],Estructura!$M$4:$O$500,3,0)</f>
        <v>M-1004</v>
      </c>
    </row>
    <row r="509" spans="1:27" ht="57.6" x14ac:dyDescent="0.3">
      <c r="A509" s="21" t="s">
        <v>1013</v>
      </c>
      <c r="B509" s="23">
        <f t="shared" si="209"/>
        <v>990</v>
      </c>
      <c r="C509" s="24" t="str">
        <f t="shared" si="210"/>
        <v>Agencia Información</v>
      </c>
      <c r="D509" s="72" t="str">
        <f t="shared" si="217"/>
        <v>Mujeres</v>
      </c>
      <c r="E509" s="19">
        <v>8</v>
      </c>
      <c r="F509" s="18" t="s">
        <v>1431</v>
      </c>
      <c r="G509" s="18" t="s">
        <v>1877</v>
      </c>
      <c r="H509" s="33" t="s">
        <v>16</v>
      </c>
      <c r="I509" s="34" t="s">
        <v>375</v>
      </c>
      <c r="J509" s="9" t="str">
        <f t="shared" si="218"/>
        <v>Región</v>
      </c>
      <c r="K509" s="9" t="str">
        <f t="shared" si="219"/>
        <v>Cantidad de víctimas por edad</v>
      </c>
      <c r="L509" s="9" t="str">
        <f t="shared" si="220"/>
        <v>Periodo 2010-2021</v>
      </c>
      <c r="M509" s="9" t="str">
        <f t="shared" si="221"/>
        <v>Número de víctimas</v>
      </c>
      <c r="N509" s="36" t="str">
        <f t="shared" si="222"/>
        <v>Ministerio de la Mujer y Equidad de Género (MINMEG)</v>
      </c>
      <c r="O509" s="20" t="str">
        <f>+"Edad de Víctimas de Femicidios en la "&amp;I509&amp;" para el "&amp;Agencia[[#This Row],[temporalidad]]</f>
        <v>Edad de Víctimas de Femicidios en la Región del Biobío para el Periodo 2010-2021</v>
      </c>
      <c r="P509" s="112" t="s">
        <v>6915</v>
      </c>
      <c r="Q509" s="11" t="str">
        <f t="shared" si="195"/>
        <v>Gráfico</v>
      </c>
      <c r="R509" s="148" t="str">
        <f>Agencia[[#This Row],[territorio]]&amp;",femicidio,edad,víctima,mujer,"&amp;Agencia[[#This Row],[coleccion]]&amp;","&amp;Agencia[[#This Row],[sector]]&amp;","&amp;Agencia[[#This Row],[tema]]&amp;","&amp;Agencia[[#This Row],[contenido]]</f>
        <v>Región del Biobío,femicidio,edad,víctima,mujer,Agencia Información,Mujeres,Femicidios,Violencia Contra la Mujer</v>
      </c>
      <c r="S509" s="83" t="str">
        <f>HYPERLINK("https://analytics.zoho.com/open-view/2395394000009080171?ZOHO_CRITERIA=%22Localiza%20CL%22.%22Codreg%22%3D"&amp;Agencia[[#This Row],[Filtro URL]])</f>
        <v>https://analytics.zoho.com/open-view/2395394000009080171?ZOHO_CRITERIA=%22Localiza%20CL%22.%22Codreg%22%3D8</v>
      </c>
      <c r="T509" s="108" t="str">
        <f>"100-R-"&amp;Agencia[[#This Row],[Filtro URL]]</f>
        <v>100-R-8</v>
      </c>
      <c r="U509" s="46" t="str">
        <f t="shared" si="196"/>
        <v>#1774B9</v>
      </c>
      <c r="V509" s="93" t="str">
        <f>+Agencia[[#This Row],[idcoleccion]]&amp;"-"&amp;Agencia[[#This Row],[id]]</f>
        <v>990-0498</v>
      </c>
      <c r="W509" s="93">
        <f>+VLOOKUP(Agencia[[#This Row],[Filtro URL]],Estructura!$X$4:$Y$500,2,0)</f>
        <v>99200008</v>
      </c>
      <c r="X509" s="93" t="str">
        <f>+VLOOKUP(Agencia[[#This Row],[tema]],Estructura!$A$4:$C$500,3,0)</f>
        <v>T-1033</v>
      </c>
      <c r="Y509" s="93" t="str">
        <f>+VLOOKUP(Agencia[[#This Row],[contenido]],Estructura!$E$4:$G$500,3,0)</f>
        <v>C-996</v>
      </c>
      <c r="Z509" s="93" t="str">
        <f>+VLOOKUP(Agencia[[#This Row],[Filtro Integrado]],Estructura!$I$4:$K$500,3,0)</f>
        <v>FI-992</v>
      </c>
      <c r="AA509" s="93" t="str">
        <f>+VLOOKUP(Agencia[[#This Row],[Muestra]],Estructura!$M$4:$O$500,3,0)</f>
        <v>M-1004</v>
      </c>
    </row>
    <row r="510" spans="1:27" ht="57.6" x14ac:dyDescent="0.3">
      <c r="A510" s="21" t="s">
        <v>1014</v>
      </c>
      <c r="B510" s="23">
        <f t="shared" si="209"/>
        <v>990</v>
      </c>
      <c r="C510" s="24" t="str">
        <f t="shared" si="210"/>
        <v>Agencia Información</v>
      </c>
      <c r="D510" s="72" t="str">
        <f t="shared" si="217"/>
        <v>Mujeres</v>
      </c>
      <c r="E510" s="19">
        <v>9</v>
      </c>
      <c r="F510" s="18" t="s">
        <v>1431</v>
      </c>
      <c r="G510" s="18" t="s">
        <v>1877</v>
      </c>
      <c r="H510" s="33" t="s">
        <v>16</v>
      </c>
      <c r="I510" s="34" t="s">
        <v>376</v>
      </c>
      <c r="J510" s="9" t="str">
        <f t="shared" si="218"/>
        <v>Región</v>
      </c>
      <c r="K510" s="9" t="str">
        <f t="shared" si="219"/>
        <v>Cantidad de víctimas por edad</v>
      </c>
      <c r="L510" s="9" t="str">
        <f t="shared" si="220"/>
        <v>Periodo 2010-2021</v>
      </c>
      <c r="M510" s="9" t="str">
        <f t="shared" si="221"/>
        <v>Número de víctimas</v>
      </c>
      <c r="N510" s="36" t="str">
        <f t="shared" si="222"/>
        <v>Ministerio de la Mujer y Equidad de Género (MINMEG)</v>
      </c>
      <c r="O510" s="20" t="str">
        <f>+"Edad de Víctimas de Femicidios en la "&amp;I510&amp;" para el "&amp;Agencia[[#This Row],[temporalidad]]</f>
        <v>Edad de Víctimas de Femicidios en la Región de La Araucanía para el Periodo 2010-2021</v>
      </c>
      <c r="P510" s="112" t="s">
        <v>6919</v>
      </c>
      <c r="Q510" s="11" t="str">
        <f t="shared" ref="Q510:Q572" si="223">+Q509</f>
        <v>Gráfico</v>
      </c>
      <c r="R510" s="148" t="str">
        <f>Agencia[[#This Row],[territorio]]&amp;",femicidio,edad,víctima,mujer,"&amp;Agencia[[#This Row],[coleccion]]&amp;","&amp;Agencia[[#This Row],[sector]]&amp;","&amp;Agencia[[#This Row],[tema]]&amp;","&amp;Agencia[[#This Row],[contenido]]</f>
        <v>Región de La Araucanía,femicidio,edad,víctima,mujer,Agencia Información,Mujeres,Femicidios,Violencia Contra la Mujer</v>
      </c>
      <c r="S510" s="83" t="str">
        <f>HYPERLINK("https://analytics.zoho.com/open-view/2395394000009080171?ZOHO_CRITERIA=%22Localiza%20CL%22.%22Codreg%22%3D"&amp;Agencia[[#This Row],[Filtro URL]])</f>
        <v>https://analytics.zoho.com/open-view/2395394000009080171?ZOHO_CRITERIA=%22Localiza%20CL%22.%22Codreg%22%3D9</v>
      </c>
      <c r="T510" s="108" t="str">
        <f>"100-R-"&amp;Agencia[[#This Row],[Filtro URL]]</f>
        <v>100-R-9</v>
      </c>
      <c r="U510" s="46" t="str">
        <f t="shared" ref="U510:U573" si="224">+U509</f>
        <v>#1774B9</v>
      </c>
      <c r="V510" s="93" t="str">
        <f>+Agencia[[#This Row],[idcoleccion]]&amp;"-"&amp;Agencia[[#This Row],[id]]</f>
        <v>990-0499</v>
      </c>
      <c r="W510" s="93">
        <f>+VLOOKUP(Agencia[[#This Row],[Filtro URL]],Estructura!$X$4:$Y$500,2,0)</f>
        <v>99200009</v>
      </c>
      <c r="X510" s="93" t="str">
        <f>+VLOOKUP(Agencia[[#This Row],[tema]],Estructura!$A$4:$C$500,3,0)</f>
        <v>T-1033</v>
      </c>
      <c r="Y510" s="93" t="str">
        <f>+VLOOKUP(Agencia[[#This Row],[contenido]],Estructura!$E$4:$G$500,3,0)</f>
        <v>C-996</v>
      </c>
      <c r="Z510" s="93" t="str">
        <f>+VLOOKUP(Agencia[[#This Row],[Filtro Integrado]],Estructura!$I$4:$K$500,3,0)</f>
        <v>FI-992</v>
      </c>
      <c r="AA510" s="93" t="str">
        <f>+VLOOKUP(Agencia[[#This Row],[Muestra]],Estructura!$M$4:$O$500,3,0)</f>
        <v>M-1004</v>
      </c>
    </row>
    <row r="511" spans="1:27" ht="57.6" x14ac:dyDescent="0.3">
      <c r="A511" s="21" t="s">
        <v>1015</v>
      </c>
      <c r="B511" s="23">
        <f t="shared" si="209"/>
        <v>990</v>
      </c>
      <c r="C511" s="24" t="str">
        <f t="shared" si="210"/>
        <v>Agencia Información</v>
      </c>
      <c r="D511" s="72" t="str">
        <f t="shared" si="217"/>
        <v>Mujeres</v>
      </c>
      <c r="E511" s="19">
        <v>10</v>
      </c>
      <c r="F511" s="18" t="s">
        <v>1431</v>
      </c>
      <c r="G511" s="18" t="s">
        <v>1877</v>
      </c>
      <c r="H511" s="33" t="s">
        <v>16</v>
      </c>
      <c r="I511" s="34" t="s">
        <v>377</v>
      </c>
      <c r="J511" s="9" t="str">
        <f t="shared" si="218"/>
        <v>Región</v>
      </c>
      <c r="K511" s="9" t="str">
        <f t="shared" si="219"/>
        <v>Cantidad de víctimas por edad</v>
      </c>
      <c r="L511" s="9" t="str">
        <f t="shared" si="220"/>
        <v>Periodo 2010-2021</v>
      </c>
      <c r="M511" s="9" t="str">
        <f t="shared" si="221"/>
        <v>Número de víctimas</v>
      </c>
      <c r="N511" s="36" t="str">
        <f t="shared" si="222"/>
        <v>Ministerio de la Mujer y Equidad de Género (MINMEG)</v>
      </c>
      <c r="O511" s="20" t="str">
        <f>+"Edad de Víctimas de Femicidios en la "&amp;I511&amp;" para el "&amp;Agencia[[#This Row],[temporalidad]]</f>
        <v>Edad de Víctimas de Femicidios en la Región de Los Lagos para el Periodo 2010-2021</v>
      </c>
      <c r="P511" s="112" t="s">
        <v>6916</v>
      </c>
      <c r="Q511" s="11" t="str">
        <f t="shared" si="223"/>
        <v>Gráfico</v>
      </c>
      <c r="R511" s="148" t="str">
        <f>Agencia[[#This Row],[territorio]]&amp;",femicidio,edad,víctima,mujer,"&amp;Agencia[[#This Row],[coleccion]]&amp;","&amp;Agencia[[#This Row],[sector]]&amp;","&amp;Agencia[[#This Row],[tema]]&amp;","&amp;Agencia[[#This Row],[contenido]]</f>
        <v>Región de Los Lagos,femicidio,edad,víctima,mujer,Agencia Información,Mujeres,Femicidios,Violencia Contra la Mujer</v>
      </c>
      <c r="S511" s="83" t="str">
        <f>HYPERLINK("https://analytics.zoho.com/open-view/2395394000009080171?ZOHO_CRITERIA=%22Localiza%20CL%22.%22Codreg%22%3D"&amp;Agencia[[#This Row],[Filtro URL]])</f>
        <v>https://analytics.zoho.com/open-view/2395394000009080171?ZOHO_CRITERIA=%22Localiza%20CL%22.%22Codreg%22%3D10</v>
      </c>
      <c r="T511" s="108" t="str">
        <f>"100-R-"&amp;Agencia[[#This Row],[Filtro URL]]</f>
        <v>100-R-10</v>
      </c>
      <c r="U511" s="46" t="str">
        <f t="shared" si="224"/>
        <v>#1774B9</v>
      </c>
      <c r="V511" s="93" t="str">
        <f>+Agencia[[#This Row],[idcoleccion]]&amp;"-"&amp;Agencia[[#This Row],[id]]</f>
        <v>990-0500</v>
      </c>
      <c r="W511" s="93">
        <f>+VLOOKUP(Agencia[[#This Row],[Filtro URL]],Estructura!$X$4:$Y$500,2,0)</f>
        <v>99200010</v>
      </c>
      <c r="X511" s="93" t="str">
        <f>+VLOOKUP(Agencia[[#This Row],[tema]],Estructura!$A$4:$C$500,3,0)</f>
        <v>T-1033</v>
      </c>
      <c r="Y511" s="93" t="str">
        <f>+VLOOKUP(Agencia[[#This Row],[contenido]],Estructura!$E$4:$G$500,3,0)</f>
        <v>C-996</v>
      </c>
      <c r="Z511" s="93" t="str">
        <f>+VLOOKUP(Agencia[[#This Row],[Filtro Integrado]],Estructura!$I$4:$K$500,3,0)</f>
        <v>FI-992</v>
      </c>
      <c r="AA511" s="93" t="str">
        <f>+VLOOKUP(Agencia[[#This Row],[Muestra]],Estructura!$M$4:$O$500,3,0)</f>
        <v>M-1004</v>
      </c>
    </row>
    <row r="512" spans="1:27" ht="57.6" x14ac:dyDescent="0.3">
      <c r="A512" s="21" t="s">
        <v>1016</v>
      </c>
      <c r="B512" s="23">
        <f t="shared" si="209"/>
        <v>990</v>
      </c>
      <c r="C512" s="24" t="str">
        <f t="shared" si="210"/>
        <v>Agencia Información</v>
      </c>
      <c r="D512" s="72" t="str">
        <f t="shared" si="217"/>
        <v>Mujeres</v>
      </c>
      <c r="E512" s="19">
        <v>11</v>
      </c>
      <c r="F512" s="18" t="s">
        <v>1431</v>
      </c>
      <c r="G512" s="18" t="s">
        <v>1877</v>
      </c>
      <c r="H512" s="33" t="s">
        <v>16</v>
      </c>
      <c r="I512" s="34" t="s">
        <v>378</v>
      </c>
      <c r="J512" s="9" t="str">
        <f t="shared" si="218"/>
        <v>Región</v>
      </c>
      <c r="K512" s="9" t="str">
        <f t="shared" si="219"/>
        <v>Cantidad de víctimas por edad</v>
      </c>
      <c r="L512" s="9" t="str">
        <f t="shared" si="220"/>
        <v>Periodo 2010-2021</v>
      </c>
      <c r="M512" s="9" t="str">
        <f t="shared" si="221"/>
        <v>Número de víctimas</v>
      </c>
      <c r="N512" s="36" t="str">
        <f t="shared" si="222"/>
        <v>Ministerio de la Mujer y Equidad de Género (MINMEG)</v>
      </c>
      <c r="O512" s="20" t="str">
        <f>+"Edad de Víctimas de Femicidios en la "&amp;I512&amp;" para el "&amp;Agencia[[#This Row],[temporalidad]]</f>
        <v>Edad de Víctimas de Femicidios en la Región de Aysén para el Periodo 2010-2021</v>
      </c>
      <c r="P512" s="112" t="s">
        <v>6917</v>
      </c>
      <c r="Q512" s="11" t="str">
        <f t="shared" si="223"/>
        <v>Gráfico</v>
      </c>
      <c r="R512" s="148" t="str">
        <f>Agencia[[#This Row],[territorio]]&amp;",femicidio,edad,víctima,mujer,"&amp;Agencia[[#This Row],[coleccion]]&amp;","&amp;Agencia[[#This Row],[sector]]&amp;","&amp;Agencia[[#This Row],[tema]]&amp;","&amp;Agencia[[#This Row],[contenido]]</f>
        <v>Región de Aysén,femicidio,edad,víctima,mujer,Agencia Información,Mujeres,Femicidios,Violencia Contra la Mujer</v>
      </c>
      <c r="S512" s="83" t="str">
        <f>HYPERLINK("https://analytics.zoho.com/open-view/2395394000009080171?ZOHO_CRITERIA=%22Localiza%20CL%22.%22Codreg%22%3D"&amp;Agencia[[#This Row],[Filtro URL]])</f>
        <v>https://analytics.zoho.com/open-view/2395394000009080171?ZOHO_CRITERIA=%22Localiza%20CL%22.%22Codreg%22%3D11</v>
      </c>
      <c r="T512" s="108" t="str">
        <f>"100-R-"&amp;Agencia[[#This Row],[Filtro URL]]</f>
        <v>100-R-11</v>
      </c>
      <c r="U512" s="46" t="str">
        <f t="shared" si="224"/>
        <v>#1774B9</v>
      </c>
      <c r="V512" s="93" t="str">
        <f>+Agencia[[#This Row],[idcoleccion]]&amp;"-"&amp;Agencia[[#This Row],[id]]</f>
        <v>990-0501</v>
      </c>
      <c r="W512" s="93">
        <f>+VLOOKUP(Agencia[[#This Row],[Filtro URL]],Estructura!$X$4:$Y$500,2,0)</f>
        <v>99200011</v>
      </c>
      <c r="X512" s="93" t="str">
        <f>+VLOOKUP(Agencia[[#This Row],[tema]],Estructura!$A$4:$C$500,3,0)</f>
        <v>T-1033</v>
      </c>
      <c r="Y512" s="93" t="str">
        <f>+VLOOKUP(Agencia[[#This Row],[contenido]],Estructura!$E$4:$G$500,3,0)</f>
        <v>C-996</v>
      </c>
      <c r="Z512" s="93" t="str">
        <f>+VLOOKUP(Agencia[[#This Row],[Filtro Integrado]],Estructura!$I$4:$K$500,3,0)</f>
        <v>FI-992</v>
      </c>
      <c r="AA512" s="93" t="str">
        <f>+VLOOKUP(Agencia[[#This Row],[Muestra]],Estructura!$M$4:$O$500,3,0)</f>
        <v>M-1004</v>
      </c>
    </row>
    <row r="513" spans="1:27" ht="57.6" x14ac:dyDescent="0.3">
      <c r="A513" s="21" t="s">
        <v>1017</v>
      </c>
      <c r="B513" s="23">
        <f t="shared" si="209"/>
        <v>990</v>
      </c>
      <c r="C513" s="24" t="str">
        <f t="shared" si="210"/>
        <v>Agencia Información</v>
      </c>
      <c r="D513" s="72" t="str">
        <f t="shared" si="217"/>
        <v>Mujeres</v>
      </c>
      <c r="E513" s="19">
        <v>12</v>
      </c>
      <c r="F513" s="18" t="s">
        <v>1431</v>
      </c>
      <c r="G513" s="18" t="s">
        <v>1877</v>
      </c>
      <c r="H513" s="33" t="s">
        <v>16</v>
      </c>
      <c r="I513" s="34" t="s">
        <v>379</v>
      </c>
      <c r="J513" s="9" t="str">
        <f t="shared" si="218"/>
        <v>Región</v>
      </c>
      <c r="K513" s="9" t="str">
        <f t="shared" si="219"/>
        <v>Cantidad de víctimas por edad</v>
      </c>
      <c r="L513" s="9" t="str">
        <f t="shared" si="220"/>
        <v>Periodo 2010-2021</v>
      </c>
      <c r="M513" s="9" t="str">
        <f t="shared" si="221"/>
        <v>Número de víctimas</v>
      </c>
      <c r="N513" s="36" t="str">
        <f t="shared" si="222"/>
        <v>Ministerio de la Mujer y Equidad de Género (MINMEG)</v>
      </c>
      <c r="O513" s="20" t="str">
        <f>+"Edad de Víctimas de Femicidios en la "&amp;I513&amp;" para el "&amp;Agencia[[#This Row],[temporalidad]]</f>
        <v>Edad de Víctimas de Femicidios en la Región de Magallanes para el Periodo 2010-2021</v>
      </c>
      <c r="P513" s="112" t="s">
        <v>6918</v>
      </c>
      <c r="Q513" s="11" t="str">
        <f t="shared" si="223"/>
        <v>Gráfico</v>
      </c>
      <c r="R513" s="148" t="str">
        <f>Agencia[[#This Row],[territorio]]&amp;",femicidio,edad,víctima,mujer,"&amp;Agencia[[#This Row],[coleccion]]&amp;","&amp;Agencia[[#This Row],[sector]]&amp;","&amp;Agencia[[#This Row],[tema]]&amp;","&amp;Agencia[[#This Row],[contenido]]</f>
        <v>Región de Magallanes,femicidio,edad,víctima,mujer,Agencia Información,Mujeres,Femicidios,Violencia Contra la Mujer</v>
      </c>
      <c r="S513" s="83" t="str">
        <f>HYPERLINK("https://analytics.zoho.com/open-view/2395394000009080171?ZOHO_CRITERIA=%22Localiza%20CL%22.%22Codreg%22%3D"&amp;Agencia[[#This Row],[Filtro URL]])</f>
        <v>https://analytics.zoho.com/open-view/2395394000009080171?ZOHO_CRITERIA=%22Localiza%20CL%22.%22Codreg%22%3D12</v>
      </c>
      <c r="T513" s="108" t="str">
        <f>"100-R-"&amp;Agencia[[#This Row],[Filtro URL]]</f>
        <v>100-R-12</v>
      </c>
      <c r="U513" s="46" t="str">
        <f t="shared" si="224"/>
        <v>#1774B9</v>
      </c>
      <c r="V513" s="93" t="str">
        <f>+Agencia[[#This Row],[idcoleccion]]&amp;"-"&amp;Agencia[[#This Row],[id]]</f>
        <v>990-0502</v>
      </c>
      <c r="W513" s="93">
        <f>+VLOOKUP(Agencia[[#This Row],[Filtro URL]],Estructura!$X$4:$Y$500,2,0)</f>
        <v>99200012</v>
      </c>
      <c r="X513" s="93" t="str">
        <f>+VLOOKUP(Agencia[[#This Row],[tema]],Estructura!$A$4:$C$500,3,0)</f>
        <v>T-1033</v>
      </c>
      <c r="Y513" s="93" t="str">
        <f>+VLOOKUP(Agencia[[#This Row],[contenido]],Estructura!$E$4:$G$500,3,0)</f>
        <v>C-996</v>
      </c>
      <c r="Z513" s="93" t="str">
        <f>+VLOOKUP(Agencia[[#This Row],[Filtro Integrado]],Estructura!$I$4:$K$500,3,0)</f>
        <v>FI-992</v>
      </c>
      <c r="AA513" s="93" t="str">
        <f>+VLOOKUP(Agencia[[#This Row],[Muestra]],Estructura!$M$4:$O$500,3,0)</f>
        <v>M-1004</v>
      </c>
    </row>
    <row r="514" spans="1:27" ht="57.6" x14ac:dyDescent="0.3">
      <c r="A514" s="21" t="s">
        <v>1018</v>
      </c>
      <c r="B514" s="23">
        <f t="shared" si="209"/>
        <v>990</v>
      </c>
      <c r="C514" s="24" t="str">
        <f t="shared" si="210"/>
        <v>Agencia Información</v>
      </c>
      <c r="D514" s="72" t="str">
        <f t="shared" si="217"/>
        <v>Mujeres</v>
      </c>
      <c r="E514" s="19">
        <v>13</v>
      </c>
      <c r="F514" s="18" t="s">
        <v>1431</v>
      </c>
      <c r="G514" s="18" t="s">
        <v>1877</v>
      </c>
      <c r="H514" s="33" t="s">
        <v>16</v>
      </c>
      <c r="I514" s="34" t="s">
        <v>380</v>
      </c>
      <c r="J514" s="9" t="str">
        <f t="shared" si="218"/>
        <v>Región</v>
      </c>
      <c r="K514" s="9" t="str">
        <f t="shared" si="219"/>
        <v>Cantidad de víctimas por edad</v>
      </c>
      <c r="L514" s="9" t="str">
        <f t="shared" si="220"/>
        <v>Periodo 2010-2021</v>
      </c>
      <c r="M514" s="9" t="str">
        <f t="shared" si="221"/>
        <v>Número de víctimas</v>
      </c>
      <c r="N514" s="36" t="str">
        <f t="shared" si="222"/>
        <v>Ministerio de la Mujer y Equidad de Género (MINMEG)</v>
      </c>
      <c r="O514" s="20" t="str">
        <f>+"Edad de Víctimas de Femicidios en la "&amp;I514&amp;" para el "&amp;Agencia[[#This Row],[temporalidad]]</f>
        <v>Edad de Víctimas de Femicidios en la Región Metropolitana para el Periodo 2010-2021</v>
      </c>
      <c r="P514" s="112" t="s">
        <v>6937</v>
      </c>
      <c r="Q514" s="11" t="str">
        <f t="shared" si="223"/>
        <v>Gráfico</v>
      </c>
      <c r="R514" s="148" t="str">
        <f>Agencia[[#This Row],[territorio]]&amp;",femicidio,edad,víctima,mujer,"&amp;Agencia[[#This Row],[coleccion]]&amp;","&amp;Agencia[[#This Row],[sector]]&amp;","&amp;Agencia[[#This Row],[tema]]&amp;","&amp;Agencia[[#This Row],[contenido]]</f>
        <v>Región Metropolitana,femicidio,edad,víctima,mujer,Agencia Información,Mujeres,Femicidios,Violencia Contra la Mujer</v>
      </c>
      <c r="S514" s="83" t="str">
        <f>HYPERLINK("https://analytics.zoho.com/open-view/2395394000009080171?ZOHO_CRITERIA=%22Localiza%20CL%22.%22Codreg%22%3D"&amp;Agencia[[#This Row],[Filtro URL]])</f>
        <v>https://analytics.zoho.com/open-view/2395394000009080171?ZOHO_CRITERIA=%22Localiza%20CL%22.%22Codreg%22%3D13</v>
      </c>
      <c r="T514" s="108" t="str">
        <f>"200-R-"&amp;Agencia[[#This Row],[Filtro URL]]</f>
        <v>200-R-13</v>
      </c>
      <c r="U514" s="46" t="str">
        <f t="shared" si="224"/>
        <v>#1774B9</v>
      </c>
      <c r="V514" s="93" t="str">
        <f>+Agencia[[#This Row],[idcoleccion]]&amp;"-"&amp;Agencia[[#This Row],[id]]</f>
        <v>990-0503</v>
      </c>
      <c r="W514" s="93">
        <f>+VLOOKUP(Agencia[[#This Row],[Filtro URL]],Estructura!$X$4:$Y$500,2,0)</f>
        <v>99200013</v>
      </c>
      <c r="X514" s="93" t="str">
        <f>+VLOOKUP(Agencia[[#This Row],[tema]],Estructura!$A$4:$C$500,3,0)</f>
        <v>T-1033</v>
      </c>
      <c r="Y514" s="93" t="str">
        <f>+VLOOKUP(Agencia[[#This Row],[contenido]],Estructura!$E$4:$G$500,3,0)</f>
        <v>C-996</v>
      </c>
      <c r="Z514" s="93" t="str">
        <f>+VLOOKUP(Agencia[[#This Row],[Filtro Integrado]],Estructura!$I$4:$K$500,3,0)</f>
        <v>FI-992</v>
      </c>
      <c r="AA514" s="93" t="str">
        <f>+VLOOKUP(Agencia[[#This Row],[Muestra]],Estructura!$M$4:$O$500,3,0)</f>
        <v>M-1004</v>
      </c>
    </row>
    <row r="515" spans="1:27" ht="57.6" x14ac:dyDescent="0.3">
      <c r="A515" s="21" t="s">
        <v>1019</v>
      </c>
      <c r="B515" s="23">
        <f t="shared" si="209"/>
        <v>990</v>
      </c>
      <c r="C515" s="24" t="str">
        <f t="shared" si="210"/>
        <v>Agencia Información</v>
      </c>
      <c r="D515" s="72" t="str">
        <f t="shared" si="217"/>
        <v>Mujeres</v>
      </c>
      <c r="E515" s="19">
        <v>14</v>
      </c>
      <c r="F515" s="18" t="s">
        <v>1431</v>
      </c>
      <c r="G515" s="18" t="s">
        <v>1877</v>
      </c>
      <c r="H515" s="33" t="s">
        <v>16</v>
      </c>
      <c r="I515" s="34" t="s">
        <v>381</v>
      </c>
      <c r="J515" s="9" t="str">
        <f t="shared" si="218"/>
        <v>Región</v>
      </c>
      <c r="K515" s="9" t="str">
        <f t="shared" si="219"/>
        <v>Cantidad de víctimas por edad</v>
      </c>
      <c r="L515" s="9" t="str">
        <f t="shared" si="220"/>
        <v>Periodo 2010-2021</v>
      </c>
      <c r="M515" s="9" t="str">
        <f t="shared" si="221"/>
        <v>Número de víctimas</v>
      </c>
      <c r="N515" s="36" t="str">
        <f t="shared" si="222"/>
        <v>Ministerio de la Mujer y Equidad de Género (MINMEG)</v>
      </c>
      <c r="O515" s="20" t="str">
        <f>+"Edad de Víctimas de Femicidios en la "&amp;I515&amp;" para el "&amp;Agencia[[#This Row],[temporalidad]]</f>
        <v>Edad de Víctimas de Femicidios en la Región de Los Ríos para el Periodo 2010-2021</v>
      </c>
      <c r="P515" s="112" t="s">
        <v>6905</v>
      </c>
      <c r="Q515" s="11" t="str">
        <f t="shared" si="223"/>
        <v>Gráfico</v>
      </c>
      <c r="R515" s="148" t="str">
        <f>Agencia[[#This Row],[territorio]]&amp;",femicidio,edad,víctima,mujer,"&amp;Agencia[[#This Row],[coleccion]]&amp;","&amp;Agencia[[#This Row],[sector]]&amp;","&amp;Agencia[[#This Row],[tema]]&amp;","&amp;Agencia[[#This Row],[contenido]]</f>
        <v>Región de Los Ríos,femicidio,edad,víctima,mujer,Agencia Información,Mujeres,Femicidios,Violencia Contra la Mujer</v>
      </c>
      <c r="S515" s="83" t="str">
        <f>HYPERLINK("https://analytics.zoho.com/open-view/2395394000009080171?ZOHO_CRITERIA=%22Localiza%20CL%22.%22Codreg%22%3D"&amp;Agencia[[#This Row],[Filtro URL]])</f>
        <v>https://analytics.zoho.com/open-view/2395394000009080171?ZOHO_CRITERIA=%22Localiza%20CL%22.%22Codreg%22%3D14</v>
      </c>
      <c r="T515" s="108" t="str">
        <f>"100-R-"&amp;Agencia[[#This Row],[Filtro URL]]</f>
        <v>100-R-14</v>
      </c>
      <c r="U515" s="46" t="str">
        <f t="shared" si="224"/>
        <v>#1774B9</v>
      </c>
      <c r="V515" s="93" t="str">
        <f>+Agencia[[#This Row],[idcoleccion]]&amp;"-"&amp;Agencia[[#This Row],[id]]</f>
        <v>990-0504</v>
      </c>
      <c r="W515" s="93">
        <f>+VLOOKUP(Agencia[[#This Row],[Filtro URL]],Estructura!$X$4:$Y$500,2,0)</f>
        <v>99200014</v>
      </c>
      <c r="X515" s="93" t="str">
        <f>+VLOOKUP(Agencia[[#This Row],[tema]],Estructura!$A$4:$C$500,3,0)</f>
        <v>T-1033</v>
      </c>
      <c r="Y515" s="93" t="str">
        <f>+VLOOKUP(Agencia[[#This Row],[contenido]],Estructura!$E$4:$G$500,3,0)</f>
        <v>C-996</v>
      </c>
      <c r="Z515" s="93" t="str">
        <f>+VLOOKUP(Agencia[[#This Row],[Filtro Integrado]],Estructura!$I$4:$K$500,3,0)</f>
        <v>FI-992</v>
      </c>
      <c r="AA515" s="93" t="str">
        <f>+VLOOKUP(Agencia[[#This Row],[Muestra]],Estructura!$M$4:$O$500,3,0)</f>
        <v>M-1004</v>
      </c>
    </row>
    <row r="516" spans="1:27" ht="57.6" x14ac:dyDescent="0.3">
      <c r="A516" s="21" t="s">
        <v>1020</v>
      </c>
      <c r="B516" s="23">
        <f t="shared" si="209"/>
        <v>990</v>
      </c>
      <c r="C516" s="24" t="str">
        <f t="shared" si="210"/>
        <v>Agencia Información</v>
      </c>
      <c r="D516" s="72" t="str">
        <f t="shared" si="217"/>
        <v>Mujeres</v>
      </c>
      <c r="E516" s="19">
        <v>15</v>
      </c>
      <c r="F516" s="18" t="s">
        <v>1431</v>
      </c>
      <c r="G516" s="18" t="s">
        <v>1877</v>
      </c>
      <c r="H516" s="33" t="s">
        <v>16</v>
      </c>
      <c r="I516" s="34" t="s">
        <v>382</v>
      </c>
      <c r="J516" s="9" t="str">
        <f t="shared" si="218"/>
        <v>Región</v>
      </c>
      <c r="K516" s="9" t="str">
        <f t="shared" si="219"/>
        <v>Cantidad de víctimas por edad</v>
      </c>
      <c r="L516" s="9" t="str">
        <f t="shared" si="220"/>
        <v>Periodo 2010-2021</v>
      </c>
      <c r="M516" s="9" t="str">
        <f t="shared" si="221"/>
        <v>Número de víctimas</v>
      </c>
      <c r="N516" s="36" t="str">
        <f t="shared" si="222"/>
        <v>Ministerio de la Mujer y Equidad de Género (MINMEG)</v>
      </c>
      <c r="O516" s="20" t="str">
        <f>+"Edad de Víctimas de Femicidios en la "&amp;I516&amp;" para el "&amp;Agencia[[#This Row],[temporalidad]]</f>
        <v>Edad de Víctimas de Femicidios en la Región de Arica y Parinacota para el Periodo 2010-2021</v>
      </c>
      <c r="P516" s="112" t="s">
        <v>6906</v>
      </c>
      <c r="Q516" s="11" t="str">
        <f t="shared" si="223"/>
        <v>Gráfico</v>
      </c>
      <c r="R516" s="148" t="str">
        <f>Agencia[[#This Row],[territorio]]&amp;",femicidio,edad,víctima,mujer,"&amp;Agencia[[#This Row],[coleccion]]&amp;","&amp;Agencia[[#This Row],[sector]]&amp;","&amp;Agencia[[#This Row],[tema]]&amp;","&amp;Agencia[[#This Row],[contenido]]</f>
        <v>Región de Arica y Parinacota,femicidio,edad,víctima,mujer,Agencia Información,Mujeres,Femicidios,Violencia Contra la Mujer</v>
      </c>
      <c r="S516" s="83" t="str">
        <f>HYPERLINK("https://analytics.zoho.com/open-view/2395394000009080171?ZOHO_CRITERIA=%22Localiza%20CL%22.%22Codreg%22%3D"&amp;Agencia[[#This Row],[Filtro URL]])</f>
        <v>https://analytics.zoho.com/open-view/2395394000009080171?ZOHO_CRITERIA=%22Localiza%20CL%22.%22Codreg%22%3D15</v>
      </c>
      <c r="T516" s="108" t="str">
        <f>"100-R-"&amp;Agencia[[#This Row],[Filtro URL]]</f>
        <v>100-R-15</v>
      </c>
      <c r="U516" s="46" t="str">
        <f t="shared" si="224"/>
        <v>#1774B9</v>
      </c>
      <c r="V516" s="93" t="str">
        <f>+Agencia[[#This Row],[idcoleccion]]&amp;"-"&amp;Agencia[[#This Row],[id]]</f>
        <v>990-0505</v>
      </c>
      <c r="W516" s="93">
        <f>+VLOOKUP(Agencia[[#This Row],[Filtro URL]],Estructura!$X$4:$Y$500,2,0)</f>
        <v>99200015</v>
      </c>
      <c r="X516" s="93" t="str">
        <f>+VLOOKUP(Agencia[[#This Row],[tema]],Estructura!$A$4:$C$500,3,0)</f>
        <v>T-1033</v>
      </c>
      <c r="Y516" s="93" t="str">
        <f>+VLOOKUP(Agencia[[#This Row],[contenido]],Estructura!$E$4:$G$500,3,0)</f>
        <v>C-996</v>
      </c>
      <c r="Z516" s="93" t="str">
        <f>+VLOOKUP(Agencia[[#This Row],[Filtro Integrado]],Estructura!$I$4:$K$500,3,0)</f>
        <v>FI-992</v>
      </c>
      <c r="AA516" s="93" t="str">
        <f>+VLOOKUP(Agencia[[#This Row],[Muestra]],Estructura!$M$4:$O$500,3,0)</f>
        <v>M-1004</v>
      </c>
    </row>
    <row r="517" spans="1:27" ht="57.6" x14ac:dyDescent="0.3">
      <c r="A517" s="21" t="s">
        <v>1021</v>
      </c>
      <c r="B517" s="23">
        <f t="shared" si="209"/>
        <v>990</v>
      </c>
      <c r="C517" s="24" t="str">
        <f t="shared" si="210"/>
        <v>Agencia Información</v>
      </c>
      <c r="D517" s="72" t="str">
        <f t="shared" si="217"/>
        <v>Mujeres</v>
      </c>
      <c r="E517" s="19">
        <v>16</v>
      </c>
      <c r="F517" s="18" t="s">
        <v>1431</v>
      </c>
      <c r="G517" s="18" t="s">
        <v>1877</v>
      </c>
      <c r="H517" s="33" t="s">
        <v>16</v>
      </c>
      <c r="I517" s="34" t="s">
        <v>383</v>
      </c>
      <c r="J517" s="9" t="str">
        <f t="shared" si="218"/>
        <v>Región</v>
      </c>
      <c r="K517" s="9" t="str">
        <f t="shared" si="219"/>
        <v>Cantidad de víctimas por edad</v>
      </c>
      <c r="L517" s="9" t="str">
        <f t="shared" si="220"/>
        <v>Periodo 2010-2021</v>
      </c>
      <c r="M517" s="9" t="str">
        <f t="shared" si="221"/>
        <v>Número de víctimas</v>
      </c>
      <c r="N517" s="36" t="str">
        <f t="shared" si="222"/>
        <v>Ministerio de la Mujer y Equidad de Género (MINMEG)</v>
      </c>
      <c r="O517" s="20" t="str">
        <f>+"Edad de Víctimas de Femicidios en la "&amp;I517&amp;" para el "&amp;Agencia[[#This Row],[temporalidad]]</f>
        <v>Edad de Víctimas de Femicidios en la Región de Ñuble para el Periodo 2010-2021</v>
      </c>
      <c r="P517" s="112" t="s">
        <v>6907</v>
      </c>
      <c r="Q517" s="11" t="str">
        <f t="shared" si="223"/>
        <v>Gráfico</v>
      </c>
      <c r="R517" s="148" t="str">
        <f>Agencia[[#This Row],[territorio]]&amp;",femicidio,edad,víctima,mujer,"&amp;Agencia[[#This Row],[coleccion]]&amp;","&amp;Agencia[[#This Row],[sector]]&amp;","&amp;Agencia[[#This Row],[tema]]&amp;","&amp;Agencia[[#This Row],[contenido]]</f>
        <v>Región de Ñuble,femicidio,edad,víctima,mujer,Agencia Información,Mujeres,Femicidios,Violencia Contra la Mujer</v>
      </c>
      <c r="S517" s="83" t="str">
        <f>HYPERLINK("https://analytics.zoho.com/open-view/2395394000009080171?ZOHO_CRITERIA=%22Localiza%20CL%22.%22Codreg%22%3D"&amp;Agencia[[#This Row],[Filtro URL]])</f>
        <v>https://analytics.zoho.com/open-view/2395394000009080171?ZOHO_CRITERIA=%22Localiza%20CL%22.%22Codreg%22%3D16</v>
      </c>
      <c r="T517" s="108" t="str">
        <f>"100-R-"&amp;Agencia[[#This Row],[Filtro URL]]</f>
        <v>100-R-16</v>
      </c>
      <c r="U517" s="46" t="str">
        <f t="shared" si="224"/>
        <v>#1774B9</v>
      </c>
      <c r="V517" s="93" t="str">
        <f>+Agencia[[#This Row],[idcoleccion]]&amp;"-"&amp;Agencia[[#This Row],[id]]</f>
        <v>990-0506</v>
      </c>
      <c r="W517" s="93">
        <f>+VLOOKUP(Agencia[[#This Row],[Filtro URL]],Estructura!$X$4:$Y$500,2,0)</f>
        <v>99200016</v>
      </c>
      <c r="X517" s="93" t="str">
        <f>+VLOOKUP(Agencia[[#This Row],[tema]],Estructura!$A$4:$C$500,3,0)</f>
        <v>T-1033</v>
      </c>
      <c r="Y517" s="93" t="str">
        <f>+VLOOKUP(Agencia[[#This Row],[contenido]],Estructura!$E$4:$G$500,3,0)</f>
        <v>C-996</v>
      </c>
      <c r="Z517" s="93" t="str">
        <f>+VLOOKUP(Agencia[[#This Row],[Filtro Integrado]],Estructura!$I$4:$K$500,3,0)</f>
        <v>FI-992</v>
      </c>
      <c r="AA517" s="93" t="str">
        <f>+VLOOKUP(Agencia[[#This Row],[Muestra]],Estructura!$M$4:$O$500,3,0)</f>
        <v>M-1004</v>
      </c>
    </row>
    <row r="518" spans="1:27" ht="40.799999999999997" x14ac:dyDescent="0.3">
      <c r="A518" s="21" t="s">
        <v>1022</v>
      </c>
      <c r="B518" s="23">
        <f t="shared" si="209"/>
        <v>990</v>
      </c>
      <c r="C518" s="24" t="str">
        <f t="shared" si="210"/>
        <v>Agencia Información</v>
      </c>
      <c r="D518" s="72" t="s">
        <v>459</v>
      </c>
      <c r="E518" s="14">
        <v>0</v>
      </c>
      <c r="F518" s="18" t="s">
        <v>1431</v>
      </c>
      <c r="G518" s="18" t="s">
        <v>1877</v>
      </c>
      <c r="H518" s="31" t="s">
        <v>20</v>
      </c>
      <c r="I518" s="32" t="s">
        <v>15</v>
      </c>
      <c r="J518" s="9" t="s">
        <v>16</v>
      </c>
      <c r="K518" s="9" t="s">
        <v>1437</v>
      </c>
      <c r="L518" s="9" t="s">
        <v>1373</v>
      </c>
      <c r="M518" s="9" t="s">
        <v>1433</v>
      </c>
      <c r="N518" s="66" t="s">
        <v>1441</v>
      </c>
      <c r="O518" s="20" t="str">
        <f>+"Relación Víctima-Femicida en "&amp;I518&amp;" para el "&amp;Agencia[[#This Row],[temporalidad]]</f>
        <v>Relación Víctima-Femicida en Chile para el Periodo 2010-2021</v>
      </c>
      <c r="P518" s="112" t="s">
        <v>1436</v>
      </c>
      <c r="Q518" s="11" t="s">
        <v>586</v>
      </c>
      <c r="R518" s="20" t="str">
        <f>Agencia[[#This Row],[territorio]]&amp;",femicidio,víctima,mujer,conviviente,cónyuge,pareja,ex,relación,femicida,"&amp;Agencia[[#This Row],[coleccion]]&amp;","&amp;Agencia[[#This Row],[sector]]&amp;","&amp;Agencia[[#This Row],[tema]]&amp;","&amp;Agencia[[#This Row],[contenido]]</f>
        <v>Chile,femicidio,víctima,mujer,conviviente,cónyuge,pareja,ex,relación,femicida,Agencia Información,Mujeres,Femicidios,Violencia Contra la Mujer</v>
      </c>
      <c r="S518" s="37" t="s">
        <v>1438</v>
      </c>
      <c r="T518" s="108" t="s">
        <v>805</v>
      </c>
      <c r="U518" s="46" t="str">
        <f t="shared" si="224"/>
        <v>#1774B9</v>
      </c>
      <c r="V518" s="93" t="str">
        <f>+Agencia[[#This Row],[idcoleccion]]&amp;"-"&amp;Agencia[[#This Row],[id]]</f>
        <v>990-0507</v>
      </c>
      <c r="W518" s="93">
        <f>+VLOOKUP(Agencia[[#This Row],[Filtro URL]],Estructura!$X$4:$Y$500,2,0)</f>
        <v>99100000</v>
      </c>
      <c r="X518" s="93" t="str">
        <f>+VLOOKUP(Agencia[[#This Row],[tema]],Estructura!$A$4:$C$500,3,0)</f>
        <v>T-1033</v>
      </c>
      <c r="Y518" s="93" t="str">
        <f>+VLOOKUP(Agencia[[#This Row],[contenido]],Estructura!$E$4:$G$500,3,0)</f>
        <v>C-996</v>
      </c>
      <c r="Z518" s="93" t="str">
        <f>+VLOOKUP(Agencia[[#This Row],[Filtro Integrado]],Estructura!$I$4:$K$500,3,0)</f>
        <v>FI-992</v>
      </c>
      <c r="AA518" s="93" t="str">
        <f>+VLOOKUP(Agencia[[#This Row],[Muestra]],Estructura!$M$4:$O$500,3,0)</f>
        <v>M-1005</v>
      </c>
    </row>
    <row r="519" spans="1:27" ht="57.6" x14ac:dyDescent="0.3">
      <c r="A519" s="21" t="s">
        <v>1023</v>
      </c>
      <c r="B519" s="23">
        <f t="shared" si="209"/>
        <v>990</v>
      </c>
      <c r="C519" s="24" t="str">
        <f t="shared" si="210"/>
        <v>Agencia Información</v>
      </c>
      <c r="D519" s="72" t="str">
        <f t="shared" ref="D519:D534" si="225">+D518</f>
        <v>Mujeres</v>
      </c>
      <c r="E519" s="19">
        <v>1</v>
      </c>
      <c r="F519" s="18" t="s">
        <v>1431</v>
      </c>
      <c r="G519" s="18" t="s">
        <v>1877</v>
      </c>
      <c r="H519" s="33" t="s">
        <v>16</v>
      </c>
      <c r="I519" s="34" t="s">
        <v>368</v>
      </c>
      <c r="J519" s="9" t="s">
        <v>403</v>
      </c>
      <c r="K519" s="9" t="str">
        <f t="shared" ref="K519:K534" si="226">+K518</f>
        <v xml:space="preserve">Cantidad de víctimas por relación con el femicida </v>
      </c>
      <c r="L519" s="9" t="str">
        <f t="shared" ref="L519:L534" si="227">+L518</f>
        <v>Periodo 2010-2021</v>
      </c>
      <c r="M519" s="9" t="str">
        <f t="shared" ref="M519:M534" si="228">+M518</f>
        <v>Número de víctimas</v>
      </c>
      <c r="N519" s="36" t="str">
        <f t="shared" ref="N519:N534" si="229">+N518</f>
        <v>Ministerio de la Mujer y Equidad de Género (MINMEG)</v>
      </c>
      <c r="O519" s="20" t="str">
        <f>+"Relación Víctima-Femicida en la "&amp;I519&amp;" para el "&amp;Agencia[[#This Row],[temporalidad]]</f>
        <v>Relación Víctima-Femicida en la Región de Tarapacá para el Periodo 2010-2021</v>
      </c>
      <c r="P519" s="112" t="s">
        <v>6920</v>
      </c>
      <c r="Q519" s="11" t="str">
        <f t="shared" si="223"/>
        <v>Nube de palabras</v>
      </c>
      <c r="R519" s="70" t="str">
        <f>Agencia[[#This Row],[territorio]]&amp;",femicidio,víctima,mujer,conviviente,cónyuge,pareja,ex,relación,femicida,"&amp;Agencia[[#This Row],[coleccion]]&amp;","&amp;Agencia[[#This Row],[sector]]&amp;","&amp;Agencia[[#This Row],[tema]]&amp;","&amp;Agencia[[#This Row],[contenido]]</f>
        <v>Región de Tarapacá,femicidio,víctima,mujer,conviviente,cónyuge,pareja,ex,relación,femicida,Agencia Información,Mujeres,Femicidios,Violencia Contra la Mujer</v>
      </c>
      <c r="S519" s="83" t="str">
        <f>HYPERLINK("https://analytics.zoho.com/open-view/2395394000009080286?ZOHO_CRITERIA=%22Localiza%20CL%22.%22Codreg%22%3D"&amp;Agencia[[#This Row],[Filtro URL]])</f>
        <v>https://analytics.zoho.com/open-view/2395394000009080286?ZOHO_CRITERIA=%22Localiza%20CL%22.%22Codreg%22%3D1</v>
      </c>
      <c r="T519" s="108" t="str">
        <f>"100-R-"&amp;Agencia[[#This Row],[Filtro URL]]</f>
        <v>100-R-1</v>
      </c>
      <c r="U519" s="46" t="str">
        <f t="shared" si="224"/>
        <v>#1774B9</v>
      </c>
      <c r="V519" s="93" t="str">
        <f>+Agencia[[#This Row],[idcoleccion]]&amp;"-"&amp;Agencia[[#This Row],[id]]</f>
        <v>990-0508</v>
      </c>
      <c r="W519" s="93">
        <f>+VLOOKUP(Agencia[[#This Row],[Filtro URL]],Estructura!$X$4:$Y$500,2,0)</f>
        <v>99200001</v>
      </c>
      <c r="X519" s="93" t="str">
        <f>+VLOOKUP(Agencia[[#This Row],[tema]],Estructura!$A$4:$C$500,3,0)</f>
        <v>T-1033</v>
      </c>
      <c r="Y519" s="93" t="str">
        <f>+VLOOKUP(Agencia[[#This Row],[contenido]],Estructura!$E$4:$G$500,3,0)</f>
        <v>C-996</v>
      </c>
      <c r="Z519" s="93" t="str">
        <f>+VLOOKUP(Agencia[[#This Row],[Filtro Integrado]],Estructura!$I$4:$K$500,3,0)</f>
        <v>FI-993</v>
      </c>
      <c r="AA519" s="93" t="str">
        <f>+VLOOKUP(Agencia[[#This Row],[Muestra]],Estructura!$M$4:$O$500,3,0)</f>
        <v>M-1005</v>
      </c>
    </row>
    <row r="520" spans="1:27" ht="57.6" x14ac:dyDescent="0.3">
      <c r="A520" s="21" t="s">
        <v>1024</v>
      </c>
      <c r="B520" s="23">
        <f t="shared" si="209"/>
        <v>990</v>
      </c>
      <c r="C520" s="24" t="str">
        <f t="shared" si="210"/>
        <v>Agencia Información</v>
      </c>
      <c r="D520" s="72" t="str">
        <f t="shared" si="225"/>
        <v>Mujeres</v>
      </c>
      <c r="E520" s="19">
        <v>2</v>
      </c>
      <c r="F520" s="18" t="s">
        <v>1431</v>
      </c>
      <c r="G520" s="18" t="s">
        <v>1877</v>
      </c>
      <c r="H520" s="33" t="s">
        <v>16</v>
      </c>
      <c r="I520" s="34" t="s">
        <v>369</v>
      </c>
      <c r="J520" s="9" t="str">
        <f t="shared" ref="J520:J534" si="230">+J519</f>
        <v>Ninguno</v>
      </c>
      <c r="K520" s="9" t="str">
        <f t="shared" si="226"/>
        <v xml:space="preserve">Cantidad de víctimas por relación con el femicida </v>
      </c>
      <c r="L520" s="9" t="str">
        <f t="shared" si="227"/>
        <v>Periodo 2010-2021</v>
      </c>
      <c r="M520" s="9" t="str">
        <f t="shared" si="228"/>
        <v>Número de víctimas</v>
      </c>
      <c r="N520" s="36" t="str">
        <f t="shared" si="229"/>
        <v>Ministerio de la Mujer y Equidad de Género (MINMEG)</v>
      </c>
      <c r="O520" s="20" t="str">
        <f>+"Relación Víctima-Femicida en la "&amp;I520&amp;" para el "&amp;Agencia[[#This Row],[temporalidad]]</f>
        <v>Relación Víctima-Femicida en la Región de Antofagasta para el Periodo 2010-2021</v>
      </c>
      <c r="P520" s="112" t="s">
        <v>6921</v>
      </c>
      <c r="Q520" s="11" t="str">
        <f t="shared" si="223"/>
        <v>Nube de palabras</v>
      </c>
      <c r="R520" s="148" t="str">
        <f>Agencia[[#This Row],[territorio]]&amp;",femicidio,víctima,mujer,conviviente,cónyuge,pareja,ex,relación,femicida,"&amp;Agencia[[#This Row],[coleccion]]&amp;","&amp;Agencia[[#This Row],[sector]]&amp;","&amp;Agencia[[#This Row],[tema]]&amp;","&amp;Agencia[[#This Row],[contenido]]</f>
        <v>Región de Antofagasta,femicidio,víctima,mujer,conviviente,cónyuge,pareja,ex,relación,femicida,Agencia Información,Mujeres,Femicidios,Violencia Contra la Mujer</v>
      </c>
      <c r="S520" s="83" t="str">
        <f>HYPERLINK("https://analytics.zoho.com/open-view/2395394000009080286?ZOHO_CRITERIA=%22Localiza%20CL%22.%22Codreg%22%3D"&amp;Agencia[[#This Row],[Filtro URL]])</f>
        <v>https://analytics.zoho.com/open-view/2395394000009080286?ZOHO_CRITERIA=%22Localiza%20CL%22.%22Codreg%22%3D2</v>
      </c>
      <c r="T520" s="108" t="str">
        <f>"100-R-"&amp;Agencia[[#This Row],[Filtro URL]]</f>
        <v>100-R-2</v>
      </c>
      <c r="U520" s="46" t="str">
        <f t="shared" si="224"/>
        <v>#1774B9</v>
      </c>
      <c r="V520" s="93" t="str">
        <f>+Agencia[[#This Row],[idcoleccion]]&amp;"-"&amp;Agencia[[#This Row],[id]]</f>
        <v>990-0509</v>
      </c>
      <c r="W520" s="93">
        <f>+VLOOKUP(Agencia[[#This Row],[Filtro URL]],Estructura!$X$4:$Y$500,2,0)</f>
        <v>99200002</v>
      </c>
      <c r="X520" s="93" t="str">
        <f>+VLOOKUP(Agencia[[#This Row],[tema]],Estructura!$A$4:$C$500,3,0)</f>
        <v>T-1033</v>
      </c>
      <c r="Y520" s="93" t="str">
        <f>+VLOOKUP(Agencia[[#This Row],[contenido]],Estructura!$E$4:$G$500,3,0)</f>
        <v>C-996</v>
      </c>
      <c r="Z520" s="93" t="str">
        <f>+VLOOKUP(Agencia[[#This Row],[Filtro Integrado]],Estructura!$I$4:$K$500,3,0)</f>
        <v>FI-993</v>
      </c>
      <c r="AA520" s="93" t="str">
        <f>+VLOOKUP(Agencia[[#This Row],[Muestra]],Estructura!$M$4:$O$500,3,0)</f>
        <v>M-1005</v>
      </c>
    </row>
    <row r="521" spans="1:27" ht="57.6" x14ac:dyDescent="0.3">
      <c r="A521" s="21" t="s">
        <v>1025</v>
      </c>
      <c r="B521" s="23">
        <f t="shared" si="209"/>
        <v>990</v>
      </c>
      <c r="C521" s="24" t="str">
        <f t="shared" si="210"/>
        <v>Agencia Información</v>
      </c>
      <c r="D521" s="72" t="str">
        <f t="shared" si="225"/>
        <v>Mujeres</v>
      </c>
      <c r="E521" s="19">
        <v>3</v>
      </c>
      <c r="F521" s="18" t="s">
        <v>1431</v>
      </c>
      <c r="G521" s="18" t="s">
        <v>1877</v>
      </c>
      <c r="H521" s="33" t="s">
        <v>16</v>
      </c>
      <c r="I521" s="34" t="s">
        <v>370</v>
      </c>
      <c r="J521" s="9" t="str">
        <f t="shared" si="230"/>
        <v>Ninguno</v>
      </c>
      <c r="K521" s="9" t="str">
        <f t="shared" si="226"/>
        <v xml:space="preserve">Cantidad de víctimas por relación con el femicida </v>
      </c>
      <c r="L521" s="9" t="str">
        <f t="shared" si="227"/>
        <v>Periodo 2010-2021</v>
      </c>
      <c r="M521" s="9" t="str">
        <f t="shared" si="228"/>
        <v>Número de víctimas</v>
      </c>
      <c r="N521" s="36" t="str">
        <f t="shared" si="229"/>
        <v>Ministerio de la Mujer y Equidad de Género (MINMEG)</v>
      </c>
      <c r="O521" s="20" t="str">
        <f>+"Relación Víctima-Femicida en la "&amp;I521&amp;" para el "&amp;Agencia[[#This Row],[temporalidad]]</f>
        <v>Relación Víctima-Femicida en la Región de Atacama para el Periodo 2010-2021</v>
      </c>
      <c r="P521" s="112" t="s">
        <v>6922</v>
      </c>
      <c r="Q521" s="11" t="str">
        <f t="shared" si="223"/>
        <v>Nube de palabras</v>
      </c>
      <c r="R521" s="148" t="str">
        <f>Agencia[[#This Row],[territorio]]&amp;",femicidio,víctima,mujer,conviviente,cónyuge,pareja,ex,relación,femicida,"&amp;Agencia[[#This Row],[coleccion]]&amp;","&amp;Agencia[[#This Row],[sector]]&amp;","&amp;Agencia[[#This Row],[tema]]&amp;","&amp;Agencia[[#This Row],[contenido]]</f>
        <v>Región de Atacama,femicidio,víctima,mujer,conviviente,cónyuge,pareja,ex,relación,femicida,Agencia Información,Mujeres,Femicidios,Violencia Contra la Mujer</v>
      </c>
      <c r="S521" s="83" t="str">
        <f>HYPERLINK("https://analytics.zoho.com/open-view/2395394000009080286?ZOHO_CRITERIA=%22Localiza%20CL%22.%22Codreg%22%3D"&amp;Agencia[[#This Row],[Filtro URL]])</f>
        <v>https://analytics.zoho.com/open-view/2395394000009080286?ZOHO_CRITERIA=%22Localiza%20CL%22.%22Codreg%22%3D3</v>
      </c>
      <c r="T521" s="108" t="str">
        <f>"100-R-"&amp;Agencia[[#This Row],[Filtro URL]]</f>
        <v>100-R-3</v>
      </c>
      <c r="U521" s="46" t="str">
        <f t="shared" si="224"/>
        <v>#1774B9</v>
      </c>
      <c r="V521" s="93" t="str">
        <f>+Agencia[[#This Row],[idcoleccion]]&amp;"-"&amp;Agencia[[#This Row],[id]]</f>
        <v>990-0510</v>
      </c>
      <c r="W521" s="93">
        <f>+VLOOKUP(Agencia[[#This Row],[Filtro URL]],Estructura!$X$4:$Y$500,2,0)</f>
        <v>99200003</v>
      </c>
      <c r="X521" s="93" t="str">
        <f>+VLOOKUP(Agencia[[#This Row],[tema]],Estructura!$A$4:$C$500,3,0)</f>
        <v>T-1033</v>
      </c>
      <c r="Y521" s="93" t="str">
        <f>+VLOOKUP(Agencia[[#This Row],[contenido]],Estructura!$E$4:$G$500,3,0)</f>
        <v>C-996</v>
      </c>
      <c r="Z521" s="93" t="str">
        <f>+VLOOKUP(Agencia[[#This Row],[Filtro Integrado]],Estructura!$I$4:$K$500,3,0)</f>
        <v>FI-993</v>
      </c>
      <c r="AA521" s="93" t="str">
        <f>+VLOOKUP(Agencia[[#This Row],[Muestra]],Estructura!$M$4:$O$500,3,0)</f>
        <v>M-1005</v>
      </c>
    </row>
    <row r="522" spans="1:27" ht="57.6" x14ac:dyDescent="0.3">
      <c r="A522" s="21" t="s">
        <v>1026</v>
      </c>
      <c r="B522" s="23">
        <f t="shared" si="209"/>
        <v>990</v>
      </c>
      <c r="C522" s="24" t="str">
        <f t="shared" si="210"/>
        <v>Agencia Información</v>
      </c>
      <c r="D522" s="72" t="str">
        <f t="shared" si="225"/>
        <v>Mujeres</v>
      </c>
      <c r="E522" s="19">
        <v>4</v>
      </c>
      <c r="F522" s="18" t="s">
        <v>1431</v>
      </c>
      <c r="G522" s="18" t="s">
        <v>1877</v>
      </c>
      <c r="H522" s="33" t="s">
        <v>16</v>
      </c>
      <c r="I522" s="34" t="s">
        <v>371</v>
      </c>
      <c r="J522" s="9" t="str">
        <f t="shared" si="230"/>
        <v>Ninguno</v>
      </c>
      <c r="K522" s="9" t="str">
        <f t="shared" si="226"/>
        <v xml:space="preserve">Cantidad de víctimas por relación con el femicida </v>
      </c>
      <c r="L522" s="9" t="str">
        <f t="shared" si="227"/>
        <v>Periodo 2010-2021</v>
      </c>
      <c r="M522" s="9" t="str">
        <f t="shared" si="228"/>
        <v>Número de víctimas</v>
      </c>
      <c r="N522" s="36" t="str">
        <f t="shared" si="229"/>
        <v>Ministerio de la Mujer y Equidad de Género (MINMEG)</v>
      </c>
      <c r="O522" s="20" t="str">
        <f>+"Relación Víctima-Femicida en la "&amp;I522&amp;" para el "&amp;Agencia[[#This Row],[temporalidad]]</f>
        <v>Relación Víctima-Femicida en la Región de Coquimbo para el Periodo 2010-2021</v>
      </c>
      <c r="P522" s="112" t="s">
        <v>6923</v>
      </c>
      <c r="Q522" s="11" t="str">
        <f t="shared" si="223"/>
        <v>Nube de palabras</v>
      </c>
      <c r="R522" s="148" t="str">
        <f>Agencia[[#This Row],[territorio]]&amp;",femicidio,víctima,mujer,conviviente,cónyuge,pareja,ex,relación,femicida,"&amp;Agencia[[#This Row],[coleccion]]&amp;","&amp;Agencia[[#This Row],[sector]]&amp;","&amp;Agencia[[#This Row],[tema]]&amp;","&amp;Agencia[[#This Row],[contenido]]</f>
        <v>Región de Coquimbo,femicidio,víctima,mujer,conviviente,cónyuge,pareja,ex,relación,femicida,Agencia Información,Mujeres,Femicidios,Violencia Contra la Mujer</v>
      </c>
      <c r="S522" s="83" t="str">
        <f>HYPERLINK("https://analytics.zoho.com/open-view/2395394000009080286?ZOHO_CRITERIA=%22Localiza%20CL%22.%22Codreg%22%3D"&amp;Agencia[[#This Row],[Filtro URL]])</f>
        <v>https://analytics.zoho.com/open-view/2395394000009080286?ZOHO_CRITERIA=%22Localiza%20CL%22.%22Codreg%22%3D4</v>
      </c>
      <c r="T522" s="108" t="str">
        <f>"100-R-"&amp;Agencia[[#This Row],[Filtro URL]]</f>
        <v>100-R-4</v>
      </c>
      <c r="U522" s="46" t="str">
        <f t="shared" si="224"/>
        <v>#1774B9</v>
      </c>
      <c r="V522" s="93" t="str">
        <f>+Agencia[[#This Row],[idcoleccion]]&amp;"-"&amp;Agencia[[#This Row],[id]]</f>
        <v>990-0511</v>
      </c>
      <c r="W522" s="93">
        <f>+VLOOKUP(Agencia[[#This Row],[Filtro URL]],Estructura!$X$4:$Y$500,2,0)</f>
        <v>99200004</v>
      </c>
      <c r="X522" s="93" t="str">
        <f>+VLOOKUP(Agencia[[#This Row],[tema]],Estructura!$A$4:$C$500,3,0)</f>
        <v>T-1033</v>
      </c>
      <c r="Y522" s="93" t="str">
        <f>+VLOOKUP(Agencia[[#This Row],[contenido]],Estructura!$E$4:$G$500,3,0)</f>
        <v>C-996</v>
      </c>
      <c r="Z522" s="93" t="str">
        <f>+VLOOKUP(Agencia[[#This Row],[Filtro Integrado]],Estructura!$I$4:$K$500,3,0)</f>
        <v>FI-993</v>
      </c>
      <c r="AA522" s="93" t="str">
        <f>+VLOOKUP(Agencia[[#This Row],[Muestra]],Estructura!$M$4:$O$500,3,0)</f>
        <v>M-1005</v>
      </c>
    </row>
    <row r="523" spans="1:27" ht="57.6" x14ac:dyDescent="0.3">
      <c r="A523" s="21" t="s">
        <v>1027</v>
      </c>
      <c r="B523" s="23">
        <f t="shared" si="209"/>
        <v>990</v>
      </c>
      <c r="C523" s="24" t="str">
        <f t="shared" si="210"/>
        <v>Agencia Información</v>
      </c>
      <c r="D523" s="72" t="str">
        <f t="shared" si="225"/>
        <v>Mujeres</v>
      </c>
      <c r="E523" s="19">
        <v>5</v>
      </c>
      <c r="F523" s="18" t="s">
        <v>1431</v>
      </c>
      <c r="G523" s="18" t="s">
        <v>1877</v>
      </c>
      <c r="H523" s="33" t="s">
        <v>16</v>
      </c>
      <c r="I523" s="34" t="s">
        <v>372</v>
      </c>
      <c r="J523" s="9" t="str">
        <f t="shared" si="230"/>
        <v>Ninguno</v>
      </c>
      <c r="K523" s="9" t="str">
        <f t="shared" si="226"/>
        <v xml:space="preserve">Cantidad de víctimas por relación con el femicida </v>
      </c>
      <c r="L523" s="9" t="str">
        <f t="shared" si="227"/>
        <v>Periodo 2010-2021</v>
      </c>
      <c r="M523" s="9" t="str">
        <f t="shared" si="228"/>
        <v>Número de víctimas</v>
      </c>
      <c r="N523" s="36" t="str">
        <f t="shared" si="229"/>
        <v>Ministerio de la Mujer y Equidad de Género (MINMEG)</v>
      </c>
      <c r="O523" s="20" t="str">
        <f>+"Relación Víctima-Femicida en la "&amp;I523&amp;" para el "&amp;Agencia[[#This Row],[temporalidad]]</f>
        <v>Relación Víctima-Femicida en la Región de Valparaíso para el Periodo 2010-2021</v>
      </c>
      <c r="P523" s="112" t="s">
        <v>6924</v>
      </c>
      <c r="Q523" s="11" t="str">
        <f t="shared" si="223"/>
        <v>Nube de palabras</v>
      </c>
      <c r="R523" s="148" t="str">
        <f>Agencia[[#This Row],[territorio]]&amp;",femicidio,víctima,mujer,conviviente,cónyuge,pareja,ex,relación,femicida,"&amp;Agencia[[#This Row],[coleccion]]&amp;","&amp;Agencia[[#This Row],[sector]]&amp;","&amp;Agencia[[#This Row],[tema]]&amp;","&amp;Agencia[[#This Row],[contenido]]</f>
        <v>Región de Valparaíso,femicidio,víctima,mujer,conviviente,cónyuge,pareja,ex,relación,femicida,Agencia Información,Mujeres,Femicidios,Violencia Contra la Mujer</v>
      </c>
      <c r="S523" s="83" t="str">
        <f>HYPERLINK("https://analytics.zoho.com/open-view/2395394000009080286?ZOHO_CRITERIA=%22Localiza%20CL%22.%22Codreg%22%3D"&amp;Agencia[[#This Row],[Filtro URL]])</f>
        <v>https://analytics.zoho.com/open-view/2395394000009080286?ZOHO_CRITERIA=%22Localiza%20CL%22.%22Codreg%22%3D5</v>
      </c>
      <c r="T523" s="108" t="str">
        <f>"100-R-"&amp;Agencia[[#This Row],[Filtro URL]]</f>
        <v>100-R-5</v>
      </c>
      <c r="U523" s="46" t="str">
        <f t="shared" si="224"/>
        <v>#1774B9</v>
      </c>
      <c r="V523" s="93" t="str">
        <f>+Agencia[[#This Row],[idcoleccion]]&amp;"-"&amp;Agencia[[#This Row],[id]]</f>
        <v>990-0512</v>
      </c>
      <c r="W523" s="93">
        <f>+VLOOKUP(Agencia[[#This Row],[Filtro URL]],Estructura!$X$4:$Y$500,2,0)</f>
        <v>99200005</v>
      </c>
      <c r="X523" s="93" t="str">
        <f>+VLOOKUP(Agencia[[#This Row],[tema]],Estructura!$A$4:$C$500,3,0)</f>
        <v>T-1033</v>
      </c>
      <c r="Y523" s="93" t="str">
        <f>+VLOOKUP(Agencia[[#This Row],[contenido]],Estructura!$E$4:$G$500,3,0)</f>
        <v>C-996</v>
      </c>
      <c r="Z523" s="93" t="str">
        <f>+VLOOKUP(Agencia[[#This Row],[Filtro Integrado]],Estructura!$I$4:$K$500,3,0)</f>
        <v>FI-993</v>
      </c>
      <c r="AA523" s="93" t="str">
        <f>+VLOOKUP(Agencia[[#This Row],[Muestra]],Estructura!$M$4:$O$500,3,0)</f>
        <v>M-1005</v>
      </c>
    </row>
    <row r="524" spans="1:27" ht="57.6" x14ac:dyDescent="0.3">
      <c r="A524" s="21" t="s">
        <v>1028</v>
      </c>
      <c r="B524" s="23">
        <f t="shared" si="209"/>
        <v>990</v>
      </c>
      <c r="C524" s="24" t="str">
        <f t="shared" si="210"/>
        <v>Agencia Información</v>
      </c>
      <c r="D524" s="72" t="str">
        <f t="shared" si="225"/>
        <v>Mujeres</v>
      </c>
      <c r="E524" s="19">
        <v>6</v>
      </c>
      <c r="F524" s="18" t="s">
        <v>1431</v>
      </c>
      <c r="G524" s="18" t="s">
        <v>1877</v>
      </c>
      <c r="H524" s="33" t="s">
        <v>16</v>
      </c>
      <c r="I524" s="34" t="s">
        <v>373</v>
      </c>
      <c r="J524" s="9" t="str">
        <f t="shared" si="230"/>
        <v>Ninguno</v>
      </c>
      <c r="K524" s="9" t="str">
        <f t="shared" si="226"/>
        <v xml:space="preserve">Cantidad de víctimas por relación con el femicida </v>
      </c>
      <c r="L524" s="9" t="str">
        <f t="shared" si="227"/>
        <v>Periodo 2010-2021</v>
      </c>
      <c r="M524" s="9" t="str">
        <f t="shared" si="228"/>
        <v>Número de víctimas</v>
      </c>
      <c r="N524" s="36" t="str">
        <f t="shared" si="229"/>
        <v>Ministerio de la Mujer y Equidad de Género (MINMEG)</v>
      </c>
      <c r="O524" s="20" t="str">
        <f>+"Relación Víctima-Femicida en la "&amp;I524&amp;" para el "&amp;Agencia[[#This Row],[temporalidad]]</f>
        <v>Relación Víctima-Femicida en la Región de O'Higgins para el Periodo 2010-2021</v>
      </c>
      <c r="P524" s="112" t="s">
        <v>6925</v>
      </c>
      <c r="Q524" s="11" t="str">
        <f t="shared" si="223"/>
        <v>Nube de palabras</v>
      </c>
      <c r="R524" s="148" t="str">
        <f>Agencia[[#This Row],[territorio]]&amp;",femicidio,víctima,mujer,conviviente,cónyuge,pareja,ex,relación,femicida,"&amp;Agencia[[#This Row],[coleccion]]&amp;","&amp;Agencia[[#This Row],[sector]]&amp;","&amp;Agencia[[#This Row],[tema]]&amp;","&amp;Agencia[[#This Row],[contenido]]</f>
        <v>Región de O'Higgins,femicidio,víctima,mujer,conviviente,cónyuge,pareja,ex,relación,femicida,Agencia Información,Mujeres,Femicidios,Violencia Contra la Mujer</v>
      </c>
      <c r="S524" s="83" t="str">
        <f>HYPERLINK("https://analytics.zoho.com/open-view/2395394000009080286?ZOHO_CRITERIA=%22Localiza%20CL%22.%22Codreg%22%3D"&amp;Agencia[[#This Row],[Filtro URL]])</f>
        <v>https://analytics.zoho.com/open-view/2395394000009080286?ZOHO_CRITERIA=%22Localiza%20CL%22.%22Codreg%22%3D6</v>
      </c>
      <c r="T524" s="108" t="str">
        <f>"100-R-"&amp;Agencia[[#This Row],[Filtro URL]]</f>
        <v>100-R-6</v>
      </c>
      <c r="U524" s="46" t="str">
        <f t="shared" si="224"/>
        <v>#1774B9</v>
      </c>
      <c r="V524" s="93" t="str">
        <f>+Agencia[[#This Row],[idcoleccion]]&amp;"-"&amp;Agencia[[#This Row],[id]]</f>
        <v>990-0513</v>
      </c>
      <c r="W524" s="93">
        <f>+VLOOKUP(Agencia[[#This Row],[Filtro URL]],Estructura!$X$4:$Y$500,2,0)</f>
        <v>99200006</v>
      </c>
      <c r="X524" s="93" t="str">
        <f>+VLOOKUP(Agencia[[#This Row],[tema]],Estructura!$A$4:$C$500,3,0)</f>
        <v>T-1033</v>
      </c>
      <c r="Y524" s="93" t="str">
        <f>+VLOOKUP(Agencia[[#This Row],[contenido]],Estructura!$E$4:$G$500,3,0)</f>
        <v>C-996</v>
      </c>
      <c r="Z524" s="93" t="str">
        <f>+VLOOKUP(Agencia[[#This Row],[Filtro Integrado]],Estructura!$I$4:$K$500,3,0)</f>
        <v>FI-993</v>
      </c>
      <c r="AA524" s="93" t="str">
        <f>+VLOOKUP(Agencia[[#This Row],[Muestra]],Estructura!$M$4:$O$500,3,0)</f>
        <v>M-1005</v>
      </c>
    </row>
    <row r="525" spans="1:27" ht="57.6" x14ac:dyDescent="0.3">
      <c r="A525" s="21" t="s">
        <v>1029</v>
      </c>
      <c r="B525" s="23">
        <f t="shared" si="209"/>
        <v>990</v>
      </c>
      <c r="C525" s="24" t="str">
        <f t="shared" si="210"/>
        <v>Agencia Información</v>
      </c>
      <c r="D525" s="72" t="str">
        <f t="shared" si="225"/>
        <v>Mujeres</v>
      </c>
      <c r="E525" s="19">
        <v>7</v>
      </c>
      <c r="F525" s="18" t="s">
        <v>1431</v>
      </c>
      <c r="G525" s="18" t="s">
        <v>1877</v>
      </c>
      <c r="H525" s="33" t="s">
        <v>16</v>
      </c>
      <c r="I525" s="34" t="s">
        <v>374</v>
      </c>
      <c r="J525" s="9" t="str">
        <f t="shared" si="230"/>
        <v>Ninguno</v>
      </c>
      <c r="K525" s="9" t="str">
        <f t="shared" si="226"/>
        <v xml:space="preserve">Cantidad de víctimas por relación con el femicida </v>
      </c>
      <c r="L525" s="9" t="str">
        <f t="shared" si="227"/>
        <v>Periodo 2010-2021</v>
      </c>
      <c r="M525" s="9" t="str">
        <f t="shared" si="228"/>
        <v>Número de víctimas</v>
      </c>
      <c r="N525" s="36" t="str">
        <f t="shared" si="229"/>
        <v>Ministerio de la Mujer y Equidad de Género (MINMEG)</v>
      </c>
      <c r="O525" s="20" t="str">
        <f>+"Relación Víctima-Femicida en la "&amp;I525&amp;" para el "&amp;Agencia[[#This Row],[temporalidad]]</f>
        <v>Relación Víctima-Femicida en la Región de Maule para el Periodo 2010-2021</v>
      </c>
      <c r="P525" s="112" t="s">
        <v>6926</v>
      </c>
      <c r="Q525" s="11" t="str">
        <f t="shared" si="223"/>
        <v>Nube de palabras</v>
      </c>
      <c r="R525" s="148" t="str">
        <f>Agencia[[#This Row],[territorio]]&amp;",femicidio,víctima,mujer,conviviente,cónyuge,pareja,ex,relación,femicida,"&amp;Agencia[[#This Row],[coleccion]]&amp;","&amp;Agencia[[#This Row],[sector]]&amp;","&amp;Agencia[[#This Row],[tema]]&amp;","&amp;Agencia[[#This Row],[contenido]]</f>
        <v>Región de Maule,femicidio,víctima,mujer,conviviente,cónyuge,pareja,ex,relación,femicida,Agencia Información,Mujeres,Femicidios,Violencia Contra la Mujer</v>
      </c>
      <c r="S525" s="83" t="str">
        <f>HYPERLINK("https://analytics.zoho.com/open-view/2395394000009080286?ZOHO_CRITERIA=%22Localiza%20CL%22.%22Codreg%22%3D"&amp;Agencia[[#This Row],[Filtro URL]])</f>
        <v>https://analytics.zoho.com/open-view/2395394000009080286?ZOHO_CRITERIA=%22Localiza%20CL%22.%22Codreg%22%3D7</v>
      </c>
      <c r="T525" s="108" t="str">
        <f>"100-R-"&amp;Agencia[[#This Row],[Filtro URL]]</f>
        <v>100-R-7</v>
      </c>
      <c r="U525" s="46" t="str">
        <f t="shared" si="224"/>
        <v>#1774B9</v>
      </c>
      <c r="V525" s="93" t="str">
        <f>+Agencia[[#This Row],[idcoleccion]]&amp;"-"&amp;Agencia[[#This Row],[id]]</f>
        <v>990-0514</v>
      </c>
      <c r="W525" s="93">
        <f>+VLOOKUP(Agencia[[#This Row],[Filtro URL]],Estructura!$X$4:$Y$500,2,0)</f>
        <v>99200007</v>
      </c>
      <c r="X525" s="93" t="str">
        <f>+VLOOKUP(Agencia[[#This Row],[tema]],Estructura!$A$4:$C$500,3,0)</f>
        <v>T-1033</v>
      </c>
      <c r="Y525" s="93" t="str">
        <f>+VLOOKUP(Agencia[[#This Row],[contenido]],Estructura!$E$4:$G$500,3,0)</f>
        <v>C-996</v>
      </c>
      <c r="Z525" s="93" t="str">
        <f>+VLOOKUP(Agencia[[#This Row],[Filtro Integrado]],Estructura!$I$4:$K$500,3,0)</f>
        <v>FI-993</v>
      </c>
      <c r="AA525" s="93" t="str">
        <f>+VLOOKUP(Agencia[[#This Row],[Muestra]],Estructura!$M$4:$O$500,3,0)</f>
        <v>M-1005</v>
      </c>
    </row>
    <row r="526" spans="1:27" ht="57.6" x14ac:dyDescent="0.3">
      <c r="A526" s="21" t="s">
        <v>1030</v>
      </c>
      <c r="B526" s="23">
        <f t="shared" si="209"/>
        <v>990</v>
      </c>
      <c r="C526" s="24" t="str">
        <f t="shared" si="210"/>
        <v>Agencia Información</v>
      </c>
      <c r="D526" s="72" t="str">
        <f t="shared" si="225"/>
        <v>Mujeres</v>
      </c>
      <c r="E526" s="19">
        <v>8</v>
      </c>
      <c r="F526" s="18" t="s">
        <v>1431</v>
      </c>
      <c r="G526" s="18" t="s">
        <v>1877</v>
      </c>
      <c r="H526" s="33" t="s">
        <v>16</v>
      </c>
      <c r="I526" s="34" t="s">
        <v>375</v>
      </c>
      <c r="J526" s="9" t="str">
        <f t="shared" si="230"/>
        <v>Ninguno</v>
      </c>
      <c r="K526" s="9" t="str">
        <f t="shared" si="226"/>
        <v xml:space="preserve">Cantidad de víctimas por relación con el femicida </v>
      </c>
      <c r="L526" s="9" t="str">
        <f t="shared" si="227"/>
        <v>Periodo 2010-2021</v>
      </c>
      <c r="M526" s="9" t="str">
        <f t="shared" si="228"/>
        <v>Número de víctimas</v>
      </c>
      <c r="N526" s="36" t="str">
        <f t="shared" si="229"/>
        <v>Ministerio de la Mujer y Equidad de Género (MINMEG)</v>
      </c>
      <c r="O526" s="20" t="str">
        <f>+"Relación Víctima-Femicida en la "&amp;I526&amp;" para el "&amp;Agencia[[#This Row],[temporalidad]]</f>
        <v>Relación Víctima-Femicida en la Región del Biobío para el Periodo 2010-2021</v>
      </c>
      <c r="P526" s="112" t="s">
        <v>6927</v>
      </c>
      <c r="Q526" s="11" t="str">
        <f t="shared" si="223"/>
        <v>Nube de palabras</v>
      </c>
      <c r="R526" s="148" t="str">
        <f>Agencia[[#This Row],[territorio]]&amp;",femicidio,víctima,mujer,conviviente,cónyuge,pareja,ex,relación,femicida,"&amp;Agencia[[#This Row],[coleccion]]&amp;","&amp;Agencia[[#This Row],[sector]]&amp;","&amp;Agencia[[#This Row],[tema]]&amp;","&amp;Agencia[[#This Row],[contenido]]</f>
        <v>Región del Biobío,femicidio,víctima,mujer,conviviente,cónyuge,pareja,ex,relación,femicida,Agencia Información,Mujeres,Femicidios,Violencia Contra la Mujer</v>
      </c>
      <c r="S526" s="83" t="str">
        <f>HYPERLINK("https://analytics.zoho.com/open-view/2395394000009080286?ZOHO_CRITERIA=%22Localiza%20CL%22.%22Codreg%22%3D"&amp;Agencia[[#This Row],[Filtro URL]])</f>
        <v>https://analytics.zoho.com/open-view/2395394000009080286?ZOHO_CRITERIA=%22Localiza%20CL%22.%22Codreg%22%3D8</v>
      </c>
      <c r="T526" s="108" t="str">
        <f>"100-R-"&amp;Agencia[[#This Row],[Filtro URL]]</f>
        <v>100-R-8</v>
      </c>
      <c r="U526" s="46" t="str">
        <f t="shared" si="224"/>
        <v>#1774B9</v>
      </c>
      <c r="V526" s="93" t="str">
        <f>+Agencia[[#This Row],[idcoleccion]]&amp;"-"&amp;Agencia[[#This Row],[id]]</f>
        <v>990-0515</v>
      </c>
      <c r="W526" s="93">
        <f>+VLOOKUP(Agencia[[#This Row],[Filtro URL]],Estructura!$X$4:$Y$500,2,0)</f>
        <v>99200008</v>
      </c>
      <c r="X526" s="93" t="str">
        <f>+VLOOKUP(Agencia[[#This Row],[tema]],Estructura!$A$4:$C$500,3,0)</f>
        <v>T-1033</v>
      </c>
      <c r="Y526" s="93" t="str">
        <f>+VLOOKUP(Agencia[[#This Row],[contenido]],Estructura!$E$4:$G$500,3,0)</f>
        <v>C-996</v>
      </c>
      <c r="Z526" s="93" t="str">
        <f>+VLOOKUP(Agencia[[#This Row],[Filtro Integrado]],Estructura!$I$4:$K$500,3,0)</f>
        <v>FI-993</v>
      </c>
      <c r="AA526" s="93" t="str">
        <f>+VLOOKUP(Agencia[[#This Row],[Muestra]],Estructura!$M$4:$O$500,3,0)</f>
        <v>M-1005</v>
      </c>
    </row>
    <row r="527" spans="1:27" ht="57.6" x14ac:dyDescent="0.3">
      <c r="A527" s="21" t="s">
        <v>1031</v>
      </c>
      <c r="B527" s="23">
        <f t="shared" si="209"/>
        <v>990</v>
      </c>
      <c r="C527" s="24" t="str">
        <f t="shared" si="210"/>
        <v>Agencia Información</v>
      </c>
      <c r="D527" s="72" t="str">
        <f t="shared" si="225"/>
        <v>Mujeres</v>
      </c>
      <c r="E527" s="19">
        <v>9</v>
      </c>
      <c r="F527" s="18" t="s">
        <v>1431</v>
      </c>
      <c r="G527" s="18" t="s">
        <v>1877</v>
      </c>
      <c r="H527" s="33" t="s">
        <v>16</v>
      </c>
      <c r="I527" s="34" t="s">
        <v>376</v>
      </c>
      <c r="J527" s="9" t="str">
        <f t="shared" si="230"/>
        <v>Ninguno</v>
      </c>
      <c r="K527" s="9" t="str">
        <f t="shared" si="226"/>
        <v xml:space="preserve">Cantidad de víctimas por relación con el femicida </v>
      </c>
      <c r="L527" s="9" t="str">
        <f t="shared" si="227"/>
        <v>Periodo 2010-2021</v>
      </c>
      <c r="M527" s="9" t="str">
        <f t="shared" si="228"/>
        <v>Número de víctimas</v>
      </c>
      <c r="N527" s="36" t="str">
        <f t="shared" si="229"/>
        <v>Ministerio de la Mujer y Equidad de Género (MINMEG)</v>
      </c>
      <c r="O527" s="20" t="str">
        <f>+"Relación Víctima-Femicida en la "&amp;I527&amp;" para el "&amp;Agencia[[#This Row],[temporalidad]]</f>
        <v>Relación Víctima-Femicida en la Región de La Araucanía para el Periodo 2010-2021</v>
      </c>
      <c r="P527" s="112" t="s">
        <v>6928</v>
      </c>
      <c r="Q527" s="11" t="str">
        <f t="shared" si="223"/>
        <v>Nube de palabras</v>
      </c>
      <c r="R527" s="148" t="str">
        <f>Agencia[[#This Row],[territorio]]&amp;",femicidio,víctima,mujer,conviviente,cónyuge,pareja,ex,relación,femicida,"&amp;Agencia[[#This Row],[coleccion]]&amp;","&amp;Agencia[[#This Row],[sector]]&amp;","&amp;Agencia[[#This Row],[tema]]&amp;","&amp;Agencia[[#This Row],[contenido]]</f>
        <v>Región de La Araucanía,femicidio,víctima,mujer,conviviente,cónyuge,pareja,ex,relación,femicida,Agencia Información,Mujeres,Femicidios,Violencia Contra la Mujer</v>
      </c>
      <c r="S527" s="83" t="str">
        <f>HYPERLINK("https://analytics.zoho.com/open-view/2395394000009080286?ZOHO_CRITERIA=%22Localiza%20CL%22.%22Codreg%22%3D"&amp;Agencia[[#This Row],[Filtro URL]])</f>
        <v>https://analytics.zoho.com/open-view/2395394000009080286?ZOHO_CRITERIA=%22Localiza%20CL%22.%22Codreg%22%3D9</v>
      </c>
      <c r="T527" s="108" t="str">
        <f>"100-R-"&amp;Agencia[[#This Row],[Filtro URL]]</f>
        <v>100-R-9</v>
      </c>
      <c r="U527" s="46" t="str">
        <f t="shared" si="224"/>
        <v>#1774B9</v>
      </c>
      <c r="V527" s="93" t="str">
        <f>+Agencia[[#This Row],[idcoleccion]]&amp;"-"&amp;Agencia[[#This Row],[id]]</f>
        <v>990-0516</v>
      </c>
      <c r="W527" s="93">
        <f>+VLOOKUP(Agencia[[#This Row],[Filtro URL]],Estructura!$X$4:$Y$500,2,0)</f>
        <v>99200009</v>
      </c>
      <c r="X527" s="93" t="str">
        <f>+VLOOKUP(Agencia[[#This Row],[tema]],Estructura!$A$4:$C$500,3,0)</f>
        <v>T-1033</v>
      </c>
      <c r="Y527" s="93" t="str">
        <f>+VLOOKUP(Agencia[[#This Row],[contenido]],Estructura!$E$4:$G$500,3,0)</f>
        <v>C-996</v>
      </c>
      <c r="Z527" s="93" t="str">
        <f>+VLOOKUP(Agencia[[#This Row],[Filtro Integrado]],Estructura!$I$4:$K$500,3,0)</f>
        <v>FI-993</v>
      </c>
      <c r="AA527" s="93" t="str">
        <f>+VLOOKUP(Agencia[[#This Row],[Muestra]],Estructura!$M$4:$O$500,3,0)</f>
        <v>M-1005</v>
      </c>
    </row>
    <row r="528" spans="1:27" ht="57.6" x14ac:dyDescent="0.3">
      <c r="A528" s="21" t="s">
        <v>1032</v>
      </c>
      <c r="B528" s="23">
        <f t="shared" si="209"/>
        <v>990</v>
      </c>
      <c r="C528" s="24" t="str">
        <f t="shared" si="210"/>
        <v>Agencia Información</v>
      </c>
      <c r="D528" s="72" t="str">
        <f t="shared" si="225"/>
        <v>Mujeres</v>
      </c>
      <c r="E528" s="19">
        <v>10</v>
      </c>
      <c r="F528" s="18" t="s">
        <v>1431</v>
      </c>
      <c r="G528" s="18" t="s">
        <v>1877</v>
      </c>
      <c r="H528" s="33" t="s">
        <v>16</v>
      </c>
      <c r="I528" s="34" t="s">
        <v>377</v>
      </c>
      <c r="J528" s="9" t="str">
        <f t="shared" si="230"/>
        <v>Ninguno</v>
      </c>
      <c r="K528" s="9" t="str">
        <f t="shared" si="226"/>
        <v xml:space="preserve">Cantidad de víctimas por relación con el femicida </v>
      </c>
      <c r="L528" s="9" t="str">
        <f t="shared" si="227"/>
        <v>Periodo 2010-2021</v>
      </c>
      <c r="M528" s="9" t="str">
        <f t="shared" si="228"/>
        <v>Número de víctimas</v>
      </c>
      <c r="N528" s="36" t="str">
        <f t="shared" si="229"/>
        <v>Ministerio de la Mujer y Equidad de Género (MINMEG)</v>
      </c>
      <c r="O528" s="20" t="str">
        <f>+"Relación Víctima-Femicida en la "&amp;I528&amp;" para el "&amp;Agencia[[#This Row],[temporalidad]]</f>
        <v>Relación Víctima-Femicida en la Región de Los Lagos para el Periodo 2010-2021</v>
      </c>
      <c r="P528" s="112" t="s">
        <v>6929</v>
      </c>
      <c r="Q528" s="11" t="str">
        <f t="shared" si="223"/>
        <v>Nube de palabras</v>
      </c>
      <c r="R528" s="148" t="str">
        <f>Agencia[[#This Row],[territorio]]&amp;",femicidio,víctima,mujer,conviviente,cónyuge,pareja,ex,relación,femicida,"&amp;Agencia[[#This Row],[coleccion]]&amp;","&amp;Agencia[[#This Row],[sector]]&amp;","&amp;Agencia[[#This Row],[tema]]&amp;","&amp;Agencia[[#This Row],[contenido]]</f>
        <v>Región de Los Lagos,femicidio,víctima,mujer,conviviente,cónyuge,pareja,ex,relación,femicida,Agencia Información,Mujeres,Femicidios,Violencia Contra la Mujer</v>
      </c>
      <c r="S528" s="83" t="str">
        <f>HYPERLINK("https://analytics.zoho.com/open-view/2395394000009080286?ZOHO_CRITERIA=%22Localiza%20CL%22.%22Codreg%22%3D"&amp;Agencia[[#This Row],[Filtro URL]])</f>
        <v>https://analytics.zoho.com/open-view/2395394000009080286?ZOHO_CRITERIA=%22Localiza%20CL%22.%22Codreg%22%3D10</v>
      </c>
      <c r="T528" s="108" t="str">
        <f>"100-R-"&amp;Agencia[[#This Row],[Filtro URL]]</f>
        <v>100-R-10</v>
      </c>
      <c r="U528" s="46" t="str">
        <f t="shared" si="224"/>
        <v>#1774B9</v>
      </c>
      <c r="V528" s="93" t="str">
        <f>+Agencia[[#This Row],[idcoleccion]]&amp;"-"&amp;Agencia[[#This Row],[id]]</f>
        <v>990-0517</v>
      </c>
      <c r="W528" s="93">
        <f>+VLOOKUP(Agencia[[#This Row],[Filtro URL]],Estructura!$X$4:$Y$500,2,0)</f>
        <v>99200010</v>
      </c>
      <c r="X528" s="93" t="str">
        <f>+VLOOKUP(Agencia[[#This Row],[tema]],Estructura!$A$4:$C$500,3,0)</f>
        <v>T-1033</v>
      </c>
      <c r="Y528" s="93" t="str">
        <f>+VLOOKUP(Agencia[[#This Row],[contenido]],Estructura!$E$4:$G$500,3,0)</f>
        <v>C-996</v>
      </c>
      <c r="Z528" s="93" t="str">
        <f>+VLOOKUP(Agencia[[#This Row],[Filtro Integrado]],Estructura!$I$4:$K$500,3,0)</f>
        <v>FI-993</v>
      </c>
      <c r="AA528" s="93" t="str">
        <f>+VLOOKUP(Agencia[[#This Row],[Muestra]],Estructura!$M$4:$O$500,3,0)</f>
        <v>M-1005</v>
      </c>
    </row>
    <row r="529" spans="1:27" ht="57.6" x14ac:dyDescent="0.3">
      <c r="A529" s="21" t="s">
        <v>1033</v>
      </c>
      <c r="B529" s="23">
        <f t="shared" si="209"/>
        <v>990</v>
      </c>
      <c r="C529" s="24" t="str">
        <f t="shared" si="210"/>
        <v>Agencia Información</v>
      </c>
      <c r="D529" s="72" t="str">
        <f t="shared" si="225"/>
        <v>Mujeres</v>
      </c>
      <c r="E529" s="19">
        <v>11</v>
      </c>
      <c r="F529" s="18" t="s">
        <v>1431</v>
      </c>
      <c r="G529" s="18" t="s">
        <v>1877</v>
      </c>
      <c r="H529" s="33" t="s">
        <v>16</v>
      </c>
      <c r="I529" s="34" t="s">
        <v>378</v>
      </c>
      <c r="J529" s="9" t="str">
        <f t="shared" si="230"/>
        <v>Ninguno</v>
      </c>
      <c r="K529" s="9" t="str">
        <f t="shared" si="226"/>
        <v xml:space="preserve">Cantidad de víctimas por relación con el femicida </v>
      </c>
      <c r="L529" s="9" t="str">
        <f t="shared" si="227"/>
        <v>Periodo 2010-2021</v>
      </c>
      <c r="M529" s="9" t="str">
        <f t="shared" si="228"/>
        <v>Número de víctimas</v>
      </c>
      <c r="N529" s="36" t="str">
        <f t="shared" si="229"/>
        <v>Ministerio de la Mujer y Equidad de Género (MINMEG)</v>
      </c>
      <c r="O529" s="20" t="str">
        <f>+"Relación Víctima-Femicida en la "&amp;I529&amp;" para el "&amp;Agencia[[#This Row],[temporalidad]]</f>
        <v>Relación Víctima-Femicida en la Región de Aysén para el Periodo 2010-2021</v>
      </c>
      <c r="P529" s="112" t="s">
        <v>6932</v>
      </c>
      <c r="Q529" s="11" t="str">
        <f t="shared" si="223"/>
        <v>Nube de palabras</v>
      </c>
      <c r="R529" s="148" t="str">
        <f>Agencia[[#This Row],[territorio]]&amp;",femicidio,víctima,mujer,conviviente,cónyuge,pareja,ex,relación,femicida,"&amp;Agencia[[#This Row],[coleccion]]&amp;","&amp;Agencia[[#This Row],[sector]]&amp;","&amp;Agencia[[#This Row],[tema]]&amp;","&amp;Agencia[[#This Row],[contenido]]</f>
        <v>Región de Aysén,femicidio,víctima,mujer,conviviente,cónyuge,pareja,ex,relación,femicida,Agencia Información,Mujeres,Femicidios,Violencia Contra la Mujer</v>
      </c>
      <c r="S529" s="83" t="str">
        <f>HYPERLINK("https://analytics.zoho.com/open-view/2395394000009080286?ZOHO_CRITERIA=%22Localiza%20CL%22.%22Codreg%22%3D"&amp;Agencia[[#This Row],[Filtro URL]])</f>
        <v>https://analytics.zoho.com/open-view/2395394000009080286?ZOHO_CRITERIA=%22Localiza%20CL%22.%22Codreg%22%3D11</v>
      </c>
      <c r="T529" s="108" t="str">
        <f>"100-R-"&amp;Agencia[[#This Row],[Filtro URL]]</f>
        <v>100-R-11</v>
      </c>
      <c r="U529" s="46" t="str">
        <f t="shared" si="224"/>
        <v>#1774B9</v>
      </c>
      <c r="V529" s="93" t="str">
        <f>+Agencia[[#This Row],[idcoleccion]]&amp;"-"&amp;Agencia[[#This Row],[id]]</f>
        <v>990-0518</v>
      </c>
      <c r="W529" s="93">
        <f>+VLOOKUP(Agencia[[#This Row],[Filtro URL]],Estructura!$X$4:$Y$500,2,0)</f>
        <v>99200011</v>
      </c>
      <c r="X529" s="93" t="str">
        <f>+VLOOKUP(Agencia[[#This Row],[tema]],Estructura!$A$4:$C$500,3,0)</f>
        <v>T-1033</v>
      </c>
      <c r="Y529" s="93" t="str">
        <f>+VLOOKUP(Agencia[[#This Row],[contenido]],Estructura!$E$4:$G$500,3,0)</f>
        <v>C-996</v>
      </c>
      <c r="Z529" s="93" t="str">
        <f>+VLOOKUP(Agencia[[#This Row],[Filtro Integrado]],Estructura!$I$4:$K$500,3,0)</f>
        <v>FI-993</v>
      </c>
      <c r="AA529" s="93" t="str">
        <f>+VLOOKUP(Agencia[[#This Row],[Muestra]],Estructura!$M$4:$O$500,3,0)</f>
        <v>M-1005</v>
      </c>
    </row>
    <row r="530" spans="1:27" ht="57.6" x14ac:dyDescent="0.3">
      <c r="A530" s="21" t="s">
        <v>1034</v>
      </c>
      <c r="B530" s="23">
        <f t="shared" si="209"/>
        <v>990</v>
      </c>
      <c r="C530" s="24" t="str">
        <f t="shared" si="210"/>
        <v>Agencia Información</v>
      </c>
      <c r="D530" s="72" t="str">
        <f t="shared" si="225"/>
        <v>Mujeres</v>
      </c>
      <c r="E530" s="19">
        <v>12</v>
      </c>
      <c r="F530" s="18" t="s">
        <v>1431</v>
      </c>
      <c r="G530" s="18" t="s">
        <v>1877</v>
      </c>
      <c r="H530" s="33" t="s">
        <v>16</v>
      </c>
      <c r="I530" s="34" t="s">
        <v>379</v>
      </c>
      <c r="J530" s="9" t="str">
        <f t="shared" si="230"/>
        <v>Ninguno</v>
      </c>
      <c r="K530" s="9" t="str">
        <f t="shared" si="226"/>
        <v xml:space="preserve">Cantidad de víctimas por relación con el femicida </v>
      </c>
      <c r="L530" s="9" t="str">
        <f t="shared" si="227"/>
        <v>Periodo 2010-2021</v>
      </c>
      <c r="M530" s="9" t="str">
        <f t="shared" si="228"/>
        <v>Número de víctimas</v>
      </c>
      <c r="N530" s="36" t="str">
        <f t="shared" si="229"/>
        <v>Ministerio de la Mujer y Equidad de Género (MINMEG)</v>
      </c>
      <c r="O530" s="20" t="str">
        <f>+"Relación Víctima-Femicida en la "&amp;I530&amp;" para el "&amp;Agencia[[#This Row],[temporalidad]]</f>
        <v>Relación Víctima-Femicida en la Región de Magallanes para el Periodo 2010-2021</v>
      </c>
      <c r="P530" s="112" t="s">
        <v>6933</v>
      </c>
      <c r="Q530" s="11" t="str">
        <f t="shared" si="223"/>
        <v>Nube de palabras</v>
      </c>
      <c r="R530" s="148" t="str">
        <f>Agencia[[#This Row],[territorio]]&amp;",femicidio,víctima,mujer,conviviente,cónyuge,pareja,ex,relación,femicida,"&amp;Agencia[[#This Row],[coleccion]]&amp;","&amp;Agencia[[#This Row],[sector]]&amp;","&amp;Agencia[[#This Row],[tema]]&amp;","&amp;Agencia[[#This Row],[contenido]]</f>
        <v>Región de Magallanes,femicidio,víctima,mujer,conviviente,cónyuge,pareja,ex,relación,femicida,Agencia Información,Mujeres,Femicidios,Violencia Contra la Mujer</v>
      </c>
      <c r="S530" s="83" t="str">
        <f>HYPERLINK("https://analytics.zoho.com/open-view/2395394000009080286?ZOHO_CRITERIA=%22Localiza%20CL%22.%22Codreg%22%3D"&amp;Agencia[[#This Row],[Filtro URL]])</f>
        <v>https://analytics.zoho.com/open-view/2395394000009080286?ZOHO_CRITERIA=%22Localiza%20CL%22.%22Codreg%22%3D12</v>
      </c>
      <c r="T530" s="108" t="str">
        <f>"100-R-"&amp;Agencia[[#This Row],[Filtro URL]]</f>
        <v>100-R-12</v>
      </c>
      <c r="U530" s="46" t="str">
        <f t="shared" si="224"/>
        <v>#1774B9</v>
      </c>
      <c r="V530" s="93" t="str">
        <f>+Agencia[[#This Row],[idcoleccion]]&amp;"-"&amp;Agencia[[#This Row],[id]]</f>
        <v>990-0519</v>
      </c>
      <c r="W530" s="93">
        <f>+VLOOKUP(Agencia[[#This Row],[Filtro URL]],Estructura!$X$4:$Y$500,2,0)</f>
        <v>99200012</v>
      </c>
      <c r="X530" s="93" t="str">
        <f>+VLOOKUP(Agencia[[#This Row],[tema]],Estructura!$A$4:$C$500,3,0)</f>
        <v>T-1033</v>
      </c>
      <c r="Y530" s="93" t="str">
        <f>+VLOOKUP(Agencia[[#This Row],[contenido]],Estructura!$E$4:$G$500,3,0)</f>
        <v>C-996</v>
      </c>
      <c r="Z530" s="93" t="str">
        <f>+VLOOKUP(Agencia[[#This Row],[Filtro Integrado]],Estructura!$I$4:$K$500,3,0)</f>
        <v>FI-993</v>
      </c>
      <c r="AA530" s="93" t="str">
        <f>+VLOOKUP(Agencia[[#This Row],[Muestra]],Estructura!$M$4:$O$500,3,0)</f>
        <v>M-1005</v>
      </c>
    </row>
    <row r="531" spans="1:27" ht="57.6" x14ac:dyDescent="0.3">
      <c r="A531" s="21" t="s">
        <v>1035</v>
      </c>
      <c r="B531" s="23">
        <f t="shared" si="209"/>
        <v>990</v>
      </c>
      <c r="C531" s="24" t="str">
        <f t="shared" si="210"/>
        <v>Agencia Información</v>
      </c>
      <c r="D531" s="72" t="str">
        <f t="shared" si="225"/>
        <v>Mujeres</v>
      </c>
      <c r="E531" s="19">
        <v>13</v>
      </c>
      <c r="F531" s="18" t="s">
        <v>1431</v>
      </c>
      <c r="G531" s="18" t="s">
        <v>1877</v>
      </c>
      <c r="H531" s="33" t="s">
        <v>16</v>
      </c>
      <c r="I531" s="34" t="s">
        <v>380</v>
      </c>
      <c r="J531" s="9" t="str">
        <f t="shared" si="230"/>
        <v>Ninguno</v>
      </c>
      <c r="K531" s="9" t="str">
        <f t="shared" si="226"/>
        <v xml:space="preserve">Cantidad de víctimas por relación con el femicida </v>
      </c>
      <c r="L531" s="9" t="str">
        <f t="shared" si="227"/>
        <v>Periodo 2010-2021</v>
      </c>
      <c r="M531" s="9" t="str">
        <f t="shared" si="228"/>
        <v>Número de víctimas</v>
      </c>
      <c r="N531" s="36" t="str">
        <f t="shared" si="229"/>
        <v>Ministerio de la Mujer y Equidad de Género (MINMEG)</v>
      </c>
      <c r="O531" s="20" t="str">
        <f>+"Relación Víctima-Femicida en la "&amp;I531&amp;" para el "&amp;Agencia[[#This Row],[temporalidad]]</f>
        <v>Relación Víctima-Femicida en la Región Metropolitana para el Periodo 2010-2021</v>
      </c>
      <c r="P531" s="112" t="s">
        <v>6934</v>
      </c>
      <c r="Q531" s="11" t="str">
        <f t="shared" si="223"/>
        <v>Nube de palabras</v>
      </c>
      <c r="R531" s="148" t="str">
        <f>Agencia[[#This Row],[territorio]]&amp;",femicidio,víctima,mujer,conviviente,cónyuge,pareja,ex,relación,femicida,"&amp;Agencia[[#This Row],[coleccion]]&amp;","&amp;Agencia[[#This Row],[sector]]&amp;","&amp;Agencia[[#This Row],[tema]]&amp;","&amp;Agencia[[#This Row],[contenido]]</f>
        <v>Región Metropolitana,femicidio,víctima,mujer,conviviente,cónyuge,pareja,ex,relación,femicida,Agencia Información,Mujeres,Femicidios,Violencia Contra la Mujer</v>
      </c>
      <c r="S531" s="83" t="str">
        <f>HYPERLINK("https://analytics.zoho.com/open-view/2395394000009080286?ZOHO_CRITERIA=%22Localiza%20CL%22.%22Codreg%22%3D"&amp;Agencia[[#This Row],[Filtro URL]])</f>
        <v>https://analytics.zoho.com/open-view/2395394000009080286?ZOHO_CRITERIA=%22Localiza%20CL%22.%22Codreg%22%3D13</v>
      </c>
      <c r="T531" s="108" t="str">
        <f>"200-R-"&amp;Agencia[[#This Row],[Filtro URL]]</f>
        <v>200-R-13</v>
      </c>
      <c r="U531" s="46" t="str">
        <f t="shared" si="224"/>
        <v>#1774B9</v>
      </c>
      <c r="V531" s="93" t="str">
        <f>+Agencia[[#This Row],[idcoleccion]]&amp;"-"&amp;Agencia[[#This Row],[id]]</f>
        <v>990-0520</v>
      </c>
      <c r="W531" s="93">
        <f>+VLOOKUP(Agencia[[#This Row],[Filtro URL]],Estructura!$X$4:$Y$500,2,0)</f>
        <v>99200013</v>
      </c>
      <c r="X531" s="93" t="str">
        <f>+VLOOKUP(Agencia[[#This Row],[tema]],Estructura!$A$4:$C$500,3,0)</f>
        <v>T-1033</v>
      </c>
      <c r="Y531" s="93" t="str">
        <f>+VLOOKUP(Agencia[[#This Row],[contenido]],Estructura!$E$4:$G$500,3,0)</f>
        <v>C-996</v>
      </c>
      <c r="Z531" s="93" t="str">
        <f>+VLOOKUP(Agencia[[#This Row],[Filtro Integrado]],Estructura!$I$4:$K$500,3,0)</f>
        <v>FI-993</v>
      </c>
      <c r="AA531" s="93" t="str">
        <f>+VLOOKUP(Agencia[[#This Row],[Muestra]],Estructura!$M$4:$O$500,3,0)</f>
        <v>M-1005</v>
      </c>
    </row>
    <row r="532" spans="1:27" ht="57.6" x14ac:dyDescent="0.3">
      <c r="A532" s="21" t="s">
        <v>1036</v>
      </c>
      <c r="B532" s="23">
        <f t="shared" si="209"/>
        <v>990</v>
      </c>
      <c r="C532" s="24" t="str">
        <f t="shared" si="210"/>
        <v>Agencia Información</v>
      </c>
      <c r="D532" s="72" t="str">
        <f t="shared" si="225"/>
        <v>Mujeres</v>
      </c>
      <c r="E532" s="19">
        <v>14</v>
      </c>
      <c r="F532" s="18" t="s">
        <v>1431</v>
      </c>
      <c r="G532" s="18" t="s">
        <v>1877</v>
      </c>
      <c r="H532" s="33" t="s">
        <v>16</v>
      </c>
      <c r="I532" s="34" t="s">
        <v>381</v>
      </c>
      <c r="J532" s="9" t="str">
        <f t="shared" si="230"/>
        <v>Ninguno</v>
      </c>
      <c r="K532" s="9" t="str">
        <f t="shared" si="226"/>
        <v xml:space="preserve">Cantidad de víctimas por relación con el femicida </v>
      </c>
      <c r="L532" s="9" t="str">
        <f t="shared" si="227"/>
        <v>Periodo 2010-2021</v>
      </c>
      <c r="M532" s="9" t="str">
        <f t="shared" si="228"/>
        <v>Número de víctimas</v>
      </c>
      <c r="N532" s="36" t="str">
        <f t="shared" si="229"/>
        <v>Ministerio de la Mujer y Equidad de Género (MINMEG)</v>
      </c>
      <c r="O532" s="20" t="str">
        <f>+"Relación Víctima-Femicida en la "&amp;I532&amp;" para el "&amp;Agencia[[#This Row],[temporalidad]]</f>
        <v>Relación Víctima-Femicida en la Región de Los Ríos para el Periodo 2010-2021</v>
      </c>
      <c r="P532" s="112" t="s">
        <v>6935</v>
      </c>
      <c r="Q532" s="11" t="str">
        <f t="shared" si="223"/>
        <v>Nube de palabras</v>
      </c>
      <c r="R532" s="148" t="str">
        <f>Agencia[[#This Row],[territorio]]&amp;",femicidio,víctima,mujer,conviviente,cónyuge,pareja,ex,relación,femicida,"&amp;Agencia[[#This Row],[coleccion]]&amp;","&amp;Agencia[[#This Row],[sector]]&amp;","&amp;Agencia[[#This Row],[tema]]&amp;","&amp;Agencia[[#This Row],[contenido]]</f>
        <v>Región de Los Ríos,femicidio,víctima,mujer,conviviente,cónyuge,pareja,ex,relación,femicida,Agencia Información,Mujeres,Femicidios,Violencia Contra la Mujer</v>
      </c>
      <c r="S532" s="122" t="str">
        <f>HYPERLINK("https://analytics.zoho.com/open-view/2395394000009080286?ZOHO_CRITERIA=%22Localiza%20CL%22.%22Codreg%22%3D"&amp;Agencia[[#This Row],[Filtro URL]])</f>
        <v>https://analytics.zoho.com/open-view/2395394000009080286?ZOHO_CRITERIA=%22Localiza%20CL%22.%22Codreg%22%3D14</v>
      </c>
      <c r="T532" s="108" t="str">
        <f>"100-R-"&amp;Agencia[[#This Row],[Filtro URL]]</f>
        <v>100-R-14</v>
      </c>
      <c r="U532" s="46" t="str">
        <f t="shared" si="224"/>
        <v>#1774B9</v>
      </c>
      <c r="V532" s="93" t="str">
        <f>+Agencia[[#This Row],[idcoleccion]]&amp;"-"&amp;Agencia[[#This Row],[id]]</f>
        <v>990-0521</v>
      </c>
      <c r="W532" s="93">
        <f>+VLOOKUP(Agencia[[#This Row],[Filtro URL]],Estructura!$X$4:$Y$500,2,0)</f>
        <v>99200014</v>
      </c>
      <c r="X532" s="93" t="str">
        <f>+VLOOKUP(Agencia[[#This Row],[tema]],Estructura!$A$4:$C$500,3,0)</f>
        <v>T-1033</v>
      </c>
      <c r="Y532" s="93" t="str">
        <f>+VLOOKUP(Agencia[[#This Row],[contenido]],Estructura!$E$4:$G$500,3,0)</f>
        <v>C-996</v>
      </c>
      <c r="Z532" s="93" t="str">
        <f>+VLOOKUP(Agencia[[#This Row],[Filtro Integrado]],Estructura!$I$4:$K$500,3,0)</f>
        <v>FI-993</v>
      </c>
      <c r="AA532" s="93" t="str">
        <f>+VLOOKUP(Agencia[[#This Row],[Muestra]],Estructura!$M$4:$O$500,3,0)</f>
        <v>M-1005</v>
      </c>
    </row>
    <row r="533" spans="1:27" ht="57.6" x14ac:dyDescent="0.3">
      <c r="A533" s="21" t="s">
        <v>1037</v>
      </c>
      <c r="B533" s="23">
        <f t="shared" si="209"/>
        <v>990</v>
      </c>
      <c r="C533" s="24" t="str">
        <f t="shared" si="210"/>
        <v>Agencia Información</v>
      </c>
      <c r="D533" s="72" t="str">
        <f t="shared" si="225"/>
        <v>Mujeres</v>
      </c>
      <c r="E533" s="19">
        <v>15</v>
      </c>
      <c r="F533" s="18" t="s">
        <v>1431</v>
      </c>
      <c r="G533" s="18" t="s">
        <v>1877</v>
      </c>
      <c r="H533" s="33" t="s">
        <v>16</v>
      </c>
      <c r="I533" s="34" t="s">
        <v>382</v>
      </c>
      <c r="J533" s="9" t="str">
        <f t="shared" si="230"/>
        <v>Ninguno</v>
      </c>
      <c r="K533" s="9" t="str">
        <f t="shared" si="226"/>
        <v xml:space="preserve">Cantidad de víctimas por relación con el femicida </v>
      </c>
      <c r="L533" s="9" t="str">
        <f t="shared" si="227"/>
        <v>Periodo 2010-2021</v>
      </c>
      <c r="M533" s="9" t="str">
        <f t="shared" si="228"/>
        <v>Número de víctimas</v>
      </c>
      <c r="N533" s="36" t="str">
        <f t="shared" si="229"/>
        <v>Ministerio de la Mujer y Equidad de Género (MINMEG)</v>
      </c>
      <c r="O533" s="20" t="str">
        <f>+"Relación Víctima-Femicida en la "&amp;I533&amp;" para el "&amp;Agencia[[#This Row],[temporalidad]]</f>
        <v>Relación Víctima-Femicida en la Región de Arica y Parinacota para el Periodo 2010-2021</v>
      </c>
      <c r="P533" s="112" t="s">
        <v>6930</v>
      </c>
      <c r="Q533" s="11" t="str">
        <f t="shared" si="223"/>
        <v>Nube de palabras</v>
      </c>
      <c r="R533" s="148" t="str">
        <f>Agencia[[#This Row],[territorio]]&amp;",femicidio,víctima,mujer,conviviente,cónyuge,pareja,ex,relación,femicida,"&amp;Agencia[[#This Row],[coleccion]]&amp;","&amp;Agencia[[#This Row],[sector]]&amp;","&amp;Agencia[[#This Row],[tema]]&amp;","&amp;Agencia[[#This Row],[contenido]]</f>
        <v>Región de Arica y Parinacota,femicidio,víctima,mujer,conviviente,cónyuge,pareja,ex,relación,femicida,Agencia Información,Mujeres,Femicidios,Violencia Contra la Mujer</v>
      </c>
      <c r="S533" s="83" t="str">
        <f>HYPERLINK("https://analytics.zoho.com/open-view/2395394000009080286?ZOHO_CRITERIA=%22Localiza%20CL%22.%22Codreg%22%3D"&amp;Agencia[[#This Row],[Filtro URL]])</f>
        <v>https://analytics.zoho.com/open-view/2395394000009080286?ZOHO_CRITERIA=%22Localiza%20CL%22.%22Codreg%22%3D15</v>
      </c>
      <c r="T533" s="108" t="str">
        <f>"100-R-"&amp;Agencia[[#This Row],[Filtro URL]]</f>
        <v>100-R-15</v>
      </c>
      <c r="U533" s="46" t="str">
        <f t="shared" si="224"/>
        <v>#1774B9</v>
      </c>
      <c r="V533" s="93" t="str">
        <f>+Agencia[[#This Row],[idcoleccion]]&amp;"-"&amp;Agencia[[#This Row],[id]]</f>
        <v>990-0522</v>
      </c>
      <c r="W533" s="93">
        <f>+VLOOKUP(Agencia[[#This Row],[Filtro URL]],Estructura!$X$4:$Y$500,2,0)</f>
        <v>99200015</v>
      </c>
      <c r="X533" s="93" t="str">
        <f>+VLOOKUP(Agencia[[#This Row],[tema]],Estructura!$A$4:$C$500,3,0)</f>
        <v>T-1033</v>
      </c>
      <c r="Y533" s="93" t="str">
        <f>+VLOOKUP(Agencia[[#This Row],[contenido]],Estructura!$E$4:$G$500,3,0)</f>
        <v>C-996</v>
      </c>
      <c r="Z533" s="93" t="str">
        <f>+VLOOKUP(Agencia[[#This Row],[Filtro Integrado]],Estructura!$I$4:$K$500,3,0)</f>
        <v>FI-993</v>
      </c>
      <c r="AA533" s="93" t="str">
        <f>+VLOOKUP(Agencia[[#This Row],[Muestra]],Estructura!$M$4:$O$500,3,0)</f>
        <v>M-1005</v>
      </c>
    </row>
    <row r="534" spans="1:27" ht="57.6" x14ac:dyDescent="0.3">
      <c r="A534" s="21" t="s">
        <v>1038</v>
      </c>
      <c r="B534" s="23">
        <f t="shared" si="209"/>
        <v>990</v>
      </c>
      <c r="C534" s="24" t="str">
        <f t="shared" si="210"/>
        <v>Agencia Información</v>
      </c>
      <c r="D534" s="72" t="str">
        <f t="shared" si="225"/>
        <v>Mujeres</v>
      </c>
      <c r="E534" s="19">
        <v>16</v>
      </c>
      <c r="F534" s="18" t="s">
        <v>1431</v>
      </c>
      <c r="G534" s="18" t="s">
        <v>1877</v>
      </c>
      <c r="H534" s="33" t="s">
        <v>16</v>
      </c>
      <c r="I534" s="34" t="s">
        <v>383</v>
      </c>
      <c r="J534" s="9" t="str">
        <f t="shared" si="230"/>
        <v>Ninguno</v>
      </c>
      <c r="K534" s="9" t="str">
        <f t="shared" si="226"/>
        <v xml:space="preserve">Cantidad de víctimas por relación con el femicida </v>
      </c>
      <c r="L534" s="9" t="str">
        <f t="shared" si="227"/>
        <v>Periodo 2010-2021</v>
      </c>
      <c r="M534" s="9" t="str">
        <f t="shared" si="228"/>
        <v>Número de víctimas</v>
      </c>
      <c r="N534" s="36" t="str">
        <f t="shared" si="229"/>
        <v>Ministerio de la Mujer y Equidad de Género (MINMEG)</v>
      </c>
      <c r="O534" s="20" t="str">
        <f>+"Relación Víctima-Femicida en la "&amp;I534&amp;" para el "&amp;Agencia[[#This Row],[temporalidad]]</f>
        <v>Relación Víctima-Femicida en la Región de Ñuble para el Periodo 2010-2021</v>
      </c>
      <c r="P534" s="112" t="s">
        <v>6931</v>
      </c>
      <c r="Q534" s="11" t="str">
        <f t="shared" si="223"/>
        <v>Nube de palabras</v>
      </c>
      <c r="R534" s="148" t="str">
        <f>Agencia[[#This Row],[territorio]]&amp;",femicidio,víctima,mujer,conviviente,cónyuge,pareja,ex,relación,femicida,"&amp;Agencia[[#This Row],[coleccion]]&amp;","&amp;Agencia[[#This Row],[sector]]&amp;","&amp;Agencia[[#This Row],[tema]]&amp;","&amp;Agencia[[#This Row],[contenido]]</f>
        <v>Región de Ñuble,femicidio,víctima,mujer,conviviente,cónyuge,pareja,ex,relación,femicida,Agencia Información,Mujeres,Femicidios,Violencia Contra la Mujer</v>
      </c>
      <c r="S534" s="83" t="str">
        <f>HYPERLINK("https://analytics.zoho.com/open-view/2395394000009080286?ZOHO_CRITERIA=%22Localiza%20CL%22.%22Codreg%22%3D"&amp;Agencia[[#This Row],[Filtro URL]])</f>
        <v>https://analytics.zoho.com/open-view/2395394000009080286?ZOHO_CRITERIA=%22Localiza%20CL%22.%22Codreg%22%3D16</v>
      </c>
      <c r="T534" s="108" t="str">
        <f>"100-R-"&amp;Agencia[[#This Row],[Filtro URL]]</f>
        <v>100-R-16</v>
      </c>
      <c r="U534" s="46" t="str">
        <f t="shared" si="224"/>
        <v>#1774B9</v>
      </c>
      <c r="V534" s="93" t="str">
        <f>+Agencia[[#This Row],[idcoleccion]]&amp;"-"&amp;Agencia[[#This Row],[id]]</f>
        <v>990-0523</v>
      </c>
      <c r="W534" s="93">
        <f>+VLOOKUP(Agencia[[#This Row],[Filtro URL]],Estructura!$X$4:$Y$500,2,0)</f>
        <v>99200016</v>
      </c>
      <c r="X534" s="93" t="str">
        <f>+VLOOKUP(Agencia[[#This Row],[tema]],Estructura!$A$4:$C$500,3,0)</f>
        <v>T-1033</v>
      </c>
      <c r="Y534" s="93" t="str">
        <f>+VLOOKUP(Agencia[[#This Row],[contenido]],Estructura!$E$4:$G$500,3,0)</f>
        <v>C-996</v>
      </c>
      <c r="Z534" s="93" t="str">
        <f>+VLOOKUP(Agencia[[#This Row],[Filtro Integrado]],Estructura!$I$4:$K$500,3,0)</f>
        <v>FI-993</v>
      </c>
      <c r="AA534" s="93" t="str">
        <f>+VLOOKUP(Agencia[[#This Row],[Muestra]],Estructura!$M$4:$O$500,3,0)</f>
        <v>M-1005</v>
      </c>
    </row>
    <row r="535" spans="1:27" ht="36" x14ac:dyDescent="0.3">
      <c r="A535" s="21" t="s">
        <v>1039</v>
      </c>
      <c r="B535" s="23">
        <f t="shared" si="209"/>
        <v>990</v>
      </c>
      <c r="C535" s="24" t="str">
        <f t="shared" si="210"/>
        <v>Agencia Información</v>
      </c>
      <c r="D535" s="72" t="s">
        <v>459</v>
      </c>
      <c r="E535" s="14">
        <v>0</v>
      </c>
      <c r="F535" s="18" t="s">
        <v>1431</v>
      </c>
      <c r="G535" s="18" t="s">
        <v>1877</v>
      </c>
      <c r="H535" s="31" t="s">
        <v>20</v>
      </c>
      <c r="I535" s="32" t="s">
        <v>15</v>
      </c>
      <c r="J535" s="9" t="s">
        <v>403</v>
      </c>
      <c r="K535" s="9" t="s">
        <v>1439</v>
      </c>
      <c r="L535" s="9" t="s">
        <v>1440</v>
      </c>
      <c r="M535" s="9" t="s">
        <v>1433</v>
      </c>
      <c r="N535" s="9" t="s">
        <v>1441</v>
      </c>
      <c r="O535" s="20" t="str">
        <f>+"Evolución Comparada Anual de Femicidios en "&amp;Agencia[[#This Row],[territorio]]&amp;" para el "&amp;Agencia[[#This Row],[temporalidad]]</f>
        <v>Evolución Comparada Anual de Femicidios en Chile para el Periodo 2018-2021</v>
      </c>
      <c r="P535" s="112" t="s">
        <v>1443</v>
      </c>
      <c r="Q535" s="11" t="s">
        <v>576</v>
      </c>
      <c r="R535" s="20" t="str">
        <f>Agencia[[#This Row],[territorio]]&amp;",femicidio,víctima,mujer,semestre,año,"&amp;Agencia[[#This Row],[coleccion]]&amp;","&amp;Agencia[[#This Row],[sector]]&amp;","&amp;Agencia[[#This Row],[tema]]&amp;","&amp;Agencia[[#This Row],[contenido]]</f>
        <v>Chile,femicidio,víctima,mujer,semestre,año,Agencia Información,Mujeres,Femicidios,Violencia Contra la Mujer</v>
      </c>
      <c r="S535" s="37" t="s">
        <v>1442</v>
      </c>
      <c r="T535" s="108">
        <v>0</v>
      </c>
      <c r="U535" s="46" t="str">
        <f t="shared" si="224"/>
        <v>#1774B9</v>
      </c>
      <c r="V535" s="93" t="str">
        <f>+Agencia[[#This Row],[idcoleccion]]&amp;"-"&amp;Agencia[[#This Row],[id]]</f>
        <v>990-0524</v>
      </c>
      <c r="W535" s="93">
        <f>+VLOOKUP(Agencia[[#This Row],[Filtro URL]],Estructura!$X$4:$Y$500,2,0)</f>
        <v>99100000</v>
      </c>
      <c r="X535" s="93" t="str">
        <f>+VLOOKUP(Agencia[[#This Row],[tema]],Estructura!$A$4:$C$500,3,0)</f>
        <v>T-1033</v>
      </c>
      <c r="Y535" s="93" t="str">
        <f>+VLOOKUP(Agencia[[#This Row],[contenido]],Estructura!$E$4:$G$500,3,0)</f>
        <v>C-996</v>
      </c>
      <c r="Z535" s="93" t="str">
        <f>+VLOOKUP(Agencia[[#This Row],[Filtro Integrado]],Estructura!$I$4:$K$500,3,0)</f>
        <v>FI-993</v>
      </c>
      <c r="AA535" s="93" t="str">
        <f>+VLOOKUP(Agencia[[#This Row],[Muestra]],Estructura!$M$4:$O$500,3,0)</f>
        <v>M-1006</v>
      </c>
    </row>
    <row r="536" spans="1:27" ht="51" x14ac:dyDescent="0.3">
      <c r="A536" s="21" t="s">
        <v>1040</v>
      </c>
      <c r="B536" s="23">
        <f t="shared" si="209"/>
        <v>990</v>
      </c>
      <c r="C536" s="24" t="str">
        <f t="shared" si="210"/>
        <v>Agencia Información</v>
      </c>
      <c r="D536" s="72" t="s">
        <v>459</v>
      </c>
      <c r="E536" s="14">
        <v>0</v>
      </c>
      <c r="F536" s="18" t="s">
        <v>1431</v>
      </c>
      <c r="G536" s="18" t="s">
        <v>1877</v>
      </c>
      <c r="H536" s="31" t="s">
        <v>20</v>
      </c>
      <c r="I536" s="32" t="s">
        <v>15</v>
      </c>
      <c r="J536" s="9" t="s">
        <v>3180</v>
      </c>
      <c r="K536" s="9" t="s">
        <v>1439</v>
      </c>
      <c r="L536" s="9" t="s">
        <v>1373</v>
      </c>
      <c r="M536" s="9" t="s">
        <v>1433</v>
      </c>
      <c r="N536" s="66" t="s">
        <v>1441</v>
      </c>
      <c r="O536" s="20" t="str">
        <f>+"Evolución de Femicidios por mes en "&amp;I536&amp;" para el "&amp;Agencia[[#This Row],[temporalidad]]</f>
        <v>Evolución de Femicidios por mes en Chile para el Periodo 2010-2021</v>
      </c>
      <c r="P536" s="112" t="s">
        <v>6936</v>
      </c>
      <c r="Q536" s="11" t="s">
        <v>576</v>
      </c>
      <c r="R536" s="20" t="str">
        <f>Agencia[[#This Row],[territorio]]&amp;",femicidio,víctima,mujer,mes,año,tendencia,"&amp;Agencia[[#This Row],[coleccion]]&amp;","&amp;Agencia[[#This Row],[sector]]&amp;","&amp;Agencia[[#This Row],[tema]]&amp;","&amp;Agencia[[#This Row],[contenido]]</f>
        <v>Chile,femicidio,víctima,mujer,mes,año,tendencia,Agencia Información,Mujeres,Femicidios,Violencia Contra la Mujer</v>
      </c>
      <c r="S536" s="83" t="s">
        <v>5173</v>
      </c>
      <c r="T536" s="108">
        <v>0</v>
      </c>
      <c r="U536" s="46" t="str">
        <f t="shared" si="224"/>
        <v>#1774B9</v>
      </c>
      <c r="V536" s="93" t="str">
        <f>+Agencia[[#This Row],[idcoleccion]]&amp;"-"&amp;Agencia[[#This Row],[id]]</f>
        <v>990-0525</v>
      </c>
      <c r="W536" s="93">
        <f>+VLOOKUP(Agencia[[#This Row],[Filtro URL]],Estructura!$X$4:$Y$500,2,0)</f>
        <v>99100000</v>
      </c>
      <c r="X536" s="93" t="str">
        <f>+VLOOKUP(Agencia[[#This Row],[tema]],Estructura!$A$4:$C$500,3,0)</f>
        <v>T-1033</v>
      </c>
      <c r="Y536" s="93" t="str">
        <f>+VLOOKUP(Agencia[[#This Row],[contenido]],Estructura!$E$4:$G$500,3,0)</f>
        <v>C-996</v>
      </c>
      <c r="Z536" s="93" t="str">
        <f>+VLOOKUP(Agencia[[#This Row],[Filtro Integrado]],Estructura!$I$4:$K$500,3,0)</f>
        <v>FI-1006</v>
      </c>
      <c r="AA536" s="93" t="str">
        <f>+VLOOKUP(Agencia[[#This Row],[Muestra]],Estructura!$M$4:$O$500,3,0)</f>
        <v>M-1006</v>
      </c>
    </row>
    <row r="537" spans="1:27" ht="40.799999999999997" x14ac:dyDescent="0.3">
      <c r="A537" s="21" t="s">
        <v>1041</v>
      </c>
      <c r="B537" s="23">
        <f t="shared" si="209"/>
        <v>990</v>
      </c>
      <c r="C537" s="24" t="str">
        <f t="shared" si="210"/>
        <v>Agencia Información</v>
      </c>
      <c r="D537" s="72" t="s">
        <v>1375</v>
      </c>
      <c r="E537" s="14">
        <v>0</v>
      </c>
      <c r="F537" s="18" t="s">
        <v>5151</v>
      </c>
      <c r="G537" s="18" t="s">
        <v>1885</v>
      </c>
      <c r="H537" s="31" t="s">
        <v>20</v>
      </c>
      <c r="I537" s="32" t="s">
        <v>15</v>
      </c>
      <c r="J537" s="9" t="s">
        <v>403</v>
      </c>
      <c r="K537" s="9" t="s">
        <v>1446</v>
      </c>
      <c r="L537" s="9" t="s">
        <v>1445</v>
      </c>
      <c r="M537" s="9" t="s">
        <v>3612</v>
      </c>
      <c r="N537" s="9" t="s">
        <v>3720</v>
      </c>
      <c r="O537" s="20" t="str">
        <f>+"Evolución de Parque Vehicular Escolar por Región en "&amp;I537&amp;" para el "&amp;Agencia[[#This Row],[temporalidad]]</f>
        <v>Evolución de Parque Vehicular Escolar por Región en Chile para el Periodo 2014-2021</v>
      </c>
      <c r="P537" s="112" t="s">
        <v>1444</v>
      </c>
      <c r="Q537" s="11" t="s">
        <v>593</v>
      </c>
      <c r="R537" s="20" t="str">
        <f>Agencia[[#This Row],[territorio]]&amp;",vehículo,escolar,parque,vehicular,evolución,cantidad,transporte,"&amp;Agencia[[#This Row],[coleccion]]&amp;","&amp;Agencia[[#This Row],[sector]]&amp;","&amp;Agencia[[#This Row],[tema]]&amp;","&amp;Agencia[[#This Row],[contenido]]</f>
        <v>Chile,vehículo,escolar,parque,vehicular,evolución,cantidad,transporte,Agencia Información,Transporte y tránsito,Parque Vehicular Escolar,Transporte</v>
      </c>
      <c r="S537" s="83" t="s">
        <v>1447</v>
      </c>
      <c r="T537" s="108">
        <v>0</v>
      </c>
      <c r="U537" s="46" t="str">
        <f t="shared" si="224"/>
        <v>#1774B9</v>
      </c>
      <c r="V537" s="93" t="str">
        <f>+Agencia[[#This Row],[idcoleccion]]&amp;"-"&amp;Agencia[[#This Row],[id]]</f>
        <v>990-0526</v>
      </c>
      <c r="W537" s="93">
        <f>+VLOOKUP(Agencia[[#This Row],[Filtro URL]],Estructura!$X$4:$Y$500,2,0)</f>
        <v>99100000</v>
      </c>
      <c r="X537" s="93" t="str">
        <f>+VLOOKUP(Agencia[[#This Row],[tema]],Estructura!$A$4:$C$500,3,0)</f>
        <v>T-1034</v>
      </c>
      <c r="Y537" s="93" t="str">
        <f>+VLOOKUP(Agencia[[#This Row],[contenido]],Estructura!$E$4:$G$500,3,0)</f>
        <v>C-1003</v>
      </c>
      <c r="Z537" s="93" t="str">
        <f>+VLOOKUP(Agencia[[#This Row],[Filtro Integrado]],Estructura!$I$4:$K$500,3,0)</f>
        <v>FI-993</v>
      </c>
      <c r="AA537" s="93" t="str">
        <f>+VLOOKUP(Agencia[[#This Row],[Muestra]],Estructura!$M$4:$O$500,3,0)</f>
        <v>M-1007</v>
      </c>
    </row>
    <row r="538" spans="1:27" ht="51" x14ac:dyDescent="0.3">
      <c r="A538" s="21" t="s">
        <v>1042</v>
      </c>
      <c r="B538" s="23">
        <f t="shared" si="209"/>
        <v>990</v>
      </c>
      <c r="C538" s="24" t="str">
        <f t="shared" si="210"/>
        <v>Agencia Información</v>
      </c>
      <c r="D538" s="72" t="s">
        <v>587</v>
      </c>
      <c r="E538" s="14">
        <v>0</v>
      </c>
      <c r="F538" s="18" t="s">
        <v>1449</v>
      </c>
      <c r="G538" s="10" t="s">
        <v>1900</v>
      </c>
      <c r="H538" s="31" t="s">
        <v>20</v>
      </c>
      <c r="I538" s="32" t="s">
        <v>15</v>
      </c>
      <c r="J538" s="9" t="s">
        <v>403</v>
      </c>
      <c r="K538" s="9" t="s">
        <v>9284</v>
      </c>
      <c r="L538" s="9" t="s">
        <v>1448</v>
      </c>
      <c r="M538" s="66" t="s">
        <v>5179</v>
      </c>
      <c r="N538" s="9" t="s">
        <v>588</v>
      </c>
      <c r="O538" s="20" t="str">
        <f>+"Detalle de programas e instituciones evaluados por ministerio en "&amp;I538&amp;" durante el "&amp;Agencia[[#This Row],[temporalidad]]</f>
        <v>Detalle de programas e instituciones evaluados por ministerio en Chile durante el Periodo 1997-2020</v>
      </c>
      <c r="P538" s="112" t="s">
        <v>6943</v>
      </c>
      <c r="Q538" s="11" t="s">
        <v>590</v>
      </c>
      <c r="R538" s="20" t="str">
        <f>Agencia[[#This Row],[territorio]]&amp;",programas,desempeño,gobierno,servicio,evaluación,instituciones,público,ministerio,"&amp;Agencia[[#This Row],[coleccion]]&amp;","&amp;Agencia[[#This Row],[sector]]&amp;","&amp;Agencia[[#This Row],[tema]]&amp;","&amp;Agencia[[#This Row],[contenido]]</f>
        <v>Chile,programas,desempeño,gobierno,servicio,evaluación,instituciones,público,ministerio,Agencia Información,Política y Gobierno,Detalle Programas e Instituciones,Evaluación de Programas</v>
      </c>
      <c r="S538" s="83" t="s">
        <v>5172</v>
      </c>
      <c r="T538" s="108">
        <v>0</v>
      </c>
      <c r="U538" s="46" t="str">
        <f t="shared" si="224"/>
        <v>#1774B9</v>
      </c>
      <c r="V538" s="93" t="str">
        <f>+Agencia[[#This Row],[idcoleccion]]&amp;"-"&amp;Agencia[[#This Row],[id]]</f>
        <v>990-0527</v>
      </c>
      <c r="W538" s="93">
        <f>+VLOOKUP(Agencia[[#This Row],[Filtro URL]],Estructura!$X$4:$Y$500,2,0)</f>
        <v>99100000</v>
      </c>
      <c r="X538" s="93" t="str">
        <f>+VLOOKUP(Agencia[[#This Row],[tema]],Estructura!$A$4:$C$500,3,0)</f>
        <v>T-1007</v>
      </c>
      <c r="Y538" s="93" t="str">
        <f>+VLOOKUP(Agencia[[#This Row],[contenido]],Estructura!$E$4:$G$500,3,0)</f>
        <v>C-1006</v>
      </c>
      <c r="Z538" s="93" t="str">
        <f>+VLOOKUP(Agencia[[#This Row],[Filtro Integrado]],Estructura!$I$4:$K$500,3,0)</f>
        <v>FI-993</v>
      </c>
      <c r="AA538" s="93" t="str">
        <f>+VLOOKUP(Agencia[[#This Row],[Muestra]],Estructura!$M$4:$O$500,3,0)</f>
        <v>M-1037</v>
      </c>
    </row>
    <row r="539" spans="1:27" ht="40.799999999999997" x14ac:dyDescent="0.3">
      <c r="A539" s="21" t="s">
        <v>1043</v>
      </c>
      <c r="B539" s="23">
        <f t="shared" si="209"/>
        <v>990</v>
      </c>
      <c r="C539" s="24" t="str">
        <f t="shared" si="210"/>
        <v>Agencia Información</v>
      </c>
      <c r="D539" s="72" t="s">
        <v>568</v>
      </c>
      <c r="E539" s="14">
        <v>0</v>
      </c>
      <c r="F539" s="18" t="s">
        <v>5164</v>
      </c>
      <c r="G539" s="18" t="s">
        <v>569</v>
      </c>
      <c r="H539" s="31" t="s">
        <v>20</v>
      </c>
      <c r="I539" s="32" t="s">
        <v>15</v>
      </c>
      <c r="J539" s="9" t="s">
        <v>956</v>
      </c>
      <c r="K539" s="9" t="s">
        <v>9273</v>
      </c>
      <c r="L539" s="9" t="s">
        <v>570</v>
      </c>
      <c r="M539" s="9" t="s">
        <v>1451</v>
      </c>
      <c r="N539" s="9" t="s">
        <v>2984</v>
      </c>
      <c r="O539" s="20" t="str">
        <f>+"Evolución de número de fallecidos por 1 millón de habitantes por comuna en "&amp;I539&amp;" durante el "&amp;Agencia[[#This Row],[temporalidad]]</f>
        <v>Evolución de número de fallecidos por 1 millón de habitantes por comuna en Chile durante el Periodo 2020-2021</v>
      </c>
      <c r="P539" s="120" t="s">
        <v>5377</v>
      </c>
      <c r="Q539" s="11" t="s">
        <v>784</v>
      </c>
      <c r="R539" s="20" t="str">
        <f>Agencia[[#This Row],[territorio]]&amp;",región,comuna,casos activos,fallecidos,recuperados,acumulados,evolución,"&amp;Agencia[[#This Row],[coleccion]]&amp;","&amp;Agencia[[#This Row],[sector]]&amp;","&amp;Agencia[[#This Row],[tema]]&amp;","&amp;Agencia[[#This Row],[contenido]]</f>
        <v>Chile,región,comuna,casos activos,fallecidos,recuperados,acumulados,evolución,Agencia Información,Salud,Fallecidos,COVID-19</v>
      </c>
      <c r="S539" s="83" t="s">
        <v>5166</v>
      </c>
      <c r="T539" s="108" t="s">
        <v>957</v>
      </c>
      <c r="U539" s="46" t="str">
        <f t="shared" si="224"/>
        <v>#1774B9</v>
      </c>
      <c r="V539" s="93" t="str">
        <f>+Agencia[[#This Row],[idcoleccion]]&amp;"-"&amp;Agencia[[#This Row],[id]]</f>
        <v>990-0528</v>
      </c>
      <c r="W539" s="93">
        <f>+VLOOKUP(Agencia[[#This Row],[Filtro URL]],Estructura!$X$4:$Y$500,2,0)</f>
        <v>99100000</v>
      </c>
      <c r="X539" s="93" t="str">
        <f>+VLOOKUP(Agencia[[#This Row],[tema]],Estructura!$A$4:$C$500,3,0)</f>
        <v>T-1008</v>
      </c>
      <c r="Y539" s="93" t="str">
        <f>+VLOOKUP(Agencia[[#This Row],[contenido]],Estructura!$E$4:$G$500,3,0)</f>
        <v>C-991</v>
      </c>
      <c r="Z539" s="93" t="str">
        <f>+VLOOKUP(Agencia[[#This Row],[Filtro Integrado]],Estructura!$I$4:$K$500,3,0)</f>
        <v>FI-994</v>
      </c>
      <c r="AA539" s="93" t="str">
        <f>+VLOOKUP(Agencia[[#This Row],[Muestra]],Estructura!$M$4:$O$500,3,0)</f>
        <v>M-1064</v>
      </c>
    </row>
    <row r="540" spans="1:27" ht="57.6" x14ac:dyDescent="0.3">
      <c r="A540" s="21" t="s">
        <v>1044</v>
      </c>
      <c r="B540" s="23">
        <f t="shared" si="209"/>
        <v>990</v>
      </c>
      <c r="C540" s="24" t="str">
        <f t="shared" si="210"/>
        <v>Agencia Información</v>
      </c>
      <c r="D540" s="72" t="str">
        <f t="shared" ref="D540:D555" si="231">+D539</f>
        <v>Salud</v>
      </c>
      <c r="E540" s="19">
        <v>1</v>
      </c>
      <c r="F540" s="69" t="s">
        <v>5164</v>
      </c>
      <c r="G540" s="18" t="s">
        <v>569</v>
      </c>
      <c r="H540" s="33" t="s">
        <v>16</v>
      </c>
      <c r="I540" s="34" t="s">
        <v>368</v>
      </c>
      <c r="J540" s="9" t="s">
        <v>18</v>
      </c>
      <c r="K540" s="9" t="str">
        <f t="shared" ref="K540:K555" si="232">+K539</f>
        <v>Fallecidos por 1 millón de habitantes</v>
      </c>
      <c r="L540" s="9" t="str">
        <f t="shared" ref="L540:L555" si="233">+L539</f>
        <v>Periodo 2020-2021</v>
      </c>
      <c r="M540" s="9" t="str">
        <f t="shared" ref="M540:M555" si="234">+M539</f>
        <v>Número de fallecidos</v>
      </c>
      <c r="N540" s="9" t="str">
        <f t="shared" ref="N540:N555" si="235">+N539</f>
        <v>Ministerio de Ciencia, Tecnología, Conocimiento e Innovación</v>
      </c>
      <c r="O540" s="20" t="str">
        <f>+"Evolución de número de fallecidos por 1 millón de habitantes por comuna en la "&amp;I540&amp;" durante el "&amp;Agencia[[#This Row],[temporalidad]]</f>
        <v>Evolución de número de fallecidos por 1 millón de habitantes por comuna en la Región de Tarapacá durante el Periodo 2020-2021</v>
      </c>
      <c r="P540" s="120" t="s">
        <v>1450</v>
      </c>
      <c r="Q540" s="11" t="str">
        <f t="shared" si="223"/>
        <v>Gráfico de Evolución</v>
      </c>
      <c r="R540" s="148" t="str">
        <f>Agencia[[#This Row],[territorio]]&amp;",comuna,casos activos,recuperados,acumulados,evolución,"&amp;Agencia[[#This Row],[coleccion]]&amp;","&amp;Agencia[[#This Row],[sector]]&amp;","&amp;Agencia[[#This Row],[tema]]&amp;","&amp;Agencia[[#This Row],[contenido]]</f>
        <v>Región de Tarapacá,comuna,casos activos,recuperados,acumulados,evolución,Agencia Información,Salud,Fallecidos,COVID-19</v>
      </c>
      <c r="S540" s="83" t="str">
        <f>HYPERLINK("https://analytics.zoho.com/open-view/2395394000009055140?ZOHO_CRITERIA=%22Localiza_CL_Poblacion%22.%22Codreg%22%20%3D%20"&amp;Agencia[[#This Row],[Filtro URL]])</f>
        <v>https://analytics.zoho.com/open-view/2395394000009055140?ZOHO_CRITERIA=%22Localiza_CL_Poblacion%22.%22Codreg%22%20%3D%201</v>
      </c>
      <c r="T540" s="111" t="str">
        <f>"100-C-"&amp;Agencia[[#This Row],[Filtro URL]]</f>
        <v>100-C-1</v>
      </c>
      <c r="U540" s="46" t="str">
        <f t="shared" si="224"/>
        <v>#1774B9</v>
      </c>
      <c r="V540" s="93" t="str">
        <f>+Agencia[[#This Row],[idcoleccion]]&amp;"-"&amp;Agencia[[#This Row],[id]]</f>
        <v>990-0529</v>
      </c>
      <c r="W540" s="93">
        <f>+VLOOKUP(Agencia[[#This Row],[Filtro URL]],Estructura!$X$4:$Y$500,2,0)</f>
        <v>99200001</v>
      </c>
      <c r="X540" s="93" t="str">
        <f>+VLOOKUP(Agencia[[#This Row],[tema]],Estructura!$A$4:$C$500,3,0)</f>
        <v>T-1008</v>
      </c>
      <c r="Y540" s="93" t="str">
        <f>+VLOOKUP(Agencia[[#This Row],[contenido]],Estructura!$E$4:$G$500,3,0)</f>
        <v>C-991</v>
      </c>
      <c r="Z540" s="93" t="str">
        <f>+VLOOKUP(Agencia[[#This Row],[Filtro Integrado]],Estructura!$I$4:$K$500,3,0)</f>
        <v>FI-991</v>
      </c>
      <c r="AA540" s="93" t="str">
        <f>+VLOOKUP(Agencia[[#This Row],[Muestra]],Estructura!$M$4:$O$500,3,0)</f>
        <v>M-1064</v>
      </c>
    </row>
    <row r="541" spans="1:27" ht="57.6" x14ac:dyDescent="0.3">
      <c r="A541" s="21" t="s">
        <v>1045</v>
      </c>
      <c r="B541" s="23">
        <f t="shared" si="209"/>
        <v>990</v>
      </c>
      <c r="C541" s="24" t="str">
        <f t="shared" si="210"/>
        <v>Agencia Información</v>
      </c>
      <c r="D541" s="72" t="str">
        <f t="shared" si="231"/>
        <v>Salud</v>
      </c>
      <c r="E541" s="19">
        <v>2</v>
      </c>
      <c r="F541" s="69" t="s">
        <v>5164</v>
      </c>
      <c r="G541" s="18" t="s">
        <v>569</v>
      </c>
      <c r="H541" s="33" t="s">
        <v>16</v>
      </c>
      <c r="I541" s="34" t="s">
        <v>369</v>
      </c>
      <c r="J541" s="9" t="str">
        <f t="shared" ref="J541:J555" si="236">+J540</f>
        <v>Comuna</v>
      </c>
      <c r="K541" s="9" t="str">
        <f t="shared" si="232"/>
        <v>Fallecidos por 1 millón de habitantes</v>
      </c>
      <c r="L541" s="9" t="str">
        <f t="shared" si="233"/>
        <v>Periodo 2020-2021</v>
      </c>
      <c r="M541" s="9" t="str">
        <f t="shared" si="234"/>
        <v>Número de fallecidos</v>
      </c>
      <c r="N541" s="9" t="str">
        <f t="shared" si="235"/>
        <v>Ministerio de Ciencia, Tecnología, Conocimiento e Innovación</v>
      </c>
      <c r="O541" s="20" t="str">
        <f>+"Evolución de número de fallecidos por 1 millón de habitantes por comuna en la "&amp;I541&amp;" durante el "&amp;Agencia[[#This Row],[temporalidad]]</f>
        <v>Evolución de número de fallecidos por 1 millón de habitantes por comuna en la Región de Antofagasta durante el Periodo 2020-2021</v>
      </c>
      <c r="P541" s="120" t="s">
        <v>5378</v>
      </c>
      <c r="Q541" s="11" t="str">
        <f t="shared" si="223"/>
        <v>Gráfico de Evolución</v>
      </c>
      <c r="R541" s="148" t="str">
        <f>Agencia[[#This Row],[territorio]]&amp;",comuna,casos activos,recuperados,acumulados,evolución,"&amp;Agencia[[#This Row],[coleccion]]&amp;","&amp;Agencia[[#This Row],[sector]]&amp;","&amp;Agencia[[#This Row],[tema]]&amp;","&amp;Agencia[[#This Row],[contenido]]</f>
        <v>Región de Antofagasta,comuna,casos activos,recuperados,acumulados,evolución,Agencia Información,Salud,Fallecidos,COVID-19</v>
      </c>
      <c r="S541" s="83" t="str">
        <f>HYPERLINK("https://analytics.zoho.com/open-view/2395394000009055140?ZOHO_CRITERIA=%22Localiza_CL_Poblacion%22.%22Codreg%22%20%3D%20"&amp;Agencia[[#This Row],[Filtro URL]])</f>
        <v>https://analytics.zoho.com/open-view/2395394000009055140?ZOHO_CRITERIA=%22Localiza_CL_Poblacion%22.%22Codreg%22%20%3D%202</v>
      </c>
      <c r="T541" s="111" t="str">
        <f>"100-C-"&amp;Agencia[[#This Row],[Filtro URL]]</f>
        <v>100-C-2</v>
      </c>
      <c r="U541" s="46" t="str">
        <f t="shared" si="224"/>
        <v>#1774B9</v>
      </c>
      <c r="V541" s="93" t="str">
        <f>+Agencia[[#This Row],[idcoleccion]]&amp;"-"&amp;Agencia[[#This Row],[id]]</f>
        <v>990-0530</v>
      </c>
      <c r="W541" s="93">
        <f>+VLOOKUP(Agencia[[#This Row],[Filtro URL]],Estructura!$X$4:$Y$500,2,0)</f>
        <v>99200002</v>
      </c>
      <c r="X541" s="93" t="str">
        <f>+VLOOKUP(Agencia[[#This Row],[tema]],Estructura!$A$4:$C$500,3,0)</f>
        <v>T-1008</v>
      </c>
      <c r="Y541" s="93" t="str">
        <f>+VLOOKUP(Agencia[[#This Row],[contenido]],Estructura!$E$4:$G$500,3,0)</f>
        <v>C-991</v>
      </c>
      <c r="Z541" s="93" t="str">
        <f>+VLOOKUP(Agencia[[#This Row],[Filtro Integrado]],Estructura!$I$4:$K$500,3,0)</f>
        <v>FI-991</v>
      </c>
      <c r="AA541" s="93" t="str">
        <f>+VLOOKUP(Agencia[[#This Row],[Muestra]],Estructura!$M$4:$O$500,3,0)</f>
        <v>M-1064</v>
      </c>
    </row>
    <row r="542" spans="1:27" ht="57.6" x14ac:dyDescent="0.3">
      <c r="A542" s="21" t="s">
        <v>1046</v>
      </c>
      <c r="B542" s="23">
        <f t="shared" ref="B542:B605" si="237">+B541</f>
        <v>990</v>
      </c>
      <c r="C542" s="24" t="str">
        <f t="shared" si="210"/>
        <v>Agencia Información</v>
      </c>
      <c r="D542" s="72" t="str">
        <f t="shared" si="231"/>
        <v>Salud</v>
      </c>
      <c r="E542" s="19">
        <v>3</v>
      </c>
      <c r="F542" s="69" t="s">
        <v>5164</v>
      </c>
      <c r="G542" s="18" t="s">
        <v>569</v>
      </c>
      <c r="H542" s="33" t="s">
        <v>16</v>
      </c>
      <c r="I542" s="34" t="s">
        <v>370</v>
      </c>
      <c r="J542" s="9" t="str">
        <f t="shared" si="236"/>
        <v>Comuna</v>
      </c>
      <c r="K542" s="9" t="str">
        <f t="shared" si="232"/>
        <v>Fallecidos por 1 millón de habitantes</v>
      </c>
      <c r="L542" s="9" t="str">
        <f t="shared" si="233"/>
        <v>Periodo 2020-2021</v>
      </c>
      <c r="M542" s="9" t="str">
        <f t="shared" si="234"/>
        <v>Número de fallecidos</v>
      </c>
      <c r="N542" s="9" t="str">
        <f t="shared" si="235"/>
        <v>Ministerio de Ciencia, Tecnología, Conocimiento e Innovación</v>
      </c>
      <c r="O542" s="20" t="str">
        <f>+"Evolución de número de fallecidos por 1 millón de habitantes por comuna en la "&amp;I542&amp;" durante el "&amp;Agencia[[#This Row],[temporalidad]]</f>
        <v>Evolución de número de fallecidos por 1 millón de habitantes por comuna en la Región de Atacama durante el Periodo 2020-2021</v>
      </c>
      <c r="P542" s="120" t="s">
        <v>5379</v>
      </c>
      <c r="Q542" s="11" t="str">
        <f t="shared" si="223"/>
        <v>Gráfico de Evolución</v>
      </c>
      <c r="R542" s="148" t="str">
        <f>Agencia[[#This Row],[territorio]]&amp;",comuna,casos activos,recuperados,acumulados,evolución,"&amp;Agencia[[#This Row],[coleccion]]&amp;","&amp;Agencia[[#This Row],[sector]]&amp;","&amp;Agencia[[#This Row],[tema]]&amp;","&amp;Agencia[[#This Row],[contenido]]</f>
        <v>Región de Atacama,comuna,casos activos,recuperados,acumulados,evolución,Agencia Información,Salud,Fallecidos,COVID-19</v>
      </c>
      <c r="S542" s="83" t="str">
        <f>HYPERLINK("https://analytics.zoho.com/open-view/2395394000009055140?ZOHO_CRITERIA=%22Localiza_CL_Poblacion%22.%22Codreg%22%20%3D%20"&amp;Agencia[[#This Row],[Filtro URL]])</f>
        <v>https://analytics.zoho.com/open-view/2395394000009055140?ZOHO_CRITERIA=%22Localiza_CL_Poblacion%22.%22Codreg%22%20%3D%203</v>
      </c>
      <c r="T542" s="111" t="str">
        <f>"100-C-"&amp;Agencia[[#This Row],[Filtro URL]]</f>
        <v>100-C-3</v>
      </c>
      <c r="U542" s="46" t="str">
        <f t="shared" si="224"/>
        <v>#1774B9</v>
      </c>
      <c r="V542" s="93" t="str">
        <f>+Agencia[[#This Row],[idcoleccion]]&amp;"-"&amp;Agencia[[#This Row],[id]]</f>
        <v>990-0531</v>
      </c>
      <c r="W542" s="93">
        <f>+VLOOKUP(Agencia[[#This Row],[Filtro URL]],Estructura!$X$4:$Y$500,2,0)</f>
        <v>99200003</v>
      </c>
      <c r="X542" s="93" t="str">
        <f>+VLOOKUP(Agencia[[#This Row],[tema]],Estructura!$A$4:$C$500,3,0)</f>
        <v>T-1008</v>
      </c>
      <c r="Y542" s="93" t="str">
        <f>+VLOOKUP(Agencia[[#This Row],[contenido]],Estructura!$E$4:$G$500,3,0)</f>
        <v>C-991</v>
      </c>
      <c r="Z542" s="93" t="str">
        <f>+VLOOKUP(Agencia[[#This Row],[Filtro Integrado]],Estructura!$I$4:$K$500,3,0)</f>
        <v>FI-991</v>
      </c>
      <c r="AA542" s="93" t="str">
        <f>+VLOOKUP(Agencia[[#This Row],[Muestra]],Estructura!$M$4:$O$500,3,0)</f>
        <v>M-1064</v>
      </c>
    </row>
    <row r="543" spans="1:27" ht="57.6" x14ac:dyDescent="0.3">
      <c r="A543" s="21" t="s">
        <v>1047</v>
      </c>
      <c r="B543" s="23">
        <f t="shared" si="237"/>
        <v>990</v>
      </c>
      <c r="C543" s="24" t="str">
        <f t="shared" ref="C543:C606" si="238">+C542</f>
        <v>Agencia Información</v>
      </c>
      <c r="D543" s="72" t="str">
        <f t="shared" si="231"/>
        <v>Salud</v>
      </c>
      <c r="E543" s="19">
        <v>4</v>
      </c>
      <c r="F543" s="69" t="s">
        <v>5164</v>
      </c>
      <c r="G543" s="18" t="s">
        <v>569</v>
      </c>
      <c r="H543" s="33" t="s">
        <v>16</v>
      </c>
      <c r="I543" s="34" t="s">
        <v>371</v>
      </c>
      <c r="J543" s="9" t="str">
        <f t="shared" si="236"/>
        <v>Comuna</v>
      </c>
      <c r="K543" s="9" t="str">
        <f t="shared" si="232"/>
        <v>Fallecidos por 1 millón de habitantes</v>
      </c>
      <c r="L543" s="9" t="str">
        <f t="shared" si="233"/>
        <v>Periodo 2020-2021</v>
      </c>
      <c r="M543" s="9" t="str">
        <f t="shared" si="234"/>
        <v>Número de fallecidos</v>
      </c>
      <c r="N543" s="9" t="str">
        <f t="shared" si="235"/>
        <v>Ministerio de Ciencia, Tecnología, Conocimiento e Innovación</v>
      </c>
      <c r="O543" s="20" t="str">
        <f>+"Evolución de número de fallecidos por 1 millón de habitantes por comuna en la "&amp;I543&amp;" durante el "&amp;Agencia[[#This Row],[temporalidad]]</f>
        <v>Evolución de número de fallecidos por 1 millón de habitantes por comuna en la Región de Coquimbo durante el Periodo 2020-2021</v>
      </c>
      <c r="P543" s="120" t="s">
        <v>5380</v>
      </c>
      <c r="Q543" s="11" t="str">
        <f t="shared" si="223"/>
        <v>Gráfico de Evolución</v>
      </c>
      <c r="R543" s="148" t="str">
        <f>Agencia[[#This Row],[territorio]]&amp;",comuna,casos activos,recuperados,acumulados,evolución,"&amp;Agencia[[#This Row],[coleccion]]&amp;","&amp;Agencia[[#This Row],[sector]]&amp;","&amp;Agencia[[#This Row],[tema]]&amp;","&amp;Agencia[[#This Row],[contenido]]</f>
        <v>Región de Coquimbo,comuna,casos activos,recuperados,acumulados,evolución,Agencia Información,Salud,Fallecidos,COVID-19</v>
      </c>
      <c r="S543" s="83" t="str">
        <f>HYPERLINK("https://analytics.zoho.com/open-view/2395394000009055140?ZOHO_CRITERIA=%22Localiza_CL_Poblacion%22.%22Codreg%22%20%3D%20"&amp;Agencia[[#This Row],[Filtro URL]])</f>
        <v>https://analytics.zoho.com/open-view/2395394000009055140?ZOHO_CRITERIA=%22Localiza_CL_Poblacion%22.%22Codreg%22%20%3D%204</v>
      </c>
      <c r="T543" s="111" t="str">
        <f>"100-C-"&amp;Agencia[[#This Row],[Filtro URL]]</f>
        <v>100-C-4</v>
      </c>
      <c r="U543" s="46" t="str">
        <f t="shared" si="224"/>
        <v>#1774B9</v>
      </c>
      <c r="V543" s="93" t="str">
        <f>+Agencia[[#This Row],[idcoleccion]]&amp;"-"&amp;Agencia[[#This Row],[id]]</f>
        <v>990-0532</v>
      </c>
      <c r="W543" s="93">
        <f>+VLOOKUP(Agencia[[#This Row],[Filtro URL]],Estructura!$X$4:$Y$500,2,0)</f>
        <v>99200004</v>
      </c>
      <c r="X543" s="93" t="str">
        <f>+VLOOKUP(Agencia[[#This Row],[tema]],Estructura!$A$4:$C$500,3,0)</f>
        <v>T-1008</v>
      </c>
      <c r="Y543" s="93" t="str">
        <f>+VLOOKUP(Agencia[[#This Row],[contenido]],Estructura!$E$4:$G$500,3,0)</f>
        <v>C-991</v>
      </c>
      <c r="Z543" s="93" t="str">
        <f>+VLOOKUP(Agencia[[#This Row],[Filtro Integrado]],Estructura!$I$4:$K$500,3,0)</f>
        <v>FI-991</v>
      </c>
      <c r="AA543" s="93" t="str">
        <f>+VLOOKUP(Agencia[[#This Row],[Muestra]],Estructura!$M$4:$O$500,3,0)</f>
        <v>M-1064</v>
      </c>
    </row>
    <row r="544" spans="1:27" ht="57.6" x14ac:dyDescent="0.3">
      <c r="A544" s="21" t="s">
        <v>1048</v>
      </c>
      <c r="B544" s="23">
        <f t="shared" si="237"/>
        <v>990</v>
      </c>
      <c r="C544" s="24" t="str">
        <f t="shared" si="238"/>
        <v>Agencia Información</v>
      </c>
      <c r="D544" s="72" t="str">
        <f t="shared" si="231"/>
        <v>Salud</v>
      </c>
      <c r="E544" s="19">
        <v>5</v>
      </c>
      <c r="F544" s="69" t="s">
        <v>5164</v>
      </c>
      <c r="G544" s="18" t="s">
        <v>569</v>
      </c>
      <c r="H544" s="33" t="s">
        <v>16</v>
      </c>
      <c r="I544" s="34" t="s">
        <v>372</v>
      </c>
      <c r="J544" s="9" t="str">
        <f t="shared" si="236"/>
        <v>Comuna</v>
      </c>
      <c r="K544" s="9" t="str">
        <f t="shared" si="232"/>
        <v>Fallecidos por 1 millón de habitantes</v>
      </c>
      <c r="L544" s="9" t="str">
        <f t="shared" si="233"/>
        <v>Periodo 2020-2021</v>
      </c>
      <c r="M544" s="9" t="str">
        <f t="shared" si="234"/>
        <v>Número de fallecidos</v>
      </c>
      <c r="N544" s="9" t="str">
        <f t="shared" si="235"/>
        <v>Ministerio de Ciencia, Tecnología, Conocimiento e Innovación</v>
      </c>
      <c r="O544" s="20" t="str">
        <f>+"Evolución de número de fallecidos por 1 millón de habitantes por comuna en la "&amp;I544&amp;" durante el "&amp;Agencia[[#This Row],[temporalidad]]</f>
        <v>Evolución de número de fallecidos por 1 millón de habitantes por comuna en la Región de Valparaíso durante el Periodo 2020-2021</v>
      </c>
      <c r="P544" s="120" t="s">
        <v>5381</v>
      </c>
      <c r="Q544" s="11" t="str">
        <f t="shared" si="223"/>
        <v>Gráfico de Evolución</v>
      </c>
      <c r="R544" s="148" t="str">
        <f>Agencia[[#This Row],[territorio]]&amp;",comuna,casos activos,recuperados,acumulados,evolución,"&amp;Agencia[[#This Row],[coleccion]]&amp;","&amp;Agencia[[#This Row],[sector]]&amp;","&amp;Agencia[[#This Row],[tema]]&amp;","&amp;Agencia[[#This Row],[contenido]]</f>
        <v>Región de Valparaíso,comuna,casos activos,recuperados,acumulados,evolución,Agencia Información,Salud,Fallecidos,COVID-19</v>
      </c>
      <c r="S544" s="83" t="str">
        <f>HYPERLINK("https://analytics.zoho.com/open-view/2395394000009055140?ZOHO_CRITERIA=%22Localiza_CL_Poblacion%22.%22Codreg%22%20%3D%20"&amp;Agencia[[#This Row],[Filtro URL]])</f>
        <v>https://analytics.zoho.com/open-view/2395394000009055140?ZOHO_CRITERIA=%22Localiza_CL_Poblacion%22.%22Codreg%22%20%3D%205</v>
      </c>
      <c r="T544" s="111" t="str">
        <f>"100-C-"&amp;Agencia[[#This Row],[Filtro URL]]</f>
        <v>100-C-5</v>
      </c>
      <c r="U544" s="46" t="str">
        <f t="shared" si="224"/>
        <v>#1774B9</v>
      </c>
      <c r="V544" s="93" t="str">
        <f>+Agencia[[#This Row],[idcoleccion]]&amp;"-"&amp;Agencia[[#This Row],[id]]</f>
        <v>990-0533</v>
      </c>
      <c r="W544" s="93">
        <f>+VLOOKUP(Agencia[[#This Row],[Filtro URL]],Estructura!$X$4:$Y$500,2,0)</f>
        <v>99200005</v>
      </c>
      <c r="X544" s="93" t="str">
        <f>+VLOOKUP(Agencia[[#This Row],[tema]],Estructura!$A$4:$C$500,3,0)</f>
        <v>T-1008</v>
      </c>
      <c r="Y544" s="93" t="str">
        <f>+VLOOKUP(Agencia[[#This Row],[contenido]],Estructura!$E$4:$G$500,3,0)</f>
        <v>C-991</v>
      </c>
      <c r="Z544" s="93" t="str">
        <f>+VLOOKUP(Agencia[[#This Row],[Filtro Integrado]],Estructura!$I$4:$K$500,3,0)</f>
        <v>FI-991</v>
      </c>
      <c r="AA544" s="93" t="str">
        <f>+VLOOKUP(Agencia[[#This Row],[Muestra]],Estructura!$M$4:$O$500,3,0)</f>
        <v>M-1064</v>
      </c>
    </row>
    <row r="545" spans="1:27" ht="57.6" x14ac:dyDescent="0.3">
      <c r="A545" s="21" t="s">
        <v>1049</v>
      </c>
      <c r="B545" s="23">
        <f t="shared" si="237"/>
        <v>990</v>
      </c>
      <c r="C545" s="24" t="str">
        <f t="shared" si="238"/>
        <v>Agencia Información</v>
      </c>
      <c r="D545" s="72" t="str">
        <f t="shared" si="231"/>
        <v>Salud</v>
      </c>
      <c r="E545" s="19">
        <v>6</v>
      </c>
      <c r="F545" s="69" t="s">
        <v>5164</v>
      </c>
      <c r="G545" s="18" t="s">
        <v>569</v>
      </c>
      <c r="H545" s="33" t="s">
        <v>16</v>
      </c>
      <c r="I545" s="34" t="s">
        <v>373</v>
      </c>
      <c r="J545" s="9" t="str">
        <f t="shared" si="236"/>
        <v>Comuna</v>
      </c>
      <c r="K545" s="9" t="str">
        <f t="shared" si="232"/>
        <v>Fallecidos por 1 millón de habitantes</v>
      </c>
      <c r="L545" s="9" t="str">
        <f t="shared" si="233"/>
        <v>Periodo 2020-2021</v>
      </c>
      <c r="M545" s="9" t="str">
        <f t="shared" si="234"/>
        <v>Número de fallecidos</v>
      </c>
      <c r="N545" s="9" t="str">
        <f t="shared" si="235"/>
        <v>Ministerio de Ciencia, Tecnología, Conocimiento e Innovación</v>
      </c>
      <c r="O545" s="20" t="str">
        <f>+"Evolución de número de fallecidos por 1 millón de habitantes por comuna en la "&amp;I545&amp;" durante el "&amp;Agencia[[#This Row],[temporalidad]]</f>
        <v>Evolución de número de fallecidos por 1 millón de habitantes por comuna en la Región de O'Higgins durante el Periodo 2020-2021</v>
      </c>
      <c r="P545" s="120" t="s">
        <v>5382</v>
      </c>
      <c r="Q545" s="11" t="str">
        <f t="shared" si="223"/>
        <v>Gráfico de Evolución</v>
      </c>
      <c r="R545" s="148" t="str">
        <f>Agencia[[#This Row],[territorio]]&amp;",comuna,casos activos,recuperados,acumulados,evolución,"&amp;Agencia[[#This Row],[coleccion]]&amp;","&amp;Agencia[[#This Row],[sector]]&amp;","&amp;Agencia[[#This Row],[tema]]&amp;","&amp;Agencia[[#This Row],[contenido]]</f>
        <v>Región de O'Higgins,comuna,casos activos,recuperados,acumulados,evolución,Agencia Información,Salud,Fallecidos,COVID-19</v>
      </c>
      <c r="S545" s="83" t="str">
        <f>HYPERLINK("https://analytics.zoho.com/open-view/2395394000009055140?ZOHO_CRITERIA=%22Localiza_CL_Poblacion%22.%22Codreg%22%20%3D%20"&amp;Agencia[[#This Row],[Filtro URL]])</f>
        <v>https://analytics.zoho.com/open-view/2395394000009055140?ZOHO_CRITERIA=%22Localiza_CL_Poblacion%22.%22Codreg%22%20%3D%206</v>
      </c>
      <c r="T545" s="111" t="str">
        <f>"100-C-"&amp;Agencia[[#This Row],[Filtro URL]]</f>
        <v>100-C-6</v>
      </c>
      <c r="U545" s="46" t="str">
        <f t="shared" si="224"/>
        <v>#1774B9</v>
      </c>
      <c r="V545" s="93" t="str">
        <f>+Agencia[[#This Row],[idcoleccion]]&amp;"-"&amp;Agencia[[#This Row],[id]]</f>
        <v>990-0534</v>
      </c>
      <c r="W545" s="93">
        <f>+VLOOKUP(Agencia[[#This Row],[Filtro URL]],Estructura!$X$4:$Y$500,2,0)</f>
        <v>99200006</v>
      </c>
      <c r="X545" s="93" t="str">
        <f>+VLOOKUP(Agencia[[#This Row],[tema]],Estructura!$A$4:$C$500,3,0)</f>
        <v>T-1008</v>
      </c>
      <c r="Y545" s="93" t="str">
        <f>+VLOOKUP(Agencia[[#This Row],[contenido]],Estructura!$E$4:$G$500,3,0)</f>
        <v>C-991</v>
      </c>
      <c r="Z545" s="93" t="str">
        <f>+VLOOKUP(Agencia[[#This Row],[Filtro Integrado]],Estructura!$I$4:$K$500,3,0)</f>
        <v>FI-991</v>
      </c>
      <c r="AA545" s="93" t="str">
        <f>+VLOOKUP(Agencia[[#This Row],[Muestra]],Estructura!$M$4:$O$500,3,0)</f>
        <v>M-1064</v>
      </c>
    </row>
    <row r="546" spans="1:27" ht="57.6" x14ac:dyDescent="0.3">
      <c r="A546" s="21" t="s">
        <v>1050</v>
      </c>
      <c r="B546" s="23">
        <f t="shared" si="237"/>
        <v>990</v>
      </c>
      <c r="C546" s="24" t="str">
        <f t="shared" si="238"/>
        <v>Agencia Información</v>
      </c>
      <c r="D546" s="72" t="str">
        <f t="shared" si="231"/>
        <v>Salud</v>
      </c>
      <c r="E546" s="19">
        <v>7</v>
      </c>
      <c r="F546" s="69" t="s">
        <v>5164</v>
      </c>
      <c r="G546" s="18" t="s">
        <v>569</v>
      </c>
      <c r="H546" s="33" t="s">
        <v>16</v>
      </c>
      <c r="I546" s="34" t="s">
        <v>374</v>
      </c>
      <c r="J546" s="9" t="str">
        <f t="shared" si="236"/>
        <v>Comuna</v>
      </c>
      <c r="K546" s="9" t="str">
        <f t="shared" si="232"/>
        <v>Fallecidos por 1 millón de habitantes</v>
      </c>
      <c r="L546" s="9" t="str">
        <f t="shared" si="233"/>
        <v>Periodo 2020-2021</v>
      </c>
      <c r="M546" s="9" t="str">
        <f t="shared" si="234"/>
        <v>Número de fallecidos</v>
      </c>
      <c r="N546" s="9" t="str">
        <f t="shared" si="235"/>
        <v>Ministerio de Ciencia, Tecnología, Conocimiento e Innovación</v>
      </c>
      <c r="O546" s="20" t="str">
        <f>+"Evolución de número de fallecidos por 1 millón de habitantes por comuna en la "&amp;I546&amp;" durante el "&amp;Agencia[[#This Row],[temporalidad]]</f>
        <v>Evolución de número de fallecidos por 1 millón de habitantes por comuna en la Región de Maule durante el Periodo 2020-2021</v>
      </c>
      <c r="P546" s="120" t="s">
        <v>5383</v>
      </c>
      <c r="Q546" s="11" t="str">
        <f t="shared" si="223"/>
        <v>Gráfico de Evolución</v>
      </c>
      <c r="R546" s="148" t="str">
        <f>Agencia[[#This Row],[territorio]]&amp;",comuna,casos activos,recuperados,acumulados,evolución,"&amp;Agencia[[#This Row],[coleccion]]&amp;","&amp;Agencia[[#This Row],[sector]]&amp;","&amp;Agencia[[#This Row],[tema]]&amp;","&amp;Agencia[[#This Row],[contenido]]</f>
        <v>Región de Maule,comuna,casos activos,recuperados,acumulados,evolución,Agencia Información,Salud,Fallecidos,COVID-19</v>
      </c>
      <c r="S546" s="83" t="str">
        <f>HYPERLINK("https://analytics.zoho.com/open-view/2395394000009055140?ZOHO_CRITERIA=%22Localiza_CL_Poblacion%22.%22Codreg%22%20%3D%20"&amp;Agencia[[#This Row],[Filtro URL]])</f>
        <v>https://analytics.zoho.com/open-view/2395394000009055140?ZOHO_CRITERIA=%22Localiza_CL_Poblacion%22.%22Codreg%22%20%3D%207</v>
      </c>
      <c r="T546" s="111" t="str">
        <f>"100-C-"&amp;Agencia[[#This Row],[Filtro URL]]</f>
        <v>100-C-7</v>
      </c>
      <c r="U546" s="46" t="str">
        <f t="shared" si="224"/>
        <v>#1774B9</v>
      </c>
      <c r="V546" s="93" t="str">
        <f>+Agencia[[#This Row],[idcoleccion]]&amp;"-"&amp;Agencia[[#This Row],[id]]</f>
        <v>990-0535</v>
      </c>
      <c r="W546" s="93">
        <f>+VLOOKUP(Agencia[[#This Row],[Filtro URL]],Estructura!$X$4:$Y$500,2,0)</f>
        <v>99200007</v>
      </c>
      <c r="X546" s="93" t="str">
        <f>+VLOOKUP(Agencia[[#This Row],[tema]],Estructura!$A$4:$C$500,3,0)</f>
        <v>T-1008</v>
      </c>
      <c r="Y546" s="93" t="str">
        <f>+VLOOKUP(Agencia[[#This Row],[contenido]],Estructura!$E$4:$G$500,3,0)</f>
        <v>C-991</v>
      </c>
      <c r="Z546" s="93" t="str">
        <f>+VLOOKUP(Agencia[[#This Row],[Filtro Integrado]],Estructura!$I$4:$K$500,3,0)</f>
        <v>FI-991</v>
      </c>
      <c r="AA546" s="93" t="str">
        <f>+VLOOKUP(Agencia[[#This Row],[Muestra]],Estructura!$M$4:$O$500,3,0)</f>
        <v>M-1064</v>
      </c>
    </row>
    <row r="547" spans="1:27" ht="57.6" x14ac:dyDescent="0.3">
      <c r="A547" s="21" t="s">
        <v>1051</v>
      </c>
      <c r="B547" s="23">
        <f t="shared" si="237"/>
        <v>990</v>
      </c>
      <c r="C547" s="24" t="str">
        <f t="shared" si="238"/>
        <v>Agencia Información</v>
      </c>
      <c r="D547" s="72" t="str">
        <f t="shared" si="231"/>
        <v>Salud</v>
      </c>
      <c r="E547" s="19">
        <v>8</v>
      </c>
      <c r="F547" s="69" t="s">
        <v>5164</v>
      </c>
      <c r="G547" s="18" t="s">
        <v>569</v>
      </c>
      <c r="H547" s="33" t="s">
        <v>16</v>
      </c>
      <c r="I547" s="34" t="s">
        <v>375</v>
      </c>
      <c r="J547" s="9" t="str">
        <f t="shared" si="236"/>
        <v>Comuna</v>
      </c>
      <c r="K547" s="9" t="str">
        <f t="shared" si="232"/>
        <v>Fallecidos por 1 millón de habitantes</v>
      </c>
      <c r="L547" s="9" t="str">
        <f t="shared" si="233"/>
        <v>Periodo 2020-2021</v>
      </c>
      <c r="M547" s="9" t="str">
        <f t="shared" si="234"/>
        <v>Número de fallecidos</v>
      </c>
      <c r="N547" s="9" t="str">
        <f t="shared" si="235"/>
        <v>Ministerio de Ciencia, Tecnología, Conocimiento e Innovación</v>
      </c>
      <c r="O547" s="20" t="str">
        <f>+"Evolución de número de fallecidos por 1 millón de habitantes por comuna en la "&amp;I547&amp;" durante el "&amp;Agencia[[#This Row],[temporalidad]]</f>
        <v>Evolución de número de fallecidos por 1 millón de habitantes por comuna en la Región del Biobío durante el Periodo 2020-2021</v>
      </c>
      <c r="P547" s="120" t="s">
        <v>5384</v>
      </c>
      <c r="Q547" s="11" t="str">
        <f t="shared" si="223"/>
        <v>Gráfico de Evolución</v>
      </c>
      <c r="R547" s="148" t="str">
        <f>Agencia[[#This Row],[territorio]]&amp;",comuna,casos activos,recuperados,acumulados,evolución,"&amp;Agencia[[#This Row],[coleccion]]&amp;","&amp;Agencia[[#This Row],[sector]]&amp;","&amp;Agencia[[#This Row],[tema]]&amp;","&amp;Agencia[[#This Row],[contenido]]</f>
        <v>Región del Biobío,comuna,casos activos,recuperados,acumulados,evolución,Agencia Información,Salud,Fallecidos,COVID-19</v>
      </c>
      <c r="S547" s="83" t="str">
        <f>HYPERLINK("https://analytics.zoho.com/open-view/2395394000009055140?ZOHO_CRITERIA=%22Localiza_CL_Poblacion%22.%22Codreg%22%20%3D%20"&amp;Agencia[[#This Row],[Filtro URL]])</f>
        <v>https://analytics.zoho.com/open-view/2395394000009055140?ZOHO_CRITERIA=%22Localiza_CL_Poblacion%22.%22Codreg%22%20%3D%208</v>
      </c>
      <c r="T547" s="111" t="str">
        <f>"100-C-"&amp;Agencia[[#This Row],[Filtro URL]]</f>
        <v>100-C-8</v>
      </c>
      <c r="U547" s="46" t="str">
        <f t="shared" si="224"/>
        <v>#1774B9</v>
      </c>
      <c r="V547" s="93" t="str">
        <f>+Agencia[[#This Row],[idcoleccion]]&amp;"-"&amp;Agencia[[#This Row],[id]]</f>
        <v>990-0536</v>
      </c>
      <c r="W547" s="93">
        <f>+VLOOKUP(Agencia[[#This Row],[Filtro URL]],Estructura!$X$4:$Y$500,2,0)</f>
        <v>99200008</v>
      </c>
      <c r="X547" s="93" t="str">
        <f>+VLOOKUP(Agencia[[#This Row],[tema]],Estructura!$A$4:$C$500,3,0)</f>
        <v>T-1008</v>
      </c>
      <c r="Y547" s="93" t="str">
        <f>+VLOOKUP(Agencia[[#This Row],[contenido]],Estructura!$E$4:$G$500,3,0)</f>
        <v>C-991</v>
      </c>
      <c r="Z547" s="93" t="str">
        <f>+VLOOKUP(Agencia[[#This Row],[Filtro Integrado]],Estructura!$I$4:$K$500,3,0)</f>
        <v>FI-991</v>
      </c>
      <c r="AA547" s="93" t="str">
        <f>+VLOOKUP(Agencia[[#This Row],[Muestra]],Estructura!$M$4:$O$500,3,0)</f>
        <v>M-1064</v>
      </c>
    </row>
    <row r="548" spans="1:27" ht="57.6" x14ac:dyDescent="0.3">
      <c r="A548" s="21" t="s">
        <v>1052</v>
      </c>
      <c r="B548" s="23">
        <f t="shared" si="237"/>
        <v>990</v>
      </c>
      <c r="C548" s="24" t="str">
        <f t="shared" si="238"/>
        <v>Agencia Información</v>
      </c>
      <c r="D548" s="72" t="str">
        <f t="shared" si="231"/>
        <v>Salud</v>
      </c>
      <c r="E548" s="19">
        <v>9</v>
      </c>
      <c r="F548" s="69" t="s">
        <v>5164</v>
      </c>
      <c r="G548" s="18" t="s">
        <v>569</v>
      </c>
      <c r="H548" s="33" t="s">
        <v>16</v>
      </c>
      <c r="I548" s="34" t="s">
        <v>376</v>
      </c>
      <c r="J548" s="9" t="str">
        <f t="shared" si="236"/>
        <v>Comuna</v>
      </c>
      <c r="K548" s="9" t="str">
        <f t="shared" si="232"/>
        <v>Fallecidos por 1 millón de habitantes</v>
      </c>
      <c r="L548" s="9" t="str">
        <f t="shared" si="233"/>
        <v>Periodo 2020-2021</v>
      </c>
      <c r="M548" s="9" t="str">
        <f t="shared" si="234"/>
        <v>Número de fallecidos</v>
      </c>
      <c r="N548" s="9" t="str">
        <f t="shared" si="235"/>
        <v>Ministerio de Ciencia, Tecnología, Conocimiento e Innovación</v>
      </c>
      <c r="O548" s="20" t="str">
        <f>+"Evolución de número de fallecidos por 1 millón de habitantes por comuna en la "&amp;I548&amp;" durante el "&amp;Agencia[[#This Row],[temporalidad]]</f>
        <v>Evolución de número de fallecidos por 1 millón de habitantes por comuna en la Región de La Araucanía durante el Periodo 2020-2021</v>
      </c>
      <c r="P548" s="120" t="s">
        <v>5385</v>
      </c>
      <c r="Q548" s="11" t="str">
        <f t="shared" si="223"/>
        <v>Gráfico de Evolución</v>
      </c>
      <c r="R548" s="148" t="str">
        <f>Agencia[[#This Row],[territorio]]&amp;",comuna,casos activos,recuperados,acumulados,evolución,"&amp;Agencia[[#This Row],[coleccion]]&amp;","&amp;Agencia[[#This Row],[sector]]&amp;","&amp;Agencia[[#This Row],[tema]]&amp;","&amp;Agencia[[#This Row],[contenido]]</f>
        <v>Región de La Araucanía,comuna,casos activos,recuperados,acumulados,evolución,Agencia Información,Salud,Fallecidos,COVID-19</v>
      </c>
      <c r="S548" s="83" t="str">
        <f>HYPERLINK("https://analytics.zoho.com/open-view/2395394000009055140?ZOHO_CRITERIA=%22Localiza_CL_Poblacion%22.%22Codreg%22%20%3D%20"&amp;Agencia[[#This Row],[Filtro URL]])</f>
        <v>https://analytics.zoho.com/open-view/2395394000009055140?ZOHO_CRITERIA=%22Localiza_CL_Poblacion%22.%22Codreg%22%20%3D%209</v>
      </c>
      <c r="T548" s="111" t="str">
        <f>"100-C-"&amp;Agencia[[#This Row],[Filtro URL]]</f>
        <v>100-C-9</v>
      </c>
      <c r="U548" s="46" t="str">
        <f t="shared" si="224"/>
        <v>#1774B9</v>
      </c>
      <c r="V548" s="93" t="str">
        <f>+Agencia[[#This Row],[idcoleccion]]&amp;"-"&amp;Agencia[[#This Row],[id]]</f>
        <v>990-0537</v>
      </c>
      <c r="W548" s="93">
        <f>+VLOOKUP(Agencia[[#This Row],[Filtro URL]],Estructura!$X$4:$Y$500,2,0)</f>
        <v>99200009</v>
      </c>
      <c r="X548" s="93" t="str">
        <f>+VLOOKUP(Agencia[[#This Row],[tema]],Estructura!$A$4:$C$500,3,0)</f>
        <v>T-1008</v>
      </c>
      <c r="Y548" s="93" t="str">
        <f>+VLOOKUP(Agencia[[#This Row],[contenido]],Estructura!$E$4:$G$500,3,0)</f>
        <v>C-991</v>
      </c>
      <c r="Z548" s="93" t="str">
        <f>+VLOOKUP(Agencia[[#This Row],[Filtro Integrado]],Estructura!$I$4:$K$500,3,0)</f>
        <v>FI-991</v>
      </c>
      <c r="AA548" s="93" t="str">
        <f>+VLOOKUP(Agencia[[#This Row],[Muestra]],Estructura!$M$4:$O$500,3,0)</f>
        <v>M-1064</v>
      </c>
    </row>
    <row r="549" spans="1:27" ht="57.6" x14ac:dyDescent="0.3">
      <c r="A549" s="21" t="s">
        <v>1053</v>
      </c>
      <c r="B549" s="23">
        <f t="shared" si="237"/>
        <v>990</v>
      </c>
      <c r="C549" s="24" t="str">
        <f t="shared" si="238"/>
        <v>Agencia Información</v>
      </c>
      <c r="D549" s="72" t="str">
        <f t="shared" si="231"/>
        <v>Salud</v>
      </c>
      <c r="E549" s="19">
        <v>10</v>
      </c>
      <c r="F549" s="69" t="s">
        <v>5164</v>
      </c>
      <c r="G549" s="18" t="s">
        <v>569</v>
      </c>
      <c r="H549" s="33" t="s">
        <v>16</v>
      </c>
      <c r="I549" s="34" t="s">
        <v>377</v>
      </c>
      <c r="J549" s="9" t="str">
        <f t="shared" si="236"/>
        <v>Comuna</v>
      </c>
      <c r="K549" s="9" t="str">
        <f t="shared" si="232"/>
        <v>Fallecidos por 1 millón de habitantes</v>
      </c>
      <c r="L549" s="9" t="str">
        <f t="shared" si="233"/>
        <v>Periodo 2020-2021</v>
      </c>
      <c r="M549" s="9" t="str">
        <f t="shared" si="234"/>
        <v>Número de fallecidos</v>
      </c>
      <c r="N549" s="9" t="str">
        <f t="shared" si="235"/>
        <v>Ministerio de Ciencia, Tecnología, Conocimiento e Innovación</v>
      </c>
      <c r="O549" s="20" t="str">
        <f>+"Evolución de número de fallecidos por 1 millón de habitantes por comuna en la "&amp;I549&amp;" durante el "&amp;Agencia[[#This Row],[temporalidad]]</f>
        <v>Evolución de número de fallecidos por 1 millón de habitantes por comuna en la Región de Los Lagos durante el Periodo 2020-2021</v>
      </c>
      <c r="P549" s="120" t="s">
        <v>5386</v>
      </c>
      <c r="Q549" s="11" t="str">
        <f t="shared" si="223"/>
        <v>Gráfico de Evolución</v>
      </c>
      <c r="R549" s="148" t="str">
        <f>Agencia[[#This Row],[territorio]]&amp;",comuna,casos activos,recuperados,acumulados,evolución,"&amp;Agencia[[#This Row],[coleccion]]&amp;","&amp;Agencia[[#This Row],[sector]]&amp;","&amp;Agencia[[#This Row],[tema]]&amp;","&amp;Agencia[[#This Row],[contenido]]</f>
        <v>Región de Los Lagos,comuna,casos activos,recuperados,acumulados,evolución,Agencia Información,Salud,Fallecidos,COVID-19</v>
      </c>
      <c r="S549" s="83" t="str">
        <f>HYPERLINK("https://analytics.zoho.com/open-view/2395394000009055140?ZOHO_CRITERIA=%22Localiza_CL_Poblacion%22.%22Codreg%22%20%3D%20"&amp;Agencia[[#This Row],[Filtro URL]])</f>
        <v>https://analytics.zoho.com/open-view/2395394000009055140?ZOHO_CRITERIA=%22Localiza_CL_Poblacion%22.%22Codreg%22%20%3D%2010</v>
      </c>
      <c r="T549" s="111" t="str">
        <f>"100-C-"&amp;Agencia[[#This Row],[Filtro URL]]</f>
        <v>100-C-10</v>
      </c>
      <c r="U549" s="46" t="str">
        <f t="shared" si="224"/>
        <v>#1774B9</v>
      </c>
      <c r="V549" s="93" t="str">
        <f>+Agencia[[#This Row],[idcoleccion]]&amp;"-"&amp;Agencia[[#This Row],[id]]</f>
        <v>990-0538</v>
      </c>
      <c r="W549" s="93">
        <f>+VLOOKUP(Agencia[[#This Row],[Filtro URL]],Estructura!$X$4:$Y$500,2,0)</f>
        <v>99200010</v>
      </c>
      <c r="X549" s="93" t="str">
        <f>+VLOOKUP(Agencia[[#This Row],[tema]],Estructura!$A$4:$C$500,3,0)</f>
        <v>T-1008</v>
      </c>
      <c r="Y549" s="93" t="str">
        <f>+VLOOKUP(Agencia[[#This Row],[contenido]],Estructura!$E$4:$G$500,3,0)</f>
        <v>C-991</v>
      </c>
      <c r="Z549" s="93" t="str">
        <f>+VLOOKUP(Agencia[[#This Row],[Filtro Integrado]],Estructura!$I$4:$K$500,3,0)</f>
        <v>FI-991</v>
      </c>
      <c r="AA549" s="93" t="str">
        <f>+VLOOKUP(Agencia[[#This Row],[Muestra]],Estructura!$M$4:$O$500,3,0)</f>
        <v>M-1064</v>
      </c>
    </row>
    <row r="550" spans="1:27" ht="57.6" x14ac:dyDescent="0.3">
      <c r="A550" s="21" t="s">
        <v>1054</v>
      </c>
      <c r="B550" s="23">
        <f t="shared" si="237"/>
        <v>990</v>
      </c>
      <c r="C550" s="24" t="str">
        <f t="shared" si="238"/>
        <v>Agencia Información</v>
      </c>
      <c r="D550" s="72" t="str">
        <f t="shared" si="231"/>
        <v>Salud</v>
      </c>
      <c r="E550" s="19">
        <v>11</v>
      </c>
      <c r="F550" s="69" t="s">
        <v>5164</v>
      </c>
      <c r="G550" s="18" t="s">
        <v>569</v>
      </c>
      <c r="H550" s="33" t="s">
        <v>16</v>
      </c>
      <c r="I550" s="34" t="s">
        <v>378</v>
      </c>
      <c r="J550" s="9" t="str">
        <f t="shared" si="236"/>
        <v>Comuna</v>
      </c>
      <c r="K550" s="9" t="str">
        <f t="shared" si="232"/>
        <v>Fallecidos por 1 millón de habitantes</v>
      </c>
      <c r="L550" s="9" t="str">
        <f t="shared" si="233"/>
        <v>Periodo 2020-2021</v>
      </c>
      <c r="M550" s="9" t="str">
        <f t="shared" si="234"/>
        <v>Número de fallecidos</v>
      </c>
      <c r="N550" s="9" t="str">
        <f t="shared" si="235"/>
        <v>Ministerio de Ciencia, Tecnología, Conocimiento e Innovación</v>
      </c>
      <c r="O550" s="20" t="str">
        <f>+"Evolución de número de fallecidos por 1 millón de habitantes por comuna en la "&amp;I550&amp;" durante el "&amp;Agencia[[#This Row],[temporalidad]]</f>
        <v>Evolución de número de fallecidos por 1 millón de habitantes por comuna en la Región de Aysén durante el Periodo 2020-2021</v>
      </c>
      <c r="P550" s="120" t="s">
        <v>5387</v>
      </c>
      <c r="Q550" s="11" t="str">
        <f t="shared" si="223"/>
        <v>Gráfico de Evolución</v>
      </c>
      <c r="R550" s="148" t="str">
        <f>Agencia[[#This Row],[territorio]]&amp;",comuna,casos activos,recuperados,acumulados,evolución,"&amp;Agencia[[#This Row],[coleccion]]&amp;","&amp;Agencia[[#This Row],[sector]]&amp;","&amp;Agencia[[#This Row],[tema]]&amp;","&amp;Agencia[[#This Row],[contenido]]</f>
        <v>Región de Aysén,comuna,casos activos,recuperados,acumulados,evolución,Agencia Información,Salud,Fallecidos,COVID-19</v>
      </c>
      <c r="S550" s="83" t="str">
        <f>HYPERLINK("https://analytics.zoho.com/open-view/2395394000009055140?ZOHO_CRITERIA=%22Localiza_CL_Poblacion%22.%22Codreg%22%20%3D%20"&amp;Agencia[[#This Row],[Filtro URL]])</f>
        <v>https://analytics.zoho.com/open-view/2395394000009055140?ZOHO_CRITERIA=%22Localiza_CL_Poblacion%22.%22Codreg%22%20%3D%2011</v>
      </c>
      <c r="T550" s="111" t="str">
        <f>"100-C-"&amp;Agencia[[#This Row],[Filtro URL]]</f>
        <v>100-C-11</v>
      </c>
      <c r="U550" s="46" t="str">
        <f t="shared" si="224"/>
        <v>#1774B9</v>
      </c>
      <c r="V550" s="93" t="str">
        <f>+Agencia[[#This Row],[idcoleccion]]&amp;"-"&amp;Agencia[[#This Row],[id]]</f>
        <v>990-0539</v>
      </c>
      <c r="W550" s="93">
        <f>+VLOOKUP(Agencia[[#This Row],[Filtro URL]],Estructura!$X$4:$Y$500,2,0)</f>
        <v>99200011</v>
      </c>
      <c r="X550" s="93" t="str">
        <f>+VLOOKUP(Agencia[[#This Row],[tema]],Estructura!$A$4:$C$500,3,0)</f>
        <v>T-1008</v>
      </c>
      <c r="Y550" s="93" t="str">
        <f>+VLOOKUP(Agencia[[#This Row],[contenido]],Estructura!$E$4:$G$500,3,0)</f>
        <v>C-991</v>
      </c>
      <c r="Z550" s="93" t="str">
        <f>+VLOOKUP(Agencia[[#This Row],[Filtro Integrado]],Estructura!$I$4:$K$500,3,0)</f>
        <v>FI-991</v>
      </c>
      <c r="AA550" s="93" t="str">
        <f>+VLOOKUP(Agencia[[#This Row],[Muestra]],Estructura!$M$4:$O$500,3,0)</f>
        <v>M-1064</v>
      </c>
    </row>
    <row r="551" spans="1:27" ht="57.6" x14ac:dyDescent="0.3">
      <c r="A551" s="21" t="s">
        <v>1055</v>
      </c>
      <c r="B551" s="23">
        <f t="shared" si="237"/>
        <v>990</v>
      </c>
      <c r="C551" s="24" t="str">
        <f t="shared" si="238"/>
        <v>Agencia Información</v>
      </c>
      <c r="D551" s="72" t="str">
        <f t="shared" si="231"/>
        <v>Salud</v>
      </c>
      <c r="E551" s="19">
        <v>12</v>
      </c>
      <c r="F551" s="69" t="s">
        <v>5164</v>
      </c>
      <c r="G551" s="18" t="s">
        <v>569</v>
      </c>
      <c r="H551" s="33" t="s">
        <v>16</v>
      </c>
      <c r="I551" s="34" t="s">
        <v>379</v>
      </c>
      <c r="J551" s="9" t="str">
        <f t="shared" si="236"/>
        <v>Comuna</v>
      </c>
      <c r="K551" s="9" t="str">
        <f t="shared" si="232"/>
        <v>Fallecidos por 1 millón de habitantes</v>
      </c>
      <c r="L551" s="9" t="str">
        <f t="shared" si="233"/>
        <v>Periodo 2020-2021</v>
      </c>
      <c r="M551" s="9" t="str">
        <f t="shared" si="234"/>
        <v>Número de fallecidos</v>
      </c>
      <c r="N551" s="9" t="str">
        <f t="shared" si="235"/>
        <v>Ministerio de Ciencia, Tecnología, Conocimiento e Innovación</v>
      </c>
      <c r="O551" s="20" t="str">
        <f>+"Evolución de número de fallecidos por 1 millón de habitantes por comuna en la "&amp;I551&amp;" durante el "&amp;Agencia[[#This Row],[temporalidad]]</f>
        <v>Evolución de número de fallecidos por 1 millón de habitantes por comuna en la Región de Magallanes durante el Periodo 2020-2021</v>
      </c>
      <c r="P551" s="120" t="s">
        <v>5388</v>
      </c>
      <c r="Q551" s="11" t="str">
        <f t="shared" si="223"/>
        <v>Gráfico de Evolución</v>
      </c>
      <c r="R551" s="148" t="str">
        <f>Agencia[[#This Row],[territorio]]&amp;",comuna,casos activos,recuperados,acumulados,evolución,"&amp;Agencia[[#This Row],[coleccion]]&amp;","&amp;Agencia[[#This Row],[sector]]&amp;","&amp;Agencia[[#This Row],[tema]]&amp;","&amp;Agencia[[#This Row],[contenido]]</f>
        <v>Región de Magallanes,comuna,casos activos,recuperados,acumulados,evolución,Agencia Información,Salud,Fallecidos,COVID-19</v>
      </c>
      <c r="S551" s="83" t="str">
        <f>HYPERLINK("https://analytics.zoho.com/open-view/2395394000009055140?ZOHO_CRITERIA=%22Localiza_CL_Poblacion%22.%22Codreg%22%20%3D%20"&amp;Agencia[[#This Row],[Filtro URL]])</f>
        <v>https://analytics.zoho.com/open-view/2395394000009055140?ZOHO_CRITERIA=%22Localiza_CL_Poblacion%22.%22Codreg%22%20%3D%2012</v>
      </c>
      <c r="T551" s="111" t="str">
        <f>"100-C-"&amp;Agencia[[#This Row],[Filtro URL]]</f>
        <v>100-C-12</v>
      </c>
      <c r="U551" s="46" t="str">
        <f t="shared" si="224"/>
        <v>#1774B9</v>
      </c>
      <c r="V551" s="93" t="str">
        <f>+Agencia[[#This Row],[idcoleccion]]&amp;"-"&amp;Agencia[[#This Row],[id]]</f>
        <v>990-0540</v>
      </c>
      <c r="W551" s="93">
        <f>+VLOOKUP(Agencia[[#This Row],[Filtro URL]],Estructura!$X$4:$Y$500,2,0)</f>
        <v>99200012</v>
      </c>
      <c r="X551" s="93" t="str">
        <f>+VLOOKUP(Agencia[[#This Row],[tema]],Estructura!$A$4:$C$500,3,0)</f>
        <v>T-1008</v>
      </c>
      <c r="Y551" s="93" t="str">
        <f>+VLOOKUP(Agencia[[#This Row],[contenido]],Estructura!$E$4:$G$500,3,0)</f>
        <v>C-991</v>
      </c>
      <c r="Z551" s="93" t="str">
        <f>+VLOOKUP(Agencia[[#This Row],[Filtro Integrado]],Estructura!$I$4:$K$500,3,0)</f>
        <v>FI-991</v>
      </c>
      <c r="AA551" s="93" t="str">
        <f>+VLOOKUP(Agencia[[#This Row],[Muestra]],Estructura!$M$4:$O$500,3,0)</f>
        <v>M-1064</v>
      </c>
    </row>
    <row r="552" spans="1:27" ht="57.6" x14ac:dyDescent="0.3">
      <c r="A552" s="21" t="s">
        <v>1056</v>
      </c>
      <c r="B552" s="23">
        <f t="shared" si="237"/>
        <v>990</v>
      </c>
      <c r="C552" s="24" t="str">
        <f t="shared" si="238"/>
        <v>Agencia Información</v>
      </c>
      <c r="D552" s="72" t="str">
        <f t="shared" si="231"/>
        <v>Salud</v>
      </c>
      <c r="E552" s="19">
        <v>13</v>
      </c>
      <c r="F552" s="69" t="s">
        <v>5164</v>
      </c>
      <c r="G552" s="18" t="s">
        <v>569</v>
      </c>
      <c r="H552" s="33" t="s">
        <v>16</v>
      </c>
      <c r="I552" s="34" t="s">
        <v>380</v>
      </c>
      <c r="J552" s="9" t="str">
        <f t="shared" si="236"/>
        <v>Comuna</v>
      </c>
      <c r="K552" s="9" t="str">
        <f t="shared" si="232"/>
        <v>Fallecidos por 1 millón de habitantes</v>
      </c>
      <c r="L552" s="9" t="str">
        <f t="shared" si="233"/>
        <v>Periodo 2020-2021</v>
      </c>
      <c r="M552" s="9" t="str">
        <f t="shared" si="234"/>
        <v>Número de fallecidos</v>
      </c>
      <c r="N552" s="9" t="str">
        <f t="shared" si="235"/>
        <v>Ministerio de Ciencia, Tecnología, Conocimiento e Innovación</v>
      </c>
      <c r="O552" s="20" t="str">
        <f>+"Evolución de número de fallecidos por 1 millón de habitantes por comuna en la "&amp;I552&amp;" durante el "&amp;Agencia[[#This Row],[temporalidad]]</f>
        <v>Evolución de número de fallecidos por 1 millón de habitantes por comuna en la Región Metropolitana durante el Periodo 2020-2021</v>
      </c>
      <c r="P552" s="120" t="s">
        <v>5389</v>
      </c>
      <c r="Q552" s="11" t="str">
        <f t="shared" si="223"/>
        <v>Gráfico de Evolución</v>
      </c>
      <c r="R552" s="148" t="str">
        <f>Agencia[[#This Row],[territorio]]&amp;",comuna,casos activos,recuperados,acumulados,evolución,"&amp;Agencia[[#This Row],[coleccion]]&amp;","&amp;Agencia[[#This Row],[sector]]&amp;","&amp;Agencia[[#This Row],[tema]]&amp;","&amp;Agencia[[#This Row],[contenido]]</f>
        <v>Región Metropolitana,comuna,casos activos,recuperados,acumulados,evolución,Agencia Información,Salud,Fallecidos,COVID-19</v>
      </c>
      <c r="S552" s="83" t="str">
        <f>HYPERLINK("https://analytics.zoho.com/open-view/2395394000009055140?ZOHO_CRITERIA=%22Localiza_CL_Poblacion%22.%22Codreg%22%20%3D%20"&amp;Agencia[[#This Row],[Filtro URL]])</f>
        <v>https://analytics.zoho.com/open-view/2395394000009055140?ZOHO_CRITERIA=%22Localiza_CL_Poblacion%22.%22Codreg%22%20%3D%2013</v>
      </c>
      <c r="T552" s="111" t="str">
        <f>"200-C-"&amp;Agencia[[#This Row],[Filtro URL]]</f>
        <v>200-C-13</v>
      </c>
      <c r="U552" s="46" t="str">
        <f t="shared" si="224"/>
        <v>#1774B9</v>
      </c>
      <c r="V552" s="93" t="str">
        <f>+Agencia[[#This Row],[idcoleccion]]&amp;"-"&amp;Agencia[[#This Row],[id]]</f>
        <v>990-0541</v>
      </c>
      <c r="W552" s="93">
        <f>+VLOOKUP(Agencia[[#This Row],[Filtro URL]],Estructura!$X$4:$Y$500,2,0)</f>
        <v>99200013</v>
      </c>
      <c r="X552" s="93" t="str">
        <f>+VLOOKUP(Agencia[[#This Row],[tema]],Estructura!$A$4:$C$500,3,0)</f>
        <v>T-1008</v>
      </c>
      <c r="Y552" s="93" t="str">
        <f>+VLOOKUP(Agencia[[#This Row],[contenido]],Estructura!$E$4:$G$500,3,0)</f>
        <v>C-991</v>
      </c>
      <c r="Z552" s="93" t="str">
        <f>+VLOOKUP(Agencia[[#This Row],[Filtro Integrado]],Estructura!$I$4:$K$500,3,0)</f>
        <v>FI-991</v>
      </c>
      <c r="AA552" s="93" t="str">
        <f>+VLOOKUP(Agencia[[#This Row],[Muestra]],Estructura!$M$4:$O$500,3,0)</f>
        <v>M-1064</v>
      </c>
    </row>
    <row r="553" spans="1:27" ht="57.6" x14ac:dyDescent="0.3">
      <c r="A553" s="21" t="s">
        <v>1057</v>
      </c>
      <c r="B553" s="23">
        <f t="shared" si="237"/>
        <v>990</v>
      </c>
      <c r="C553" s="24" t="str">
        <f t="shared" si="238"/>
        <v>Agencia Información</v>
      </c>
      <c r="D553" s="72" t="str">
        <f t="shared" si="231"/>
        <v>Salud</v>
      </c>
      <c r="E553" s="19">
        <v>14</v>
      </c>
      <c r="F553" s="69" t="s">
        <v>5164</v>
      </c>
      <c r="G553" s="18" t="s">
        <v>569</v>
      </c>
      <c r="H553" s="33" t="s">
        <v>16</v>
      </c>
      <c r="I553" s="34" t="s">
        <v>381</v>
      </c>
      <c r="J553" s="9" t="str">
        <f t="shared" si="236"/>
        <v>Comuna</v>
      </c>
      <c r="K553" s="9" t="str">
        <f t="shared" si="232"/>
        <v>Fallecidos por 1 millón de habitantes</v>
      </c>
      <c r="L553" s="9" t="str">
        <f t="shared" si="233"/>
        <v>Periodo 2020-2021</v>
      </c>
      <c r="M553" s="9" t="str">
        <f t="shared" si="234"/>
        <v>Número de fallecidos</v>
      </c>
      <c r="N553" s="9" t="str">
        <f t="shared" si="235"/>
        <v>Ministerio de Ciencia, Tecnología, Conocimiento e Innovación</v>
      </c>
      <c r="O553" s="20" t="str">
        <f>+"Evolución de número de fallecidos por 1 millón de habitantes por comuna en la "&amp;I553&amp;" durante el "&amp;Agencia[[#This Row],[temporalidad]]</f>
        <v>Evolución de número de fallecidos por 1 millón de habitantes por comuna en la Región de Los Ríos durante el Periodo 2020-2021</v>
      </c>
      <c r="P553" s="120" t="s">
        <v>5390</v>
      </c>
      <c r="Q553" s="11" t="str">
        <f t="shared" si="223"/>
        <v>Gráfico de Evolución</v>
      </c>
      <c r="R553" s="148" t="str">
        <f>Agencia[[#This Row],[territorio]]&amp;",comuna,casos activos,recuperados,acumulados,evolución,"&amp;Agencia[[#This Row],[coleccion]]&amp;","&amp;Agencia[[#This Row],[sector]]&amp;","&amp;Agencia[[#This Row],[tema]]&amp;","&amp;Agencia[[#This Row],[contenido]]</f>
        <v>Región de Los Ríos,comuna,casos activos,recuperados,acumulados,evolución,Agencia Información,Salud,Fallecidos,COVID-19</v>
      </c>
      <c r="S553" s="83" t="str">
        <f>HYPERLINK("https://analytics.zoho.com/open-view/2395394000009055140?ZOHO_CRITERIA=%22Localiza_CL_Poblacion%22.%22Codreg%22%20%3D%20"&amp;Agencia[[#This Row],[Filtro URL]])</f>
        <v>https://analytics.zoho.com/open-view/2395394000009055140?ZOHO_CRITERIA=%22Localiza_CL_Poblacion%22.%22Codreg%22%20%3D%2014</v>
      </c>
      <c r="T553" s="111" t="str">
        <f>"100-C-"&amp;Agencia[[#This Row],[Filtro URL]]</f>
        <v>100-C-14</v>
      </c>
      <c r="U553" s="46" t="str">
        <f t="shared" si="224"/>
        <v>#1774B9</v>
      </c>
      <c r="V553" s="93" t="str">
        <f>+Agencia[[#This Row],[idcoleccion]]&amp;"-"&amp;Agencia[[#This Row],[id]]</f>
        <v>990-0542</v>
      </c>
      <c r="W553" s="93">
        <f>+VLOOKUP(Agencia[[#This Row],[Filtro URL]],Estructura!$X$4:$Y$500,2,0)</f>
        <v>99200014</v>
      </c>
      <c r="X553" s="93" t="str">
        <f>+VLOOKUP(Agencia[[#This Row],[tema]],Estructura!$A$4:$C$500,3,0)</f>
        <v>T-1008</v>
      </c>
      <c r="Y553" s="93" t="str">
        <f>+VLOOKUP(Agencia[[#This Row],[contenido]],Estructura!$E$4:$G$500,3,0)</f>
        <v>C-991</v>
      </c>
      <c r="Z553" s="93" t="str">
        <f>+VLOOKUP(Agencia[[#This Row],[Filtro Integrado]],Estructura!$I$4:$K$500,3,0)</f>
        <v>FI-991</v>
      </c>
      <c r="AA553" s="93" t="str">
        <f>+VLOOKUP(Agencia[[#This Row],[Muestra]],Estructura!$M$4:$O$500,3,0)</f>
        <v>M-1064</v>
      </c>
    </row>
    <row r="554" spans="1:27" ht="57.6" x14ac:dyDescent="0.3">
      <c r="A554" s="21" t="s">
        <v>1058</v>
      </c>
      <c r="B554" s="23">
        <f t="shared" si="237"/>
        <v>990</v>
      </c>
      <c r="C554" s="24" t="str">
        <f t="shared" si="238"/>
        <v>Agencia Información</v>
      </c>
      <c r="D554" s="72" t="str">
        <f t="shared" si="231"/>
        <v>Salud</v>
      </c>
      <c r="E554" s="19">
        <v>15</v>
      </c>
      <c r="F554" s="69" t="s">
        <v>5164</v>
      </c>
      <c r="G554" s="18" t="s">
        <v>569</v>
      </c>
      <c r="H554" s="33" t="s">
        <v>16</v>
      </c>
      <c r="I554" s="34" t="s">
        <v>382</v>
      </c>
      <c r="J554" s="9" t="str">
        <f t="shared" si="236"/>
        <v>Comuna</v>
      </c>
      <c r="K554" s="9" t="str">
        <f t="shared" si="232"/>
        <v>Fallecidos por 1 millón de habitantes</v>
      </c>
      <c r="L554" s="9" t="str">
        <f t="shared" si="233"/>
        <v>Periodo 2020-2021</v>
      </c>
      <c r="M554" s="9" t="str">
        <f t="shared" si="234"/>
        <v>Número de fallecidos</v>
      </c>
      <c r="N554" s="9" t="str">
        <f t="shared" si="235"/>
        <v>Ministerio de Ciencia, Tecnología, Conocimiento e Innovación</v>
      </c>
      <c r="O554" s="20" t="str">
        <f>+"Evolución de número de fallecidos por 1 millón de habitantes por comuna en la "&amp;I554&amp;" durante el "&amp;Agencia[[#This Row],[temporalidad]]</f>
        <v>Evolución de número de fallecidos por 1 millón de habitantes por comuna en la Región de Arica y Parinacota durante el Periodo 2020-2021</v>
      </c>
      <c r="P554" s="120" t="s">
        <v>5391</v>
      </c>
      <c r="Q554" s="11" t="str">
        <f t="shared" si="223"/>
        <v>Gráfico de Evolución</v>
      </c>
      <c r="R554" s="148" t="str">
        <f>Agencia[[#This Row],[territorio]]&amp;",comuna,casos activos,recuperados,acumulados,evolución,"&amp;Agencia[[#This Row],[coleccion]]&amp;","&amp;Agencia[[#This Row],[sector]]&amp;","&amp;Agencia[[#This Row],[tema]]&amp;","&amp;Agencia[[#This Row],[contenido]]</f>
        <v>Región de Arica y Parinacota,comuna,casos activos,recuperados,acumulados,evolución,Agencia Información,Salud,Fallecidos,COVID-19</v>
      </c>
      <c r="S554" s="83" t="str">
        <f>HYPERLINK("https://analytics.zoho.com/open-view/2395394000009055140?ZOHO_CRITERIA=%22Localiza_CL_Poblacion%22.%22Codreg%22%20%3D%20"&amp;Agencia[[#This Row],[Filtro URL]])</f>
        <v>https://analytics.zoho.com/open-view/2395394000009055140?ZOHO_CRITERIA=%22Localiza_CL_Poblacion%22.%22Codreg%22%20%3D%2015</v>
      </c>
      <c r="T554" s="111" t="str">
        <f>"100-C-"&amp;Agencia[[#This Row],[Filtro URL]]</f>
        <v>100-C-15</v>
      </c>
      <c r="U554" s="46" t="str">
        <f t="shared" si="224"/>
        <v>#1774B9</v>
      </c>
      <c r="V554" s="93" t="str">
        <f>+Agencia[[#This Row],[idcoleccion]]&amp;"-"&amp;Agencia[[#This Row],[id]]</f>
        <v>990-0543</v>
      </c>
      <c r="W554" s="93">
        <f>+VLOOKUP(Agencia[[#This Row],[Filtro URL]],Estructura!$X$4:$Y$500,2,0)</f>
        <v>99200015</v>
      </c>
      <c r="X554" s="93" t="str">
        <f>+VLOOKUP(Agencia[[#This Row],[tema]],Estructura!$A$4:$C$500,3,0)</f>
        <v>T-1008</v>
      </c>
      <c r="Y554" s="93" t="str">
        <f>+VLOOKUP(Agencia[[#This Row],[contenido]],Estructura!$E$4:$G$500,3,0)</f>
        <v>C-991</v>
      </c>
      <c r="Z554" s="93" t="str">
        <f>+VLOOKUP(Agencia[[#This Row],[Filtro Integrado]],Estructura!$I$4:$K$500,3,0)</f>
        <v>FI-991</v>
      </c>
      <c r="AA554" s="93" t="str">
        <f>+VLOOKUP(Agencia[[#This Row],[Muestra]],Estructura!$M$4:$O$500,3,0)</f>
        <v>M-1064</v>
      </c>
    </row>
    <row r="555" spans="1:27" ht="57.6" x14ac:dyDescent="0.3">
      <c r="A555" s="21" t="s">
        <v>1059</v>
      </c>
      <c r="B555" s="23">
        <f t="shared" si="237"/>
        <v>990</v>
      </c>
      <c r="C555" s="24" t="str">
        <f t="shared" si="238"/>
        <v>Agencia Información</v>
      </c>
      <c r="D555" s="72" t="str">
        <f t="shared" si="231"/>
        <v>Salud</v>
      </c>
      <c r="E555" s="19">
        <v>16</v>
      </c>
      <c r="F555" s="69" t="s">
        <v>5164</v>
      </c>
      <c r="G555" s="18" t="s">
        <v>569</v>
      </c>
      <c r="H555" s="33" t="s">
        <v>16</v>
      </c>
      <c r="I555" s="34" t="s">
        <v>383</v>
      </c>
      <c r="J555" s="9" t="str">
        <f t="shared" si="236"/>
        <v>Comuna</v>
      </c>
      <c r="K555" s="9" t="str">
        <f t="shared" si="232"/>
        <v>Fallecidos por 1 millón de habitantes</v>
      </c>
      <c r="L555" s="9" t="str">
        <f t="shared" si="233"/>
        <v>Periodo 2020-2021</v>
      </c>
      <c r="M555" s="9" t="str">
        <f t="shared" si="234"/>
        <v>Número de fallecidos</v>
      </c>
      <c r="N555" s="9" t="str">
        <f t="shared" si="235"/>
        <v>Ministerio de Ciencia, Tecnología, Conocimiento e Innovación</v>
      </c>
      <c r="O555" s="20" t="str">
        <f>+"Evolución de número de fallecidos por 1 millón de habitantes por comuna en la "&amp;I555&amp;" durante el "&amp;Agencia[[#This Row],[temporalidad]]</f>
        <v>Evolución de número de fallecidos por 1 millón de habitantes por comuna en la Región de Ñuble durante el Periodo 2020-2021</v>
      </c>
      <c r="P555" s="120" t="s">
        <v>5392</v>
      </c>
      <c r="Q555" s="11" t="str">
        <f t="shared" si="223"/>
        <v>Gráfico de Evolución</v>
      </c>
      <c r="R555" s="148" t="str">
        <f>Agencia[[#This Row],[territorio]]&amp;",comuna,casos activos,recuperados,acumulados,evolución,"&amp;Agencia[[#This Row],[coleccion]]&amp;","&amp;Agencia[[#This Row],[sector]]&amp;","&amp;Agencia[[#This Row],[tema]]&amp;","&amp;Agencia[[#This Row],[contenido]]</f>
        <v>Región de Ñuble,comuna,casos activos,recuperados,acumulados,evolución,Agencia Información,Salud,Fallecidos,COVID-19</v>
      </c>
      <c r="S555" s="83" t="str">
        <f>HYPERLINK("https://analytics.zoho.com/open-view/2395394000009055140?ZOHO_CRITERIA=%22Localiza_CL_Poblacion%22.%22Codreg%22%20%3D%20"&amp;Agencia[[#This Row],[Filtro URL]])</f>
        <v>https://analytics.zoho.com/open-view/2395394000009055140?ZOHO_CRITERIA=%22Localiza_CL_Poblacion%22.%22Codreg%22%20%3D%2016</v>
      </c>
      <c r="T555" s="111" t="str">
        <f>"100-C-"&amp;Agencia[[#This Row],[Filtro URL]]</f>
        <v>100-C-16</v>
      </c>
      <c r="U555" s="46" t="str">
        <f t="shared" si="224"/>
        <v>#1774B9</v>
      </c>
      <c r="V555" s="93" t="str">
        <f>+Agencia[[#This Row],[idcoleccion]]&amp;"-"&amp;Agencia[[#This Row],[id]]</f>
        <v>990-0544</v>
      </c>
      <c r="W555" s="93">
        <f>+VLOOKUP(Agencia[[#This Row],[Filtro URL]],Estructura!$X$4:$Y$500,2,0)</f>
        <v>99200016</v>
      </c>
      <c r="X555" s="93" t="str">
        <f>+VLOOKUP(Agencia[[#This Row],[tema]],Estructura!$A$4:$C$500,3,0)</f>
        <v>T-1008</v>
      </c>
      <c r="Y555" s="93" t="str">
        <f>+VLOOKUP(Agencia[[#This Row],[contenido]],Estructura!$E$4:$G$500,3,0)</f>
        <v>C-991</v>
      </c>
      <c r="Z555" s="93" t="str">
        <f>+VLOOKUP(Agencia[[#This Row],[Filtro Integrado]],Estructura!$I$4:$K$500,3,0)</f>
        <v>FI-991</v>
      </c>
      <c r="AA555" s="93" t="str">
        <f>+VLOOKUP(Agencia[[#This Row],[Muestra]],Estructura!$M$4:$O$500,3,0)</f>
        <v>M-1064</v>
      </c>
    </row>
    <row r="556" spans="1:27" ht="51" x14ac:dyDescent="0.3">
      <c r="A556" s="21" t="s">
        <v>1060</v>
      </c>
      <c r="B556" s="23">
        <f t="shared" si="237"/>
        <v>990</v>
      </c>
      <c r="C556" s="24" t="str">
        <f t="shared" si="238"/>
        <v>Agencia Información</v>
      </c>
      <c r="D556" s="72" t="s">
        <v>14</v>
      </c>
      <c r="E556" s="14">
        <v>0</v>
      </c>
      <c r="F556" s="18" t="s">
        <v>1421</v>
      </c>
      <c r="G556" s="18" t="s">
        <v>4290</v>
      </c>
      <c r="H556" s="31" t="s">
        <v>20</v>
      </c>
      <c r="I556" s="32" t="s">
        <v>15</v>
      </c>
      <c r="J556" s="9" t="s">
        <v>956</v>
      </c>
      <c r="K556" s="9" t="s">
        <v>9297</v>
      </c>
      <c r="L556" s="9" t="s">
        <v>1452</v>
      </c>
      <c r="M556" s="9" t="s">
        <v>1425</v>
      </c>
      <c r="N556" s="9" t="s">
        <v>1422</v>
      </c>
      <c r="O556" s="20" t="str">
        <f>+"Evolución de Puntaje SIMCE de Lectura por Dependencia de Establecimientos para 2° Medio en "&amp;I556&amp;", "&amp;Agencia[[#This Row],[temporalidad]]</f>
        <v>Evolución de Puntaje SIMCE de Lectura por Dependencia de Establecimientos para 2° Medio en Chile, Periodo 2015-2018</v>
      </c>
      <c r="P556" s="112" t="s">
        <v>6164</v>
      </c>
      <c r="Q556" s="11" t="s">
        <v>784</v>
      </c>
      <c r="R556" s="20" t="str">
        <f>Agencia[[#This Row],[territorio]]&amp;",educación media,segundo medio,puntaje,lectura,municipal,subvencionado,corporación,lenguaje,particular,"&amp;Agencia[[#This Row],[coleccion]]&amp;","&amp;Agencia[[#This Row],[sector]]&amp;","&amp;Agencia[[#This Row],[tema]]&amp;","&amp;Agencia[[#This Row],[contenido]]</f>
        <v>Chile,educación media,segundo medio,puntaje,lectura,municipal,subvencionado,corporación,lenguaje,particular,Agencia Información,Educación,SIMCE,Métricas de la Educación</v>
      </c>
      <c r="S556" s="37" t="s">
        <v>1454</v>
      </c>
      <c r="T556" s="108" t="s">
        <v>957</v>
      </c>
      <c r="U556" s="46" t="str">
        <f t="shared" si="224"/>
        <v>#1774B9</v>
      </c>
      <c r="V556" s="93" t="str">
        <f>+Agencia[[#This Row],[idcoleccion]]&amp;"-"&amp;Agencia[[#This Row],[id]]</f>
        <v>990-0545</v>
      </c>
      <c r="W556" s="93">
        <f>+VLOOKUP(Agencia[[#This Row],[Filtro URL]],Estructura!$X$4:$Y$500,2,0)</f>
        <v>99100000</v>
      </c>
      <c r="X556" s="93" t="str">
        <f>+VLOOKUP(Agencia[[#This Row],[tema]],Estructura!$A$4:$C$500,3,0)</f>
        <v>T-1032</v>
      </c>
      <c r="Y556" s="93" t="str">
        <f>+VLOOKUP(Agencia[[#This Row],[contenido]],Estructura!$E$4:$G$500,3,0)</f>
        <v>C-1018</v>
      </c>
      <c r="Z556" s="93" t="str">
        <f>+VLOOKUP(Agencia[[#This Row],[Filtro Integrado]],Estructura!$I$4:$K$500,3,0)</f>
        <v>FI-994</v>
      </c>
      <c r="AA556" s="93" t="str">
        <f>+VLOOKUP(Agencia[[#This Row],[Muestra]],Estructura!$M$4:$O$500,3,0)</f>
        <v>M-1061</v>
      </c>
    </row>
    <row r="557" spans="1:27" ht="57.6" x14ac:dyDescent="0.3">
      <c r="A557" s="21" t="s">
        <v>1061</v>
      </c>
      <c r="B557" s="23">
        <f t="shared" si="237"/>
        <v>990</v>
      </c>
      <c r="C557" s="24" t="str">
        <f t="shared" si="238"/>
        <v>Agencia Información</v>
      </c>
      <c r="D557" s="72" t="str">
        <f t="shared" ref="D557:D572" si="239">+D556</f>
        <v>Educación</v>
      </c>
      <c r="E557" s="19">
        <v>1</v>
      </c>
      <c r="F557" s="18" t="s">
        <v>1421</v>
      </c>
      <c r="G557" s="18" t="s">
        <v>4290</v>
      </c>
      <c r="H557" s="33" t="s">
        <v>16</v>
      </c>
      <c r="I557" s="34" t="s">
        <v>368</v>
      </c>
      <c r="J557" s="9" t="s">
        <v>18</v>
      </c>
      <c r="K557" s="9" t="str">
        <f t="shared" ref="K557:K572" si="240">+K556</f>
        <v>Puntaje promedio</v>
      </c>
      <c r="L557" s="9" t="str">
        <f t="shared" ref="L557:L572" si="241">+L556</f>
        <v>Periodo 2015-2018</v>
      </c>
      <c r="M557" s="9" t="str">
        <f t="shared" ref="M557:M572" si="242">+M556</f>
        <v>Puntaje</v>
      </c>
      <c r="N557" s="9" t="str">
        <f t="shared" ref="N557:N572" si="243">+N556</f>
        <v>Agencia de Calidad de la Educación</v>
      </c>
      <c r="O557" s="20" t="str">
        <f>+"Evolución de Puntaje SIMCE de Lectura por Dependencia de Establecimientos para 2° Medio en la "&amp;I557&amp;", "&amp;Agencia[[#This Row],[temporalidad]]</f>
        <v>Evolución de Puntaje SIMCE de Lectura por Dependencia de Establecimientos para 2° Medio en la Región de Tarapacá, Periodo 2015-2018</v>
      </c>
      <c r="P557" s="112" t="s">
        <v>6247</v>
      </c>
      <c r="Q557" s="11" t="str">
        <f t="shared" si="223"/>
        <v>Gráfico de Evolución</v>
      </c>
      <c r="R557" s="148" t="str">
        <f>Agencia[[#This Row],[territorio]]&amp;",educación media,segundo medio,puntaje,lectura,municipal,subvencionado,corporación,lenguaje,particular,"&amp;Agencia[[#This Row],[coleccion]]&amp;","&amp;Agencia[[#This Row],[sector]]&amp;","&amp;Agencia[[#This Row],[tema]]&amp;","&amp;Agencia[[#This Row],[contenido]]</f>
        <v>Región de Tarapacá,educación media,segundo medio,puntaje,lectura,municipal,subvencionado,corporación,lenguaje,particular,Agencia Información,Educación,SIMCE,Métricas de la Educación</v>
      </c>
      <c r="S557" s="83" t="str">
        <f>HYPERLINK("https://analytics.zoho.com/open-view/2395394000009042568?ZOHO_CRITERIA=%22Localiza%20CL%22.%22Codreg%22%3D"&amp;Agencia[[#This Row],[Filtro URL]])</f>
        <v>https://analytics.zoho.com/open-view/2395394000009042568?ZOHO_CRITERIA=%22Localiza%20CL%22.%22Codreg%22%3D1</v>
      </c>
      <c r="T557" s="111" t="str">
        <f>"100-C-"&amp;Agencia[[#This Row],[Filtro URL]]</f>
        <v>100-C-1</v>
      </c>
      <c r="U557" s="46" t="str">
        <f t="shared" si="224"/>
        <v>#1774B9</v>
      </c>
      <c r="V557" s="93" t="str">
        <f>+Agencia[[#This Row],[idcoleccion]]&amp;"-"&amp;Agencia[[#This Row],[id]]</f>
        <v>990-0546</v>
      </c>
      <c r="W557" s="93">
        <f>+VLOOKUP(Agencia[[#This Row],[Filtro URL]],Estructura!$X$4:$Y$500,2,0)</f>
        <v>99200001</v>
      </c>
      <c r="X557" s="93" t="str">
        <f>+VLOOKUP(Agencia[[#This Row],[tema]],Estructura!$A$4:$C$500,3,0)</f>
        <v>T-1032</v>
      </c>
      <c r="Y557" s="93" t="str">
        <f>+VLOOKUP(Agencia[[#This Row],[contenido]],Estructura!$E$4:$G$500,3,0)</f>
        <v>C-1018</v>
      </c>
      <c r="Z557" s="93" t="str">
        <f>+VLOOKUP(Agencia[[#This Row],[Filtro Integrado]],Estructura!$I$4:$K$500,3,0)</f>
        <v>FI-991</v>
      </c>
      <c r="AA557" s="93" t="str">
        <f>+VLOOKUP(Agencia[[#This Row],[Muestra]],Estructura!$M$4:$O$500,3,0)</f>
        <v>M-1061</v>
      </c>
    </row>
    <row r="558" spans="1:27" ht="57.6" x14ac:dyDescent="0.3">
      <c r="A558" s="21" t="s">
        <v>1062</v>
      </c>
      <c r="B558" s="23">
        <f t="shared" si="237"/>
        <v>990</v>
      </c>
      <c r="C558" s="24" t="str">
        <f t="shared" si="238"/>
        <v>Agencia Información</v>
      </c>
      <c r="D558" s="72" t="str">
        <f t="shared" si="239"/>
        <v>Educación</v>
      </c>
      <c r="E558" s="19">
        <v>2</v>
      </c>
      <c r="F558" s="18" t="s">
        <v>1421</v>
      </c>
      <c r="G558" s="18" t="s">
        <v>4290</v>
      </c>
      <c r="H558" s="33" t="s">
        <v>16</v>
      </c>
      <c r="I558" s="34" t="s">
        <v>369</v>
      </c>
      <c r="J558" s="9" t="str">
        <f t="shared" ref="J558:J572" si="244">+J557</f>
        <v>Comuna</v>
      </c>
      <c r="K558" s="9" t="str">
        <f t="shared" si="240"/>
        <v>Puntaje promedio</v>
      </c>
      <c r="L558" s="9" t="str">
        <f t="shared" si="241"/>
        <v>Periodo 2015-2018</v>
      </c>
      <c r="M558" s="9" t="str">
        <f t="shared" si="242"/>
        <v>Puntaje</v>
      </c>
      <c r="N558" s="9" t="str">
        <f t="shared" si="243"/>
        <v>Agencia de Calidad de la Educación</v>
      </c>
      <c r="O558" s="20" t="str">
        <f>+"Evolución de Puntaje SIMCE de Lectura por Dependencia de Establecimientos para 2° Medio en la "&amp;I558&amp;", "&amp;Agencia[[#This Row],[temporalidad]]</f>
        <v>Evolución de Puntaje SIMCE de Lectura por Dependencia de Establecimientos para 2° Medio en la Región de Antofagasta, Periodo 2015-2018</v>
      </c>
      <c r="P558" s="112" t="s">
        <v>6248</v>
      </c>
      <c r="Q558" s="11" t="str">
        <f t="shared" si="223"/>
        <v>Gráfico de Evolución</v>
      </c>
      <c r="R558" s="148" t="str">
        <f>Agencia[[#This Row],[territorio]]&amp;",educación media,segundo medio,puntaje,lectura,municipal,subvencionado,corporación,lenguaje,particular,"&amp;Agencia[[#This Row],[coleccion]]&amp;","&amp;Agencia[[#This Row],[sector]]&amp;","&amp;Agencia[[#This Row],[tema]]&amp;","&amp;Agencia[[#This Row],[contenido]]</f>
        <v>Región de Antofagasta,educación media,segundo medio,puntaje,lectura,municipal,subvencionado,corporación,lenguaje,particular,Agencia Información,Educación,SIMCE,Métricas de la Educación</v>
      </c>
      <c r="S558" s="83" t="str">
        <f>HYPERLINK("https://analytics.zoho.com/open-view/2395394000009042568?ZOHO_CRITERIA=%22Localiza%20CL%22.%22Codreg%22%3D"&amp;Agencia[[#This Row],[Filtro URL]])</f>
        <v>https://analytics.zoho.com/open-view/2395394000009042568?ZOHO_CRITERIA=%22Localiza%20CL%22.%22Codreg%22%3D2</v>
      </c>
      <c r="T558" s="111" t="str">
        <f>"100-C-"&amp;Agencia[[#This Row],[Filtro URL]]</f>
        <v>100-C-2</v>
      </c>
      <c r="U558" s="46" t="str">
        <f t="shared" si="224"/>
        <v>#1774B9</v>
      </c>
      <c r="V558" s="93" t="str">
        <f>+Agencia[[#This Row],[idcoleccion]]&amp;"-"&amp;Agencia[[#This Row],[id]]</f>
        <v>990-0547</v>
      </c>
      <c r="W558" s="93">
        <f>+VLOOKUP(Agencia[[#This Row],[Filtro URL]],Estructura!$X$4:$Y$500,2,0)</f>
        <v>99200002</v>
      </c>
      <c r="X558" s="93" t="str">
        <f>+VLOOKUP(Agencia[[#This Row],[tema]],Estructura!$A$4:$C$500,3,0)</f>
        <v>T-1032</v>
      </c>
      <c r="Y558" s="93" t="str">
        <f>+VLOOKUP(Agencia[[#This Row],[contenido]],Estructura!$E$4:$G$500,3,0)</f>
        <v>C-1018</v>
      </c>
      <c r="Z558" s="93" t="str">
        <f>+VLOOKUP(Agencia[[#This Row],[Filtro Integrado]],Estructura!$I$4:$K$500,3,0)</f>
        <v>FI-991</v>
      </c>
      <c r="AA558" s="93" t="str">
        <f>+VLOOKUP(Agencia[[#This Row],[Muestra]],Estructura!$M$4:$O$500,3,0)</f>
        <v>M-1061</v>
      </c>
    </row>
    <row r="559" spans="1:27" ht="57.6" x14ac:dyDescent="0.3">
      <c r="A559" s="21" t="s">
        <v>1063</v>
      </c>
      <c r="B559" s="23">
        <f t="shared" si="237"/>
        <v>990</v>
      </c>
      <c r="C559" s="24" t="str">
        <f t="shared" si="238"/>
        <v>Agencia Información</v>
      </c>
      <c r="D559" s="72" t="str">
        <f t="shared" si="239"/>
        <v>Educación</v>
      </c>
      <c r="E559" s="19">
        <v>3</v>
      </c>
      <c r="F559" s="18" t="s">
        <v>1421</v>
      </c>
      <c r="G559" s="18" t="s">
        <v>4290</v>
      </c>
      <c r="H559" s="33" t="s">
        <v>16</v>
      </c>
      <c r="I559" s="34" t="s">
        <v>370</v>
      </c>
      <c r="J559" s="9" t="str">
        <f t="shared" si="244"/>
        <v>Comuna</v>
      </c>
      <c r="K559" s="9" t="str">
        <f t="shared" si="240"/>
        <v>Puntaje promedio</v>
      </c>
      <c r="L559" s="9" t="str">
        <f t="shared" si="241"/>
        <v>Periodo 2015-2018</v>
      </c>
      <c r="M559" s="9" t="str">
        <f t="shared" si="242"/>
        <v>Puntaje</v>
      </c>
      <c r="N559" s="9" t="str">
        <f t="shared" si="243"/>
        <v>Agencia de Calidad de la Educación</v>
      </c>
      <c r="O559" s="20" t="str">
        <f>+"Evolución de Puntaje SIMCE de Lectura por Dependencia de Establecimientos para 2° Medio en la "&amp;I559&amp;", "&amp;Agencia[[#This Row],[temporalidad]]</f>
        <v>Evolución de Puntaje SIMCE de Lectura por Dependencia de Establecimientos para 2° Medio en la Región de Atacama, Periodo 2015-2018</v>
      </c>
      <c r="P559" s="112" t="s">
        <v>6249</v>
      </c>
      <c r="Q559" s="11" t="str">
        <f t="shared" si="223"/>
        <v>Gráfico de Evolución</v>
      </c>
      <c r="R559" s="148" t="str">
        <f>Agencia[[#This Row],[territorio]]&amp;",educación media,segundo medio,puntaje,lectura,municipal,subvencionado,corporación,lenguaje,particular,"&amp;Agencia[[#This Row],[coleccion]]&amp;","&amp;Agencia[[#This Row],[sector]]&amp;","&amp;Agencia[[#This Row],[tema]]&amp;","&amp;Agencia[[#This Row],[contenido]]</f>
        <v>Región de Atacama,educación media,segundo medio,puntaje,lectura,municipal,subvencionado,corporación,lenguaje,particular,Agencia Información,Educación,SIMCE,Métricas de la Educación</v>
      </c>
      <c r="S559" s="83" t="str">
        <f>HYPERLINK("https://analytics.zoho.com/open-view/2395394000009042568?ZOHO_CRITERIA=%22Localiza%20CL%22.%22Codreg%22%3D"&amp;Agencia[[#This Row],[Filtro URL]])</f>
        <v>https://analytics.zoho.com/open-view/2395394000009042568?ZOHO_CRITERIA=%22Localiza%20CL%22.%22Codreg%22%3D3</v>
      </c>
      <c r="T559" s="111" t="str">
        <f>"100-C-"&amp;Agencia[[#This Row],[Filtro URL]]</f>
        <v>100-C-3</v>
      </c>
      <c r="U559" s="46" t="str">
        <f t="shared" si="224"/>
        <v>#1774B9</v>
      </c>
      <c r="V559" s="93" t="str">
        <f>+Agencia[[#This Row],[idcoleccion]]&amp;"-"&amp;Agencia[[#This Row],[id]]</f>
        <v>990-0548</v>
      </c>
      <c r="W559" s="93">
        <f>+VLOOKUP(Agencia[[#This Row],[Filtro URL]],Estructura!$X$4:$Y$500,2,0)</f>
        <v>99200003</v>
      </c>
      <c r="X559" s="93" t="str">
        <f>+VLOOKUP(Agencia[[#This Row],[tema]],Estructura!$A$4:$C$500,3,0)</f>
        <v>T-1032</v>
      </c>
      <c r="Y559" s="93" t="str">
        <f>+VLOOKUP(Agencia[[#This Row],[contenido]],Estructura!$E$4:$G$500,3,0)</f>
        <v>C-1018</v>
      </c>
      <c r="Z559" s="93" t="str">
        <f>+VLOOKUP(Agencia[[#This Row],[Filtro Integrado]],Estructura!$I$4:$K$500,3,0)</f>
        <v>FI-991</v>
      </c>
      <c r="AA559" s="93" t="str">
        <f>+VLOOKUP(Agencia[[#This Row],[Muestra]],Estructura!$M$4:$O$500,3,0)</f>
        <v>M-1061</v>
      </c>
    </row>
    <row r="560" spans="1:27" ht="57.6" x14ac:dyDescent="0.3">
      <c r="A560" s="21" t="s">
        <v>1064</v>
      </c>
      <c r="B560" s="23">
        <f t="shared" si="237"/>
        <v>990</v>
      </c>
      <c r="C560" s="24" t="str">
        <f t="shared" si="238"/>
        <v>Agencia Información</v>
      </c>
      <c r="D560" s="72" t="str">
        <f t="shared" si="239"/>
        <v>Educación</v>
      </c>
      <c r="E560" s="19">
        <v>4</v>
      </c>
      <c r="F560" s="18" t="s">
        <v>1421</v>
      </c>
      <c r="G560" s="18" t="s">
        <v>4290</v>
      </c>
      <c r="H560" s="33" t="s">
        <v>16</v>
      </c>
      <c r="I560" s="34" t="s">
        <v>371</v>
      </c>
      <c r="J560" s="9" t="str">
        <f t="shared" si="244"/>
        <v>Comuna</v>
      </c>
      <c r="K560" s="9" t="str">
        <f t="shared" si="240"/>
        <v>Puntaje promedio</v>
      </c>
      <c r="L560" s="9" t="str">
        <f t="shared" si="241"/>
        <v>Periodo 2015-2018</v>
      </c>
      <c r="M560" s="9" t="str">
        <f t="shared" si="242"/>
        <v>Puntaje</v>
      </c>
      <c r="N560" s="9" t="str">
        <f t="shared" si="243"/>
        <v>Agencia de Calidad de la Educación</v>
      </c>
      <c r="O560" s="20" t="str">
        <f>+"Evolución de Puntaje SIMCE de Lectura por Dependencia de Establecimientos para 2° Medio en la "&amp;I560&amp;", "&amp;Agencia[[#This Row],[temporalidad]]</f>
        <v>Evolución de Puntaje SIMCE de Lectura por Dependencia de Establecimientos para 2° Medio en la Región de Coquimbo, Periodo 2015-2018</v>
      </c>
      <c r="P560" s="112" t="s">
        <v>6250</v>
      </c>
      <c r="Q560" s="11" t="str">
        <f t="shared" si="223"/>
        <v>Gráfico de Evolución</v>
      </c>
      <c r="R560" s="148" t="str">
        <f>Agencia[[#This Row],[territorio]]&amp;",educación media,segundo medio,puntaje,lectura,municipal,subvencionado,corporación,lenguaje,particular,"&amp;Agencia[[#This Row],[coleccion]]&amp;","&amp;Agencia[[#This Row],[sector]]&amp;","&amp;Agencia[[#This Row],[tema]]&amp;","&amp;Agencia[[#This Row],[contenido]]</f>
        <v>Región de Coquimbo,educación media,segundo medio,puntaje,lectura,municipal,subvencionado,corporación,lenguaje,particular,Agencia Información,Educación,SIMCE,Métricas de la Educación</v>
      </c>
      <c r="S560" s="83" t="str">
        <f>HYPERLINK("https://analytics.zoho.com/open-view/2395394000009042568?ZOHO_CRITERIA=%22Localiza%20CL%22.%22Codreg%22%3D"&amp;Agencia[[#This Row],[Filtro URL]])</f>
        <v>https://analytics.zoho.com/open-view/2395394000009042568?ZOHO_CRITERIA=%22Localiza%20CL%22.%22Codreg%22%3D4</v>
      </c>
      <c r="T560" s="111" t="str">
        <f>"100-C-"&amp;Agencia[[#This Row],[Filtro URL]]</f>
        <v>100-C-4</v>
      </c>
      <c r="U560" s="46" t="str">
        <f t="shared" si="224"/>
        <v>#1774B9</v>
      </c>
      <c r="V560" s="93" t="str">
        <f>+Agencia[[#This Row],[idcoleccion]]&amp;"-"&amp;Agencia[[#This Row],[id]]</f>
        <v>990-0549</v>
      </c>
      <c r="W560" s="93">
        <f>+VLOOKUP(Agencia[[#This Row],[Filtro URL]],Estructura!$X$4:$Y$500,2,0)</f>
        <v>99200004</v>
      </c>
      <c r="X560" s="93" t="str">
        <f>+VLOOKUP(Agencia[[#This Row],[tema]],Estructura!$A$4:$C$500,3,0)</f>
        <v>T-1032</v>
      </c>
      <c r="Y560" s="93" t="str">
        <f>+VLOOKUP(Agencia[[#This Row],[contenido]],Estructura!$E$4:$G$500,3,0)</f>
        <v>C-1018</v>
      </c>
      <c r="Z560" s="93" t="str">
        <f>+VLOOKUP(Agencia[[#This Row],[Filtro Integrado]],Estructura!$I$4:$K$500,3,0)</f>
        <v>FI-991</v>
      </c>
      <c r="AA560" s="93" t="str">
        <f>+VLOOKUP(Agencia[[#This Row],[Muestra]],Estructura!$M$4:$O$500,3,0)</f>
        <v>M-1061</v>
      </c>
    </row>
    <row r="561" spans="1:27" ht="57.6" x14ac:dyDescent="0.3">
      <c r="A561" s="21" t="s">
        <v>1065</v>
      </c>
      <c r="B561" s="23">
        <f t="shared" si="237"/>
        <v>990</v>
      </c>
      <c r="C561" s="24" t="str">
        <f t="shared" si="238"/>
        <v>Agencia Información</v>
      </c>
      <c r="D561" s="72" t="str">
        <f t="shared" si="239"/>
        <v>Educación</v>
      </c>
      <c r="E561" s="19">
        <v>5</v>
      </c>
      <c r="F561" s="18" t="s">
        <v>1421</v>
      </c>
      <c r="G561" s="18" t="s">
        <v>4290</v>
      </c>
      <c r="H561" s="33" t="s">
        <v>16</v>
      </c>
      <c r="I561" s="34" t="s">
        <v>372</v>
      </c>
      <c r="J561" s="9" t="str">
        <f t="shared" si="244"/>
        <v>Comuna</v>
      </c>
      <c r="K561" s="9" t="str">
        <f t="shared" si="240"/>
        <v>Puntaje promedio</v>
      </c>
      <c r="L561" s="9" t="str">
        <f t="shared" si="241"/>
        <v>Periodo 2015-2018</v>
      </c>
      <c r="M561" s="9" t="str">
        <f t="shared" si="242"/>
        <v>Puntaje</v>
      </c>
      <c r="N561" s="9" t="str">
        <f t="shared" si="243"/>
        <v>Agencia de Calidad de la Educación</v>
      </c>
      <c r="O561" s="20" t="str">
        <f>+"Evolución de Puntaje SIMCE de Lectura por Dependencia de Establecimientos para 2° Medio en la "&amp;I561&amp;", "&amp;Agencia[[#This Row],[temporalidad]]</f>
        <v>Evolución de Puntaje SIMCE de Lectura por Dependencia de Establecimientos para 2° Medio en la Región de Valparaíso, Periodo 2015-2018</v>
      </c>
      <c r="P561" s="112" t="s">
        <v>6251</v>
      </c>
      <c r="Q561" s="11" t="str">
        <f t="shared" si="223"/>
        <v>Gráfico de Evolución</v>
      </c>
      <c r="R561" s="148" t="str">
        <f>Agencia[[#This Row],[territorio]]&amp;",educación media,segundo medio,puntaje,lectura,municipal,subvencionado,corporación,lenguaje,particular,"&amp;Agencia[[#This Row],[coleccion]]&amp;","&amp;Agencia[[#This Row],[sector]]&amp;","&amp;Agencia[[#This Row],[tema]]&amp;","&amp;Agencia[[#This Row],[contenido]]</f>
        <v>Región de Valparaíso,educación media,segundo medio,puntaje,lectura,municipal,subvencionado,corporación,lenguaje,particular,Agencia Información,Educación,SIMCE,Métricas de la Educación</v>
      </c>
      <c r="S561" s="83" t="str">
        <f>HYPERLINK("https://analytics.zoho.com/open-view/2395394000009042568?ZOHO_CRITERIA=%22Localiza%20CL%22.%22Codreg%22%3D"&amp;Agencia[[#This Row],[Filtro URL]])</f>
        <v>https://analytics.zoho.com/open-view/2395394000009042568?ZOHO_CRITERIA=%22Localiza%20CL%22.%22Codreg%22%3D5</v>
      </c>
      <c r="T561" s="111" t="str">
        <f>"100-C-"&amp;Agencia[[#This Row],[Filtro URL]]</f>
        <v>100-C-5</v>
      </c>
      <c r="U561" s="46" t="str">
        <f t="shared" si="224"/>
        <v>#1774B9</v>
      </c>
      <c r="V561" s="93" t="str">
        <f>+Agencia[[#This Row],[idcoleccion]]&amp;"-"&amp;Agencia[[#This Row],[id]]</f>
        <v>990-0550</v>
      </c>
      <c r="W561" s="93">
        <f>+VLOOKUP(Agencia[[#This Row],[Filtro URL]],Estructura!$X$4:$Y$500,2,0)</f>
        <v>99200005</v>
      </c>
      <c r="X561" s="93" t="str">
        <f>+VLOOKUP(Agencia[[#This Row],[tema]],Estructura!$A$4:$C$500,3,0)</f>
        <v>T-1032</v>
      </c>
      <c r="Y561" s="93" t="str">
        <f>+VLOOKUP(Agencia[[#This Row],[contenido]],Estructura!$E$4:$G$500,3,0)</f>
        <v>C-1018</v>
      </c>
      <c r="Z561" s="93" t="str">
        <f>+VLOOKUP(Agencia[[#This Row],[Filtro Integrado]],Estructura!$I$4:$K$500,3,0)</f>
        <v>FI-991</v>
      </c>
      <c r="AA561" s="93" t="str">
        <f>+VLOOKUP(Agencia[[#This Row],[Muestra]],Estructura!$M$4:$O$500,3,0)</f>
        <v>M-1061</v>
      </c>
    </row>
    <row r="562" spans="1:27" ht="57.6" x14ac:dyDescent="0.3">
      <c r="A562" s="21" t="s">
        <v>1066</v>
      </c>
      <c r="B562" s="23">
        <f t="shared" si="237"/>
        <v>990</v>
      </c>
      <c r="C562" s="24" t="str">
        <f t="shared" si="238"/>
        <v>Agencia Información</v>
      </c>
      <c r="D562" s="72" t="str">
        <f t="shared" si="239"/>
        <v>Educación</v>
      </c>
      <c r="E562" s="19">
        <v>6</v>
      </c>
      <c r="F562" s="18" t="s">
        <v>1421</v>
      </c>
      <c r="G562" s="18" t="s">
        <v>4290</v>
      </c>
      <c r="H562" s="33" t="s">
        <v>16</v>
      </c>
      <c r="I562" s="34" t="s">
        <v>373</v>
      </c>
      <c r="J562" s="9" t="str">
        <f t="shared" si="244"/>
        <v>Comuna</v>
      </c>
      <c r="K562" s="9" t="str">
        <f t="shared" si="240"/>
        <v>Puntaje promedio</v>
      </c>
      <c r="L562" s="9" t="str">
        <f t="shared" si="241"/>
        <v>Periodo 2015-2018</v>
      </c>
      <c r="M562" s="9" t="str">
        <f t="shared" si="242"/>
        <v>Puntaje</v>
      </c>
      <c r="N562" s="9" t="str">
        <f t="shared" si="243"/>
        <v>Agencia de Calidad de la Educación</v>
      </c>
      <c r="O562" s="20" t="str">
        <f>+"Evolución de Puntaje SIMCE de Lectura por Dependencia de Establecimientos para 2° Medio en la "&amp;I562&amp;", "&amp;Agencia[[#This Row],[temporalidad]]</f>
        <v>Evolución de Puntaje SIMCE de Lectura por Dependencia de Establecimientos para 2° Medio en la Región de O'Higgins, Periodo 2015-2018</v>
      </c>
      <c r="P562" s="112" t="s">
        <v>6252</v>
      </c>
      <c r="Q562" s="11" t="str">
        <f t="shared" si="223"/>
        <v>Gráfico de Evolución</v>
      </c>
      <c r="R562" s="148" t="str">
        <f>Agencia[[#This Row],[territorio]]&amp;",educación media,segundo medio,puntaje,lectura,municipal,subvencionado,corporación,lenguaje,particular,"&amp;Agencia[[#This Row],[coleccion]]&amp;","&amp;Agencia[[#This Row],[sector]]&amp;","&amp;Agencia[[#This Row],[tema]]&amp;","&amp;Agencia[[#This Row],[contenido]]</f>
        <v>Región de O'Higgins,educación media,segundo medio,puntaje,lectura,municipal,subvencionado,corporación,lenguaje,particular,Agencia Información,Educación,SIMCE,Métricas de la Educación</v>
      </c>
      <c r="S562" s="83" t="str">
        <f>HYPERLINK("https://analytics.zoho.com/open-view/2395394000009042568?ZOHO_CRITERIA=%22Localiza%20CL%22.%22Codreg%22%3D"&amp;Agencia[[#This Row],[Filtro URL]])</f>
        <v>https://analytics.zoho.com/open-view/2395394000009042568?ZOHO_CRITERIA=%22Localiza%20CL%22.%22Codreg%22%3D6</v>
      </c>
      <c r="T562" s="111" t="str">
        <f>"100-C-"&amp;Agencia[[#This Row],[Filtro URL]]</f>
        <v>100-C-6</v>
      </c>
      <c r="U562" s="46" t="str">
        <f t="shared" si="224"/>
        <v>#1774B9</v>
      </c>
      <c r="V562" s="93" t="str">
        <f>+Agencia[[#This Row],[idcoleccion]]&amp;"-"&amp;Agencia[[#This Row],[id]]</f>
        <v>990-0551</v>
      </c>
      <c r="W562" s="93">
        <f>+VLOOKUP(Agencia[[#This Row],[Filtro URL]],Estructura!$X$4:$Y$500,2,0)</f>
        <v>99200006</v>
      </c>
      <c r="X562" s="93" t="str">
        <f>+VLOOKUP(Agencia[[#This Row],[tema]],Estructura!$A$4:$C$500,3,0)</f>
        <v>T-1032</v>
      </c>
      <c r="Y562" s="93" t="str">
        <f>+VLOOKUP(Agencia[[#This Row],[contenido]],Estructura!$E$4:$G$500,3,0)</f>
        <v>C-1018</v>
      </c>
      <c r="Z562" s="93" t="str">
        <f>+VLOOKUP(Agencia[[#This Row],[Filtro Integrado]],Estructura!$I$4:$K$500,3,0)</f>
        <v>FI-991</v>
      </c>
      <c r="AA562" s="93" t="str">
        <f>+VLOOKUP(Agencia[[#This Row],[Muestra]],Estructura!$M$4:$O$500,3,0)</f>
        <v>M-1061</v>
      </c>
    </row>
    <row r="563" spans="1:27" ht="57.6" x14ac:dyDescent="0.3">
      <c r="A563" s="21" t="s">
        <v>1067</v>
      </c>
      <c r="B563" s="23">
        <f t="shared" si="237"/>
        <v>990</v>
      </c>
      <c r="C563" s="24" t="str">
        <f t="shared" si="238"/>
        <v>Agencia Información</v>
      </c>
      <c r="D563" s="72" t="str">
        <f t="shared" si="239"/>
        <v>Educación</v>
      </c>
      <c r="E563" s="19">
        <v>7</v>
      </c>
      <c r="F563" s="18" t="s">
        <v>1421</v>
      </c>
      <c r="G563" s="18" t="s">
        <v>4290</v>
      </c>
      <c r="H563" s="33" t="s">
        <v>16</v>
      </c>
      <c r="I563" s="34" t="s">
        <v>374</v>
      </c>
      <c r="J563" s="9" t="str">
        <f t="shared" si="244"/>
        <v>Comuna</v>
      </c>
      <c r="K563" s="9" t="str">
        <f t="shared" si="240"/>
        <v>Puntaje promedio</v>
      </c>
      <c r="L563" s="9" t="str">
        <f t="shared" si="241"/>
        <v>Periodo 2015-2018</v>
      </c>
      <c r="M563" s="9" t="str">
        <f t="shared" si="242"/>
        <v>Puntaje</v>
      </c>
      <c r="N563" s="9" t="str">
        <f t="shared" si="243"/>
        <v>Agencia de Calidad de la Educación</v>
      </c>
      <c r="O563" s="20" t="str">
        <f>+"Evolución de Puntaje SIMCE de Lectura por Dependencia de Establecimientos para 2° Medio en la "&amp;I563&amp;", "&amp;Agencia[[#This Row],[temporalidad]]</f>
        <v>Evolución de Puntaje SIMCE de Lectura por Dependencia de Establecimientos para 2° Medio en la Región de Maule, Periodo 2015-2018</v>
      </c>
      <c r="P563" s="112" t="s">
        <v>6253</v>
      </c>
      <c r="Q563" s="11" t="str">
        <f t="shared" si="223"/>
        <v>Gráfico de Evolución</v>
      </c>
      <c r="R563" s="148" t="str">
        <f>Agencia[[#This Row],[territorio]]&amp;",educación media,segundo medio,puntaje,lectura,municipal,subvencionado,corporación,lenguaje,particular,"&amp;Agencia[[#This Row],[coleccion]]&amp;","&amp;Agencia[[#This Row],[sector]]&amp;","&amp;Agencia[[#This Row],[tema]]&amp;","&amp;Agencia[[#This Row],[contenido]]</f>
        <v>Región de Maule,educación media,segundo medio,puntaje,lectura,municipal,subvencionado,corporación,lenguaje,particular,Agencia Información,Educación,SIMCE,Métricas de la Educación</v>
      </c>
      <c r="S563" s="83" t="str">
        <f>HYPERLINK("https://analytics.zoho.com/open-view/2395394000009042568?ZOHO_CRITERIA=%22Localiza%20CL%22.%22Codreg%22%3D"&amp;Agencia[[#This Row],[Filtro URL]])</f>
        <v>https://analytics.zoho.com/open-view/2395394000009042568?ZOHO_CRITERIA=%22Localiza%20CL%22.%22Codreg%22%3D7</v>
      </c>
      <c r="T563" s="111" t="str">
        <f>"100-C-"&amp;Agencia[[#This Row],[Filtro URL]]</f>
        <v>100-C-7</v>
      </c>
      <c r="U563" s="46" t="str">
        <f t="shared" si="224"/>
        <v>#1774B9</v>
      </c>
      <c r="V563" s="93" t="str">
        <f>+Agencia[[#This Row],[idcoleccion]]&amp;"-"&amp;Agencia[[#This Row],[id]]</f>
        <v>990-0552</v>
      </c>
      <c r="W563" s="93">
        <f>+VLOOKUP(Agencia[[#This Row],[Filtro URL]],Estructura!$X$4:$Y$500,2,0)</f>
        <v>99200007</v>
      </c>
      <c r="X563" s="93" t="str">
        <f>+VLOOKUP(Agencia[[#This Row],[tema]],Estructura!$A$4:$C$500,3,0)</f>
        <v>T-1032</v>
      </c>
      <c r="Y563" s="93" t="str">
        <f>+VLOOKUP(Agencia[[#This Row],[contenido]],Estructura!$E$4:$G$500,3,0)</f>
        <v>C-1018</v>
      </c>
      <c r="Z563" s="93" t="str">
        <f>+VLOOKUP(Agencia[[#This Row],[Filtro Integrado]],Estructura!$I$4:$K$500,3,0)</f>
        <v>FI-991</v>
      </c>
      <c r="AA563" s="93" t="str">
        <f>+VLOOKUP(Agencia[[#This Row],[Muestra]],Estructura!$M$4:$O$500,3,0)</f>
        <v>M-1061</v>
      </c>
    </row>
    <row r="564" spans="1:27" ht="57.6" x14ac:dyDescent="0.3">
      <c r="A564" s="21" t="s">
        <v>1068</v>
      </c>
      <c r="B564" s="23">
        <f t="shared" si="237"/>
        <v>990</v>
      </c>
      <c r="C564" s="24" t="str">
        <f t="shared" si="238"/>
        <v>Agencia Información</v>
      </c>
      <c r="D564" s="72" t="str">
        <f t="shared" si="239"/>
        <v>Educación</v>
      </c>
      <c r="E564" s="19">
        <v>8</v>
      </c>
      <c r="F564" s="18" t="s">
        <v>1421</v>
      </c>
      <c r="G564" s="18" t="s">
        <v>4290</v>
      </c>
      <c r="H564" s="33" t="s">
        <v>16</v>
      </c>
      <c r="I564" s="34" t="s">
        <v>375</v>
      </c>
      <c r="J564" s="9" t="str">
        <f t="shared" si="244"/>
        <v>Comuna</v>
      </c>
      <c r="K564" s="9" t="str">
        <f t="shared" si="240"/>
        <v>Puntaje promedio</v>
      </c>
      <c r="L564" s="9" t="str">
        <f t="shared" si="241"/>
        <v>Periodo 2015-2018</v>
      </c>
      <c r="M564" s="9" t="str">
        <f t="shared" si="242"/>
        <v>Puntaje</v>
      </c>
      <c r="N564" s="9" t="str">
        <f t="shared" si="243"/>
        <v>Agencia de Calidad de la Educación</v>
      </c>
      <c r="O564" s="20" t="str">
        <f>+"Evolución de Puntaje SIMCE de Lectura por Dependencia de Establecimientos para 2° Medio en la "&amp;I564&amp;", "&amp;Agencia[[#This Row],[temporalidad]]</f>
        <v>Evolución de Puntaje SIMCE de Lectura por Dependencia de Establecimientos para 2° Medio en la Región del Biobío, Periodo 2015-2018</v>
      </c>
      <c r="P564" s="112" t="s">
        <v>6254</v>
      </c>
      <c r="Q564" s="11" t="str">
        <f t="shared" si="223"/>
        <v>Gráfico de Evolución</v>
      </c>
      <c r="R564" s="148" t="str">
        <f>Agencia[[#This Row],[territorio]]&amp;",educación media,segundo medio,puntaje,lectura,municipal,subvencionado,corporación,lenguaje,particular,"&amp;Agencia[[#This Row],[coleccion]]&amp;","&amp;Agencia[[#This Row],[sector]]&amp;","&amp;Agencia[[#This Row],[tema]]&amp;","&amp;Agencia[[#This Row],[contenido]]</f>
        <v>Región del Biobío,educación media,segundo medio,puntaje,lectura,municipal,subvencionado,corporación,lenguaje,particular,Agencia Información,Educación,SIMCE,Métricas de la Educación</v>
      </c>
      <c r="S564" s="83" t="str">
        <f>HYPERLINK("https://analytics.zoho.com/open-view/2395394000009042568?ZOHO_CRITERIA=%22Localiza%20CL%22.%22Codreg%22%3D"&amp;Agencia[[#This Row],[Filtro URL]])</f>
        <v>https://analytics.zoho.com/open-view/2395394000009042568?ZOHO_CRITERIA=%22Localiza%20CL%22.%22Codreg%22%3D8</v>
      </c>
      <c r="T564" s="111" t="str">
        <f>"100-C-"&amp;Agencia[[#This Row],[Filtro URL]]</f>
        <v>100-C-8</v>
      </c>
      <c r="U564" s="46" t="str">
        <f t="shared" si="224"/>
        <v>#1774B9</v>
      </c>
      <c r="V564" s="93" t="str">
        <f>+Agencia[[#This Row],[idcoleccion]]&amp;"-"&amp;Agencia[[#This Row],[id]]</f>
        <v>990-0553</v>
      </c>
      <c r="W564" s="93">
        <f>+VLOOKUP(Agencia[[#This Row],[Filtro URL]],Estructura!$X$4:$Y$500,2,0)</f>
        <v>99200008</v>
      </c>
      <c r="X564" s="93" t="str">
        <f>+VLOOKUP(Agencia[[#This Row],[tema]],Estructura!$A$4:$C$500,3,0)</f>
        <v>T-1032</v>
      </c>
      <c r="Y564" s="93" t="str">
        <f>+VLOOKUP(Agencia[[#This Row],[contenido]],Estructura!$E$4:$G$500,3,0)</f>
        <v>C-1018</v>
      </c>
      <c r="Z564" s="93" t="str">
        <f>+VLOOKUP(Agencia[[#This Row],[Filtro Integrado]],Estructura!$I$4:$K$500,3,0)</f>
        <v>FI-991</v>
      </c>
      <c r="AA564" s="93" t="str">
        <f>+VLOOKUP(Agencia[[#This Row],[Muestra]],Estructura!$M$4:$O$500,3,0)</f>
        <v>M-1061</v>
      </c>
    </row>
    <row r="565" spans="1:27" ht="61.2" x14ac:dyDescent="0.3">
      <c r="A565" s="21" t="s">
        <v>1069</v>
      </c>
      <c r="B565" s="23">
        <f t="shared" si="237"/>
        <v>990</v>
      </c>
      <c r="C565" s="24" t="str">
        <f t="shared" si="238"/>
        <v>Agencia Información</v>
      </c>
      <c r="D565" s="72" t="str">
        <f t="shared" si="239"/>
        <v>Educación</v>
      </c>
      <c r="E565" s="19">
        <v>9</v>
      </c>
      <c r="F565" s="18" t="s">
        <v>1421</v>
      </c>
      <c r="G565" s="18" t="s">
        <v>4290</v>
      </c>
      <c r="H565" s="33" t="s">
        <v>16</v>
      </c>
      <c r="I565" s="34" t="s">
        <v>376</v>
      </c>
      <c r="J565" s="9" t="str">
        <f t="shared" si="244"/>
        <v>Comuna</v>
      </c>
      <c r="K565" s="9" t="str">
        <f t="shared" si="240"/>
        <v>Puntaje promedio</v>
      </c>
      <c r="L565" s="9" t="str">
        <f t="shared" si="241"/>
        <v>Periodo 2015-2018</v>
      </c>
      <c r="M565" s="9" t="str">
        <f t="shared" si="242"/>
        <v>Puntaje</v>
      </c>
      <c r="N565" s="9" t="str">
        <f t="shared" si="243"/>
        <v>Agencia de Calidad de la Educación</v>
      </c>
      <c r="O565" s="20" t="str">
        <f>+"Evolución de Puntaje SIMCE de Lectura por Dependencia de Establecimientos para 2° Medio en la "&amp;I565&amp;", "&amp;Agencia[[#This Row],[temporalidad]]</f>
        <v>Evolución de Puntaje SIMCE de Lectura por Dependencia de Establecimientos para 2° Medio en la Región de La Araucanía, Periodo 2015-2018</v>
      </c>
      <c r="P565" s="112" t="s">
        <v>6255</v>
      </c>
      <c r="Q565" s="11" t="str">
        <f t="shared" si="223"/>
        <v>Gráfico de Evolución</v>
      </c>
      <c r="R565" s="148" t="str">
        <f>Agencia[[#This Row],[territorio]]&amp;",educación media,segundo medio,puntaje,lectura,municipal,subvencionado,corporación,lenguaje,particular,"&amp;Agencia[[#This Row],[coleccion]]&amp;","&amp;Agencia[[#This Row],[sector]]&amp;","&amp;Agencia[[#This Row],[tema]]&amp;","&amp;Agencia[[#This Row],[contenido]]</f>
        <v>Región de La Araucanía,educación media,segundo medio,puntaje,lectura,municipal,subvencionado,corporación,lenguaje,particular,Agencia Información,Educación,SIMCE,Métricas de la Educación</v>
      </c>
      <c r="S565" s="83" t="str">
        <f>HYPERLINK("https://analytics.zoho.com/open-view/2395394000009042568?ZOHO_CRITERIA=%22Localiza%20CL%22.%22Codreg%22%3D"&amp;Agencia[[#This Row],[Filtro URL]])</f>
        <v>https://analytics.zoho.com/open-view/2395394000009042568?ZOHO_CRITERIA=%22Localiza%20CL%22.%22Codreg%22%3D9</v>
      </c>
      <c r="T565" s="111" t="str">
        <f>"100-C-"&amp;Agencia[[#This Row],[Filtro URL]]</f>
        <v>100-C-9</v>
      </c>
      <c r="U565" s="46" t="str">
        <f t="shared" si="224"/>
        <v>#1774B9</v>
      </c>
      <c r="V565" s="93" t="str">
        <f>+Agencia[[#This Row],[idcoleccion]]&amp;"-"&amp;Agencia[[#This Row],[id]]</f>
        <v>990-0554</v>
      </c>
      <c r="W565" s="93">
        <f>+VLOOKUP(Agencia[[#This Row],[Filtro URL]],Estructura!$X$4:$Y$500,2,0)</f>
        <v>99200009</v>
      </c>
      <c r="X565" s="93" t="str">
        <f>+VLOOKUP(Agencia[[#This Row],[tema]],Estructura!$A$4:$C$500,3,0)</f>
        <v>T-1032</v>
      </c>
      <c r="Y565" s="93" t="str">
        <f>+VLOOKUP(Agencia[[#This Row],[contenido]],Estructura!$E$4:$G$500,3,0)</f>
        <v>C-1018</v>
      </c>
      <c r="Z565" s="93" t="str">
        <f>+VLOOKUP(Agencia[[#This Row],[Filtro Integrado]],Estructura!$I$4:$K$500,3,0)</f>
        <v>FI-991</v>
      </c>
      <c r="AA565" s="93" t="str">
        <f>+VLOOKUP(Agencia[[#This Row],[Muestra]],Estructura!$M$4:$O$500,3,0)</f>
        <v>M-1061</v>
      </c>
    </row>
    <row r="566" spans="1:27" ht="57.6" x14ac:dyDescent="0.3">
      <c r="A566" s="21" t="s">
        <v>1070</v>
      </c>
      <c r="B566" s="23">
        <f t="shared" si="237"/>
        <v>990</v>
      </c>
      <c r="C566" s="24" t="str">
        <f t="shared" si="238"/>
        <v>Agencia Información</v>
      </c>
      <c r="D566" s="72" t="str">
        <f t="shared" si="239"/>
        <v>Educación</v>
      </c>
      <c r="E566" s="19">
        <v>10</v>
      </c>
      <c r="F566" s="18" t="s">
        <v>1421</v>
      </c>
      <c r="G566" s="18" t="s">
        <v>4290</v>
      </c>
      <c r="H566" s="33" t="s">
        <v>16</v>
      </c>
      <c r="I566" s="34" t="s">
        <v>377</v>
      </c>
      <c r="J566" s="9" t="str">
        <f t="shared" si="244"/>
        <v>Comuna</v>
      </c>
      <c r="K566" s="9" t="str">
        <f t="shared" si="240"/>
        <v>Puntaje promedio</v>
      </c>
      <c r="L566" s="9" t="str">
        <f t="shared" si="241"/>
        <v>Periodo 2015-2018</v>
      </c>
      <c r="M566" s="9" t="str">
        <f t="shared" si="242"/>
        <v>Puntaje</v>
      </c>
      <c r="N566" s="9" t="str">
        <f t="shared" si="243"/>
        <v>Agencia de Calidad de la Educación</v>
      </c>
      <c r="O566" s="20" t="str">
        <f>+"Evolución de Puntaje SIMCE de Lectura por Dependencia de Establecimientos para 2° Medio en la "&amp;I566&amp;", "&amp;Agencia[[#This Row],[temporalidad]]</f>
        <v>Evolución de Puntaje SIMCE de Lectura por Dependencia de Establecimientos para 2° Medio en la Región de Los Lagos, Periodo 2015-2018</v>
      </c>
      <c r="P566" s="112" t="s">
        <v>6256</v>
      </c>
      <c r="Q566" s="11" t="str">
        <f t="shared" si="223"/>
        <v>Gráfico de Evolución</v>
      </c>
      <c r="R566" s="148" t="str">
        <f>Agencia[[#This Row],[territorio]]&amp;",educación media,segundo medio,puntaje,lectura,municipal,subvencionado,corporación,lenguaje,particular,"&amp;Agencia[[#This Row],[coleccion]]&amp;","&amp;Agencia[[#This Row],[sector]]&amp;","&amp;Agencia[[#This Row],[tema]]&amp;","&amp;Agencia[[#This Row],[contenido]]</f>
        <v>Región de Los Lagos,educación media,segundo medio,puntaje,lectura,municipal,subvencionado,corporación,lenguaje,particular,Agencia Información,Educación,SIMCE,Métricas de la Educación</v>
      </c>
      <c r="S566" s="83" t="str">
        <f>HYPERLINK("https://analytics.zoho.com/open-view/2395394000009042568?ZOHO_CRITERIA=%22Localiza%20CL%22.%22Codreg%22%3D"&amp;Agencia[[#This Row],[Filtro URL]])</f>
        <v>https://analytics.zoho.com/open-view/2395394000009042568?ZOHO_CRITERIA=%22Localiza%20CL%22.%22Codreg%22%3D10</v>
      </c>
      <c r="T566" s="111" t="str">
        <f>"100-C-"&amp;Agencia[[#This Row],[Filtro URL]]</f>
        <v>100-C-10</v>
      </c>
      <c r="U566" s="46" t="str">
        <f t="shared" si="224"/>
        <v>#1774B9</v>
      </c>
      <c r="V566" s="93" t="str">
        <f>+Agencia[[#This Row],[idcoleccion]]&amp;"-"&amp;Agencia[[#This Row],[id]]</f>
        <v>990-0555</v>
      </c>
      <c r="W566" s="93">
        <f>+VLOOKUP(Agencia[[#This Row],[Filtro URL]],Estructura!$X$4:$Y$500,2,0)</f>
        <v>99200010</v>
      </c>
      <c r="X566" s="93" t="str">
        <f>+VLOOKUP(Agencia[[#This Row],[tema]],Estructura!$A$4:$C$500,3,0)</f>
        <v>T-1032</v>
      </c>
      <c r="Y566" s="93" t="str">
        <f>+VLOOKUP(Agencia[[#This Row],[contenido]],Estructura!$E$4:$G$500,3,0)</f>
        <v>C-1018</v>
      </c>
      <c r="Z566" s="93" t="str">
        <f>+VLOOKUP(Agencia[[#This Row],[Filtro Integrado]],Estructura!$I$4:$K$500,3,0)</f>
        <v>FI-991</v>
      </c>
      <c r="AA566" s="93" t="str">
        <f>+VLOOKUP(Agencia[[#This Row],[Muestra]],Estructura!$M$4:$O$500,3,0)</f>
        <v>M-1061</v>
      </c>
    </row>
    <row r="567" spans="1:27" ht="57.6" x14ac:dyDescent="0.3">
      <c r="A567" s="21" t="s">
        <v>1071</v>
      </c>
      <c r="B567" s="23">
        <f t="shared" si="237"/>
        <v>990</v>
      </c>
      <c r="C567" s="24" t="str">
        <f t="shared" si="238"/>
        <v>Agencia Información</v>
      </c>
      <c r="D567" s="72" t="str">
        <f t="shared" si="239"/>
        <v>Educación</v>
      </c>
      <c r="E567" s="19">
        <v>11</v>
      </c>
      <c r="F567" s="18" t="s">
        <v>1421</v>
      </c>
      <c r="G567" s="18" t="s">
        <v>4290</v>
      </c>
      <c r="H567" s="33" t="s">
        <v>16</v>
      </c>
      <c r="I567" s="34" t="s">
        <v>378</v>
      </c>
      <c r="J567" s="9" t="str">
        <f t="shared" si="244"/>
        <v>Comuna</v>
      </c>
      <c r="K567" s="9" t="str">
        <f t="shared" si="240"/>
        <v>Puntaje promedio</v>
      </c>
      <c r="L567" s="9" t="str">
        <f t="shared" si="241"/>
        <v>Periodo 2015-2018</v>
      </c>
      <c r="M567" s="9" t="str">
        <f t="shared" si="242"/>
        <v>Puntaje</v>
      </c>
      <c r="N567" s="9" t="str">
        <f t="shared" si="243"/>
        <v>Agencia de Calidad de la Educación</v>
      </c>
      <c r="O567" s="20" t="str">
        <f>+"Evolución de Puntaje SIMCE de Lectura por Dependencia de Establecimientos para 2° Medio en la "&amp;I567&amp;", "&amp;Agencia[[#This Row],[temporalidad]]</f>
        <v>Evolución de Puntaje SIMCE de Lectura por Dependencia de Establecimientos para 2° Medio en la Región de Aysén, Periodo 2015-2018</v>
      </c>
      <c r="P567" s="112" t="s">
        <v>6257</v>
      </c>
      <c r="Q567" s="11" t="str">
        <f t="shared" si="223"/>
        <v>Gráfico de Evolución</v>
      </c>
      <c r="R567" s="148" t="str">
        <f>Agencia[[#This Row],[territorio]]&amp;",educación media,segundo medio,puntaje,lectura,municipal,subvencionado,corporación,lenguaje,particular,"&amp;Agencia[[#This Row],[coleccion]]&amp;","&amp;Agencia[[#This Row],[sector]]&amp;","&amp;Agencia[[#This Row],[tema]]&amp;","&amp;Agencia[[#This Row],[contenido]]</f>
        <v>Región de Aysén,educación media,segundo medio,puntaje,lectura,municipal,subvencionado,corporación,lenguaje,particular,Agencia Información,Educación,SIMCE,Métricas de la Educación</v>
      </c>
      <c r="S567" s="83" t="str">
        <f>HYPERLINK("https://analytics.zoho.com/open-view/2395394000009042568?ZOHO_CRITERIA=%22Localiza%20CL%22.%22Codreg%22%3D"&amp;Agencia[[#This Row],[Filtro URL]])</f>
        <v>https://analytics.zoho.com/open-view/2395394000009042568?ZOHO_CRITERIA=%22Localiza%20CL%22.%22Codreg%22%3D11</v>
      </c>
      <c r="T567" s="111" t="str">
        <f>"100-C-"&amp;Agencia[[#This Row],[Filtro URL]]</f>
        <v>100-C-11</v>
      </c>
      <c r="U567" s="46" t="str">
        <f t="shared" si="224"/>
        <v>#1774B9</v>
      </c>
      <c r="V567" s="93" t="str">
        <f>+Agencia[[#This Row],[idcoleccion]]&amp;"-"&amp;Agencia[[#This Row],[id]]</f>
        <v>990-0556</v>
      </c>
      <c r="W567" s="93">
        <f>+VLOOKUP(Agencia[[#This Row],[Filtro URL]],Estructura!$X$4:$Y$500,2,0)</f>
        <v>99200011</v>
      </c>
      <c r="X567" s="93" t="str">
        <f>+VLOOKUP(Agencia[[#This Row],[tema]],Estructura!$A$4:$C$500,3,0)</f>
        <v>T-1032</v>
      </c>
      <c r="Y567" s="93" t="str">
        <f>+VLOOKUP(Agencia[[#This Row],[contenido]],Estructura!$E$4:$G$500,3,0)</f>
        <v>C-1018</v>
      </c>
      <c r="Z567" s="93" t="str">
        <f>+VLOOKUP(Agencia[[#This Row],[Filtro Integrado]],Estructura!$I$4:$K$500,3,0)</f>
        <v>FI-991</v>
      </c>
      <c r="AA567" s="93" t="str">
        <f>+VLOOKUP(Agencia[[#This Row],[Muestra]],Estructura!$M$4:$O$500,3,0)</f>
        <v>M-1061</v>
      </c>
    </row>
    <row r="568" spans="1:27" ht="57.6" x14ac:dyDescent="0.3">
      <c r="A568" s="21" t="s">
        <v>1072</v>
      </c>
      <c r="B568" s="23">
        <f t="shared" si="237"/>
        <v>990</v>
      </c>
      <c r="C568" s="24" t="str">
        <f t="shared" si="238"/>
        <v>Agencia Información</v>
      </c>
      <c r="D568" s="72" t="str">
        <f t="shared" si="239"/>
        <v>Educación</v>
      </c>
      <c r="E568" s="19">
        <v>12</v>
      </c>
      <c r="F568" s="18" t="s">
        <v>1421</v>
      </c>
      <c r="G568" s="18" t="s">
        <v>4290</v>
      </c>
      <c r="H568" s="33" t="s">
        <v>16</v>
      </c>
      <c r="I568" s="34" t="s">
        <v>379</v>
      </c>
      <c r="J568" s="9" t="str">
        <f t="shared" si="244"/>
        <v>Comuna</v>
      </c>
      <c r="K568" s="9" t="str">
        <f t="shared" si="240"/>
        <v>Puntaje promedio</v>
      </c>
      <c r="L568" s="9" t="str">
        <f t="shared" si="241"/>
        <v>Periodo 2015-2018</v>
      </c>
      <c r="M568" s="9" t="str">
        <f t="shared" si="242"/>
        <v>Puntaje</v>
      </c>
      <c r="N568" s="9" t="str">
        <f t="shared" si="243"/>
        <v>Agencia de Calidad de la Educación</v>
      </c>
      <c r="O568" s="20" t="str">
        <f>+"Evolución de Puntaje SIMCE de Lectura por Dependencia de Establecimientos para 2° Medio en la "&amp;I568&amp;", "&amp;Agencia[[#This Row],[temporalidad]]</f>
        <v>Evolución de Puntaje SIMCE de Lectura por Dependencia de Establecimientos para 2° Medio en la Región de Magallanes, Periodo 2015-2018</v>
      </c>
      <c r="P568" s="112" t="s">
        <v>6258</v>
      </c>
      <c r="Q568" s="11" t="str">
        <f t="shared" si="223"/>
        <v>Gráfico de Evolución</v>
      </c>
      <c r="R568" s="148" t="str">
        <f>Agencia[[#This Row],[territorio]]&amp;",educación media,segundo medio,puntaje,lectura,municipal,subvencionado,corporación,lenguaje,particular,"&amp;Agencia[[#This Row],[coleccion]]&amp;","&amp;Agencia[[#This Row],[sector]]&amp;","&amp;Agencia[[#This Row],[tema]]&amp;","&amp;Agencia[[#This Row],[contenido]]</f>
        <v>Región de Magallanes,educación media,segundo medio,puntaje,lectura,municipal,subvencionado,corporación,lenguaje,particular,Agencia Información,Educación,SIMCE,Métricas de la Educación</v>
      </c>
      <c r="S568" s="83" t="str">
        <f>HYPERLINK("https://analytics.zoho.com/open-view/2395394000009042568?ZOHO_CRITERIA=%22Localiza%20CL%22.%22Codreg%22%3D"&amp;Agencia[[#This Row],[Filtro URL]])</f>
        <v>https://analytics.zoho.com/open-view/2395394000009042568?ZOHO_CRITERIA=%22Localiza%20CL%22.%22Codreg%22%3D12</v>
      </c>
      <c r="T568" s="111" t="str">
        <f>"100-C-"&amp;Agencia[[#This Row],[Filtro URL]]</f>
        <v>100-C-12</v>
      </c>
      <c r="U568" s="46" t="str">
        <f t="shared" si="224"/>
        <v>#1774B9</v>
      </c>
      <c r="V568" s="93" t="str">
        <f>+Agencia[[#This Row],[idcoleccion]]&amp;"-"&amp;Agencia[[#This Row],[id]]</f>
        <v>990-0557</v>
      </c>
      <c r="W568" s="93">
        <f>+VLOOKUP(Agencia[[#This Row],[Filtro URL]],Estructura!$X$4:$Y$500,2,0)</f>
        <v>99200012</v>
      </c>
      <c r="X568" s="93" t="str">
        <f>+VLOOKUP(Agencia[[#This Row],[tema]],Estructura!$A$4:$C$500,3,0)</f>
        <v>T-1032</v>
      </c>
      <c r="Y568" s="93" t="str">
        <f>+VLOOKUP(Agencia[[#This Row],[contenido]],Estructura!$E$4:$G$500,3,0)</f>
        <v>C-1018</v>
      </c>
      <c r="Z568" s="93" t="str">
        <f>+VLOOKUP(Agencia[[#This Row],[Filtro Integrado]],Estructura!$I$4:$K$500,3,0)</f>
        <v>FI-991</v>
      </c>
      <c r="AA568" s="93" t="str">
        <f>+VLOOKUP(Agencia[[#This Row],[Muestra]],Estructura!$M$4:$O$500,3,0)</f>
        <v>M-1061</v>
      </c>
    </row>
    <row r="569" spans="1:27" ht="57.6" x14ac:dyDescent="0.3">
      <c r="A569" s="21" t="s">
        <v>1073</v>
      </c>
      <c r="B569" s="23">
        <f t="shared" si="237"/>
        <v>990</v>
      </c>
      <c r="C569" s="24" t="str">
        <f t="shared" si="238"/>
        <v>Agencia Información</v>
      </c>
      <c r="D569" s="72" t="str">
        <f t="shared" si="239"/>
        <v>Educación</v>
      </c>
      <c r="E569" s="19">
        <v>13</v>
      </c>
      <c r="F569" s="18" t="s">
        <v>1421</v>
      </c>
      <c r="G569" s="18" t="s">
        <v>4290</v>
      </c>
      <c r="H569" s="33" t="s">
        <v>16</v>
      </c>
      <c r="I569" s="34" t="s">
        <v>380</v>
      </c>
      <c r="J569" s="9" t="str">
        <f t="shared" si="244"/>
        <v>Comuna</v>
      </c>
      <c r="K569" s="9" t="str">
        <f t="shared" si="240"/>
        <v>Puntaje promedio</v>
      </c>
      <c r="L569" s="9" t="str">
        <f t="shared" si="241"/>
        <v>Periodo 2015-2018</v>
      </c>
      <c r="M569" s="9" t="str">
        <f t="shared" si="242"/>
        <v>Puntaje</v>
      </c>
      <c r="N569" s="9" t="str">
        <f t="shared" si="243"/>
        <v>Agencia de Calidad de la Educación</v>
      </c>
      <c r="O569" s="20" t="str">
        <f>+"Evolución de Puntaje SIMCE de Lectura por Dependencia de Establecimientos para 2° Medio en la "&amp;I569&amp;", "&amp;Agencia[[#This Row],[temporalidad]]</f>
        <v>Evolución de Puntaje SIMCE de Lectura por Dependencia de Establecimientos para 2° Medio en la Región Metropolitana, Periodo 2015-2018</v>
      </c>
      <c r="P569" s="112" t="s">
        <v>6259</v>
      </c>
      <c r="Q569" s="11" t="str">
        <f t="shared" si="223"/>
        <v>Gráfico de Evolución</v>
      </c>
      <c r="R569" s="148" t="str">
        <f>Agencia[[#This Row],[territorio]]&amp;",educación media,segundo medio,puntaje,lectura,municipal,subvencionado,corporación,lenguaje,particular,"&amp;Agencia[[#This Row],[coleccion]]&amp;","&amp;Agencia[[#This Row],[sector]]&amp;","&amp;Agencia[[#This Row],[tema]]&amp;","&amp;Agencia[[#This Row],[contenido]]</f>
        <v>Región Metropolitana,educación media,segundo medio,puntaje,lectura,municipal,subvencionado,corporación,lenguaje,particular,Agencia Información,Educación,SIMCE,Métricas de la Educación</v>
      </c>
      <c r="S569" s="83" t="str">
        <f>HYPERLINK("https://analytics.zoho.com/open-view/2395394000009042568?ZOHO_CRITERIA=%22Localiza%20CL%22.%22Codreg%22%3D"&amp;Agencia[[#This Row],[Filtro URL]])</f>
        <v>https://analytics.zoho.com/open-view/2395394000009042568?ZOHO_CRITERIA=%22Localiza%20CL%22.%22Codreg%22%3D13</v>
      </c>
      <c r="T569" s="111" t="str">
        <f>"200-C-"&amp;Agencia[[#This Row],[Filtro URL]]</f>
        <v>200-C-13</v>
      </c>
      <c r="U569" s="46" t="str">
        <f t="shared" si="224"/>
        <v>#1774B9</v>
      </c>
      <c r="V569" s="93" t="str">
        <f>+Agencia[[#This Row],[idcoleccion]]&amp;"-"&amp;Agencia[[#This Row],[id]]</f>
        <v>990-0558</v>
      </c>
      <c r="W569" s="93">
        <f>+VLOOKUP(Agencia[[#This Row],[Filtro URL]],Estructura!$X$4:$Y$500,2,0)</f>
        <v>99200013</v>
      </c>
      <c r="X569" s="93" t="str">
        <f>+VLOOKUP(Agencia[[#This Row],[tema]],Estructura!$A$4:$C$500,3,0)</f>
        <v>T-1032</v>
      </c>
      <c r="Y569" s="93" t="str">
        <f>+VLOOKUP(Agencia[[#This Row],[contenido]],Estructura!$E$4:$G$500,3,0)</f>
        <v>C-1018</v>
      </c>
      <c r="Z569" s="93" t="str">
        <f>+VLOOKUP(Agencia[[#This Row],[Filtro Integrado]],Estructura!$I$4:$K$500,3,0)</f>
        <v>FI-991</v>
      </c>
      <c r="AA569" s="93" t="str">
        <f>+VLOOKUP(Agencia[[#This Row],[Muestra]],Estructura!$M$4:$O$500,3,0)</f>
        <v>M-1061</v>
      </c>
    </row>
    <row r="570" spans="1:27" ht="57.6" x14ac:dyDescent="0.3">
      <c r="A570" s="21" t="s">
        <v>1074</v>
      </c>
      <c r="B570" s="23">
        <f t="shared" si="237"/>
        <v>990</v>
      </c>
      <c r="C570" s="24" t="str">
        <f t="shared" si="238"/>
        <v>Agencia Información</v>
      </c>
      <c r="D570" s="72" t="str">
        <f t="shared" si="239"/>
        <v>Educación</v>
      </c>
      <c r="E570" s="19">
        <v>14</v>
      </c>
      <c r="F570" s="18" t="s">
        <v>1421</v>
      </c>
      <c r="G570" s="18" t="s">
        <v>4290</v>
      </c>
      <c r="H570" s="33" t="s">
        <v>16</v>
      </c>
      <c r="I570" s="34" t="s">
        <v>381</v>
      </c>
      <c r="J570" s="9" t="str">
        <f t="shared" si="244"/>
        <v>Comuna</v>
      </c>
      <c r="K570" s="9" t="str">
        <f t="shared" si="240"/>
        <v>Puntaje promedio</v>
      </c>
      <c r="L570" s="9" t="str">
        <f t="shared" si="241"/>
        <v>Periodo 2015-2018</v>
      </c>
      <c r="M570" s="9" t="str">
        <f t="shared" si="242"/>
        <v>Puntaje</v>
      </c>
      <c r="N570" s="9" t="str">
        <f t="shared" si="243"/>
        <v>Agencia de Calidad de la Educación</v>
      </c>
      <c r="O570" s="20" t="str">
        <f>+"Evolución de Puntaje SIMCE de Lectura por Dependencia de Establecimientos para 2° Medio en la "&amp;I570&amp;", "&amp;Agencia[[#This Row],[temporalidad]]</f>
        <v>Evolución de Puntaje SIMCE de Lectura por Dependencia de Establecimientos para 2° Medio en la Región de Los Ríos, Periodo 2015-2018</v>
      </c>
      <c r="P570" s="112" t="s">
        <v>6260</v>
      </c>
      <c r="Q570" s="11" t="str">
        <f t="shared" si="223"/>
        <v>Gráfico de Evolución</v>
      </c>
      <c r="R570" s="148" t="str">
        <f>Agencia[[#This Row],[territorio]]&amp;",educación media,segundo medio,puntaje,lectura,municipal,subvencionado,corporación,lenguaje,particular,"&amp;Agencia[[#This Row],[coleccion]]&amp;","&amp;Agencia[[#This Row],[sector]]&amp;","&amp;Agencia[[#This Row],[tema]]&amp;","&amp;Agencia[[#This Row],[contenido]]</f>
        <v>Región de Los Ríos,educación media,segundo medio,puntaje,lectura,municipal,subvencionado,corporación,lenguaje,particular,Agencia Información,Educación,SIMCE,Métricas de la Educación</v>
      </c>
      <c r="S570" s="83" t="str">
        <f>HYPERLINK("https://analytics.zoho.com/open-view/2395394000009042568?ZOHO_CRITERIA=%22Localiza%20CL%22.%22Codreg%22%3D"&amp;Agencia[[#This Row],[Filtro URL]])</f>
        <v>https://analytics.zoho.com/open-view/2395394000009042568?ZOHO_CRITERIA=%22Localiza%20CL%22.%22Codreg%22%3D14</v>
      </c>
      <c r="T570" s="111" t="str">
        <f>"100-C-"&amp;Agencia[[#This Row],[Filtro URL]]</f>
        <v>100-C-14</v>
      </c>
      <c r="U570" s="46" t="str">
        <f t="shared" si="224"/>
        <v>#1774B9</v>
      </c>
      <c r="V570" s="93" t="str">
        <f>+Agencia[[#This Row],[idcoleccion]]&amp;"-"&amp;Agencia[[#This Row],[id]]</f>
        <v>990-0559</v>
      </c>
      <c r="W570" s="93">
        <f>+VLOOKUP(Agencia[[#This Row],[Filtro URL]],Estructura!$X$4:$Y$500,2,0)</f>
        <v>99200014</v>
      </c>
      <c r="X570" s="93" t="str">
        <f>+VLOOKUP(Agencia[[#This Row],[tema]],Estructura!$A$4:$C$500,3,0)</f>
        <v>T-1032</v>
      </c>
      <c r="Y570" s="93" t="str">
        <f>+VLOOKUP(Agencia[[#This Row],[contenido]],Estructura!$E$4:$G$500,3,0)</f>
        <v>C-1018</v>
      </c>
      <c r="Z570" s="93" t="str">
        <f>+VLOOKUP(Agencia[[#This Row],[Filtro Integrado]],Estructura!$I$4:$K$500,3,0)</f>
        <v>FI-991</v>
      </c>
      <c r="AA570" s="93" t="str">
        <f>+VLOOKUP(Agencia[[#This Row],[Muestra]],Estructura!$M$4:$O$500,3,0)</f>
        <v>M-1061</v>
      </c>
    </row>
    <row r="571" spans="1:27" ht="61.2" x14ac:dyDescent="0.3">
      <c r="A571" s="21" t="s">
        <v>1075</v>
      </c>
      <c r="B571" s="23">
        <f t="shared" si="237"/>
        <v>990</v>
      </c>
      <c r="C571" s="24" t="str">
        <f t="shared" si="238"/>
        <v>Agencia Información</v>
      </c>
      <c r="D571" s="72" t="str">
        <f t="shared" si="239"/>
        <v>Educación</v>
      </c>
      <c r="E571" s="19">
        <v>15</v>
      </c>
      <c r="F571" s="18" t="s">
        <v>1421</v>
      </c>
      <c r="G571" s="18" t="s">
        <v>4290</v>
      </c>
      <c r="H571" s="33" t="s">
        <v>16</v>
      </c>
      <c r="I571" s="34" t="s">
        <v>382</v>
      </c>
      <c r="J571" s="9" t="str">
        <f t="shared" si="244"/>
        <v>Comuna</v>
      </c>
      <c r="K571" s="9" t="str">
        <f t="shared" si="240"/>
        <v>Puntaje promedio</v>
      </c>
      <c r="L571" s="9" t="str">
        <f t="shared" si="241"/>
        <v>Periodo 2015-2018</v>
      </c>
      <c r="M571" s="9" t="str">
        <f t="shared" si="242"/>
        <v>Puntaje</v>
      </c>
      <c r="N571" s="9" t="str">
        <f t="shared" si="243"/>
        <v>Agencia de Calidad de la Educación</v>
      </c>
      <c r="O571" s="20" t="str">
        <f>+"Evolución de Puntaje SIMCE de Lectura por Dependencia de Establecimientos para 2° Medio en la "&amp;I571&amp;", "&amp;Agencia[[#This Row],[temporalidad]]</f>
        <v>Evolución de Puntaje SIMCE de Lectura por Dependencia de Establecimientos para 2° Medio en la Región de Arica y Parinacota, Periodo 2015-2018</v>
      </c>
      <c r="P571" s="112" t="s">
        <v>6261</v>
      </c>
      <c r="Q571" s="11" t="str">
        <f t="shared" si="223"/>
        <v>Gráfico de Evolución</v>
      </c>
      <c r="R571" s="148" t="str">
        <f>Agencia[[#This Row],[territorio]]&amp;",educación media,segundo medio,puntaje,lectura,municipal,subvencionado,corporación,lenguaje,particular,"&amp;Agencia[[#This Row],[coleccion]]&amp;","&amp;Agencia[[#This Row],[sector]]&amp;","&amp;Agencia[[#This Row],[tema]]&amp;","&amp;Agencia[[#This Row],[contenido]]</f>
        <v>Región de Arica y Parinacota,educación media,segundo medio,puntaje,lectura,municipal,subvencionado,corporación,lenguaje,particular,Agencia Información,Educación,SIMCE,Métricas de la Educación</v>
      </c>
      <c r="S571" s="83" t="str">
        <f>HYPERLINK("https://analytics.zoho.com/open-view/2395394000009042568?ZOHO_CRITERIA=%22Localiza%20CL%22.%22Codreg%22%3D"&amp;Agencia[[#This Row],[Filtro URL]])</f>
        <v>https://analytics.zoho.com/open-view/2395394000009042568?ZOHO_CRITERIA=%22Localiza%20CL%22.%22Codreg%22%3D15</v>
      </c>
      <c r="T571" s="111" t="str">
        <f>"100-C-"&amp;Agencia[[#This Row],[Filtro URL]]</f>
        <v>100-C-15</v>
      </c>
      <c r="U571" s="46" t="str">
        <f t="shared" si="224"/>
        <v>#1774B9</v>
      </c>
      <c r="V571" s="93" t="str">
        <f>+Agencia[[#This Row],[idcoleccion]]&amp;"-"&amp;Agencia[[#This Row],[id]]</f>
        <v>990-0560</v>
      </c>
      <c r="W571" s="93">
        <f>+VLOOKUP(Agencia[[#This Row],[Filtro URL]],Estructura!$X$4:$Y$500,2,0)</f>
        <v>99200015</v>
      </c>
      <c r="X571" s="93" t="str">
        <f>+VLOOKUP(Agencia[[#This Row],[tema]],Estructura!$A$4:$C$500,3,0)</f>
        <v>T-1032</v>
      </c>
      <c r="Y571" s="93" t="str">
        <f>+VLOOKUP(Agencia[[#This Row],[contenido]],Estructura!$E$4:$G$500,3,0)</f>
        <v>C-1018</v>
      </c>
      <c r="Z571" s="93" t="str">
        <f>+VLOOKUP(Agencia[[#This Row],[Filtro Integrado]],Estructura!$I$4:$K$500,3,0)</f>
        <v>FI-991</v>
      </c>
      <c r="AA571" s="93" t="str">
        <f>+VLOOKUP(Agencia[[#This Row],[Muestra]],Estructura!$M$4:$O$500,3,0)</f>
        <v>M-1061</v>
      </c>
    </row>
    <row r="572" spans="1:27" ht="57.6" x14ac:dyDescent="0.3">
      <c r="A572" s="21" t="s">
        <v>1076</v>
      </c>
      <c r="B572" s="23">
        <f t="shared" si="237"/>
        <v>990</v>
      </c>
      <c r="C572" s="24" t="str">
        <f t="shared" si="238"/>
        <v>Agencia Información</v>
      </c>
      <c r="D572" s="72" t="str">
        <f t="shared" si="239"/>
        <v>Educación</v>
      </c>
      <c r="E572" s="19">
        <v>16</v>
      </c>
      <c r="F572" s="18" t="s">
        <v>1421</v>
      </c>
      <c r="G572" s="18" t="s">
        <v>4290</v>
      </c>
      <c r="H572" s="33" t="s">
        <v>16</v>
      </c>
      <c r="I572" s="34" t="s">
        <v>383</v>
      </c>
      <c r="J572" s="9" t="str">
        <f t="shared" si="244"/>
        <v>Comuna</v>
      </c>
      <c r="K572" s="9" t="str">
        <f t="shared" si="240"/>
        <v>Puntaje promedio</v>
      </c>
      <c r="L572" s="9" t="str">
        <f t="shared" si="241"/>
        <v>Periodo 2015-2018</v>
      </c>
      <c r="M572" s="9" t="str">
        <f t="shared" si="242"/>
        <v>Puntaje</v>
      </c>
      <c r="N572" s="9" t="str">
        <f t="shared" si="243"/>
        <v>Agencia de Calidad de la Educación</v>
      </c>
      <c r="O572" s="20" t="str">
        <f>+"Evolución de Puntaje SIMCE de Lectura por Dependencia de Establecimientos para 2° Medio en la "&amp;I572&amp;", "&amp;Agencia[[#This Row],[temporalidad]]</f>
        <v>Evolución de Puntaje SIMCE de Lectura por Dependencia de Establecimientos para 2° Medio en la Región de Ñuble, Periodo 2015-2018</v>
      </c>
      <c r="P572" s="112" t="s">
        <v>6262</v>
      </c>
      <c r="Q572" s="11" t="str">
        <f t="shared" si="223"/>
        <v>Gráfico de Evolución</v>
      </c>
      <c r="R572" s="148" t="str">
        <f>Agencia[[#This Row],[territorio]]&amp;",educación media,segundo medio,puntaje,lectura,municipal,subvencionado,corporación,lenguaje,particular,"&amp;Agencia[[#This Row],[coleccion]]&amp;","&amp;Agencia[[#This Row],[sector]]&amp;","&amp;Agencia[[#This Row],[tema]]&amp;","&amp;Agencia[[#This Row],[contenido]]</f>
        <v>Región de Ñuble,educación media,segundo medio,puntaje,lectura,municipal,subvencionado,corporación,lenguaje,particular,Agencia Información,Educación,SIMCE,Métricas de la Educación</v>
      </c>
      <c r="S572" s="83" t="str">
        <f>HYPERLINK("https://analytics.zoho.com/open-view/2395394000009042568?ZOHO_CRITERIA=%22Localiza%20CL%22.%22Codreg%22%3D"&amp;Agencia[[#This Row],[Filtro URL]])</f>
        <v>https://analytics.zoho.com/open-view/2395394000009042568?ZOHO_CRITERIA=%22Localiza%20CL%22.%22Codreg%22%3D16</v>
      </c>
      <c r="T572" s="111" t="str">
        <f>"100-C-"&amp;Agencia[[#This Row],[Filtro URL]]</f>
        <v>100-C-16</v>
      </c>
      <c r="U572" s="46" t="str">
        <f t="shared" si="224"/>
        <v>#1774B9</v>
      </c>
      <c r="V572" s="93" t="str">
        <f>+Agencia[[#This Row],[idcoleccion]]&amp;"-"&amp;Agencia[[#This Row],[id]]</f>
        <v>990-0561</v>
      </c>
      <c r="W572" s="93">
        <f>+VLOOKUP(Agencia[[#This Row],[Filtro URL]],Estructura!$X$4:$Y$500,2,0)</f>
        <v>99200016</v>
      </c>
      <c r="X572" s="93" t="str">
        <f>+VLOOKUP(Agencia[[#This Row],[tema]],Estructura!$A$4:$C$500,3,0)</f>
        <v>T-1032</v>
      </c>
      <c r="Y572" s="93" t="str">
        <f>+VLOOKUP(Agencia[[#This Row],[contenido]],Estructura!$E$4:$G$500,3,0)</f>
        <v>C-1018</v>
      </c>
      <c r="Z572" s="93" t="str">
        <f>+VLOOKUP(Agencia[[#This Row],[Filtro Integrado]],Estructura!$I$4:$K$500,3,0)</f>
        <v>FI-991</v>
      </c>
      <c r="AA572" s="93" t="str">
        <f>+VLOOKUP(Agencia[[#This Row],[Muestra]],Estructura!$M$4:$O$500,3,0)</f>
        <v>M-1061</v>
      </c>
    </row>
    <row r="573" spans="1:27" ht="51" x14ac:dyDescent="0.3">
      <c r="A573" s="21" t="s">
        <v>1077</v>
      </c>
      <c r="B573" s="23">
        <f t="shared" si="237"/>
        <v>990</v>
      </c>
      <c r="C573" s="24" t="str">
        <f t="shared" si="238"/>
        <v>Agencia Información</v>
      </c>
      <c r="D573" s="72" t="s">
        <v>14</v>
      </c>
      <c r="E573" s="14">
        <v>0</v>
      </c>
      <c r="F573" s="18" t="s">
        <v>1421</v>
      </c>
      <c r="G573" s="18" t="s">
        <v>4290</v>
      </c>
      <c r="H573" s="31" t="s">
        <v>20</v>
      </c>
      <c r="I573" s="32" t="s">
        <v>15</v>
      </c>
      <c r="J573" s="9" t="s">
        <v>956</v>
      </c>
      <c r="K573" s="9" t="s">
        <v>9297</v>
      </c>
      <c r="L573" s="9" t="s">
        <v>1452</v>
      </c>
      <c r="M573" s="9" t="s">
        <v>1425</v>
      </c>
      <c r="N573" s="9" t="s">
        <v>1422</v>
      </c>
      <c r="O573" s="20" t="str">
        <f>+"Evolución de Puntaje SIMCE de Matemáticas por Dependencia de Establecimientos para 2° Medio en "&amp;I573&amp;", "&amp;Agencia[[#This Row],[temporalidad]]</f>
        <v>Evolución de Puntaje SIMCE de Matemáticas por Dependencia de Establecimientos para 2° Medio en Chile, Periodo 2015-2018</v>
      </c>
      <c r="P573" s="112" t="s">
        <v>6149</v>
      </c>
      <c r="Q573" s="11" t="s">
        <v>784</v>
      </c>
      <c r="R573" s="20" t="str">
        <f>Agencia[[#This Row],[territorio]]&amp;",educación media,segundo medio,puntaje,matemáticas,municipal,subvencionado,corporación,lenguaje,particular,"&amp;Agencia[[#This Row],[coleccion]]&amp;","&amp;Agencia[[#This Row],[sector]]&amp;","&amp;Agencia[[#This Row],[tema]]&amp;","&amp;Agencia[[#This Row],[contenido]]</f>
        <v>Chile,educación media,segundo medio,puntaje,matemáticas,municipal,subvencionado,corporación,lenguaje,particular,Agencia Información,Educación,SIMCE,Métricas de la Educación</v>
      </c>
      <c r="S573" s="37" t="s">
        <v>1453</v>
      </c>
      <c r="T573" s="108" t="s">
        <v>957</v>
      </c>
      <c r="U573" s="46" t="str">
        <f t="shared" si="224"/>
        <v>#1774B9</v>
      </c>
      <c r="V573" s="93" t="str">
        <f>+Agencia[[#This Row],[idcoleccion]]&amp;"-"&amp;Agencia[[#This Row],[id]]</f>
        <v>990-0562</v>
      </c>
      <c r="W573" s="93">
        <f>+VLOOKUP(Agencia[[#This Row],[Filtro URL]],Estructura!$X$4:$Y$500,2,0)</f>
        <v>99100000</v>
      </c>
      <c r="X573" s="93" t="str">
        <f>+VLOOKUP(Agencia[[#This Row],[tema]],Estructura!$A$4:$C$500,3,0)</f>
        <v>T-1032</v>
      </c>
      <c r="Y573" s="93" t="str">
        <f>+VLOOKUP(Agencia[[#This Row],[contenido]],Estructura!$E$4:$G$500,3,0)</f>
        <v>C-1018</v>
      </c>
      <c r="Z573" s="93" t="str">
        <f>+VLOOKUP(Agencia[[#This Row],[Filtro Integrado]],Estructura!$I$4:$K$500,3,0)</f>
        <v>FI-994</v>
      </c>
      <c r="AA573" s="93" t="str">
        <f>+VLOOKUP(Agencia[[#This Row],[Muestra]],Estructura!$M$4:$O$500,3,0)</f>
        <v>M-1061</v>
      </c>
    </row>
    <row r="574" spans="1:27" ht="57.6" x14ac:dyDescent="0.3">
      <c r="A574" s="21" t="s">
        <v>1078</v>
      </c>
      <c r="B574" s="23">
        <f t="shared" si="237"/>
        <v>990</v>
      </c>
      <c r="C574" s="24" t="str">
        <f t="shared" si="238"/>
        <v>Agencia Información</v>
      </c>
      <c r="D574" s="72" t="str">
        <f t="shared" ref="D574:D589" si="245">+D573</f>
        <v>Educación</v>
      </c>
      <c r="E574" s="19">
        <v>1</v>
      </c>
      <c r="F574" s="18" t="s">
        <v>1421</v>
      </c>
      <c r="G574" s="18" t="s">
        <v>4290</v>
      </c>
      <c r="H574" s="33" t="s">
        <v>16</v>
      </c>
      <c r="I574" s="34" t="s">
        <v>368</v>
      </c>
      <c r="J574" s="9" t="s">
        <v>18</v>
      </c>
      <c r="K574" s="9" t="str">
        <f t="shared" ref="K574:K589" si="246">+K573</f>
        <v>Puntaje promedio</v>
      </c>
      <c r="L574" s="9" t="str">
        <f t="shared" ref="L574:L589" si="247">+L573</f>
        <v>Periodo 2015-2018</v>
      </c>
      <c r="M574" s="9" t="str">
        <f t="shared" ref="M574:M589" si="248">+M573</f>
        <v>Puntaje</v>
      </c>
      <c r="N574" s="9" t="str">
        <f t="shared" ref="N574:N589" si="249">+N573</f>
        <v>Agencia de Calidad de la Educación</v>
      </c>
      <c r="O574" s="20" t="str">
        <f>+"Evolución de Puntaje SIMCE de Matemáticas por Dependencia de Establecimientos para 2° Medio en la "&amp;I574&amp;", "&amp;Agencia[[#This Row],[temporalidad]]</f>
        <v>Evolución de Puntaje SIMCE de Matemáticas por Dependencia de Establecimientos para 2° Medio en la Región de Tarapacá, Periodo 2015-2018</v>
      </c>
      <c r="P574" s="112" t="s">
        <v>6263</v>
      </c>
      <c r="Q574" s="11" t="str">
        <f t="shared" ref="Q574:Q637" si="250">+Q573</f>
        <v>Gráfico de Evolución</v>
      </c>
      <c r="R574" s="148" t="str">
        <f>Agencia[[#This Row],[territorio]]&amp;",educación media,segundo medio,puntaje,matemáticas,municipal,subvencionado,corporación,lenguaje,particular,"&amp;Agencia[[#This Row],[coleccion]]&amp;","&amp;Agencia[[#This Row],[sector]]&amp;","&amp;Agencia[[#This Row],[tema]]&amp;","&amp;Agencia[[#This Row],[contenido]]</f>
        <v>Región de Tarapacá,educación media,segundo medio,puntaje,matemáticas,municipal,subvencionado,corporación,lenguaje,particular,Agencia Información,Educación,SIMCE,Métricas de la Educación</v>
      </c>
      <c r="S574" s="83" t="str">
        <f>HYPERLINK("https://analytics.zoho.com/open-view/2395394000009042688?ZOHO_CRITERIA=%22Localiza%20CL%22.%22Codreg%22%3D"&amp;Agencia[[#This Row],[Filtro URL]])</f>
        <v>https://analytics.zoho.com/open-view/2395394000009042688?ZOHO_CRITERIA=%22Localiza%20CL%22.%22Codreg%22%3D1</v>
      </c>
      <c r="T574" s="111" t="str">
        <f>"100-C-"&amp;Agencia[[#This Row],[Filtro URL]]</f>
        <v>100-C-1</v>
      </c>
      <c r="U574" s="46" t="str">
        <f t="shared" ref="U574:U637" si="251">+U573</f>
        <v>#1774B9</v>
      </c>
      <c r="V574" s="93" t="str">
        <f>+Agencia[[#This Row],[idcoleccion]]&amp;"-"&amp;Agencia[[#This Row],[id]]</f>
        <v>990-0563</v>
      </c>
      <c r="W574" s="93">
        <f>+VLOOKUP(Agencia[[#This Row],[Filtro URL]],Estructura!$X$4:$Y$500,2,0)</f>
        <v>99200001</v>
      </c>
      <c r="X574" s="93" t="str">
        <f>+VLOOKUP(Agencia[[#This Row],[tema]],Estructura!$A$4:$C$500,3,0)</f>
        <v>T-1032</v>
      </c>
      <c r="Y574" s="93" t="str">
        <f>+VLOOKUP(Agencia[[#This Row],[contenido]],Estructura!$E$4:$G$500,3,0)</f>
        <v>C-1018</v>
      </c>
      <c r="Z574" s="93" t="str">
        <f>+VLOOKUP(Agencia[[#This Row],[Filtro Integrado]],Estructura!$I$4:$K$500,3,0)</f>
        <v>FI-991</v>
      </c>
      <c r="AA574" s="93" t="str">
        <f>+VLOOKUP(Agencia[[#This Row],[Muestra]],Estructura!$M$4:$O$500,3,0)</f>
        <v>M-1061</v>
      </c>
    </row>
    <row r="575" spans="1:27" ht="57.6" x14ac:dyDescent="0.3">
      <c r="A575" s="21" t="s">
        <v>1079</v>
      </c>
      <c r="B575" s="23">
        <f t="shared" si="237"/>
        <v>990</v>
      </c>
      <c r="C575" s="24" t="str">
        <f t="shared" si="238"/>
        <v>Agencia Información</v>
      </c>
      <c r="D575" s="72" t="str">
        <f t="shared" si="245"/>
        <v>Educación</v>
      </c>
      <c r="E575" s="19">
        <v>2</v>
      </c>
      <c r="F575" s="18" t="s">
        <v>1421</v>
      </c>
      <c r="G575" s="18" t="s">
        <v>4290</v>
      </c>
      <c r="H575" s="33" t="s">
        <v>16</v>
      </c>
      <c r="I575" s="34" t="s">
        <v>369</v>
      </c>
      <c r="J575" s="9" t="str">
        <f t="shared" ref="J575:J589" si="252">+J574</f>
        <v>Comuna</v>
      </c>
      <c r="K575" s="9" t="str">
        <f t="shared" si="246"/>
        <v>Puntaje promedio</v>
      </c>
      <c r="L575" s="9" t="str">
        <f t="shared" si="247"/>
        <v>Periodo 2015-2018</v>
      </c>
      <c r="M575" s="9" t="str">
        <f t="shared" si="248"/>
        <v>Puntaje</v>
      </c>
      <c r="N575" s="9" t="str">
        <f t="shared" si="249"/>
        <v>Agencia de Calidad de la Educación</v>
      </c>
      <c r="O575" s="20" t="str">
        <f>+"Evolución de Puntaje SIMCE de Matemáticas por Dependencia de Establecimientos para 2° Medio en la "&amp;I575&amp;", "&amp;Agencia[[#This Row],[temporalidad]]</f>
        <v>Evolución de Puntaje SIMCE de Matemáticas por Dependencia de Establecimientos para 2° Medio en la Región de Antofagasta, Periodo 2015-2018</v>
      </c>
      <c r="P575" s="112" t="s">
        <v>6264</v>
      </c>
      <c r="Q575" s="11" t="str">
        <f t="shared" si="250"/>
        <v>Gráfico de Evolución</v>
      </c>
      <c r="R575" s="148" t="str">
        <f>Agencia[[#This Row],[territorio]]&amp;",educación media,segundo medio,puntaje,matemáticas,municipal,subvencionado,corporación,lenguaje,particular,"&amp;Agencia[[#This Row],[coleccion]]&amp;","&amp;Agencia[[#This Row],[sector]]&amp;","&amp;Agencia[[#This Row],[tema]]&amp;","&amp;Agencia[[#This Row],[contenido]]</f>
        <v>Región de Antofagasta,educación media,segundo medio,puntaje,matemáticas,municipal,subvencionado,corporación,lenguaje,particular,Agencia Información,Educación,SIMCE,Métricas de la Educación</v>
      </c>
      <c r="S575" s="83" t="str">
        <f>HYPERLINK("https://analytics.zoho.com/open-view/2395394000009042688?ZOHO_CRITERIA=%22Localiza%20CL%22.%22Codreg%22%3D"&amp;Agencia[[#This Row],[Filtro URL]])</f>
        <v>https://analytics.zoho.com/open-view/2395394000009042688?ZOHO_CRITERIA=%22Localiza%20CL%22.%22Codreg%22%3D2</v>
      </c>
      <c r="T575" s="111" t="str">
        <f>"100-C-"&amp;Agencia[[#This Row],[Filtro URL]]</f>
        <v>100-C-2</v>
      </c>
      <c r="U575" s="46" t="str">
        <f t="shared" si="251"/>
        <v>#1774B9</v>
      </c>
      <c r="V575" s="93" t="str">
        <f>+Agencia[[#This Row],[idcoleccion]]&amp;"-"&amp;Agencia[[#This Row],[id]]</f>
        <v>990-0564</v>
      </c>
      <c r="W575" s="93">
        <f>+VLOOKUP(Agencia[[#This Row],[Filtro URL]],Estructura!$X$4:$Y$500,2,0)</f>
        <v>99200002</v>
      </c>
      <c r="X575" s="93" t="str">
        <f>+VLOOKUP(Agencia[[#This Row],[tema]],Estructura!$A$4:$C$500,3,0)</f>
        <v>T-1032</v>
      </c>
      <c r="Y575" s="93" t="str">
        <f>+VLOOKUP(Agencia[[#This Row],[contenido]],Estructura!$E$4:$G$500,3,0)</f>
        <v>C-1018</v>
      </c>
      <c r="Z575" s="93" t="str">
        <f>+VLOOKUP(Agencia[[#This Row],[Filtro Integrado]],Estructura!$I$4:$K$500,3,0)</f>
        <v>FI-991</v>
      </c>
      <c r="AA575" s="93" t="str">
        <f>+VLOOKUP(Agencia[[#This Row],[Muestra]],Estructura!$M$4:$O$500,3,0)</f>
        <v>M-1061</v>
      </c>
    </row>
    <row r="576" spans="1:27" ht="57.6" x14ac:dyDescent="0.3">
      <c r="A576" s="21" t="s">
        <v>1080</v>
      </c>
      <c r="B576" s="23">
        <f t="shared" si="237"/>
        <v>990</v>
      </c>
      <c r="C576" s="24" t="str">
        <f t="shared" si="238"/>
        <v>Agencia Información</v>
      </c>
      <c r="D576" s="72" t="str">
        <f t="shared" si="245"/>
        <v>Educación</v>
      </c>
      <c r="E576" s="19">
        <v>3</v>
      </c>
      <c r="F576" s="18" t="s">
        <v>1421</v>
      </c>
      <c r="G576" s="18" t="s">
        <v>4290</v>
      </c>
      <c r="H576" s="33" t="s">
        <v>16</v>
      </c>
      <c r="I576" s="34" t="s">
        <v>370</v>
      </c>
      <c r="J576" s="9" t="str">
        <f t="shared" si="252"/>
        <v>Comuna</v>
      </c>
      <c r="K576" s="9" t="str">
        <f t="shared" si="246"/>
        <v>Puntaje promedio</v>
      </c>
      <c r="L576" s="9" t="str">
        <f t="shared" si="247"/>
        <v>Periodo 2015-2018</v>
      </c>
      <c r="M576" s="9" t="str">
        <f t="shared" si="248"/>
        <v>Puntaje</v>
      </c>
      <c r="N576" s="9" t="str">
        <f t="shared" si="249"/>
        <v>Agencia de Calidad de la Educación</v>
      </c>
      <c r="O576" s="20" t="str">
        <f>+"Evolución de Puntaje SIMCE de Matemáticas por Dependencia de Establecimientos para 2° Medio en la "&amp;I576&amp;", "&amp;Agencia[[#This Row],[temporalidad]]</f>
        <v>Evolución de Puntaje SIMCE de Matemáticas por Dependencia de Establecimientos para 2° Medio en la Región de Atacama, Periodo 2015-2018</v>
      </c>
      <c r="P576" s="112" t="s">
        <v>6265</v>
      </c>
      <c r="Q576" s="11" t="str">
        <f t="shared" si="250"/>
        <v>Gráfico de Evolución</v>
      </c>
      <c r="R576" s="148" t="str">
        <f>Agencia[[#This Row],[territorio]]&amp;",educación media,segundo medio,puntaje,matemáticas,municipal,subvencionado,corporación,lenguaje,particular,"&amp;Agencia[[#This Row],[coleccion]]&amp;","&amp;Agencia[[#This Row],[sector]]&amp;","&amp;Agencia[[#This Row],[tema]]&amp;","&amp;Agencia[[#This Row],[contenido]]</f>
        <v>Región de Atacama,educación media,segundo medio,puntaje,matemáticas,municipal,subvencionado,corporación,lenguaje,particular,Agencia Información,Educación,SIMCE,Métricas de la Educación</v>
      </c>
      <c r="S576" s="83" t="str">
        <f>HYPERLINK("https://analytics.zoho.com/open-view/2395394000009042688?ZOHO_CRITERIA=%22Localiza%20CL%22.%22Codreg%22%3D"&amp;Agencia[[#This Row],[Filtro URL]])</f>
        <v>https://analytics.zoho.com/open-view/2395394000009042688?ZOHO_CRITERIA=%22Localiza%20CL%22.%22Codreg%22%3D3</v>
      </c>
      <c r="T576" s="111" t="str">
        <f>"100-C-"&amp;Agencia[[#This Row],[Filtro URL]]</f>
        <v>100-C-3</v>
      </c>
      <c r="U576" s="46" t="str">
        <f t="shared" si="251"/>
        <v>#1774B9</v>
      </c>
      <c r="V576" s="93" t="str">
        <f>+Agencia[[#This Row],[idcoleccion]]&amp;"-"&amp;Agencia[[#This Row],[id]]</f>
        <v>990-0565</v>
      </c>
      <c r="W576" s="93">
        <f>+VLOOKUP(Agencia[[#This Row],[Filtro URL]],Estructura!$X$4:$Y$500,2,0)</f>
        <v>99200003</v>
      </c>
      <c r="X576" s="93" t="str">
        <f>+VLOOKUP(Agencia[[#This Row],[tema]],Estructura!$A$4:$C$500,3,0)</f>
        <v>T-1032</v>
      </c>
      <c r="Y576" s="93" t="str">
        <f>+VLOOKUP(Agencia[[#This Row],[contenido]],Estructura!$E$4:$G$500,3,0)</f>
        <v>C-1018</v>
      </c>
      <c r="Z576" s="93" t="str">
        <f>+VLOOKUP(Agencia[[#This Row],[Filtro Integrado]],Estructura!$I$4:$K$500,3,0)</f>
        <v>FI-991</v>
      </c>
      <c r="AA576" s="93" t="str">
        <f>+VLOOKUP(Agencia[[#This Row],[Muestra]],Estructura!$M$4:$O$500,3,0)</f>
        <v>M-1061</v>
      </c>
    </row>
    <row r="577" spans="1:27" ht="57.6" x14ac:dyDescent="0.3">
      <c r="A577" s="21" t="s">
        <v>1081</v>
      </c>
      <c r="B577" s="23">
        <f t="shared" si="237"/>
        <v>990</v>
      </c>
      <c r="C577" s="24" t="str">
        <f t="shared" si="238"/>
        <v>Agencia Información</v>
      </c>
      <c r="D577" s="72" t="str">
        <f t="shared" si="245"/>
        <v>Educación</v>
      </c>
      <c r="E577" s="19">
        <v>4</v>
      </c>
      <c r="F577" s="18" t="s">
        <v>1421</v>
      </c>
      <c r="G577" s="18" t="s">
        <v>4290</v>
      </c>
      <c r="H577" s="33" t="s">
        <v>16</v>
      </c>
      <c r="I577" s="34" t="s">
        <v>371</v>
      </c>
      <c r="J577" s="9" t="str">
        <f t="shared" si="252"/>
        <v>Comuna</v>
      </c>
      <c r="K577" s="9" t="str">
        <f t="shared" si="246"/>
        <v>Puntaje promedio</v>
      </c>
      <c r="L577" s="9" t="str">
        <f t="shared" si="247"/>
        <v>Periodo 2015-2018</v>
      </c>
      <c r="M577" s="9" t="str">
        <f t="shared" si="248"/>
        <v>Puntaje</v>
      </c>
      <c r="N577" s="9" t="str">
        <f t="shared" si="249"/>
        <v>Agencia de Calidad de la Educación</v>
      </c>
      <c r="O577" s="20" t="str">
        <f>+"Evolución de Puntaje SIMCE de Matemáticas por Dependencia de Establecimientos para 2° Medio en la "&amp;I577&amp;", "&amp;Agencia[[#This Row],[temporalidad]]</f>
        <v>Evolución de Puntaje SIMCE de Matemáticas por Dependencia de Establecimientos para 2° Medio en la Región de Coquimbo, Periodo 2015-2018</v>
      </c>
      <c r="P577" s="112" t="s">
        <v>6266</v>
      </c>
      <c r="Q577" s="11" t="str">
        <f t="shared" si="250"/>
        <v>Gráfico de Evolución</v>
      </c>
      <c r="R577" s="148" t="str">
        <f>Agencia[[#This Row],[territorio]]&amp;",educación media,segundo medio,puntaje,matemáticas,municipal,subvencionado,corporación,lenguaje,particular,"&amp;Agencia[[#This Row],[coleccion]]&amp;","&amp;Agencia[[#This Row],[sector]]&amp;","&amp;Agencia[[#This Row],[tema]]&amp;","&amp;Agencia[[#This Row],[contenido]]</f>
        <v>Región de Coquimbo,educación media,segundo medio,puntaje,matemáticas,municipal,subvencionado,corporación,lenguaje,particular,Agencia Información,Educación,SIMCE,Métricas de la Educación</v>
      </c>
      <c r="S577" s="83" t="str">
        <f>HYPERLINK("https://analytics.zoho.com/open-view/2395394000009042688?ZOHO_CRITERIA=%22Localiza%20CL%22.%22Codreg%22%3D"&amp;Agencia[[#This Row],[Filtro URL]])</f>
        <v>https://analytics.zoho.com/open-view/2395394000009042688?ZOHO_CRITERIA=%22Localiza%20CL%22.%22Codreg%22%3D4</v>
      </c>
      <c r="T577" s="111" t="str">
        <f>"100-C-"&amp;Agencia[[#This Row],[Filtro URL]]</f>
        <v>100-C-4</v>
      </c>
      <c r="U577" s="46" t="str">
        <f t="shared" si="251"/>
        <v>#1774B9</v>
      </c>
      <c r="V577" s="93" t="str">
        <f>+Agencia[[#This Row],[idcoleccion]]&amp;"-"&amp;Agencia[[#This Row],[id]]</f>
        <v>990-0566</v>
      </c>
      <c r="W577" s="93">
        <f>+VLOOKUP(Agencia[[#This Row],[Filtro URL]],Estructura!$X$4:$Y$500,2,0)</f>
        <v>99200004</v>
      </c>
      <c r="X577" s="93" t="str">
        <f>+VLOOKUP(Agencia[[#This Row],[tema]],Estructura!$A$4:$C$500,3,0)</f>
        <v>T-1032</v>
      </c>
      <c r="Y577" s="93" t="str">
        <f>+VLOOKUP(Agencia[[#This Row],[contenido]],Estructura!$E$4:$G$500,3,0)</f>
        <v>C-1018</v>
      </c>
      <c r="Z577" s="93" t="str">
        <f>+VLOOKUP(Agencia[[#This Row],[Filtro Integrado]],Estructura!$I$4:$K$500,3,0)</f>
        <v>FI-991</v>
      </c>
      <c r="AA577" s="93" t="str">
        <f>+VLOOKUP(Agencia[[#This Row],[Muestra]],Estructura!$M$4:$O$500,3,0)</f>
        <v>M-1061</v>
      </c>
    </row>
    <row r="578" spans="1:27" ht="57.6" x14ac:dyDescent="0.3">
      <c r="A578" s="21" t="s">
        <v>1082</v>
      </c>
      <c r="B578" s="23">
        <f t="shared" si="237"/>
        <v>990</v>
      </c>
      <c r="C578" s="24" t="str">
        <f t="shared" si="238"/>
        <v>Agencia Información</v>
      </c>
      <c r="D578" s="72" t="str">
        <f t="shared" si="245"/>
        <v>Educación</v>
      </c>
      <c r="E578" s="19">
        <v>5</v>
      </c>
      <c r="F578" s="18" t="s">
        <v>1421</v>
      </c>
      <c r="G578" s="18" t="s">
        <v>4290</v>
      </c>
      <c r="H578" s="33" t="s">
        <v>16</v>
      </c>
      <c r="I578" s="34" t="s">
        <v>372</v>
      </c>
      <c r="J578" s="9" t="str">
        <f t="shared" si="252"/>
        <v>Comuna</v>
      </c>
      <c r="K578" s="9" t="str">
        <f t="shared" si="246"/>
        <v>Puntaje promedio</v>
      </c>
      <c r="L578" s="9" t="str">
        <f t="shared" si="247"/>
        <v>Periodo 2015-2018</v>
      </c>
      <c r="M578" s="9" t="str">
        <f t="shared" si="248"/>
        <v>Puntaje</v>
      </c>
      <c r="N578" s="9" t="str">
        <f t="shared" si="249"/>
        <v>Agencia de Calidad de la Educación</v>
      </c>
      <c r="O578" s="20" t="str">
        <f>+"Evolución de Puntaje SIMCE de Matemáticas por Dependencia de Establecimientos para 2° Medio en la "&amp;I578&amp;", "&amp;Agencia[[#This Row],[temporalidad]]</f>
        <v>Evolución de Puntaje SIMCE de Matemáticas por Dependencia de Establecimientos para 2° Medio en la Región de Valparaíso, Periodo 2015-2018</v>
      </c>
      <c r="P578" s="112" t="s">
        <v>6267</v>
      </c>
      <c r="Q578" s="11" t="str">
        <f t="shared" si="250"/>
        <v>Gráfico de Evolución</v>
      </c>
      <c r="R578" s="148" t="str">
        <f>Agencia[[#This Row],[territorio]]&amp;",educación media,segundo medio,puntaje,matemáticas,municipal,subvencionado,corporación,lenguaje,particular,"&amp;Agencia[[#This Row],[coleccion]]&amp;","&amp;Agencia[[#This Row],[sector]]&amp;","&amp;Agencia[[#This Row],[tema]]&amp;","&amp;Agencia[[#This Row],[contenido]]</f>
        <v>Región de Valparaíso,educación media,segundo medio,puntaje,matemáticas,municipal,subvencionado,corporación,lenguaje,particular,Agencia Información,Educación,SIMCE,Métricas de la Educación</v>
      </c>
      <c r="S578" s="83" t="str">
        <f>HYPERLINK("https://analytics.zoho.com/open-view/2395394000009042688?ZOHO_CRITERIA=%22Localiza%20CL%22.%22Codreg%22%3D"&amp;Agencia[[#This Row],[Filtro URL]])</f>
        <v>https://analytics.zoho.com/open-view/2395394000009042688?ZOHO_CRITERIA=%22Localiza%20CL%22.%22Codreg%22%3D5</v>
      </c>
      <c r="T578" s="111" t="str">
        <f>"100-C-"&amp;Agencia[[#This Row],[Filtro URL]]</f>
        <v>100-C-5</v>
      </c>
      <c r="U578" s="46" t="str">
        <f t="shared" si="251"/>
        <v>#1774B9</v>
      </c>
      <c r="V578" s="93" t="str">
        <f>+Agencia[[#This Row],[idcoleccion]]&amp;"-"&amp;Agencia[[#This Row],[id]]</f>
        <v>990-0567</v>
      </c>
      <c r="W578" s="93">
        <f>+VLOOKUP(Agencia[[#This Row],[Filtro URL]],Estructura!$X$4:$Y$500,2,0)</f>
        <v>99200005</v>
      </c>
      <c r="X578" s="93" t="str">
        <f>+VLOOKUP(Agencia[[#This Row],[tema]],Estructura!$A$4:$C$500,3,0)</f>
        <v>T-1032</v>
      </c>
      <c r="Y578" s="93" t="str">
        <f>+VLOOKUP(Agencia[[#This Row],[contenido]],Estructura!$E$4:$G$500,3,0)</f>
        <v>C-1018</v>
      </c>
      <c r="Z578" s="93" t="str">
        <f>+VLOOKUP(Agencia[[#This Row],[Filtro Integrado]],Estructura!$I$4:$K$500,3,0)</f>
        <v>FI-991</v>
      </c>
      <c r="AA578" s="93" t="str">
        <f>+VLOOKUP(Agencia[[#This Row],[Muestra]],Estructura!$M$4:$O$500,3,0)</f>
        <v>M-1061</v>
      </c>
    </row>
    <row r="579" spans="1:27" ht="57.6" x14ac:dyDescent="0.3">
      <c r="A579" s="21" t="s">
        <v>1083</v>
      </c>
      <c r="B579" s="23">
        <f t="shared" si="237"/>
        <v>990</v>
      </c>
      <c r="C579" s="24" t="str">
        <f t="shared" si="238"/>
        <v>Agencia Información</v>
      </c>
      <c r="D579" s="72" t="str">
        <f t="shared" si="245"/>
        <v>Educación</v>
      </c>
      <c r="E579" s="19">
        <v>6</v>
      </c>
      <c r="F579" s="18" t="s">
        <v>1421</v>
      </c>
      <c r="G579" s="18" t="s">
        <v>4290</v>
      </c>
      <c r="H579" s="33" t="s">
        <v>16</v>
      </c>
      <c r="I579" s="34" t="s">
        <v>373</v>
      </c>
      <c r="J579" s="9" t="str">
        <f t="shared" si="252"/>
        <v>Comuna</v>
      </c>
      <c r="K579" s="9" t="str">
        <f t="shared" si="246"/>
        <v>Puntaje promedio</v>
      </c>
      <c r="L579" s="9" t="str">
        <f t="shared" si="247"/>
        <v>Periodo 2015-2018</v>
      </c>
      <c r="M579" s="9" t="str">
        <f t="shared" si="248"/>
        <v>Puntaje</v>
      </c>
      <c r="N579" s="9" t="str">
        <f t="shared" si="249"/>
        <v>Agencia de Calidad de la Educación</v>
      </c>
      <c r="O579" s="20" t="str">
        <f>+"Evolución de Puntaje SIMCE de Matemáticas por Dependencia de Establecimientos para 2° Medio en la "&amp;I579&amp;", "&amp;Agencia[[#This Row],[temporalidad]]</f>
        <v>Evolución de Puntaje SIMCE de Matemáticas por Dependencia de Establecimientos para 2° Medio en la Región de O'Higgins, Periodo 2015-2018</v>
      </c>
      <c r="P579" s="112" t="s">
        <v>6268</v>
      </c>
      <c r="Q579" s="11" t="str">
        <f t="shared" si="250"/>
        <v>Gráfico de Evolución</v>
      </c>
      <c r="R579" s="148" t="str">
        <f>Agencia[[#This Row],[territorio]]&amp;",educación media,segundo medio,puntaje,matemáticas,municipal,subvencionado,corporación,lenguaje,particular,"&amp;Agencia[[#This Row],[coleccion]]&amp;","&amp;Agencia[[#This Row],[sector]]&amp;","&amp;Agencia[[#This Row],[tema]]&amp;","&amp;Agencia[[#This Row],[contenido]]</f>
        <v>Región de O'Higgins,educación media,segundo medio,puntaje,matemáticas,municipal,subvencionado,corporación,lenguaje,particular,Agencia Información,Educación,SIMCE,Métricas de la Educación</v>
      </c>
      <c r="S579" s="83" t="str">
        <f>HYPERLINK("https://analytics.zoho.com/open-view/2395394000009042688?ZOHO_CRITERIA=%22Localiza%20CL%22.%22Codreg%22%3D"&amp;Agencia[[#This Row],[Filtro URL]])</f>
        <v>https://analytics.zoho.com/open-view/2395394000009042688?ZOHO_CRITERIA=%22Localiza%20CL%22.%22Codreg%22%3D6</v>
      </c>
      <c r="T579" s="111" t="str">
        <f>"100-C-"&amp;Agencia[[#This Row],[Filtro URL]]</f>
        <v>100-C-6</v>
      </c>
      <c r="U579" s="46" t="str">
        <f t="shared" si="251"/>
        <v>#1774B9</v>
      </c>
      <c r="V579" s="93" t="str">
        <f>+Agencia[[#This Row],[idcoleccion]]&amp;"-"&amp;Agencia[[#This Row],[id]]</f>
        <v>990-0568</v>
      </c>
      <c r="W579" s="93">
        <f>+VLOOKUP(Agencia[[#This Row],[Filtro URL]],Estructura!$X$4:$Y$500,2,0)</f>
        <v>99200006</v>
      </c>
      <c r="X579" s="93" t="str">
        <f>+VLOOKUP(Agencia[[#This Row],[tema]],Estructura!$A$4:$C$500,3,0)</f>
        <v>T-1032</v>
      </c>
      <c r="Y579" s="93" t="str">
        <f>+VLOOKUP(Agencia[[#This Row],[contenido]],Estructura!$E$4:$G$500,3,0)</f>
        <v>C-1018</v>
      </c>
      <c r="Z579" s="93" t="str">
        <f>+VLOOKUP(Agencia[[#This Row],[Filtro Integrado]],Estructura!$I$4:$K$500,3,0)</f>
        <v>FI-991</v>
      </c>
      <c r="AA579" s="93" t="str">
        <f>+VLOOKUP(Agencia[[#This Row],[Muestra]],Estructura!$M$4:$O$500,3,0)</f>
        <v>M-1061</v>
      </c>
    </row>
    <row r="580" spans="1:27" ht="57.6" x14ac:dyDescent="0.3">
      <c r="A580" s="21" t="s">
        <v>1084</v>
      </c>
      <c r="B580" s="23">
        <f t="shared" si="237"/>
        <v>990</v>
      </c>
      <c r="C580" s="24" t="str">
        <f t="shared" si="238"/>
        <v>Agencia Información</v>
      </c>
      <c r="D580" s="72" t="str">
        <f t="shared" si="245"/>
        <v>Educación</v>
      </c>
      <c r="E580" s="19">
        <v>7</v>
      </c>
      <c r="F580" s="18" t="s">
        <v>1421</v>
      </c>
      <c r="G580" s="18" t="s">
        <v>4290</v>
      </c>
      <c r="H580" s="33" t="s">
        <v>16</v>
      </c>
      <c r="I580" s="34" t="s">
        <v>374</v>
      </c>
      <c r="J580" s="9" t="str">
        <f t="shared" si="252"/>
        <v>Comuna</v>
      </c>
      <c r="K580" s="9" t="str">
        <f t="shared" si="246"/>
        <v>Puntaje promedio</v>
      </c>
      <c r="L580" s="9" t="str">
        <f t="shared" si="247"/>
        <v>Periodo 2015-2018</v>
      </c>
      <c r="M580" s="9" t="str">
        <f t="shared" si="248"/>
        <v>Puntaje</v>
      </c>
      <c r="N580" s="9" t="str">
        <f t="shared" si="249"/>
        <v>Agencia de Calidad de la Educación</v>
      </c>
      <c r="O580" s="20" t="str">
        <f>+"Evolución de Puntaje SIMCE de Matemáticas por Dependencia de Establecimientos para 2° Medio en la "&amp;I580&amp;", "&amp;Agencia[[#This Row],[temporalidad]]</f>
        <v>Evolución de Puntaje SIMCE de Matemáticas por Dependencia de Establecimientos para 2° Medio en la Región de Maule, Periodo 2015-2018</v>
      </c>
      <c r="P580" s="112" t="s">
        <v>6269</v>
      </c>
      <c r="Q580" s="11" t="str">
        <f t="shared" si="250"/>
        <v>Gráfico de Evolución</v>
      </c>
      <c r="R580" s="148" t="str">
        <f>Agencia[[#This Row],[territorio]]&amp;",educación media,segundo medio,puntaje,matemáticas,municipal,subvencionado,corporación,lenguaje,particular,"&amp;Agencia[[#This Row],[coleccion]]&amp;","&amp;Agencia[[#This Row],[sector]]&amp;","&amp;Agencia[[#This Row],[tema]]&amp;","&amp;Agencia[[#This Row],[contenido]]</f>
        <v>Región de Maule,educación media,segundo medio,puntaje,matemáticas,municipal,subvencionado,corporación,lenguaje,particular,Agencia Información,Educación,SIMCE,Métricas de la Educación</v>
      </c>
      <c r="S580" s="83" t="str">
        <f>HYPERLINK("https://analytics.zoho.com/open-view/2395394000009042688?ZOHO_CRITERIA=%22Localiza%20CL%22.%22Codreg%22%3D"&amp;Agencia[[#This Row],[Filtro URL]])</f>
        <v>https://analytics.zoho.com/open-view/2395394000009042688?ZOHO_CRITERIA=%22Localiza%20CL%22.%22Codreg%22%3D7</v>
      </c>
      <c r="T580" s="111" t="str">
        <f>"100-C-"&amp;Agencia[[#This Row],[Filtro URL]]</f>
        <v>100-C-7</v>
      </c>
      <c r="U580" s="46" t="str">
        <f t="shared" si="251"/>
        <v>#1774B9</v>
      </c>
      <c r="V580" s="93" t="str">
        <f>+Agencia[[#This Row],[idcoleccion]]&amp;"-"&amp;Agencia[[#This Row],[id]]</f>
        <v>990-0569</v>
      </c>
      <c r="W580" s="93">
        <f>+VLOOKUP(Agencia[[#This Row],[Filtro URL]],Estructura!$X$4:$Y$500,2,0)</f>
        <v>99200007</v>
      </c>
      <c r="X580" s="93" t="str">
        <f>+VLOOKUP(Agencia[[#This Row],[tema]],Estructura!$A$4:$C$500,3,0)</f>
        <v>T-1032</v>
      </c>
      <c r="Y580" s="93" t="str">
        <f>+VLOOKUP(Agencia[[#This Row],[contenido]],Estructura!$E$4:$G$500,3,0)</f>
        <v>C-1018</v>
      </c>
      <c r="Z580" s="93" t="str">
        <f>+VLOOKUP(Agencia[[#This Row],[Filtro Integrado]],Estructura!$I$4:$K$500,3,0)</f>
        <v>FI-991</v>
      </c>
      <c r="AA580" s="93" t="str">
        <f>+VLOOKUP(Agencia[[#This Row],[Muestra]],Estructura!$M$4:$O$500,3,0)</f>
        <v>M-1061</v>
      </c>
    </row>
    <row r="581" spans="1:27" ht="57.6" x14ac:dyDescent="0.3">
      <c r="A581" s="21" t="s">
        <v>1085</v>
      </c>
      <c r="B581" s="23">
        <f t="shared" si="237"/>
        <v>990</v>
      </c>
      <c r="C581" s="24" t="str">
        <f t="shared" si="238"/>
        <v>Agencia Información</v>
      </c>
      <c r="D581" s="72" t="str">
        <f t="shared" si="245"/>
        <v>Educación</v>
      </c>
      <c r="E581" s="19">
        <v>8</v>
      </c>
      <c r="F581" s="18" t="s">
        <v>1421</v>
      </c>
      <c r="G581" s="18" t="s">
        <v>4290</v>
      </c>
      <c r="H581" s="33" t="s">
        <v>16</v>
      </c>
      <c r="I581" s="34" t="s">
        <v>375</v>
      </c>
      <c r="J581" s="9" t="str">
        <f t="shared" si="252"/>
        <v>Comuna</v>
      </c>
      <c r="K581" s="9" t="str">
        <f t="shared" si="246"/>
        <v>Puntaje promedio</v>
      </c>
      <c r="L581" s="9" t="str">
        <f t="shared" si="247"/>
        <v>Periodo 2015-2018</v>
      </c>
      <c r="M581" s="9" t="str">
        <f t="shared" si="248"/>
        <v>Puntaje</v>
      </c>
      <c r="N581" s="9" t="str">
        <f t="shared" si="249"/>
        <v>Agencia de Calidad de la Educación</v>
      </c>
      <c r="O581" s="20" t="str">
        <f>+"Evolución de Puntaje SIMCE de Matemáticas por Dependencia de Establecimientos para 2° Medio en la "&amp;I581&amp;", "&amp;Agencia[[#This Row],[temporalidad]]</f>
        <v>Evolución de Puntaje SIMCE de Matemáticas por Dependencia de Establecimientos para 2° Medio en la Región del Biobío, Periodo 2015-2018</v>
      </c>
      <c r="P581" s="112" t="s">
        <v>6270</v>
      </c>
      <c r="Q581" s="11" t="str">
        <f t="shared" si="250"/>
        <v>Gráfico de Evolución</v>
      </c>
      <c r="R581" s="148" t="str">
        <f>Agencia[[#This Row],[territorio]]&amp;",educación media,segundo medio,puntaje,matemáticas,municipal,subvencionado,corporación,lenguaje,particular,"&amp;Agencia[[#This Row],[coleccion]]&amp;","&amp;Agencia[[#This Row],[sector]]&amp;","&amp;Agencia[[#This Row],[tema]]&amp;","&amp;Agencia[[#This Row],[contenido]]</f>
        <v>Región del Biobío,educación media,segundo medio,puntaje,matemáticas,municipal,subvencionado,corporación,lenguaje,particular,Agencia Información,Educación,SIMCE,Métricas de la Educación</v>
      </c>
      <c r="S581" s="83" t="str">
        <f>HYPERLINK("https://analytics.zoho.com/open-view/2395394000009042688?ZOHO_CRITERIA=%22Localiza%20CL%22.%22Codreg%22%3D"&amp;Agencia[[#This Row],[Filtro URL]])</f>
        <v>https://analytics.zoho.com/open-view/2395394000009042688?ZOHO_CRITERIA=%22Localiza%20CL%22.%22Codreg%22%3D8</v>
      </c>
      <c r="T581" s="111" t="str">
        <f>"100-C-"&amp;Agencia[[#This Row],[Filtro URL]]</f>
        <v>100-C-8</v>
      </c>
      <c r="U581" s="46" t="str">
        <f t="shared" si="251"/>
        <v>#1774B9</v>
      </c>
      <c r="V581" s="93" t="str">
        <f>+Agencia[[#This Row],[idcoleccion]]&amp;"-"&amp;Agencia[[#This Row],[id]]</f>
        <v>990-0570</v>
      </c>
      <c r="W581" s="93">
        <f>+VLOOKUP(Agencia[[#This Row],[Filtro URL]],Estructura!$X$4:$Y$500,2,0)</f>
        <v>99200008</v>
      </c>
      <c r="X581" s="93" t="str">
        <f>+VLOOKUP(Agencia[[#This Row],[tema]],Estructura!$A$4:$C$500,3,0)</f>
        <v>T-1032</v>
      </c>
      <c r="Y581" s="93" t="str">
        <f>+VLOOKUP(Agencia[[#This Row],[contenido]],Estructura!$E$4:$G$500,3,0)</f>
        <v>C-1018</v>
      </c>
      <c r="Z581" s="93" t="str">
        <f>+VLOOKUP(Agencia[[#This Row],[Filtro Integrado]],Estructura!$I$4:$K$500,3,0)</f>
        <v>FI-991</v>
      </c>
      <c r="AA581" s="93" t="str">
        <f>+VLOOKUP(Agencia[[#This Row],[Muestra]],Estructura!$M$4:$O$500,3,0)</f>
        <v>M-1061</v>
      </c>
    </row>
    <row r="582" spans="1:27" ht="61.2" x14ac:dyDescent="0.3">
      <c r="A582" s="21" t="s">
        <v>1086</v>
      </c>
      <c r="B582" s="23">
        <f t="shared" si="237"/>
        <v>990</v>
      </c>
      <c r="C582" s="24" t="str">
        <f t="shared" si="238"/>
        <v>Agencia Información</v>
      </c>
      <c r="D582" s="72" t="str">
        <f t="shared" si="245"/>
        <v>Educación</v>
      </c>
      <c r="E582" s="19">
        <v>9</v>
      </c>
      <c r="F582" s="18" t="s">
        <v>1421</v>
      </c>
      <c r="G582" s="18" t="s">
        <v>4290</v>
      </c>
      <c r="H582" s="33" t="s">
        <v>16</v>
      </c>
      <c r="I582" s="34" t="s">
        <v>376</v>
      </c>
      <c r="J582" s="9" t="str">
        <f t="shared" si="252"/>
        <v>Comuna</v>
      </c>
      <c r="K582" s="9" t="str">
        <f t="shared" si="246"/>
        <v>Puntaje promedio</v>
      </c>
      <c r="L582" s="9" t="str">
        <f t="shared" si="247"/>
        <v>Periodo 2015-2018</v>
      </c>
      <c r="M582" s="9" t="str">
        <f t="shared" si="248"/>
        <v>Puntaje</v>
      </c>
      <c r="N582" s="9" t="str">
        <f t="shared" si="249"/>
        <v>Agencia de Calidad de la Educación</v>
      </c>
      <c r="O582" s="20" t="str">
        <f>+"Evolución de Puntaje SIMCE de Matemáticas por Dependencia de Establecimientos para 2° Medio en la "&amp;I582&amp;", "&amp;Agencia[[#This Row],[temporalidad]]</f>
        <v>Evolución de Puntaje SIMCE de Matemáticas por Dependencia de Establecimientos para 2° Medio en la Región de La Araucanía, Periodo 2015-2018</v>
      </c>
      <c r="P582" s="112" t="s">
        <v>6271</v>
      </c>
      <c r="Q582" s="11" t="str">
        <f t="shared" si="250"/>
        <v>Gráfico de Evolución</v>
      </c>
      <c r="R582" s="148" t="str">
        <f>Agencia[[#This Row],[territorio]]&amp;",educación media,segundo medio,puntaje,matemáticas,municipal,subvencionado,corporación,lenguaje,particular,"&amp;Agencia[[#This Row],[coleccion]]&amp;","&amp;Agencia[[#This Row],[sector]]&amp;","&amp;Agencia[[#This Row],[tema]]&amp;","&amp;Agencia[[#This Row],[contenido]]</f>
        <v>Región de La Araucanía,educación media,segundo medio,puntaje,matemáticas,municipal,subvencionado,corporación,lenguaje,particular,Agencia Información,Educación,SIMCE,Métricas de la Educación</v>
      </c>
      <c r="S582" s="83" t="str">
        <f>HYPERLINK("https://analytics.zoho.com/open-view/2395394000009042688?ZOHO_CRITERIA=%22Localiza%20CL%22.%22Codreg%22%3D"&amp;Agencia[[#This Row],[Filtro URL]])</f>
        <v>https://analytics.zoho.com/open-view/2395394000009042688?ZOHO_CRITERIA=%22Localiza%20CL%22.%22Codreg%22%3D9</v>
      </c>
      <c r="T582" s="111" t="str">
        <f>"100-C-"&amp;Agencia[[#This Row],[Filtro URL]]</f>
        <v>100-C-9</v>
      </c>
      <c r="U582" s="46" t="str">
        <f t="shared" si="251"/>
        <v>#1774B9</v>
      </c>
      <c r="V582" s="93" t="str">
        <f>+Agencia[[#This Row],[idcoleccion]]&amp;"-"&amp;Agencia[[#This Row],[id]]</f>
        <v>990-0571</v>
      </c>
      <c r="W582" s="93">
        <f>+VLOOKUP(Agencia[[#This Row],[Filtro URL]],Estructura!$X$4:$Y$500,2,0)</f>
        <v>99200009</v>
      </c>
      <c r="X582" s="93" t="str">
        <f>+VLOOKUP(Agencia[[#This Row],[tema]],Estructura!$A$4:$C$500,3,0)</f>
        <v>T-1032</v>
      </c>
      <c r="Y582" s="93" t="str">
        <f>+VLOOKUP(Agencia[[#This Row],[contenido]],Estructura!$E$4:$G$500,3,0)</f>
        <v>C-1018</v>
      </c>
      <c r="Z582" s="93" t="str">
        <f>+VLOOKUP(Agencia[[#This Row],[Filtro Integrado]],Estructura!$I$4:$K$500,3,0)</f>
        <v>FI-991</v>
      </c>
      <c r="AA582" s="93" t="str">
        <f>+VLOOKUP(Agencia[[#This Row],[Muestra]],Estructura!$M$4:$O$500,3,0)</f>
        <v>M-1061</v>
      </c>
    </row>
    <row r="583" spans="1:27" ht="57.6" x14ac:dyDescent="0.3">
      <c r="A583" s="21" t="s">
        <v>1087</v>
      </c>
      <c r="B583" s="23">
        <f t="shared" si="237"/>
        <v>990</v>
      </c>
      <c r="C583" s="24" t="str">
        <f t="shared" si="238"/>
        <v>Agencia Información</v>
      </c>
      <c r="D583" s="72" t="str">
        <f t="shared" si="245"/>
        <v>Educación</v>
      </c>
      <c r="E583" s="19">
        <v>10</v>
      </c>
      <c r="F583" s="18" t="s">
        <v>1421</v>
      </c>
      <c r="G583" s="18" t="s">
        <v>4290</v>
      </c>
      <c r="H583" s="33" t="s">
        <v>16</v>
      </c>
      <c r="I583" s="34" t="s">
        <v>377</v>
      </c>
      <c r="J583" s="9" t="str">
        <f t="shared" si="252"/>
        <v>Comuna</v>
      </c>
      <c r="K583" s="9" t="str">
        <f t="shared" si="246"/>
        <v>Puntaje promedio</v>
      </c>
      <c r="L583" s="9" t="str">
        <f t="shared" si="247"/>
        <v>Periodo 2015-2018</v>
      </c>
      <c r="M583" s="9" t="str">
        <f t="shared" si="248"/>
        <v>Puntaje</v>
      </c>
      <c r="N583" s="9" t="str">
        <f t="shared" si="249"/>
        <v>Agencia de Calidad de la Educación</v>
      </c>
      <c r="O583" s="20" t="str">
        <f>+"Evolución de Puntaje SIMCE de Matemáticas por Dependencia de Establecimientos para 2° Medio en la "&amp;I583&amp;", "&amp;Agencia[[#This Row],[temporalidad]]</f>
        <v>Evolución de Puntaje SIMCE de Matemáticas por Dependencia de Establecimientos para 2° Medio en la Región de Los Lagos, Periodo 2015-2018</v>
      </c>
      <c r="P583" s="112" t="s">
        <v>6272</v>
      </c>
      <c r="Q583" s="11" t="str">
        <f t="shared" si="250"/>
        <v>Gráfico de Evolución</v>
      </c>
      <c r="R583" s="148" t="str">
        <f>Agencia[[#This Row],[territorio]]&amp;",educación media,segundo medio,puntaje,matemáticas,municipal,subvencionado,corporación,lenguaje,particular,"&amp;Agencia[[#This Row],[coleccion]]&amp;","&amp;Agencia[[#This Row],[sector]]&amp;","&amp;Agencia[[#This Row],[tema]]&amp;","&amp;Agencia[[#This Row],[contenido]]</f>
        <v>Región de Los Lagos,educación media,segundo medio,puntaje,matemáticas,municipal,subvencionado,corporación,lenguaje,particular,Agencia Información,Educación,SIMCE,Métricas de la Educación</v>
      </c>
      <c r="S583" s="83" t="str">
        <f>HYPERLINK("https://analytics.zoho.com/open-view/2395394000009042688?ZOHO_CRITERIA=%22Localiza%20CL%22.%22Codreg%22%3D"&amp;Agencia[[#This Row],[Filtro URL]])</f>
        <v>https://analytics.zoho.com/open-view/2395394000009042688?ZOHO_CRITERIA=%22Localiza%20CL%22.%22Codreg%22%3D10</v>
      </c>
      <c r="T583" s="111" t="str">
        <f>"100-C-"&amp;Agencia[[#This Row],[Filtro URL]]</f>
        <v>100-C-10</v>
      </c>
      <c r="U583" s="46" t="str">
        <f t="shared" si="251"/>
        <v>#1774B9</v>
      </c>
      <c r="V583" s="93" t="str">
        <f>+Agencia[[#This Row],[idcoleccion]]&amp;"-"&amp;Agencia[[#This Row],[id]]</f>
        <v>990-0572</v>
      </c>
      <c r="W583" s="93">
        <f>+VLOOKUP(Agencia[[#This Row],[Filtro URL]],Estructura!$X$4:$Y$500,2,0)</f>
        <v>99200010</v>
      </c>
      <c r="X583" s="93" t="str">
        <f>+VLOOKUP(Agencia[[#This Row],[tema]],Estructura!$A$4:$C$500,3,0)</f>
        <v>T-1032</v>
      </c>
      <c r="Y583" s="93" t="str">
        <f>+VLOOKUP(Agencia[[#This Row],[contenido]],Estructura!$E$4:$G$500,3,0)</f>
        <v>C-1018</v>
      </c>
      <c r="Z583" s="93" t="str">
        <f>+VLOOKUP(Agencia[[#This Row],[Filtro Integrado]],Estructura!$I$4:$K$500,3,0)</f>
        <v>FI-991</v>
      </c>
      <c r="AA583" s="93" t="str">
        <f>+VLOOKUP(Agencia[[#This Row],[Muestra]],Estructura!$M$4:$O$500,3,0)</f>
        <v>M-1061</v>
      </c>
    </row>
    <row r="584" spans="1:27" ht="57.6" x14ac:dyDescent="0.3">
      <c r="A584" s="21" t="s">
        <v>1088</v>
      </c>
      <c r="B584" s="23">
        <f t="shared" si="237"/>
        <v>990</v>
      </c>
      <c r="C584" s="24" t="str">
        <f t="shared" si="238"/>
        <v>Agencia Información</v>
      </c>
      <c r="D584" s="72" t="str">
        <f t="shared" si="245"/>
        <v>Educación</v>
      </c>
      <c r="E584" s="19">
        <v>11</v>
      </c>
      <c r="F584" s="18" t="s">
        <v>1421</v>
      </c>
      <c r="G584" s="18" t="s">
        <v>4290</v>
      </c>
      <c r="H584" s="33" t="s">
        <v>16</v>
      </c>
      <c r="I584" s="34" t="s">
        <v>378</v>
      </c>
      <c r="J584" s="9" t="str">
        <f t="shared" si="252"/>
        <v>Comuna</v>
      </c>
      <c r="K584" s="9" t="str">
        <f t="shared" si="246"/>
        <v>Puntaje promedio</v>
      </c>
      <c r="L584" s="9" t="str">
        <f t="shared" si="247"/>
        <v>Periodo 2015-2018</v>
      </c>
      <c r="M584" s="9" t="str">
        <f t="shared" si="248"/>
        <v>Puntaje</v>
      </c>
      <c r="N584" s="9" t="str">
        <f t="shared" si="249"/>
        <v>Agencia de Calidad de la Educación</v>
      </c>
      <c r="O584" s="20" t="str">
        <f>+"Evolución de Puntaje SIMCE de Matemáticas por Dependencia de Establecimientos para 2° Medio en la "&amp;I584&amp;", "&amp;Agencia[[#This Row],[temporalidad]]</f>
        <v>Evolución de Puntaje SIMCE de Matemáticas por Dependencia de Establecimientos para 2° Medio en la Región de Aysén, Periodo 2015-2018</v>
      </c>
      <c r="P584" s="112" t="s">
        <v>6273</v>
      </c>
      <c r="Q584" s="11" t="str">
        <f t="shared" si="250"/>
        <v>Gráfico de Evolución</v>
      </c>
      <c r="R584" s="148" t="str">
        <f>Agencia[[#This Row],[territorio]]&amp;",educación media,segundo medio,puntaje,matemáticas,municipal,subvencionado,corporación,lenguaje,particular,"&amp;Agencia[[#This Row],[coleccion]]&amp;","&amp;Agencia[[#This Row],[sector]]&amp;","&amp;Agencia[[#This Row],[tema]]&amp;","&amp;Agencia[[#This Row],[contenido]]</f>
        <v>Región de Aysén,educación media,segundo medio,puntaje,matemáticas,municipal,subvencionado,corporación,lenguaje,particular,Agencia Información,Educación,SIMCE,Métricas de la Educación</v>
      </c>
      <c r="S584" s="83" t="str">
        <f>HYPERLINK("https://analytics.zoho.com/open-view/2395394000009042688?ZOHO_CRITERIA=%22Localiza%20CL%22.%22Codreg%22%3D"&amp;Agencia[[#This Row],[Filtro URL]])</f>
        <v>https://analytics.zoho.com/open-view/2395394000009042688?ZOHO_CRITERIA=%22Localiza%20CL%22.%22Codreg%22%3D11</v>
      </c>
      <c r="T584" s="111" t="str">
        <f>"100-C-"&amp;Agencia[[#This Row],[Filtro URL]]</f>
        <v>100-C-11</v>
      </c>
      <c r="U584" s="46" t="str">
        <f t="shared" si="251"/>
        <v>#1774B9</v>
      </c>
      <c r="V584" s="93" t="str">
        <f>+Agencia[[#This Row],[idcoleccion]]&amp;"-"&amp;Agencia[[#This Row],[id]]</f>
        <v>990-0573</v>
      </c>
      <c r="W584" s="93">
        <f>+VLOOKUP(Agencia[[#This Row],[Filtro URL]],Estructura!$X$4:$Y$500,2,0)</f>
        <v>99200011</v>
      </c>
      <c r="X584" s="93" t="str">
        <f>+VLOOKUP(Agencia[[#This Row],[tema]],Estructura!$A$4:$C$500,3,0)</f>
        <v>T-1032</v>
      </c>
      <c r="Y584" s="93" t="str">
        <f>+VLOOKUP(Agencia[[#This Row],[contenido]],Estructura!$E$4:$G$500,3,0)</f>
        <v>C-1018</v>
      </c>
      <c r="Z584" s="93" t="str">
        <f>+VLOOKUP(Agencia[[#This Row],[Filtro Integrado]],Estructura!$I$4:$K$500,3,0)</f>
        <v>FI-991</v>
      </c>
      <c r="AA584" s="93" t="str">
        <f>+VLOOKUP(Agencia[[#This Row],[Muestra]],Estructura!$M$4:$O$500,3,0)</f>
        <v>M-1061</v>
      </c>
    </row>
    <row r="585" spans="1:27" ht="57.6" x14ac:dyDescent="0.3">
      <c r="A585" s="21" t="s">
        <v>1089</v>
      </c>
      <c r="B585" s="23">
        <f t="shared" si="237"/>
        <v>990</v>
      </c>
      <c r="C585" s="24" t="str">
        <f t="shared" si="238"/>
        <v>Agencia Información</v>
      </c>
      <c r="D585" s="72" t="str">
        <f t="shared" si="245"/>
        <v>Educación</v>
      </c>
      <c r="E585" s="19">
        <v>12</v>
      </c>
      <c r="F585" s="18" t="s">
        <v>1421</v>
      </c>
      <c r="G585" s="18" t="s">
        <v>4290</v>
      </c>
      <c r="H585" s="33" t="s">
        <v>16</v>
      </c>
      <c r="I585" s="34" t="s">
        <v>379</v>
      </c>
      <c r="J585" s="9" t="str">
        <f t="shared" si="252"/>
        <v>Comuna</v>
      </c>
      <c r="K585" s="9" t="str">
        <f t="shared" si="246"/>
        <v>Puntaje promedio</v>
      </c>
      <c r="L585" s="9" t="str">
        <f t="shared" si="247"/>
        <v>Periodo 2015-2018</v>
      </c>
      <c r="M585" s="9" t="str">
        <f t="shared" si="248"/>
        <v>Puntaje</v>
      </c>
      <c r="N585" s="9" t="str">
        <f t="shared" si="249"/>
        <v>Agencia de Calidad de la Educación</v>
      </c>
      <c r="O585" s="20" t="str">
        <f>+"Evolución de Puntaje SIMCE de Matemáticas por Dependencia de Establecimientos para 2° Medio en la "&amp;I585&amp;", "&amp;Agencia[[#This Row],[temporalidad]]</f>
        <v>Evolución de Puntaje SIMCE de Matemáticas por Dependencia de Establecimientos para 2° Medio en la Región de Magallanes, Periodo 2015-2018</v>
      </c>
      <c r="P585" s="112" t="s">
        <v>6274</v>
      </c>
      <c r="Q585" s="11" t="str">
        <f t="shared" si="250"/>
        <v>Gráfico de Evolución</v>
      </c>
      <c r="R585" s="148" t="str">
        <f>Agencia[[#This Row],[territorio]]&amp;",educación media,segundo medio,puntaje,matemáticas,municipal,subvencionado,corporación,lenguaje,particular,"&amp;Agencia[[#This Row],[coleccion]]&amp;","&amp;Agencia[[#This Row],[sector]]&amp;","&amp;Agencia[[#This Row],[tema]]&amp;","&amp;Agencia[[#This Row],[contenido]]</f>
        <v>Región de Magallanes,educación media,segundo medio,puntaje,matemáticas,municipal,subvencionado,corporación,lenguaje,particular,Agencia Información,Educación,SIMCE,Métricas de la Educación</v>
      </c>
      <c r="S585" s="83" t="str">
        <f>HYPERLINK("https://analytics.zoho.com/open-view/2395394000009042688?ZOHO_CRITERIA=%22Localiza%20CL%22.%22Codreg%22%3D"&amp;Agencia[[#This Row],[Filtro URL]])</f>
        <v>https://analytics.zoho.com/open-view/2395394000009042688?ZOHO_CRITERIA=%22Localiza%20CL%22.%22Codreg%22%3D12</v>
      </c>
      <c r="T585" s="111" t="str">
        <f>"100-C-"&amp;Agencia[[#This Row],[Filtro URL]]</f>
        <v>100-C-12</v>
      </c>
      <c r="U585" s="46" t="str">
        <f t="shared" si="251"/>
        <v>#1774B9</v>
      </c>
      <c r="V585" s="93" t="str">
        <f>+Agencia[[#This Row],[idcoleccion]]&amp;"-"&amp;Agencia[[#This Row],[id]]</f>
        <v>990-0574</v>
      </c>
      <c r="W585" s="93">
        <f>+VLOOKUP(Agencia[[#This Row],[Filtro URL]],Estructura!$X$4:$Y$500,2,0)</f>
        <v>99200012</v>
      </c>
      <c r="X585" s="93" t="str">
        <f>+VLOOKUP(Agencia[[#This Row],[tema]],Estructura!$A$4:$C$500,3,0)</f>
        <v>T-1032</v>
      </c>
      <c r="Y585" s="93" t="str">
        <f>+VLOOKUP(Agencia[[#This Row],[contenido]],Estructura!$E$4:$G$500,3,0)</f>
        <v>C-1018</v>
      </c>
      <c r="Z585" s="93" t="str">
        <f>+VLOOKUP(Agencia[[#This Row],[Filtro Integrado]],Estructura!$I$4:$K$500,3,0)</f>
        <v>FI-991</v>
      </c>
      <c r="AA585" s="93" t="str">
        <f>+VLOOKUP(Agencia[[#This Row],[Muestra]],Estructura!$M$4:$O$500,3,0)</f>
        <v>M-1061</v>
      </c>
    </row>
    <row r="586" spans="1:27" ht="57.6" x14ac:dyDescent="0.3">
      <c r="A586" s="21" t="s">
        <v>1090</v>
      </c>
      <c r="B586" s="23">
        <f t="shared" si="237"/>
        <v>990</v>
      </c>
      <c r="C586" s="24" t="str">
        <f t="shared" si="238"/>
        <v>Agencia Información</v>
      </c>
      <c r="D586" s="72" t="str">
        <f t="shared" si="245"/>
        <v>Educación</v>
      </c>
      <c r="E586" s="19">
        <v>13</v>
      </c>
      <c r="F586" s="18" t="s">
        <v>1421</v>
      </c>
      <c r="G586" s="18" t="s">
        <v>4290</v>
      </c>
      <c r="H586" s="33" t="s">
        <v>16</v>
      </c>
      <c r="I586" s="34" t="s">
        <v>380</v>
      </c>
      <c r="J586" s="9" t="str">
        <f t="shared" si="252"/>
        <v>Comuna</v>
      </c>
      <c r="K586" s="9" t="str">
        <f t="shared" si="246"/>
        <v>Puntaje promedio</v>
      </c>
      <c r="L586" s="9" t="str">
        <f t="shared" si="247"/>
        <v>Periodo 2015-2018</v>
      </c>
      <c r="M586" s="9" t="str">
        <f t="shared" si="248"/>
        <v>Puntaje</v>
      </c>
      <c r="N586" s="9" t="str">
        <f t="shared" si="249"/>
        <v>Agencia de Calidad de la Educación</v>
      </c>
      <c r="O586" s="20" t="str">
        <f>+"Evolución de Puntaje SIMCE de Matemáticas por Dependencia de Establecimientos para 2° Medio en la "&amp;I586&amp;", "&amp;Agencia[[#This Row],[temporalidad]]</f>
        <v>Evolución de Puntaje SIMCE de Matemáticas por Dependencia de Establecimientos para 2° Medio en la Región Metropolitana, Periodo 2015-2018</v>
      </c>
      <c r="P586" s="112" t="s">
        <v>6275</v>
      </c>
      <c r="Q586" s="11" t="str">
        <f t="shared" si="250"/>
        <v>Gráfico de Evolución</v>
      </c>
      <c r="R586" s="148" t="str">
        <f>Agencia[[#This Row],[territorio]]&amp;",educación media,segundo medio,puntaje,matemáticas,municipal,subvencionado,corporación,lenguaje,particular,"&amp;Agencia[[#This Row],[coleccion]]&amp;","&amp;Agencia[[#This Row],[sector]]&amp;","&amp;Agencia[[#This Row],[tema]]&amp;","&amp;Agencia[[#This Row],[contenido]]</f>
        <v>Región Metropolitana,educación media,segundo medio,puntaje,matemáticas,municipal,subvencionado,corporación,lenguaje,particular,Agencia Información,Educación,SIMCE,Métricas de la Educación</v>
      </c>
      <c r="S586" s="83" t="str">
        <f>HYPERLINK("https://analytics.zoho.com/open-view/2395394000009042688?ZOHO_CRITERIA=%22Localiza%20CL%22.%22Codreg%22%3D"&amp;Agencia[[#This Row],[Filtro URL]])</f>
        <v>https://analytics.zoho.com/open-view/2395394000009042688?ZOHO_CRITERIA=%22Localiza%20CL%22.%22Codreg%22%3D13</v>
      </c>
      <c r="T586" s="111" t="str">
        <f>"200-C-"&amp;Agencia[[#This Row],[Filtro URL]]</f>
        <v>200-C-13</v>
      </c>
      <c r="U586" s="46" t="str">
        <f t="shared" si="251"/>
        <v>#1774B9</v>
      </c>
      <c r="V586" s="93" t="str">
        <f>+Agencia[[#This Row],[idcoleccion]]&amp;"-"&amp;Agencia[[#This Row],[id]]</f>
        <v>990-0575</v>
      </c>
      <c r="W586" s="93">
        <f>+VLOOKUP(Agencia[[#This Row],[Filtro URL]],Estructura!$X$4:$Y$500,2,0)</f>
        <v>99200013</v>
      </c>
      <c r="X586" s="93" t="str">
        <f>+VLOOKUP(Agencia[[#This Row],[tema]],Estructura!$A$4:$C$500,3,0)</f>
        <v>T-1032</v>
      </c>
      <c r="Y586" s="93" t="str">
        <f>+VLOOKUP(Agencia[[#This Row],[contenido]],Estructura!$E$4:$G$500,3,0)</f>
        <v>C-1018</v>
      </c>
      <c r="Z586" s="93" t="str">
        <f>+VLOOKUP(Agencia[[#This Row],[Filtro Integrado]],Estructura!$I$4:$K$500,3,0)</f>
        <v>FI-991</v>
      </c>
      <c r="AA586" s="93" t="str">
        <f>+VLOOKUP(Agencia[[#This Row],[Muestra]],Estructura!$M$4:$O$500,3,0)</f>
        <v>M-1061</v>
      </c>
    </row>
    <row r="587" spans="1:27" ht="57.6" x14ac:dyDescent="0.3">
      <c r="A587" s="21" t="s">
        <v>1091</v>
      </c>
      <c r="B587" s="23">
        <f t="shared" si="237"/>
        <v>990</v>
      </c>
      <c r="C587" s="24" t="str">
        <f t="shared" si="238"/>
        <v>Agencia Información</v>
      </c>
      <c r="D587" s="72" t="str">
        <f t="shared" si="245"/>
        <v>Educación</v>
      </c>
      <c r="E587" s="19">
        <v>14</v>
      </c>
      <c r="F587" s="18" t="s">
        <v>1421</v>
      </c>
      <c r="G587" s="18" t="s">
        <v>4290</v>
      </c>
      <c r="H587" s="33" t="s">
        <v>16</v>
      </c>
      <c r="I587" s="34" t="s">
        <v>381</v>
      </c>
      <c r="J587" s="9" t="str">
        <f t="shared" si="252"/>
        <v>Comuna</v>
      </c>
      <c r="K587" s="9" t="str">
        <f t="shared" si="246"/>
        <v>Puntaje promedio</v>
      </c>
      <c r="L587" s="9" t="str">
        <f t="shared" si="247"/>
        <v>Periodo 2015-2018</v>
      </c>
      <c r="M587" s="9" t="str">
        <f t="shared" si="248"/>
        <v>Puntaje</v>
      </c>
      <c r="N587" s="9" t="str">
        <f t="shared" si="249"/>
        <v>Agencia de Calidad de la Educación</v>
      </c>
      <c r="O587" s="20" t="str">
        <f>+"Evolución de Puntaje SIMCE de Matemáticas por Dependencia de Establecimientos para 2° Medio en la "&amp;I587&amp;", "&amp;Agencia[[#This Row],[temporalidad]]</f>
        <v>Evolución de Puntaje SIMCE de Matemáticas por Dependencia de Establecimientos para 2° Medio en la Región de Los Ríos, Periodo 2015-2018</v>
      </c>
      <c r="P587" s="112" t="s">
        <v>6276</v>
      </c>
      <c r="Q587" s="11" t="str">
        <f t="shared" si="250"/>
        <v>Gráfico de Evolución</v>
      </c>
      <c r="R587" s="148" t="str">
        <f>Agencia[[#This Row],[territorio]]&amp;",educación media,segundo medio,puntaje,matemáticas,municipal,subvencionado,corporación,lenguaje,particular,"&amp;Agencia[[#This Row],[coleccion]]&amp;","&amp;Agencia[[#This Row],[sector]]&amp;","&amp;Agencia[[#This Row],[tema]]&amp;","&amp;Agencia[[#This Row],[contenido]]</f>
        <v>Región de Los Ríos,educación media,segundo medio,puntaje,matemáticas,municipal,subvencionado,corporación,lenguaje,particular,Agencia Información,Educación,SIMCE,Métricas de la Educación</v>
      </c>
      <c r="S587" s="83" t="str">
        <f>HYPERLINK("https://analytics.zoho.com/open-view/2395394000009042688?ZOHO_CRITERIA=%22Localiza%20CL%22.%22Codreg%22%3D"&amp;Agencia[[#This Row],[Filtro URL]])</f>
        <v>https://analytics.zoho.com/open-view/2395394000009042688?ZOHO_CRITERIA=%22Localiza%20CL%22.%22Codreg%22%3D14</v>
      </c>
      <c r="T587" s="111" t="str">
        <f>"100-C-"&amp;Agencia[[#This Row],[Filtro URL]]</f>
        <v>100-C-14</v>
      </c>
      <c r="U587" s="46" t="str">
        <f t="shared" si="251"/>
        <v>#1774B9</v>
      </c>
      <c r="V587" s="93" t="str">
        <f>+Agencia[[#This Row],[idcoleccion]]&amp;"-"&amp;Agencia[[#This Row],[id]]</f>
        <v>990-0576</v>
      </c>
      <c r="W587" s="93">
        <f>+VLOOKUP(Agencia[[#This Row],[Filtro URL]],Estructura!$X$4:$Y$500,2,0)</f>
        <v>99200014</v>
      </c>
      <c r="X587" s="93" t="str">
        <f>+VLOOKUP(Agencia[[#This Row],[tema]],Estructura!$A$4:$C$500,3,0)</f>
        <v>T-1032</v>
      </c>
      <c r="Y587" s="93" t="str">
        <f>+VLOOKUP(Agencia[[#This Row],[contenido]],Estructura!$E$4:$G$500,3,0)</f>
        <v>C-1018</v>
      </c>
      <c r="Z587" s="93" t="str">
        <f>+VLOOKUP(Agencia[[#This Row],[Filtro Integrado]],Estructura!$I$4:$K$500,3,0)</f>
        <v>FI-991</v>
      </c>
      <c r="AA587" s="93" t="str">
        <f>+VLOOKUP(Agencia[[#This Row],[Muestra]],Estructura!$M$4:$O$500,3,0)</f>
        <v>M-1061</v>
      </c>
    </row>
    <row r="588" spans="1:27" ht="61.2" x14ac:dyDescent="0.3">
      <c r="A588" s="21" t="s">
        <v>1092</v>
      </c>
      <c r="B588" s="23">
        <f t="shared" si="237"/>
        <v>990</v>
      </c>
      <c r="C588" s="24" t="str">
        <f t="shared" si="238"/>
        <v>Agencia Información</v>
      </c>
      <c r="D588" s="72" t="str">
        <f t="shared" si="245"/>
        <v>Educación</v>
      </c>
      <c r="E588" s="19">
        <v>15</v>
      </c>
      <c r="F588" s="18" t="s">
        <v>1421</v>
      </c>
      <c r="G588" s="18" t="s">
        <v>4290</v>
      </c>
      <c r="H588" s="33" t="s">
        <v>16</v>
      </c>
      <c r="I588" s="34" t="s">
        <v>382</v>
      </c>
      <c r="J588" s="9" t="str">
        <f t="shared" si="252"/>
        <v>Comuna</v>
      </c>
      <c r="K588" s="9" t="str">
        <f t="shared" si="246"/>
        <v>Puntaje promedio</v>
      </c>
      <c r="L588" s="9" t="str">
        <f t="shared" si="247"/>
        <v>Periodo 2015-2018</v>
      </c>
      <c r="M588" s="9" t="str">
        <f t="shared" si="248"/>
        <v>Puntaje</v>
      </c>
      <c r="N588" s="9" t="str">
        <f t="shared" si="249"/>
        <v>Agencia de Calidad de la Educación</v>
      </c>
      <c r="O588" s="20" t="str">
        <f>+"Evolución de Puntaje SIMCE de Matemáticas por Dependencia de Establecimientos para 2° Medio en la "&amp;I588&amp;", "&amp;Agencia[[#This Row],[temporalidad]]</f>
        <v>Evolución de Puntaje SIMCE de Matemáticas por Dependencia de Establecimientos para 2° Medio en la Región de Arica y Parinacota, Periodo 2015-2018</v>
      </c>
      <c r="P588" s="112" t="s">
        <v>6277</v>
      </c>
      <c r="Q588" s="11" t="str">
        <f t="shared" si="250"/>
        <v>Gráfico de Evolución</v>
      </c>
      <c r="R588" s="148" t="str">
        <f>Agencia[[#This Row],[territorio]]&amp;",educación media,segundo medio,puntaje,matemáticas,municipal,subvencionado,corporación,lenguaje,particular,"&amp;Agencia[[#This Row],[coleccion]]&amp;","&amp;Agencia[[#This Row],[sector]]&amp;","&amp;Agencia[[#This Row],[tema]]&amp;","&amp;Agencia[[#This Row],[contenido]]</f>
        <v>Región de Arica y Parinacota,educación media,segundo medio,puntaje,matemáticas,municipal,subvencionado,corporación,lenguaje,particular,Agencia Información,Educación,SIMCE,Métricas de la Educación</v>
      </c>
      <c r="S588" s="83" t="str">
        <f>HYPERLINK("https://analytics.zoho.com/open-view/2395394000009042688?ZOHO_CRITERIA=%22Localiza%20CL%22.%22Codreg%22%3D"&amp;Agencia[[#This Row],[Filtro URL]])</f>
        <v>https://analytics.zoho.com/open-view/2395394000009042688?ZOHO_CRITERIA=%22Localiza%20CL%22.%22Codreg%22%3D15</v>
      </c>
      <c r="T588" s="111" t="str">
        <f>"100-C-"&amp;Agencia[[#This Row],[Filtro URL]]</f>
        <v>100-C-15</v>
      </c>
      <c r="U588" s="46" t="str">
        <f t="shared" si="251"/>
        <v>#1774B9</v>
      </c>
      <c r="V588" s="93" t="str">
        <f>+Agencia[[#This Row],[idcoleccion]]&amp;"-"&amp;Agencia[[#This Row],[id]]</f>
        <v>990-0577</v>
      </c>
      <c r="W588" s="93">
        <f>+VLOOKUP(Agencia[[#This Row],[Filtro URL]],Estructura!$X$4:$Y$500,2,0)</f>
        <v>99200015</v>
      </c>
      <c r="X588" s="93" t="str">
        <f>+VLOOKUP(Agencia[[#This Row],[tema]],Estructura!$A$4:$C$500,3,0)</f>
        <v>T-1032</v>
      </c>
      <c r="Y588" s="93" t="str">
        <f>+VLOOKUP(Agencia[[#This Row],[contenido]],Estructura!$E$4:$G$500,3,0)</f>
        <v>C-1018</v>
      </c>
      <c r="Z588" s="93" t="str">
        <f>+VLOOKUP(Agencia[[#This Row],[Filtro Integrado]],Estructura!$I$4:$K$500,3,0)</f>
        <v>FI-991</v>
      </c>
      <c r="AA588" s="93" t="str">
        <f>+VLOOKUP(Agencia[[#This Row],[Muestra]],Estructura!$M$4:$O$500,3,0)</f>
        <v>M-1061</v>
      </c>
    </row>
    <row r="589" spans="1:27" ht="57.6" x14ac:dyDescent="0.3">
      <c r="A589" s="21" t="s">
        <v>1093</v>
      </c>
      <c r="B589" s="23">
        <f t="shared" si="237"/>
        <v>990</v>
      </c>
      <c r="C589" s="24" t="str">
        <f t="shared" si="238"/>
        <v>Agencia Información</v>
      </c>
      <c r="D589" s="72" t="str">
        <f t="shared" si="245"/>
        <v>Educación</v>
      </c>
      <c r="E589" s="19">
        <v>16</v>
      </c>
      <c r="F589" s="18" t="s">
        <v>1421</v>
      </c>
      <c r="G589" s="18" t="s">
        <v>4290</v>
      </c>
      <c r="H589" s="33" t="s">
        <v>16</v>
      </c>
      <c r="I589" s="34" t="s">
        <v>383</v>
      </c>
      <c r="J589" s="9" t="str">
        <f t="shared" si="252"/>
        <v>Comuna</v>
      </c>
      <c r="K589" s="9" t="str">
        <f t="shared" si="246"/>
        <v>Puntaje promedio</v>
      </c>
      <c r="L589" s="9" t="str">
        <f t="shared" si="247"/>
        <v>Periodo 2015-2018</v>
      </c>
      <c r="M589" s="9" t="str">
        <f t="shared" si="248"/>
        <v>Puntaje</v>
      </c>
      <c r="N589" s="9" t="str">
        <f t="shared" si="249"/>
        <v>Agencia de Calidad de la Educación</v>
      </c>
      <c r="O589" s="20" t="str">
        <f>+"Evolución de Puntaje SIMCE de Matemáticas por Dependencia de Establecimientos para 2° Medio en la "&amp;I589&amp;", "&amp;Agencia[[#This Row],[temporalidad]]</f>
        <v>Evolución de Puntaje SIMCE de Matemáticas por Dependencia de Establecimientos para 2° Medio en la Región de Ñuble, Periodo 2015-2018</v>
      </c>
      <c r="P589" s="112" t="s">
        <v>6278</v>
      </c>
      <c r="Q589" s="11" t="str">
        <f t="shared" si="250"/>
        <v>Gráfico de Evolución</v>
      </c>
      <c r="R589" s="148" t="str">
        <f>Agencia[[#This Row],[territorio]]&amp;",educación media,segundo medio,puntaje,matemáticas,municipal,subvencionado,corporación,lenguaje,particular,"&amp;Agencia[[#This Row],[coleccion]]&amp;","&amp;Agencia[[#This Row],[sector]]&amp;","&amp;Agencia[[#This Row],[tema]]&amp;","&amp;Agencia[[#This Row],[contenido]]</f>
        <v>Región de Ñuble,educación media,segundo medio,puntaje,matemáticas,municipal,subvencionado,corporación,lenguaje,particular,Agencia Información,Educación,SIMCE,Métricas de la Educación</v>
      </c>
      <c r="S589" s="83" t="str">
        <f>HYPERLINK("https://analytics.zoho.com/open-view/2395394000009042688?ZOHO_CRITERIA=%22Localiza%20CL%22.%22Codreg%22%3D"&amp;Agencia[[#This Row],[Filtro URL]])</f>
        <v>https://analytics.zoho.com/open-view/2395394000009042688?ZOHO_CRITERIA=%22Localiza%20CL%22.%22Codreg%22%3D16</v>
      </c>
      <c r="T589" s="111" t="str">
        <f>"100-C-"&amp;Agencia[[#This Row],[Filtro URL]]</f>
        <v>100-C-16</v>
      </c>
      <c r="U589" s="46" t="str">
        <f t="shared" si="251"/>
        <v>#1774B9</v>
      </c>
      <c r="V589" s="93" t="str">
        <f>+Agencia[[#This Row],[idcoleccion]]&amp;"-"&amp;Agencia[[#This Row],[id]]</f>
        <v>990-0578</v>
      </c>
      <c r="W589" s="93">
        <f>+VLOOKUP(Agencia[[#This Row],[Filtro URL]],Estructura!$X$4:$Y$500,2,0)</f>
        <v>99200016</v>
      </c>
      <c r="X589" s="93" t="str">
        <f>+VLOOKUP(Agencia[[#This Row],[tema]],Estructura!$A$4:$C$500,3,0)</f>
        <v>T-1032</v>
      </c>
      <c r="Y589" s="93" t="str">
        <f>+VLOOKUP(Agencia[[#This Row],[contenido]],Estructura!$E$4:$G$500,3,0)</f>
        <v>C-1018</v>
      </c>
      <c r="Z589" s="93" t="str">
        <f>+VLOOKUP(Agencia[[#This Row],[Filtro Integrado]],Estructura!$I$4:$K$500,3,0)</f>
        <v>FI-991</v>
      </c>
      <c r="AA589" s="93" t="str">
        <f>+VLOOKUP(Agencia[[#This Row],[Muestra]],Estructura!$M$4:$O$500,3,0)</f>
        <v>M-1061</v>
      </c>
    </row>
    <row r="590" spans="1:27" ht="71.400000000000006" x14ac:dyDescent="0.3">
      <c r="A590" s="21" t="s">
        <v>1094</v>
      </c>
      <c r="B590" s="23">
        <f t="shared" si="237"/>
        <v>990</v>
      </c>
      <c r="C590" s="24" t="str">
        <f t="shared" si="238"/>
        <v>Agencia Información</v>
      </c>
      <c r="D590" s="72" t="s">
        <v>14</v>
      </c>
      <c r="E590" s="14">
        <v>0</v>
      </c>
      <c r="F590" s="18" t="s">
        <v>1429</v>
      </c>
      <c r="G590" s="18" t="s">
        <v>4290</v>
      </c>
      <c r="H590" s="31" t="s">
        <v>20</v>
      </c>
      <c r="I590" s="32" t="s">
        <v>15</v>
      </c>
      <c r="J590" s="9" t="s">
        <v>18</v>
      </c>
      <c r="K590" s="9" t="s">
        <v>1425</v>
      </c>
      <c r="L590" s="9" t="s">
        <v>835</v>
      </c>
      <c r="M590" s="9" t="s">
        <v>1425</v>
      </c>
      <c r="N590" s="9" t="s">
        <v>1422</v>
      </c>
      <c r="O590" s="20" t="str">
        <f>+"Resumen de Indicadores de Desarrollo Personal y Social por Dependencia de Establecimiento por comuna en "&amp;I590&amp;", "&amp;Agencia[[#This Row],[temporalidad]]</f>
        <v>Resumen de Indicadores de Desarrollo Personal y Social por Dependencia de Establecimiento por comuna en Chile, Periodo 2014-2019</v>
      </c>
      <c r="P590" s="112" t="s">
        <v>6287</v>
      </c>
      <c r="Q590" s="11" t="str">
        <f t="shared" si="250"/>
        <v>Gráfico de Evolución</v>
      </c>
      <c r="R590" s="20"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Chile,calidad,puntaje,municipal,subvencionado,corporación,particular,autoestima,convivencia,hábitos,salud,participación,desarrollo,personal,indicadores,Agencia Información,Educación,Indicadores de Desarrollo Personal y Social,Métricas de la Educación</v>
      </c>
      <c r="S590" s="83" t="s">
        <v>5167</v>
      </c>
      <c r="T590" s="108" t="s">
        <v>957</v>
      </c>
      <c r="U590" s="46" t="str">
        <f t="shared" si="251"/>
        <v>#1774B9</v>
      </c>
      <c r="V590" s="93" t="str">
        <f>+Agencia[[#This Row],[idcoleccion]]&amp;"-"&amp;Agencia[[#This Row],[id]]</f>
        <v>990-0579</v>
      </c>
      <c r="W590" s="93">
        <f>+VLOOKUP(Agencia[[#This Row],[Filtro URL]],Estructura!$X$4:$Y$500,2,0)</f>
        <v>99100000</v>
      </c>
      <c r="X590" s="93" t="str">
        <f>+VLOOKUP(Agencia[[#This Row],[tema]],Estructura!$A$4:$C$500,3,0)</f>
        <v>T-991</v>
      </c>
      <c r="Y590" s="93" t="str">
        <f>+VLOOKUP(Agencia[[#This Row],[contenido]],Estructura!$E$4:$G$500,3,0)</f>
        <v>C-1018</v>
      </c>
      <c r="Z590" s="93" t="str">
        <f>+VLOOKUP(Agencia[[#This Row],[Filtro Integrado]],Estructura!$I$4:$K$500,3,0)</f>
        <v>FI-991</v>
      </c>
      <c r="AA590" s="93" t="str">
        <f>+VLOOKUP(Agencia[[#This Row],[Muestra]],Estructura!$M$4:$O$500,3,0)</f>
        <v>M-1063</v>
      </c>
    </row>
    <row r="591" spans="1:27" ht="81.599999999999994" x14ac:dyDescent="0.3">
      <c r="A591" s="21" t="s">
        <v>1095</v>
      </c>
      <c r="B591" s="23">
        <f t="shared" si="237"/>
        <v>990</v>
      </c>
      <c r="C591" s="24" t="str">
        <f t="shared" si="238"/>
        <v>Agencia Información</v>
      </c>
      <c r="D591" s="72" t="str">
        <f t="shared" ref="D591:D606" si="253">+D590</f>
        <v>Educación</v>
      </c>
      <c r="E591" s="19">
        <v>1</v>
      </c>
      <c r="F591" s="18" t="s">
        <v>1429</v>
      </c>
      <c r="G591" s="18" t="s">
        <v>4290</v>
      </c>
      <c r="H591" s="33" t="s">
        <v>16</v>
      </c>
      <c r="I591" s="34" t="s">
        <v>368</v>
      </c>
      <c r="J591" s="9" t="s">
        <v>18</v>
      </c>
      <c r="K591" s="9" t="s">
        <v>1425</v>
      </c>
      <c r="L591" s="9" t="str">
        <f t="shared" ref="L591:L606" si="254">+L590</f>
        <v>Periodo 2014-2019</v>
      </c>
      <c r="M591" s="9" t="str">
        <f t="shared" ref="M591:M606" si="255">+M590</f>
        <v>Puntaje</v>
      </c>
      <c r="N591" s="9" t="str">
        <f t="shared" ref="N591:N606" si="256">+N590</f>
        <v>Agencia de Calidad de la Educación</v>
      </c>
      <c r="O591" s="20" t="str">
        <f>+"Resumen de Indicadores de Desarrollo Personal y Social por Dependencia de Establecimiento por comuna en la "&amp;I591&amp;", "&amp;Agencia[[#This Row],[temporalidad]]</f>
        <v>Resumen de Indicadores de Desarrollo Personal y Social por Dependencia de Establecimiento por comuna en la Región de Tarapacá, Periodo 2014-2019</v>
      </c>
      <c r="P591" s="112" t="s">
        <v>6150</v>
      </c>
      <c r="Q591" s="11" t="str">
        <f t="shared" si="250"/>
        <v>Gráfico de Evolución</v>
      </c>
      <c r="R591"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Tarapacá,calidad,puntaje,municipal,subvencionado,corporación,particular,autoestima,convivencia,hábitos,salud,participación,desarrollo,personal,indicadores,Agencia Información,Educación,Indicadores de Desarrollo Personal y Social,Métricas de la Educación</v>
      </c>
      <c r="S591" s="37" t="str">
        <f>HYPERLINK("https://analytics.zoho.com/open-view/2395394000007990413?ZOHO_CRITERIA=%22Localiza%20CL%22.%22Codreg%22%3D"&amp;Agencia[[#This Row],[Filtro URL]])</f>
        <v>https://analytics.zoho.com/open-view/2395394000007990413?ZOHO_CRITERIA=%22Localiza%20CL%22.%22Codreg%22%3D1</v>
      </c>
      <c r="T591" s="111" t="str">
        <f>"100-C-"&amp;Agencia[[#This Row],[Filtro URL]]</f>
        <v>100-C-1</v>
      </c>
      <c r="U591" s="46" t="str">
        <f t="shared" si="251"/>
        <v>#1774B9</v>
      </c>
      <c r="V591" s="93" t="str">
        <f>+Agencia[[#This Row],[idcoleccion]]&amp;"-"&amp;Agencia[[#This Row],[id]]</f>
        <v>990-0580</v>
      </c>
      <c r="W591" s="93">
        <f>+VLOOKUP(Agencia[[#This Row],[Filtro URL]],Estructura!$X$4:$Y$500,2,0)</f>
        <v>99200001</v>
      </c>
      <c r="X591" s="93" t="str">
        <f>+VLOOKUP(Agencia[[#This Row],[tema]],Estructura!$A$4:$C$500,3,0)</f>
        <v>T-991</v>
      </c>
      <c r="Y591" s="93" t="str">
        <f>+VLOOKUP(Agencia[[#This Row],[contenido]],Estructura!$E$4:$G$500,3,0)</f>
        <v>C-1018</v>
      </c>
      <c r="Z591" s="93" t="str">
        <f>+VLOOKUP(Agencia[[#This Row],[Filtro Integrado]],Estructura!$I$4:$K$500,3,0)</f>
        <v>FI-991</v>
      </c>
      <c r="AA591" s="93" t="str">
        <f>+VLOOKUP(Agencia[[#This Row],[Muestra]],Estructura!$M$4:$O$500,3,0)</f>
        <v>M-1063</v>
      </c>
    </row>
    <row r="592" spans="1:27" ht="81.599999999999994" x14ac:dyDescent="0.3">
      <c r="A592" s="21" t="s">
        <v>1096</v>
      </c>
      <c r="B592" s="23">
        <f t="shared" si="237"/>
        <v>990</v>
      </c>
      <c r="C592" s="24" t="str">
        <f t="shared" si="238"/>
        <v>Agencia Información</v>
      </c>
      <c r="D592" s="72" t="str">
        <f t="shared" si="253"/>
        <v>Educación</v>
      </c>
      <c r="E592" s="19">
        <v>2</v>
      </c>
      <c r="F592" s="18" t="s">
        <v>1429</v>
      </c>
      <c r="G592" s="18" t="s">
        <v>4290</v>
      </c>
      <c r="H592" s="33" t="s">
        <v>16</v>
      </c>
      <c r="I592" s="34" t="s">
        <v>369</v>
      </c>
      <c r="J592" s="9" t="str">
        <f t="shared" ref="J592:J606" si="257">+J591</f>
        <v>Comuna</v>
      </c>
      <c r="K592" s="142" t="s">
        <v>1425</v>
      </c>
      <c r="L592" s="9" t="str">
        <f t="shared" si="254"/>
        <v>Periodo 2014-2019</v>
      </c>
      <c r="M592" s="9" t="str">
        <f t="shared" si="255"/>
        <v>Puntaje</v>
      </c>
      <c r="N592" s="9" t="str">
        <f t="shared" si="256"/>
        <v>Agencia de Calidad de la Educación</v>
      </c>
      <c r="O592" s="20" t="str">
        <f>+"Resumen de Indicadores de Desarrollo Personal y Social por Dependencia de Establecimiento por comuna en la "&amp;I592&amp;", "&amp;Agencia[[#This Row],[temporalidad]]</f>
        <v>Resumen de Indicadores de Desarrollo Personal y Social por Dependencia de Establecimiento por comuna en la Región de Antofagasta, Periodo 2014-2019</v>
      </c>
      <c r="P592" s="112" t="s">
        <v>6288</v>
      </c>
      <c r="Q592" s="11" t="str">
        <f t="shared" si="250"/>
        <v>Gráfico de Evolución</v>
      </c>
      <c r="R592"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Antofagasta,calidad,puntaje,municipal,subvencionado,corporación,particular,autoestima,convivencia,hábitos,salud,participación,desarrollo,personal,indicadores,Agencia Información,Educación,Indicadores de Desarrollo Personal y Social,Métricas de la Educación</v>
      </c>
      <c r="S592" s="37" t="str">
        <f>HYPERLINK("https://analytics.zoho.com/open-view/2395394000007990413?ZOHO_CRITERIA=%22Localiza%20CL%22.%22Codreg%22%3D"&amp;Agencia[[#This Row],[Filtro URL]])</f>
        <v>https://analytics.zoho.com/open-view/2395394000007990413?ZOHO_CRITERIA=%22Localiza%20CL%22.%22Codreg%22%3D2</v>
      </c>
      <c r="T592" s="111" t="str">
        <f>"100-C-"&amp;Agencia[[#This Row],[Filtro URL]]</f>
        <v>100-C-2</v>
      </c>
      <c r="U592" s="46" t="str">
        <f t="shared" si="251"/>
        <v>#1774B9</v>
      </c>
      <c r="V592" s="93" t="str">
        <f>+Agencia[[#This Row],[idcoleccion]]&amp;"-"&amp;Agencia[[#This Row],[id]]</f>
        <v>990-0581</v>
      </c>
      <c r="W592" s="93">
        <f>+VLOOKUP(Agencia[[#This Row],[Filtro URL]],Estructura!$X$4:$Y$500,2,0)</f>
        <v>99200002</v>
      </c>
      <c r="X592" s="93" t="str">
        <f>+VLOOKUP(Agencia[[#This Row],[tema]],Estructura!$A$4:$C$500,3,0)</f>
        <v>T-991</v>
      </c>
      <c r="Y592" s="93" t="str">
        <f>+VLOOKUP(Agencia[[#This Row],[contenido]],Estructura!$E$4:$G$500,3,0)</f>
        <v>C-1018</v>
      </c>
      <c r="Z592" s="93" t="str">
        <f>+VLOOKUP(Agencia[[#This Row],[Filtro Integrado]],Estructura!$I$4:$K$500,3,0)</f>
        <v>FI-991</v>
      </c>
      <c r="AA592" s="93" t="str">
        <f>+VLOOKUP(Agencia[[#This Row],[Muestra]],Estructura!$M$4:$O$500,3,0)</f>
        <v>M-1063</v>
      </c>
    </row>
    <row r="593" spans="1:27" ht="81.599999999999994" x14ac:dyDescent="0.3">
      <c r="A593" s="21" t="s">
        <v>1097</v>
      </c>
      <c r="B593" s="23">
        <f t="shared" si="237"/>
        <v>990</v>
      </c>
      <c r="C593" s="24" t="str">
        <f t="shared" si="238"/>
        <v>Agencia Información</v>
      </c>
      <c r="D593" s="72" t="str">
        <f t="shared" si="253"/>
        <v>Educación</v>
      </c>
      <c r="E593" s="19">
        <v>3</v>
      </c>
      <c r="F593" s="18" t="s">
        <v>1429</v>
      </c>
      <c r="G593" s="18" t="s">
        <v>4290</v>
      </c>
      <c r="H593" s="33" t="s">
        <v>16</v>
      </c>
      <c r="I593" s="34" t="s">
        <v>370</v>
      </c>
      <c r="J593" s="9" t="str">
        <f t="shared" si="257"/>
        <v>Comuna</v>
      </c>
      <c r="K593" s="142" t="s">
        <v>1425</v>
      </c>
      <c r="L593" s="9" t="str">
        <f t="shared" si="254"/>
        <v>Periodo 2014-2019</v>
      </c>
      <c r="M593" s="9" t="str">
        <f t="shared" si="255"/>
        <v>Puntaje</v>
      </c>
      <c r="N593" s="9" t="str">
        <f t="shared" si="256"/>
        <v>Agencia de Calidad de la Educación</v>
      </c>
      <c r="O593" s="20" t="str">
        <f>+"Resumen de Indicadores de Desarrollo Personal y Social por Dependencia de Establecimiento por comuna en la "&amp;I593&amp;", "&amp;Agencia[[#This Row],[temporalidad]]</f>
        <v>Resumen de Indicadores de Desarrollo Personal y Social por Dependencia de Establecimiento por comuna en la Región de Atacama, Periodo 2014-2019</v>
      </c>
      <c r="P593" s="112" t="s">
        <v>6289</v>
      </c>
      <c r="Q593" s="11" t="str">
        <f t="shared" si="250"/>
        <v>Gráfico de Evolución</v>
      </c>
      <c r="R593"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Atacama,calidad,puntaje,municipal,subvencionado,corporación,particular,autoestima,convivencia,hábitos,salud,participación,desarrollo,personal,indicadores,Agencia Información,Educación,Indicadores de Desarrollo Personal y Social,Métricas de la Educación</v>
      </c>
      <c r="S593" s="37" t="str">
        <f>HYPERLINK("https://analytics.zoho.com/open-view/2395394000007990413?ZOHO_CRITERIA=%22Localiza%20CL%22.%22Codreg%22%3D"&amp;Agencia[[#This Row],[Filtro URL]])</f>
        <v>https://analytics.zoho.com/open-view/2395394000007990413?ZOHO_CRITERIA=%22Localiza%20CL%22.%22Codreg%22%3D3</v>
      </c>
      <c r="T593" s="111" t="str">
        <f>"100-C-"&amp;Agencia[[#This Row],[Filtro URL]]</f>
        <v>100-C-3</v>
      </c>
      <c r="U593" s="46" t="str">
        <f t="shared" si="251"/>
        <v>#1774B9</v>
      </c>
      <c r="V593" s="93" t="str">
        <f>+Agencia[[#This Row],[idcoleccion]]&amp;"-"&amp;Agencia[[#This Row],[id]]</f>
        <v>990-0582</v>
      </c>
      <c r="W593" s="93">
        <f>+VLOOKUP(Agencia[[#This Row],[Filtro URL]],Estructura!$X$4:$Y$500,2,0)</f>
        <v>99200003</v>
      </c>
      <c r="X593" s="93" t="str">
        <f>+VLOOKUP(Agencia[[#This Row],[tema]],Estructura!$A$4:$C$500,3,0)</f>
        <v>T-991</v>
      </c>
      <c r="Y593" s="93" t="str">
        <f>+VLOOKUP(Agencia[[#This Row],[contenido]],Estructura!$E$4:$G$500,3,0)</f>
        <v>C-1018</v>
      </c>
      <c r="Z593" s="93" t="str">
        <f>+VLOOKUP(Agencia[[#This Row],[Filtro Integrado]],Estructura!$I$4:$K$500,3,0)</f>
        <v>FI-991</v>
      </c>
      <c r="AA593" s="93" t="str">
        <f>+VLOOKUP(Agencia[[#This Row],[Muestra]],Estructura!$M$4:$O$500,3,0)</f>
        <v>M-1063</v>
      </c>
    </row>
    <row r="594" spans="1:27" ht="81.599999999999994" x14ac:dyDescent="0.3">
      <c r="A594" s="21" t="s">
        <v>1098</v>
      </c>
      <c r="B594" s="23">
        <f t="shared" si="237"/>
        <v>990</v>
      </c>
      <c r="C594" s="24" t="str">
        <f t="shared" si="238"/>
        <v>Agencia Información</v>
      </c>
      <c r="D594" s="72" t="str">
        <f t="shared" si="253"/>
        <v>Educación</v>
      </c>
      <c r="E594" s="19">
        <v>4</v>
      </c>
      <c r="F594" s="18" t="s">
        <v>1429</v>
      </c>
      <c r="G594" s="18" t="s">
        <v>4290</v>
      </c>
      <c r="H594" s="33" t="s">
        <v>16</v>
      </c>
      <c r="I594" s="34" t="s">
        <v>371</v>
      </c>
      <c r="J594" s="9" t="str">
        <f t="shared" si="257"/>
        <v>Comuna</v>
      </c>
      <c r="K594" s="142" t="s">
        <v>1425</v>
      </c>
      <c r="L594" s="9" t="str">
        <f t="shared" si="254"/>
        <v>Periodo 2014-2019</v>
      </c>
      <c r="M594" s="9" t="str">
        <f t="shared" si="255"/>
        <v>Puntaje</v>
      </c>
      <c r="N594" s="9" t="str">
        <f t="shared" si="256"/>
        <v>Agencia de Calidad de la Educación</v>
      </c>
      <c r="O594" s="20" t="str">
        <f>+"Resumen de Indicadores de Desarrollo Personal y Social por Dependencia de Establecimiento por comuna en la "&amp;I594&amp;", "&amp;Agencia[[#This Row],[temporalidad]]</f>
        <v>Resumen de Indicadores de Desarrollo Personal y Social por Dependencia de Establecimiento por comuna en la Región de Coquimbo, Periodo 2014-2019</v>
      </c>
      <c r="P594" s="112" t="s">
        <v>6279</v>
      </c>
      <c r="Q594" s="11" t="str">
        <f t="shared" si="250"/>
        <v>Gráfico de Evolución</v>
      </c>
      <c r="R594"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Coquimbo,calidad,puntaje,municipal,subvencionado,corporación,particular,autoestima,convivencia,hábitos,salud,participación,desarrollo,personal,indicadores,Agencia Información,Educación,Indicadores de Desarrollo Personal y Social,Métricas de la Educación</v>
      </c>
      <c r="S594" s="37" t="str">
        <f>HYPERLINK("https://analytics.zoho.com/open-view/2395394000007990413?ZOHO_CRITERIA=%22Localiza%20CL%22.%22Codreg%22%3D"&amp;Agencia[[#This Row],[Filtro URL]])</f>
        <v>https://analytics.zoho.com/open-view/2395394000007990413?ZOHO_CRITERIA=%22Localiza%20CL%22.%22Codreg%22%3D4</v>
      </c>
      <c r="T594" s="111" t="str">
        <f>"100-C-"&amp;Agencia[[#This Row],[Filtro URL]]</f>
        <v>100-C-4</v>
      </c>
      <c r="U594" s="46" t="str">
        <f t="shared" si="251"/>
        <v>#1774B9</v>
      </c>
      <c r="V594" s="93" t="str">
        <f>+Agencia[[#This Row],[idcoleccion]]&amp;"-"&amp;Agencia[[#This Row],[id]]</f>
        <v>990-0583</v>
      </c>
      <c r="W594" s="93">
        <f>+VLOOKUP(Agencia[[#This Row],[Filtro URL]],Estructura!$X$4:$Y$500,2,0)</f>
        <v>99200004</v>
      </c>
      <c r="X594" s="93" t="str">
        <f>+VLOOKUP(Agencia[[#This Row],[tema]],Estructura!$A$4:$C$500,3,0)</f>
        <v>T-991</v>
      </c>
      <c r="Y594" s="93" t="str">
        <f>+VLOOKUP(Agencia[[#This Row],[contenido]],Estructura!$E$4:$G$500,3,0)</f>
        <v>C-1018</v>
      </c>
      <c r="Z594" s="93" t="str">
        <f>+VLOOKUP(Agencia[[#This Row],[Filtro Integrado]],Estructura!$I$4:$K$500,3,0)</f>
        <v>FI-991</v>
      </c>
      <c r="AA594" s="93" t="str">
        <f>+VLOOKUP(Agencia[[#This Row],[Muestra]],Estructura!$M$4:$O$500,3,0)</f>
        <v>M-1063</v>
      </c>
    </row>
    <row r="595" spans="1:27" ht="81.599999999999994" x14ac:dyDescent="0.3">
      <c r="A595" s="21" t="s">
        <v>1099</v>
      </c>
      <c r="B595" s="23">
        <f t="shared" si="237"/>
        <v>990</v>
      </c>
      <c r="C595" s="24" t="str">
        <f t="shared" si="238"/>
        <v>Agencia Información</v>
      </c>
      <c r="D595" s="72" t="str">
        <f t="shared" si="253"/>
        <v>Educación</v>
      </c>
      <c r="E595" s="19">
        <v>5</v>
      </c>
      <c r="F595" s="18" t="s">
        <v>1429</v>
      </c>
      <c r="G595" s="18" t="s">
        <v>4290</v>
      </c>
      <c r="H595" s="33" t="s">
        <v>16</v>
      </c>
      <c r="I595" s="34" t="s">
        <v>372</v>
      </c>
      <c r="J595" s="9" t="str">
        <f t="shared" si="257"/>
        <v>Comuna</v>
      </c>
      <c r="K595" s="142" t="s">
        <v>1425</v>
      </c>
      <c r="L595" s="9" t="str">
        <f t="shared" si="254"/>
        <v>Periodo 2014-2019</v>
      </c>
      <c r="M595" s="9" t="str">
        <f t="shared" si="255"/>
        <v>Puntaje</v>
      </c>
      <c r="N595" s="9" t="str">
        <f t="shared" si="256"/>
        <v>Agencia de Calidad de la Educación</v>
      </c>
      <c r="O595" s="20" t="str">
        <f>+"Resumen de Indicadores de Desarrollo Personal y Social por Dependencia de Establecimiento por comuna en la "&amp;I595&amp;", "&amp;Agencia[[#This Row],[temporalidad]]</f>
        <v>Resumen de Indicadores de Desarrollo Personal y Social por Dependencia de Establecimiento por comuna en la Región de Valparaíso, Periodo 2014-2019</v>
      </c>
      <c r="P595" s="112" t="s">
        <v>6151</v>
      </c>
      <c r="Q595" s="11" t="str">
        <f t="shared" si="250"/>
        <v>Gráfico de Evolución</v>
      </c>
      <c r="R595"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Valparaíso,calidad,puntaje,municipal,subvencionado,corporación,particular,autoestima,convivencia,hábitos,salud,participación,desarrollo,personal,indicadores,Agencia Información,Educación,Indicadores de Desarrollo Personal y Social,Métricas de la Educación</v>
      </c>
      <c r="S595" s="37" t="str">
        <f>HYPERLINK("https://analytics.zoho.com/open-view/2395394000007990413?ZOHO_CRITERIA=%22Localiza%20CL%22.%22Codreg%22%3D"&amp;Agencia[[#This Row],[Filtro URL]])</f>
        <v>https://analytics.zoho.com/open-view/2395394000007990413?ZOHO_CRITERIA=%22Localiza%20CL%22.%22Codreg%22%3D5</v>
      </c>
      <c r="T595" s="111" t="str">
        <f>"100-C-"&amp;Agencia[[#This Row],[Filtro URL]]</f>
        <v>100-C-5</v>
      </c>
      <c r="U595" s="46" t="str">
        <f t="shared" si="251"/>
        <v>#1774B9</v>
      </c>
      <c r="V595" s="93" t="str">
        <f>+Agencia[[#This Row],[idcoleccion]]&amp;"-"&amp;Agencia[[#This Row],[id]]</f>
        <v>990-0584</v>
      </c>
      <c r="W595" s="93">
        <f>+VLOOKUP(Agencia[[#This Row],[Filtro URL]],Estructura!$X$4:$Y$500,2,0)</f>
        <v>99200005</v>
      </c>
      <c r="X595" s="93" t="str">
        <f>+VLOOKUP(Agencia[[#This Row],[tema]],Estructura!$A$4:$C$500,3,0)</f>
        <v>T-991</v>
      </c>
      <c r="Y595" s="93" t="str">
        <f>+VLOOKUP(Agencia[[#This Row],[contenido]],Estructura!$E$4:$G$500,3,0)</f>
        <v>C-1018</v>
      </c>
      <c r="Z595" s="93" t="str">
        <f>+VLOOKUP(Agencia[[#This Row],[Filtro Integrado]],Estructura!$I$4:$K$500,3,0)</f>
        <v>FI-991</v>
      </c>
      <c r="AA595" s="93" t="str">
        <f>+VLOOKUP(Agencia[[#This Row],[Muestra]],Estructura!$M$4:$O$500,3,0)</f>
        <v>M-1063</v>
      </c>
    </row>
    <row r="596" spans="1:27" ht="81.599999999999994" x14ac:dyDescent="0.3">
      <c r="A596" s="21" t="s">
        <v>1100</v>
      </c>
      <c r="B596" s="23">
        <f t="shared" si="237"/>
        <v>990</v>
      </c>
      <c r="C596" s="24" t="str">
        <f t="shared" si="238"/>
        <v>Agencia Información</v>
      </c>
      <c r="D596" s="72" t="str">
        <f t="shared" si="253"/>
        <v>Educación</v>
      </c>
      <c r="E596" s="19">
        <v>6</v>
      </c>
      <c r="F596" s="18" t="s">
        <v>1429</v>
      </c>
      <c r="G596" s="18" t="s">
        <v>4290</v>
      </c>
      <c r="H596" s="33" t="s">
        <v>16</v>
      </c>
      <c r="I596" s="34" t="s">
        <v>373</v>
      </c>
      <c r="J596" s="9" t="str">
        <f t="shared" si="257"/>
        <v>Comuna</v>
      </c>
      <c r="K596" s="142" t="s">
        <v>1425</v>
      </c>
      <c r="L596" s="9" t="str">
        <f t="shared" si="254"/>
        <v>Periodo 2014-2019</v>
      </c>
      <c r="M596" s="9" t="str">
        <f t="shared" si="255"/>
        <v>Puntaje</v>
      </c>
      <c r="N596" s="9" t="str">
        <f t="shared" si="256"/>
        <v>Agencia de Calidad de la Educación</v>
      </c>
      <c r="O596" s="20" t="str">
        <f>+"Resumen de Indicadores de Desarrollo Personal y Social por Dependencia de Establecimiento por comuna en la "&amp;I596&amp;", "&amp;Agencia[[#This Row],[temporalidad]]</f>
        <v>Resumen de Indicadores de Desarrollo Personal y Social por Dependencia de Establecimiento por comuna en la Región de O'Higgins, Periodo 2014-2019</v>
      </c>
      <c r="P596" s="112" t="s">
        <v>6280</v>
      </c>
      <c r="Q596" s="11" t="str">
        <f t="shared" si="250"/>
        <v>Gráfico de Evolución</v>
      </c>
      <c r="R596"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O'Higgins,calidad,puntaje,municipal,subvencionado,corporación,particular,autoestima,convivencia,hábitos,salud,participación,desarrollo,personal,indicadores,Agencia Información,Educación,Indicadores de Desarrollo Personal y Social,Métricas de la Educación</v>
      </c>
      <c r="S596" s="37" t="str">
        <f>HYPERLINK("https://analytics.zoho.com/open-view/2395394000007990413?ZOHO_CRITERIA=%22Localiza%20CL%22.%22Codreg%22%3D"&amp;Agencia[[#This Row],[Filtro URL]])</f>
        <v>https://analytics.zoho.com/open-view/2395394000007990413?ZOHO_CRITERIA=%22Localiza%20CL%22.%22Codreg%22%3D6</v>
      </c>
      <c r="T596" s="111" t="str">
        <f>"100-C-"&amp;Agencia[[#This Row],[Filtro URL]]</f>
        <v>100-C-6</v>
      </c>
      <c r="U596" s="46" t="str">
        <f t="shared" si="251"/>
        <v>#1774B9</v>
      </c>
      <c r="V596" s="93" t="str">
        <f>+Agencia[[#This Row],[idcoleccion]]&amp;"-"&amp;Agencia[[#This Row],[id]]</f>
        <v>990-0585</v>
      </c>
      <c r="W596" s="93">
        <f>+VLOOKUP(Agencia[[#This Row],[Filtro URL]],Estructura!$X$4:$Y$500,2,0)</f>
        <v>99200006</v>
      </c>
      <c r="X596" s="93" t="str">
        <f>+VLOOKUP(Agencia[[#This Row],[tema]],Estructura!$A$4:$C$500,3,0)</f>
        <v>T-991</v>
      </c>
      <c r="Y596" s="93" t="str">
        <f>+VLOOKUP(Agencia[[#This Row],[contenido]],Estructura!$E$4:$G$500,3,0)</f>
        <v>C-1018</v>
      </c>
      <c r="Z596" s="93" t="str">
        <f>+VLOOKUP(Agencia[[#This Row],[Filtro Integrado]],Estructura!$I$4:$K$500,3,0)</f>
        <v>FI-991</v>
      </c>
      <c r="AA596" s="93" t="str">
        <f>+VLOOKUP(Agencia[[#This Row],[Muestra]],Estructura!$M$4:$O$500,3,0)</f>
        <v>M-1063</v>
      </c>
    </row>
    <row r="597" spans="1:27" ht="81.599999999999994" x14ac:dyDescent="0.3">
      <c r="A597" s="21" t="s">
        <v>1101</v>
      </c>
      <c r="B597" s="23">
        <f t="shared" si="237"/>
        <v>990</v>
      </c>
      <c r="C597" s="24" t="str">
        <f t="shared" si="238"/>
        <v>Agencia Información</v>
      </c>
      <c r="D597" s="72" t="str">
        <f t="shared" si="253"/>
        <v>Educación</v>
      </c>
      <c r="E597" s="19">
        <v>7</v>
      </c>
      <c r="F597" s="18" t="s">
        <v>1429</v>
      </c>
      <c r="G597" s="18" t="s">
        <v>4290</v>
      </c>
      <c r="H597" s="33" t="s">
        <v>16</v>
      </c>
      <c r="I597" s="34" t="s">
        <v>374</v>
      </c>
      <c r="J597" s="9" t="str">
        <f t="shared" si="257"/>
        <v>Comuna</v>
      </c>
      <c r="K597" s="142" t="s">
        <v>1425</v>
      </c>
      <c r="L597" s="9" t="str">
        <f t="shared" si="254"/>
        <v>Periodo 2014-2019</v>
      </c>
      <c r="M597" s="9" t="str">
        <f t="shared" si="255"/>
        <v>Puntaje</v>
      </c>
      <c r="N597" s="9" t="str">
        <f t="shared" si="256"/>
        <v>Agencia de Calidad de la Educación</v>
      </c>
      <c r="O597" s="20" t="str">
        <f>+"Resumen de Indicadores de Desarrollo Personal y Social por Dependencia de Establecimiento por comuna en la "&amp;I597&amp;", "&amp;Agencia[[#This Row],[temporalidad]]</f>
        <v>Resumen de Indicadores de Desarrollo Personal y Social por Dependencia de Establecimiento por comuna en la Región de Maule, Periodo 2014-2019</v>
      </c>
      <c r="P597" s="112" t="s">
        <v>6281</v>
      </c>
      <c r="Q597" s="11" t="str">
        <f t="shared" si="250"/>
        <v>Gráfico de Evolución</v>
      </c>
      <c r="R597"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Maule,calidad,puntaje,municipal,subvencionado,corporación,particular,autoestima,convivencia,hábitos,salud,participación,desarrollo,personal,indicadores,Agencia Información,Educación,Indicadores de Desarrollo Personal y Social,Métricas de la Educación</v>
      </c>
      <c r="S597" s="37" t="str">
        <f>HYPERLINK("https://analytics.zoho.com/open-view/2395394000007990413?ZOHO_CRITERIA=%22Localiza%20CL%22.%22Codreg%22%3D"&amp;Agencia[[#This Row],[Filtro URL]])</f>
        <v>https://analytics.zoho.com/open-view/2395394000007990413?ZOHO_CRITERIA=%22Localiza%20CL%22.%22Codreg%22%3D7</v>
      </c>
      <c r="T597" s="111" t="str">
        <f>"100-C-"&amp;Agencia[[#This Row],[Filtro URL]]</f>
        <v>100-C-7</v>
      </c>
      <c r="U597" s="46" t="str">
        <f t="shared" si="251"/>
        <v>#1774B9</v>
      </c>
      <c r="V597" s="93" t="str">
        <f>+Agencia[[#This Row],[idcoleccion]]&amp;"-"&amp;Agencia[[#This Row],[id]]</f>
        <v>990-0586</v>
      </c>
      <c r="W597" s="93">
        <f>+VLOOKUP(Agencia[[#This Row],[Filtro URL]],Estructura!$X$4:$Y$500,2,0)</f>
        <v>99200007</v>
      </c>
      <c r="X597" s="93" t="str">
        <f>+VLOOKUP(Agencia[[#This Row],[tema]],Estructura!$A$4:$C$500,3,0)</f>
        <v>T-991</v>
      </c>
      <c r="Y597" s="93" t="str">
        <f>+VLOOKUP(Agencia[[#This Row],[contenido]],Estructura!$E$4:$G$500,3,0)</f>
        <v>C-1018</v>
      </c>
      <c r="Z597" s="93" t="str">
        <f>+VLOOKUP(Agencia[[#This Row],[Filtro Integrado]],Estructura!$I$4:$K$500,3,0)</f>
        <v>FI-991</v>
      </c>
      <c r="AA597" s="93" t="str">
        <f>+VLOOKUP(Agencia[[#This Row],[Muestra]],Estructura!$M$4:$O$500,3,0)</f>
        <v>M-1063</v>
      </c>
    </row>
    <row r="598" spans="1:27" ht="81.599999999999994" x14ac:dyDescent="0.3">
      <c r="A598" s="21" t="s">
        <v>1102</v>
      </c>
      <c r="B598" s="23">
        <f t="shared" si="237"/>
        <v>990</v>
      </c>
      <c r="C598" s="24" t="str">
        <f t="shared" si="238"/>
        <v>Agencia Información</v>
      </c>
      <c r="D598" s="72" t="str">
        <f t="shared" si="253"/>
        <v>Educación</v>
      </c>
      <c r="E598" s="19">
        <v>8</v>
      </c>
      <c r="F598" s="18" t="s">
        <v>1429</v>
      </c>
      <c r="G598" s="18" t="s">
        <v>4290</v>
      </c>
      <c r="H598" s="33" t="s">
        <v>16</v>
      </c>
      <c r="I598" s="34" t="s">
        <v>375</v>
      </c>
      <c r="J598" s="9" t="str">
        <f t="shared" si="257"/>
        <v>Comuna</v>
      </c>
      <c r="K598" s="142" t="s">
        <v>1425</v>
      </c>
      <c r="L598" s="9" t="str">
        <f t="shared" si="254"/>
        <v>Periodo 2014-2019</v>
      </c>
      <c r="M598" s="9" t="str">
        <f t="shared" si="255"/>
        <v>Puntaje</v>
      </c>
      <c r="N598" s="9" t="str">
        <f t="shared" si="256"/>
        <v>Agencia de Calidad de la Educación</v>
      </c>
      <c r="O598" s="20" t="str">
        <f>+"Resumen de Indicadores de Desarrollo Personal y Social por Dependencia de Establecimiento por comuna en la "&amp;I598&amp;", "&amp;Agencia[[#This Row],[temporalidad]]</f>
        <v>Resumen de Indicadores de Desarrollo Personal y Social por Dependencia de Establecimiento por comuna en la Región del Biobío, Periodo 2014-2019</v>
      </c>
      <c r="P598" s="112" t="s">
        <v>6152</v>
      </c>
      <c r="Q598" s="11" t="str">
        <f t="shared" si="250"/>
        <v>Gráfico de Evolución</v>
      </c>
      <c r="R598"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del Biobío,calidad,puntaje,municipal,subvencionado,corporación,particular,autoestima,convivencia,hábitos,salud,participación,desarrollo,personal,indicadores,Agencia Información,Educación,Indicadores de Desarrollo Personal y Social,Métricas de la Educación</v>
      </c>
      <c r="S598" s="37" t="str">
        <f>HYPERLINK("https://analytics.zoho.com/open-view/2395394000007990413?ZOHO_CRITERIA=%22Localiza%20CL%22.%22Codreg%22%3D"&amp;Agencia[[#This Row],[Filtro URL]])</f>
        <v>https://analytics.zoho.com/open-view/2395394000007990413?ZOHO_CRITERIA=%22Localiza%20CL%22.%22Codreg%22%3D8</v>
      </c>
      <c r="T598" s="111" t="str">
        <f>"100-C-"&amp;Agencia[[#This Row],[Filtro URL]]</f>
        <v>100-C-8</v>
      </c>
      <c r="U598" s="46" t="str">
        <f t="shared" si="251"/>
        <v>#1774B9</v>
      </c>
      <c r="V598" s="93" t="str">
        <f>+Agencia[[#This Row],[idcoleccion]]&amp;"-"&amp;Agencia[[#This Row],[id]]</f>
        <v>990-0587</v>
      </c>
      <c r="W598" s="93">
        <f>+VLOOKUP(Agencia[[#This Row],[Filtro URL]],Estructura!$X$4:$Y$500,2,0)</f>
        <v>99200008</v>
      </c>
      <c r="X598" s="93" t="str">
        <f>+VLOOKUP(Agencia[[#This Row],[tema]],Estructura!$A$4:$C$500,3,0)</f>
        <v>T-991</v>
      </c>
      <c r="Y598" s="93" t="str">
        <f>+VLOOKUP(Agencia[[#This Row],[contenido]],Estructura!$E$4:$G$500,3,0)</f>
        <v>C-1018</v>
      </c>
      <c r="Z598" s="93" t="str">
        <f>+VLOOKUP(Agencia[[#This Row],[Filtro Integrado]],Estructura!$I$4:$K$500,3,0)</f>
        <v>FI-991</v>
      </c>
      <c r="AA598" s="93" t="str">
        <f>+VLOOKUP(Agencia[[#This Row],[Muestra]],Estructura!$M$4:$O$500,3,0)</f>
        <v>M-1063</v>
      </c>
    </row>
    <row r="599" spans="1:27" ht="81.599999999999994" x14ac:dyDescent="0.3">
      <c r="A599" s="21" t="s">
        <v>1103</v>
      </c>
      <c r="B599" s="23">
        <f t="shared" si="237"/>
        <v>990</v>
      </c>
      <c r="C599" s="24" t="str">
        <f t="shared" si="238"/>
        <v>Agencia Información</v>
      </c>
      <c r="D599" s="72" t="str">
        <f t="shared" si="253"/>
        <v>Educación</v>
      </c>
      <c r="E599" s="19">
        <v>9</v>
      </c>
      <c r="F599" s="18" t="s">
        <v>1429</v>
      </c>
      <c r="G599" s="18" t="s">
        <v>4290</v>
      </c>
      <c r="H599" s="33" t="s">
        <v>16</v>
      </c>
      <c r="I599" s="34" t="s">
        <v>376</v>
      </c>
      <c r="J599" s="9" t="str">
        <f t="shared" si="257"/>
        <v>Comuna</v>
      </c>
      <c r="K599" s="142" t="s">
        <v>1425</v>
      </c>
      <c r="L599" s="9" t="str">
        <f t="shared" si="254"/>
        <v>Periodo 2014-2019</v>
      </c>
      <c r="M599" s="9" t="str">
        <f t="shared" si="255"/>
        <v>Puntaje</v>
      </c>
      <c r="N599" s="9" t="str">
        <f t="shared" si="256"/>
        <v>Agencia de Calidad de la Educación</v>
      </c>
      <c r="O599" s="20" t="str">
        <f>+"Resumen de Indicadores de Desarrollo Personal y Social por Dependencia de Establecimiento por comuna en la "&amp;I599&amp;", "&amp;Agencia[[#This Row],[temporalidad]]</f>
        <v>Resumen de Indicadores de Desarrollo Personal y Social por Dependencia de Establecimiento por comuna en la Región de La Araucanía, Periodo 2014-2019</v>
      </c>
      <c r="P599" s="112" t="s">
        <v>6282</v>
      </c>
      <c r="Q599" s="11" t="str">
        <f t="shared" si="250"/>
        <v>Gráfico de Evolución</v>
      </c>
      <c r="R599"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La Araucanía,calidad,puntaje,municipal,subvencionado,corporación,particular,autoestima,convivencia,hábitos,salud,participación,desarrollo,personal,indicadores,Agencia Información,Educación,Indicadores de Desarrollo Personal y Social,Métricas de la Educación</v>
      </c>
      <c r="S599" s="37" t="str">
        <f>HYPERLINK("https://analytics.zoho.com/open-view/2395394000007990413?ZOHO_CRITERIA=%22Localiza%20CL%22.%22Codreg%22%3D"&amp;Agencia[[#This Row],[Filtro URL]])</f>
        <v>https://analytics.zoho.com/open-view/2395394000007990413?ZOHO_CRITERIA=%22Localiza%20CL%22.%22Codreg%22%3D9</v>
      </c>
      <c r="T599" s="111" t="str">
        <f>"100-C-"&amp;Agencia[[#This Row],[Filtro URL]]</f>
        <v>100-C-9</v>
      </c>
      <c r="U599" s="46" t="str">
        <f t="shared" si="251"/>
        <v>#1774B9</v>
      </c>
      <c r="V599" s="93" t="str">
        <f>+Agencia[[#This Row],[idcoleccion]]&amp;"-"&amp;Agencia[[#This Row],[id]]</f>
        <v>990-0588</v>
      </c>
      <c r="W599" s="93">
        <f>+VLOOKUP(Agencia[[#This Row],[Filtro URL]],Estructura!$X$4:$Y$500,2,0)</f>
        <v>99200009</v>
      </c>
      <c r="X599" s="93" t="str">
        <f>+VLOOKUP(Agencia[[#This Row],[tema]],Estructura!$A$4:$C$500,3,0)</f>
        <v>T-991</v>
      </c>
      <c r="Y599" s="93" t="str">
        <f>+VLOOKUP(Agencia[[#This Row],[contenido]],Estructura!$E$4:$G$500,3,0)</f>
        <v>C-1018</v>
      </c>
      <c r="Z599" s="93" t="str">
        <f>+VLOOKUP(Agencia[[#This Row],[Filtro Integrado]],Estructura!$I$4:$K$500,3,0)</f>
        <v>FI-991</v>
      </c>
      <c r="AA599" s="93" t="str">
        <f>+VLOOKUP(Agencia[[#This Row],[Muestra]],Estructura!$M$4:$O$500,3,0)</f>
        <v>M-1063</v>
      </c>
    </row>
    <row r="600" spans="1:27" ht="81.599999999999994" x14ac:dyDescent="0.3">
      <c r="A600" s="21" t="s">
        <v>1104</v>
      </c>
      <c r="B600" s="23">
        <f t="shared" si="237"/>
        <v>990</v>
      </c>
      <c r="C600" s="24" t="str">
        <f t="shared" si="238"/>
        <v>Agencia Información</v>
      </c>
      <c r="D600" s="72" t="str">
        <f t="shared" si="253"/>
        <v>Educación</v>
      </c>
      <c r="E600" s="19">
        <v>10</v>
      </c>
      <c r="F600" s="18" t="s">
        <v>1429</v>
      </c>
      <c r="G600" s="18" t="s">
        <v>4290</v>
      </c>
      <c r="H600" s="33" t="s">
        <v>16</v>
      </c>
      <c r="I600" s="34" t="s">
        <v>377</v>
      </c>
      <c r="J600" s="9" t="str">
        <f t="shared" si="257"/>
        <v>Comuna</v>
      </c>
      <c r="K600" s="142" t="s">
        <v>1425</v>
      </c>
      <c r="L600" s="9" t="str">
        <f t="shared" si="254"/>
        <v>Periodo 2014-2019</v>
      </c>
      <c r="M600" s="9" t="str">
        <f t="shared" si="255"/>
        <v>Puntaje</v>
      </c>
      <c r="N600" s="9" t="str">
        <f t="shared" si="256"/>
        <v>Agencia de Calidad de la Educación</v>
      </c>
      <c r="O600" s="20" t="str">
        <f>+"Resumen de Indicadores de Desarrollo Personal y Social por Dependencia de Establecimiento por comuna en la "&amp;I600&amp;", "&amp;Agencia[[#This Row],[temporalidad]]</f>
        <v>Resumen de Indicadores de Desarrollo Personal y Social por Dependencia de Establecimiento por comuna en la Región de Los Lagos, Periodo 2014-2019</v>
      </c>
      <c r="P600" s="112" t="s">
        <v>6283</v>
      </c>
      <c r="Q600" s="11" t="str">
        <f t="shared" si="250"/>
        <v>Gráfico de Evolución</v>
      </c>
      <c r="R600"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Los Lagos,calidad,puntaje,municipal,subvencionado,corporación,particular,autoestima,convivencia,hábitos,salud,participación,desarrollo,personal,indicadores,Agencia Información,Educación,Indicadores de Desarrollo Personal y Social,Métricas de la Educación</v>
      </c>
      <c r="S600" s="37" t="str">
        <f>HYPERLINK("https://analytics.zoho.com/open-view/2395394000007990413?ZOHO_CRITERIA=%22Localiza%20CL%22.%22Codreg%22%3D"&amp;Agencia[[#This Row],[Filtro URL]])</f>
        <v>https://analytics.zoho.com/open-view/2395394000007990413?ZOHO_CRITERIA=%22Localiza%20CL%22.%22Codreg%22%3D10</v>
      </c>
      <c r="T600" s="111" t="str">
        <f>"100-C-"&amp;Agencia[[#This Row],[Filtro URL]]</f>
        <v>100-C-10</v>
      </c>
      <c r="U600" s="46" t="str">
        <f t="shared" si="251"/>
        <v>#1774B9</v>
      </c>
      <c r="V600" s="93" t="str">
        <f>+Agencia[[#This Row],[idcoleccion]]&amp;"-"&amp;Agencia[[#This Row],[id]]</f>
        <v>990-0589</v>
      </c>
      <c r="W600" s="93">
        <f>+VLOOKUP(Agencia[[#This Row],[Filtro URL]],Estructura!$X$4:$Y$500,2,0)</f>
        <v>99200010</v>
      </c>
      <c r="X600" s="93" t="str">
        <f>+VLOOKUP(Agencia[[#This Row],[tema]],Estructura!$A$4:$C$500,3,0)</f>
        <v>T-991</v>
      </c>
      <c r="Y600" s="93" t="str">
        <f>+VLOOKUP(Agencia[[#This Row],[contenido]],Estructura!$E$4:$G$500,3,0)</f>
        <v>C-1018</v>
      </c>
      <c r="Z600" s="93" t="str">
        <f>+VLOOKUP(Agencia[[#This Row],[Filtro Integrado]],Estructura!$I$4:$K$500,3,0)</f>
        <v>FI-991</v>
      </c>
      <c r="AA600" s="93" t="str">
        <f>+VLOOKUP(Agencia[[#This Row],[Muestra]],Estructura!$M$4:$O$500,3,0)</f>
        <v>M-1063</v>
      </c>
    </row>
    <row r="601" spans="1:27" ht="81.599999999999994" x14ac:dyDescent="0.3">
      <c r="A601" s="21" t="s">
        <v>1105</v>
      </c>
      <c r="B601" s="23">
        <f t="shared" si="237"/>
        <v>990</v>
      </c>
      <c r="C601" s="24" t="str">
        <f t="shared" si="238"/>
        <v>Agencia Información</v>
      </c>
      <c r="D601" s="72" t="str">
        <f t="shared" si="253"/>
        <v>Educación</v>
      </c>
      <c r="E601" s="19">
        <v>11</v>
      </c>
      <c r="F601" s="18" t="s">
        <v>1429</v>
      </c>
      <c r="G601" s="18" t="s">
        <v>4290</v>
      </c>
      <c r="H601" s="33" t="s">
        <v>16</v>
      </c>
      <c r="I601" s="34" t="s">
        <v>378</v>
      </c>
      <c r="J601" s="9" t="str">
        <f t="shared" si="257"/>
        <v>Comuna</v>
      </c>
      <c r="K601" s="142" t="s">
        <v>1425</v>
      </c>
      <c r="L601" s="9" t="str">
        <f t="shared" si="254"/>
        <v>Periodo 2014-2019</v>
      </c>
      <c r="M601" s="9" t="str">
        <f t="shared" si="255"/>
        <v>Puntaje</v>
      </c>
      <c r="N601" s="9" t="str">
        <f t="shared" si="256"/>
        <v>Agencia de Calidad de la Educación</v>
      </c>
      <c r="O601" s="20" t="str">
        <f>+"Resumen de Indicadores de Desarrollo Personal y Social por Dependencia de Establecimiento por comuna en la "&amp;I601&amp;", "&amp;Agencia[[#This Row],[temporalidad]]</f>
        <v>Resumen de Indicadores de Desarrollo Personal y Social por Dependencia de Establecimiento por comuna en la Región de Aysén, Periodo 2014-2019</v>
      </c>
      <c r="P601" s="112" t="s">
        <v>6153</v>
      </c>
      <c r="Q601" s="11" t="str">
        <f t="shared" si="250"/>
        <v>Gráfico de Evolución</v>
      </c>
      <c r="R601"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Aysén,calidad,puntaje,municipal,subvencionado,corporación,particular,autoestima,convivencia,hábitos,salud,participación,desarrollo,personal,indicadores,Agencia Información,Educación,Indicadores de Desarrollo Personal y Social,Métricas de la Educación</v>
      </c>
      <c r="S601" s="37" t="str">
        <f>HYPERLINK("https://analytics.zoho.com/open-view/2395394000007990413?ZOHO_CRITERIA=%22Localiza%20CL%22.%22Codreg%22%3D"&amp;Agencia[[#This Row],[Filtro URL]])</f>
        <v>https://analytics.zoho.com/open-view/2395394000007990413?ZOHO_CRITERIA=%22Localiza%20CL%22.%22Codreg%22%3D11</v>
      </c>
      <c r="T601" s="111" t="str">
        <f>"100-C-"&amp;Agencia[[#This Row],[Filtro URL]]</f>
        <v>100-C-11</v>
      </c>
      <c r="U601" s="46" t="str">
        <f t="shared" si="251"/>
        <v>#1774B9</v>
      </c>
      <c r="V601" s="93" t="str">
        <f>+Agencia[[#This Row],[idcoleccion]]&amp;"-"&amp;Agencia[[#This Row],[id]]</f>
        <v>990-0590</v>
      </c>
      <c r="W601" s="93">
        <f>+VLOOKUP(Agencia[[#This Row],[Filtro URL]],Estructura!$X$4:$Y$500,2,0)</f>
        <v>99200011</v>
      </c>
      <c r="X601" s="93" t="str">
        <f>+VLOOKUP(Agencia[[#This Row],[tema]],Estructura!$A$4:$C$500,3,0)</f>
        <v>T-991</v>
      </c>
      <c r="Y601" s="93" t="str">
        <f>+VLOOKUP(Agencia[[#This Row],[contenido]],Estructura!$E$4:$G$500,3,0)</f>
        <v>C-1018</v>
      </c>
      <c r="Z601" s="93" t="str">
        <f>+VLOOKUP(Agencia[[#This Row],[Filtro Integrado]],Estructura!$I$4:$K$500,3,0)</f>
        <v>FI-991</v>
      </c>
      <c r="AA601" s="93" t="str">
        <f>+VLOOKUP(Agencia[[#This Row],[Muestra]],Estructura!$M$4:$O$500,3,0)</f>
        <v>M-1063</v>
      </c>
    </row>
    <row r="602" spans="1:27" ht="81.599999999999994" x14ac:dyDescent="0.3">
      <c r="A602" s="21" t="s">
        <v>1106</v>
      </c>
      <c r="B602" s="23">
        <f t="shared" si="237"/>
        <v>990</v>
      </c>
      <c r="C602" s="24" t="str">
        <f t="shared" si="238"/>
        <v>Agencia Información</v>
      </c>
      <c r="D602" s="72" t="str">
        <f t="shared" si="253"/>
        <v>Educación</v>
      </c>
      <c r="E602" s="19">
        <v>12</v>
      </c>
      <c r="F602" s="18" t="s">
        <v>1429</v>
      </c>
      <c r="G602" s="18" t="s">
        <v>4290</v>
      </c>
      <c r="H602" s="33" t="s">
        <v>16</v>
      </c>
      <c r="I602" s="34" t="s">
        <v>379</v>
      </c>
      <c r="J602" s="9" t="str">
        <f t="shared" si="257"/>
        <v>Comuna</v>
      </c>
      <c r="K602" s="142" t="s">
        <v>1425</v>
      </c>
      <c r="L602" s="9" t="str">
        <f t="shared" si="254"/>
        <v>Periodo 2014-2019</v>
      </c>
      <c r="M602" s="9" t="str">
        <f t="shared" si="255"/>
        <v>Puntaje</v>
      </c>
      <c r="N602" s="9" t="str">
        <f t="shared" si="256"/>
        <v>Agencia de Calidad de la Educación</v>
      </c>
      <c r="O602" s="20" t="str">
        <f>+"Resumen de Indicadores de Desarrollo Personal y Social por Dependencia de Establecimiento por comuna en la "&amp;I602&amp;", "&amp;Agencia[[#This Row],[temporalidad]]</f>
        <v>Resumen de Indicadores de Desarrollo Personal y Social por Dependencia de Establecimiento por comuna en la Región de Magallanes, Periodo 2014-2019</v>
      </c>
      <c r="P602" s="112" t="s">
        <v>6290</v>
      </c>
      <c r="Q602" s="11" t="str">
        <f t="shared" si="250"/>
        <v>Gráfico de Evolución</v>
      </c>
      <c r="R602"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Magallanes,calidad,puntaje,municipal,subvencionado,corporación,particular,autoestima,convivencia,hábitos,salud,participación,desarrollo,personal,indicadores,Agencia Información,Educación,Indicadores de Desarrollo Personal y Social,Métricas de la Educación</v>
      </c>
      <c r="S602" s="37" t="str">
        <f>HYPERLINK("https://analytics.zoho.com/open-view/2395394000007990413?ZOHO_CRITERIA=%22Localiza%20CL%22.%22Codreg%22%3D"&amp;Agencia[[#This Row],[Filtro URL]])</f>
        <v>https://analytics.zoho.com/open-view/2395394000007990413?ZOHO_CRITERIA=%22Localiza%20CL%22.%22Codreg%22%3D12</v>
      </c>
      <c r="T602" s="111" t="str">
        <f>"100-C-"&amp;Agencia[[#This Row],[Filtro URL]]</f>
        <v>100-C-12</v>
      </c>
      <c r="U602" s="46" t="str">
        <f t="shared" si="251"/>
        <v>#1774B9</v>
      </c>
      <c r="V602" s="93" t="str">
        <f>+Agencia[[#This Row],[idcoleccion]]&amp;"-"&amp;Agencia[[#This Row],[id]]</f>
        <v>990-0591</v>
      </c>
      <c r="W602" s="93">
        <f>+VLOOKUP(Agencia[[#This Row],[Filtro URL]],Estructura!$X$4:$Y$500,2,0)</f>
        <v>99200012</v>
      </c>
      <c r="X602" s="93" t="str">
        <f>+VLOOKUP(Agencia[[#This Row],[tema]],Estructura!$A$4:$C$500,3,0)</f>
        <v>T-991</v>
      </c>
      <c r="Y602" s="93" t="str">
        <f>+VLOOKUP(Agencia[[#This Row],[contenido]],Estructura!$E$4:$G$500,3,0)</f>
        <v>C-1018</v>
      </c>
      <c r="Z602" s="93" t="str">
        <f>+VLOOKUP(Agencia[[#This Row],[Filtro Integrado]],Estructura!$I$4:$K$500,3,0)</f>
        <v>FI-991</v>
      </c>
      <c r="AA602" s="93" t="str">
        <f>+VLOOKUP(Agencia[[#This Row],[Muestra]],Estructura!$M$4:$O$500,3,0)</f>
        <v>M-1063</v>
      </c>
    </row>
    <row r="603" spans="1:27" ht="81.599999999999994" x14ac:dyDescent="0.3">
      <c r="A603" s="21" t="s">
        <v>1107</v>
      </c>
      <c r="B603" s="23">
        <f t="shared" si="237"/>
        <v>990</v>
      </c>
      <c r="C603" s="24" t="str">
        <f t="shared" si="238"/>
        <v>Agencia Información</v>
      </c>
      <c r="D603" s="72" t="str">
        <f t="shared" si="253"/>
        <v>Educación</v>
      </c>
      <c r="E603" s="19">
        <v>13</v>
      </c>
      <c r="F603" s="18" t="s">
        <v>1429</v>
      </c>
      <c r="G603" s="18" t="s">
        <v>4290</v>
      </c>
      <c r="H603" s="33" t="s">
        <v>16</v>
      </c>
      <c r="I603" s="34" t="s">
        <v>380</v>
      </c>
      <c r="J603" s="9" t="str">
        <f t="shared" si="257"/>
        <v>Comuna</v>
      </c>
      <c r="K603" s="142" t="s">
        <v>1425</v>
      </c>
      <c r="L603" s="9" t="str">
        <f t="shared" si="254"/>
        <v>Periodo 2014-2019</v>
      </c>
      <c r="M603" s="9" t="str">
        <f t="shared" si="255"/>
        <v>Puntaje</v>
      </c>
      <c r="N603" s="9" t="str">
        <f t="shared" si="256"/>
        <v>Agencia de Calidad de la Educación</v>
      </c>
      <c r="O603" s="20" t="str">
        <f>+"Resumen de Indicadores de Desarrollo Personal y Social por Dependencia de Establecimiento por comuna en la "&amp;I603&amp;", "&amp;Agencia[[#This Row],[temporalidad]]</f>
        <v>Resumen de Indicadores de Desarrollo Personal y Social por Dependencia de Establecimiento por comuna en la Región Metropolitana, Periodo 2014-2019</v>
      </c>
      <c r="P603" s="112" t="s">
        <v>6284</v>
      </c>
      <c r="Q603" s="11" t="str">
        <f t="shared" si="250"/>
        <v>Gráfico de Evolución</v>
      </c>
      <c r="R603"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Metropolitana,calidad,puntaje,municipal,subvencionado,corporación,particular,autoestima,convivencia,hábitos,salud,participación,desarrollo,personal,indicadores,Agencia Información,Educación,Indicadores de Desarrollo Personal y Social,Métricas de la Educación</v>
      </c>
      <c r="S603" s="37" t="str">
        <f>HYPERLINK("https://analytics.zoho.com/open-view/2395394000007990413?ZOHO_CRITERIA=%22Localiza%20CL%22.%22Codreg%22%3D"&amp;Agencia[[#This Row],[Filtro URL]])</f>
        <v>https://analytics.zoho.com/open-view/2395394000007990413?ZOHO_CRITERIA=%22Localiza%20CL%22.%22Codreg%22%3D13</v>
      </c>
      <c r="T603" s="111" t="str">
        <f>"200-C-"&amp;Agencia[[#This Row],[Filtro URL]]</f>
        <v>200-C-13</v>
      </c>
      <c r="U603" s="46" t="str">
        <f t="shared" si="251"/>
        <v>#1774B9</v>
      </c>
      <c r="V603" s="93" t="str">
        <f>+Agencia[[#This Row],[idcoleccion]]&amp;"-"&amp;Agencia[[#This Row],[id]]</f>
        <v>990-0592</v>
      </c>
      <c r="W603" s="93">
        <f>+VLOOKUP(Agencia[[#This Row],[Filtro URL]],Estructura!$X$4:$Y$500,2,0)</f>
        <v>99200013</v>
      </c>
      <c r="X603" s="93" t="str">
        <f>+VLOOKUP(Agencia[[#This Row],[tema]],Estructura!$A$4:$C$500,3,0)</f>
        <v>T-991</v>
      </c>
      <c r="Y603" s="93" t="str">
        <f>+VLOOKUP(Agencia[[#This Row],[contenido]],Estructura!$E$4:$G$500,3,0)</f>
        <v>C-1018</v>
      </c>
      <c r="Z603" s="93" t="str">
        <f>+VLOOKUP(Agencia[[#This Row],[Filtro Integrado]],Estructura!$I$4:$K$500,3,0)</f>
        <v>FI-991</v>
      </c>
      <c r="AA603" s="93" t="str">
        <f>+VLOOKUP(Agencia[[#This Row],[Muestra]],Estructura!$M$4:$O$500,3,0)</f>
        <v>M-1063</v>
      </c>
    </row>
    <row r="604" spans="1:27" ht="81.599999999999994" x14ac:dyDescent="0.3">
      <c r="A604" s="21" t="s">
        <v>1108</v>
      </c>
      <c r="B604" s="23">
        <f t="shared" si="237"/>
        <v>990</v>
      </c>
      <c r="C604" s="24" t="str">
        <f t="shared" si="238"/>
        <v>Agencia Información</v>
      </c>
      <c r="D604" s="72" t="str">
        <f t="shared" si="253"/>
        <v>Educación</v>
      </c>
      <c r="E604" s="19">
        <v>14</v>
      </c>
      <c r="F604" s="18" t="s">
        <v>1429</v>
      </c>
      <c r="G604" s="18" t="s">
        <v>4290</v>
      </c>
      <c r="H604" s="33" t="s">
        <v>16</v>
      </c>
      <c r="I604" s="34" t="s">
        <v>381</v>
      </c>
      <c r="J604" s="9" t="str">
        <f t="shared" si="257"/>
        <v>Comuna</v>
      </c>
      <c r="K604" s="142" t="s">
        <v>1425</v>
      </c>
      <c r="L604" s="9" t="str">
        <f t="shared" si="254"/>
        <v>Periodo 2014-2019</v>
      </c>
      <c r="M604" s="9" t="str">
        <f t="shared" si="255"/>
        <v>Puntaje</v>
      </c>
      <c r="N604" s="9" t="str">
        <f t="shared" si="256"/>
        <v>Agencia de Calidad de la Educación</v>
      </c>
      <c r="O604" s="20" t="str">
        <f>+"Resumen de Indicadores de Desarrollo Personal y Social por Dependencia de Establecimiento por comuna en la "&amp;I604&amp;", "&amp;Agencia[[#This Row],[temporalidad]]</f>
        <v>Resumen de Indicadores de Desarrollo Personal y Social por Dependencia de Establecimiento por comuna en la Región de Los Ríos, Periodo 2014-2019</v>
      </c>
      <c r="P604" s="112" t="s">
        <v>6285</v>
      </c>
      <c r="Q604" s="11" t="str">
        <f t="shared" si="250"/>
        <v>Gráfico de Evolución</v>
      </c>
      <c r="R604"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Los Ríos,calidad,puntaje,municipal,subvencionado,corporación,particular,autoestima,convivencia,hábitos,salud,participación,desarrollo,personal,indicadores,Agencia Información,Educación,Indicadores de Desarrollo Personal y Social,Métricas de la Educación</v>
      </c>
      <c r="S604" s="37" t="str">
        <f>HYPERLINK("https://analytics.zoho.com/open-view/2395394000007990413?ZOHO_CRITERIA=%22Localiza%20CL%22.%22Codreg%22%3D"&amp;Agencia[[#This Row],[Filtro URL]])</f>
        <v>https://analytics.zoho.com/open-view/2395394000007990413?ZOHO_CRITERIA=%22Localiza%20CL%22.%22Codreg%22%3D14</v>
      </c>
      <c r="T604" s="111" t="str">
        <f>"100-C-"&amp;Agencia[[#This Row],[Filtro URL]]</f>
        <v>100-C-14</v>
      </c>
      <c r="U604" s="46" t="str">
        <f t="shared" si="251"/>
        <v>#1774B9</v>
      </c>
      <c r="V604" s="93" t="str">
        <f>+Agencia[[#This Row],[idcoleccion]]&amp;"-"&amp;Agencia[[#This Row],[id]]</f>
        <v>990-0593</v>
      </c>
      <c r="W604" s="93">
        <f>+VLOOKUP(Agencia[[#This Row],[Filtro URL]],Estructura!$X$4:$Y$500,2,0)</f>
        <v>99200014</v>
      </c>
      <c r="X604" s="93" t="str">
        <f>+VLOOKUP(Agencia[[#This Row],[tema]],Estructura!$A$4:$C$500,3,0)</f>
        <v>T-991</v>
      </c>
      <c r="Y604" s="93" t="str">
        <f>+VLOOKUP(Agencia[[#This Row],[contenido]],Estructura!$E$4:$G$500,3,0)</f>
        <v>C-1018</v>
      </c>
      <c r="Z604" s="93" t="str">
        <f>+VLOOKUP(Agencia[[#This Row],[Filtro Integrado]],Estructura!$I$4:$K$500,3,0)</f>
        <v>FI-991</v>
      </c>
      <c r="AA604" s="93" t="str">
        <f>+VLOOKUP(Agencia[[#This Row],[Muestra]],Estructura!$M$4:$O$500,3,0)</f>
        <v>M-1063</v>
      </c>
    </row>
    <row r="605" spans="1:27" ht="81.599999999999994" x14ac:dyDescent="0.3">
      <c r="A605" s="21" t="s">
        <v>1109</v>
      </c>
      <c r="B605" s="23">
        <f t="shared" si="237"/>
        <v>990</v>
      </c>
      <c r="C605" s="24" t="str">
        <f t="shared" si="238"/>
        <v>Agencia Información</v>
      </c>
      <c r="D605" s="72" t="str">
        <f t="shared" si="253"/>
        <v>Educación</v>
      </c>
      <c r="E605" s="19">
        <v>15</v>
      </c>
      <c r="F605" s="18" t="s">
        <v>1429</v>
      </c>
      <c r="G605" s="18" t="s">
        <v>4290</v>
      </c>
      <c r="H605" s="33" t="s">
        <v>16</v>
      </c>
      <c r="I605" s="34" t="s">
        <v>382</v>
      </c>
      <c r="J605" s="9" t="str">
        <f t="shared" si="257"/>
        <v>Comuna</v>
      </c>
      <c r="K605" s="142" t="s">
        <v>1425</v>
      </c>
      <c r="L605" s="9" t="str">
        <f t="shared" si="254"/>
        <v>Periodo 2014-2019</v>
      </c>
      <c r="M605" s="9" t="str">
        <f t="shared" si="255"/>
        <v>Puntaje</v>
      </c>
      <c r="N605" s="9" t="str">
        <f t="shared" si="256"/>
        <v>Agencia de Calidad de la Educación</v>
      </c>
      <c r="O605" s="20" t="str">
        <f>+"Resumen de Indicadores de Desarrollo Personal y Social por Dependencia de Establecimiento por comuna en la "&amp;I605&amp;", "&amp;Agencia[[#This Row],[temporalidad]]</f>
        <v>Resumen de Indicadores de Desarrollo Personal y Social por Dependencia de Establecimiento por comuna en la Región de Arica y Parinacota, Periodo 2014-2019</v>
      </c>
      <c r="P605" s="112" t="s">
        <v>6291</v>
      </c>
      <c r="Q605" s="11" t="str">
        <f t="shared" si="250"/>
        <v>Gráfico de Evolución</v>
      </c>
      <c r="R605"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Arica y Parinacota,calidad,puntaje,municipal,subvencionado,corporación,particular,autoestima,convivencia,hábitos,salud,participación,desarrollo,personal,indicadores,Agencia Información,Educación,Indicadores de Desarrollo Personal y Social,Métricas de la Educación</v>
      </c>
      <c r="S605" s="37" t="str">
        <f>HYPERLINK("https://analytics.zoho.com/open-view/2395394000007990413?ZOHO_CRITERIA=%22Localiza%20CL%22.%22Codreg%22%3D"&amp;Agencia[[#This Row],[Filtro URL]])</f>
        <v>https://analytics.zoho.com/open-view/2395394000007990413?ZOHO_CRITERIA=%22Localiza%20CL%22.%22Codreg%22%3D15</v>
      </c>
      <c r="T605" s="111" t="str">
        <f>"100-C-"&amp;Agencia[[#This Row],[Filtro URL]]</f>
        <v>100-C-15</v>
      </c>
      <c r="U605" s="46" t="str">
        <f t="shared" si="251"/>
        <v>#1774B9</v>
      </c>
      <c r="V605" s="93" t="str">
        <f>+Agencia[[#This Row],[idcoleccion]]&amp;"-"&amp;Agencia[[#This Row],[id]]</f>
        <v>990-0594</v>
      </c>
      <c r="W605" s="93">
        <f>+VLOOKUP(Agencia[[#This Row],[Filtro URL]],Estructura!$X$4:$Y$500,2,0)</f>
        <v>99200015</v>
      </c>
      <c r="X605" s="93" t="str">
        <f>+VLOOKUP(Agencia[[#This Row],[tema]],Estructura!$A$4:$C$500,3,0)</f>
        <v>T-991</v>
      </c>
      <c r="Y605" s="93" t="str">
        <f>+VLOOKUP(Agencia[[#This Row],[contenido]],Estructura!$E$4:$G$500,3,0)</f>
        <v>C-1018</v>
      </c>
      <c r="Z605" s="93" t="str">
        <f>+VLOOKUP(Agencia[[#This Row],[Filtro Integrado]],Estructura!$I$4:$K$500,3,0)</f>
        <v>FI-991</v>
      </c>
      <c r="AA605" s="93" t="str">
        <f>+VLOOKUP(Agencia[[#This Row],[Muestra]],Estructura!$M$4:$O$500,3,0)</f>
        <v>M-1063</v>
      </c>
    </row>
    <row r="606" spans="1:27" ht="81.599999999999994" x14ac:dyDescent="0.3">
      <c r="A606" s="21" t="s">
        <v>1110</v>
      </c>
      <c r="B606" s="23">
        <f t="shared" ref="B606:B669" si="258">+B605</f>
        <v>990</v>
      </c>
      <c r="C606" s="24" t="str">
        <f t="shared" si="238"/>
        <v>Agencia Información</v>
      </c>
      <c r="D606" s="72" t="str">
        <f t="shared" si="253"/>
        <v>Educación</v>
      </c>
      <c r="E606" s="19">
        <v>16</v>
      </c>
      <c r="F606" s="18" t="s">
        <v>1429</v>
      </c>
      <c r="G606" s="18" t="s">
        <v>4290</v>
      </c>
      <c r="H606" s="33" t="s">
        <v>16</v>
      </c>
      <c r="I606" s="34" t="s">
        <v>383</v>
      </c>
      <c r="J606" s="9" t="str">
        <f t="shared" si="257"/>
        <v>Comuna</v>
      </c>
      <c r="K606" s="142" t="s">
        <v>1425</v>
      </c>
      <c r="L606" s="9" t="str">
        <f t="shared" si="254"/>
        <v>Periodo 2014-2019</v>
      </c>
      <c r="M606" s="9" t="str">
        <f t="shared" si="255"/>
        <v>Puntaje</v>
      </c>
      <c r="N606" s="9" t="str">
        <f t="shared" si="256"/>
        <v>Agencia de Calidad de la Educación</v>
      </c>
      <c r="O606" s="20" t="str">
        <f>+"Resumen de Indicadores de Desarrollo Personal y Social por Dependencia de Establecimiento por comuna en la "&amp;I606&amp;", "&amp;Agencia[[#This Row],[temporalidad]]</f>
        <v>Resumen de Indicadores de Desarrollo Personal y Social por Dependencia de Establecimiento por comuna en la Región de Ñuble, Periodo 2014-2019</v>
      </c>
      <c r="P606" s="112" t="s">
        <v>6286</v>
      </c>
      <c r="Q606" s="11" t="str">
        <f t="shared" si="250"/>
        <v>Gráfico de Evolución</v>
      </c>
      <c r="R606" s="148" t="str">
        <f>Agencia[[#This Row],[territorio]]&amp;",calidad,puntaje,municipal,subvencionado,corporación,particular,autoestima,convivencia,hábitos,salud,participación,desarrollo,personal,indicadores,"&amp;Agencia[[#This Row],[coleccion]]&amp;","&amp;Agencia[[#This Row],[sector]]&amp;","&amp;Agencia[[#This Row],[tema]]&amp;","&amp;Agencia[[#This Row],[contenido]]</f>
        <v>Región de Ñuble,calidad,puntaje,municipal,subvencionado,corporación,particular,autoestima,convivencia,hábitos,salud,participación,desarrollo,personal,indicadores,Agencia Información,Educación,Indicadores de Desarrollo Personal y Social,Métricas de la Educación</v>
      </c>
      <c r="S606" s="37" t="str">
        <f>HYPERLINK("https://analytics.zoho.com/open-view/2395394000007990413?ZOHO_CRITERIA=%22Localiza%20CL%22.%22Codreg%22%3D"&amp;Agencia[[#This Row],[Filtro URL]])</f>
        <v>https://analytics.zoho.com/open-view/2395394000007990413?ZOHO_CRITERIA=%22Localiza%20CL%22.%22Codreg%22%3D16</v>
      </c>
      <c r="T606" s="111" t="str">
        <f>"100-C-"&amp;Agencia[[#This Row],[Filtro URL]]</f>
        <v>100-C-16</v>
      </c>
      <c r="U606" s="46" t="str">
        <f t="shared" si="251"/>
        <v>#1774B9</v>
      </c>
      <c r="V606" s="93" t="str">
        <f>+Agencia[[#This Row],[idcoleccion]]&amp;"-"&amp;Agencia[[#This Row],[id]]</f>
        <v>990-0595</v>
      </c>
      <c r="W606" s="93">
        <f>+VLOOKUP(Agencia[[#This Row],[Filtro URL]],Estructura!$X$4:$Y$500,2,0)</f>
        <v>99200016</v>
      </c>
      <c r="X606" s="93" t="str">
        <f>+VLOOKUP(Agencia[[#This Row],[tema]],Estructura!$A$4:$C$500,3,0)</f>
        <v>T-991</v>
      </c>
      <c r="Y606" s="93" t="str">
        <f>+VLOOKUP(Agencia[[#This Row],[contenido]],Estructura!$E$4:$G$500,3,0)</f>
        <v>C-1018</v>
      </c>
      <c r="Z606" s="93" t="str">
        <f>+VLOOKUP(Agencia[[#This Row],[Filtro Integrado]],Estructura!$I$4:$K$500,3,0)</f>
        <v>FI-991</v>
      </c>
      <c r="AA606" s="93" t="str">
        <f>+VLOOKUP(Agencia[[#This Row],[Muestra]],Estructura!$M$4:$O$500,3,0)</f>
        <v>M-1063</v>
      </c>
    </row>
    <row r="607" spans="1:27" ht="61.2" x14ac:dyDescent="0.3">
      <c r="A607" s="21" t="s">
        <v>1111</v>
      </c>
      <c r="B607" s="23">
        <f t="shared" si="258"/>
        <v>990</v>
      </c>
      <c r="C607" s="24" t="str">
        <f t="shared" ref="C607:C670" si="259">+C606</f>
        <v>Agencia Información</v>
      </c>
      <c r="D607" s="72" t="s">
        <v>14</v>
      </c>
      <c r="E607" s="14">
        <v>0</v>
      </c>
      <c r="F607" s="18" t="s">
        <v>1429</v>
      </c>
      <c r="G607" s="18" t="s">
        <v>4290</v>
      </c>
      <c r="H607" s="31" t="s">
        <v>20</v>
      </c>
      <c r="I607" s="32" t="s">
        <v>15</v>
      </c>
      <c r="J607" s="9" t="s">
        <v>16</v>
      </c>
      <c r="K607" s="9" t="s">
        <v>1425</v>
      </c>
      <c r="L607" s="9" t="s">
        <v>835</v>
      </c>
      <c r="M607" s="9" t="s">
        <v>1425</v>
      </c>
      <c r="N607" s="9" t="s">
        <v>1422</v>
      </c>
      <c r="O607" s="20" t="str">
        <f>+"Mapa de distribución geográfica en "&amp;Agencia[[#This Row],[territorio]]&amp;" del Indicador de Autoestima Académica y Motivación Escolar, "&amp;Agencia[[#This Row],[temporalidad]]</f>
        <v>Mapa de distribución geográfica en Chile del Indicador de Autoestima Académica y Motivación Escolar, Periodo 2014-2019</v>
      </c>
      <c r="P607" s="112" t="s">
        <v>6292</v>
      </c>
      <c r="Q607" s="11" t="s">
        <v>794</v>
      </c>
      <c r="R607" s="20" t="str">
        <f>Agencia[[#This Row],[territorio]]&amp;",calidad,puntaje,autoestima,motivación,escolar,desarrollo,personal,indicador,académica,"&amp;Agencia[[#This Row],[coleccion]]&amp;","&amp;Agencia[[#This Row],[sector]]&amp;","&amp;Agencia[[#This Row],[tema]]&amp;","&amp;Agencia[[#This Row],[contenido]]</f>
        <v>Chile,calidad,puntaje,autoestima,motivación,escolar,desarrollo,personal,indicador,académica,Agencia Información,Educación,Indicadores de Desarrollo Personal y Social,Métricas de la Educación</v>
      </c>
      <c r="S607" s="37" t="s">
        <v>1455</v>
      </c>
      <c r="T607" s="108" t="s">
        <v>957</v>
      </c>
      <c r="U607" s="46" t="str">
        <f t="shared" si="251"/>
        <v>#1774B9</v>
      </c>
      <c r="V607" s="93" t="str">
        <f>+Agencia[[#This Row],[idcoleccion]]&amp;"-"&amp;Agencia[[#This Row],[id]]</f>
        <v>990-0596</v>
      </c>
      <c r="W607" s="93">
        <f>+VLOOKUP(Agencia[[#This Row],[Filtro URL]],Estructura!$X$4:$Y$500,2,0)</f>
        <v>99100000</v>
      </c>
      <c r="X607" s="93" t="str">
        <f>+VLOOKUP(Agencia[[#This Row],[tema]],Estructura!$A$4:$C$500,3,0)</f>
        <v>T-991</v>
      </c>
      <c r="Y607" s="93" t="str">
        <f>+VLOOKUP(Agencia[[#This Row],[contenido]],Estructura!$E$4:$G$500,3,0)</f>
        <v>C-1018</v>
      </c>
      <c r="Z607" s="93" t="str">
        <f>+VLOOKUP(Agencia[[#This Row],[Filtro Integrado]],Estructura!$I$4:$K$500,3,0)</f>
        <v>FI-992</v>
      </c>
      <c r="AA607" s="93" t="str">
        <f>+VLOOKUP(Agencia[[#This Row],[Muestra]],Estructura!$M$4:$O$500,3,0)</f>
        <v>M-1063</v>
      </c>
    </row>
    <row r="608" spans="1:27" ht="61.2" x14ac:dyDescent="0.3">
      <c r="A608" s="21" t="s">
        <v>1112</v>
      </c>
      <c r="B608" s="23">
        <f t="shared" si="258"/>
        <v>990</v>
      </c>
      <c r="C608" s="24" t="str">
        <f t="shared" si="259"/>
        <v>Agencia Información</v>
      </c>
      <c r="D608" s="72" t="str">
        <f t="shared" ref="D608:D623" si="260">+D607</f>
        <v>Educación</v>
      </c>
      <c r="E608" s="19">
        <v>1</v>
      </c>
      <c r="F608" s="18" t="s">
        <v>1429</v>
      </c>
      <c r="G608" s="18" t="s">
        <v>4290</v>
      </c>
      <c r="H608" s="33" t="s">
        <v>16</v>
      </c>
      <c r="I608" s="34" t="s">
        <v>368</v>
      </c>
      <c r="J608" s="9" t="s">
        <v>403</v>
      </c>
      <c r="K608" s="142" t="s">
        <v>1425</v>
      </c>
      <c r="L608" s="9" t="str">
        <f t="shared" ref="L608:L623" si="261">+L607</f>
        <v>Periodo 2014-2019</v>
      </c>
      <c r="M608" s="9" t="str">
        <f t="shared" ref="M608:M623" si="262">+M607</f>
        <v>Puntaje</v>
      </c>
      <c r="N608" s="9" t="str">
        <f t="shared" ref="N608:N623" si="263">+N607</f>
        <v>Agencia de Calidad de la Educación</v>
      </c>
      <c r="O608" s="20" t="str">
        <f>+"Mapa de distribución geográfica en la "&amp;Agencia[[#This Row],[territorio]]&amp;" del Indicador de Autoestima Académica y Motivación Escolar, "&amp;Agencia[[#This Row],[temporalidad]]</f>
        <v>Mapa de distribución geográfica en la Región de Tarapacá del Indicador de Autoestima Académica y Motivación Escolar, Periodo 2014-2019</v>
      </c>
      <c r="P608" s="112" t="s">
        <v>6293</v>
      </c>
      <c r="Q608" s="11" t="str">
        <f t="shared" si="250"/>
        <v>Mapa de calor</v>
      </c>
      <c r="R608" s="148" t="str">
        <f>Agencia[[#This Row],[territorio]]&amp;",calidad,puntaje,autoestima,motivación,escolar,desarrollo,personal,indicador,académica,"&amp;Agencia[[#This Row],[coleccion]]&amp;","&amp;Agencia[[#This Row],[sector]]&amp;","&amp;Agencia[[#This Row],[tema]]&amp;","&amp;Agencia[[#This Row],[contenido]]</f>
        <v>Región de Tarapacá,calidad,puntaje,autoestima,motivación,escolar,desarrollo,personal,indicador,académica,Agencia Información,Educación,Indicadores de Desarrollo Personal y Social,Métricas de la Educación</v>
      </c>
      <c r="S608" s="83" t="str">
        <f>HYPERLINK("https://analytics.zoho.com/open-view/2395394000009056027?ZOHO_CRITERIA=%22Localiza%20CL%22.%22Codreg%22%3D"&amp;Agencia[[#This Row],[Filtro URL]])</f>
        <v>https://analytics.zoho.com/open-view/2395394000009056027?ZOHO_CRITERIA=%22Localiza%20CL%22.%22Codreg%22%3D1</v>
      </c>
      <c r="T608" s="108" t="str">
        <f>"100-C-"&amp;Agencia[[#This Row],[Filtro URL]]</f>
        <v>100-C-1</v>
      </c>
      <c r="U608" s="46" t="str">
        <f t="shared" si="251"/>
        <v>#1774B9</v>
      </c>
      <c r="V608" s="93" t="str">
        <f>+Agencia[[#This Row],[idcoleccion]]&amp;"-"&amp;Agencia[[#This Row],[id]]</f>
        <v>990-0597</v>
      </c>
      <c r="W608" s="93">
        <f>+VLOOKUP(Agencia[[#This Row],[Filtro URL]],Estructura!$X$4:$Y$500,2,0)</f>
        <v>99200001</v>
      </c>
      <c r="X608" s="93" t="str">
        <f>+VLOOKUP(Agencia[[#This Row],[tema]],Estructura!$A$4:$C$500,3,0)</f>
        <v>T-991</v>
      </c>
      <c r="Y608" s="93" t="str">
        <f>+VLOOKUP(Agencia[[#This Row],[contenido]],Estructura!$E$4:$G$500,3,0)</f>
        <v>C-1018</v>
      </c>
      <c r="Z608" s="93" t="str">
        <f>+VLOOKUP(Agencia[[#This Row],[Filtro Integrado]],Estructura!$I$4:$K$500,3,0)</f>
        <v>FI-993</v>
      </c>
      <c r="AA608" s="93" t="str">
        <f>+VLOOKUP(Agencia[[#This Row],[Muestra]],Estructura!$M$4:$O$500,3,0)</f>
        <v>M-1063</v>
      </c>
    </row>
    <row r="609" spans="1:27" ht="71.400000000000006" x14ac:dyDescent="0.3">
      <c r="A609" s="21" t="s">
        <v>1113</v>
      </c>
      <c r="B609" s="23">
        <f t="shared" si="258"/>
        <v>990</v>
      </c>
      <c r="C609" s="24" t="str">
        <f t="shared" si="259"/>
        <v>Agencia Información</v>
      </c>
      <c r="D609" s="72" t="str">
        <f t="shared" si="260"/>
        <v>Educación</v>
      </c>
      <c r="E609" s="19">
        <v>2</v>
      </c>
      <c r="F609" s="18" t="s">
        <v>1429</v>
      </c>
      <c r="G609" s="18" t="s">
        <v>4290</v>
      </c>
      <c r="H609" s="33" t="s">
        <v>16</v>
      </c>
      <c r="I609" s="34" t="s">
        <v>369</v>
      </c>
      <c r="J609" s="9" t="str">
        <f t="shared" ref="J609:J623" si="264">+J608</f>
        <v>Ninguno</v>
      </c>
      <c r="K609" s="142" t="s">
        <v>1425</v>
      </c>
      <c r="L609" s="9" t="str">
        <f t="shared" si="261"/>
        <v>Periodo 2014-2019</v>
      </c>
      <c r="M609" s="9" t="str">
        <f t="shared" si="262"/>
        <v>Puntaje</v>
      </c>
      <c r="N609" s="9" t="str">
        <f t="shared" si="263"/>
        <v>Agencia de Calidad de la Educación</v>
      </c>
      <c r="O609" s="20" t="str">
        <f>+"Mapa de distribución geográfica en la "&amp;Agencia[[#This Row],[territorio]]&amp;" del Indicador de Autoestima Académica y Motivación Escolar, "&amp;Agencia[[#This Row],[temporalidad]]</f>
        <v>Mapa de distribución geográfica en la Región de Antofagasta del Indicador de Autoestima Académica y Motivación Escolar, Periodo 2014-2019</v>
      </c>
      <c r="P609" s="112" t="s">
        <v>6294</v>
      </c>
      <c r="Q609" s="11" t="str">
        <f t="shared" si="250"/>
        <v>Mapa de calor</v>
      </c>
      <c r="R609" s="148" t="str">
        <f>Agencia[[#This Row],[territorio]]&amp;",calidad,puntaje,autoestima,motivación,escolar,desarrollo,personal,indicador,académica,"&amp;Agencia[[#This Row],[coleccion]]&amp;","&amp;Agencia[[#This Row],[sector]]&amp;","&amp;Agencia[[#This Row],[tema]]&amp;","&amp;Agencia[[#This Row],[contenido]]</f>
        <v>Región de Antofagasta,calidad,puntaje,autoestima,motivación,escolar,desarrollo,personal,indicador,académica,Agencia Información,Educación,Indicadores de Desarrollo Personal y Social,Métricas de la Educación</v>
      </c>
      <c r="S609" s="83" t="str">
        <f>HYPERLINK("https://analytics.zoho.com/open-view/2395394000009056027?ZOHO_CRITERIA=%22Localiza%20CL%22.%22Codreg%22%3D"&amp;Agencia[[#This Row],[Filtro URL]])</f>
        <v>https://analytics.zoho.com/open-view/2395394000009056027?ZOHO_CRITERIA=%22Localiza%20CL%22.%22Codreg%22%3D2</v>
      </c>
      <c r="T609" s="108" t="str">
        <f>"100-C-"&amp;Agencia[[#This Row],[Filtro URL]]</f>
        <v>100-C-2</v>
      </c>
      <c r="U609" s="46" t="str">
        <f t="shared" si="251"/>
        <v>#1774B9</v>
      </c>
      <c r="V609" s="93" t="str">
        <f>+Agencia[[#This Row],[idcoleccion]]&amp;"-"&amp;Agencia[[#This Row],[id]]</f>
        <v>990-0598</v>
      </c>
      <c r="W609" s="93">
        <f>+VLOOKUP(Agencia[[#This Row],[Filtro URL]],Estructura!$X$4:$Y$500,2,0)</f>
        <v>99200002</v>
      </c>
      <c r="X609" s="93" t="str">
        <f>+VLOOKUP(Agencia[[#This Row],[tema]],Estructura!$A$4:$C$500,3,0)</f>
        <v>T-991</v>
      </c>
      <c r="Y609" s="93" t="str">
        <f>+VLOOKUP(Agencia[[#This Row],[contenido]],Estructura!$E$4:$G$500,3,0)</f>
        <v>C-1018</v>
      </c>
      <c r="Z609" s="93" t="str">
        <f>+VLOOKUP(Agencia[[#This Row],[Filtro Integrado]],Estructura!$I$4:$K$500,3,0)</f>
        <v>FI-993</v>
      </c>
      <c r="AA609" s="93" t="str">
        <f>+VLOOKUP(Agencia[[#This Row],[Muestra]],Estructura!$M$4:$O$500,3,0)</f>
        <v>M-1063</v>
      </c>
    </row>
    <row r="610" spans="1:27" ht="61.2" x14ac:dyDescent="0.3">
      <c r="A610" s="21" t="s">
        <v>1114</v>
      </c>
      <c r="B610" s="23">
        <f t="shared" si="258"/>
        <v>990</v>
      </c>
      <c r="C610" s="24" t="str">
        <f t="shared" si="259"/>
        <v>Agencia Información</v>
      </c>
      <c r="D610" s="72" t="str">
        <f t="shared" si="260"/>
        <v>Educación</v>
      </c>
      <c r="E610" s="19">
        <v>3</v>
      </c>
      <c r="F610" s="18" t="s">
        <v>1429</v>
      </c>
      <c r="G610" s="18" t="s">
        <v>4290</v>
      </c>
      <c r="H610" s="33" t="s">
        <v>16</v>
      </c>
      <c r="I610" s="34" t="s">
        <v>370</v>
      </c>
      <c r="J610" s="9" t="str">
        <f t="shared" si="264"/>
        <v>Ninguno</v>
      </c>
      <c r="K610" s="142" t="s">
        <v>1425</v>
      </c>
      <c r="L610" s="9" t="str">
        <f t="shared" si="261"/>
        <v>Periodo 2014-2019</v>
      </c>
      <c r="M610" s="9" t="str">
        <f t="shared" si="262"/>
        <v>Puntaje</v>
      </c>
      <c r="N610" s="9" t="str">
        <f t="shared" si="263"/>
        <v>Agencia de Calidad de la Educación</v>
      </c>
      <c r="O610" s="20" t="str">
        <f>+"Mapa de distribución geográfica en la "&amp;Agencia[[#This Row],[territorio]]&amp;" del Indicador de Autoestima Académica y Motivación Escolar, "&amp;Agencia[[#This Row],[temporalidad]]</f>
        <v>Mapa de distribución geográfica en la Región de Atacama del Indicador de Autoestima Académica y Motivación Escolar, Periodo 2014-2019</v>
      </c>
      <c r="P610" s="112" t="s">
        <v>6154</v>
      </c>
      <c r="Q610" s="11" t="str">
        <f t="shared" si="250"/>
        <v>Mapa de calor</v>
      </c>
      <c r="R610" s="148" t="str">
        <f>Agencia[[#This Row],[territorio]]&amp;",calidad,puntaje,autoestima,motivación,escolar,desarrollo,personal,indicador,académica,"&amp;Agencia[[#This Row],[coleccion]]&amp;","&amp;Agencia[[#This Row],[sector]]&amp;","&amp;Agencia[[#This Row],[tema]]&amp;","&amp;Agencia[[#This Row],[contenido]]</f>
        <v>Región de Atacama,calidad,puntaje,autoestima,motivación,escolar,desarrollo,personal,indicador,académica,Agencia Información,Educación,Indicadores de Desarrollo Personal y Social,Métricas de la Educación</v>
      </c>
      <c r="S610" s="83" t="str">
        <f>HYPERLINK("https://analytics.zoho.com/open-view/2395394000009056027?ZOHO_CRITERIA=%22Localiza%20CL%22.%22Codreg%22%3D"&amp;Agencia[[#This Row],[Filtro URL]])</f>
        <v>https://analytics.zoho.com/open-view/2395394000009056027?ZOHO_CRITERIA=%22Localiza%20CL%22.%22Codreg%22%3D3</v>
      </c>
      <c r="T610" s="108" t="str">
        <f>"100-C-"&amp;Agencia[[#This Row],[Filtro URL]]</f>
        <v>100-C-3</v>
      </c>
      <c r="U610" s="46" t="str">
        <f t="shared" si="251"/>
        <v>#1774B9</v>
      </c>
      <c r="V610" s="93" t="str">
        <f>+Agencia[[#This Row],[idcoleccion]]&amp;"-"&amp;Agencia[[#This Row],[id]]</f>
        <v>990-0599</v>
      </c>
      <c r="W610" s="93">
        <f>+VLOOKUP(Agencia[[#This Row],[Filtro URL]],Estructura!$X$4:$Y$500,2,0)</f>
        <v>99200003</v>
      </c>
      <c r="X610" s="93" t="str">
        <f>+VLOOKUP(Agencia[[#This Row],[tema]],Estructura!$A$4:$C$500,3,0)</f>
        <v>T-991</v>
      </c>
      <c r="Y610" s="93" t="str">
        <f>+VLOOKUP(Agencia[[#This Row],[contenido]],Estructura!$E$4:$G$500,3,0)</f>
        <v>C-1018</v>
      </c>
      <c r="Z610" s="93" t="str">
        <f>+VLOOKUP(Agencia[[#This Row],[Filtro Integrado]],Estructura!$I$4:$K$500,3,0)</f>
        <v>FI-993</v>
      </c>
      <c r="AA610" s="93" t="str">
        <f>+VLOOKUP(Agencia[[#This Row],[Muestra]],Estructura!$M$4:$O$500,3,0)</f>
        <v>M-1063</v>
      </c>
    </row>
    <row r="611" spans="1:27" ht="61.2" x14ac:dyDescent="0.3">
      <c r="A611" s="21" t="s">
        <v>1115</v>
      </c>
      <c r="B611" s="23">
        <f t="shared" si="258"/>
        <v>990</v>
      </c>
      <c r="C611" s="24" t="str">
        <f t="shared" si="259"/>
        <v>Agencia Información</v>
      </c>
      <c r="D611" s="72" t="str">
        <f t="shared" si="260"/>
        <v>Educación</v>
      </c>
      <c r="E611" s="19">
        <v>4</v>
      </c>
      <c r="F611" s="18" t="s">
        <v>1429</v>
      </c>
      <c r="G611" s="18" t="s">
        <v>4290</v>
      </c>
      <c r="H611" s="33" t="s">
        <v>16</v>
      </c>
      <c r="I611" s="34" t="s">
        <v>371</v>
      </c>
      <c r="J611" s="9" t="str">
        <f t="shared" si="264"/>
        <v>Ninguno</v>
      </c>
      <c r="K611" s="142" t="s">
        <v>1425</v>
      </c>
      <c r="L611" s="9" t="str">
        <f t="shared" si="261"/>
        <v>Periodo 2014-2019</v>
      </c>
      <c r="M611" s="9" t="str">
        <f t="shared" si="262"/>
        <v>Puntaje</v>
      </c>
      <c r="N611" s="9" t="str">
        <f t="shared" si="263"/>
        <v>Agencia de Calidad de la Educación</v>
      </c>
      <c r="O611" s="20" t="str">
        <f>+"Mapa de distribución geográfica en la "&amp;Agencia[[#This Row],[territorio]]&amp;" del Indicador de Autoestima Académica y Motivación Escolar, "&amp;Agencia[[#This Row],[temporalidad]]</f>
        <v>Mapa de distribución geográfica en la Región de Coquimbo del Indicador de Autoestima Académica y Motivación Escolar, Periodo 2014-2019</v>
      </c>
      <c r="P611" s="112" t="s">
        <v>6295</v>
      </c>
      <c r="Q611" s="11" t="str">
        <f t="shared" si="250"/>
        <v>Mapa de calor</v>
      </c>
      <c r="R611" s="148" t="str">
        <f>Agencia[[#This Row],[territorio]]&amp;",calidad,puntaje,autoestima,motivación,escolar,desarrollo,personal,indicador,académica,"&amp;Agencia[[#This Row],[coleccion]]&amp;","&amp;Agencia[[#This Row],[sector]]&amp;","&amp;Agencia[[#This Row],[tema]]&amp;","&amp;Agencia[[#This Row],[contenido]]</f>
        <v>Región de Coquimbo,calidad,puntaje,autoestima,motivación,escolar,desarrollo,personal,indicador,académica,Agencia Información,Educación,Indicadores de Desarrollo Personal y Social,Métricas de la Educación</v>
      </c>
      <c r="S611" s="83" t="str">
        <f>HYPERLINK("https://analytics.zoho.com/open-view/2395394000009056027?ZOHO_CRITERIA=%22Localiza%20CL%22.%22Codreg%22%3D"&amp;Agencia[[#This Row],[Filtro URL]])</f>
        <v>https://analytics.zoho.com/open-view/2395394000009056027?ZOHO_CRITERIA=%22Localiza%20CL%22.%22Codreg%22%3D4</v>
      </c>
      <c r="T611" s="108" t="str">
        <f>"100-C-"&amp;Agencia[[#This Row],[Filtro URL]]</f>
        <v>100-C-4</v>
      </c>
      <c r="U611" s="46" t="str">
        <f t="shared" si="251"/>
        <v>#1774B9</v>
      </c>
      <c r="V611" s="93" t="str">
        <f>+Agencia[[#This Row],[idcoleccion]]&amp;"-"&amp;Agencia[[#This Row],[id]]</f>
        <v>990-0600</v>
      </c>
      <c r="W611" s="93">
        <f>+VLOOKUP(Agencia[[#This Row],[Filtro URL]],Estructura!$X$4:$Y$500,2,0)</f>
        <v>99200004</v>
      </c>
      <c r="X611" s="93" t="str">
        <f>+VLOOKUP(Agencia[[#This Row],[tema]],Estructura!$A$4:$C$500,3,0)</f>
        <v>T-991</v>
      </c>
      <c r="Y611" s="93" t="str">
        <f>+VLOOKUP(Agencia[[#This Row],[contenido]],Estructura!$E$4:$G$500,3,0)</f>
        <v>C-1018</v>
      </c>
      <c r="Z611" s="93" t="str">
        <f>+VLOOKUP(Agencia[[#This Row],[Filtro Integrado]],Estructura!$I$4:$K$500,3,0)</f>
        <v>FI-993</v>
      </c>
      <c r="AA611" s="93" t="str">
        <f>+VLOOKUP(Agencia[[#This Row],[Muestra]],Estructura!$M$4:$O$500,3,0)</f>
        <v>M-1063</v>
      </c>
    </row>
    <row r="612" spans="1:27" ht="71.400000000000006" x14ac:dyDescent="0.3">
      <c r="A612" s="21" t="s">
        <v>1116</v>
      </c>
      <c r="B612" s="23">
        <f t="shared" si="258"/>
        <v>990</v>
      </c>
      <c r="C612" s="24" t="str">
        <f t="shared" si="259"/>
        <v>Agencia Información</v>
      </c>
      <c r="D612" s="72" t="str">
        <f t="shared" si="260"/>
        <v>Educación</v>
      </c>
      <c r="E612" s="19">
        <v>5</v>
      </c>
      <c r="F612" s="18" t="s">
        <v>1429</v>
      </c>
      <c r="G612" s="18" t="s">
        <v>4290</v>
      </c>
      <c r="H612" s="33" t="s">
        <v>16</v>
      </c>
      <c r="I612" s="34" t="s">
        <v>372</v>
      </c>
      <c r="J612" s="9" t="str">
        <f t="shared" si="264"/>
        <v>Ninguno</v>
      </c>
      <c r="K612" s="142" t="s">
        <v>1425</v>
      </c>
      <c r="L612" s="9" t="str">
        <f t="shared" si="261"/>
        <v>Periodo 2014-2019</v>
      </c>
      <c r="M612" s="9" t="str">
        <f t="shared" si="262"/>
        <v>Puntaje</v>
      </c>
      <c r="N612" s="9" t="str">
        <f t="shared" si="263"/>
        <v>Agencia de Calidad de la Educación</v>
      </c>
      <c r="O612" s="20" t="str">
        <f>+"Mapa de distribución geográfica en la "&amp;Agencia[[#This Row],[territorio]]&amp;" del Indicador de Autoestima Académica y Motivación Escolar, "&amp;Agencia[[#This Row],[temporalidad]]</f>
        <v>Mapa de distribución geográfica en la Región de Valparaíso del Indicador de Autoestima Académica y Motivación Escolar, Periodo 2014-2019</v>
      </c>
      <c r="P612" s="112" t="s">
        <v>6155</v>
      </c>
      <c r="Q612" s="11" t="str">
        <f t="shared" si="250"/>
        <v>Mapa de calor</v>
      </c>
      <c r="R612" s="148" t="str">
        <f>Agencia[[#This Row],[territorio]]&amp;",calidad,puntaje,autoestima,motivación,escolar,desarrollo,personal,indicador,académica,"&amp;Agencia[[#This Row],[coleccion]]&amp;","&amp;Agencia[[#This Row],[sector]]&amp;","&amp;Agencia[[#This Row],[tema]]&amp;","&amp;Agencia[[#This Row],[contenido]]</f>
        <v>Región de Valparaíso,calidad,puntaje,autoestima,motivación,escolar,desarrollo,personal,indicador,académica,Agencia Información,Educación,Indicadores de Desarrollo Personal y Social,Métricas de la Educación</v>
      </c>
      <c r="S612" s="83" t="str">
        <f>HYPERLINK("https://analytics.zoho.com/open-view/2395394000009056027?ZOHO_CRITERIA=%22Localiza%20CL%22.%22Codreg%22%3D"&amp;Agencia[[#This Row],[Filtro URL]])</f>
        <v>https://analytics.zoho.com/open-view/2395394000009056027?ZOHO_CRITERIA=%22Localiza%20CL%22.%22Codreg%22%3D5</v>
      </c>
      <c r="T612" s="108" t="str">
        <f>"100-C-"&amp;Agencia[[#This Row],[Filtro URL]]</f>
        <v>100-C-5</v>
      </c>
      <c r="U612" s="46" t="str">
        <f t="shared" si="251"/>
        <v>#1774B9</v>
      </c>
      <c r="V612" s="93" t="str">
        <f>+Agencia[[#This Row],[idcoleccion]]&amp;"-"&amp;Agencia[[#This Row],[id]]</f>
        <v>990-0601</v>
      </c>
      <c r="W612" s="93">
        <f>+VLOOKUP(Agencia[[#This Row],[Filtro URL]],Estructura!$X$4:$Y$500,2,0)</f>
        <v>99200005</v>
      </c>
      <c r="X612" s="93" t="str">
        <f>+VLOOKUP(Agencia[[#This Row],[tema]],Estructura!$A$4:$C$500,3,0)</f>
        <v>T-991</v>
      </c>
      <c r="Y612" s="93" t="str">
        <f>+VLOOKUP(Agencia[[#This Row],[contenido]],Estructura!$E$4:$G$500,3,0)</f>
        <v>C-1018</v>
      </c>
      <c r="Z612" s="93" t="str">
        <f>+VLOOKUP(Agencia[[#This Row],[Filtro Integrado]],Estructura!$I$4:$K$500,3,0)</f>
        <v>FI-993</v>
      </c>
      <c r="AA612" s="93" t="str">
        <f>+VLOOKUP(Agencia[[#This Row],[Muestra]],Estructura!$M$4:$O$500,3,0)</f>
        <v>M-1063</v>
      </c>
    </row>
    <row r="613" spans="1:27" ht="61.2" x14ac:dyDescent="0.3">
      <c r="A613" s="21" t="s">
        <v>1117</v>
      </c>
      <c r="B613" s="23">
        <f t="shared" si="258"/>
        <v>990</v>
      </c>
      <c r="C613" s="24" t="str">
        <f t="shared" si="259"/>
        <v>Agencia Información</v>
      </c>
      <c r="D613" s="72" t="str">
        <f t="shared" si="260"/>
        <v>Educación</v>
      </c>
      <c r="E613" s="19">
        <v>6</v>
      </c>
      <c r="F613" s="18" t="s">
        <v>1429</v>
      </c>
      <c r="G613" s="18" t="s">
        <v>4290</v>
      </c>
      <c r="H613" s="33" t="s">
        <v>16</v>
      </c>
      <c r="I613" s="34" t="s">
        <v>373</v>
      </c>
      <c r="J613" s="9" t="str">
        <f t="shared" si="264"/>
        <v>Ninguno</v>
      </c>
      <c r="K613" s="142" t="s">
        <v>1425</v>
      </c>
      <c r="L613" s="9" t="str">
        <f t="shared" si="261"/>
        <v>Periodo 2014-2019</v>
      </c>
      <c r="M613" s="9" t="str">
        <f t="shared" si="262"/>
        <v>Puntaje</v>
      </c>
      <c r="N613" s="9" t="str">
        <f t="shared" si="263"/>
        <v>Agencia de Calidad de la Educación</v>
      </c>
      <c r="O613" s="20" t="str">
        <f>+"Mapa de distribución geográfica en la "&amp;Agencia[[#This Row],[territorio]]&amp;" del Indicador de Autoestima Académica y Motivación Escolar, "&amp;Agencia[[#This Row],[temporalidad]]</f>
        <v>Mapa de distribución geográfica en la Región de O'Higgins del Indicador de Autoestima Académica y Motivación Escolar, Periodo 2014-2019</v>
      </c>
      <c r="P613" s="112" t="s">
        <v>6156</v>
      </c>
      <c r="Q613" s="11" t="str">
        <f t="shared" si="250"/>
        <v>Mapa de calor</v>
      </c>
      <c r="R613" s="148" t="str">
        <f>Agencia[[#This Row],[territorio]]&amp;",calidad,puntaje,autoestima,motivación,escolar,desarrollo,personal,indicador,académica,"&amp;Agencia[[#This Row],[coleccion]]&amp;","&amp;Agencia[[#This Row],[sector]]&amp;","&amp;Agencia[[#This Row],[tema]]&amp;","&amp;Agencia[[#This Row],[contenido]]</f>
        <v>Región de O'Higgins,calidad,puntaje,autoestima,motivación,escolar,desarrollo,personal,indicador,académica,Agencia Información,Educación,Indicadores de Desarrollo Personal y Social,Métricas de la Educación</v>
      </c>
      <c r="S613" s="83" t="str">
        <f>HYPERLINK("https://analytics.zoho.com/open-view/2395394000009056027?ZOHO_CRITERIA=%22Localiza%20CL%22.%22Codreg%22%3D"&amp;Agencia[[#This Row],[Filtro URL]])</f>
        <v>https://analytics.zoho.com/open-view/2395394000009056027?ZOHO_CRITERIA=%22Localiza%20CL%22.%22Codreg%22%3D6</v>
      </c>
      <c r="T613" s="108" t="str">
        <f>"100-C-"&amp;Agencia[[#This Row],[Filtro URL]]</f>
        <v>100-C-6</v>
      </c>
      <c r="U613" s="46" t="str">
        <f t="shared" si="251"/>
        <v>#1774B9</v>
      </c>
      <c r="V613" s="93" t="str">
        <f>+Agencia[[#This Row],[idcoleccion]]&amp;"-"&amp;Agencia[[#This Row],[id]]</f>
        <v>990-0602</v>
      </c>
      <c r="W613" s="93">
        <f>+VLOOKUP(Agencia[[#This Row],[Filtro URL]],Estructura!$X$4:$Y$500,2,0)</f>
        <v>99200006</v>
      </c>
      <c r="X613" s="93" t="str">
        <f>+VLOOKUP(Agencia[[#This Row],[tema]],Estructura!$A$4:$C$500,3,0)</f>
        <v>T-991</v>
      </c>
      <c r="Y613" s="93" t="str">
        <f>+VLOOKUP(Agencia[[#This Row],[contenido]],Estructura!$E$4:$G$500,3,0)</f>
        <v>C-1018</v>
      </c>
      <c r="Z613" s="93" t="str">
        <f>+VLOOKUP(Agencia[[#This Row],[Filtro Integrado]],Estructura!$I$4:$K$500,3,0)</f>
        <v>FI-993</v>
      </c>
      <c r="AA613" s="93" t="str">
        <f>+VLOOKUP(Agencia[[#This Row],[Muestra]],Estructura!$M$4:$O$500,3,0)</f>
        <v>M-1063</v>
      </c>
    </row>
    <row r="614" spans="1:27" ht="61.2" x14ac:dyDescent="0.3">
      <c r="A614" s="21" t="s">
        <v>1118</v>
      </c>
      <c r="B614" s="23">
        <f t="shared" si="258"/>
        <v>990</v>
      </c>
      <c r="C614" s="24" t="str">
        <f t="shared" si="259"/>
        <v>Agencia Información</v>
      </c>
      <c r="D614" s="72" t="str">
        <f t="shared" si="260"/>
        <v>Educación</v>
      </c>
      <c r="E614" s="19">
        <v>7</v>
      </c>
      <c r="F614" s="18" t="s">
        <v>1429</v>
      </c>
      <c r="G614" s="18" t="s">
        <v>4290</v>
      </c>
      <c r="H614" s="33" t="s">
        <v>16</v>
      </c>
      <c r="I614" s="34" t="s">
        <v>374</v>
      </c>
      <c r="J614" s="9" t="str">
        <f t="shared" si="264"/>
        <v>Ninguno</v>
      </c>
      <c r="K614" s="142" t="s">
        <v>1425</v>
      </c>
      <c r="L614" s="9" t="str">
        <f t="shared" si="261"/>
        <v>Periodo 2014-2019</v>
      </c>
      <c r="M614" s="9" t="str">
        <f t="shared" si="262"/>
        <v>Puntaje</v>
      </c>
      <c r="N614" s="9" t="str">
        <f t="shared" si="263"/>
        <v>Agencia de Calidad de la Educación</v>
      </c>
      <c r="O614" s="20" t="str">
        <f>+"Mapa de distribución geográfica en la "&amp;Agencia[[#This Row],[territorio]]&amp;" del Indicador de Autoestima Académica y Motivación Escolar, "&amp;Agencia[[#This Row],[temporalidad]]</f>
        <v>Mapa de distribución geográfica en la Región de Maule del Indicador de Autoestima Académica y Motivación Escolar, Periodo 2014-2019</v>
      </c>
      <c r="P614" s="112" t="s">
        <v>6296</v>
      </c>
      <c r="Q614" s="11" t="str">
        <f t="shared" si="250"/>
        <v>Mapa de calor</v>
      </c>
      <c r="R614" s="148" t="str">
        <f>Agencia[[#This Row],[territorio]]&amp;",calidad,puntaje,autoestima,motivación,escolar,desarrollo,personal,indicador,académica,"&amp;Agencia[[#This Row],[coleccion]]&amp;","&amp;Agencia[[#This Row],[sector]]&amp;","&amp;Agencia[[#This Row],[tema]]&amp;","&amp;Agencia[[#This Row],[contenido]]</f>
        <v>Región de Maule,calidad,puntaje,autoestima,motivación,escolar,desarrollo,personal,indicador,académica,Agencia Información,Educación,Indicadores de Desarrollo Personal y Social,Métricas de la Educación</v>
      </c>
      <c r="S614" s="83" t="str">
        <f>HYPERLINK("https://analytics.zoho.com/open-view/2395394000009056027?ZOHO_CRITERIA=%22Localiza%20CL%22.%22Codreg%22%3D"&amp;Agencia[[#This Row],[Filtro URL]])</f>
        <v>https://analytics.zoho.com/open-view/2395394000009056027?ZOHO_CRITERIA=%22Localiza%20CL%22.%22Codreg%22%3D7</v>
      </c>
      <c r="T614" s="108" t="str">
        <f>"100-C-"&amp;Agencia[[#This Row],[Filtro URL]]</f>
        <v>100-C-7</v>
      </c>
      <c r="U614" s="46" t="str">
        <f t="shared" si="251"/>
        <v>#1774B9</v>
      </c>
      <c r="V614" s="93" t="str">
        <f>+Agencia[[#This Row],[idcoleccion]]&amp;"-"&amp;Agencia[[#This Row],[id]]</f>
        <v>990-0603</v>
      </c>
      <c r="W614" s="93">
        <f>+VLOOKUP(Agencia[[#This Row],[Filtro URL]],Estructura!$X$4:$Y$500,2,0)</f>
        <v>99200007</v>
      </c>
      <c r="X614" s="93" t="str">
        <f>+VLOOKUP(Agencia[[#This Row],[tema]],Estructura!$A$4:$C$500,3,0)</f>
        <v>T-991</v>
      </c>
      <c r="Y614" s="93" t="str">
        <f>+VLOOKUP(Agencia[[#This Row],[contenido]],Estructura!$E$4:$G$500,3,0)</f>
        <v>C-1018</v>
      </c>
      <c r="Z614" s="93" t="str">
        <f>+VLOOKUP(Agencia[[#This Row],[Filtro Integrado]],Estructura!$I$4:$K$500,3,0)</f>
        <v>FI-993</v>
      </c>
      <c r="AA614" s="93" t="str">
        <f>+VLOOKUP(Agencia[[#This Row],[Muestra]],Estructura!$M$4:$O$500,3,0)</f>
        <v>M-1063</v>
      </c>
    </row>
    <row r="615" spans="1:27" ht="61.2" x14ac:dyDescent="0.3">
      <c r="A615" s="21" t="s">
        <v>1119</v>
      </c>
      <c r="B615" s="23">
        <f t="shared" si="258"/>
        <v>990</v>
      </c>
      <c r="C615" s="24" t="str">
        <f t="shared" si="259"/>
        <v>Agencia Información</v>
      </c>
      <c r="D615" s="72" t="str">
        <f t="shared" si="260"/>
        <v>Educación</v>
      </c>
      <c r="E615" s="19">
        <v>8</v>
      </c>
      <c r="F615" s="18" t="s">
        <v>1429</v>
      </c>
      <c r="G615" s="18" t="s">
        <v>4290</v>
      </c>
      <c r="H615" s="33" t="s">
        <v>16</v>
      </c>
      <c r="I615" s="34" t="s">
        <v>375</v>
      </c>
      <c r="J615" s="9" t="str">
        <f t="shared" si="264"/>
        <v>Ninguno</v>
      </c>
      <c r="K615" s="142" t="s">
        <v>1425</v>
      </c>
      <c r="L615" s="9" t="str">
        <f t="shared" si="261"/>
        <v>Periodo 2014-2019</v>
      </c>
      <c r="M615" s="9" t="str">
        <f t="shared" si="262"/>
        <v>Puntaje</v>
      </c>
      <c r="N615" s="9" t="str">
        <f t="shared" si="263"/>
        <v>Agencia de Calidad de la Educación</v>
      </c>
      <c r="O615" s="20" t="str">
        <f>+"Mapa de distribución geográfica en la "&amp;Agencia[[#This Row],[territorio]]&amp;" del Indicador de Autoestima Académica y Motivación Escolar, "&amp;Agencia[[#This Row],[temporalidad]]</f>
        <v>Mapa de distribución geográfica en la Región del Biobío del Indicador de Autoestima Académica y Motivación Escolar, Periodo 2014-2019</v>
      </c>
      <c r="P615" s="112" t="s">
        <v>6297</v>
      </c>
      <c r="Q615" s="11" t="str">
        <f t="shared" si="250"/>
        <v>Mapa de calor</v>
      </c>
      <c r="R615" s="148" t="str">
        <f>Agencia[[#This Row],[territorio]]&amp;",calidad,puntaje,autoestima,motivación,escolar,desarrollo,personal,indicador,académica,"&amp;Agencia[[#This Row],[coleccion]]&amp;","&amp;Agencia[[#This Row],[sector]]&amp;","&amp;Agencia[[#This Row],[tema]]&amp;","&amp;Agencia[[#This Row],[contenido]]</f>
        <v>Región del Biobío,calidad,puntaje,autoestima,motivación,escolar,desarrollo,personal,indicador,académica,Agencia Información,Educación,Indicadores de Desarrollo Personal y Social,Métricas de la Educación</v>
      </c>
      <c r="S615" s="83" t="str">
        <f>HYPERLINK("https://analytics.zoho.com/open-view/2395394000009056027?ZOHO_CRITERIA=%22Localiza%20CL%22.%22Codreg%22%3D"&amp;Agencia[[#This Row],[Filtro URL]])</f>
        <v>https://analytics.zoho.com/open-view/2395394000009056027?ZOHO_CRITERIA=%22Localiza%20CL%22.%22Codreg%22%3D8</v>
      </c>
      <c r="T615" s="108" t="str">
        <f>"100-C-"&amp;Agencia[[#This Row],[Filtro URL]]</f>
        <v>100-C-8</v>
      </c>
      <c r="U615" s="46" t="str">
        <f t="shared" si="251"/>
        <v>#1774B9</v>
      </c>
      <c r="V615" s="93" t="str">
        <f>+Agencia[[#This Row],[idcoleccion]]&amp;"-"&amp;Agencia[[#This Row],[id]]</f>
        <v>990-0604</v>
      </c>
      <c r="W615" s="93">
        <f>+VLOOKUP(Agencia[[#This Row],[Filtro URL]],Estructura!$X$4:$Y$500,2,0)</f>
        <v>99200008</v>
      </c>
      <c r="X615" s="93" t="str">
        <f>+VLOOKUP(Agencia[[#This Row],[tema]],Estructura!$A$4:$C$500,3,0)</f>
        <v>T-991</v>
      </c>
      <c r="Y615" s="93" t="str">
        <f>+VLOOKUP(Agencia[[#This Row],[contenido]],Estructura!$E$4:$G$500,3,0)</f>
        <v>C-1018</v>
      </c>
      <c r="Z615" s="93" t="str">
        <f>+VLOOKUP(Agencia[[#This Row],[Filtro Integrado]],Estructura!$I$4:$K$500,3,0)</f>
        <v>FI-993</v>
      </c>
      <c r="AA615" s="93" t="str">
        <f>+VLOOKUP(Agencia[[#This Row],[Muestra]],Estructura!$M$4:$O$500,3,0)</f>
        <v>M-1063</v>
      </c>
    </row>
    <row r="616" spans="1:27" ht="61.2" x14ac:dyDescent="0.3">
      <c r="A616" s="21" t="s">
        <v>1120</v>
      </c>
      <c r="B616" s="23">
        <f t="shared" si="258"/>
        <v>990</v>
      </c>
      <c r="C616" s="24" t="str">
        <f t="shared" si="259"/>
        <v>Agencia Información</v>
      </c>
      <c r="D616" s="72" t="str">
        <f t="shared" si="260"/>
        <v>Educación</v>
      </c>
      <c r="E616" s="19">
        <v>9</v>
      </c>
      <c r="F616" s="18" t="s">
        <v>1429</v>
      </c>
      <c r="G616" s="18" t="s">
        <v>4290</v>
      </c>
      <c r="H616" s="33" t="s">
        <v>16</v>
      </c>
      <c r="I616" s="34" t="s">
        <v>376</v>
      </c>
      <c r="J616" s="9" t="str">
        <f t="shared" si="264"/>
        <v>Ninguno</v>
      </c>
      <c r="K616" s="142" t="s">
        <v>1425</v>
      </c>
      <c r="L616" s="9" t="str">
        <f t="shared" si="261"/>
        <v>Periodo 2014-2019</v>
      </c>
      <c r="M616" s="9" t="str">
        <f t="shared" si="262"/>
        <v>Puntaje</v>
      </c>
      <c r="N616" s="9" t="str">
        <f t="shared" si="263"/>
        <v>Agencia de Calidad de la Educación</v>
      </c>
      <c r="O616" s="20" t="str">
        <f>+"Mapa de distribución geográfica en la "&amp;Agencia[[#This Row],[territorio]]&amp;" del Indicador de Autoestima Académica y Motivación Escolar, "&amp;Agencia[[#This Row],[temporalidad]]</f>
        <v>Mapa de distribución geográfica en la Región de La Araucanía del Indicador de Autoestima Académica y Motivación Escolar, Periodo 2014-2019</v>
      </c>
      <c r="P616" s="112" t="s">
        <v>6157</v>
      </c>
      <c r="Q616" s="11" t="str">
        <f t="shared" si="250"/>
        <v>Mapa de calor</v>
      </c>
      <c r="R616" s="148" t="str">
        <f>Agencia[[#This Row],[territorio]]&amp;",calidad,puntaje,autoestima,motivación,escolar,desarrollo,personal,indicador,académica,"&amp;Agencia[[#This Row],[coleccion]]&amp;","&amp;Agencia[[#This Row],[sector]]&amp;","&amp;Agencia[[#This Row],[tema]]&amp;","&amp;Agencia[[#This Row],[contenido]]</f>
        <v>Región de La Araucanía,calidad,puntaje,autoestima,motivación,escolar,desarrollo,personal,indicador,académica,Agencia Información,Educación,Indicadores de Desarrollo Personal y Social,Métricas de la Educación</v>
      </c>
      <c r="S616" s="83" t="str">
        <f>HYPERLINK("https://analytics.zoho.com/open-view/2395394000009056027?ZOHO_CRITERIA=%22Localiza%20CL%22.%22Codreg%22%3D"&amp;Agencia[[#This Row],[Filtro URL]])</f>
        <v>https://analytics.zoho.com/open-view/2395394000009056027?ZOHO_CRITERIA=%22Localiza%20CL%22.%22Codreg%22%3D9</v>
      </c>
      <c r="T616" s="108" t="str">
        <f>"100-C-"&amp;Agencia[[#This Row],[Filtro URL]]</f>
        <v>100-C-9</v>
      </c>
      <c r="U616" s="46" t="str">
        <f t="shared" si="251"/>
        <v>#1774B9</v>
      </c>
      <c r="V616" s="93" t="str">
        <f>+Agencia[[#This Row],[idcoleccion]]&amp;"-"&amp;Agencia[[#This Row],[id]]</f>
        <v>990-0605</v>
      </c>
      <c r="W616" s="93">
        <f>+VLOOKUP(Agencia[[#This Row],[Filtro URL]],Estructura!$X$4:$Y$500,2,0)</f>
        <v>99200009</v>
      </c>
      <c r="X616" s="93" t="str">
        <f>+VLOOKUP(Agencia[[#This Row],[tema]],Estructura!$A$4:$C$500,3,0)</f>
        <v>T-991</v>
      </c>
      <c r="Y616" s="93" t="str">
        <f>+VLOOKUP(Agencia[[#This Row],[contenido]],Estructura!$E$4:$G$500,3,0)</f>
        <v>C-1018</v>
      </c>
      <c r="Z616" s="93" t="str">
        <f>+VLOOKUP(Agencia[[#This Row],[Filtro Integrado]],Estructura!$I$4:$K$500,3,0)</f>
        <v>FI-993</v>
      </c>
      <c r="AA616" s="93" t="str">
        <f>+VLOOKUP(Agencia[[#This Row],[Muestra]],Estructura!$M$4:$O$500,3,0)</f>
        <v>M-1063</v>
      </c>
    </row>
    <row r="617" spans="1:27" ht="61.2" x14ac:dyDescent="0.3">
      <c r="A617" s="21" t="s">
        <v>1121</v>
      </c>
      <c r="B617" s="23">
        <f t="shared" si="258"/>
        <v>990</v>
      </c>
      <c r="C617" s="24" t="str">
        <f t="shared" si="259"/>
        <v>Agencia Información</v>
      </c>
      <c r="D617" s="72" t="str">
        <f t="shared" si="260"/>
        <v>Educación</v>
      </c>
      <c r="E617" s="19">
        <v>10</v>
      </c>
      <c r="F617" s="18" t="s">
        <v>1429</v>
      </c>
      <c r="G617" s="18" t="s">
        <v>4290</v>
      </c>
      <c r="H617" s="33" t="s">
        <v>16</v>
      </c>
      <c r="I617" s="34" t="s">
        <v>377</v>
      </c>
      <c r="J617" s="9" t="str">
        <f t="shared" si="264"/>
        <v>Ninguno</v>
      </c>
      <c r="K617" s="142" t="s">
        <v>1425</v>
      </c>
      <c r="L617" s="9" t="str">
        <f t="shared" si="261"/>
        <v>Periodo 2014-2019</v>
      </c>
      <c r="M617" s="9" t="str">
        <f t="shared" si="262"/>
        <v>Puntaje</v>
      </c>
      <c r="N617" s="9" t="str">
        <f t="shared" si="263"/>
        <v>Agencia de Calidad de la Educación</v>
      </c>
      <c r="O617" s="20" t="str">
        <f>+"Mapa de distribución geográfica en la "&amp;Agencia[[#This Row],[territorio]]&amp;" del Indicador de Autoestima Académica y Motivación Escolar, "&amp;Agencia[[#This Row],[temporalidad]]</f>
        <v>Mapa de distribución geográfica en la Región de Los Lagos del Indicador de Autoestima Académica y Motivación Escolar, Periodo 2014-2019</v>
      </c>
      <c r="P617" s="112" t="s">
        <v>6298</v>
      </c>
      <c r="Q617" s="11" t="str">
        <f t="shared" si="250"/>
        <v>Mapa de calor</v>
      </c>
      <c r="R617" s="148" t="str">
        <f>Agencia[[#This Row],[territorio]]&amp;",calidad,puntaje,autoestima,motivación,escolar,desarrollo,personal,indicador,académica,"&amp;Agencia[[#This Row],[coleccion]]&amp;","&amp;Agencia[[#This Row],[sector]]&amp;","&amp;Agencia[[#This Row],[tema]]&amp;","&amp;Agencia[[#This Row],[contenido]]</f>
        <v>Región de Los Lagos,calidad,puntaje,autoestima,motivación,escolar,desarrollo,personal,indicador,académica,Agencia Información,Educación,Indicadores de Desarrollo Personal y Social,Métricas de la Educación</v>
      </c>
      <c r="S617" s="83" t="str">
        <f>HYPERLINK("https://analytics.zoho.com/open-view/2395394000009056027?ZOHO_CRITERIA=%22Localiza%20CL%22.%22Codreg%22%3D"&amp;Agencia[[#This Row],[Filtro URL]])</f>
        <v>https://analytics.zoho.com/open-view/2395394000009056027?ZOHO_CRITERIA=%22Localiza%20CL%22.%22Codreg%22%3D10</v>
      </c>
      <c r="T617" s="108" t="str">
        <f>"100-C-"&amp;Agencia[[#This Row],[Filtro URL]]</f>
        <v>100-C-10</v>
      </c>
      <c r="U617" s="46" t="str">
        <f t="shared" si="251"/>
        <v>#1774B9</v>
      </c>
      <c r="V617" s="93" t="str">
        <f>+Agencia[[#This Row],[idcoleccion]]&amp;"-"&amp;Agencia[[#This Row],[id]]</f>
        <v>990-0606</v>
      </c>
      <c r="W617" s="93">
        <f>+VLOOKUP(Agencia[[#This Row],[Filtro URL]],Estructura!$X$4:$Y$500,2,0)</f>
        <v>99200010</v>
      </c>
      <c r="X617" s="93" t="str">
        <f>+VLOOKUP(Agencia[[#This Row],[tema]],Estructura!$A$4:$C$500,3,0)</f>
        <v>T-991</v>
      </c>
      <c r="Y617" s="93" t="str">
        <f>+VLOOKUP(Agencia[[#This Row],[contenido]],Estructura!$E$4:$G$500,3,0)</f>
        <v>C-1018</v>
      </c>
      <c r="Z617" s="93" t="str">
        <f>+VLOOKUP(Agencia[[#This Row],[Filtro Integrado]],Estructura!$I$4:$K$500,3,0)</f>
        <v>FI-993</v>
      </c>
      <c r="AA617" s="93" t="str">
        <f>+VLOOKUP(Agencia[[#This Row],[Muestra]],Estructura!$M$4:$O$500,3,0)</f>
        <v>M-1063</v>
      </c>
    </row>
    <row r="618" spans="1:27" ht="61.2" x14ac:dyDescent="0.3">
      <c r="A618" s="21" t="s">
        <v>1122</v>
      </c>
      <c r="B618" s="23">
        <f t="shared" si="258"/>
        <v>990</v>
      </c>
      <c r="C618" s="24" t="str">
        <f t="shared" si="259"/>
        <v>Agencia Información</v>
      </c>
      <c r="D618" s="72" t="str">
        <f t="shared" si="260"/>
        <v>Educación</v>
      </c>
      <c r="E618" s="19">
        <v>11</v>
      </c>
      <c r="F618" s="18" t="s">
        <v>1429</v>
      </c>
      <c r="G618" s="18" t="s">
        <v>4290</v>
      </c>
      <c r="H618" s="33" t="s">
        <v>16</v>
      </c>
      <c r="I618" s="34" t="s">
        <v>378</v>
      </c>
      <c r="J618" s="9" t="str">
        <f t="shared" si="264"/>
        <v>Ninguno</v>
      </c>
      <c r="K618" s="142" t="s">
        <v>1425</v>
      </c>
      <c r="L618" s="9" t="str">
        <f t="shared" si="261"/>
        <v>Periodo 2014-2019</v>
      </c>
      <c r="M618" s="9" t="str">
        <f t="shared" si="262"/>
        <v>Puntaje</v>
      </c>
      <c r="N618" s="9" t="str">
        <f t="shared" si="263"/>
        <v>Agencia de Calidad de la Educación</v>
      </c>
      <c r="O618" s="20" t="str">
        <f>+"Mapa de distribución geográfica en la "&amp;Agencia[[#This Row],[territorio]]&amp;" del Indicador de Autoestima Académica y Motivación Escolar, "&amp;Agencia[[#This Row],[temporalidad]]</f>
        <v>Mapa de distribución geográfica en la Región de Aysén del Indicador de Autoestima Académica y Motivación Escolar, Periodo 2014-2019</v>
      </c>
      <c r="P618" s="112" t="s">
        <v>6299</v>
      </c>
      <c r="Q618" s="11" t="str">
        <f t="shared" si="250"/>
        <v>Mapa de calor</v>
      </c>
      <c r="R618" s="148" t="str">
        <f>Agencia[[#This Row],[territorio]]&amp;",calidad,puntaje,autoestima,motivación,escolar,desarrollo,personal,indicador,académica,"&amp;Agencia[[#This Row],[coleccion]]&amp;","&amp;Agencia[[#This Row],[sector]]&amp;","&amp;Agencia[[#This Row],[tema]]&amp;","&amp;Agencia[[#This Row],[contenido]]</f>
        <v>Región de Aysén,calidad,puntaje,autoestima,motivación,escolar,desarrollo,personal,indicador,académica,Agencia Información,Educación,Indicadores de Desarrollo Personal y Social,Métricas de la Educación</v>
      </c>
      <c r="S618" s="83" t="str">
        <f>HYPERLINK("https://analytics.zoho.com/open-view/2395394000009056027?ZOHO_CRITERIA=%22Localiza%20CL%22.%22Codreg%22%3D"&amp;Agencia[[#This Row],[Filtro URL]])</f>
        <v>https://analytics.zoho.com/open-view/2395394000009056027?ZOHO_CRITERIA=%22Localiza%20CL%22.%22Codreg%22%3D11</v>
      </c>
      <c r="T618" s="108" t="str">
        <f>"100-C-"&amp;Agencia[[#This Row],[Filtro URL]]</f>
        <v>100-C-11</v>
      </c>
      <c r="U618" s="46" t="str">
        <f t="shared" si="251"/>
        <v>#1774B9</v>
      </c>
      <c r="V618" s="93" t="str">
        <f>+Agencia[[#This Row],[idcoleccion]]&amp;"-"&amp;Agencia[[#This Row],[id]]</f>
        <v>990-0607</v>
      </c>
      <c r="W618" s="93">
        <f>+VLOOKUP(Agencia[[#This Row],[Filtro URL]],Estructura!$X$4:$Y$500,2,0)</f>
        <v>99200011</v>
      </c>
      <c r="X618" s="93" t="str">
        <f>+VLOOKUP(Agencia[[#This Row],[tema]],Estructura!$A$4:$C$500,3,0)</f>
        <v>T-991</v>
      </c>
      <c r="Y618" s="93" t="str">
        <f>+VLOOKUP(Agencia[[#This Row],[contenido]],Estructura!$E$4:$G$500,3,0)</f>
        <v>C-1018</v>
      </c>
      <c r="Z618" s="93" t="str">
        <f>+VLOOKUP(Agencia[[#This Row],[Filtro Integrado]],Estructura!$I$4:$K$500,3,0)</f>
        <v>FI-993</v>
      </c>
      <c r="AA618" s="93" t="str">
        <f>+VLOOKUP(Agencia[[#This Row],[Muestra]],Estructura!$M$4:$O$500,3,0)</f>
        <v>M-1063</v>
      </c>
    </row>
    <row r="619" spans="1:27" ht="71.400000000000006" x14ac:dyDescent="0.3">
      <c r="A619" s="21" t="s">
        <v>1123</v>
      </c>
      <c r="B619" s="23">
        <f t="shared" si="258"/>
        <v>990</v>
      </c>
      <c r="C619" s="24" t="str">
        <f t="shared" si="259"/>
        <v>Agencia Información</v>
      </c>
      <c r="D619" s="72" t="str">
        <f t="shared" si="260"/>
        <v>Educación</v>
      </c>
      <c r="E619" s="19">
        <v>12</v>
      </c>
      <c r="F619" s="18" t="s">
        <v>1429</v>
      </c>
      <c r="G619" s="18" t="s">
        <v>4290</v>
      </c>
      <c r="H619" s="33" t="s">
        <v>16</v>
      </c>
      <c r="I619" s="34" t="s">
        <v>379</v>
      </c>
      <c r="J619" s="9" t="str">
        <f t="shared" si="264"/>
        <v>Ninguno</v>
      </c>
      <c r="K619" s="142" t="s">
        <v>1425</v>
      </c>
      <c r="L619" s="9" t="str">
        <f t="shared" si="261"/>
        <v>Periodo 2014-2019</v>
      </c>
      <c r="M619" s="9" t="str">
        <f t="shared" si="262"/>
        <v>Puntaje</v>
      </c>
      <c r="N619" s="9" t="str">
        <f t="shared" si="263"/>
        <v>Agencia de Calidad de la Educación</v>
      </c>
      <c r="O619" s="20" t="str">
        <f>+"Mapa de distribución geográfica en la "&amp;Agencia[[#This Row],[territorio]]&amp;" del Indicador de Autoestima Académica y Motivación Escolar, "&amp;Agencia[[#This Row],[temporalidad]]</f>
        <v>Mapa de distribución geográfica en la Región de Magallanes del Indicador de Autoestima Académica y Motivación Escolar, Periodo 2014-2019</v>
      </c>
      <c r="P619" s="112" t="s">
        <v>6300</v>
      </c>
      <c r="Q619" s="11" t="str">
        <f t="shared" si="250"/>
        <v>Mapa de calor</v>
      </c>
      <c r="R619" s="148" t="str">
        <f>Agencia[[#This Row],[territorio]]&amp;",calidad,puntaje,autoestima,motivación,escolar,desarrollo,personal,indicador,académica,"&amp;Agencia[[#This Row],[coleccion]]&amp;","&amp;Agencia[[#This Row],[sector]]&amp;","&amp;Agencia[[#This Row],[tema]]&amp;","&amp;Agencia[[#This Row],[contenido]]</f>
        <v>Región de Magallanes,calidad,puntaje,autoestima,motivación,escolar,desarrollo,personal,indicador,académica,Agencia Información,Educación,Indicadores de Desarrollo Personal y Social,Métricas de la Educación</v>
      </c>
      <c r="S619" s="83" t="str">
        <f>HYPERLINK("https://analytics.zoho.com/open-view/2395394000009056027?ZOHO_CRITERIA=%22Localiza%20CL%22.%22Codreg%22%3D"&amp;Agencia[[#This Row],[Filtro URL]])</f>
        <v>https://analytics.zoho.com/open-view/2395394000009056027?ZOHO_CRITERIA=%22Localiza%20CL%22.%22Codreg%22%3D12</v>
      </c>
      <c r="T619" s="108" t="str">
        <f>"100-C-"&amp;Agencia[[#This Row],[Filtro URL]]</f>
        <v>100-C-12</v>
      </c>
      <c r="U619" s="46" t="str">
        <f t="shared" si="251"/>
        <v>#1774B9</v>
      </c>
      <c r="V619" s="93" t="str">
        <f>+Agencia[[#This Row],[idcoleccion]]&amp;"-"&amp;Agencia[[#This Row],[id]]</f>
        <v>990-0608</v>
      </c>
      <c r="W619" s="93">
        <f>+VLOOKUP(Agencia[[#This Row],[Filtro URL]],Estructura!$X$4:$Y$500,2,0)</f>
        <v>99200012</v>
      </c>
      <c r="X619" s="93" t="str">
        <f>+VLOOKUP(Agencia[[#This Row],[tema]],Estructura!$A$4:$C$500,3,0)</f>
        <v>T-991</v>
      </c>
      <c r="Y619" s="93" t="str">
        <f>+VLOOKUP(Agencia[[#This Row],[contenido]],Estructura!$E$4:$G$500,3,0)</f>
        <v>C-1018</v>
      </c>
      <c r="Z619" s="93" t="str">
        <f>+VLOOKUP(Agencia[[#This Row],[Filtro Integrado]],Estructura!$I$4:$K$500,3,0)</f>
        <v>FI-993</v>
      </c>
      <c r="AA619" s="93" t="str">
        <f>+VLOOKUP(Agencia[[#This Row],[Muestra]],Estructura!$M$4:$O$500,3,0)</f>
        <v>M-1063</v>
      </c>
    </row>
    <row r="620" spans="1:27" ht="71.400000000000006" x14ac:dyDescent="0.3">
      <c r="A620" s="21" t="s">
        <v>1124</v>
      </c>
      <c r="B620" s="23">
        <f t="shared" si="258"/>
        <v>990</v>
      </c>
      <c r="C620" s="24" t="str">
        <f t="shared" si="259"/>
        <v>Agencia Información</v>
      </c>
      <c r="D620" s="72" t="str">
        <f t="shared" si="260"/>
        <v>Educación</v>
      </c>
      <c r="E620" s="19">
        <v>13</v>
      </c>
      <c r="F620" s="18" t="s">
        <v>1429</v>
      </c>
      <c r="G620" s="18" t="s">
        <v>4290</v>
      </c>
      <c r="H620" s="33" t="s">
        <v>16</v>
      </c>
      <c r="I620" s="34" t="s">
        <v>380</v>
      </c>
      <c r="J620" s="9" t="str">
        <f t="shared" si="264"/>
        <v>Ninguno</v>
      </c>
      <c r="K620" s="142" t="s">
        <v>1425</v>
      </c>
      <c r="L620" s="9" t="str">
        <f t="shared" si="261"/>
        <v>Periodo 2014-2019</v>
      </c>
      <c r="M620" s="9" t="str">
        <f t="shared" si="262"/>
        <v>Puntaje</v>
      </c>
      <c r="N620" s="9" t="str">
        <f t="shared" si="263"/>
        <v>Agencia de Calidad de la Educación</v>
      </c>
      <c r="O620" s="20" t="str">
        <f>+"Mapa de distribución geográfica en la "&amp;Agencia[[#This Row],[territorio]]&amp;" del Indicador de Autoestima Académica y Motivación Escolar, "&amp;Agencia[[#This Row],[temporalidad]]</f>
        <v>Mapa de distribución geográfica en la Región Metropolitana del Indicador de Autoestima Académica y Motivación Escolar, Periodo 2014-2019</v>
      </c>
      <c r="P620" s="112" t="s">
        <v>6301</v>
      </c>
      <c r="Q620" s="11" t="str">
        <f t="shared" si="250"/>
        <v>Mapa de calor</v>
      </c>
      <c r="R620" s="148" t="str">
        <f>Agencia[[#This Row],[territorio]]&amp;",calidad,puntaje,autoestima,motivación,escolar,desarrollo,personal,indicador,académica,"&amp;Agencia[[#This Row],[coleccion]]&amp;","&amp;Agencia[[#This Row],[sector]]&amp;","&amp;Agencia[[#This Row],[tema]]&amp;","&amp;Agencia[[#This Row],[contenido]]</f>
        <v>Región Metropolitana,calidad,puntaje,autoestima,motivación,escolar,desarrollo,personal,indicador,académica,Agencia Información,Educación,Indicadores de Desarrollo Personal y Social,Métricas de la Educación</v>
      </c>
      <c r="S620" s="83" t="str">
        <f>HYPERLINK("https://analytics.zoho.com/open-view/2395394000009056027?ZOHO_CRITERIA=%22Localiza%20CL%22.%22Codreg%22%3D"&amp;Agencia[[#This Row],[Filtro URL]])</f>
        <v>https://analytics.zoho.com/open-view/2395394000009056027?ZOHO_CRITERIA=%22Localiza%20CL%22.%22Codreg%22%3D13</v>
      </c>
      <c r="T620" s="108" t="str">
        <f>"200-C-"&amp;Agencia[[#This Row],[Filtro URL]]</f>
        <v>200-C-13</v>
      </c>
      <c r="U620" s="46" t="str">
        <f t="shared" si="251"/>
        <v>#1774B9</v>
      </c>
      <c r="V620" s="93" t="str">
        <f>+Agencia[[#This Row],[idcoleccion]]&amp;"-"&amp;Agencia[[#This Row],[id]]</f>
        <v>990-0609</v>
      </c>
      <c r="W620" s="93">
        <f>+VLOOKUP(Agencia[[#This Row],[Filtro URL]],Estructura!$X$4:$Y$500,2,0)</f>
        <v>99200013</v>
      </c>
      <c r="X620" s="93" t="str">
        <f>+VLOOKUP(Agencia[[#This Row],[tema]],Estructura!$A$4:$C$500,3,0)</f>
        <v>T-991</v>
      </c>
      <c r="Y620" s="93" t="str">
        <f>+VLOOKUP(Agencia[[#This Row],[contenido]],Estructura!$E$4:$G$500,3,0)</f>
        <v>C-1018</v>
      </c>
      <c r="Z620" s="93" t="str">
        <f>+VLOOKUP(Agencia[[#This Row],[Filtro Integrado]],Estructura!$I$4:$K$500,3,0)</f>
        <v>FI-993</v>
      </c>
      <c r="AA620" s="93" t="str">
        <f>+VLOOKUP(Agencia[[#This Row],[Muestra]],Estructura!$M$4:$O$500,3,0)</f>
        <v>M-1063</v>
      </c>
    </row>
    <row r="621" spans="1:27" ht="61.2" x14ac:dyDescent="0.3">
      <c r="A621" s="21" t="s">
        <v>1125</v>
      </c>
      <c r="B621" s="23">
        <f t="shared" si="258"/>
        <v>990</v>
      </c>
      <c r="C621" s="24" t="str">
        <f t="shared" si="259"/>
        <v>Agencia Información</v>
      </c>
      <c r="D621" s="72" t="str">
        <f t="shared" si="260"/>
        <v>Educación</v>
      </c>
      <c r="E621" s="19">
        <v>14</v>
      </c>
      <c r="F621" s="18" t="s">
        <v>1429</v>
      </c>
      <c r="G621" s="18" t="s">
        <v>4290</v>
      </c>
      <c r="H621" s="33" t="s">
        <v>16</v>
      </c>
      <c r="I621" s="34" t="s">
        <v>381</v>
      </c>
      <c r="J621" s="9" t="str">
        <f t="shared" si="264"/>
        <v>Ninguno</v>
      </c>
      <c r="K621" s="142" t="s">
        <v>1425</v>
      </c>
      <c r="L621" s="9" t="str">
        <f t="shared" si="261"/>
        <v>Periodo 2014-2019</v>
      </c>
      <c r="M621" s="9" t="str">
        <f t="shared" si="262"/>
        <v>Puntaje</v>
      </c>
      <c r="N621" s="9" t="str">
        <f t="shared" si="263"/>
        <v>Agencia de Calidad de la Educación</v>
      </c>
      <c r="O621" s="20" t="str">
        <f>+"Mapa de distribución geográfica en la "&amp;Agencia[[#This Row],[territorio]]&amp;" del Indicador de Autoestima Académica y Motivación Escolar, "&amp;Agencia[[#This Row],[temporalidad]]</f>
        <v>Mapa de distribución geográfica en la Región de Los Ríos del Indicador de Autoestima Académica y Motivación Escolar, Periodo 2014-2019</v>
      </c>
      <c r="P621" s="112" t="s">
        <v>6158</v>
      </c>
      <c r="Q621" s="11" t="str">
        <f t="shared" si="250"/>
        <v>Mapa de calor</v>
      </c>
      <c r="R621" s="148" t="str">
        <f>Agencia[[#This Row],[territorio]]&amp;",calidad,puntaje,autoestima,motivación,escolar,desarrollo,personal,indicador,académica,"&amp;Agencia[[#This Row],[coleccion]]&amp;","&amp;Agencia[[#This Row],[sector]]&amp;","&amp;Agencia[[#This Row],[tema]]&amp;","&amp;Agencia[[#This Row],[contenido]]</f>
        <v>Región de Los Ríos,calidad,puntaje,autoestima,motivación,escolar,desarrollo,personal,indicador,académica,Agencia Información,Educación,Indicadores de Desarrollo Personal y Social,Métricas de la Educación</v>
      </c>
      <c r="S621" s="83" t="str">
        <f>HYPERLINK("https://analytics.zoho.com/open-view/2395394000009056027?ZOHO_CRITERIA=%22Localiza%20CL%22.%22Codreg%22%3D"&amp;Agencia[[#This Row],[Filtro URL]])</f>
        <v>https://analytics.zoho.com/open-view/2395394000009056027?ZOHO_CRITERIA=%22Localiza%20CL%22.%22Codreg%22%3D14</v>
      </c>
      <c r="T621" s="108" t="str">
        <f>"100-C-"&amp;Agencia[[#This Row],[Filtro URL]]</f>
        <v>100-C-14</v>
      </c>
      <c r="U621" s="46" t="str">
        <f t="shared" si="251"/>
        <v>#1774B9</v>
      </c>
      <c r="V621" s="93" t="str">
        <f>+Agencia[[#This Row],[idcoleccion]]&amp;"-"&amp;Agencia[[#This Row],[id]]</f>
        <v>990-0610</v>
      </c>
      <c r="W621" s="93">
        <f>+VLOOKUP(Agencia[[#This Row],[Filtro URL]],Estructura!$X$4:$Y$500,2,0)</f>
        <v>99200014</v>
      </c>
      <c r="X621" s="93" t="str">
        <f>+VLOOKUP(Agencia[[#This Row],[tema]],Estructura!$A$4:$C$500,3,0)</f>
        <v>T-991</v>
      </c>
      <c r="Y621" s="93" t="str">
        <f>+VLOOKUP(Agencia[[#This Row],[contenido]],Estructura!$E$4:$G$500,3,0)</f>
        <v>C-1018</v>
      </c>
      <c r="Z621" s="93" t="str">
        <f>+VLOOKUP(Agencia[[#This Row],[Filtro Integrado]],Estructura!$I$4:$K$500,3,0)</f>
        <v>FI-993</v>
      </c>
      <c r="AA621" s="93" t="str">
        <f>+VLOOKUP(Agencia[[#This Row],[Muestra]],Estructura!$M$4:$O$500,3,0)</f>
        <v>M-1063</v>
      </c>
    </row>
    <row r="622" spans="1:27" ht="71.400000000000006" x14ac:dyDescent="0.3">
      <c r="A622" s="21" t="s">
        <v>1126</v>
      </c>
      <c r="B622" s="23">
        <f t="shared" si="258"/>
        <v>990</v>
      </c>
      <c r="C622" s="24" t="str">
        <f t="shared" si="259"/>
        <v>Agencia Información</v>
      </c>
      <c r="D622" s="72" t="str">
        <f t="shared" si="260"/>
        <v>Educación</v>
      </c>
      <c r="E622" s="19">
        <v>15</v>
      </c>
      <c r="F622" s="18" t="s">
        <v>1429</v>
      </c>
      <c r="G622" s="18" t="s">
        <v>4290</v>
      </c>
      <c r="H622" s="33" t="s">
        <v>16</v>
      </c>
      <c r="I622" s="34" t="s">
        <v>382</v>
      </c>
      <c r="J622" s="9" t="str">
        <f t="shared" si="264"/>
        <v>Ninguno</v>
      </c>
      <c r="K622" s="142" t="s">
        <v>1425</v>
      </c>
      <c r="L622" s="9" t="str">
        <f t="shared" si="261"/>
        <v>Periodo 2014-2019</v>
      </c>
      <c r="M622" s="9" t="str">
        <f t="shared" si="262"/>
        <v>Puntaje</v>
      </c>
      <c r="N622" s="9" t="str">
        <f t="shared" si="263"/>
        <v>Agencia de Calidad de la Educación</v>
      </c>
      <c r="O622" s="20" t="str">
        <f>+"Mapa de distribución geográfica en la "&amp;Agencia[[#This Row],[territorio]]&amp;" del Indicador de Autoestima Académica y Motivación Escolar, "&amp;Agencia[[#This Row],[temporalidad]]</f>
        <v>Mapa de distribución geográfica en la Región de Arica y Parinacota del Indicador de Autoestima Académica y Motivación Escolar, Periodo 2014-2019</v>
      </c>
      <c r="P622" s="112" t="s">
        <v>6302</v>
      </c>
      <c r="Q622" s="11" t="str">
        <f t="shared" si="250"/>
        <v>Mapa de calor</v>
      </c>
      <c r="R622" s="148" t="str">
        <f>Agencia[[#This Row],[territorio]]&amp;",calidad,puntaje,autoestima,motivación,escolar,desarrollo,personal,indicador,académica,"&amp;Agencia[[#This Row],[coleccion]]&amp;","&amp;Agencia[[#This Row],[sector]]&amp;","&amp;Agencia[[#This Row],[tema]]&amp;","&amp;Agencia[[#This Row],[contenido]]</f>
        <v>Región de Arica y Parinacota,calidad,puntaje,autoestima,motivación,escolar,desarrollo,personal,indicador,académica,Agencia Información,Educación,Indicadores de Desarrollo Personal y Social,Métricas de la Educación</v>
      </c>
      <c r="S622" s="83" t="str">
        <f>HYPERLINK("https://analytics.zoho.com/open-view/2395394000009056027?ZOHO_CRITERIA=%22Localiza%20CL%22.%22Codreg%22%3D"&amp;Agencia[[#This Row],[Filtro URL]])</f>
        <v>https://analytics.zoho.com/open-view/2395394000009056027?ZOHO_CRITERIA=%22Localiza%20CL%22.%22Codreg%22%3D15</v>
      </c>
      <c r="T622" s="108" t="str">
        <f>"100-C-"&amp;Agencia[[#This Row],[Filtro URL]]</f>
        <v>100-C-15</v>
      </c>
      <c r="U622" s="46" t="str">
        <f t="shared" si="251"/>
        <v>#1774B9</v>
      </c>
      <c r="V622" s="93" t="str">
        <f>+Agencia[[#This Row],[idcoleccion]]&amp;"-"&amp;Agencia[[#This Row],[id]]</f>
        <v>990-0611</v>
      </c>
      <c r="W622" s="93">
        <f>+VLOOKUP(Agencia[[#This Row],[Filtro URL]],Estructura!$X$4:$Y$500,2,0)</f>
        <v>99200015</v>
      </c>
      <c r="X622" s="93" t="str">
        <f>+VLOOKUP(Agencia[[#This Row],[tema]],Estructura!$A$4:$C$500,3,0)</f>
        <v>T-991</v>
      </c>
      <c r="Y622" s="93" t="str">
        <f>+VLOOKUP(Agencia[[#This Row],[contenido]],Estructura!$E$4:$G$500,3,0)</f>
        <v>C-1018</v>
      </c>
      <c r="Z622" s="93" t="str">
        <f>+VLOOKUP(Agencia[[#This Row],[Filtro Integrado]],Estructura!$I$4:$K$500,3,0)</f>
        <v>FI-993</v>
      </c>
      <c r="AA622" s="93" t="str">
        <f>+VLOOKUP(Agencia[[#This Row],[Muestra]],Estructura!$M$4:$O$500,3,0)</f>
        <v>M-1063</v>
      </c>
    </row>
    <row r="623" spans="1:27" ht="61.2" x14ac:dyDescent="0.3">
      <c r="A623" s="21" t="s">
        <v>1127</v>
      </c>
      <c r="B623" s="23">
        <f t="shared" si="258"/>
        <v>990</v>
      </c>
      <c r="C623" s="24" t="str">
        <f t="shared" si="259"/>
        <v>Agencia Información</v>
      </c>
      <c r="D623" s="72" t="str">
        <f t="shared" si="260"/>
        <v>Educación</v>
      </c>
      <c r="E623" s="19">
        <v>16</v>
      </c>
      <c r="F623" s="18" t="s">
        <v>1429</v>
      </c>
      <c r="G623" s="18" t="s">
        <v>4290</v>
      </c>
      <c r="H623" s="33" t="s">
        <v>16</v>
      </c>
      <c r="I623" s="34" t="s">
        <v>383</v>
      </c>
      <c r="J623" s="9" t="str">
        <f t="shared" si="264"/>
        <v>Ninguno</v>
      </c>
      <c r="K623" s="142" t="s">
        <v>1425</v>
      </c>
      <c r="L623" s="9" t="str">
        <f t="shared" si="261"/>
        <v>Periodo 2014-2019</v>
      </c>
      <c r="M623" s="9" t="str">
        <f t="shared" si="262"/>
        <v>Puntaje</v>
      </c>
      <c r="N623" s="9" t="str">
        <f t="shared" si="263"/>
        <v>Agencia de Calidad de la Educación</v>
      </c>
      <c r="O623" s="20" t="str">
        <f>+"Mapa de distribución geográfica en la "&amp;Agencia[[#This Row],[territorio]]&amp;" del Indicador de Autoestima Académica y Motivación Escolar, "&amp;Agencia[[#This Row],[temporalidad]]</f>
        <v>Mapa de distribución geográfica en la Región de Ñuble del Indicador de Autoestima Académica y Motivación Escolar, Periodo 2014-2019</v>
      </c>
      <c r="P623" s="112" t="s">
        <v>6303</v>
      </c>
      <c r="Q623" s="11" t="str">
        <f t="shared" si="250"/>
        <v>Mapa de calor</v>
      </c>
      <c r="R623" s="148" t="str">
        <f>Agencia[[#This Row],[territorio]]&amp;",calidad,puntaje,autoestima,motivación,escolar,desarrollo,personal,indicador,académica,"&amp;Agencia[[#This Row],[coleccion]]&amp;","&amp;Agencia[[#This Row],[sector]]&amp;","&amp;Agencia[[#This Row],[tema]]&amp;","&amp;Agencia[[#This Row],[contenido]]</f>
        <v>Región de Ñuble,calidad,puntaje,autoestima,motivación,escolar,desarrollo,personal,indicador,académica,Agencia Información,Educación,Indicadores de Desarrollo Personal y Social,Métricas de la Educación</v>
      </c>
      <c r="S623" s="83" t="str">
        <f>HYPERLINK("https://analytics.zoho.com/open-view/2395394000009056027?ZOHO_CRITERIA=%22Localiza%20CL%22.%22Codreg%22%3D"&amp;Agencia[[#This Row],[Filtro URL]])</f>
        <v>https://analytics.zoho.com/open-view/2395394000009056027?ZOHO_CRITERIA=%22Localiza%20CL%22.%22Codreg%22%3D16</v>
      </c>
      <c r="T623" s="108" t="str">
        <f>"100-C-"&amp;Agencia[[#This Row],[Filtro URL]]</f>
        <v>100-C-16</v>
      </c>
      <c r="U623" s="46" t="str">
        <f t="shared" si="251"/>
        <v>#1774B9</v>
      </c>
      <c r="V623" s="93" t="str">
        <f>+Agencia[[#This Row],[idcoleccion]]&amp;"-"&amp;Agencia[[#This Row],[id]]</f>
        <v>990-0612</v>
      </c>
      <c r="W623" s="93">
        <f>+VLOOKUP(Agencia[[#This Row],[Filtro URL]],Estructura!$X$4:$Y$500,2,0)</f>
        <v>99200016</v>
      </c>
      <c r="X623" s="93" t="str">
        <f>+VLOOKUP(Agencia[[#This Row],[tema]],Estructura!$A$4:$C$500,3,0)</f>
        <v>T-991</v>
      </c>
      <c r="Y623" s="93" t="str">
        <f>+VLOOKUP(Agencia[[#This Row],[contenido]],Estructura!$E$4:$G$500,3,0)</f>
        <v>C-1018</v>
      </c>
      <c r="Z623" s="93" t="str">
        <f>+VLOOKUP(Agencia[[#This Row],[Filtro Integrado]],Estructura!$I$4:$K$500,3,0)</f>
        <v>FI-993</v>
      </c>
      <c r="AA623" s="93" t="str">
        <f>+VLOOKUP(Agencia[[#This Row],[Muestra]],Estructura!$M$4:$O$500,3,0)</f>
        <v>M-1063</v>
      </c>
    </row>
    <row r="624" spans="1:27" ht="81.599999999999994" x14ac:dyDescent="0.3">
      <c r="A624" s="21" t="s">
        <v>1128</v>
      </c>
      <c r="B624" s="23">
        <f t="shared" si="258"/>
        <v>990</v>
      </c>
      <c r="C624" s="24" t="str">
        <f t="shared" si="259"/>
        <v>Agencia Información</v>
      </c>
      <c r="D624" s="72" t="s">
        <v>14</v>
      </c>
      <c r="E624" s="14">
        <v>0</v>
      </c>
      <c r="F624" s="18" t="s">
        <v>1429</v>
      </c>
      <c r="G624" s="18" t="s">
        <v>4290</v>
      </c>
      <c r="H624" s="31" t="s">
        <v>20</v>
      </c>
      <c r="I624" s="32" t="s">
        <v>15</v>
      </c>
      <c r="J624" s="9" t="s">
        <v>16</v>
      </c>
      <c r="K624" s="9" t="s">
        <v>1425</v>
      </c>
      <c r="L624" s="9" t="s">
        <v>835</v>
      </c>
      <c r="M624" s="9" t="s">
        <v>1425</v>
      </c>
      <c r="N624" s="9" t="s">
        <v>1422</v>
      </c>
      <c r="O624" s="20" t="str">
        <f>+"Evolución del Indicador de Clima de Convivencia Escolar por Dependencia de Establecimientos en "&amp;I624&amp;", "&amp;Agencia[[#This Row],[temporalidad]]</f>
        <v>Evolución del Indicador de Clima de Convivencia Escolar por Dependencia de Establecimientos en Chile, Periodo 2014-2019</v>
      </c>
      <c r="P624" s="112" t="s">
        <v>1457</v>
      </c>
      <c r="Q624" s="11" t="s">
        <v>784</v>
      </c>
      <c r="R624" s="20" t="str">
        <f>Agencia[[#This Row],[territorio]]&amp;",calidad,puntaje,municipal,subvencionado,corporación,particular,convivencia,escolar,indicador,"&amp;Agencia[[#This Row],[coleccion]]&amp;","&amp;Agencia[[#This Row],[sector]]&amp;","&amp;Agencia[[#This Row],[tema]]&amp;","&amp;Agencia[[#This Row],[contenido]]</f>
        <v>Chile,calidad,puntaje,municipal,subvencionado,corporación,particular,convivencia,escolar,indicador,Agencia Información,Educación,Indicadores de Desarrollo Personal y Social,Métricas de la Educación</v>
      </c>
      <c r="S624" s="37" t="s">
        <v>1456</v>
      </c>
      <c r="T624" s="108" t="s">
        <v>805</v>
      </c>
      <c r="U624" s="46" t="str">
        <f t="shared" si="251"/>
        <v>#1774B9</v>
      </c>
      <c r="V624" s="93" t="str">
        <f>+Agencia[[#This Row],[idcoleccion]]&amp;"-"&amp;Agencia[[#This Row],[id]]</f>
        <v>990-0613</v>
      </c>
      <c r="W624" s="93">
        <f>+VLOOKUP(Agencia[[#This Row],[Filtro URL]],Estructura!$X$4:$Y$500,2,0)</f>
        <v>99100000</v>
      </c>
      <c r="X624" s="93" t="str">
        <f>+VLOOKUP(Agencia[[#This Row],[tema]],Estructura!$A$4:$C$500,3,0)</f>
        <v>T-991</v>
      </c>
      <c r="Y624" s="93" t="str">
        <f>+VLOOKUP(Agencia[[#This Row],[contenido]],Estructura!$E$4:$G$500,3,0)</f>
        <v>C-1018</v>
      </c>
      <c r="Z624" s="93" t="str">
        <f>+VLOOKUP(Agencia[[#This Row],[Filtro Integrado]],Estructura!$I$4:$K$500,3,0)</f>
        <v>FI-992</v>
      </c>
      <c r="AA624" s="93" t="str">
        <f>+VLOOKUP(Agencia[[#This Row],[Muestra]],Estructura!$M$4:$O$500,3,0)</f>
        <v>M-1063</v>
      </c>
    </row>
    <row r="625" spans="1:27" ht="71.400000000000006" x14ac:dyDescent="0.3">
      <c r="A625" s="21" t="s">
        <v>1129</v>
      </c>
      <c r="B625" s="23">
        <f t="shared" si="258"/>
        <v>990</v>
      </c>
      <c r="C625" s="24" t="str">
        <f t="shared" si="259"/>
        <v>Agencia Información</v>
      </c>
      <c r="D625" s="72" t="str">
        <f t="shared" ref="D625:D640" si="265">+D624</f>
        <v>Educación</v>
      </c>
      <c r="E625" s="19">
        <v>1</v>
      </c>
      <c r="F625" s="18" t="s">
        <v>1429</v>
      </c>
      <c r="G625" s="18" t="s">
        <v>4290</v>
      </c>
      <c r="H625" s="33" t="s">
        <v>16</v>
      </c>
      <c r="I625" s="34" t="s">
        <v>368</v>
      </c>
      <c r="J625" s="9" t="s">
        <v>403</v>
      </c>
      <c r="K625" s="142" t="s">
        <v>1425</v>
      </c>
      <c r="L625" s="9" t="str">
        <f t="shared" ref="L625:L640" si="266">+L624</f>
        <v>Periodo 2014-2019</v>
      </c>
      <c r="M625" s="9" t="str">
        <f t="shared" ref="M625:M640" si="267">+M624</f>
        <v>Puntaje</v>
      </c>
      <c r="N625" s="9" t="str">
        <f t="shared" ref="N625:N640" si="268">+N624</f>
        <v>Agencia de Calidad de la Educación</v>
      </c>
      <c r="O625" s="20" t="str">
        <f>+"Evolución del Indicador de Clima de Convivencia Escolar por Dependencia de Establecimientos en la "&amp;I625&amp;", "&amp;Agencia[[#This Row],[temporalidad]]</f>
        <v>Evolución del Indicador de Clima de Convivencia Escolar por Dependencia de Establecimientos en la Región de Tarapacá, Periodo 2014-2019</v>
      </c>
      <c r="P625" s="112" t="s">
        <v>6304</v>
      </c>
      <c r="Q625" s="11" t="str">
        <f t="shared" si="250"/>
        <v>Gráfico de Evolución</v>
      </c>
      <c r="R625" s="148" t="str">
        <f>Agencia[[#This Row],[territorio]]&amp;",calidad,puntaje,municipal,subvencionado,corporación,particular,convivencia,escolar,indicador,"&amp;Agencia[[#This Row],[coleccion]]&amp;","&amp;Agencia[[#This Row],[sector]]&amp;","&amp;Agencia[[#This Row],[tema]]&amp;","&amp;Agencia[[#This Row],[contenido]]</f>
        <v>Región de Tarapacá,calidad,puntaje,municipal,subvencionado,corporación,particular,convivencia,escolar,indicador,Agencia Información,Educación,Indicadores de Desarrollo Personal y Social,Métricas de la Educación</v>
      </c>
      <c r="S625" s="83" t="str">
        <f>HYPERLINK("https://analytics.zoho.com/open-view/2395394000009056168?ZOHO_CRITERIA=%22Localiza%20CL%22.%22Codreg%22%3D"&amp;Agencia[[#This Row],[Filtro URL]])</f>
        <v>https://analytics.zoho.com/open-view/2395394000009056168?ZOHO_CRITERIA=%22Localiza%20CL%22.%22Codreg%22%3D1</v>
      </c>
      <c r="T625" s="108" t="str">
        <f>"100-R-"&amp;Agencia[[#This Row],[Filtro URL]]</f>
        <v>100-R-1</v>
      </c>
      <c r="U625" s="46" t="str">
        <f t="shared" si="251"/>
        <v>#1774B9</v>
      </c>
      <c r="V625" s="93" t="str">
        <f>+Agencia[[#This Row],[idcoleccion]]&amp;"-"&amp;Agencia[[#This Row],[id]]</f>
        <v>990-0614</v>
      </c>
      <c r="W625" s="93">
        <f>+VLOOKUP(Agencia[[#This Row],[Filtro URL]],Estructura!$X$4:$Y$500,2,0)</f>
        <v>99200001</v>
      </c>
      <c r="X625" s="93" t="str">
        <f>+VLOOKUP(Agencia[[#This Row],[tema]],Estructura!$A$4:$C$500,3,0)</f>
        <v>T-991</v>
      </c>
      <c r="Y625" s="93" t="str">
        <f>+VLOOKUP(Agencia[[#This Row],[contenido]],Estructura!$E$4:$G$500,3,0)</f>
        <v>C-1018</v>
      </c>
      <c r="Z625" s="93" t="str">
        <f>+VLOOKUP(Agencia[[#This Row],[Filtro Integrado]],Estructura!$I$4:$K$500,3,0)</f>
        <v>FI-993</v>
      </c>
      <c r="AA625" s="93" t="str">
        <f>+VLOOKUP(Agencia[[#This Row],[Muestra]],Estructura!$M$4:$O$500,3,0)</f>
        <v>M-1063</v>
      </c>
    </row>
    <row r="626" spans="1:27" ht="71.400000000000006" x14ac:dyDescent="0.3">
      <c r="A626" s="21" t="s">
        <v>1130</v>
      </c>
      <c r="B626" s="23">
        <f t="shared" si="258"/>
        <v>990</v>
      </c>
      <c r="C626" s="24" t="str">
        <f t="shared" si="259"/>
        <v>Agencia Información</v>
      </c>
      <c r="D626" s="72" t="str">
        <f t="shared" si="265"/>
        <v>Educación</v>
      </c>
      <c r="E626" s="19">
        <v>2</v>
      </c>
      <c r="F626" s="18" t="s">
        <v>1429</v>
      </c>
      <c r="G626" s="18" t="s">
        <v>4290</v>
      </c>
      <c r="H626" s="33" t="s">
        <v>16</v>
      </c>
      <c r="I626" s="34" t="s">
        <v>369</v>
      </c>
      <c r="J626" s="9" t="str">
        <f t="shared" ref="J626:J640" si="269">+J625</f>
        <v>Ninguno</v>
      </c>
      <c r="K626" s="142" t="s">
        <v>1425</v>
      </c>
      <c r="L626" s="9" t="str">
        <f t="shared" si="266"/>
        <v>Periodo 2014-2019</v>
      </c>
      <c r="M626" s="9" t="str">
        <f t="shared" si="267"/>
        <v>Puntaje</v>
      </c>
      <c r="N626" s="9" t="str">
        <f t="shared" si="268"/>
        <v>Agencia de Calidad de la Educación</v>
      </c>
      <c r="O626" s="20" t="str">
        <f>+"Evolución del Indicador de Clima de Convivencia Escolar por Dependencia de Establecimientos en la "&amp;I626&amp;", "&amp;Agencia[[#This Row],[temporalidad]]</f>
        <v>Evolución del Indicador de Clima de Convivencia Escolar por Dependencia de Establecimientos en la Región de Antofagasta, Periodo 2014-2019</v>
      </c>
      <c r="P626" s="112" t="s">
        <v>6305</v>
      </c>
      <c r="Q626" s="11" t="str">
        <f t="shared" si="250"/>
        <v>Gráfico de Evolución</v>
      </c>
      <c r="R626" s="148" t="str">
        <f>Agencia[[#This Row],[territorio]]&amp;",calidad,puntaje,municipal,subvencionado,corporación,particular,convivencia,escolar,indicador,"&amp;Agencia[[#This Row],[coleccion]]&amp;","&amp;Agencia[[#This Row],[sector]]&amp;","&amp;Agencia[[#This Row],[tema]]&amp;","&amp;Agencia[[#This Row],[contenido]]</f>
        <v>Región de Antofagasta,calidad,puntaje,municipal,subvencionado,corporación,particular,convivencia,escolar,indicador,Agencia Información,Educación,Indicadores de Desarrollo Personal y Social,Métricas de la Educación</v>
      </c>
      <c r="S626" s="83" t="str">
        <f>HYPERLINK("https://analytics.zoho.com/open-view/2395394000009056168?ZOHO_CRITERIA=%22Localiza%20CL%22.%22Codreg%22%3D"&amp;Agencia[[#This Row],[Filtro URL]])</f>
        <v>https://analytics.zoho.com/open-view/2395394000009056168?ZOHO_CRITERIA=%22Localiza%20CL%22.%22Codreg%22%3D2</v>
      </c>
      <c r="T626" s="108" t="str">
        <f>"100-R-"&amp;Agencia[[#This Row],[Filtro URL]]</f>
        <v>100-R-2</v>
      </c>
      <c r="U626" s="46" t="str">
        <f t="shared" si="251"/>
        <v>#1774B9</v>
      </c>
      <c r="V626" s="93" t="str">
        <f>+Agencia[[#This Row],[idcoleccion]]&amp;"-"&amp;Agencia[[#This Row],[id]]</f>
        <v>990-0615</v>
      </c>
      <c r="W626" s="93">
        <f>+VLOOKUP(Agencia[[#This Row],[Filtro URL]],Estructura!$X$4:$Y$500,2,0)</f>
        <v>99200002</v>
      </c>
      <c r="X626" s="93" t="str">
        <f>+VLOOKUP(Agencia[[#This Row],[tema]],Estructura!$A$4:$C$500,3,0)</f>
        <v>T-991</v>
      </c>
      <c r="Y626" s="93" t="str">
        <f>+VLOOKUP(Agencia[[#This Row],[contenido]],Estructura!$E$4:$G$500,3,0)</f>
        <v>C-1018</v>
      </c>
      <c r="Z626" s="93" t="str">
        <f>+VLOOKUP(Agencia[[#This Row],[Filtro Integrado]],Estructura!$I$4:$K$500,3,0)</f>
        <v>FI-993</v>
      </c>
      <c r="AA626" s="93" t="str">
        <f>+VLOOKUP(Agencia[[#This Row],[Muestra]],Estructura!$M$4:$O$500,3,0)</f>
        <v>M-1063</v>
      </c>
    </row>
    <row r="627" spans="1:27" ht="71.400000000000006" x14ac:dyDescent="0.3">
      <c r="A627" s="21" t="s">
        <v>1131</v>
      </c>
      <c r="B627" s="23">
        <f t="shared" si="258"/>
        <v>990</v>
      </c>
      <c r="C627" s="24" t="str">
        <f t="shared" si="259"/>
        <v>Agencia Información</v>
      </c>
      <c r="D627" s="72" t="str">
        <f t="shared" si="265"/>
        <v>Educación</v>
      </c>
      <c r="E627" s="19">
        <v>3</v>
      </c>
      <c r="F627" s="18" t="s">
        <v>1429</v>
      </c>
      <c r="G627" s="18" t="s">
        <v>4290</v>
      </c>
      <c r="H627" s="33" t="s">
        <v>16</v>
      </c>
      <c r="I627" s="34" t="s">
        <v>370</v>
      </c>
      <c r="J627" s="9" t="str">
        <f t="shared" si="269"/>
        <v>Ninguno</v>
      </c>
      <c r="K627" s="142" t="s">
        <v>1425</v>
      </c>
      <c r="L627" s="9" t="str">
        <f t="shared" si="266"/>
        <v>Periodo 2014-2019</v>
      </c>
      <c r="M627" s="9" t="str">
        <f t="shared" si="267"/>
        <v>Puntaje</v>
      </c>
      <c r="N627" s="9" t="str">
        <f t="shared" si="268"/>
        <v>Agencia de Calidad de la Educación</v>
      </c>
      <c r="O627" s="20" t="str">
        <f>+"Evolución del Indicador de Clima de Convivencia Escolar por Dependencia de Establecimientos en la "&amp;I627&amp;", "&amp;Agencia[[#This Row],[temporalidad]]</f>
        <v>Evolución del Indicador de Clima de Convivencia Escolar por Dependencia de Establecimientos en la Región de Atacama, Periodo 2014-2019</v>
      </c>
      <c r="P627" s="112" t="s">
        <v>6159</v>
      </c>
      <c r="Q627" s="11" t="str">
        <f t="shared" si="250"/>
        <v>Gráfico de Evolución</v>
      </c>
      <c r="R627" s="148" t="str">
        <f>Agencia[[#This Row],[territorio]]&amp;",calidad,puntaje,municipal,subvencionado,corporación,particular,convivencia,escolar,indicador,"&amp;Agencia[[#This Row],[coleccion]]&amp;","&amp;Agencia[[#This Row],[sector]]&amp;","&amp;Agencia[[#This Row],[tema]]&amp;","&amp;Agencia[[#This Row],[contenido]]</f>
        <v>Región de Atacama,calidad,puntaje,municipal,subvencionado,corporación,particular,convivencia,escolar,indicador,Agencia Información,Educación,Indicadores de Desarrollo Personal y Social,Métricas de la Educación</v>
      </c>
      <c r="S627" s="83" t="str">
        <f>HYPERLINK("https://analytics.zoho.com/open-view/2395394000009056168?ZOHO_CRITERIA=%22Localiza%20CL%22.%22Codreg%22%3D"&amp;Agencia[[#This Row],[Filtro URL]])</f>
        <v>https://analytics.zoho.com/open-view/2395394000009056168?ZOHO_CRITERIA=%22Localiza%20CL%22.%22Codreg%22%3D3</v>
      </c>
      <c r="T627" s="108" t="str">
        <f>"100-R-"&amp;Agencia[[#This Row],[Filtro URL]]</f>
        <v>100-R-3</v>
      </c>
      <c r="U627" s="46" t="str">
        <f t="shared" si="251"/>
        <v>#1774B9</v>
      </c>
      <c r="V627" s="93" t="str">
        <f>+Agencia[[#This Row],[idcoleccion]]&amp;"-"&amp;Agencia[[#This Row],[id]]</f>
        <v>990-0616</v>
      </c>
      <c r="W627" s="93">
        <f>+VLOOKUP(Agencia[[#This Row],[Filtro URL]],Estructura!$X$4:$Y$500,2,0)</f>
        <v>99200003</v>
      </c>
      <c r="X627" s="93" t="str">
        <f>+VLOOKUP(Agencia[[#This Row],[tema]],Estructura!$A$4:$C$500,3,0)</f>
        <v>T-991</v>
      </c>
      <c r="Y627" s="93" t="str">
        <f>+VLOOKUP(Agencia[[#This Row],[contenido]],Estructura!$E$4:$G$500,3,0)</f>
        <v>C-1018</v>
      </c>
      <c r="Z627" s="93" t="str">
        <f>+VLOOKUP(Agencia[[#This Row],[Filtro Integrado]],Estructura!$I$4:$K$500,3,0)</f>
        <v>FI-993</v>
      </c>
      <c r="AA627" s="93" t="str">
        <f>+VLOOKUP(Agencia[[#This Row],[Muestra]],Estructura!$M$4:$O$500,3,0)</f>
        <v>M-1063</v>
      </c>
    </row>
    <row r="628" spans="1:27" ht="71.400000000000006" x14ac:dyDescent="0.3">
      <c r="A628" s="21" t="s">
        <v>1132</v>
      </c>
      <c r="B628" s="23">
        <f t="shared" si="258"/>
        <v>990</v>
      </c>
      <c r="C628" s="24" t="str">
        <f t="shared" si="259"/>
        <v>Agencia Información</v>
      </c>
      <c r="D628" s="72" t="str">
        <f t="shared" si="265"/>
        <v>Educación</v>
      </c>
      <c r="E628" s="19">
        <v>4</v>
      </c>
      <c r="F628" s="18" t="s">
        <v>1429</v>
      </c>
      <c r="G628" s="18" t="s">
        <v>4290</v>
      </c>
      <c r="H628" s="33" t="s">
        <v>16</v>
      </c>
      <c r="I628" s="34" t="s">
        <v>371</v>
      </c>
      <c r="J628" s="9" t="str">
        <f t="shared" si="269"/>
        <v>Ninguno</v>
      </c>
      <c r="K628" s="142" t="s">
        <v>1425</v>
      </c>
      <c r="L628" s="9" t="str">
        <f t="shared" si="266"/>
        <v>Periodo 2014-2019</v>
      </c>
      <c r="M628" s="9" t="str">
        <f t="shared" si="267"/>
        <v>Puntaje</v>
      </c>
      <c r="N628" s="9" t="str">
        <f t="shared" si="268"/>
        <v>Agencia de Calidad de la Educación</v>
      </c>
      <c r="O628" s="20" t="str">
        <f>+"Evolución del Indicador de Clima de Convivencia Escolar por Dependencia de Establecimientos en la "&amp;I628&amp;", "&amp;Agencia[[#This Row],[temporalidad]]</f>
        <v>Evolución del Indicador de Clima de Convivencia Escolar por Dependencia de Establecimientos en la Región de Coquimbo, Periodo 2014-2019</v>
      </c>
      <c r="P628" s="112" t="s">
        <v>6306</v>
      </c>
      <c r="Q628" s="11" t="str">
        <f t="shared" si="250"/>
        <v>Gráfico de Evolución</v>
      </c>
      <c r="R628" s="148" t="str">
        <f>Agencia[[#This Row],[territorio]]&amp;",calidad,puntaje,municipal,subvencionado,corporación,particular,convivencia,escolar,indicador,"&amp;Agencia[[#This Row],[coleccion]]&amp;","&amp;Agencia[[#This Row],[sector]]&amp;","&amp;Agencia[[#This Row],[tema]]&amp;","&amp;Agencia[[#This Row],[contenido]]</f>
        <v>Región de Coquimbo,calidad,puntaje,municipal,subvencionado,corporación,particular,convivencia,escolar,indicador,Agencia Información,Educación,Indicadores de Desarrollo Personal y Social,Métricas de la Educación</v>
      </c>
      <c r="S628" s="83" t="str">
        <f>HYPERLINK("https://analytics.zoho.com/open-view/2395394000009056168?ZOHO_CRITERIA=%22Localiza%20CL%22.%22Codreg%22%3D"&amp;Agencia[[#This Row],[Filtro URL]])</f>
        <v>https://analytics.zoho.com/open-view/2395394000009056168?ZOHO_CRITERIA=%22Localiza%20CL%22.%22Codreg%22%3D4</v>
      </c>
      <c r="T628" s="108" t="str">
        <f>"100-R-"&amp;Agencia[[#This Row],[Filtro URL]]</f>
        <v>100-R-4</v>
      </c>
      <c r="U628" s="46" t="str">
        <f t="shared" si="251"/>
        <v>#1774B9</v>
      </c>
      <c r="V628" s="93" t="str">
        <f>+Agencia[[#This Row],[idcoleccion]]&amp;"-"&amp;Agencia[[#This Row],[id]]</f>
        <v>990-0617</v>
      </c>
      <c r="W628" s="93">
        <f>+VLOOKUP(Agencia[[#This Row],[Filtro URL]],Estructura!$X$4:$Y$500,2,0)</f>
        <v>99200004</v>
      </c>
      <c r="X628" s="93" t="str">
        <f>+VLOOKUP(Agencia[[#This Row],[tema]],Estructura!$A$4:$C$500,3,0)</f>
        <v>T-991</v>
      </c>
      <c r="Y628" s="93" t="str">
        <f>+VLOOKUP(Agencia[[#This Row],[contenido]],Estructura!$E$4:$G$500,3,0)</f>
        <v>C-1018</v>
      </c>
      <c r="Z628" s="93" t="str">
        <f>+VLOOKUP(Agencia[[#This Row],[Filtro Integrado]],Estructura!$I$4:$K$500,3,0)</f>
        <v>FI-993</v>
      </c>
      <c r="AA628" s="93" t="str">
        <f>+VLOOKUP(Agencia[[#This Row],[Muestra]],Estructura!$M$4:$O$500,3,0)</f>
        <v>M-1063</v>
      </c>
    </row>
    <row r="629" spans="1:27" ht="71.400000000000006" x14ac:dyDescent="0.3">
      <c r="A629" s="21" t="s">
        <v>1133</v>
      </c>
      <c r="B629" s="23">
        <f t="shared" si="258"/>
        <v>990</v>
      </c>
      <c r="C629" s="24" t="str">
        <f t="shared" si="259"/>
        <v>Agencia Información</v>
      </c>
      <c r="D629" s="72" t="str">
        <f t="shared" si="265"/>
        <v>Educación</v>
      </c>
      <c r="E629" s="19">
        <v>5</v>
      </c>
      <c r="F629" s="18" t="s">
        <v>1429</v>
      </c>
      <c r="G629" s="18" t="s">
        <v>4290</v>
      </c>
      <c r="H629" s="33" t="s">
        <v>16</v>
      </c>
      <c r="I629" s="34" t="s">
        <v>372</v>
      </c>
      <c r="J629" s="9" t="str">
        <f t="shared" si="269"/>
        <v>Ninguno</v>
      </c>
      <c r="K629" s="142" t="s">
        <v>1425</v>
      </c>
      <c r="L629" s="9" t="str">
        <f t="shared" si="266"/>
        <v>Periodo 2014-2019</v>
      </c>
      <c r="M629" s="9" t="str">
        <f t="shared" si="267"/>
        <v>Puntaje</v>
      </c>
      <c r="N629" s="9" t="str">
        <f t="shared" si="268"/>
        <v>Agencia de Calidad de la Educación</v>
      </c>
      <c r="O629" s="20" t="str">
        <f>+"Evolución del Indicador de Clima de Convivencia Escolar por Dependencia de Establecimientos en la "&amp;I629&amp;", "&amp;Agencia[[#This Row],[temporalidad]]</f>
        <v>Evolución del Indicador de Clima de Convivencia Escolar por Dependencia de Establecimientos en la Región de Valparaíso, Periodo 2014-2019</v>
      </c>
      <c r="P629" s="112" t="s">
        <v>6307</v>
      </c>
      <c r="Q629" s="11" t="str">
        <f t="shared" si="250"/>
        <v>Gráfico de Evolución</v>
      </c>
      <c r="R629" s="148" t="str">
        <f>Agencia[[#This Row],[territorio]]&amp;",calidad,puntaje,municipal,subvencionado,corporación,particular,convivencia,escolar,indicador,"&amp;Agencia[[#This Row],[coleccion]]&amp;","&amp;Agencia[[#This Row],[sector]]&amp;","&amp;Agencia[[#This Row],[tema]]&amp;","&amp;Agencia[[#This Row],[contenido]]</f>
        <v>Región de Valparaíso,calidad,puntaje,municipal,subvencionado,corporación,particular,convivencia,escolar,indicador,Agencia Información,Educación,Indicadores de Desarrollo Personal y Social,Métricas de la Educación</v>
      </c>
      <c r="S629" s="83" t="str">
        <f>HYPERLINK("https://analytics.zoho.com/open-view/2395394000009056168?ZOHO_CRITERIA=%22Localiza%20CL%22.%22Codreg%22%3D"&amp;Agencia[[#This Row],[Filtro URL]])</f>
        <v>https://analytics.zoho.com/open-view/2395394000009056168?ZOHO_CRITERIA=%22Localiza%20CL%22.%22Codreg%22%3D5</v>
      </c>
      <c r="T629" s="108" t="str">
        <f>"100-R-"&amp;Agencia[[#This Row],[Filtro URL]]</f>
        <v>100-R-5</v>
      </c>
      <c r="U629" s="46" t="str">
        <f t="shared" si="251"/>
        <v>#1774B9</v>
      </c>
      <c r="V629" s="93" t="str">
        <f>+Agencia[[#This Row],[idcoleccion]]&amp;"-"&amp;Agencia[[#This Row],[id]]</f>
        <v>990-0618</v>
      </c>
      <c r="W629" s="93">
        <f>+VLOOKUP(Agencia[[#This Row],[Filtro URL]],Estructura!$X$4:$Y$500,2,0)</f>
        <v>99200005</v>
      </c>
      <c r="X629" s="93" t="str">
        <f>+VLOOKUP(Agencia[[#This Row],[tema]],Estructura!$A$4:$C$500,3,0)</f>
        <v>T-991</v>
      </c>
      <c r="Y629" s="93" t="str">
        <f>+VLOOKUP(Agencia[[#This Row],[contenido]],Estructura!$E$4:$G$500,3,0)</f>
        <v>C-1018</v>
      </c>
      <c r="Z629" s="93" t="str">
        <f>+VLOOKUP(Agencia[[#This Row],[Filtro Integrado]],Estructura!$I$4:$K$500,3,0)</f>
        <v>FI-993</v>
      </c>
      <c r="AA629" s="93" t="str">
        <f>+VLOOKUP(Agencia[[#This Row],[Muestra]],Estructura!$M$4:$O$500,3,0)</f>
        <v>M-1063</v>
      </c>
    </row>
    <row r="630" spans="1:27" ht="71.400000000000006" x14ac:dyDescent="0.3">
      <c r="A630" s="21" t="s">
        <v>1134</v>
      </c>
      <c r="B630" s="23">
        <f t="shared" si="258"/>
        <v>990</v>
      </c>
      <c r="C630" s="24" t="str">
        <f t="shared" si="259"/>
        <v>Agencia Información</v>
      </c>
      <c r="D630" s="72" t="str">
        <f t="shared" si="265"/>
        <v>Educación</v>
      </c>
      <c r="E630" s="19">
        <v>6</v>
      </c>
      <c r="F630" s="18" t="s">
        <v>1429</v>
      </c>
      <c r="G630" s="18" t="s">
        <v>4290</v>
      </c>
      <c r="H630" s="33" t="s">
        <v>16</v>
      </c>
      <c r="I630" s="34" t="s">
        <v>373</v>
      </c>
      <c r="J630" s="9" t="str">
        <f t="shared" si="269"/>
        <v>Ninguno</v>
      </c>
      <c r="K630" s="142" t="s">
        <v>1425</v>
      </c>
      <c r="L630" s="9" t="str">
        <f t="shared" si="266"/>
        <v>Periodo 2014-2019</v>
      </c>
      <c r="M630" s="9" t="str">
        <f t="shared" si="267"/>
        <v>Puntaje</v>
      </c>
      <c r="N630" s="9" t="str">
        <f t="shared" si="268"/>
        <v>Agencia de Calidad de la Educación</v>
      </c>
      <c r="O630" s="20" t="str">
        <f>+"Evolución del Indicador de Clima de Convivencia Escolar por Dependencia de Establecimientos en la "&amp;I630&amp;", "&amp;Agencia[[#This Row],[temporalidad]]</f>
        <v>Evolución del Indicador de Clima de Convivencia Escolar por Dependencia de Establecimientos en la Región de O'Higgins, Periodo 2014-2019</v>
      </c>
      <c r="P630" s="112" t="s">
        <v>6308</v>
      </c>
      <c r="Q630" s="11" t="str">
        <f t="shared" si="250"/>
        <v>Gráfico de Evolución</v>
      </c>
      <c r="R630" s="148" t="str">
        <f>Agencia[[#This Row],[territorio]]&amp;",calidad,puntaje,municipal,subvencionado,corporación,particular,convivencia,escolar,indicador,"&amp;Agencia[[#This Row],[coleccion]]&amp;","&amp;Agencia[[#This Row],[sector]]&amp;","&amp;Agencia[[#This Row],[tema]]&amp;","&amp;Agencia[[#This Row],[contenido]]</f>
        <v>Región de O'Higgins,calidad,puntaje,municipal,subvencionado,corporación,particular,convivencia,escolar,indicador,Agencia Información,Educación,Indicadores de Desarrollo Personal y Social,Métricas de la Educación</v>
      </c>
      <c r="S630" s="83" t="str">
        <f>HYPERLINK("https://analytics.zoho.com/open-view/2395394000009056168?ZOHO_CRITERIA=%22Localiza%20CL%22.%22Codreg%22%3D"&amp;Agencia[[#This Row],[Filtro URL]])</f>
        <v>https://analytics.zoho.com/open-view/2395394000009056168?ZOHO_CRITERIA=%22Localiza%20CL%22.%22Codreg%22%3D6</v>
      </c>
      <c r="T630" s="108" t="str">
        <f>"100-R-"&amp;Agencia[[#This Row],[Filtro URL]]</f>
        <v>100-R-6</v>
      </c>
      <c r="U630" s="46" t="str">
        <f t="shared" si="251"/>
        <v>#1774B9</v>
      </c>
      <c r="V630" s="93" t="str">
        <f>+Agencia[[#This Row],[idcoleccion]]&amp;"-"&amp;Agencia[[#This Row],[id]]</f>
        <v>990-0619</v>
      </c>
      <c r="W630" s="93">
        <f>+VLOOKUP(Agencia[[#This Row],[Filtro URL]],Estructura!$X$4:$Y$500,2,0)</f>
        <v>99200006</v>
      </c>
      <c r="X630" s="93" t="str">
        <f>+VLOOKUP(Agencia[[#This Row],[tema]],Estructura!$A$4:$C$500,3,0)</f>
        <v>T-991</v>
      </c>
      <c r="Y630" s="93" t="str">
        <f>+VLOOKUP(Agencia[[#This Row],[contenido]],Estructura!$E$4:$G$500,3,0)</f>
        <v>C-1018</v>
      </c>
      <c r="Z630" s="93" t="str">
        <f>+VLOOKUP(Agencia[[#This Row],[Filtro Integrado]],Estructura!$I$4:$K$500,3,0)</f>
        <v>FI-993</v>
      </c>
      <c r="AA630" s="93" t="str">
        <f>+VLOOKUP(Agencia[[#This Row],[Muestra]],Estructura!$M$4:$O$500,3,0)</f>
        <v>M-1063</v>
      </c>
    </row>
    <row r="631" spans="1:27" ht="71.400000000000006" x14ac:dyDescent="0.3">
      <c r="A631" s="21" t="s">
        <v>1135</v>
      </c>
      <c r="B631" s="23">
        <f t="shared" si="258"/>
        <v>990</v>
      </c>
      <c r="C631" s="24" t="str">
        <f t="shared" si="259"/>
        <v>Agencia Información</v>
      </c>
      <c r="D631" s="72" t="str">
        <f t="shared" si="265"/>
        <v>Educación</v>
      </c>
      <c r="E631" s="19">
        <v>7</v>
      </c>
      <c r="F631" s="18" t="s">
        <v>1429</v>
      </c>
      <c r="G631" s="18" t="s">
        <v>4290</v>
      </c>
      <c r="H631" s="33" t="s">
        <v>16</v>
      </c>
      <c r="I631" s="34" t="s">
        <v>374</v>
      </c>
      <c r="J631" s="9" t="str">
        <f t="shared" si="269"/>
        <v>Ninguno</v>
      </c>
      <c r="K631" s="142" t="s">
        <v>1425</v>
      </c>
      <c r="L631" s="9" t="str">
        <f t="shared" si="266"/>
        <v>Periodo 2014-2019</v>
      </c>
      <c r="M631" s="9" t="str">
        <f t="shared" si="267"/>
        <v>Puntaje</v>
      </c>
      <c r="N631" s="9" t="str">
        <f t="shared" si="268"/>
        <v>Agencia de Calidad de la Educación</v>
      </c>
      <c r="O631" s="20" t="str">
        <f>+"Evolución del Indicador de Clima de Convivencia Escolar por Dependencia de Establecimientos en la "&amp;I631&amp;", "&amp;Agencia[[#This Row],[temporalidad]]</f>
        <v>Evolución del Indicador de Clima de Convivencia Escolar por Dependencia de Establecimientos en la Región de Maule, Periodo 2014-2019</v>
      </c>
      <c r="P631" s="112" t="s">
        <v>6160</v>
      </c>
      <c r="Q631" s="11" t="str">
        <f t="shared" si="250"/>
        <v>Gráfico de Evolución</v>
      </c>
      <c r="R631" s="148" t="str">
        <f>Agencia[[#This Row],[territorio]]&amp;",calidad,puntaje,municipal,subvencionado,corporación,particular,convivencia,escolar,indicador,"&amp;Agencia[[#This Row],[coleccion]]&amp;","&amp;Agencia[[#This Row],[sector]]&amp;","&amp;Agencia[[#This Row],[tema]]&amp;","&amp;Agencia[[#This Row],[contenido]]</f>
        <v>Región de Maule,calidad,puntaje,municipal,subvencionado,corporación,particular,convivencia,escolar,indicador,Agencia Información,Educación,Indicadores de Desarrollo Personal y Social,Métricas de la Educación</v>
      </c>
      <c r="S631" s="83" t="str">
        <f>HYPERLINK("https://analytics.zoho.com/open-view/2395394000009056168?ZOHO_CRITERIA=%22Localiza%20CL%22.%22Codreg%22%3D"&amp;Agencia[[#This Row],[Filtro URL]])</f>
        <v>https://analytics.zoho.com/open-view/2395394000009056168?ZOHO_CRITERIA=%22Localiza%20CL%22.%22Codreg%22%3D7</v>
      </c>
      <c r="T631" s="108" t="str">
        <f>"100-R-"&amp;Agencia[[#This Row],[Filtro URL]]</f>
        <v>100-R-7</v>
      </c>
      <c r="U631" s="46" t="str">
        <f t="shared" si="251"/>
        <v>#1774B9</v>
      </c>
      <c r="V631" s="93" t="str">
        <f>+Agencia[[#This Row],[idcoleccion]]&amp;"-"&amp;Agencia[[#This Row],[id]]</f>
        <v>990-0620</v>
      </c>
      <c r="W631" s="93">
        <f>+VLOOKUP(Agencia[[#This Row],[Filtro URL]],Estructura!$X$4:$Y$500,2,0)</f>
        <v>99200007</v>
      </c>
      <c r="X631" s="93" t="str">
        <f>+VLOOKUP(Agencia[[#This Row],[tema]],Estructura!$A$4:$C$500,3,0)</f>
        <v>T-991</v>
      </c>
      <c r="Y631" s="93" t="str">
        <f>+VLOOKUP(Agencia[[#This Row],[contenido]],Estructura!$E$4:$G$500,3,0)</f>
        <v>C-1018</v>
      </c>
      <c r="Z631" s="93" t="str">
        <f>+VLOOKUP(Agencia[[#This Row],[Filtro Integrado]],Estructura!$I$4:$K$500,3,0)</f>
        <v>FI-993</v>
      </c>
      <c r="AA631" s="93" t="str">
        <f>+VLOOKUP(Agencia[[#This Row],[Muestra]],Estructura!$M$4:$O$500,3,0)</f>
        <v>M-1063</v>
      </c>
    </row>
    <row r="632" spans="1:27" ht="71.400000000000006" x14ac:dyDescent="0.3">
      <c r="A632" s="21" t="s">
        <v>1136</v>
      </c>
      <c r="B632" s="23">
        <f t="shared" si="258"/>
        <v>990</v>
      </c>
      <c r="C632" s="24" t="str">
        <f t="shared" si="259"/>
        <v>Agencia Información</v>
      </c>
      <c r="D632" s="72" t="str">
        <f t="shared" si="265"/>
        <v>Educación</v>
      </c>
      <c r="E632" s="19">
        <v>8</v>
      </c>
      <c r="F632" s="18" t="s">
        <v>1429</v>
      </c>
      <c r="G632" s="18" t="s">
        <v>4290</v>
      </c>
      <c r="H632" s="33" t="s">
        <v>16</v>
      </c>
      <c r="I632" s="34" t="s">
        <v>375</v>
      </c>
      <c r="J632" s="9" t="str">
        <f t="shared" si="269"/>
        <v>Ninguno</v>
      </c>
      <c r="K632" s="142" t="s">
        <v>1425</v>
      </c>
      <c r="L632" s="9" t="str">
        <f t="shared" si="266"/>
        <v>Periodo 2014-2019</v>
      </c>
      <c r="M632" s="9" t="str">
        <f t="shared" si="267"/>
        <v>Puntaje</v>
      </c>
      <c r="N632" s="9" t="str">
        <f t="shared" si="268"/>
        <v>Agencia de Calidad de la Educación</v>
      </c>
      <c r="O632" s="20" t="str">
        <f>+"Evolución del Indicador de Clima de Convivencia Escolar por Dependencia de Establecimientos en la "&amp;I632&amp;", "&amp;Agencia[[#This Row],[temporalidad]]</f>
        <v>Evolución del Indicador de Clima de Convivencia Escolar por Dependencia de Establecimientos en la Región del Biobío, Periodo 2014-2019</v>
      </c>
      <c r="P632" s="112" t="s">
        <v>6309</v>
      </c>
      <c r="Q632" s="11" t="str">
        <f t="shared" si="250"/>
        <v>Gráfico de Evolución</v>
      </c>
      <c r="R632" s="148" t="str">
        <f>Agencia[[#This Row],[territorio]]&amp;",calidad,puntaje,municipal,subvencionado,corporación,particular,convivencia,escolar,indicador,"&amp;Agencia[[#This Row],[coleccion]]&amp;","&amp;Agencia[[#This Row],[sector]]&amp;","&amp;Agencia[[#This Row],[tema]]&amp;","&amp;Agencia[[#This Row],[contenido]]</f>
        <v>Región del Biobío,calidad,puntaje,municipal,subvencionado,corporación,particular,convivencia,escolar,indicador,Agencia Información,Educación,Indicadores de Desarrollo Personal y Social,Métricas de la Educación</v>
      </c>
      <c r="S632" s="83" t="str">
        <f>HYPERLINK("https://analytics.zoho.com/open-view/2395394000009056168?ZOHO_CRITERIA=%22Localiza%20CL%22.%22Codreg%22%3D"&amp;Agencia[[#This Row],[Filtro URL]])</f>
        <v>https://analytics.zoho.com/open-view/2395394000009056168?ZOHO_CRITERIA=%22Localiza%20CL%22.%22Codreg%22%3D8</v>
      </c>
      <c r="T632" s="108" t="str">
        <f>"100-R-"&amp;Agencia[[#This Row],[Filtro URL]]</f>
        <v>100-R-8</v>
      </c>
      <c r="U632" s="46" t="str">
        <f t="shared" si="251"/>
        <v>#1774B9</v>
      </c>
      <c r="V632" s="93" t="str">
        <f>+Agencia[[#This Row],[idcoleccion]]&amp;"-"&amp;Agencia[[#This Row],[id]]</f>
        <v>990-0621</v>
      </c>
      <c r="W632" s="93">
        <f>+VLOOKUP(Agencia[[#This Row],[Filtro URL]],Estructura!$X$4:$Y$500,2,0)</f>
        <v>99200008</v>
      </c>
      <c r="X632" s="93" t="str">
        <f>+VLOOKUP(Agencia[[#This Row],[tema]],Estructura!$A$4:$C$500,3,0)</f>
        <v>T-991</v>
      </c>
      <c r="Y632" s="93" t="str">
        <f>+VLOOKUP(Agencia[[#This Row],[contenido]],Estructura!$E$4:$G$500,3,0)</f>
        <v>C-1018</v>
      </c>
      <c r="Z632" s="93" t="str">
        <f>+VLOOKUP(Agencia[[#This Row],[Filtro Integrado]],Estructura!$I$4:$K$500,3,0)</f>
        <v>FI-993</v>
      </c>
      <c r="AA632" s="93" t="str">
        <f>+VLOOKUP(Agencia[[#This Row],[Muestra]],Estructura!$M$4:$O$500,3,0)</f>
        <v>M-1063</v>
      </c>
    </row>
    <row r="633" spans="1:27" ht="71.400000000000006" x14ac:dyDescent="0.3">
      <c r="A633" s="21" t="s">
        <v>1137</v>
      </c>
      <c r="B633" s="23">
        <f t="shared" si="258"/>
        <v>990</v>
      </c>
      <c r="C633" s="24" t="str">
        <f t="shared" si="259"/>
        <v>Agencia Información</v>
      </c>
      <c r="D633" s="72" t="str">
        <f t="shared" si="265"/>
        <v>Educación</v>
      </c>
      <c r="E633" s="19">
        <v>9</v>
      </c>
      <c r="F633" s="18" t="s">
        <v>1429</v>
      </c>
      <c r="G633" s="18" t="s">
        <v>4290</v>
      </c>
      <c r="H633" s="33" t="s">
        <v>16</v>
      </c>
      <c r="I633" s="34" t="s">
        <v>376</v>
      </c>
      <c r="J633" s="9" t="str">
        <f t="shared" si="269"/>
        <v>Ninguno</v>
      </c>
      <c r="K633" s="142" t="s">
        <v>1425</v>
      </c>
      <c r="L633" s="9" t="str">
        <f t="shared" si="266"/>
        <v>Periodo 2014-2019</v>
      </c>
      <c r="M633" s="9" t="str">
        <f t="shared" si="267"/>
        <v>Puntaje</v>
      </c>
      <c r="N633" s="9" t="str">
        <f t="shared" si="268"/>
        <v>Agencia de Calidad de la Educación</v>
      </c>
      <c r="O633" s="20" t="str">
        <f>+"Evolución del Indicador de Clima de Convivencia Escolar por Dependencia de Establecimientos en la "&amp;I633&amp;", "&amp;Agencia[[#This Row],[temporalidad]]</f>
        <v>Evolución del Indicador de Clima de Convivencia Escolar por Dependencia de Establecimientos en la Región de La Araucanía, Periodo 2014-2019</v>
      </c>
      <c r="P633" s="112" t="s">
        <v>6161</v>
      </c>
      <c r="Q633" s="11" t="str">
        <f t="shared" si="250"/>
        <v>Gráfico de Evolución</v>
      </c>
      <c r="R633" s="148" t="str">
        <f>Agencia[[#This Row],[territorio]]&amp;",calidad,puntaje,municipal,subvencionado,corporación,particular,convivencia,escolar,indicador,"&amp;Agencia[[#This Row],[coleccion]]&amp;","&amp;Agencia[[#This Row],[sector]]&amp;","&amp;Agencia[[#This Row],[tema]]&amp;","&amp;Agencia[[#This Row],[contenido]]</f>
        <v>Región de La Araucanía,calidad,puntaje,municipal,subvencionado,corporación,particular,convivencia,escolar,indicador,Agencia Información,Educación,Indicadores de Desarrollo Personal y Social,Métricas de la Educación</v>
      </c>
      <c r="S633" s="83" t="str">
        <f>HYPERLINK("https://analytics.zoho.com/open-view/2395394000009056168?ZOHO_CRITERIA=%22Localiza%20CL%22.%22Codreg%22%3D"&amp;Agencia[[#This Row],[Filtro URL]])</f>
        <v>https://analytics.zoho.com/open-view/2395394000009056168?ZOHO_CRITERIA=%22Localiza%20CL%22.%22Codreg%22%3D9</v>
      </c>
      <c r="T633" s="108" t="str">
        <f>"100-R-"&amp;Agencia[[#This Row],[Filtro URL]]</f>
        <v>100-R-9</v>
      </c>
      <c r="U633" s="46" t="str">
        <f t="shared" si="251"/>
        <v>#1774B9</v>
      </c>
      <c r="V633" s="93" t="str">
        <f>+Agencia[[#This Row],[idcoleccion]]&amp;"-"&amp;Agencia[[#This Row],[id]]</f>
        <v>990-0622</v>
      </c>
      <c r="W633" s="93">
        <f>+VLOOKUP(Agencia[[#This Row],[Filtro URL]],Estructura!$X$4:$Y$500,2,0)</f>
        <v>99200009</v>
      </c>
      <c r="X633" s="93" t="str">
        <f>+VLOOKUP(Agencia[[#This Row],[tema]],Estructura!$A$4:$C$500,3,0)</f>
        <v>T-991</v>
      </c>
      <c r="Y633" s="93" t="str">
        <f>+VLOOKUP(Agencia[[#This Row],[contenido]],Estructura!$E$4:$G$500,3,0)</f>
        <v>C-1018</v>
      </c>
      <c r="Z633" s="93" t="str">
        <f>+VLOOKUP(Agencia[[#This Row],[Filtro Integrado]],Estructura!$I$4:$K$500,3,0)</f>
        <v>FI-993</v>
      </c>
      <c r="AA633" s="93" t="str">
        <f>+VLOOKUP(Agencia[[#This Row],[Muestra]],Estructura!$M$4:$O$500,3,0)</f>
        <v>M-1063</v>
      </c>
    </row>
    <row r="634" spans="1:27" ht="71.400000000000006" x14ac:dyDescent="0.3">
      <c r="A634" s="21" t="s">
        <v>1138</v>
      </c>
      <c r="B634" s="23">
        <f t="shared" si="258"/>
        <v>990</v>
      </c>
      <c r="C634" s="24" t="str">
        <f t="shared" si="259"/>
        <v>Agencia Información</v>
      </c>
      <c r="D634" s="72" t="str">
        <f t="shared" si="265"/>
        <v>Educación</v>
      </c>
      <c r="E634" s="19">
        <v>10</v>
      </c>
      <c r="F634" s="18" t="s">
        <v>1429</v>
      </c>
      <c r="G634" s="18" t="s">
        <v>4290</v>
      </c>
      <c r="H634" s="33" t="s">
        <v>16</v>
      </c>
      <c r="I634" s="34" t="s">
        <v>377</v>
      </c>
      <c r="J634" s="9" t="str">
        <f t="shared" si="269"/>
        <v>Ninguno</v>
      </c>
      <c r="K634" s="142" t="s">
        <v>1425</v>
      </c>
      <c r="L634" s="9" t="str">
        <f t="shared" si="266"/>
        <v>Periodo 2014-2019</v>
      </c>
      <c r="M634" s="9" t="str">
        <f t="shared" si="267"/>
        <v>Puntaje</v>
      </c>
      <c r="N634" s="9" t="str">
        <f t="shared" si="268"/>
        <v>Agencia de Calidad de la Educación</v>
      </c>
      <c r="O634" s="20" t="str">
        <f>+"Evolución del Indicador de Clima de Convivencia Escolar por Dependencia de Establecimientos en la "&amp;I634&amp;", "&amp;Agencia[[#This Row],[temporalidad]]</f>
        <v>Evolución del Indicador de Clima de Convivencia Escolar por Dependencia de Establecimientos en la Región de Los Lagos, Periodo 2014-2019</v>
      </c>
      <c r="P634" s="112" t="s">
        <v>6310</v>
      </c>
      <c r="Q634" s="11" t="str">
        <f t="shared" si="250"/>
        <v>Gráfico de Evolución</v>
      </c>
      <c r="R634" s="148" t="str">
        <f>Agencia[[#This Row],[territorio]]&amp;",calidad,puntaje,municipal,subvencionado,corporación,particular,convivencia,escolar,indicador,"&amp;Agencia[[#This Row],[coleccion]]&amp;","&amp;Agencia[[#This Row],[sector]]&amp;","&amp;Agencia[[#This Row],[tema]]&amp;","&amp;Agencia[[#This Row],[contenido]]</f>
        <v>Región de Los Lagos,calidad,puntaje,municipal,subvencionado,corporación,particular,convivencia,escolar,indicador,Agencia Información,Educación,Indicadores de Desarrollo Personal y Social,Métricas de la Educación</v>
      </c>
      <c r="S634" s="83" t="str">
        <f>HYPERLINK("https://analytics.zoho.com/open-view/2395394000009056168?ZOHO_CRITERIA=%22Localiza%20CL%22.%22Codreg%22%3D"&amp;Agencia[[#This Row],[Filtro URL]])</f>
        <v>https://analytics.zoho.com/open-view/2395394000009056168?ZOHO_CRITERIA=%22Localiza%20CL%22.%22Codreg%22%3D10</v>
      </c>
      <c r="T634" s="108" t="str">
        <f>"100-R-"&amp;Agencia[[#This Row],[Filtro URL]]</f>
        <v>100-R-10</v>
      </c>
      <c r="U634" s="46" t="str">
        <f t="shared" si="251"/>
        <v>#1774B9</v>
      </c>
      <c r="V634" s="93" t="str">
        <f>+Agencia[[#This Row],[idcoleccion]]&amp;"-"&amp;Agencia[[#This Row],[id]]</f>
        <v>990-0623</v>
      </c>
      <c r="W634" s="93">
        <f>+VLOOKUP(Agencia[[#This Row],[Filtro URL]],Estructura!$X$4:$Y$500,2,0)</f>
        <v>99200010</v>
      </c>
      <c r="X634" s="93" t="str">
        <f>+VLOOKUP(Agencia[[#This Row],[tema]],Estructura!$A$4:$C$500,3,0)</f>
        <v>T-991</v>
      </c>
      <c r="Y634" s="93" t="str">
        <f>+VLOOKUP(Agencia[[#This Row],[contenido]],Estructura!$E$4:$G$500,3,0)</f>
        <v>C-1018</v>
      </c>
      <c r="Z634" s="93" t="str">
        <f>+VLOOKUP(Agencia[[#This Row],[Filtro Integrado]],Estructura!$I$4:$K$500,3,0)</f>
        <v>FI-993</v>
      </c>
      <c r="AA634" s="93" t="str">
        <f>+VLOOKUP(Agencia[[#This Row],[Muestra]],Estructura!$M$4:$O$500,3,0)</f>
        <v>M-1063</v>
      </c>
    </row>
    <row r="635" spans="1:27" ht="71.400000000000006" x14ac:dyDescent="0.3">
      <c r="A635" s="21" t="s">
        <v>1139</v>
      </c>
      <c r="B635" s="23">
        <f t="shared" si="258"/>
        <v>990</v>
      </c>
      <c r="C635" s="24" t="str">
        <f t="shared" si="259"/>
        <v>Agencia Información</v>
      </c>
      <c r="D635" s="72" t="str">
        <f t="shared" si="265"/>
        <v>Educación</v>
      </c>
      <c r="E635" s="19">
        <v>11</v>
      </c>
      <c r="F635" s="18" t="s">
        <v>1429</v>
      </c>
      <c r="G635" s="18" t="s">
        <v>4290</v>
      </c>
      <c r="H635" s="33" t="s">
        <v>16</v>
      </c>
      <c r="I635" s="34" t="s">
        <v>378</v>
      </c>
      <c r="J635" s="9" t="str">
        <f t="shared" si="269"/>
        <v>Ninguno</v>
      </c>
      <c r="K635" s="142" t="s">
        <v>1425</v>
      </c>
      <c r="L635" s="9" t="str">
        <f t="shared" si="266"/>
        <v>Periodo 2014-2019</v>
      </c>
      <c r="M635" s="9" t="str">
        <f t="shared" si="267"/>
        <v>Puntaje</v>
      </c>
      <c r="N635" s="9" t="str">
        <f t="shared" si="268"/>
        <v>Agencia de Calidad de la Educación</v>
      </c>
      <c r="O635" s="20" t="str">
        <f>+"Evolución del Indicador de Clima de Convivencia Escolar por Dependencia de Establecimientos en la "&amp;I635&amp;", "&amp;Agencia[[#This Row],[temporalidad]]</f>
        <v>Evolución del Indicador de Clima de Convivencia Escolar por Dependencia de Establecimientos en la Región de Aysén, Periodo 2014-2019</v>
      </c>
      <c r="P635" s="112" t="s">
        <v>6311</v>
      </c>
      <c r="Q635" s="11" t="str">
        <f t="shared" si="250"/>
        <v>Gráfico de Evolución</v>
      </c>
      <c r="R635" s="148" t="str">
        <f>Agencia[[#This Row],[territorio]]&amp;",calidad,puntaje,municipal,subvencionado,corporación,particular,convivencia,escolar,indicador,"&amp;Agencia[[#This Row],[coleccion]]&amp;","&amp;Agencia[[#This Row],[sector]]&amp;","&amp;Agencia[[#This Row],[tema]]&amp;","&amp;Agencia[[#This Row],[contenido]]</f>
        <v>Región de Aysén,calidad,puntaje,municipal,subvencionado,corporación,particular,convivencia,escolar,indicador,Agencia Información,Educación,Indicadores de Desarrollo Personal y Social,Métricas de la Educación</v>
      </c>
      <c r="S635" s="83" t="str">
        <f>HYPERLINK("https://analytics.zoho.com/open-view/2395394000009056168?ZOHO_CRITERIA=%22Localiza%20CL%22.%22Codreg%22%3D"&amp;Agencia[[#This Row],[Filtro URL]])</f>
        <v>https://analytics.zoho.com/open-view/2395394000009056168?ZOHO_CRITERIA=%22Localiza%20CL%22.%22Codreg%22%3D11</v>
      </c>
      <c r="T635" s="108" t="str">
        <f>"100-R-"&amp;Agencia[[#This Row],[Filtro URL]]</f>
        <v>100-R-11</v>
      </c>
      <c r="U635" s="46" t="str">
        <f t="shared" si="251"/>
        <v>#1774B9</v>
      </c>
      <c r="V635" s="93" t="str">
        <f>+Agencia[[#This Row],[idcoleccion]]&amp;"-"&amp;Agencia[[#This Row],[id]]</f>
        <v>990-0624</v>
      </c>
      <c r="W635" s="93">
        <f>+VLOOKUP(Agencia[[#This Row],[Filtro URL]],Estructura!$X$4:$Y$500,2,0)</f>
        <v>99200011</v>
      </c>
      <c r="X635" s="93" t="str">
        <f>+VLOOKUP(Agencia[[#This Row],[tema]],Estructura!$A$4:$C$500,3,0)</f>
        <v>T-991</v>
      </c>
      <c r="Y635" s="93" t="str">
        <f>+VLOOKUP(Agencia[[#This Row],[contenido]],Estructura!$E$4:$G$500,3,0)</f>
        <v>C-1018</v>
      </c>
      <c r="Z635" s="93" t="str">
        <f>+VLOOKUP(Agencia[[#This Row],[Filtro Integrado]],Estructura!$I$4:$K$500,3,0)</f>
        <v>FI-993</v>
      </c>
      <c r="AA635" s="93" t="str">
        <f>+VLOOKUP(Agencia[[#This Row],[Muestra]],Estructura!$M$4:$O$500,3,0)</f>
        <v>M-1063</v>
      </c>
    </row>
    <row r="636" spans="1:27" ht="71.400000000000006" x14ac:dyDescent="0.3">
      <c r="A636" s="21" t="s">
        <v>1140</v>
      </c>
      <c r="B636" s="23">
        <f t="shared" si="258"/>
        <v>990</v>
      </c>
      <c r="C636" s="24" t="str">
        <f t="shared" si="259"/>
        <v>Agencia Información</v>
      </c>
      <c r="D636" s="72" t="str">
        <f t="shared" si="265"/>
        <v>Educación</v>
      </c>
      <c r="E636" s="19">
        <v>12</v>
      </c>
      <c r="F636" s="18" t="s">
        <v>1429</v>
      </c>
      <c r="G636" s="18" t="s">
        <v>4290</v>
      </c>
      <c r="H636" s="33" t="s">
        <v>16</v>
      </c>
      <c r="I636" s="34" t="s">
        <v>379</v>
      </c>
      <c r="J636" s="9" t="str">
        <f t="shared" si="269"/>
        <v>Ninguno</v>
      </c>
      <c r="K636" s="142" t="s">
        <v>1425</v>
      </c>
      <c r="L636" s="9" t="str">
        <f t="shared" si="266"/>
        <v>Periodo 2014-2019</v>
      </c>
      <c r="M636" s="9" t="str">
        <f t="shared" si="267"/>
        <v>Puntaje</v>
      </c>
      <c r="N636" s="9" t="str">
        <f t="shared" si="268"/>
        <v>Agencia de Calidad de la Educación</v>
      </c>
      <c r="O636" s="20" t="str">
        <f>+"Evolución del Indicador de Clima de Convivencia Escolar por Dependencia de Establecimientos en la "&amp;I636&amp;", "&amp;Agencia[[#This Row],[temporalidad]]</f>
        <v>Evolución del Indicador de Clima de Convivencia Escolar por Dependencia de Establecimientos en la Región de Magallanes, Periodo 2014-2019</v>
      </c>
      <c r="P636" s="112" t="s">
        <v>6162</v>
      </c>
      <c r="Q636" s="11" t="str">
        <f t="shared" si="250"/>
        <v>Gráfico de Evolución</v>
      </c>
      <c r="R636" s="148" t="str">
        <f>Agencia[[#This Row],[territorio]]&amp;",calidad,puntaje,municipal,subvencionado,corporación,particular,convivencia,escolar,indicador,"&amp;Agencia[[#This Row],[coleccion]]&amp;","&amp;Agencia[[#This Row],[sector]]&amp;","&amp;Agencia[[#This Row],[tema]]&amp;","&amp;Agencia[[#This Row],[contenido]]</f>
        <v>Región de Magallanes,calidad,puntaje,municipal,subvencionado,corporación,particular,convivencia,escolar,indicador,Agencia Información,Educación,Indicadores de Desarrollo Personal y Social,Métricas de la Educación</v>
      </c>
      <c r="S636" s="83" t="str">
        <f>HYPERLINK("https://analytics.zoho.com/open-view/2395394000009056168?ZOHO_CRITERIA=%22Localiza%20CL%22.%22Codreg%22%3D"&amp;Agencia[[#This Row],[Filtro URL]])</f>
        <v>https://analytics.zoho.com/open-view/2395394000009056168?ZOHO_CRITERIA=%22Localiza%20CL%22.%22Codreg%22%3D12</v>
      </c>
      <c r="T636" s="108" t="str">
        <f>"100-R-"&amp;Agencia[[#This Row],[Filtro URL]]</f>
        <v>100-R-12</v>
      </c>
      <c r="U636" s="46" t="str">
        <f t="shared" si="251"/>
        <v>#1774B9</v>
      </c>
      <c r="V636" s="93" t="str">
        <f>+Agencia[[#This Row],[idcoleccion]]&amp;"-"&amp;Agencia[[#This Row],[id]]</f>
        <v>990-0625</v>
      </c>
      <c r="W636" s="93">
        <f>+VLOOKUP(Agencia[[#This Row],[Filtro URL]],Estructura!$X$4:$Y$500,2,0)</f>
        <v>99200012</v>
      </c>
      <c r="X636" s="93" t="str">
        <f>+VLOOKUP(Agencia[[#This Row],[tema]],Estructura!$A$4:$C$500,3,0)</f>
        <v>T-991</v>
      </c>
      <c r="Y636" s="93" t="str">
        <f>+VLOOKUP(Agencia[[#This Row],[contenido]],Estructura!$E$4:$G$500,3,0)</f>
        <v>C-1018</v>
      </c>
      <c r="Z636" s="93" t="str">
        <f>+VLOOKUP(Agencia[[#This Row],[Filtro Integrado]],Estructura!$I$4:$K$500,3,0)</f>
        <v>FI-993</v>
      </c>
      <c r="AA636" s="93" t="str">
        <f>+VLOOKUP(Agencia[[#This Row],[Muestra]],Estructura!$M$4:$O$500,3,0)</f>
        <v>M-1063</v>
      </c>
    </row>
    <row r="637" spans="1:27" ht="71.400000000000006" x14ac:dyDescent="0.3">
      <c r="A637" s="21" t="s">
        <v>1141</v>
      </c>
      <c r="B637" s="23">
        <f t="shared" si="258"/>
        <v>990</v>
      </c>
      <c r="C637" s="24" t="str">
        <f t="shared" si="259"/>
        <v>Agencia Información</v>
      </c>
      <c r="D637" s="72" t="str">
        <f t="shared" si="265"/>
        <v>Educación</v>
      </c>
      <c r="E637" s="19">
        <v>13</v>
      </c>
      <c r="F637" s="18" t="s">
        <v>1429</v>
      </c>
      <c r="G637" s="18" t="s">
        <v>4290</v>
      </c>
      <c r="H637" s="33" t="s">
        <v>16</v>
      </c>
      <c r="I637" s="34" t="s">
        <v>380</v>
      </c>
      <c r="J637" s="9" t="str">
        <f t="shared" si="269"/>
        <v>Ninguno</v>
      </c>
      <c r="K637" s="142" t="s">
        <v>1425</v>
      </c>
      <c r="L637" s="9" t="str">
        <f t="shared" si="266"/>
        <v>Periodo 2014-2019</v>
      </c>
      <c r="M637" s="9" t="str">
        <f t="shared" si="267"/>
        <v>Puntaje</v>
      </c>
      <c r="N637" s="9" t="str">
        <f t="shared" si="268"/>
        <v>Agencia de Calidad de la Educación</v>
      </c>
      <c r="O637" s="20" t="str">
        <f>+"Evolución del Indicador de Clima de Convivencia Escolar por Dependencia de Establecimientos en la "&amp;I637&amp;", "&amp;Agencia[[#This Row],[temporalidad]]</f>
        <v>Evolución del Indicador de Clima de Convivencia Escolar por Dependencia de Establecimientos en la Región Metropolitana, Periodo 2014-2019</v>
      </c>
      <c r="P637" s="112" t="s">
        <v>6312</v>
      </c>
      <c r="Q637" s="11" t="str">
        <f t="shared" si="250"/>
        <v>Gráfico de Evolución</v>
      </c>
      <c r="R637" s="148" t="str">
        <f>Agencia[[#This Row],[territorio]]&amp;",calidad,puntaje,municipal,subvencionado,corporación,particular,convivencia,escolar,indicador,"&amp;Agencia[[#This Row],[coleccion]]&amp;","&amp;Agencia[[#This Row],[sector]]&amp;","&amp;Agencia[[#This Row],[tema]]&amp;","&amp;Agencia[[#This Row],[contenido]]</f>
        <v>Región Metropolitana,calidad,puntaje,municipal,subvencionado,corporación,particular,convivencia,escolar,indicador,Agencia Información,Educación,Indicadores de Desarrollo Personal y Social,Métricas de la Educación</v>
      </c>
      <c r="S637" s="83" t="str">
        <f>HYPERLINK("https://analytics.zoho.com/open-view/2395394000009056168?ZOHO_CRITERIA=%22Localiza%20CL%22.%22Codreg%22%3D"&amp;Agencia[[#This Row],[Filtro URL]])</f>
        <v>https://analytics.zoho.com/open-view/2395394000009056168?ZOHO_CRITERIA=%22Localiza%20CL%22.%22Codreg%22%3D13</v>
      </c>
      <c r="T637" s="108" t="str">
        <f>"200-R-"&amp;Agencia[[#This Row],[Filtro URL]]</f>
        <v>200-R-13</v>
      </c>
      <c r="U637" s="46" t="str">
        <f t="shared" si="251"/>
        <v>#1774B9</v>
      </c>
      <c r="V637" s="93" t="str">
        <f>+Agencia[[#This Row],[idcoleccion]]&amp;"-"&amp;Agencia[[#This Row],[id]]</f>
        <v>990-0626</v>
      </c>
      <c r="W637" s="93">
        <f>+VLOOKUP(Agencia[[#This Row],[Filtro URL]],Estructura!$X$4:$Y$500,2,0)</f>
        <v>99200013</v>
      </c>
      <c r="X637" s="93" t="str">
        <f>+VLOOKUP(Agencia[[#This Row],[tema]],Estructura!$A$4:$C$500,3,0)</f>
        <v>T-991</v>
      </c>
      <c r="Y637" s="93" t="str">
        <f>+VLOOKUP(Agencia[[#This Row],[contenido]],Estructura!$E$4:$G$500,3,0)</f>
        <v>C-1018</v>
      </c>
      <c r="Z637" s="93" t="str">
        <f>+VLOOKUP(Agencia[[#This Row],[Filtro Integrado]],Estructura!$I$4:$K$500,3,0)</f>
        <v>FI-993</v>
      </c>
      <c r="AA637" s="93" t="str">
        <f>+VLOOKUP(Agencia[[#This Row],[Muestra]],Estructura!$M$4:$O$500,3,0)</f>
        <v>M-1063</v>
      </c>
    </row>
    <row r="638" spans="1:27" ht="71.400000000000006" x14ac:dyDescent="0.3">
      <c r="A638" s="21" t="s">
        <v>1142</v>
      </c>
      <c r="B638" s="23">
        <f t="shared" si="258"/>
        <v>990</v>
      </c>
      <c r="C638" s="24" t="str">
        <f t="shared" si="259"/>
        <v>Agencia Información</v>
      </c>
      <c r="D638" s="72" t="str">
        <f t="shared" si="265"/>
        <v>Educación</v>
      </c>
      <c r="E638" s="19">
        <v>14</v>
      </c>
      <c r="F638" s="18" t="s">
        <v>1429</v>
      </c>
      <c r="G638" s="18" t="s">
        <v>4290</v>
      </c>
      <c r="H638" s="33" t="s">
        <v>16</v>
      </c>
      <c r="I638" s="34" t="s">
        <v>381</v>
      </c>
      <c r="J638" s="9" t="str">
        <f t="shared" si="269"/>
        <v>Ninguno</v>
      </c>
      <c r="K638" s="142" t="s">
        <v>1425</v>
      </c>
      <c r="L638" s="9" t="str">
        <f t="shared" si="266"/>
        <v>Periodo 2014-2019</v>
      </c>
      <c r="M638" s="9" t="str">
        <f t="shared" si="267"/>
        <v>Puntaje</v>
      </c>
      <c r="N638" s="9" t="str">
        <f t="shared" si="268"/>
        <v>Agencia de Calidad de la Educación</v>
      </c>
      <c r="O638" s="20" t="str">
        <f>+"Evolución del Indicador de Clima de Convivencia Escolar por Dependencia de Establecimientos en la "&amp;I638&amp;", "&amp;Agencia[[#This Row],[temporalidad]]</f>
        <v>Evolución del Indicador de Clima de Convivencia Escolar por Dependencia de Establecimientos en la Región de Los Ríos, Periodo 2014-2019</v>
      </c>
      <c r="P638" s="112" t="s">
        <v>6313</v>
      </c>
      <c r="Q638" s="11" t="str">
        <f t="shared" ref="Q638:Q701" si="270">+Q637</f>
        <v>Gráfico de Evolución</v>
      </c>
      <c r="R638" s="148" t="str">
        <f>Agencia[[#This Row],[territorio]]&amp;",calidad,puntaje,municipal,subvencionado,corporación,particular,convivencia,escolar,indicador,"&amp;Agencia[[#This Row],[coleccion]]&amp;","&amp;Agencia[[#This Row],[sector]]&amp;","&amp;Agencia[[#This Row],[tema]]&amp;","&amp;Agencia[[#This Row],[contenido]]</f>
        <v>Región de Los Ríos,calidad,puntaje,municipal,subvencionado,corporación,particular,convivencia,escolar,indicador,Agencia Información,Educación,Indicadores de Desarrollo Personal y Social,Métricas de la Educación</v>
      </c>
      <c r="S638" s="83" t="str">
        <f>HYPERLINK("https://analytics.zoho.com/open-view/2395394000009056168?ZOHO_CRITERIA=%22Localiza%20CL%22.%22Codreg%22%3D"&amp;Agencia[[#This Row],[Filtro URL]])</f>
        <v>https://analytics.zoho.com/open-view/2395394000009056168?ZOHO_CRITERIA=%22Localiza%20CL%22.%22Codreg%22%3D14</v>
      </c>
      <c r="T638" s="108" t="str">
        <f>"100-R-"&amp;Agencia[[#This Row],[Filtro URL]]</f>
        <v>100-R-14</v>
      </c>
      <c r="U638" s="46" t="str">
        <f t="shared" ref="U638:U701" si="271">+U637</f>
        <v>#1774B9</v>
      </c>
      <c r="V638" s="93" t="str">
        <f>+Agencia[[#This Row],[idcoleccion]]&amp;"-"&amp;Agencia[[#This Row],[id]]</f>
        <v>990-0627</v>
      </c>
      <c r="W638" s="93">
        <f>+VLOOKUP(Agencia[[#This Row],[Filtro URL]],Estructura!$X$4:$Y$500,2,0)</f>
        <v>99200014</v>
      </c>
      <c r="X638" s="93" t="str">
        <f>+VLOOKUP(Agencia[[#This Row],[tema]],Estructura!$A$4:$C$500,3,0)</f>
        <v>T-991</v>
      </c>
      <c r="Y638" s="93" t="str">
        <f>+VLOOKUP(Agencia[[#This Row],[contenido]],Estructura!$E$4:$G$500,3,0)</f>
        <v>C-1018</v>
      </c>
      <c r="Z638" s="93" t="str">
        <f>+VLOOKUP(Agencia[[#This Row],[Filtro Integrado]],Estructura!$I$4:$K$500,3,0)</f>
        <v>FI-993</v>
      </c>
      <c r="AA638" s="93" t="str">
        <f>+VLOOKUP(Agencia[[#This Row],[Muestra]],Estructura!$M$4:$O$500,3,0)</f>
        <v>M-1063</v>
      </c>
    </row>
    <row r="639" spans="1:27" ht="71.400000000000006" x14ac:dyDescent="0.3">
      <c r="A639" s="21" t="s">
        <v>1143</v>
      </c>
      <c r="B639" s="23">
        <f t="shared" si="258"/>
        <v>990</v>
      </c>
      <c r="C639" s="24" t="str">
        <f t="shared" si="259"/>
        <v>Agencia Información</v>
      </c>
      <c r="D639" s="72" t="str">
        <f t="shared" si="265"/>
        <v>Educación</v>
      </c>
      <c r="E639" s="19">
        <v>15</v>
      </c>
      <c r="F639" s="18" t="s">
        <v>1429</v>
      </c>
      <c r="G639" s="18" t="s">
        <v>4290</v>
      </c>
      <c r="H639" s="33" t="s">
        <v>16</v>
      </c>
      <c r="I639" s="34" t="s">
        <v>382</v>
      </c>
      <c r="J639" s="9" t="str">
        <f t="shared" si="269"/>
        <v>Ninguno</v>
      </c>
      <c r="K639" s="142" t="s">
        <v>1425</v>
      </c>
      <c r="L639" s="9" t="str">
        <f t="shared" si="266"/>
        <v>Periodo 2014-2019</v>
      </c>
      <c r="M639" s="9" t="str">
        <f t="shared" si="267"/>
        <v>Puntaje</v>
      </c>
      <c r="N639" s="9" t="str">
        <f t="shared" si="268"/>
        <v>Agencia de Calidad de la Educación</v>
      </c>
      <c r="O639" s="20" t="str">
        <f>+"Evolución del Indicador de Clima de Convivencia Escolar por Dependencia de Establecimientos en la "&amp;I639&amp;", "&amp;Agencia[[#This Row],[temporalidad]]</f>
        <v>Evolución del Indicador de Clima de Convivencia Escolar por Dependencia de Establecimientos en la Región de Arica y Parinacota, Periodo 2014-2019</v>
      </c>
      <c r="P639" s="112" t="s">
        <v>6163</v>
      </c>
      <c r="Q639" s="11" t="str">
        <f t="shared" si="270"/>
        <v>Gráfico de Evolución</v>
      </c>
      <c r="R639" s="148" t="str">
        <f>Agencia[[#This Row],[territorio]]&amp;",calidad,puntaje,municipal,subvencionado,corporación,particular,convivencia,escolar,indicador,"&amp;Agencia[[#This Row],[coleccion]]&amp;","&amp;Agencia[[#This Row],[sector]]&amp;","&amp;Agencia[[#This Row],[tema]]&amp;","&amp;Agencia[[#This Row],[contenido]]</f>
        <v>Región de Arica y Parinacota,calidad,puntaje,municipal,subvencionado,corporación,particular,convivencia,escolar,indicador,Agencia Información,Educación,Indicadores de Desarrollo Personal y Social,Métricas de la Educación</v>
      </c>
      <c r="S639" s="83" t="str">
        <f>HYPERLINK("https://analytics.zoho.com/open-view/2395394000009056168?ZOHO_CRITERIA=%22Localiza%20CL%22.%22Codreg%22%3D"&amp;Agencia[[#This Row],[Filtro URL]])</f>
        <v>https://analytics.zoho.com/open-view/2395394000009056168?ZOHO_CRITERIA=%22Localiza%20CL%22.%22Codreg%22%3D15</v>
      </c>
      <c r="T639" s="108" t="str">
        <f>"100-R-"&amp;Agencia[[#This Row],[Filtro URL]]</f>
        <v>100-R-15</v>
      </c>
      <c r="U639" s="46" t="str">
        <f t="shared" si="271"/>
        <v>#1774B9</v>
      </c>
      <c r="V639" s="93" t="str">
        <f>+Agencia[[#This Row],[idcoleccion]]&amp;"-"&amp;Agencia[[#This Row],[id]]</f>
        <v>990-0628</v>
      </c>
      <c r="W639" s="93">
        <f>+VLOOKUP(Agencia[[#This Row],[Filtro URL]],Estructura!$X$4:$Y$500,2,0)</f>
        <v>99200015</v>
      </c>
      <c r="X639" s="93" t="str">
        <f>+VLOOKUP(Agencia[[#This Row],[tema]],Estructura!$A$4:$C$500,3,0)</f>
        <v>T-991</v>
      </c>
      <c r="Y639" s="93" t="str">
        <f>+VLOOKUP(Agencia[[#This Row],[contenido]],Estructura!$E$4:$G$500,3,0)</f>
        <v>C-1018</v>
      </c>
      <c r="Z639" s="93" t="str">
        <f>+VLOOKUP(Agencia[[#This Row],[Filtro Integrado]],Estructura!$I$4:$K$500,3,0)</f>
        <v>FI-993</v>
      </c>
      <c r="AA639" s="93" t="str">
        <f>+VLOOKUP(Agencia[[#This Row],[Muestra]],Estructura!$M$4:$O$500,3,0)</f>
        <v>M-1063</v>
      </c>
    </row>
    <row r="640" spans="1:27" ht="71.400000000000006" x14ac:dyDescent="0.3">
      <c r="A640" s="21" t="s">
        <v>1144</v>
      </c>
      <c r="B640" s="23">
        <f t="shared" si="258"/>
        <v>990</v>
      </c>
      <c r="C640" s="24" t="str">
        <f t="shared" si="259"/>
        <v>Agencia Información</v>
      </c>
      <c r="D640" s="72" t="str">
        <f t="shared" si="265"/>
        <v>Educación</v>
      </c>
      <c r="E640" s="19">
        <v>16</v>
      </c>
      <c r="F640" s="18" t="s">
        <v>1429</v>
      </c>
      <c r="G640" s="18" t="s">
        <v>4290</v>
      </c>
      <c r="H640" s="33" t="s">
        <v>16</v>
      </c>
      <c r="I640" s="34" t="s">
        <v>383</v>
      </c>
      <c r="J640" s="9" t="str">
        <f t="shared" si="269"/>
        <v>Ninguno</v>
      </c>
      <c r="K640" s="142" t="s">
        <v>1425</v>
      </c>
      <c r="L640" s="9" t="str">
        <f t="shared" si="266"/>
        <v>Periodo 2014-2019</v>
      </c>
      <c r="M640" s="9" t="str">
        <f t="shared" si="267"/>
        <v>Puntaje</v>
      </c>
      <c r="N640" s="9" t="str">
        <f t="shared" si="268"/>
        <v>Agencia de Calidad de la Educación</v>
      </c>
      <c r="O640" s="20" t="str">
        <f>+"Evolución del Indicador de Clima de Convivencia Escolar por Dependencia de Establecimientos en la "&amp;I640&amp;", "&amp;Agencia[[#This Row],[temporalidad]]</f>
        <v>Evolución del Indicador de Clima de Convivencia Escolar por Dependencia de Establecimientos en la Región de Ñuble, Periodo 2014-2019</v>
      </c>
      <c r="P640" s="112" t="s">
        <v>6314</v>
      </c>
      <c r="Q640" s="11" t="str">
        <f t="shared" si="270"/>
        <v>Gráfico de Evolución</v>
      </c>
      <c r="R640" s="148" t="str">
        <f>Agencia[[#This Row],[territorio]]&amp;",calidad,puntaje,municipal,subvencionado,corporación,particular,convivencia,escolar,indicador,"&amp;Agencia[[#This Row],[coleccion]]&amp;","&amp;Agencia[[#This Row],[sector]]&amp;","&amp;Agencia[[#This Row],[tema]]&amp;","&amp;Agencia[[#This Row],[contenido]]</f>
        <v>Región de Ñuble,calidad,puntaje,municipal,subvencionado,corporación,particular,convivencia,escolar,indicador,Agencia Información,Educación,Indicadores de Desarrollo Personal y Social,Métricas de la Educación</v>
      </c>
      <c r="S640" s="83" t="str">
        <f>HYPERLINK("https://analytics.zoho.com/open-view/2395394000009056168?ZOHO_CRITERIA=%22Localiza%20CL%22.%22Codreg%22%3D"&amp;Agencia[[#This Row],[Filtro URL]])</f>
        <v>https://analytics.zoho.com/open-view/2395394000009056168?ZOHO_CRITERIA=%22Localiza%20CL%22.%22Codreg%22%3D16</v>
      </c>
      <c r="T640" s="108" t="str">
        <f>"100-R-"&amp;Agencia[[#This Row],[Filtro URL]]</f>
        <v>100-R-16</v>
      </c>
      <c r="U640" s="46" t="str">
        <f t="shared" si="271"/>
        <v>#1774B9</v>
      </c>
      <c r="V640" s="93" t="str">
        <f>+Agencia[[#This Row],[idcoleccion]]&amp;"-"&amp;Agencia[[#This Row],[id]]</f>
        <v>990-0629</v>
      </c>
      <c r="W640" s="93">
        <f>+VLOOKUP(Agencia[[#This Row],[Filtro URL]],Estructura!$X$4:$Y$500,2,0)</f>
        <v>99200016</v>
      </c>
      <c r="X640" s="93" t="str">
        <f>+VLOOKUP(Agencia[[#This Row],[tema]],Estructura!$A$4:$C$500,3,0)</f>
        <v>T-991</v>
      </c>
      <c r="Y640" s="93" t="str">
        <f>+VLOOKUP(Agencia[[#This Row],[contenido]],Estructura!$E$4:$G$500,3,0)</f>
        <v>C-1018</v>
      </c>
      <c r="Z640" s="93" t="str">
        <f>+VLOOKUP(Agencia[[#This Row],[Filtro Integrado]],Estructura!$I$4:$K$500,3,0)</f>
        <v>FI-993</v>
      </c>
      <c r="AA640" s="93" t="str">
        <f>+VLOOKUP(Agencia[[#This Row],[Muestra]],Estructura!$M$4:$O$500,3,0)</f>
        <v>M-1063</v>
      </c>
    </row>
    <row r="641" spans="1:27" ht="40.799999999999997" x14ac:dyDescent="0.3">
      <c r="A641" s="21" t="s">
        <v>1145</v>
      </c>
      <c r="B641" s="23">
        <f t="shared" si="258"/>
        <v>990</v>
      </c>
      <c r="C641" s="24" t="str">
        <f t="shared" si="259"/>
        <v>Agencia Información</v>
      </c>
      <c r="D641" s="72" t="s">
        <v>814</v>
      </c>
      <c r="E641" s="14">
        <v>0</v>
      </c>
      <c r="F641" s="18" t="s">
        <v>4289</v>
      </c>
      <c r="G641" s="18" t="s">
        <v>814</v>
      </c>
      <c r="H641" s="31" t="s">
        <v>20</v>
      </c>
      <c r="I641" s="32" t="s">
        <v>15</v>
      </c>
      <c r="J641" s="9" t="s">
        <v>403</v>
      </c>
      <c r="K641" s="9" t="s">
        <v>1460</v>
      </c>
      <c r="L641" s="9" t="s">
        <v>570</v>
      </c>
      <c r="M641" s="9" t="s">
        <v>2291</v>
      </c>
      <c r="N641" s="9" t="s">
        <v>1370</v>
      </c>
      <c r="O641" s="20" t="str">
        <f>+"Superficie de Solicitudes de Edificación Autorizadas por Categoría en "&amp;I641&amp;", "&amp;Agencia[[#This Row],[temporalidad]]</f>
        <v>Superficie de Solicitudes de Edificación Autorizadas por Categoría en Chile, Periodo 2020-2021</v>
      </c>
      <c r="P641" s="112" t="s">
        <v>1458</v>
      </c>
      <c r="Q641" s="11" t="s">
        <v>593</v>
      </c>
      <c r="R641" s="20" t="str">
        <f>Agencia[[#This Row],[territorio]]&amp;" solicitudes edificación superficie autorizadas habitacional ampliaciones obras nuevas"</f>
        <v>Chile solicitudes edificación superficie autorizadas habitacional ampliaciones obras nuevas</v>
      </c>
      <c r="S641" s="37" t="s">
        <v>1459</v>
      </c>
      <c r="T641" s="108">
        <v>0</v>
      </c>
      <c r="U641" s="46" t="str">
        <f t="shared" si="271"/>
        <v>#1774B9</v>
      </c>
      <c r="V641" s="93" t="str">
        <f>+Agencia[[#This Row],[idcoleccion]]&amp;"-"&amp;Agencia[[#This Row],[id]]</f>
        <v>990-0630</v>
      </c>
      <c r="W641" s="93">
        <f>+VLOOKUP(Agencia[[#This Row],[Filtro URL]],Estructura!$X$4:$Y$500,2,0)</f>
        <v>99100000</v>
      </c>
      <c r="X641" s="93" t="str">
        <f>+VLOOKUP(Agencia[[#This Row],[tema]],Estructura!$A$4:$C$500,3,0)</f>
        <v>T-1052</v>
      </c>
      <c r="Y641" s="93" t="str">
        <f>+VLOOKUP(Agencia[[#This Row],[contenido]],Estructura!$E$4:$G$500,3,0)</f>
        <v>C-1011</v>
      </c>
      <c r="Z641" s="93" t="str">
        <f>+VLOOKUP(Agencia[[#This Row],[Filtro Integrado]],Estructura!$I$4:$K$500,3,0)</f>
        <v>FI-993</v>
      </c>
      <c r="AA641" s="93" t="str">
        <f>+VLOOKUP(Agencia[[#This Row],[Muestra]],Estructura!$M$4:$O$500,3,0)</f>
        <v>M-1008</v>
      </c>
    </row>
    <row r="642" spans="1:27" ht="51" x14ac:dyDescent="0.3">
      <c r="A642" s="21" t="s">
        <v>1146</v>
      </c>
      <c r="B642" s="23">
        <f t="shared" si="258"/>
        <v>990</v>
      </c>
      <c r="C642" s="24" t="str">
        <f t="shared" si="259"/>
        <v>Agencia Información</v>
      </c>
      <c r="D642" s="72" t="s">
        <v>823</v>
      </c>
      <c r="E642" s="14">
        <v>0</v>
      </c>
      <c r="F642" s="18" t="s">
        <v>1462</v>
      </c>
      <c r="G642" s="18" t="s">
        <v>1470</v>
      </c>
      <c r="H642" s="31" t="s">
        <v>20</v>
      </c>
      <c r="I642" s="32" t="s">
        <v>15</v>
      </c>
      <c r="J642" s="9" t="s">
        <v>16</v>
      </c>
      <c r="K642" s="9" t="s">
        <v>9266</v>
      </c>
      <c r="L642" s="9" t="s">
        <v>827</v>
      </c>
      <c r="M642" s="9" t="s">
        <v>1392</v>
      </c>
      <c r="N642" s="9" t="s">
        <v>826</v>
      </c>
      <c r="O642" s="20" t="str">
        <f>+"Número trabajadores dependientes informados por género según tamaño de empresa en "&amp;I642&amp;", "&amp;Agencia[[#This Row],[temporalidad]]</f>
        <v>Número trabajadores dependientes informados por género según tamaño de empresa en Chile, Año 2019</v>
      </c>
      <c r="P642" s="112" t="s">
        <v>1461</v>
      </c>
      <c r="Q642" s="11" t="s">
        <v>576</v>
      </c>
      <c r="R642" s="20" t="str">
        <f>Agencia[[#This Row],[territorio]]&amp;",trabajadores,dependientes,informados,tramo,empresas,ventas,anuales,grande,mediana,pequeña,micro,mujeres,sexo,hombres,género,sii,"&amp;Agencia[[#This Row],[coleccion]]&amp;","&amp;Agencia[[#This Row],[sector]]&amp;","&amp;Agencia[[#This Row],[tema]]&amp;","&amp;Agencia[[#This Row],[contenido]]</f>
        <v>Chile,trabajadores,dependientes,informados,tramo,empresas,ventas,anuales,grande,mediana,pequeña,micro,mujeres,sexo,hombres,género,sii,Agencia Información,Economía,Trabajadores por sexo,Empresas</v>
      </c>
      <c r="S642" s="37" t="s">
        <v>1463</v>
      </c>
      <c r="T642" s="108" t="s">
        <v>805</v>
      </c>
      <c r="U642" s="46" t="str">
        <f t="shared" si="271"/>
        <v>#1774B9</v>
      </c>
      <c r="V642" s="93" t="str">
        <f>+Agencia[[#This Row],[idcoleccion]]&amp;"-"&amp;Agencia[[#This Row],[id]]</f>
        <v>990-0631</v>
      </c>
      <c r="W642" s="93">
        <f>+VLOOKUP(Agencia[[#This Row],[Filtro URL]],Estructura!$X$4:$Y$500,2,0)</f>
        <v>99100000</v>
      </c>
      <c r="X642" s="93" t="str">
        <f>+VLOOKUP(Agencia[[#This Row],[tema]],Estructura!$A$4:$C$500,3,0)</f>
        <v>T-1009</v>
      </c>
      <c r="Y642" s="93" t="str">
        <f>+VLOOKUP(Agencia[[#This Row],[contenido]],Estructura!$E$4:$G$500,3,0)</f>
        <v>C-993</v>
      </c>
      <c r="Z642" s="93" t="str">
        <f>+VLOOKUP(Agencia[[#This Row],[Filtro Integrado]],Estructura!$I$4:$K$500,3,0)</f>
        <v>FI-992</v>
      </c>
      <c r="AA642" s="93" t="str">
        <f>+VLOOKUP(Agencia[[#This Row],[Muestra]],Estructura!$M$4:$O$500,3,0)</f>
        <v>M-1065</v>
      </c>
    </row>
    <row r="643" spans="1:27" ht="61.2" x14ac:dyDescent="0.3">
      <c r="A643" s="21" t="s">
        <v>1147</v>
      </c>
      <c r="B643" s="23">
        <f t="shared" si="258"/>
        <v>990</v>
      </c>
      <c r="C643" s="24" t="str">
        <f t="shared" si="259"/>
        <v>Agencia Información</v>
      </c>
      <c r="D643" s="72" t="str">
        <f t="shared" ref="D643:D658" si="272">+D642</f>
        <v>Economía</v>
      </c>
      <c r="E643" s="19">
        <v>1</v>
      </c>
      <c r="F643" s="18" t="s">
        <v>1462</v>
      </c>
      <c r="G643" s="18" t="s">
        <v>1470</v>
      </c>
      <c r="H643" s="33" t="s">
        <v>16</v>
      </c>
      <c r="I643" s="34" t="s">
        <v>368</v>
      </c>
      <c r="J643" s="9" t="s">
        <v>403</v>
      </c>
      <c r="K643" s="9" t="str">
        <f t="shared" ref="K643:K658" si="273">+K642</f>
        <v>Trabajadores dependientes informados</v>
      </c>
      <c r="L643" s="9" t="str">
        <f t="shared" ref="L643:L658" si="274">+L642</f>
        <v>Año 2019</v>
      </c>
      <c r="M643" s="9" t="str">
        <f t="shared" ref="M643:M658" si="275">+M642</f>
        <v>Personas</v>
      </c>
      <c r="N643" s="9" t="str">
        <f t="shared" ref="N643:N658" si="276">+N642</f>
        <v>Servicio de Impuestos Internos (SII)</v>
      </c>
      <c r="O643" s="20" t="str">
        <f>+"Número trabajadores dependientes informados por sexo según tamaño de empresa en la "&amp;I643&amp;", "&amp;Agencia[[#This Row],[temporalidad]]</f>
        <v>Número trabajadores dependientes informados por sexo según tamaño de empresa en la Región de Tarapacá, Año 2019</v>
      </c>
      <c r="P643" s="112" t="s">
        <v>5718</v>
      </c>
      <c r="Q643" s="11" t="str">
        <f t="shared" si="270"/>
        <v>Gráfico</v>
      </c>
      <c r="R643" s="148" t="str">
        <f>Agencia[[#This Row],[territorio]]&amp;",trabajadores,dependientes,informados,tramo,empresas,ventas,anuales,grande,mediana,pequeña,micro,mujeres,sexo,hombres,género,sii,"&amp;Agencia[[#This Row],[coleccion]]&amp;","&amp;Agencia[[#This Row],[sector]]&amp;","&amp;Agencia[[#This Row],[tema]]&amp;","&amp;Agencia[[#This Row],[contenido]]</f>
        <v>Región de Tarapacá,trabajadores,dependientes,informados,tramo,empresas,ventas,anuales,grande,mediana,pequeña,micro,mujeres,sexo,hombres,género,sii,Agencia Información,Economía,Trabajadores por sexo,Empresas</v>
      </c>
      <c r="S643" s="37" t="str">
        <f>HYPERLINK("https://analytics.zoho.com/open-view/2395394000008435819?ZOHO_CRITERIA=%225.1%20Empresas_Tama%C3%B1o%22.%22Cod_Regi%C3%B3n%22%3D"&amp;Agencia[[#This Row],[Filtro URL]])</f>
        <v>https://analytics.zoho.com/open-view/2395394000008435819?ZOHO_CRITERIA=%225.1%20Empresas_Tama%C3%B1o%22.%22Cod_Regi%C3%B3n%22%3D1</v>
      </c>
      <c r="T643" s="108" t="str">
        <f>"100-R-"&amp;Agencia[[#This Row],[Filtro URL]]</f>
        <v>100-R-1</v>
      </c>
      <c r="U643" s="46" t="str">
        <f t="shared" si="271"/>
        <v>#1774B9</v>
      </c>
      <c r="V643" s="93" t="str">
        <f>+Agencia[[#This Row],[idcoleccion]]&amp;"-"&amp;Agencia[[#This Row],[id]]</f>
        <v>990-0632</v>
      </c>
      <c r="W643" s="93">
        <f>+VLOOKUP(Agencia[[#This Row],[Filtro URL]],Estructura!$X$4:$Y$500,2,0)</f>
        <v>99200001</v>
      </c>
      <c r="X643" s="93" t="str">
        <f>+VLOOKUP(Agencia[[#This Row],[tema]],Estructura!$A$4:$C$500,3,0)</f>
        <v>T-1009</v>
      </c>
      <c r="Y643" s="93" t="str">
        <f>+VLOOKUP(Agencia[[#This Row],[contenido]],Estructura!$E$4:$G$500,3,0)</f>
        <v>C-993</v>
      </c>
      <c r="Z643" s="93" t="str">
        <f>+VLOOKUP(Agencia[[#This Row],[Filtro Integrado]],Estructura!$I$4:$K$500,3,0)</f>
        <v>FI-993</v>
      </c>
      <c r="AA643" s="93" t="str">
        <f>+VLOOKUP(Agencia[[#This Row],[Muestra]],Estructura!$M$4:$O$500,3,0)</f>
        <v>M-1065</v>
      </c>
    </row>
    <row r="644" spans="1:27" ht="71.400000000000006" x14ac:dyDescent="0.3">
      <c r="A644" s="21" t="s">
        <v>1148</v>
      </c>
      <c r="B644" s="23">
        <f t="shared" si="258"/>
        <v>990</v>
      </c>
      <c r="C644" s="24" t="str">
        <f t="shared" si="259"/>
        <v>Agencia Información</v>
      </c>
      <c r="D644" s="72" t="str">
        <f t="shared" si="272"/>
        <v>Economía</v>
      </c>
      <c r="E644" s="19">
        <v>2</v>
      </c>
      <c r="F644" s="18" t="s">
        <v>1462</v>
      </c>
      <c r="G644" s="18" t="s">
        <v>1470</v>
      </c>
      <c r="H644" s="33" t="s">
        <v>16</v>
      </c>
      <c r="I644" s="34" t="s">
        <v>369</v>
      </c>
      <c r="J644" s="9" t="str">
        <f t="shared" ref="J644:J658" si="277">+J643</f>
        <v>Ninguno</v>
      </c>
      <c r="K644" s="9" t="str">
        <f t="shared" si="273"/>
        <v>Trabajadores dependientes informados</v>
      </c>
      <c r="L644" s="9" t="str">
        <f t="shared" si="274"/>
        <v>Año 2019</v>
      </c>
      <c r="M644" s="9" t="str">
        <f t="shared" si="275"/>
        <v>Personas</v>
      </c>
      <c r="N644" s="9" t="str">
        <f t="shared" si="276"/>
        <v>Servicio de Impuestos Internos (SII)</v>
      </c>
      <c r="O644" s="20" t="str">
        <f>+"Número trabajadores dependientes informados por sexo según tamaño de empresa en la "&amp;I644&amp;", "&amp;Agencia[[#This Row],[temporalidad]]</f>
        <v>Número trabajadores dependientes informados por sexo según tamaño de empresa en la Región de Antofagasta, Año 2019</v>
      </c>
      <c r="P644" s="112" t="s">
        <v>5719</v>
      </c>
      <c r="Q644" s="11" t="str">
        <f t="shared" si="270"/>
        <v>Gráfico</v>
      </c>
      <c r="R644" s="148" t="str">
        <f>Agencia[[#This Row],[territorio]]&amp;",trabajadores,dependientes,informados,tramo,empresas,ventas,anuales,grande,mediana,pequeña,micro,mujeres,sexo,hombres,género,sii,"&amp;Agencia[[#This Row],[coleccion]]&amp;","&amp;Agencia[[#This Row],[sector]]&amp;","&amp;Agencia[[#This Row],[tema]]&amp;","&amp;Agencia[[#This Row],[contenido]]</f>
        <v>Región de Antofagasta,trabajadores,dependientes,informados,tramo,empresas,ventas,anuales,grande,mediana,pequeña,micro,mujeres,sexo,hombres,género,sii,Agencia Información,Economía,Trabajadores por sexo,Empresas</v>
      </c>
      <c r="S644" s="37" t="str">
        <f>HYPERLINK("https://analytics.zoho.com/open-view/2395394000008435819?ZOHO_CRITERIA=%225.1%20Empresas_Tama%C3%B1o%22.%22Cod_Regi%C3%B3n%22%3D"&amp;Agencia[[#This Row],[Filtro URL]])</f>
        <v>https://analytics.zoho.com/open-view/2395394000008435819?ZOHO_CRITERIA=%225.1%20Empresas_Tama%C3%B1o%22.%22Cod_Regi%C3%B3n%22%3D2</v>
      </c>
      <c r="T644" s="108" t="str">
        <f>"100-R-"&amp;Agencia[[#This Row],[Filtro URL]]</f>
        <v>100-R-2</v>
      </c>
      <c r="U644" s="46" t="str">
        <f t="shared" si="271"/>
        <v>#1774B9</v>
      </c>
      <c r="V644" s="93" t="str">
        <f>+Agencia[[#This Row],[idcoleccion]]&amp;"-"&amp;Agencia[[#This Row],[id]]</f>
        <v>990-0633</v>
      </c>
      <c r="W644" s="93">
        <f>+VLOOKUP(Agencia[[#This Row],[Filtro URL]],Estructura!$X$4:$Y$500,2,0)</f>
        <v>99200002</v>
      </c>
      <c r="X644" s="93" t="str">
        <f>+VLOOKUP(Agencia[[#This Row],[tema]],Estructura!$A$4:$C$500,3,0)</f>
        <v>T-1009</v>
      </c>
      <c r="Y644" s="93" t="str">
        <f>+VLOOKUP(Agencia[[#This Row],[contenido]],Estructura!$E$4:$G$500,3,0)</f>
        <v>C-993</v>
      </c>
      <c r="Z644" s="93" t="str">
        <f>+VLOOKUP(Agencia[[#This Row],[Filtro Integrado]],Estructura!$I$4:$K$500,3,0)</f>
        <v>FI-993</v>
      </c>
      <c r="AA644" s="93" t="str">
        <f>+VLOOKUP(Agencia[[#This Row],[Muestra]],Estructura!$M$4:$O$500,3,0)</f>
        <v>M-1065</v>
      </c>
    </row>
    <row r="645" spans="1:27" ht="61.2" x14ac:dyDescent="0.3">
      <c r="A645" s="21" t="s">
        <v>1149</v>
      </c>
      <c r="B645" s="23">
        <f t="shared" si="258"/>
        <v>990</v>
      </c>
      <c r="C645" s="24" t="str">
        <f t="shared" si="259"/>
        <v>Agencia Información</v>
      </c>
      <c r="D645" s="72" t="str">
        <f t="shared" si="272"/>
        <v>Economía</v>
      </c>
      <c r="E645" s="19">
        <v>3</v>
      </c>
      <c r="F645" s="18" t="s">
        <v>1462</v>
      </c>
      <c r="G645" s="18" t="s">
        <v>1470</v>
      </c>
      <c r="H645" s="33" t="s">
        <v>16</v>
      </c>
      <c r="I645" s="34" t="s">
        <v>370</v>
      </c>
      <c r="J645" s="9" t="str">
        <f t="shared" si="277"/>
        <v>Ninguno</v>
      </c>
      <c r="K645" s="9" t="str">
        <f t="shared" si="273"/>
        <v>Trabajadores dependientes informados</v>
      </c>
      <c r="L645" s="9" t="str">
        <f t="shared" si="274"/>
        <v>Año 2019</v>
      </c>
      <c r="M645" s="9" t="str">
        <f t="shared" si="275"/>
        <v>Personas</v>
      </c>
      <c r="N645" s="9" t="str">
        <f t="shared" si="276"/>
        <v>Servicio de Impuestos Internos (SII)</v>
      </c>
      <c r="O645" s="20" t="str">
        <f>+"Número trabajadores dependientes informados por sexo según tamaño de empresa en la "&amp;I645&amp;", "&amp;Agencia[[#This Row],[temporalidad]]</f>
        <v>Número trabajadores dependientes informados por sexo según tamaño de empresa en la Región de Atacama, Año 2019</v>
      </c>
      <c r="P645" s="112" t="s">
        <v>5720</v>
      </c>
      <c r="Q645" s="11" t="str">
        <f t="shared" si="270"/>
        <v>Gráfico</v>
      </c>
      <c r="R645" s="148" t="str">
        <f>Agencia[[#This Row],[territorio]]&amp;",trabajadores,dependientes,informados,tramo,empresas,ventas,anuales,grande,mediana,pequeña,micro,mujeres,sexo,hombres,género,sii,"&amp;Agencia[[#This Row],[coleccion]]&amp;","&amp;Agencia[[#This Row],[sector]]&amp;","&amp;Agencia[[#This Row],[tema]]&amp;","&amp;Agencia[[#This Row],[contenido]]</f>
        <v>Región de Atacama,trabajadores,dependientes,informados,tramo,empresas,ventas,anuales,grande,mediana,pequeña,micro,mujeres,sexo,hombres,género,sii,Agencia Información,Economía,Trabajadores por sexo,Empresas</v>
      </c>
      <c r="S645" s="37" t="str">
        <f>HYPERLINK("https://analytics.zoho.com/open-view/2395394000008435819?ZOHO_CRITERIA=%225.1%20Empresas_Tama%C3%B1o%22.%22Cod_Regi%C3%B3n%22%3D"&amp;Agencia[[#This Row],[Filtro URL]])</f>
        <v>https://analytics.zoho.com/open-view/2395394000008435819?ZOHO_CRITERIA=%225.1%20Empresas_Tama%C3%B1o%22.%22Cod_Regi%C3%B3n%22%3D3</v>
      </c>
      <c r="T645" s="108" t="str">
        <f>"100-R-"&amp;Agencia[[#This Row],[Filtro URL]]</f>
        <v>100-R-3</v>
      </c>
      <c r="U645" s="46" t="str">
        <f t="shared" si="271"/>
        <v>#1774B9</v>
      </c>
      <c r="V645" s="93" t="str">
        <f>+Agencia[[#This Row],[idcoleccion]]&amp;"-"&amp;Agencia[[#This Row],[id]]</f>
        <v>990-0634</v>
      </c>
      <c r="W645" s="93">
        <f>+VLOOKUP(Agencia[[#This Row],[Filtro URL]],Estructura!$X$4:$Y$500,2,0)</f>
        <v>99200003</v>
      </c>
      <c r="X645" s="93" t="str">
        <f>+VLOOKUP(Agencia[[#This Row],[tema]],Estructura!$A$4:$C$500,3,0)</f>
        <v>T-1009</v>
      </c>
      <c r="Y645" s="93" t="str">
        <f>+VLOOKUP(Agencia[[#This Row],[contenido]],Estructura!$E$4:$G$500,3,0)</f>
        <v>C-993</v>
      </c>
      <c r="Z645" s="93" t="str">
        <f>+VLOOKUP(Agencia[[#This Row],[Filtro Integrado]],Estructura!$I$4:$K$500,3,0)</f>
        <v>FI-993</v>
      </c>
      <c r="AA645" s="93" t="str">
        <f>+VLOOKUP(Agencia[[#This Row],[Muestra]],Estructura!$M$4:$O$500,3,0)</f>
        <v>M-1065</v>
      </c>
    </row>
    <row r="646" spans="1:27" ht="61.2" x14ac:dyDescent="0.3">
      <c r="A646" s="21" t="s">
        <v>1150</v>
      </c>
      <c r="B646" s="23">
        <f t="shared" si="258"/>
        <v>990</v>
      </c>
      <c r="C646" s="24" t="str">
        <f t="shared" si="259"/>
        <v>Agencia Información</v>
      </c>
      <c r="D646" s="72" t="str">
        <f t="shared" si="272"/>
        <v>Economía</v>
      </c>
      <c r="E646" s="19">
        <v>4</v>
      </c>
      <c r="F646" s="18" t="s">
        <v>1462</v>
      </c>
      <c r="G646" s="18" t="s">
        <v>1470</v>
      </c>
      <c r="H646" s="33" t="s">
        <v>16</v>
      </c>
      <c r="I646" s="34" t="s">
        <v>371</v>
      </c>
      <c r="J646" s="9" t="str">
        <f t="shared" si="277"/>
        <v>Ninguno</v>
      </c>
      <c r="K646" s="9" t="str">
        <f t="shared" si="273"/>
        <v>Trabajadores dependientes informados</v>
      </c>
      <c r="L646" s="9" t="str">
        <f t="shared" si="274"/>
        <v>Año 2019</v>
      </c>
      <c r="M646" s="9" t="str">
        <f t="shared" si="275"/>
        <v>Personas</v>
      </c>
      <c r="N646" s="9" t="str">
        <f t="shared" si="276"/>
        <v>Servicio de Impuestos Internos (SII)</v>
      </c>
      <c r="O646" s="20" t="str">
        <f>+"Número trabajadores dependientes informados por sexo según tamaño de empresa en la "&amp;I646&amp;", "&amp;Agencia[[#This Row],[temporalidad]]</f>
        <v>Número trabajadores dependientes informados por sexo según tamaño de empresa en la Región de Coquimbo, Año 2019</v>
      </c>
      <c r="P646" s="112" t="s">
        <v>5721</v>
      </c>
      <c r="Q646" s="11" t="str">
        <f t="shared" si="270"/>
        <v>Gráfico</v>
      </c>
      <c r="R646" s="148" t="str">
        <f>Agencia[[#This Row],[territorio]]&amp;",trabajadores,dependientes,informados,tramo,empresas,ventas,anuales,grande,mediana,pequeña,micro,mujeres,sexo,hombres,género,sii,"&amp;Agencia[[#This Row],[coleccion]]&amp;","&amp;Agencia[[#This Row],[sector]]&amp;","&amp;Agencia[[#This Row],[tema]]&amp;","&amp;Agencia[[#This Row],[contenido]]</f>
        <v>Región de Coquimbo,trabajadores,dependientes,informados,tramo,empresas,ventas,anuales,grande,mediana,pequeña,micro,mujeres,sexo,hombres,género,sii,Agencia Información,Economía,Trabajadores por sexo,Empresas</v>
      </c>
      <c r="S646" s="37" t="str">
        <f>HYPERLINK("https://analytics.zoho.com/open-view/2395394000008435819?ZOHO_CRITERIA=%225.1%20Empresas_Tama%C3%B1o%22.%22Cod_Regi%C3%B3n%22%3D"&amp;Agencia[[#This Row],[Filtro URL]])</f>
        <v>https://analytics.zoho.com/open-view/2395394000008435819?ZOHO_CRITERIA=%225.1%20Empresas_Tama%C3%B1o%22.%22Cod_Regi%C3%B3n%22%3D4</v>
      </c>
      <c r="T646" s="108" t="str">
        <f>"100-R-"&amp;Agencia[[#This Row],[Filtro URL]]</f>
        <v>100-R-4</v>
      </c>
      <c r="U646" s="46" t="str">
        <f t="shared" si="271"/>
        <v>#1774B9</v>
      </c>
      <c r="V646" s="93" t="str">
        <f>+Agencia[[#This Row],[idcoleccion]]&amp;"-"&amp;Agencia[[#This Row],[id]]</f>
        <v>990-0635</v>
      </c>
      <c r="W646" s="93">
        <f>+VLOOKUP(Agencia[[#This Row],[Filtro URL]],Estructura!$X$4:$Y$500,2,0)</f>
        <v>99200004</v>
      </c>
      <c r="X646" s="93" t="str">
        <f>+VLOOKUP(Agencia[[#This Row],[tema]],Estructura!$A$4:$C$500,3,0)</f>
        <v>T-1009</v>
      </c>
      <c r="Y646" s="93" t="str">
        <f>+VLOOKUP(Agencia[[#This Row],[contenido]],Estructura!$E$4:$G$500,3,0)</f>
        <v>C-993</v>
      </c>
      <c r="Z646" s="93" t="str">
        <f>+VLOOKUP(Agencia[[#This Row],[Filtro Integrado]],Estructura!$I$4:$K$500,3,0)</f>
        <v>FI-993</v>
      </c>
      <c r="AA646" s="93" t="str">
        <f>+VLOOKUP(Agencia[[#This Row],[Muestra]],Estructura!$M$4:$O$500,3,0)</f>
        <v>M-1065</v>
      </c>
    </row>
    <row r="647" spans="1:27" ht="61.2" x14ac:dyDescent="0.3">
      <c r="A647" s="21" t="s">
        <v>1151</v>
      </c>
      <c r="B647" s="23">
        <f t="shared" si="258"/>
        <v>990</v>
      </c>
      <c r="C647" s="24" t="str">
        <f t="shared" si="259"/>
        <v>Agencia Información</v>
      </c>
      <c r="D647" s="72" t="str">
        <f t="shared" si="272"/>
        <v>Economía</v>
      </c>
      <c r="E647" s="19">
        <v>5</v>
      </c>
      <c r="F647" s="18" t="s">
        <v>1462</v>
      </c>
      <c r="G647" s="18" t="s">
        <v>1470</v>
      </c>
      <c r="H647" s="33" t="s">
        <v>16</v>
      </c>
      <c r="I647" s="34" t="s">
        <v>372</v>
      </c>
      <c r="J647" s="9" t="str">
        <f t="shared" si="277"/>
        <v>Ninguno</v>
      </c>
      <c r="K647" s="9" t="str">
        <f t="shared" si="273"/>
        <v>Trabajadores dependientes informados</v>
      </c>
      <c r="L647" s="9" t="str">
        <f t="shared" si="274"/>
        <v>Año 2019</v>
      </c>
      <c r="M647" s="9" t="str">
        <f t="shared" si="275"/>
        <v>Personas</v>
      </c>
      <c r="N647" s="9" t="str">
        <f t="shared" si="276"/>
        <v>Servicio de Impuestos Internos (SII)</v>
      </c>
      <c r="O647" s="20" t="str">
        <f>+"Número trabajadores dependientes informados por sexo según tamaño de empresa en la "&amp;I647&amp;", "&amp;Agencia[[#This Row],[temporalidad]]</f>
        <v>Número trabajadores dependientes informados por sexo según tamaño de empresa en la Región de Valparaíso, Año 2019</v>
      </c>
      <c r="P647" s="112" t="s">
        <v>5722</v>
      </c>
      <c r="Q647" s="11" t="str">
        <f t="shared" si="270"/>
        <v>Gráfico</v>
      </c>
      <c r="R647" s="148" t="str">
        <f>Agencia[[#This Row],[territorio]]&amp;",trabajadores,dependientes,informados,tramo,empresas,ventas,anuales,grande,mediana,pequeña,micro,mujeres,sexo,hombres,género,sii,"&amp;Agencia[[#This Row],[coleccion]]&amp;","&amp;Agencia[[#This Row],[sector]]&amp;","&amp;Agencia[[#This Row],[tema]]&amp;","&amp;Agencia[[#This Row],[contenido]]</f>
        <v>Región de Valparaíso,trabajadores,dependientes,informados,tramo,empresas,ventas,anuales,grande,mediana,pequeña,micro,mujeres,sexo,hombres,género,sii,Agencia Información,Economía,Trabajadores por sexo,Empresas</v>
      </c>
      <c r="S647" s="37" t="str">
        <f>HYPERLINK("https://analytics.zoho.com/open-view/2395394000008435819?ZOHO_CRITERIA=%225.1%20Empresas_Tama%C3%B1o%22.%22Cod_Regi%C3%B3n%22%3D"&amp;Agencia[[#This Row],[Filtro URL]])</f>
        <v>https://analytics.zoho.com/open-view/2395394000008435819?ZOHO_CRITERIA=%225.1%20Empresas_Tama%C3%B1o%22.%22Cod_Regi%C3%B3n%22%3D5</v>
      </c>
      <c r="T647" s="108" t="str">
        <f>"100-R-"&amp;Agencia[[#This Row],[Filtro URL]]</f>
        <v>100-R-5</v>
      </c>
      <c r="U647" s="46" t="str">
        <f t="shared" si="271"/>
        <v>#1774B9</v>
      </c>
      <c r="V647" s="93" t="str">
        <f>+Agencia[[#This Row],[idcoleccion]]&amp;"-"&amp;Agencia[[#This Row],[id]]</f>
        <v>990-0636</v>
      </c>
      <c r="W647" s="93">
        <f>+VLOOKUP(Agencia[[#This Row],[Filtro URL]],Estructura!$X$4:$Y$500,2,0)</f>
        <v>99200005</v>
      </c>
      <c r="X647" s="93" t="str">
        <f>+VLOOKUP(Agencia[[#This Row],[tema]],Estructura!$A$4:$C$500,3,0)</f>
        <v>T-1009</v>
      </c>
      <c r="Y647" s="93" t="str">
        <f>+VLOOKUP(Agencia[[#This Row],[contenido]],Estructura!$E$4:$G$500,3,0)</f>
        <v>C-993</v>
      </c>
      <c r="Z647" s="93" t="str">
        <f>+VLOOKUP(Agencia[[#This Row],[Filtro Integrado]],Estructura!$I$4:$K$500,3,0)</f>
        <v>FI-993</v>
      </c>
      <c r="AA647" s="93" t="str">
        <f>+VLOOKUP(Agencia[[#This Row],[Muestra]],Estructura!$M$4:$O$500,3,0)</f>
        <v>M-1065</v>
      </c>
    </row>
    <row r="648" spans="1:27" ht="61.2" x14ac:dyDescent="0.3">
      <c r="A648" s="21" t="s">
        <v>1152</v>
      </c>
      <c r="B648" s="23">
        <f t="shared" si="258"/>
        <v>990</v>
      </c>
      <c r="C648" s="24" t="str">
        <f t="shared" si="259"/>
        <v>Agencia Información</v>
      </c>
      <c r="D648" s="72" t="str">
        <f t="shared" si="272"/>
        <v>Economía</v>
      </c>
      <c r="E648" s="19">
        <v>6</v>
      </c>
      <c r="F648" s="18" t="s">
        <v>1462</v>
      </c>
      <c r="G648" s="18" t="s">
        <v>1470</v>
      </c>
      <c r="H648" s="33" t="s">
        <v>16</v>
      </c>
      <c r="I648" s="34" t="s">
        <v>373</v>
      </c>
      <c r="J648" s="9" t="str">
        <f t="shared" si="277"/>
        <v>Ninguno</v>
      </c>
      <c r="K648" s="9" t="str">
        <f t="shared" si="273"/>
        <v>Trabajadores dependientes informados</v>
      </c>
      <c r="L648" s="9" t="str">
        <f t="shared" si="274"/>
        <v>Año 2019</v>
      </c>
      <c r="M648" s="9" t="str">
        <f t="shared" si="275"/>
        <v>Personas</v>
      </c>
      <c r="N648" s="9" t="str">
        <f t="shared" si="276"/>
        <v>Servicio de Impuestos Internos (SII)</v>
      </c>
      <c r="O648" s="20" t="str">
        <f>+"Número trabajadores dependientes informados por sexo según tamaño de empresa en la "&amp;I648&amp;", "&amp;Agencia[[#This Row],[temporalidad]]</f>
        <v>Número trabajadores dependientes informados por sexo según tamaño de empresa en la Región de O'Higgins, Año 2019</v>
      </c>
      <c r="P648" s="112" t="s">
        <v>5723</v>
      </c>
      <c r="Q648" s="11" t="str">
        <f t="shared" si="270"/>
        <v>Gráfico</v>
      </c>
      <c r="R648" s="148" t="str">
        <f>Agencia[[#This Row],[territorio]]&amp;",trabajadores,dependientes,informados,tramo,empresas,ventas,anuales,grande,mediana,pequeña,micro,mujeres,sexo,hombres,género,sii,"&amp;Agencia[[#This Row],[coleccion]]&amp;","&amp;Agencia[[#This Row],[sector]]&amp;","&amp;Agencia[[#This Row],[tema]]&amp;","&amp;Agencia[[#This Row],[contenido]]</f>
        <v>Región de O'Higgins,trabajadores,dependientes,informados,tramo,empresas,ventas,anuales,grande,mediana,pequeña,micro,mujeres,sexo,hombres,género,sii,Agencia Información,Economía,Trabajadores por sexo,Empresas</v>
      </c>
      <c r="S648" s="37" t="str">
        <f>HYPERLINK("https://analytics.zoho.com/open-view/2395394000008435819?ZOHO_CRITERIA=%225.1%20Empresas_Tama%C3%B1o%22.%22Cod_Regi%C3%B3n%22%3D"&amp;Agencia[[#This Row],[Filtro URL]])</f>
        <v>https://analytics.zoho.com/open-view/2395394000008435819?ZOHO_CRITERIA=%225.1%20Empresas_Tama%C3%B1o%22.%22Cod_Regi%C3%B3n%22%3D6</v>
      </c>
      <c r="T648" s="108" t="str">
        <f>"100-R-"&amp;Agencia[[#This Row],[Filtro URL]]</f>
        <v>100-R-6</v>
      </c>
      <c r="U648" s="46" t="str">
        <f t="shared" si="271"/>
        <v>#1774B9</v>
      </c>
      <c r="V648" s="93" t="str">
        <f>+Agencia[[#This Row],[idcoleccion]]&amp;"-"&amp;Agencia[[#This Row],[id]]</f>
        <v>990-0637</v>
      </c>
      <c r="W648" s="93">
        <f>+VLOOKUP(Agencia[[#This Row],[Filtro URL]],Estructura!$X$4:$Y$500,2,0)</f>
        <v>99200006</v>
      </c>
      <c r="X648" s="93" t="str">
        <f>+VLOOKUP(Agencia[[#This Row],[tema]],Estructura!$A$4:$C$500,3,0)</f>
        <v>T-1009</v>
      </c>
      <c r="Y648" s="93" t="str">
        <f>+VLOOKUP(Agencia[[#This Row],[contenido]],Estructura!$E$4:$G$500,3,0)</f>
        <v>C-993</v>
      </c>
      <c r="Z648" s="93" t="str">
        <f>+VLOOKUP(Agencia[[#This Row],[Filtro Integrado]],Estructura!$I$4:$K$500,3,0)</f>
        <v>FI-993</v>
      </c>
      <c r="AA648" s="93" t="str">
        <f>+VLOOKUP(Agencia[[#This Row],[Muestra]],Estructura!$M$4:$O$500,3,0)</f>
        <v>M-1065</v>
      </c>
    </row>
    <row r="649" spans="1:27" ht="61.2" x14ac:dyDescent="0.3">
      <c r="A649" s="21" t="s">
        <v>1153</v>
      </c>
      <c r="B649" s="23">
        <f t="shared" si="258"/>
        <v>990</v>
      </c>
      <c r="C649" s="24" t="str">
        <f t="shared" si="259"/>
        <v>Agencia Información</v>
      </c>
      <c r="D649" s="72" t="str">
        <f t="shared" si="272"/>
        <v>Economía</v>
      </c>
      <c r="E649" s="19">
        <v>7</v>
      </c>
      <c r="F649" s="18" t="s">
        <v>1462</v>
      </c>
      <c r="G649" s="18" t="s">
        <v>1470</v>
      </c>
      <c r="H649" s="33" t="s">
        <v>16</v>
      </c>
      <c r="I649" s="34" t="s">
        <v>374</v>
      </c>
      <c r="J649" s="9" t="str">
        <f t="shared" si="277"/>
        <v>Ninguno</v>
      </c>
      <c r="K649" s="9" t="str">
        <f t="shared" si="273"/>
        <v>Trabajadores dependientes informados</v>
      </c>
      <c r="L649" s="9" t="str">
        <f t="shared" si="274"/>
        <v>Año 2019</v>
      </c>
      <c r="M649" s="9" t="str">
        <f t="shared" si="275"/>
        <v>Personas</v>
      </c>
      <c r="N649" s="9" t="str">
        <f t="shared" si="276"/>
        <v>Servicio de Impuestos Internos (SII)</v>
      </c>
      <c r="O649" s="20" t="str">
        <f>+"Número trabajadores dependientes informados por sexo según tamaño de empresa en la "&amp;I649&amp;", "&amp;Agencia[[#This Row],[temporalidad]]</f>
        <v>Número trabajadores dependientes informados por sexo según tamaño de empresa en la Región de Maule, Año 2019</v>
      </c>
      <c r="P649" s="112" t="s">
        <v>5724</v>
      </c>
      <c r="Q649" s="11" t="str">
        <f t="shared" si="270"/>
        <v>Gráfico</v>
      </c>
      <c r="R649" s="148" t="str">
        <f>Agencia[[#This Row],[territorio]]&amp;",trabajadores,dependientes,informados,tramo,empresas,ventas,anuales,grande,mediana,pequeña,micro,mujeres,sexo,hombres,género,sii,"&amp;Agencia[[#This Row],[coleccion]]&amp;","&amp;Agencia[[#This Row],[sector]]&amp;","&amp;Agencia[[#This Row],[tema]]&amp;","&amp;Agencia[[#This Row],[contenido]]</f>
        <v>Región de Maule,trabajadores,dependientes,informados,tramo,empresas,ventas,anuales,grande,mediana,pequeña,micro,mujeres,sexo,hombres,género,sii,Agencia Información,Economía,Trabajadores por sexo,Empresas</v>
      </c>
      <c r="S649" s="37" t="str">
        <f>HYPERLINK("https://analytics.zoho.com/open-view/2395394000008435819?ZOHO_CRITERIA=%225.1%20Empresas_Tama%C3%B1o%22.%22Cod_Regi%C3%B3n%22%3D"&amp;Agencia[[#This Row],[Filtro URL]])</f>
        <v>https://analytics.zoho.com/open-view/2395394000008435819?ZOHO_CRITERIA=%225.1%20Empresas_Tama%C3%B1o%22.%22Cod_Regi%C3%B3n%22%3D7</v>
      </c>
      <c r="T649" s="108" t="str">
        <f>"100-R-"&amp;Agencia[[#This Row],[Filtro URL]]</f>
        <v>100-R-7</v>
      </c>
      <c r="U649" s="46" t="str">
        <f t="shared" si="271"/>
        <v>#1774B9</v>
      </c>
      <c r="V649" s="93" t="str">
        <f>+Agencia[[#This Row],[idcoleccion]]&amp;"-"&amp;Agencia[[#This Row],[id]]</f>
        <v>990-0638</v>
      </c>
      <c r="W649" s="93">
        <f>+VLOOKUP(Agencia[[#This Row],[Filtro URL]],Estructura!$X$4:$Y$500,2,0)</f>
        <v>99200007</v>
      </c>
      <c r="X649" s="93" t="str">
        <f>+VLOOKUP(Agencia[[#This Row],[tema]],Estructura!$A$4:$C$500,3,0)</f>
        <v>T-1009</v>
      </c>
      <c r="Y649" s="93" t="str">
        <f>+VLOOKUP(Agencia[[#This Row],[contenido]],Estructura!$E$4:$G$500,3,0)</f>
        <v>C-993</v>
      </c>
      <c r="Z649" s="93" t="str">
        <f>+VLOOKUP(Agencia[[#This Row],[Filtro Integrado]],Estructura!$I$4:$K$500,3,0)</f>
        <v>FI-993</v>
      </c>
      <c r="AA649" s="93" t="str">
        <f>+VLOOKUP(Agencia[[#This Row],[Muestra]],Estructura!$M$4:$O$500,3,0)</f>
        <v>M-1065</v>
      </c>
    </row>
    <row r="650" spans="1:27" ht="61.2" x14ac:dyDescent="0.3">
      <c r="A650" s="21" t="s">
        <v>1154</v>
      </c>
      <c r="B650" s="23">
        <f t="shared" si="258"/>
        <v>990</v>
      </c>
      <c r="C650" s="24" t="str">
        <f t="shared" si="259"/>
        <v>Agencia Información</v>
      </c>
      <c r="D650" s="72" t="str">
        <f t="shared" si="272"/>
        <v>Economía</v>
      </c>
      <c r="E650" s="19">
        <v>8</v>
      </c>
      <c r="F650" s="18" t="s">
        <v>1462</v>
      </c>
      <c r="G650" s="18" t="s">
        <v>1470</v>
      </c>
      <c r="H650" s="33" t="s">
        <v>16</v>
      </c>
      <c r="I650" s="34" t="s">
        <v>375</v>
      </c>
      <c r="J650" s="9" t="str">
        <f t="shared" si="277"/>
        <v>Ninguno</v>
      </c>
      <c r="K650" s="9" t="str">
        <f t="shared" si="273"/>
        <v>Trabajadores dependientes informados</v>
      </c>
      <c r="L650" s="9" t="str">
        <f t="shared" si="274"/>
        <v>Año 2019</v>
      </c>
      <c r="M650" s="9" t="str">
        <f t="shared" si="275"/>
        <v>Personas</v>
      </c>
      <c r="N650" s="9" t="str">
        <f t="shared" si="276"/>
        <v>Servicio de Impuestos Internos (SII)</v>
      </c>
      <c r="O650" s="20" t="str">
        <f>+"Número trabajadores dependientes informados por sexo según tamaño de empresa en la "&amp;I650&amp;", "&amp;Agencia[[#This Row],[temporalidad]]</f>
        <v>Número trabajadores dependientes informados por sexo según tamaño de empresa en la Región del Biobío, Año 2019</v>
      </c>
      <c r="P650" s="112" t="s">
        <v>5780</v>
      </c>
      <c r="Q650" s="11" t="str">
        <f t="shared" si="270"/>
        <v>Gráfico</v>
      </c>
      <c r="R650" s="148" t="str">
        <f>Agencia[[#This Row],[territorio]]&amp;",trabajadores,dependientes,informados,tramo,empresas,ventas,anuales,grande,mediana,pequeña,micro,mujeres,sexo,hombres,género,sii,"&amp;Agencia[[#This Row],[coleccion]]&amp;","&amp;Agencia[[#This Row],[sector]]&amp;","&amp;Agencia[[#This Row],[tema]]&amp;","&amp;Agencia[[#This Row],[contenido]]</f>
        <v>Región del Biobío,trabajadores,dependientes,informados,tramo,empresas,ventas,anuales,grande,mediana,pequeña,micro,mujeres,sexo,hombres,género,sii,Agencia Información,Economía,Trabajadores por sexo,Empresas</v>
      </c>
      <c r="S650" s="37" t="str">
        <f>HYPERLINK("https://analytics.zoho.com/open-view/2395394000008435819?ZOHO_CRITERIA=%225.1%20Empresas_Tama%C3%B1o%22.%22Cod_Regi%C3%B3n%22%3D"&amp;Agencia[[#This Row],[Filtro URL]])</f>
        <v>https://analytics.zoho.com/open-view/2395394000008435819?ZOHO_CRITERIA=%225.1%20Empresas_Tama%C3%B1o%22.%22Cod_Regi%C3%B3n%22%3D8</v>
      </c>
      <c r="T650" s="108" t="str">
        <f>"100-R-"&amp;Agencia[[#This Row],[Filtro URL]]</f>
        <v>100-R-8</v>
      </c>
      <c r="U650" s="46" t="str">
        <f t="shared" si="271"/>
        <v>#1774B9</v>
      </c>
      <c r="V650" s="93" t="str">
        <f>+Agencia[[#This Row],[idcoleccion]]&amp;"-"&amp;Agencia[[#This Row],[id]]</f>
        <v>990-0639</v>
      </c>
      <c r="W650" s="93">
        <f>+VLOOKUP(Agencia[[#This Row],[Filtro URL]],Estructura!$X$4:$Y$500,2,0)</f>
        <v>99200008</v>
      </c>
      <c r="X650" s="93" t="str">
        <f>+VLOOKUP(Agencia[[#This Row],[tema]],Estructura!$A$4:$C$500,3,0)</f>
        <v>T-1009</v>
      </c>
      <c r="Y650" s="93" t="str">
        <f>+VLOOKUP(Agencia[[#This Row],[contenido]],Estructura!$E$4:$G$500,3,0)</f>
        <v>C-993</v>
      </c>
      <c r="Z650" s="93" t="str">
        <f>+VLOOKUP(Agencia[[#This Row],[Filtro Integrado]],Estructura!$I$4:$K$500,3,0)</f>
        <v>FI-993</v>
      </c>
      <c r="AA650" s="93" t="str">
        <f>+VLOOKUP(Agencia[[#This Row],[Muestra]],Estructura!$M$4:$O$500,3,0)</f>
        <v>M-1065</v>
      </c>
    </row>
    <row r="651" spans="1:27" ht="61.2" x14ac:dyDescent="0.3">
      <c r="A651" s="21" t="s">
        <v>1155</v>
      </c>
      <c r="B651" s="23">
        <f t="shared" si="258"/>
        <v>990</v>
      </c>
      <c r="C651" s="24" t="str">
        <f t="shared" si="259"/>
        <v>Agencia Información</v>
      </c>
      <c r="D651" s="72" t="str">
        <f t="shared" si="272"/>
        <v>Economía</v>
      </c>
      <c r="E651" s="19">
        <v>9</v>
      </c>
      <c r="F651" s="18" t="s">
        <v>1462</v>
      </c>
      <c r="G651" s="18" t="s">
        <v>1470</v>
      </c>
      <c r="H651" s="33" t="s">
        <v>16</v>
      </c>
      <c r="I651" s="34" t="s">
        <v>376</v>
      </c>
      <c r="J651" s="9" t="str">
        <f t="shared" si="277"/>
        <v>Ninguno</v>
      </c>
      <c r="K651" s="9" t="str">
        <f t="shared" si="273"/>
        <v>Trabajadores dependientes informados</v>
      </c>
      <c r="L651" s="9" t="str">
        <f t="shared" si="274"/>
        <v>Año 2019</v>
      </c>
      <c r="M651" s="9" t="str">
        <f t="shared" si="275"/>
        <v>Personas</v>
      </c>
      <c r="N651" s="9" t="str">
        <f t="shared" si="276"/>
        <v>Servicio de Impuestos Internos (SII)</v>
      </c>
      <c r="O651" s="20" t="str">
        <f>+"Número trabajadores dependientes informados por sexo según tamaño de empresa en la "&amp;I651&amp;", "&amp;Agencia[[#This Row],[temporalidad]]</f>
        <v>Número trabajadores dependientes informados por sexo según tamaño de empresa en la Región de La Araucanía, Año 2019</v>
      </c>
      <c r="P651" s="112" t="s">
        <v>5781</v>
      </c>
      <c r="Q651" s="11" t="str">
        <f t="shared" si="270"/>
        <v>Gráfico</v>
      </c>
      <c r="R651" s="148" t="str">
        <f>Agencia[[#This Row],[territorio]]&amp;",trabajadores,dependientes,informados,tramo,empresas,ventas,anuales,grande,mediana,pequeña,micro,mujeres,sexo,hombres,género,sii,"&amp;Agencia[[#This Row],[coleccion]]&amp;","&amp;Agencia[[#This Row],[sector]]&amp;","&amp;Agencia[[#This Row],[tema]]&amp;","&amp;Agencia[[#This Row],[contenido]]</f>
        <v>Región de La Araucanía,trabajadores,dependientes,informados,tramo,empresas,ventas,anuales,grande,mediana,pequeña,micro,mujeres,sexo,hombres,género,sii,Agencia Información,Economía,Trabajadores por sexo,Empresas</v>
      </c>
      <c r="S651" s="37" t="str">
        <f>HYPERLINK("https://analytics.zoho.com/open-view/2395394000008435819?ZOHO_CRITERIA=%225.1%20Empresas_Tama%C3%B1o%22.%22Cod_Regi%C3%B3n%22%3D"&amp;Agencia[[#This Row],[Filtro URL]])</f>
        <v>https://analytics.zoho.com/open-view/2395394000008435819?ZOHO_CRITERIA=%225.1%20Empresas_Tama%C3%B1o%22.%22Cod_Regi%C3%B3n%22%3D9</v>
      </c>
      <c r="T651" s="108" t="str">
        <f>"100-R-"&amp;Agencia[[#This Row],[Filtro URL]]</f>
        <v>100-R-9</v>
      </c>
      <c r="U651" s="46" t="str">
        <f t="shared" si="271"/>
        <v>#1774B9</v>
      </c>
      <c r="V651" s="93" t="str">
        <f>+Agencia[[#This Row],[idcoleccion]]&amp;"-"&amp;Agencia[[#This Row],[id]]</f>
        <v>990-0640</v>
      </c>
      <c r="W651" s="93">
        <f>+VLOOKUP(Agencia[[#This Row],[Filtro URL]],Estructura!$X$4:$Y$500,2,0)</f>
        <v>99200009</v>
      </c>
      <c r="X651" s="93" t="str">
        <f>+VLOOKUP(Agencia[[#This Row],[tema]],Estructura!$A$4:$C$500,3,0)</f>
        <v>T-1009</v>
      </c>
      <c r="Y651" s="93" t="str">
        <f>+VLOOKUP(Agencia[[#This Row],[contenido]],Estructura!$E$4:$G$500,3,0)</f>
        <v>C-993</v>
      </c>
      <c r="Z651" s="93" t="str">
        <f>+VLOOKUP(Agencia[[#This Row],[Filtro Integrado]],Estructura!$I$4:$K$500,3,0)</f>
        <v>FI-993</v>
      </c>
      <c r="AA651" s="93" t="str">
        <f>+VLOOKUP(Agencia[[#This Row],[Muestra]],Estructura!$M$4:$O$500,3,0)</f>
        <v>M-1065</v>
      </c>
    </row>
    <row r="652" spans="1:27" ht="61.2" x14ac:dyDescent="0.3">
      <c r="A652" s="21" t="s">
        <v>1156</v>
      </c>
      <c r="B652" s="23">
        <f t="shared" si="258"/>
        <v>990</v>
      </c>
      <c r="C652" s="24" t="str">
        <f t="shared" si="259"/>
        <v>Agencia Información</v>
      </c>
      <c r="D652" s="72" t="str">
        <f t="shared" si="272"/>
        <v>Economía</v>
      </c>
      <c r="E652" s="19">
        <v>10</v>
      </c>
      <c r="F652" s="18" t="s">
        <v>1462</v>
      </c>
      <c r="G652" s="18" t="s">
        <v>1470</v>
      </c>
      <c r="H652" s="33" t="s">
        <v>16</v>
      </c>
      <c r="I652" s="34" t="s">
        <v>377</v>
      </c>
      <c r="J652" s="9" t="str">
        <f t="shared" si="277"/>
        <v>Ninguno</v>
      </c>
      <c r="K652" s="9" t="str">
        <f t="shared" si="273"/>
        <v>Trabajadores dependientes informados</v>
      </c>
      <c r="L652" s="9" t="str">
        <f t="shared" si="274"/>
        <v>Año 2019</v>
      </c>
      <c r="M652" s="9" t="str">
        <f t="shared" si="275"/>
        <v>Personas</v>
      </c>
      <c r="N652" s="9" t="str">
        <f t="shared" si="276"/>
        <v>Servicio de Impuestos Internos (SII)</v>
      </c>
      <c r="O652" s="20" t="str">
        <f>+"Número trabajadores dependientes informados por sexo según tamaño de empresa en la "&amp;I652&amp;", "&amp;Agencia[[#This Row],[temporalidad]]</f>
        <v>Número trabajadores dependientes informados por sexo según tamaño de empresa en la Región de Los Lagos, Año 2019</v>
      </c>
      <c r="P652" s="112" t="s">
        <v>5725</v>
      </c>
      <c r="Q652" s="11" t="str">
        <f t="shared" si="270"/>
        <v>Gráfico</v>
      </c>
      <c r="R652" s="148" t="str">
        <f>Agencia[[#This Row],[territorio]]&amp;",trabajadores,dependientes,informados,tramo,empresas,ventas,anuales,grande,mediana,pequeña,micro,mujeres,sexo,hombres,género,sii,"&amp;Agencia[[#This Row],[coleccion]]&amp;","&amp;Agencia[[#This Row],[sector]]&amp;","&amp;Agencia[[#This Row],[tema]]&amp;","&amp;Agencia[[#This Row],[contenido]]</f>
        <v>Región de Los Lagos,trabajadores,dependientes,informados,tramo,empresas,ventas,anuales,grande,mediana,pequeña,micro,mujeres,sexo,hombres,género,sii,Agencia Información,Economía,Trabajadores por sexo,Empresas</v>
      </c>
      <c r="S652" s="37" t="str">
        <f>HYPERLINK("https://analytics.zoho.com/open-view/2395394000008435819?ZOHO_CRITERIA=%225.1%20Empresas_Tama%C3%B1o%22.%22Cod_Regi%C3%B3n%22%3D"&amp;Agencia[[#This Row],[Filtro URL]])</f>
        <v>https://analytics.zoho.com/open-view/2395394000008435819?ZOHO_CRITERIA=%225.1%20Empresas_Tama%C3%B1o%22.%22Cod_Regi%C3%B3n%22%3D10</v>
      </c>
      <c r="T652" s="108" t="str">
        <f>"100-R-"&amp;Agencia[[#This Row],[Filtro URL]]</f>
        <v>100-R-10</v>
      </c>
      <c r="U652" s="46" t="str">
        <f t="shared" si="271"/>
        <v>#1774B9</v>
      </c>
      <c r="V652" s="93" t="str">
        <f>+Agencia[[#This Row],[idcoleccion]]&amp;"-"&amp;Agencia[[#This Row],[id]]</f>
        <v>990-0641</v>
      </c>
      <c r="W652" s="93">
        <f>+VLOOKUP(Agencia[[#This Row],[Filtro URL]],Estructura!$X$4:$Y$500,2,0)</f>
        <v>99200010</v>
      </c>
      <c r="X652" s="93" t="str">
        <f>+VLOOKUP(Agencia[[#This Row],[tema]],Estructura!$A$4:$C$500,3,0)</f>
        <v>T-1009</v>
      </c>
      <c r="Y652" s="93" t="str">
        <f>+VLOOKUP(Agencia[[#This Row],[contenido]],Estructura!$E$4:$G$500,3,0)</f>
        <v>C-993</v>
      </c>
      <c r="Z652" s="93" t="str">
        <f>+VLOOKUP(Agencia[[#This Row],[Filtro Integrado]],Estructura!$I$4:$K$500,3,0)</f>
        <v>FI-993</v>
      </c>
      <c r="AA652" s="93" t="str">
        <f>+VLOOKUP(Agencia[[#This Row],[Muestra]],Estructura!$M$4:$O$500,3,0)</f>
        <v>M-1065</v>
      </c>
    </row>
    <row r="653" spans="1:27" ht="61.2" x14ac:dyDescent="0.3">
      <c r="A653" s="21" t="s">
        <v>1157</v>
      </c>
      <c r="B653" s="23">
        <f t="shared" si="258"/>
        <v>990</v>
      </c>
      <c r="C653" s="24" t="str">
        <f t="shared" si="259"/>
        <v>Agencia Información</v>
      </c>
      <c r="D653" s="72" t="str">
        <f t="shared" si="272"/>
        <v>Economía</v>
      </c>
      <c r="E653" s="19">
        <v>11</v>
      </c>
      <c r="F653" s="18" t="s">
        <v>1462</v>
      </c>
      <c r="G653" s="18" t="s">
        <v>1470</v>
      </c>
      <c r="H653" s="33" t="s">
        <v>16</v>
      </c>
      <c r="I653" s="34" t="s">
        <v>378</v>
      </c>
      <c r="J653" s="9" t="str">
        <f t="shared" si="277"/>
        <v>Ninguno</v>
      </c>
      <c r="K653" s="9" t="str">
        <f t="shared" si="273"/>
        <v>Trabajadores dependientes informados</v>
      </c>
      <c r="L653" s="9" t="str">
        <f t="shared" si="274"/>
        <v>Año 2019</v>
      </c>
      <c r="M653" s="9" t="str">
        <f t="shared" si="275"/>
        <v>Personas</v>
      </c>
      <c r="N653" s="9" t="str">
        <f t="shared" si="276"/>
        <v>Servicio de Impuestos Internos (SII)</v>
      </c>
      <c r="O653" s="20" t="str">
        <f>+"Número trabajadores dependientes informados por sexo según tamaño de empresa en la "&amp;I653&amp;", "&amp;Agencia[[#This Row],[temporalidad]]</f>
        <v>Número trabajadores dependientes informados por sexo según tamaño de empresa en la Región de Aysén, Año 2019</v>
      </c>
      <c r="P653" s="112" t="s">
        <v>5726</v>
      </c>
      <c r="Q653" s="11" t="str">
        <f t="shared" si="270"/>
        <v>Gráfico</v>
      </c>
      <c r="R653" s="148" t="str">
        <f>Agencia[[#This Row],[territorio]]&amp;",trabajadores,dependientes,informados,tramo,empresas,ventas,anuales,grande,mediana,pequeña,micro,mujeres,sexo,hombres,género,sii,"&amp;Agencia[[#This Row],[coleccion]]&amp;","&amp;Agencia[[#This Row],[sector]]&amp;","&amp;Agencia[[#This Row],[tema]]&amp;","&amp;Agencia[[#This Row],[contenido]]</f>
        <v>Región de Aysén,trabajadores,dependientes,informados,tramo,empresas,ventas,anuales,grande,mediana,pequeña,micro,mujeres,sexo,hombres,género,sii,Agencia Información,Economía,Trabajadores por sexo,Empresas</v>
      </c>
      <c r="S653" s="37" t="str">
        <f>HYPERLINK("https://analytics.zoho.com/open-view/2395394000008435819?ZOHO_CRITERIA=%225.1%20Empresas_Tama%C3%B1o%22.%22Cod_Regi%C3%B3n%22%3D"&amp;Agencia[[#This Row],[Filtro URL]])</f>
        <v>https://analytics.zoho.com/open-view/2395394000008435819?ZOHO_CRITERIA=%225.1%20Empresas_Tama%C3%B1o%22.%22Cod_Regi%C3%B3n%22%3D11</v>
      </c>
      <c r="T653" s="108" t="str">
        <f>"100-R-"&amp;Agencia[[#This Row],[Filtro URL]]</f>
        <v>100-R-11</v>
      </c>
      <c r="U653" s="46" t="str">
        <f t="shared" si="271"/>
        <v>#1774B9</v>
      </c>
      <c r="V653" s="93" t="str">
        <f>+Agencia[[#This Row],[idcoleccion]]&amp;"-"&amp;Agencia[[#This Row],[id]]</f>
        <v>990-0642</v>
      </c>
      <c r="W653" s="93">
        <f>+VLOOKUP(Agencia[[#This Row],[Filtro URL]],Estructura!$X$4:$Y$500,2,0)</f>
        <v>99200011</v>
      </c>
      <c r="X653" s="93" t="str">
        <f>+VLOOKUP(Agencia[[#This Row],[tema]],Estructura!$A$4:$C$500,3,0)</f>
        <v>T-1009</v>
      </c>
      <c r="Y653" s="93" t="str">
        <f>+VLOOKUP(Agencia[[#This Row],[contenido]],Estructura!$E$4:$G$500,3,0)</f>
        <v>C-993</v>
      </c>
      <c r="Z653" s="93" t="str">
        <f>+VLOOKUP(Agencia[[#This Row],[Filtro Integrado]],Estructura!$I$4:$K$500,3,0)</f>
        <v>FI-993</v>
      </c>
      <c r="AA653" s="93" t="str">
        <f>+VLOOKUP(Agencia[[#This Row],[Muestra]],Estructura!$M$4:$O$500,3,0)</f>
        <v>M-1065</v>
      </c>
    </row>
    <row r="654" spans="1:27" ht="71.400000000000006" x14ac:dyDescent="0.3">
      <c r="A654" s="21" t="s">
        <v>1158</v>
      </c>
      <c r="B654" s="23">
        <f t="shared" si="258"/>
        <v>990</v>
      </c>
      <c r="C654" s="24" t="str">
        <f t="shared" si="259"/>
        <v>Agencia Información</v>
      </c>
      <c r="D654" s="72" t="str">
        <f t="shared" si="272"/>
        <v>Economía</v>
      </c>
      <c r="E654" s="19">
        <v>12</v>
      </c>
      <c r="F654" s="18" t="s">
        <v>1462</v>
      </c>
      <c r="G654" s="18" t="s">
        <v>1470</v>
      </c>
      <c r="H654" s="33" t="s">
        <v>16</v>
      </c>
      <c r="I654" s="34" t="s">
        <v>379</v>
      </c>
      <c r="J654" s="9" t="str">
        <f t="shared" si="277"/>
        <v>Ninguno</v>
      </c>
      <c r="K654" s="9" t="str">
        <f t="shared" si="273"/>
        <v>Trabajadores dependientes informados</v>
      </c>
      <c r="L654" s="9" t="str">
        <f t="shared" si="274"/>
        <v>Año 2019</v>
      </c>
      <c r="M654" s="9" t="str">
        <f t="shared" si="275"/>
        <v>Personas</v>
      </c>
      <c r="N654" s="9" t="str">
        <f t="shared" si="276"/>
        <v>Servicio de Impuestos Internos (SII)</v>
      </c>
      <c r="O654" s="20" t="str">
        <f>+"Número trabajadores dependientes informados por sexo según tamaño de empresa en la "&amp;I654&amp;", "&amp;Agencia[[#This Row],[temporalidad]]</f>
        <v>Número trabajadores dependientes informados por sexo según tamaño de empresa en la Región de Magallanes, Año 2019</v>
      </c>
      <c r="P654" s="112" t="s">
        <v>5782</v>
      </c>
      <c r="Q654" s="11" t="str">
        <f t="shared" si="270"/>
        <v>Gráfico</v>
      </c>
      <c r="R654" s="148" t="str">
        <f>Agencia[[#This Row],[territorio]]&amp;",trabajadores,dependientes,informados,tramo,empresas,ventas,anuales,grande,mediana,pequeña,micro,mujeres,sexo,hombres,género,sii,"&amp;Agencia[[#This Row],[coleccion]]&amp;","&amp;Agencia[[#This Row],[sector]]&amp;","&amp;Agencia[[#This Row],[tema]]&amp;","&amp;Agencia[[#This Row],[contenido]]</f>
        <v>Región de Magallanes,trabajadores,dependientes,informados,tramo,empresas,ventas,anuales,grande,mediana,pequeña,micro,mujeres,sexo,hombres,género,sii,Agencia Información,Economía,Trabajadores por sexo,Empresas</v>
      </c>
      <c r="S654" s="37" t="str">
        <f>HYPERLINK("https://analytics.zoho.com/open-view/2395394000008435819?ZOHO_CRITERIA=%225.1%20Empresas_Tama%C3%B1o%22.%22Cod_Regi%C3%B3n%22%3D"&amp;Agencia[[#This Row],[Filtro URL]])</f>
        <v>https://analytics.zoho.com/open-view/2395394000008435819?ZOHO_CRITERIA=%225.1%20Empresas_Tama%C3%B1o%22.%22Cod_Regi%C3%B3n%22%3D12</v>
      </c>
      <c r="T654" s="108" t="str">
        <f>"100-R-"&amp;Agencia[[#This Row],[Filtro URL]]</f>
        <v>100-R-12</v>
      </c>
      <c r="U654" s="46" t="str">
        <f t="shared" si="271"/>
        <v>#1774B9</v>
      </c>
      <c r="V654" s="93" t="str">
        <f>+Agencia[[#This Row],[idcoleccion]]&amp;"-"&amp;Agencia[[#This Row],[id]]</f>
        <v>990-0643</v>
      </c>
      <c r="W654" s="93">
        <f>+VLOOKUP(Agencia[[#This Row],[Filtro URL]],Estructura!$X$4:$Y$500,2,0)</f>
        <v>99200012</v>
      </c>
      <c r="X654" s="93" t="str">
        <f>+VLOOKUP(Agencia[[#This Row],[tema]],Estructura!$A$4:$C$500,3,0)</f>
        <v>T-1009</v>
      </c>
      <c r="Y654" s="93" t="str">
        <f>+VLOOKUP(Agencia[[#This Row],[contenido]],Estructura!$E$4:$G$500,3,0)</f>
        <v>C-993</v>
      </c>
      <c r="Z654" s="93" t="str">
        <f>+VLOOKUP(Agencia[[#This Row],[Filtro Integrado]],Estructura!$I$4:$K$500,3,0)</f>
        <v>FI-993</v>
      </c>
      <c r="AA654" s="93" t="str">
        <f>+VLOOKUP(Agencia[[#This Row],[Muestra]],Estructura!$M$4:$O$500,3,0)</f>
        <v>M-1065</v>
      </c>
    </row>
    <row r="655" spans="1:27" ht="71.400000000000006" x14ac:dyDescent="0.3">
      <c r="A655" s="21" t="s">
        <v>1159</v>
      </c>
      <c r="B655" s="23">
        <f t="shared" si="258"/>
        <v>990</v>
      </c>
      <c r="C655" s="24" t="str">
        <f t="shared" si="259"/>
        <v>Agencia Información</v>
      </c>
      <c r="D655" s="72" t="str">
        <f t="shared" si="272"/>
        <v>Economía</v>
      </c>
      <c r="E655" s="19">
        <v>13</v>
      </c>
      <c r="F655" s="18" t="s">
        <v>1462</v>
      </c>
      <c r="G655" s="18" t="s">
        <v>1470</v>
      </c>
      <c r="H655" s="33" t="s">
        <v>16</v>
      </c>
      <c r="I655" s="34" t="s">
        <v>380</v>
      </c>
      <c r="J655" s="9" t="str">
        <f t="shared" si="277"/>
        <v>Ninguno</v>
      </c>
      <c r="K655" s="9" t="str">
        <f t="shared" si="273"/>
        <v>Trabajadores dependientes informados</v>
      </c>
      <c r="L655" s="9" t="str">
        <f t="shared" si="274"/>
        <v>Año 2019</v>
      </c>
      <c r="M655" s="9" t="str">
        <f t="shared" si="275"/>
        <v>Personas</v>
      </c>
      <c r="N655" s="9" t="str">
        <f t="shared" si="276"/>
        <v>Servicio de Impuestos Internos (SII)</v>
      </c>
      <c r="O655" s="20" t="str">
        <f>+"Número trabajadores dependientes informados por sexo según tamaño de empresa en la "&amp;I655&amp;", "&amp;Agencia[[#This Row],[temporalidad]]</f>
        <v>Número trabajadores dependientes informados por sexo según tamaño de empresa en la Región Metropolitana, Año 2019</v>
      </c>
      <c r="P655" s="112" t="s">
        <v>5727</v>
      </c>
      <c r="Q655" s="11" t="str">
        <f t="shared" si="270"/>
        <v>Gráfico</v>
      </c>
      <c r="R655" s="148" t="str">
        <f>Agencia[[#This Row],[territorio]]&amp;",trabajadores,dependientes,informados,tramo,empresas,ventas,anuales,grande,mediana,pequeña,micro,mujeres,sexo,hombres,género,sii,"&amp;Agencia[[#This Row],[coleccion]]&amp;","&amp;Agencia[[#This Row],[sector]]&amp;","&amp;Agencia[[#This Row],[tema]]&amp;","&amp;Agencia[[#This Row],[contenido]]</f>
        <v>Región Metropolitana,trabajadores,dependientes,informados,tramo,empresas,ventas,anuales,grande,mediana,pequeña,micro,mujeres,sexo,hombres,género,sii,Agencia Información,Economía,Trabajadores por sexo,Empresas</v>
      </c>
      <c r="S655" s="37" t="str">
        <f>HYPERLINK("https://analytics.zoho.com/open-view/2395394000008435819?ZOHO_CRITERIA=%225.1%20Empresas_Tama%C3%B1o%22.%22Cod_Regi%C3%B3n%22%3D"&amp;Agencia[[#This Row],[Filtro URL]])</f>
        <v>https://analytics.zoho.com/open-view/2395394000008435819?ZOHO_CRITERIA=%225.1%20Empresas_Tama%C3%B1o%22.%22Cod_Regi%C3%B3n%22%3D13</v>
      </c>
      <c r="T655" s="108" t="str">
        <f>"200-R-"&amp;Agencia[[#This Row],[Filtro URL]]</f>
        <v>200-R-13</v>
      </c>
      <c r="U655" s="46" t="str">
        <f t="shared" si="271"/>
        <v>#1774B9</v>
      </c>
      <c r="V655" s="93" t="str">
        <f>+Agencia[[#This Row],[idcoleccion]]&amp;"-"&amp;Agencia[[#This Row],[id]]</f>
        <v>990-0644</v>
      </c>
      <c r="W655" s="93">
        <f>+VLOOKUP(Agencia[[#This Row],[Filtro URL]],Estructura!$X$4:$Y$500,2,0)</f>
        <v>99200013</v>
      </c>
      <c r="X655" s="93" t="str">
        <f>+VLOOKUP(Agencia[[#This Row],[tema]],Estructura!$A$4:$C$500,3,0)</f>
        <v>T-1009</v>
      </c>
      <c r="Y655" s="93" t="str">
        <f>+VLOOKUP(Agencia[[#This Row],[contenido]],Estructura!$E$4:$G$500,3,0)</f>
        <v>C-993</v>
      </c>
      <c r="Z655" s="93" t="str">
        <f>+VLOOKUP(Agencia[[#This Row],[Filtro Integrado]],Estructura!$I$4:$K$500,3,0)</f>
        <v>FI-993</v>
      </c>
      <c r="AA655" s="93" t="str">
        <f>+VLOOKUP(Agencia[[#This Row],[Muestra]],Estructura!$M$4:$O$500,3,0)</f>
        <v>M-1065</v>
      </c>
    </row>
    <row r="656" spans="1:27" ht="61.2" x14ac:dyDescent="0.3">
      <c r="A656" s="21" t="s">
        <v>1160</v>
      </c>
      <c r="B656" s="23">
        <f t="shared" si="258"/>
        <v>990</v>
      </c>
      <c r="C656" s="24" t="str">
        <f t="shared" si="259"/>
        <v>Agencia Información</v>
      </c>
      <c r="D656" s="72" t="str">
        <f t="shared" si="272"/>
        <v>Economía</v>
      </c>
      <c r="E656" s="19">
        <v>14</v>
      </c>
      <c r="F656" s="18" t="s">
        <v>1462</v>
      </c>
      <c r="G656" s="18" t="s">
        <v>1470</v>
      </c>
      <c r="H656" s="33" t="s">
        <v>16</v>
      </c>
      <c r="I656" s="34" t="s">
        <v>381</v>
      </c>
      <c r="J656" s="9" t="str">
        <f t="shared" si="277"/>
        <v>Ninguno</v>
      </c>
      <c r="K656" s="9" t="str">
        <f t="shared" si="273"/>
        <v>Trabajadores dependientes informados</v>
      </c>
      <c r="L656" s="9" t="str">
        <f t="shared" si="274"/>
        <v>Año 2019</v>
      </c>
      <c r="M656" s="9" t="str">
        <f t="shared" si="275"/>
        <v>Personas</v>
      </c>
      <c r="N656" s="9" t="str">
        <f t="shared" si="276"/>
        <v>Servicio de Impuestos Internos (SII)</v>
      </c>
      <c r="O656" s="20" t="str">
        <f>+"Número trabajadores dependientes informados por sexo según tamaño de empresa en la "&amp;I656&amp;", "&amp;Agencia[[#This Row],[temporalidad]]</f>
        <v>Número trabajadores dependientes informados por sexo según tamaño de empresa en la Región de Los Ríos, Año 2019</v>
      </c>
      <c r="P656" s="112" t="s">
        <v>5728</v>
      </c>
      <c r="Q656" s="11" t="str">
        <f t="shared" si="270"/>
        <v>Gráfico</v>
      </c>
      <c r="R656" s="148" t="str">
        <f>Agencia[[#This Row],[territorio]]&amp;",trabajadores,dependientes,informados,tramo,empresas,ventas,anuales,grande,mediana,pequeña,micro,mujeres,sexo,hombres,género,sii,"&amp;Agencia[[#This Row],[coleccion]]&amp;","&amp;Agencia[[#This Row],[sector]]&amp;","&amp;Agencia[[#This Row],[tema]]&amp;","&amp;Agencia[[#This Row],[contenido]]</f>
        <v>Región de Los Ríos,trabajadores,dependientes,informados,tramo,empresas,ventas,anuales,grande,mediana,pequeña,micro,mujeres,sexo,hombres,género,sii,Agencia Información,Economía,Trabajadores por sexo,Empresas</v>
      </c>
      <c r="S656" s="37" t="str">
        <f>HYPERLINK("https://analytics.zoho.com/open-view/2395394000008435819?ZOHO_CRITERIA=%225.1%20Empresas_Tama%C3%B1o%22.%22Cod_Regi%C3%B3n%22%3D"&amp;Agencia[[#This Row],[Filtro URL]])</f>
        <v>https://analytics.zoho.com/open-view/2395394000008435819?ZOHO_CRITERIA=%225.1%20Empresas_Tama%C3%B1o%22.%22Cod_Regi%C3%B3n%22%3D14</v>
      </c>
      <c r="T656" s="108" t="str">
        <f>"100-R-"&amp;Agencia[[#This Row],[Filtro URL]]</f>
        <v>100-R-14</v>
      </c>
      <c r="U656" s="46" t="str">
        <f t="shared" si="271"/>
        <v>#1774B9</v>
      </c>
      <c r="V656" s="93" t="str">
        <f>+Agencia[[#This Row],[idcoleccion]]&amp;"-"&amp;Agencia[[#This Row],[id]]</f>
        <v>990-0645</v>
      </c>
      <c r="W656" s="93">
        <f>+VLOOKUP(Agencia[[#This Row],[Filtro URL]],Estructura!$X$4:$Y$500,2,0)</f>
        <v>99200014</v>
      </c>
      <c r="X656" s="93" t="str">
        <f>+VLOOKUP(Agencia[[#This Row],[tema]],Estructura!$A$4:$C$500,3,0)</f>
        <v>T-1009</v>
      </c>
      <c r="Y656" s="93" t="str">
        <f>+VLOOKUP(Agencia[[#This Row],[contenido]],Estructura!$E$4:$G$500,3,0)</f>
        <v>C-993</v>
      </c>
      <c r="Z656" s="93" t="str">
        <f>+VLOOKUP(Agencia[[#This Row],[Filtro Integrado]],Estructura!$I$4:$K$500,3,0)</f>
        <v>FI-993</v>
      </c>
      <c r="AA656" s="93" t="str">
        <f>+VLOOKUP(Agencia[[#This Row],[Muestra]],Estructura!$M$4:$O$500,3,0)</f>
        <v>M-1065</v>
      </c>
    </row>
    <row r="657" spans="1:27" ht="61.2" x14ac:dyDescent="0.3">
      <c r="A657" s="21" t="s">
        <v>1161</v>
      </c>
      <c r="B657" s="23">
        <f t="shared" si="258"/>
        <v>990</v>
      </c>
      <c r="C657" s="24" t="str">
        <f t="shared" si="259"/>
        <v>Agencia Información</v>
      </c>
      <c r="D657" s="72" t="str">
        <f t="shared" si="272"/>
        <v>Economía</v>
      </c>
      <c r="E657" s="19">
        <v>15</v>
      </c>
      <c r="F657" s="18" t="s">
        <v>1462</v>
      </c>
      <c r="G657" s="18" t="s">
        <v>1470</v>
      </c>
      <c r="H657" s="33" t="s">
        <v>16</v>
      </c>
      <c r="I657" s="34" t="s">
        <v>382</v>
      </c>
      <c r="J657" s="9" t="str">
        <f t="shared" si="277"/>
        <v>Ninguno</v>
      </c>
      <c r="K657" s="9" t="str">
        <f t="shared" si="273"/>
        <v>Trabajadores dependientes informados</v>
      </c>
      <c r="L657" s="9" t="str">
        <f t="shared" si="274"/>
        <v>Año 2019</v>
      </c>
      <c r="M657" s="9" t="str">
        <f t="shared" si="275"/>
        <v>Personas</v>
      </c>
      <c r="N657" s="9" t="str">
        <f t="shared" si="276"/>
        <v>Servicio de Impuestos Internos (SII)</v>
      </c>
      <c r="O657" s="20" t="str">
        <f>+"Número trabajadores dependientes informados por sexo según tamaño de empresa en la "&amp;I657&amp;", "&amp;Agencia[[#This Row],[temporalidad]]</f>
        <v>Número trabajadores dependientes informados por sexo según tamaño de empresa en la Región de Arica y Parinacota, Año 2019</v>
      </c>
      <c r="P657" s="112" t="s">
        <v>5783</v>
      </c>
      <c r="Q657" s="11" t="str">
        <f t="shared" si="270"/>
        <v>Gráfico</v>
      </c>
      <c r="R657" s="148" t="str">
        <f>Agencia[[#This Row],[territorio]]&amp;",trabajadores,dependientes,informados,tramo,empresas,ventas,anuales,grande,mediana,pequeña,micro,mujeres,sexo,hombres,género,sii,"&amp;Agencia[[#This Row],[coleccion]]&amp;","&amp;Agencia[[#This Row],[sector]]&amp;","&amp;Agencia[[#This Row],[tema]]&amp;","&amp;Agencia[[#This Row],[contenido]]</f>
        <v>Región de Arica y Parinacota,trabajadores,dependientes,informados,tramo,empresas,ventas,anuales,grande,mediana,pequeña,micro,mujeres,sexo,hombres,género,sii,Agencia Información,Economía,Trabajadores por sexo,Empresas</v>
      </c>
      <c r="S657" s="37" t="str">
        <f>HYPERLINK("https://analytics.zoho.com/open-view/2395394000008435819?ZOHO_CRITERIA=%225.1%20Empresas_Tama%C3%B1o%22.%22Cod_Regi%C3%B3n%22%3D"&amp;Agencia[[#This Row],[Filtro URL]])</f>
        <v>https://analytics.zoho.com/open-view/2395394000008435819?ZOHO_CRITERIA=%225.1%20Empresas_Tama%C3%B1o%22.%22Cod_Regi%C3%B3n%22%3D15</v>
      </c>
      <c r="T657" s="108" t="str">
        <f>"100-R-"&amp;Agencia[[#This Row],[Filtro URL]]</f>
        <v>100-R-15</v>
      </c>
      <c r="U657" s="46" t="str">
        <f t="shared" si="271"/>
        <v>#1774B9</v>
      </c>
      <c r="V657" s="93" t="str">
        <f>+Agencia[[#This Row],[idcoleccion]]&amp;"-"&amp;Agencia[[#This Row],[id]]</f>
        <v>990-0646</v>
      </c>
      <c r="W657" s="93">
        <f>+VLOOKUP(Agencia[[#This Row],[Filtro URL]],Estructura!$X$4:$Y$500,2,0)</f>
        <v>99200015</v>
      </c>
      <c r="X657" s="93" t="str">
        <f>+VLOOKUP(Agencia[[#This Row],[tema]],Estructura!$A$4:$C$500,3,0)</f>
        <v>T-1009</v>
      </c>
      <c r="Y657" s="93" t="str">
        <f>+VLOOKUP(Agencia[[#This Row],[contenido]],Estructura!$E$4:$G$500,3,0)</f>
        <v>C-993</v>
      </c>
      <c r="Z657" s="93" t="str">
        <f>+VLOOKUP(Agencia[[#This Row],[Filtro Integrado]],Estructura!$I$4:$K$500,3,0)</f>
        <v>FI-993</v>
      </c>
      <c r="AA657" s="93" t="str">
        <f>+VLOOKUP(Agencia[[#This Row],[Muestra]],Estructura!$M$4:$O$500,3,0)</f>
        <v>M-1065</v>
      </c>
    </row>
    <row r="658" spans="1:27" ht="61.2" x14ac:dyDescent="0.3">
      <c r="A658" s="21" t="s">
        <v>1162</v>
      </c>
      <c r="B658" s="23">
        <f t="shared" si="258"/>
        <v>990</v>
      </c>
      <c r="C658" s="24" t="str">
        <f t="shared" si="259"/>
        <v>Agencia Información</v>
      </c>
      <c r="D658" s="72" t="str">
        <f t="shared" si="272"/>
        <v>Economía</v>
      </c>
      <c r="E658" s="19">
        <v>16</v>
      </c>
      <c r="F658" s="18" t="s">
        <v>1462</v>
      </c>
      <c r="G658" s="18" t="s">
        <v>1470</v>
      </c>
      <c r="H658" s="33" t="s">
        <v>16</v>
      </c>
      <c r="I658" s="34" t="s">
        <v>383</v>
      </c>
      <c r="J658" s="9" t="str">
        <f t="shared" si="277"/>
        <v>Ninguno</v>
      </c>
      <c r="K658" s="9" t="str">
        <f t="shared" si="273"/>
        <v>Trabajadores dependientes informados</v>
      </c>
      <c r="L658" s="9" t="str">
        <f t="shared" si="274"/>
        <v>Año 2019</v>
      </c>
      <c r="M658" s="9" t="str">
        <f t="shared" si="275"/>
        <v>Personas</v>
      </c>
      <c r="N658" s="9" t="str">
        <f t="shared" si="276"/>
        <v>Servicio de Impuestos Internos (SII)</v>
      </c>
      <c r="O658" s="20" t="str">
        <f>+"Número trabajadores dependientes informados por sexo según tamaño de empresa en la "&amp;I658&amp;", "&amp;Agencia[[#This Row],[temporalidad]]</f>
        <v>Número trabajadores dependientes informados por sexo según tamaño de empresa en la Región de Ñuble, Año 2019</v>
      </c>
      <c r="P658" s="112" t="s">
        <v>5784</v>
      </c>
      <c r="Q658" s="11" t="str">
        <f t="shared" si="270"/>
        <v>Gráfico</v>
      </c>
      <c r="R658" s="148" t="str">
        <f>Agencia[[#This Row],[territorio]]&amp;",trabajadores,dependientes,informados,tramo,empresas,ventas,anuales,grande,mediana,pequeña,micro,mujeres,sexo,hombres,género,sii,"&amp;Agencia[[#This Row],[coleccion]]&amp;","&amp;Agencia[[#This Row],[sector]]&amp;","&amp;Agencia[[#This Row],[tema]]&amp;","&amp;Agencia[[#This Row],[contenido]]</f>
        <v>Región de Ñuble,trabajadores,dependientes,informados,tramo,empresas,ventas,anuales,grande,mediana,pequeña,micro,mujeres,sexo,hombres,género,sii,Agencia Información,Economía,Trabajadores por sexo,Empresas</v>
      </c>
      <c r="S658" s="37" t="str">
        <f>HYPERLINK("https://analytics.zoho.com/open-view/2395394000008435819?ZOHO_CRITERIA=%225.1%20Empresas_Tama%C3%B1o%22.%22Cod_Regi%C3%B3n%22%3D"&amp;Agencia[[#This Row],[Filtro URL]])</f>
        <v>https://analytics.zoho.com/open-view/2395394000008435819?ZOHO_CRITERIA=%225.1%20Empresas_Tama%C3%B1o%22.%22Cod_Regi%C3%B3n%22%3D16</v>
      </c>
      <c r="T658" s="108" t="str">
        <f>"100-R-"&amp;Agencia[[#This Row],[Filtro URL]]</f>
        <v>100-R-16</v>
      </c>
      <c r="U658" s="46" t="str">
        <f t="shared" si="271"/>
        <v>#1774B9</v>
      </c>
      <c r="V658" s="93" t="str">
        <f>+Agencia[[#This Row],[idcoleccion]]&amp;"-"&amp;Agencia[[#This Row],[id]]</f>
        <v>990-0647</v>
      </c>
      <c r="W658" s="93">
        <f>+VLOOKUP(Agencia[[#This Row],[Filtro URL]],Estructura!$X$4:$Y$500,2,0)</f>
        <v>99200016</v>
      </c>
      <c r="X658" s="93" t="str">
        <f>+VLOOKUP(Agencia[[#This Row],[tema]],Estructura!$A$4:$C$500,3,0)</f>
        <v>T-1009</v>
      </c>
      <c r="Y658" s="93" t="str">
        <f>+VLOOKUP(Agencia[[#This Row],[contenido]],Estructura!$E$4:$G$500,3,0)</f>
        <v>C-993</v>
      </c>
      <c r="Z658" s="93" t="str">
        <f>+VLOOKUP(Agencia[[#This Row],[Filtro Integrado]],Estructura!$I$4:$K$500,3,0)</f>
        <v>FI-993</v>
      </c>
      <c r="AA658" s="93" t="str">
        <f>+VLOOKUP(Agencia[[#This Row],[Muestra]],Estructura!$M$4:$O$500,3,0)</f>
        <v>M-1065</v>
      </c>
    </row>
    <row r="659" spans="1:27" ht="51" x14ac:dyDescent="0.3">
      <c r="A659" s="21" t="s">
        <v>1163</v>
      </c>
      <c r="B659" s="23">
        <f t="shared" si="258"/>
        <v>990</v>
      </c>
      <c r="C659" s="24" t="str">
        <f t="shared" si="259"/>
        <v>Agencia Información</v>
      </c>
      <c r="D659" s="72" t="s">
        <v>823</v>
      </c>
      <c r="E659" s="14">
        <v>0</v>
      </c>
      <c r="F659" s="18" t="s">
        <v>1466</v>
      </c>
      <c r="G659" s="18" t="s">
        <v>1470</v>
      </c>
      <c r="H659" s="31" t="s">
        <v>20</v>
      </c>
      <c r="I659" s="32" t="s">
        <v>15</v>
      </c>
      <c r="J659" s="9" t="s">
        <v>16</v>
      </c>
      <c r="K659" s="9" t="s">
        <v>1465</v>
      </c>
      <c r="L659" s="9" t="s">
        <v>1391</v>
      </c>
      <c r="M659" s="9" t="s">
        <v>1464</v>
      </c>
      <c r="N659" s="9" t="s">
        <v>826</v>
      </c>
      <c r="O659" s="20" t="str">
        <f>+"Renta neta informada de trabajadoras en "&amp;I659&amp;", "&amp;Agencia[[#This Row],[temporalidad]]</f>
        <v>Renta neta informada de trabajadoras en Chile, Periodo 2005-2019</v>
      </c>
      <c r="P659" s="112" t="s">
        <v>5785</v>
      </c>
      <c r="Q659" s="11" t="s">
        <v>784</v>
      </c>
      <c r="R659" s="20" t="str">
        <f>Agencia[[#This Row],[territorio]]&amp;",regional,trabajadoras,mujeres,femenino,género,renta,neta,informada,sii,tamaño,empresa,micro,pequeña,mediana,grande,PYME,"&amp;Agencia[[#This Row],[coleccion]]&amp;","&amp;Agencia[[#This Row],[sector]]&amp;","&amp;Agencia[[#This Row],[tema]]&amp;","&amp;Agencia[[#This Row],[contenido]]</f>
        <v>Chile,regional,trabajadoras,mujeres,femenino,género,renta,neta,informada,sii,tamaño,empresa,micro,pequeña,mediana,grande,PYME,Agencia Información,Economía,Renta neta,Empresas</v>
      </c>
      <c r="S659" s="83" t="s">
        <v>1467</v>
      </c>
      <c r="T659" s="108" t="s">
        <v>805</v>
      </c>
      <c r="U659" s="46" t="str">
        <f t="shared" si="271"/>
        <v>#1774B9</v>
      </c>
      <c r="V659" s="93" t="str">
        <f>+Agencia[[#This Row],[idcoleccion]]&amp;"-"&amp;Agencia[[#This Row],[id]]</f>
        <v>990-0648</v>
      </c>
      <c r="W659" s="93">
        <f>+VLOOKUP(Agencia[[#This Row],[Filtro URL]],Estructura!$X$4:$Y$500,2,0)</f>
        <v>99100000</v>
      </c>
      <c r="X659" s="93" t="str">
        <f>+VLOOKUP(Agencia[[#This Row],[tema]],Estructura!$A$4:$C$500,3,0)</f>
        <v>T-1010</v>
      </c>
      <c r="Y659" s="93" t="str">
        <f>+VLOOKUP(Agencia[[#This Row],[contenido]],Estructura!$E$4:$G$500,3,0)</f>
        <v>C-993</v>
      </c>
      <c r="Z659" s="93" t="str">
        <f>+VLOOKUP(Agencia[[#This Row],[Filtro Integrado]],Estructura!$I$4:$K$500,3,0)</f>
        <v>FI-992</v>
      </c>
      <c r="AA659" s="93" t="str">
        <f>+VLOOKUP(Agencia[[#This Row],[Muestra]],Estructura!$M$4:$O$500,3,0)</f>
        <v>M-1009</v>
      </c>
    </row>
    <row r="660" spans="1:27" ht="57.6" x14ac:dyDescent="0.3">
      <c r="A660" s="21" t="s">
        <v>1164</v>
      </c>
      <c r="B660" s="23">
        <f t="shared" si="258"/>
        <v>990</v>
      </c>
      <c r="C660" s="24" t="str">
        <f t="shared" si="259"/>
        <v>Agencia Información</v>
      </c>
      <c r="D660" s="72" t="str">
        <f t="shared" ref="D660:D675" si="278">+D659</f>
        <v>Economía</v>
      </c>
      <c r="E660" s="19">
        <v>1</v>
      </c>
      <c r="F660" s="18" t="s">
        <v>1466</v>
      </c>
      <c r="G660" s="18" t="s">
        <v>1470</v>
      </c>
      <c r="H660" s="33" t="s">
        <v>16</v>
      </c>
      <c r="I660" s="34" t="s">
        <v>368</v>
      </c>
      <c r="J660" s="9" t="s">
        <v>403</v>
      </c>
      <c r="K660" s="9" t="str">
        <f t="shared" ref="K660:K675" si="279">+K659</f>
        <v>Renta neta informada</v>
      </c>
      <c r="L660" s="9" t="str">
        <f t="shared" ref="L660:L675" si="280">+L659</f>
        <v>Periodo 2005-2019</v>
      </c>
      <c r="M660" s="9" t="str">
        <f t="shared" ref="M660:M675" si="281">+M659</f>
        <v>CLP</v>
      </c>
      <c r="N660" s="9" t="str">
        <f t="shared" ref="N660:N675" si="282">+N659</f>
        <v>Servicio de Impuestos Internos (SII)</v>
      </c>
      <c r="O660" s="20" t="str">
        <f>+"Renta neta informada de trabajadoras en la "&amp;I660&amp;", "&amp;Agencia[[#This Row],[temporalidad]]</f>
        <v>Renta neta informada de trabajadoras en la Región de Tarapacá, Periodo 2005-2019</v>
      </c>
      <c r="P660" s="112" t="s">
        <v>5729</v>
      </c>
      <c r="Q660" s="11" t="str">
        <f t="shared" si="270"/>
        <v>Gráfico de Evolución</v>
      </c>
      <c r="R660" s="148" t="str">
        <f>Agencia[[#This Row],[territorio]]&amp;",regional,trabajadoras,mujeres,femenino,género,renta,neta,informada,sii,tamaño,empresa,micro,pequeña,mediana,grande,PYME,"&amp;Agencia[[#This Row],[coleccion]]&amp;","&amp;Agencia[[#This Row],[sector]]&amp;","&amp;Agencia[[#This Row],[tema]]&amp;","&amp;Agencia[[#This Row],[contenido]]</f>
        <v>Región de Tarapacá,regional,trabajadoras,mujeres,femenino,género,renta,neta,informada,sii,tamaño,empresa,micro,pequeña,mediana,grande,PYME,Agencia Información,Economía,Renta neta,Empresas</v>
      </c>
      <c r="S660" s="37" t="str">
        <f>HYPERLINK("https://analytics.zoho.com/open-view/2395394000008038636?ZOHO_CRITERIA=%225.1%20Empresas_Tama%C3%B1o%22.%22Cod_Regi%C3%B3n%22%3D"&amp;Agencia[[#This Row],[Filtro URL]])</f>
        <v>https://analytics.zoho.com/open-view/2395394000008038636?ZOHO_CRITERIA=%225.1%20Empresas_Tama%C3%B1o%22.%22Cod_Regi%C3%B3n%22%3D1</v>
      </c>
      <c r="T660" s="108" t="str">
        <f>"100-R-"&amp;Agencia[[#This Row],[Filtro URL]]</f>
        <v>100-R-1</v>
      </c>
      <c r="U660" s="46" t="str">
        <f t="shared" si="271"/>
        <v>#1774B9</v>
      </c>
      <c r="V660" s="93" t="str">
        <f>+Agencia[[#This Row],[idcoleccion]]&amp;"-"&amp;Agencia[[#This Row],[id]]</f>
        <v>990-0649</v>
      </c>
      <c r="W660" s="93">
        <f>+VLOOKUP(Agencia[[#This Row],[Filtro URL]],Estructura!$X$4:$Y$500,2,0)</f>
        <v>99200001</v>
      </c>
      <c r="X660" s="93" t="str">
        <f>+VLOOKUP(Agencia[[#This Row],[tema]],Estructura!$A$4:$C$500,3,0)</f>
        <v>T-1010</v>
      </c>
      <c r="Y660" s="93" t="str">
        <f>+VLOOKUP(Agencia[[#This Row],[contenido]],Estructura!$E$4:$G$500,3,0)</f>
        <v>C-993</v>
      </c>
      <c r="Z660" s="93" t="str">
        <f>+VLOOKUP(Agencia[[#This Row],[Filtro Integrado]],Estructura!$I$4:$K$500,3,0)</f>
        <v>FI-993</v>
      </c>
      <c r="AA660" s="93" t="str">
        <f>+VLOOKUP(Agencia[[#This Row],[Muestra]],Estructura!$M$4:$O$500,3,0)</f>
        <v>M-1009</v>
      </c>
    </row>
    <row r="661" spans="1:27" ht="57.6" x14ac:dyDescent="0.3">
      <c r="A661" s="21" t="s">
        <v>1165</v>
      </c>
      <c r="B661" s="23">
        <f t="shared" si="258"/>
        <v>990</v>
      </c>
      <c r="C661" s="24" t="str">
        <f t="shared" si="259"/>
        <v>Agencia Información</v>
      </c>
      <c r="D661" s="72" t="str">
        <f t="shared" si="278"/>
        <v>Economía</v>
      </c>
      <c r="E661" s="19">
        <v>2</v>
      </c>
      <c r="F661" s="18" t="s">
        <v>1466</v>
      </c>
      <c r="G661" s="18" t="s">
        <v>1470</v>
      </c>
      <c r="H661" s="33" t="s">
        <v>16</v>
      </c>
      <c r="I661" s="34" t="s">
        <v>369</v>
      </c>
      <c r="J661" s="9" t="str">
        <f t="shared" ref="J661:J675" si="283">+J660</f>
        <v>Ninguno</v>
      </c>
      <c r="K661" s="9" t="str">
        <f t="shared" si="279"/>
        <v>Renta neta informada</v>
      </c>
      <c r="L661" s="9" t="str">
        <f t="shared" si="280"/>
        <v>Periodo 2005-2019</v>
      </c>
      <c r="M661" s="9" t="str">
        <f t="shared" si="281"/>
        <v>CLP</v>
      </c>
      <c r="N661" s="9" t="str">
        <f t="shared" si="282"/>
        <v>Servicio de Impuestos Internos (SII)</v>
      </c>
      <c r="O661" s="20" t="str">
        <f>+"Renta neta informada de trabajadoras en la "&amp;I661&amp;", "&amp;Agencia[[#This Row],[temporalidad]]</f>
        <v>Renta neta informada de trabajadoras en la Región de Antofagasta, Periodo 2005-2019</v>
      </c>
      <c r="P661" s="112" t="s">
        <v>5786</v>
      </c>
      <c r="Q661" s="11" t="str">
        <f t="shared" si="270"/>
        <v>Gráfico de Evolución</v>
      </c>
      <c r="R661" s="148" t="str">
        <f>Agencia[[#This Row],[territorio]]&amp;",regional,trabajadoras,mujeres,femenino,género,renta,neta,informada,sii,tamaño,empresa,micro,pequeña,mediana,grande,PYME,"&amp;Agencia[[#This Row],[coleccion]]&amp;","&amp;Agencia[[#This Row],[sector]]&amp;","&amp;Agencia[[#This Row],[tema]]&amp;","&amp;Agencia[[#This Row],[contenido]]</f>
        <v>Región de Antofagasta,regional,trabajadoras,mujeres,femenino,género,renta,neta,informada,sii,tamaño,empresa,micro,pequeña,mediana,grande,PYME,Agencia Información,Economía,Renta neta,Empresas</v>
      </c>
      <c r="S661" s="37" t="str">
        <f>HYPERLINK("https://analytics.zoho.com/open-view/2395394000008038636?ZOHO_CRITERIA=%225.1%20Empresas_Tama%C3%B1o%22.%22Cod_Regi%C3%B3n%22%3D"&amp;Agencia[[#This Row],[Filtro URL]])</f>
        <v>https://analytics.zoho.com/open-view/2395394000008038636?ZOHO_CRITERIA=%225.1%20Empresas_Tama%C3%B1o%22.%22Cod_Regi%C3%B3n%22%3D2</v>
      </c>
      <c r="T661" s="108" t="str">
        <f>"100-R-"&amp;Agencia[[#This Row],[Filtro URL]]</f>
        <v>100-R-2</v>
      </c>
      <c r="U661" s="46" t="str">
        <f t="shared" si="271"/>
        <v>#1774B9</v>
      </c>
      <c r="V661" s="93" t="str">
        <f>+Agencia[[#This Row],[idcoleccion]]&amp;"-"&amp;Agencia[[#This Row],[id]]</f>
        <v>990-0650</v>
      </c>
      <c r="W661" s="93">
        <f>+VLOOKUP(Agencia[[#This Row],[Filtro URL]],Estructura!$X$4:$Y$500,2,0)</f>
        <v>99200002</v>
      </c>
      <c r="X661" s="93" t="str">
        <f>+VLOOKUP(Agencia[[#This Row],[tema]],Estructura!$A$4:$C$500,3,0)</f>
        <v>T-1010</v>
      </c>
      <c r="Y661" s="93" t="str">
        <f>+VLOOKUP(Agencia[[#This Row],[contenido]],Estructura!$E$4:$G$500,3,0)</f>
        <v>C-993</v>
      </c>
      <c r="Z661" s="93" t="str">
        <f>+VLOOKUP(Agencia[[#This Row],[Filtro Integrado]],Estructura!$I$4:$K$500,3,0)</f>
        <v>FI-993</v>
      </c>
      <c r="AA661" s="93" t="str">
        <f>+VLOOKUP(Agencia[[#This Row],[Muestra]],Estructura!$M$4:$O$500,3,0)</f>
        <v>M-1009</v>
      </c>
    </row>
    <row r="662" spans="1:27" ht="57.6" x14ac:dyDescent="0.3">
      <c r="A662" s="21" t="s">
        <v>1166</v>
      </c>
      <c r="B662" s="23">
        <f t="shared" si="258"/>
        <v>990</v>
      </c>
      <c r="C662" s="24" t="str">
        <f t="shared" si="259"/>
        <v>Agencia Información</v>
      </c>
      <c r="D662" s="72" t="str">
        <f t="shared" si="278"/>
        <v>Economía</v>
      </c>
      <c r="E662" s="19">
        <v>3</v>
      </c>
      <c r="F662" s="18" t="s">
        <v>1466</v>
      </c>
      <c r="G662" s="18" t="s">
        <v>1470</v>
      </c>
      <c r="H662" s="33" t="s">
        <v>16</v>
      </c>
      <c r="I662" s="34" t="s">
        <v>370</v>
      </c>
      <c r="J662" s="9" t="str">
        <f t="shared" si="283"/>
        <v>Ninguno</v>
      </c>
      <c r="K662" s="9" t="str">
        <f t="shared" si="279"/>
        <v>Renta neta informada</v>
      </c>
      <c r="L662" s="9" t="str">
        <f t="shared" si="280"/>
        <v>Periodo 2005-2019</v>
      </c>
      <c r="M662" s="9" t="str">
        <f t="shared" si="281"/>
        <v>CLP</v>
      </c>
      <c r="N662" s="9" t="str">
        <f t="shared" si="282"/>
        <v>Servicio de Impuestos Internos (SII)</v>
      </c>
      <c r="O662" s="20" t="str">
        <f>+"Renta neta informada de trabajadoras en la "&amp;I662&amp;", "&amp;Agencia[[#This Row],[temporalidad]]</f>
        <v>Renta neta informada de trabajadoras en la Región de Atacama, Periodo 2005-2019</v>
      </c>
      <c r="P662" s="112" t="s">
        <v>5730</v>
      </c>
      <c r="Q662" s="11" t="str">
        <f t="shared" si="270"/>
        <v>Gráfico de Evolución</v>
      </c>
      <c r="R662" s="148" t="str">
        <f>Agencia[[#This Row],[territorio]]&amp;",regional,trabajadoras,mujeres,femenino,género,renta,neta,informada,sii,tamaño,empresa,micro,pequeña,mediana,grande,PYME,"&amp;Agencia[[#This Row],[coleccion]]&amp;","&amp;Agencia[[#This Row],[sector]]&amp;","&amp;Agencia[[#This Row],[tema]]&amp;","&amp;Agencia[[#This Row],[contenido]]</f>
        <v>Región de Atacama,regional,trabajadoras,mujeres,femenino,género,renta,neta,informada,sii,tamaño,empresa,micro,pequeña,mediana,grande,PYME,Agencia Información,Economía,Renta neta,Empresas</v>
      </c>
      <c r="S662" s="37" t="str">
        <f>HYPERLINK("https://analytics.zoho.com/open-view/2395394000008038636?ZOHO_CRITERIA=%225.1%20Empresas_Tama%C3%B1o%22.%22Cod_Regi%C3%B3n%22%3D"&amp;Agencia[[#This Row],[Filtro URL]])</f>
        <v>https://analytics.zoho.com/open-view/2395394000008038636?ZOHO_CRITERIA=%225.1%20Empresas_Tama%C3%B1o%22.%22Cod_Regi%C3%B3n%22%3D3</v>
      </c>
      <c r="T662" s="108" t="str">
        <f>"100-R-"&amp;Agencia[[#This Row],[Filtro URL]]</f>
        <v>100-R-3</v>
      </c>
      <c r="U662" s="46" t="str">
        <f t="shared" si="271"/>
        <v>#1774B9</v>
      </c>
      <c r="V662" s="93" t="str">
        <f>+Agencia[[#This Row],[idcoleccion]]&amp;"-"&amp;Agencia[[#This Row],[id]]</f>
        <v>990-0651</v>
      </c>
      <c r="W662" s="93">
        <f>+VLOOKUP(Agencia[[#This Row],[Filtro URL]],Estructura!$X$4:$Y$500,2,0)</f>
        <v>99200003</v>
      </c>
      <c r="X662" s="93" t="str">
        <f>+VLOOKUP(Agencia[[#This Row],[tema]],Estructura!$A$4:$C$500,3,0)</f>
        <v>T-1010</v>
      </c>
      <c r="Y662" s="93" t="str">
        <f>+VLOOKUP(Agencia[[#This Row],[contenido]],Estructura!$E$4:$G$500,3,0)</f>
        <v>C-993</v>
      </c>
      <c r="Z662" s="93" t="str">
        <f>+VLOOKUP(Agencia[[#This Row],[Filtro Integrado]],Estructura!$I$4:$K$500,3,0)</f>
        <v>FI-993</v>
      </c>
      <c r="AA662" s="93" t="str">
        <f>+VLOOKUP(Agencia[[#This Row],[Muestra]],Estructura!$M$4:$O$500,3,0)</f>
        <v>M-1009</v>
      </c>
    </row>
    <row r="663" spans="1:27" ht="71.400000000000006" x14ac:dyDescent="0.3">
      <c r="A663" s="21" t="s">
        <v>1167</v>
      </c>
      <c r="B663" s="23">
        <f t="shared" si="258"/>
        <v>990</v>
      </c>
      <c r="C663" s="24" t="str">
        <f t="shared" si="259"/>
        <v>Agencia Información</v>
      </c>
      <c r="D663" s="72" t="str">
        <f t="shared" si="278"/>
        <v>Economía</v>
      </c>
      <c r="E663" s="19">
        <v>4</v>
      </c>
      <c r="F663" s="18" t="s">
        <v>1466</v>
      </c>
      <c r="G663" s="18" t="s">
        <v>1470</v>
      </c>
      <c r="H663" s="33" t="s">
        <v>16</v>
      </c>
      <c r="I663" s="34" t="s">
        <v>371</v>
      </c>
      <c r="J663" s="9" t="str">
        <f t="shared" si="283"/>
        <v>Ninguno</v>
      </c>
      <c r="K663" s="9" t="str">
        <f t="shared" si="279"/>
        <v>Renta neta informada</v>
      </c>
      <c r="L663" s="9" t="str">
        <f t="shared" si="280"/>
        <v>Periodo 2005-2019</v>
      </c>
      <c r="M663" s="9" t="str">
        <f t="shared" si="281"/>
        <v>CLP</v>
      </c>
      <c r="N663" s="9" t="str">
        <f t="shared" si="282"/>
        <v>Servicio de Impuestos Internos (SII)</v>
      </c>
      <c r="O663" s="20" t="str">
        <f>+"Renta neta informada de trabajadoras en la "&amp;I663&amp;", "&amp;Agencia[[#This Row],[temporalidad]]</f>
        <v>Renta neta informada de trabajadoras en la Región de Coquimbo, Periodo 2005-2019</v>
      </c>
      <c r="P663" s="112" t="s">
        <v>5731</v>
      </c>
      <c r="Q663" s="11" t="str">
        <f t="shared" si="270"/>
        <v>Gráfico de Evolución</v>
      </c>
      <c r="R663" s="148" t="str">
        <f>Agencia[[#This Row],[territorio]]&amp;",regional,trabajadoras,mujeres,femenino,género,renta,neta,informada,sii,tamaño,empresa,micro,pequeña,mediana,grande,PYME,"&amp;Agencia[[#This Row],[coleccion]]&amp;","&amp;Agencia[[#This Row],[sector]]&amp;","&amp;Agencia[[#This Row],[tema]]&amp;","&amp;Agencia[[#This Row],[contenido]]</f>
        <v>Región de Coquimbo,regional,trabajadoras,mujeres,femenino,género,renta,neta,informada,sii,tamaño,empresa,micro,pequeña,mediana,grande,PYME,Agencia Información,Economía,Renta neta,Empresas</v>
      </c>
      <c r="S663" s="37" t="str">
        <f>HYPERLINK("https://analytics.zoho.com/open-view/2395394000008038636?ZOHO_CRITERIA=%225.1%20Empresas_Tama%C3%B1o%22.%22Cod_Regi%C3%B3n%22%3D"&amp;Agencia[[#This Row],[Filtro URL]])</f>
        <v>https://analytics.zoho.com/open-view/2395394000008038636?ZOHO_CRITERIA=%225.1%20Empresas_Tama%C3%B1o%22.%22Cod_Regi%C3%B3n%22%3D4</v>
      </c>
      <c r="T663" s="108" t="str">
        <f>"100-R-"&amp;Agencia[[#This Row],[Filtro URL]]</f>
        <v>100-R-4</v>
      </c>
      <c r="U663" s="46" t="str">
        <f t="shared" si="271"/>
        <v>#1774B9</v>
      </c>
      <c r="V663" s="93" t="str">
        <f>+Agencia[[#This Row],[idcoleccion]]&amp;"-"&amp;Agencia[[#This Row],[id]]</f>
        <v>990-0652</v>
      </c>
      <c r="W663" s="93">
        <f>+VLOOKUP(Agencia[[#This Row],[Filtro URL]],Estructura!$X$4:$Y$500,2,0)</f>
        <v>99200004</v>
      </c>
      <c r="X663" s="93" t="str">
        <f>+VLOOKUP(Agencia[[#This Row],[tema]],Estructura!$A$4:$C$500,3,0)</f>
        <v>T-1010</v>
      </c>
      <c r="Y663" s="93" t="str">
        <f>+VLOOKUP(Agencia[[#This Row],[contenido]],Estructura!$E$4:$G$500,3,0)</f>
        <v>C-993</v>
      </c>
      <c r="Z663" s="93" t="str">
        <f>+VLOOKUP(Agencia[[#This Row],[Filtro Integrado]],Estructura!$I$4:$K$500,3,0)</f>
        <v>FI-993</v>
      </c>
      <c r="AA663" s="93" t="str">
        <f>+VLOOKUP(Agencia[[#This Row],[Muestra]],Estructura!$M$4:$O$500,3,0)</f>
        <v>M-1009</v>
      </c>
    </row>
    <row r="664" spans="1:27" ht="57.6" x14ac:dyDescent="0.3">
      <c r="A664" s="21" t="s">
        <v>1168</v>
      </c>
      <c r="B664" s="23">
        <f t="shared" si="258"/>
        <v>990</v>
      </c>
      <c r="C664" s="24" t="str">
        <f t="shared" si="259"/>
        <v>Agencia Información</v>
      </c>
      <c r="D664" s="72" t="str">
        <f t="shared" si="278"/>
        <v>Economía</v>
      </c>
      <c r="E664" s="19">
        <v>5</v>
      </c>
      <c r="F664" s="18" t="s">
        <v>1466</v>
      </c>
      <c r="G664" s="18" t="s">
        <v>1470</v>
      </c>
      <c r="H664" s="33" t="s">
        <v>16</v>
      </c>
      <c r="I664" s="34" t="s">
        <v>372</v>
      </c>
      <c r="J664" s="9" t="str">
        <f t="shared" si="283"/>
        <v>Ninguno</v>
      </c>
      <c r="K664" s="9" t="str">
        <f t="shared" si="279"/>
        <v>Renta neta informada</v>
      </c>
      <c r="L664" s="9" t="str">
        <f t="shared" si="280"/>
        <v>Periodo 2005-2019</v>
      </c>
      <c r="M664" s="9" t="str">
        <f t="shared" si="281"/>
        <v>CLP</v>
      </c>
      <c r="N664" s="9" t="str">
        <f t="shared" si="282"/>
        <v>Servicio de Impuestos Internos (SII)</v>
      </c>
      <c r="O664" s="20" t="str">
        <f>+"Renta neta informada de trabajadoras en la "&amp;I664&amp;", "&amp;Agencia[[#This Row],[temporalidad]]</f>
        <v>Renta neta informada de trabajadoras en la Región de Valparaíso, Periodo 2005-2019</v>
      </c>
      <c r="P664" s="112" t="s">
        <v>5786</v>
      </c>
      <c r="Q664" s="11" t="str">
        <f t="shared" si="270"/>
        <v>Gráfico de Evolución</v>
      </c>
      <c r="R664" s="148" t="str">
        <f>Agencia[[#This Row],[territorio]]&amp;",regional,trabajadoras,mujeres,femenino,género,renta,neta,informada,sii,tamaño,empresa,micro,pequeña,mediana,grande,PYME,"&amp;Agencia[[#This Row],[coleccion]]&amp;","&amp;Agencia[[#This Row],[sector]]&amp;","&amp;Agencia[[#This Row],[tema]]&amp;","&amp;Agencia[[#This Row],[contenido]]</f>
        <v>Región de Valparaíso,regional,trabajadoras,mujeres,femenino,género,renta,neta,informada,sii,tamaño,empresa,micro,pequeña,mediana,grande,PYME,Agencia Información,Economía,Renta neta,Empresas</v>
      </c>
      <c r="S664" s="37" t="str">
        <f>HYPERLINK("https://analytics.zoho.com/open-view/2395394000008038636?ZOHO_CRITERIA=%225.1%20Empresas_Tama%C3%B1o%22.%22Cod_Regi%C3%B3n%22%3D"&amp;Agencia[[#This Row],[Filtro URL]])</f>
        <v>https://analytics.zoho.com/open-view/2395394000008038636?ZOHO_CRITERIA=%225.1%20Empresas_Tama%C3%B1o%22.%22Cod_Regi%C3%B3n%22%3D5</v>
      </c>
      <c r="T664" s="108" t="str">
        <f>"100-R-"&amp;Agencia[[#This Row],[Filtro URL]]</f>
        <v>100-R-5</v>
      </c>
      <c r="U664" s="46" t="str">
        <f t="shared" si="271"/>
        <v>#1774B9</v>
      </c>
      <c r="V664" s="93" t="str">
        <f>+Agencia[[#This Row],[idcoleccion]]&amp;"-"&amp;Agencia[[#This Row],[id]]</f>
        <v>990-0653</v>
      </c>
      <c r="W664" s="93">
        <f>+VLOOKUP(Agencia[[#This Row],[Filtro URL]],Estructura!$X$4:$Y$500,2,0)</f>
        <v>99200005</v>
      </c>
      <c r="X664" s="93" t="str">
        <f>+VLOOKUP(Agencia[[#This Row],[tema]],Estructura!$A$4:$C$500,3,0)</f>
        <v>T-1010</v>
      </c>
      <c r="Y664" s="93" t="str">
        <f>+VLOOKUP(Agencia[[#This Row],[contenido]],Estructura!$E$4:$G$500,3,0)</f>
        <v>C-993</v>
      </c>
      <c r="Z664" s="93" t="str">
        <f>+VLOOKUP(Agencia[[#This Row],[Filtro Integrado]],Estructura!$I$4:$K$500,3,0)</f>
        <v>FI-993</v>
      </c>
      <c r="AA664" s="93" t="str">
        <f>+VLOOKUP(Agencia[[#This Row],[Muestra]],Estructura!$M$4:$O$500,3,0)</f>
        <v>M-1009</v>
      </c>
    </row>
    <row r="665" spans="1:27" ht="57.6" x14ac:dyDescent="0.3">
      <c r="A665" s="21" t="s">
        <v>1169</v>
      </c>
      <c r="B665" s="23">
        <f t="shared" si="258"/>
        <v>990</v>
      </c>
      <c r="C665" s="24" t="str">
        <f t="shared" si="259"/>
        <v>Agencia Información</v>
      </c>
      <c r="D665" s="72" t="str">
        <f t="shared" si="278"/>
        <v>Economía</v>
      </c>
      <c r="E665" s="19">
        <v>6</v>
      </c>
      <c r="F665" s="18" t="s">
        <v>1466</v>
      </c>
      <c r="G665" s="18" t="s">
        <v>1470</v>
      </c>
      <c r="H665" s="33" t="s">
        <v>16</v>
      </c>
      <c r="I665" s="34" t="s">
        <v>373</v>
      </c>
      <c r="J665" s="9" t="str">
        <f t="shared" si="283"/>
        <v>Ninguno</v>
      </c>
      <c r="K665" s="9" t="str">
        <f t="shared" si="279"/>
        <v>Renta neta informada</v>
      </c>
      <c r="L665" s="9" t="str">
        <f t="shared" si="280"/>
        <v>Periodo 2005-2019</v>
      </c>
      <c r="M665" s="9" t="str">
        <f t="shared" si="281"/>
        <v>CLP</v>
      </c>
      <c r="N665" s="9" t="str">
        <f t="shared" si="282"/>
        <v>Servicio de Impuestos Internos (SII)</v>
      </c>
      <c r="O665" s="20" t="str">
        <f>+"Renta neta informada de trabajadoras en la "&amp;I665&amp;", "&amp;Agencia[[#This Row],[temporalidad]]</f>
        <v>Renta neta informada de trabajadoras en la Región de O'Higgins, Periodo 2005-2019</v>
      </c>
      <c r="P665" s="112" t="s">
        <v>5732</v>
      </c>
      <c r="Q665" s="11" t="str">
        <f t="shared" si="270"/>
        <v>Gráfico de Evolución</v>
      </c>
      <c r="R665" s="148" t="str">
        <f>Agencia[[#This Row],[territorio]]&amp;",regional,trabajadoras,mujeres,femenino,género,renta,neta,informada,sii,tamaño,empresa,micro,pequeña,mediana,grande,PYME,"&amp;Agencia[[#This Row],[coleccion]]&amp;","&amp;Agencia[[#This Row],[sector]]&amp;","&amp;Agencia[[#This Row],[tema]]&amp;","&amp;Agencia[[#This Row],[contenido]]</f>
        <v>Región de O'Higgins,regional,trabajadoras,mujeres,femenino,género,renta,neta,informada,sii,tamaño,empresa,micro,pequeña,mediana,grande,PYME,Agencia Información,Economía,Renta neta,Empresas</v>
      </c>
      <c r="S665" s="37" t="str">
        <f>HYPERLINK("https://analytics.zoho.com/open-view/2395394000008038636?ZOHO_CRITERIA=%225.1%20Empresas_Tama%C3%B1o%22.%22Cod_Regi%C3%B3n%22%3D"&amp;Agencia[[#This Row],[Filtro URL]])</f>
        <v>https://analytics.zoho.com/open-view/2395394000008038636?ZOHO_CRITERIA=%225.1%20Empresas_Tama%C3%B1o%22.%22Cod_Regi%C3%B3n%22%3D6</v>
      </c>
      <c r="T665" s="108" t="str">
        <f>"100-R-"&amp;Agencia[[#This Row],[Filtro URL]]</f>
        <v>100-R-6</v>
      </c>
      <c r="U665" s="46" t="str">
        <f t="shared" si="271"/>
        <v>#1774B9</v>
      </c>
      <c r="V665" s="93" t="str">
        <f>+Agencia[[#This Row],[idcoleccion]]&amp;"-"&amp;Agencia[[#This Row],[id]]</f>
        <v>990-0654</v>
      </c>
      <c r="W665" s="93">
        <f>+VLOOKUP(Agencia[[#This Row],[Filtro URL]],Estructura!$X$4:$Y$500,2,0)</f>
        <v>99200006</v>
      </c>
      <c r="X665" s="93" t="str">
        <f>+VLOOKUP(Agencia[[#This Row],[tema]],Estructura!$A$4:$C$500,3,0)</f>
        <v>T-1010</v>
      </c>
      <c r="Y665" s="93" t="str">
        <f>+VLOOKUP(Agencia[[#This Row],[contenido]],Estructura!$E$4:$G$500,3,0)</f>
        <v>C-993</v>
      </c>
      <c r="Z665" s="93" t="str">
        <f>+VLOOKUP(Agencia[[#This Row],[Filtro Integrado]],Estructura!$I$4:$K$500,3,0)</f>
        <v>FI-993</v>
      </c>
      <c r="AA665" s="93" t="str">
        <f>+VLOOKUP(Agencia[[#This Row],[Muestra]],Estructura!$M$4:$O$500,3,0)</f>
        <v>M-1009</v>
      </c>
    </row>
    <row r="666" spans="1:27" ht="57.6" x14ac:dyDescent="0.3">
      <c r="A666" s="21" t="s">
        <v>1170</v>
      </c>
      <c r="B666" s="23">
        <f t="shared" si="258"/>
        <v>990</v>
      </c>
      <c r="C666" s="24" t="str">
        <f t="shared" si="259"/>
        <v>Agencia Información</v>
      </c>
      <c r="D666" s="72" t="str">
        <f t="shared" si="278"/>
        <v>Economía</v>
      </c>
      <c r="E666" s="19">
        <v>7</v>
      </c>
      <c r="F666" s="18" t="s">
        <v>1466</v>
      </c>
      <c r="G666" s="18" t="s">
        <v>1470</v>
      </c>
      <c r="H666" s="33" t="s">
        <v>16</v>
      </c>
      <c r="I666" s="34" t="s">
        <v>374</v>
      </c>
      <c r="J666" s="9" t="str">
        <f t="shared" si="283"/>
        <v>Ninguno</v>
      </c>
      <c r="K666" s="9" t="str">
        <f t="shared" si="279"/>
        <v>Renta neta informada</v>
      </c>
      <c r="L666" s="9" t="str">
        <f t="shared" si="280"/>
        <v>Periodo 2005-2019</v>
      </c>
      <c r="M666" s="9" t="str">
        <f t="shared" si="281"/>
        <v>CLP</v>
      </c>
      <c r="N666" s="9" t="str">
        <f t="shared" si="282"/>
        <v>Servicio de Impuestos Internos (SII)</v>
      </c>
      <c r="O666" s="20" t="str">
        <f>+"Renta neta informada de trabajadoras en la "&amp;I666&amp;", "&amp;Agencia[[#This Row],[temporalidad]]</f>
        <v>Renta neta informada de trabajadoras en la Región de Maule, Periodo 2005-2019</v>
      </c>
      <c r="P666" s="112" t="s">
        <v>5733</v>
      </c>
      <c r="Q666" s="11" t="str">
        <f t="shared" si="270"/>
        <v>Gráfico de Evolución</v>
      </c>
      <c r="R666" s="148" t="str">
        <f>Agencia[[#This Row],[territorio]]&amp;",regional,trabajadoras,mujeres,femenino,género,renta,neta,informada,sii,tamaño,empresa,micro,pequeña,mediana,grande,PYME,"&amp;Agencia[[#This Row],[coleccion]]&amp;","&amp;Agencia[[#This Row],[sector]]&amp;","&amp;Agencia[[#This Row],[tema]]&amp;","&amp;Agencia[[#This Row],[contenido]]</f>
        <v>Región de Maule,regional,trabajadoras,mujeres,femenino,género,renta,neta,informada,sii,tamaño,empresa,micro,pequeña,mediana,grande,PYME,Agencia Información,Economía,Renta neta,Empresas</v>
      </c>
      <c r="S666" s="37" t="str">
        <f>HYPERLINK("https://analytics.zoho.com/open-view/2395394000008038636?ZOHO_CRITERIA=%225.1%20Empresas_Tama%C3%B1o%22.%22Cod_Regi%C3%B3n%22%3D"&amp;Agencia[[#This Row],[Filtro URL]])</f>
        <v>https://analytics.zoho.com/open-view/2395394000008038636?ZOHO_CRITERIA=%225.1%20Empresas_Tama%C3%B1o%22.%22Cod_Regi%C3%B3n%22%3D7</v>
      </c>
      <c r="T666" s="108" t="str">
        <f>"100-R-"&amp;Agencia[[#This Row],[Filtro URL]]</f>
        <v>100-R-7</v>
      </c>
      <c r="U666" s="46" t="str">
        <f t="shared" si="271"/>
        <v>#1774B9</v>
      </c>
      <c r="V666" s="93" t="str">
        <f>+Agencia[[#This Row],[idcoleccion]]&amp;"-"&amp;Agencia[[#This Row],[id]]</f>
        <v>990-0655</v>
      </c>
      <c r="W666" s="93">
        <f>+VLOOKUP(Agencia[[#This Row],[Filtro URL]],Estructura!$X$4:$Y$500,2,0)</f>
        <v>99200007</v>
      </c>
      <c r="X666" s="93" t="str">
        <f>+VLOOKUP(Agencia[[#This Row],[tema]],Estructura!$A$4:$C$500,3,0)</f>
        <v>T-1010</v>
      </c>
      <c r="Y666" s="93" t="str">
        <f>+VLOOKUP(Agencia[[#This Row],[contenido]],Estructura!$E$4:$G$500,3,0)</f>
        <v>C-993</v>
      </c>
      <c r="Z666" s="93" t="str">
        <f>+VLOOKUP(Agencia[[#This Row],[Filtro Integrado]],Estructura!$I$4:$K$500,3,0)</f>
        <v>FI-993</v>
      </c>
      <c r="AA666" s="93" t="str">
        <f>+VLOOKUP(Agencia[[#This Row],[Muestra]],Estructura!$M$4:$O$500,3,0)</f>
        <v>M-1009</v>
      </c>
    </row>
    <row r="667" spans="1:27" ht="57.6" x14ac:dyDescent="0.3">
      <c r="A667" s="21" t="s">
        <v>1171</v>
      </c>
      <c r="B667" s="23">
        <f t="shared" si="258"/>
        <v>990</v>
      </c>
      <c r="C667" s="24" t="str">
        <f t="shared" si="259"/>
        <v>Agencia Información</v>
      </c>
      <c r="D667" s="72" t="str">
        <f t="shared" si="278"/>
        <v>Economía</v>
      </c>
      <c r="E667" s="19">
        <v>8</v>
      </c>
      <c r="F667" s="18" t="s">
        <v>1466</v>
      </c>
      <c r="G667" s="18" t="s">
        <v>1470</v>
      </c>
      <c r="H667" s="33" t="s">
        <v>16</v>
      </c>
      <c r="I667" s="34" t="s">
        <v>375</v>
      </c>
      <c r="J667" s="9" t="str">
        <f t="shared" si="283"/>
        <v>Ninguno</v>
      </c>
      <c r="K667" s="9" t="str">
        <f t="shared" si="279"/>
        <v>Renta neta informada</v>
      </c>
      <c r="L667" s="9" t="str">
        <f t="shared" si="280"/>
        <v>Periodo 2005-2019</v>
      </c>
      <c r="M667" s="9" t="str">
        <f t="shared" si="281"/>
        <v>CLP</v>
      </c>
      <c r="N667" s="9" t="str">
        <f t="shared" si="282"/>
        <v>Servicio de Impuestos Internos (SII)</v>
      </c>
      <c r="O667" s="20" t="str">
        <f>+"Renta neta informada de trabajadoras en la "&amp;I667&amp;", "&amp;Agencia[[#This Row],[temporalidad]]</f>
        <v>Renta neta informada de trabajadoras en la Región del Biobío, Periodo 2005-2019</v>
      </c>
      <c r="P667" s="112" t="s">
        <v>5734</v>
      </c>
      <c r="Q667" s="11" t="str">
        <f t="shared" si="270"/>
        <v>Gráfico de Evolución</v>
      </c>
      <c r="R667" s="148" t="str">
        <f>Agencia[[#This Row],[territorio]]&amp;",regional,trabajadoras,mujeres,femenino,género,renta,neta,informada,sii,tamaño,empresa,micro,pequeña,mediana,grande,PYME,"&amp;Agencia[[#This Row],[coleccion]]&amp;","&amp;Agencia[[#This Row],[sector]]&amp;","&amp;Agencia[[#This Row],[tema]]&amp;","&amp;Agencia[[#This Row],[contenido]]</f>
        <v>Región del Biobío,regional,trabajadoras,mujeres,femenino,género,renta,neta,informada,sii,tamaño,empresa,micro,pequeña,mediana,grande,PYME,Agencia Información,Economía,Renta neta,Empresas</v>
      </c>
      <c r="S667" s="37" t="str">
        <f>HYPERLINK("https://analytics.zoho.com/open-view/2395394000008038636?ZOHO_CRITERIA=%225.1%20Empresas_Tama%C3%B1o%22.%22Cod_Regi%C3%B3n%22%3D"&amp;Agencia[[#This Row],[Filtro URL]])</f>
        <v>https://analytics.zoho.com/open-view/2395394000008038636?ZOHO_CRITERIA=%225.1%20Empresas_Tama%C3%B1o%22.%22Cod_Regi%C3%B3n%22%3D8</v>
      </c>
      <c r="T667" s="108" t="str">
        <f>"100-R-"&amp;Agencia[[#This Row],[Filtro URL]]</f>
        <v>100-R-8</v>
      </c>
      <c r="U667" s="46" t="str">
        <f t="shared" si="271"/>
        <v>#1774B9</v>
      </c>
      <c r="V667" s="93" t="str">
        <f>+Agencia[[#This Row],[idcoleccion]]&amp;"-"&amp;Agencia[[#This Row],[id]]</f>
        <v>990-0656</v>
      </c>
      <c r="W667" s="93">
        <f>+VLOOKUP(Agencia[[#This Row],[Filtro URL]],Estructura!$X$4:$Y$500,2,0)</f>
        <v>99200008</v>
      </c>
      <c r="X667" s="93" t="str">
        <f>+VLOOKUP(Agencia[[#This Row],[tema]],Estructura!$A$4:$C$500,3,0)</f>
        <v>T-1010</v>
      </c>
      <c r="Y667" s="93" t="str">
        <f>+VLOOKUP(Agencia[[#This Row],[contenido]],Estructura!$E$4:$G$500,3,0)</f>
        <v>C-993</v>
      </c>
      <c r="Z667" s="93" t="str">
        <f>+VLOOKUP(Agencia[[#This Row],[Filtro Integrado]],Estructura!$I$4:$K$500,3,0)</f>
        <v>FI-993</v>
      </c>
      <c r="AA667" s="93" t="str">
        <f>+VLOOKUP(Agencia[[#This Row],[Muestra]],Estructura!$M$4:$O$500,3,0)</f>
        <v>M-1009</v>
      </c>
    </row>
    <row r="668" spans="1:27" ht="61.2" x14ac:dyDescent="0.3">
      <c r="A668" s="21" t="s">
        <v>1172</v>
      </c>
      <c r="B668" s="23">
        <f t="shared" si="258"/>
        <v>990</v>
      </c>
      <c r="C668" s="24" t="str">
        <f t="shared" si="259"/>
        <v>Agencia Información</v>
      </c>
      <c r="D668" s="72" t="str">
        <f t="shared" si="278"/>
        <v>Economía</v>
      </c>
      <c r="E668" s="19">
        <v>9</v>
      </c>
      <c r="F668" s="18" t="s">
        <v>1466</v>
      </c>
      <c r="G668" s="18" t="s">
        <v>1470</v>
      </c>
      <c r="H668" s="33" t="s">
        <v>16</v>
      </c>
      <c r="I668" s="34" t="s">
        <v>376</v>
      </c>
      <c r="J668" s="9" t="str">
        <f t="shared" si="283"/>
        <v>Ninguno</v>
      </c>
      <c r="K668" s="9" t="str">
        <f t="shared" si="279"/>
        <v>Renta neta informada</v>
      </c>
      <c r="L668" s="9" t="str">
        <f t="shared" si="280"/>
        <v>Periodo 2005-2019</v>
      </c>
      <c r="M668" s="9" t="str">
        <f t="shared" si="281"/>
        <v>CLP</v>
      </c>
      <c r="N668" s="9" t="str">
        <f t="shared" si="282"/>
        <v>Servicio de Impuestos Internos (SII)</v>
      </c>
      <c r="O668" s="20" t="str">
        <f>+"Renta neta informada de trabajadoras en la "&amp;I668&amp;", "&amp;Agencia[[#This Row],[temporalidad]]</f>
        <v>Renta neta informada de trabajadoras en la Región de La Araucanía, Periodo 2005-2019</v>
      </c>
      <c r="P668" s="112" t="s">
        <v>5735</v>
      </c>
      <c r="Q668" s="11" t="str">
        <f t="shared" si="270"/>
        <v>Gráfico de Evolución</v>
      </c>
      <c r="R668" s="148" t="str">
        <f>Agencia[[#This Row],[territorio]]&amp;",regional,trabajadoras,mujeres,femenino,género,renta,neta,informada,sii,tamaño,empresa,micro,pequeña,mediana,grande,PYME,"&amp;Agencia[[#This Row],[coleccion]]&amp;","&amp;Agencia[[#This Row],[sector]]&amp;","&amp;Agencia[[#This Row],[tema]]&amp;","&amp;Agencia[[#This Row],[contenido]]</f>
        <v>Región de La Araucanía,regional,trabajadoras,mujeres,femenino,género,renta,neta,informada,sii,tamaño,empresa,micro,pequeña,mediana,grande,PYME,Agencia Información,Economía,Renta neta,Empresas</v>
      </c>
      <c r="S668" s="37" t="str">
        <f>HYPERLINK("https://analytics.zoho.com/open-view/2395394000008038636?ZOHO_CRITERIA=%225.1%20Empresas_Tama%C3%B1o%22.%22Cod_Regi%C3%B3n%22%3D"&amp;Agencia[[#This Row],[Filtro URL]])</f>
        <v>https://analytics.zoho.com/open-view/2395394000008038636?ZOHO_CRITERIA=%225.1%20Empresas_Tama%C3%B1o%22.%22Cod_Regi%C3%B3n%22%3D9</v>
      </c>
      <c r="T668" s="108" t="str">
        <f>"100-R-"&amp;Agencia[[#This Row],[Filtro URL]]</f>
        <v>100-R-9</v>
      </c>
      <c r="U668" s="46" t="str">
        <f t="shared" si="271"/>
        <v>#1774B9</v>
      </c>
      <c r="V668" s="93" t="str">
        <f>+Agencia[[#This Row],[idcoleccion]]&amp;"-"&amp;Agencia[[#This Row],[id]]</f>
        <v>990-0657</v>
      </c>
      <c r="W668" s="93">
        <f>+VLOOKUP(Agencia[[#This Row],[Filtro URL]],Estructura!$X$4:$Y$500,2,0)</f>
        <v>99200009</v>
      </c>
      <c r="X668" s="93" t="str">
        <f>+VLOOKUP(Agencia[[#This Row],[tema]],Estructura!$A$4:$C$500,3,0)</f>
        <v>T-1010</v>
      </c>
      <c r="Y668" s="93" t="str">
        <f>+VLOOKUP(Agencia[[#This Row],[contenido]],Estructura!$E$4:$G$500,3,0)</f>
        <v>C-993</v>
      </c>
      <c r="Z668" s="93" t="str">
        <f>+VLOOKUP(Agencia[[#This Row],[Filtro Integrado]],Estructura!$I$4:$K$500,3,0)</f>
        <v>FI-993</v>
      </c>
      <c r="AA668" s="93" t="str">
        <f>+VLOOKUP(Agencia[[#This Row],[Muestra]],Estructura!$M$4:$O$500,3,0)</f>
        <v>M-1009</v>
      </c>
    </row>
    <row r="669" spans="1:27" ht="57.6" x14ac:dyDescent="0.3">
      <c r="A669" s="21" t="s">
        <v>1173</v>
      </c>
      <c r="B669" s="23">
        <f t="shared" si="258"/>
        <v>990</v>
      </c>
      <c r="C669" s="24" t="str">
        <f t="shared" si="259"/>
        <v>Agencia Información</v>
      </c>
      <c r="D669" s="72" t="str">
        <f t="shared" si="278"/>
        <v>Economía</v>
      </c>
      <c r="E669" s="19">
        <v>10</v>
      </c>
      <c r="F669" s="18" t="s">
        <v>1466</v>
      </c>
      <c r="G669" s="18" t="s">
        <v>1470</v>
      </c>
      <c r="H669" s="33" t="s">
        <v>16</v>
      </c>
      <c r="I669" s="34" t="s">
        <v>377</v>
      </c>
      <c r="J669" s="9" t="str">
        <f t="shared" si="283"/>
        <v>Ninguno</v>
      </c>
      <c r="K669" s="9" t="str">
        <f t="shared" si="279"/>
        <v>Renta neta informada</v>
      </c>
      <c r="L669" s="9" t="str">
        <f t="shared" si="280"/>
        <v>Periodo 2005-2019</v>
      </c>
      <c r="M669" s="9" t="str">
        <f t="shared" si="281"/>
        <v>CLP</v>
      </c>
      <c r="N669" s="9" t="str">
        <f t="shared" si="282"/>
        <v>Servicio de Impuestos Internos (SII)</v>
      </c>
      <c r="O669" s="20" t="str">
        <f>+"Renta neta informada de trabajadoras en la "&amp;I669&amp;", "&amp;Agencia[[#This Row],[temporalidad]]</f>
        <v>Renta neta informada de trabajadoras en la Región de Los Lagos, Periodo 2005-2019</v>
      </c>
      <c r="P669" s="112" t="s">
        <v>5786</v>
      </c>
      <c r="Q669" s="11" t="str">
        <f t="shared" si="270"/>
        <v>Gráfico de Evolución</v>
      </c>
      <c r="R669" s="148" t="str">
        <f>Agencia[[#This Row],[territorio]]&amp;",regional,trabajadoras,mujeres,femenino,género,renta,neta,informada,sii,tamaño,empresa,micro,pequeña,mediana,grande,PYME,"&amp;Agencia[[#This Row],[coleccion]]&amp;","&amp;Agencia[[#This Row],[sector]]&amp;","&amp;Agencia[[#This Row],[tema]]&amp;","&amp;Agencia[[#This Row],[contenido]]</f>
        <v>Región de Los Lagos,regional,trabajadoras,mujeres,femenino,género,renta,neta,informada,sii,tamaño,empresa,micro,pequeña,mediana,grande,PYME,Agencia Información,Economía,Renta neta,Empresas</v>
      </c>
      <c r="S669" s="37" t="str">
        <f>HYPERLINK("https://analytics.zoho.com/open-view/2395394000008038636?ZOHO_CRITERIA=%225.1%20Empresas_Tama%C3%B1o%22.%22Cod_Regi%C3%B3n%22%3D"&amp;Agencia[[#This Row],[Filtro URL]])</f>
        <v>https://analytics.zoho.com/open-view/2395394000008038636?ZOHO_CRITERIA=%225.1%20Empresas_Tama%C3%B1o%22.%22Cod_Regi%C3%B3n%22%3D10</v>
      </c>
      <c r="T669" s="108" t="str">
        <f>"100-R-"&amp;Agencia[[#This Row],[Filtro URL]]</f>
        <v>100-R-10</v>
      </c>
      <c r="U669" s="46" t="str">
        <f t="shared" si="271"/>
        <v>#1774B9</v>
      </c>
      <c r="V669" s="93" t="str">
        <f>+Agencia[[#This Row],[idcoleccion]]&amp;"-"&amp;Agencia[[#This Row],[id]]</f>
        <v>990-0658</v>
      </c>
      <c r="W669" s="93">
        <f>+VLOOKUP(Agencia[[#This Row],[Filtro URL]],Estructura!$X$4:$Y$500,2,0)</f>
        <v>99200010</v>
      </c>
      <c r="X669" s="93" t="str">
        <f>+VLOOKUP(Agencia[[#This Row],[tema]],Estructura!$A$4:$C$500,3,0)</f>
        <v>T-1010</v>
      </c>
      <c r="Y669" s="93" t="str">
        <f>+VLOOKUP(Agencia[[#This Row],[contenido]],Estructura!$E$4:$G$500,3,0)</f>
        <v>C-993</v>
      </c>
      <c r="Z669" s="93" t="str">
        <f>+VLOOKUP(Agencia[[#This Row],[Filtro Integrado]],Estructura!$I$4:$K$500,3,0)</f>
        <v>FI-993</v>
      </c>
      <c r="AA669" s="93" t="str">
        <f>+VLOOKUP(Agencia[[#This Row],[Muestra]],Estructura!$M$4:$O$500,3,0)</f>
        <v>M-1009</v>
      </c>
    </row>
    <row r="670" spans="1:27" ht="57.6" x14ac:dyDescent="0.3">
      <c r="A670" s="21" t="s">
        <v>1174</v>
      </c>
      <c r="B670" s="23">
        <f t="shared" ref="B670:B733" si="284">+B669</f>
        <v>990</v>
      </c>
      <c r="C670" s="24" t="str">
        <f t="shared" si="259"/>
        <v>Agencia Información</v>
      </c>
      <c r="D670" s="72" t="str">
        <f t="shared" si="278"/>
        <v>Economía</v>
      </c>
      <c r="E670" s="19">
        <v>11</v>
      </c>
      <c r="F670" s="18" t="s">
        <v>1466</v>
      </c>
      <c r="G670" s="18" t="s">
        <v>1470</v>
      </c>
      <c r="H670" s="33" t="s">
        <v>16</v>
      </c>
      <c r="I670" s="34" t="s">
        <v>378</v>
      </c>
      <c r="J670" s="9" t="str">
        <f t="shared" si="283"/>
        <v>Ninguno</v>
      </c>
      <c r="K670" s="9" t="str">
        <f t="shared" si="279"/>
        <v>Renta neta informada</v>
      </c>
      <c r="L670" s="9" t="str">
        <f t="shared" si="280"/>
        <v>Periodo 2005-2019</v>
      </c>
      <c r="M670" s="9" t="str">
        <f t="shared" si="281"/>
        <v>CLP</v>
      </c>
      <c r="N670" s="9" t="str">
        <f t="shared" si="282"/>
        <v>Servicio de Impuestos Internos (SII)</v>
      </c>
      <c r="O670" s="20" t="str">
        <f>+"Renta neta informada de trabajadoras en la "&amp;I670&amp;", "&amp;Agencia[[#This Row],[temporalidad]]</f>
        <v>Renta neta informada de trabajadoras en la Región de Aysén, Periodo 2005-2019</v>
      </c>
      <c r="P670" s="112" t="s">
        <v>5786</v>
      </c>
      <c r="Q670" s="11" t="str">
        <f t="shared" si="270"/>
        <v>Gráfico de Evolución</v>
      </c>
      <c r="R670" s="148" t="str">
        <f>Agencia[[#This Row],[territorio]]&amp;",regional,trabajadoras,mujeres,femenino,género,renta,neta,informada,sii,tamaño,empresa,micro,pequeña,mediana,grande,PYME,"&amp;Agencia[[#This Row],[coleccion]]&amp;","&amp;Agencia[[#This Row],[sector]]&amp;","&amp;Agencia[[#This Row],[tema]]&amp;","&amp;Agencia[[#This Row],[contenido]]</f>
        <v>Región de Aysén,regional,trabajadoras,mujeres,femenino,género,renta,neta,informada,sii,tamaño,empresa,micro,pequeña,mediana,grande,PYME,Agencia Información,Economía,Renta neta,Empresas</v>
      </c>
      <c r="S670" s="37" t="str">
        <f>HYPERLINK("https://analytics.zoho.com/open-view/2395394000008038636?ZOHO_CRITERIA=%225.1%20Empresas_Tama%C3%B1o%22.%22Cod_Regi%C3%B3n%22%3D"&amp;Agencia[[#This Row],[Filtro URL]])</f>
        <v>https://analytics.zoho.com/open-view/2395394000008038636?ZOHO_CRITERIA=%225.1%20Empresas_Tama%C3%B1o%22.%22Cod_Regi%C3%B3n%22%3D11</v>
      </c>
      <c r="T670" s="108" t="str">
        <f>"100-R-"&amp;Agencia[[#This Row],[Filtro URL]]</f>
        <v>100-R-11</v>
      </c>
      <c r="U670" s="46" t="str">
        <f t="shared" si="271"/>
        <v>#1774B9</v>
      </c>
      <c r="V670" s="93" t="str">
        <f>+Agencia[[#This Row],[idcoleccion]]&amp;"-"&amp;Agencia[[#This Row],[id]]</f>
        <v>990-0659</v>
      </c>
      <c r="W670" s="93">
        <f>+VLOOKUP(Agencia[[#This Row],[Filtro URL]],Estructura!$X$4:$Y$500,2,0)</f>
        <v>99200011</v>
      </c>
      <c r="X670" s="93" t="str">
        <f>+VLOOKUP(Agencia[[#This Row],[tema]],Estructura!$A$4:$C$500,3,0)</f>
        <v>T-1010</v>
      </c>
      <c r="Y670" s="93" t="str">
        <f>+VLOOKUP(Agencia[[#This Row],[contenido]],Estructura!$E$4:$G$500,3,0)</f>
        <v>C-993</v>
      </c>
      <c r="Z670" s="93" t="str">
        <f>+VLOOKUP(Agencia[[#This Row],[Filtro Integrado]],Estructura!$I$4:$K$500,3,0)</f>
        <v>FI-993</v>
      </c>
      <c r="AA670" s="93" t="str">
        <f>+VLOOKUP(Agencia[[#This Row],[Muestra]],Estructura!$M$4:$O$500,3,0)</f>
        <v>M-1009</v>
      </c>
    </row>
    <row r="671" spans="1:27" ht="57.6" x14ac:dyDescent="0.3">
      <c r="A671" s="21" t="s">
        <v>1175</v>
      </c>
      <c r="B671" s="23">
        <f t="shared" si="284"/>
        <v>990</v>
      </c>
      <c r="C671" s="24" t="str">
        <f t="shared" ref="C671:C734" si="285">+C670</f>
        <v>Agencia Información</v>
      </c>
      <c r="D671" s="72" t="str">
        <f t="shared" si="278"/>
        <v>Economía</v>
      </c>
      <c r="E671" s="19">
        <v>12</v>
      </c>
      <c r="F671" s="18" t="s">
        <v>1466</v>
      </c>
      <c r="G671" s="18" t="s">
        <v>1470</v>
      </c>
      <c r="H671" s="33" t="s">
        <v>16</v>
      </c>
      <c r="I671" s="34" t="s">
        <v>379</v>
      </c>
      <c r="J671" s="9" t="str">
        <f t="shared" si="283"/>
        <v>Ninguno</v>
      </c>
      <c r="K671" s="9" t="str">
        <f t="shared" si="279"/>
        <v>Renta neta informada</v>
      </c>
      <c r="L671" s="9" t="str">
        <f t="shared" si="280"/>
        <v>Periodo 2005-2019</v>
      </c>
      <c r="M671" s="9" t="str">
        <f t="shared" si="281"/>
        <v>CLP</v>
      </c>
      <c r="N671" s="9" t="str">
        <f t="shared" si="282"/>
        <v>Servicio de Impuestos Internos (SII)</v>
      </c>
      <c r="O671" s="20" t="str">
        <f>+"Renta neta informada de trabajadoras en la "&amp;I671&amp;", "&amp;Agencia[[#This Row],[temporalidad]]</f>
        <v>Renta neta informada de trabajadoras en la Región de Magallanes, Periodo 2005-2019</v>
      </c>
      <c r="P671" s="112" t="s">
        <v>5736</v>
      </c>
      <c r="Q671" s="11" t="str">
        <f t="shared" si="270"/>
        <v>Gráfico de Evolución</v>
      </c>
      <c r="R671" s="148" t="str">
        <f>Agencia[[#This Row],[territorio]]&amp;",regional,trabajadoras,mujeres,femenino,género,renta,neta,informada,sii,tamaño,empresa,micro,pequeña,mediana,grande,PYME,"&amp;Agencia[[#This Row],[coleccion]]&amp;","&amp;Agencia[[#This Row],[sector]]&amp;","&amp;Agencia[[#This Row],[tema]]&amp;","&amp;Agencia[[#This Row],[contenido]]</f>
        <v>Región de Magallanes,regional,trabajadoras,mujeres,femenino,género,renta,neta,informada,sii,tamaño,empresa,micro,pequeña,mediana,grande,PYME,Agencia Información,Economía,Renta neta,Empresas</v>
      </c>
      <c r="S671" s="37" t="str">
        <f>HYPERLINK("https://analytics.zoho.com/open-view/2395394000008038636?ZOHO_CRITERIA=%225.1%20Empresas_Tama%C3%B1o%22.%22Cod_Regi%C3%B3n%22%3D"&amp;Agencia[[#This Row],[Filtro URL]])</f>
        <v>https://analytics.zoho.com/open-view/2395394000008038636?ZOHO_CRITERIA=%225.1%20Empresas_Tama%C3%B1o%22.%22Cod_Regi%C3%B3n%22%3D12</v>
      </c>
      <c r="T671" s="108" t="str">
        <f>"100-R-"&amp;Agencia[[#This Row],[Filtro URL]]</f>
        <v>100-R-12</v>
      </c>
      <c r="U671" s="46" t="str">
        <f t="shared" si="271"/>
        <v>#1774B9</v>
      </c>
      <c r="V671" s="93" t="str">
        <f>+Agencia[[#This Row],[idcoleccion]]&amp;"-"&amp;Agencia[[#This Row],[id]]</f>
        <v>990-0660</v>
      </c>
      <c r="W671" s="93">
        <f>+VLOOKUP(Agencia[[#This Row],[Filtro URL]],Estructura!$X$4:$Y$500,2,0)</f>
        <v>99200012</v>
      </c>
      <c r="X671" s="93" t="str">
        <f>+VLOOKUP(Agencia[[#This Row],[tema]],Estructura!$A$4:$C$500,3,0)</f>
        <v>T-1010</v>
      </c>
      <c r="Y671" s="93" t="str">
        <f>+VLOOKUP(Agencia[[#This Row],[contenido]],Estructura!$E$4:$G$500,3,0)</f>
        <v>C-993</v>
      </c>
      <c r="Z671" s="93" t="str">
        <f>+VLOOKUP(Agencia[[#This Row],[Filtro Integrado]],Estructura!$I$4:$K$500,3,0)</f>
        <v>FI-993</v>
      </c>
      <c r="AA671" s="93" t="str">
        <f>+VLOOKUP(Agencia[[#This Row],[Muestra]],Estructura!$M$4:$O$500,3,0)</f>
        <v>M-1009</v>
      </c>
    </row>
    <row r="672" spans="1:27" ht="61.2" x14ac:dyDescent="0.3">
      <c r="A672" s="21" t="s">
        <v>1176</v>
      </c>
      <c r="B672" s="23">
        <f t="shared" si="284"/>
        <v>990</v>
      </c>
      <c r="C672" s="24" t="str">
        <f t="shared" si="285"/>
        <v>Agencia Información</v>
      </c>
      <c r="D672" s="72" t="str">
        <f t="shared" si="278"/>
        <v>Economía</v>
      </c>
      <c r="E672" s="19">
        <v>13</v>
      </c>
      <c r="F672" s="18" t="s">
        <v>1466</v>
      </c>
      <c r="G672" s="18" t="s">
        <v>1470</v>
      </c>
      <c r="H672" s="33" t="s">
        <v>16</v>
      </c>
      <c r="I672" s="34" t="s">
        <v>380</v>
      </c>
      <c r="J672" s="9" t="str">
        <f t="shared" si="283"/>
        <v>Ninguno</v>
      </c>
      <c r="K672" s="9" t="str">
        <f t="shared" si="279"/>
        <v>Renta neta informada</v>
      </c>
      <c r="L672" s="9" t="str">
        <f t="shared" si="280"/>
        <v>Periodo 2005-2019</v>
      </c>
      <c r="M672" s="9" t="str">
        <f t="shared" si="281"/>
        <v>CLP</v>
      </c>
      <c r="N672" s="9" t="str">
        <f t="shared" si="282"/>
        <v>Servicio de Impuestos Internos (SII)</v>
      </c>
      <c r="O672" s="20" t="str">
        <f>+"Renta neta informada de trabajadoras en la "&amp;I672&amp;", "&amp;Agencia[[#This Row],[temporalidad]]</f>
        <v>Renta neta informada de trabajadoras en la Región Metropolitana, Periodo 2005-2019</v>
      </c>
      <c r="P672" s="112" t="s">
        <v>5787</v>
      </c>
      <c r="Q672" s="11" t="str">
        <f t="shared" si="270"/>
        <v>Gráfico de Evolución</v>
      </c>
      <c r="R672" s="148" t="str">
        <f>Agencia[[#This Row],[territorio]]&amp;",regional,trabajadoras,mujeres,femenino,género,renta,neta,informada,sii,tamaño,empresa,micro,pequeña,mediana,grande,PYME,"&amp;Agencia[[#This Row],[coleccion]]&amp;","&amp;Agencia[[#This Row],[sector]]&amp;","&amp;Agencia[[#This Row],[tema]]&amp;","&amp;Agencia[[#This Row],[contenido]]</f>
        <v>Región Metropolitana,regional,trabajadoras,mujeres,femenino,género,renta,neta,informada,sii,tamaño,empresa,micro,pequeña,mediana,grande,PYME,Agencia Información,Economía,Renta neta,Empresas</v>
      </c>
      <c r="S672" s="37" t="str">
        <f>HYPERLINK("https://analytics.zoho.com/open-view/2395394000008038636?ZOHO_CRITERIA=%225.1%20Empresas_Tama%C3%B1o%22.%22Cod_Regi%C3%B3n%22%3D"&amp;Agencia[[#This Row],[Filtro URL]])</f>
        <v>https://analytics.zoho.com/open-view/2395394000008038636?ZOHO_CRITERIA=%225.1%20Empresas_Tama%C3%B1o%22.%22Cod_Regi%C3%B3n%22%3D13</v>
      </c>
      <c r="T672" s="108" t="str">
        <f>"200-R-"&amp;Agencia[[#This Row],[Filtro URL]]</f>
        <v>200-R-13</v>
      </c>
      <c r="U672" s="46" t="str">
        <f t="shared" si="271"/>
        <v>#1774B9</v>
      </c>
      <c r="V672" s="93" t="str">
        <f>+Agencia[[#This Row],[idcoleccion]]&amp;"-"&amp;Agencia[[#This Row],[id]]</f>
        <v>990-0661</v>
      </c>
      <c r="W672" s="93">
        <f>+VLOOKUP(Agencia[[#This Row],[Filtro URL]],Estructura!$X$4:$Y$500,2,0)</f>
        <v>99200013</v>
      </c>
      <c r="X672" s="93" t="str">
        <f>+VLOOKUP(Agencia[[#This Row],[tema]],Estructura!$A$4:$C$500,3,0)</f>
        <v>T-1010</v>
      </c>
      <c r="Y672" s="93" t="str">
        <f>+VLOOKUP(Agencia[[#This Row],[contenido]],Estructura!$E$4:$G$500,3,0)</f>
        <v>C-993</v>
      </c>
      <c r="Z672" s="93" t="str">
        <f>+VLOOKUP(Agencia[[#This Row],[Filtro Integrado]],Estructura!$I$4:$K$500,3,0)</f>
        <v>FI-993</v>
      </c>
      <c r="AA672" s="93" t="str">
        <f>+VLOOKUP(Agencia[[#This Row],[Muestra]],Estructura!$M$4:$O$500,3,0)</f>
        <v>M-1009</v>
      </c>
    </row>
    <row r="673" spans="1:27" ht="57.6" x14ac:dyDescent="0.3">
      <c r="A673" s="21" t="s">
        <v>1177</v>
      </c>
      <c r="B673" s="23">
        <f t="shared" si="284"/>
        <v>990</v>
      </c>
      <c r="C673" s="24" t="str">
        <f t="shared" si="285"/>
        <v>Agencia Información</v>
      </c>
      <c r="D673" s="72" t="str">
        <f t="shared" si="278"/>
        <v>Economía</v>
      </c>
      <c r="E673" s="19">
        <v>14</v>
      </c>
      <c r="F673" s="18" t="s">
        <v>1466</v>
      </c>
      <c r="G673" s="18" t="s">
        <v>1470</v>
      </c>
      <c r="H673" s="33" t="s">
        <v>16</v>
      </c>
      <c r="I673" s="34" t="s">
        <v>381</v>
      </c>
      <c r="J673" s="9" t="str">
        <f t="shared" si="283"/>
        <v>Ninguno</v>
      </c>
      <c r="K673" s="9" t="str">
        <f t="shared" si="279"/>
        <v>Renta neta informada</v>
      </c>
      <c r="L673" s="9" t="str">
        <f t="shared" si="280"/>
        <v>Periodo 2005-2019</v>
      </c>
      <c r="M673" s="9" t="str">
        <f t="shared" si="281"/>
        <v>CLP</v>
      </c>
      <c r="N673" s="9" t="str">
        <f t="shared" si="282"/>
        <v>Servicio de Impuestos Internos (SII)</v>
      </c>
      <c r="O673" s="20" t="str">
        <f>+"Renta neta informada de trabajadoras en la "&amp;I673&amp;", "&amp;Agencia[[#This Row],[temporalidad]]</f>
        <v>Renta neta informada de trabajadoras en la Región de Los Ríos, Periodo 2005-2019</v>
      </c>
      <c r="P673" s="112" t="s">
        <v>5786</v>
      </c>
      <c r="Q673" s="11" t="str">
        <f t="shared" si="270"/>
        <v>Gráfico de Evolución</v>
      </c>
      <c r="R673" s="148" t="str">
        <f>Agencia[[#This Row],[territorio]]&amp;",regional,trabajadoras,mujeres,femenino,género,renta,neta,informada,sii,tamaño,empresa,micro,pequeña,mediana,grande,PYME,"&amp;Agencia[[#This Row],[coleccion]]&amp;","&amp;Agencia[[#This Row],[sector]]&amp;","&amp;Agencia[[#This Row],[tema]]&amp;","&amp;Agencia[[#This Row],[contenido]]</f>
        <v>Región de Los Ríos,regional,trabajadoras,mujeres,femenino,género,renta,neta,informada,sii,tamaño,empresa,micro,pequeña,mediana,grande,PYME,Agencia Información,Economía,Renta neta,Empresas</v>
      </c>
      <c r="S673" s="37" t="str">
        <f>HYPERLINK("https://analytics.zoho.com/open-view/2395394000008038636?ZOHO_CRITERIA=%225.1%20Empresas_Tama%C3%B1o%22.%22Cod_Regi%C3%B3n%22%3D"&amp;Agencia[[#This Row],[Filtro URL]])</f>
        <v>https://analytics.zoho.com/open-view/2395394000008038636?ZOHO_CRITERIA=%225.1%20Empresas_Tama%C3%B1o%22.%22Cod_Regi%C3%B3n%22%3D14</v>
      </c>
      <c r="T673" s="108" t="str">
        <f>"100-R-"&amp;Agencia[[#This Row],[Filtro URL]]</f>
        <v>100-R-14</v>
      </c>
      <c r="U673" s="46" t="str">
        <f t="shared" si="271"/>
        <v>#1774B9</v>
      </c>
      <c r="V673" s="93" t="str">
        <f>+Agencia[[#This Row],[idcoleccion]]&amp;"-"&amp;Agencia[[#This Row],[id]]</f>
        <v>990-0662</v>
      </c>
      <c r="W673" s="93">
        <f>+VLOOKUP(Agencia[[#This Row],[Filtro URL]],Estructura!$X$4:$Y$500,2,0)</f>
        <v>99200014</v>
      </c>
      <c r="X673" s="93" t="str">
        <f>+VLOOKUP(Agencia[[#This Row],[tema]],Estructura!$A$4:$C$500,3,0)</f>
        <v>T-1010</v>
      </c>
      <c r="Y673" s="93" t="str">
        <f>+VLOOKUP(Agencia[[#This Row],[contenido]],Estructura!$E$4:$G$500,3,0)</f>
        <v>C-993</v>
      </c>
      <c r="Z673" s="93" t="str">
        <f>+VLOOKUP(Agencia[[#This Row],[Filtro Integrado]],Estructura!$I$4:$K$500,3,0)</f>
        <v>FI-993</v>
      </c>
      <c r="AA673" s="93" t="str">
        <f>+VLOOKUP(Agencia[[#This Row],[Muestra]],Estructura!$M$4:$O$500,3,0)</f>
        <v>M-1009</v>
      </c>
    </row>
    <row r="674" spans="1:27" ht="57.6" x14ac:dyDescent="0.3">
      <c r="A674" s="21" t="s">
        <v>1178</v>
      </c>
      <c r="B674" s="23">
        <f t="shared" si="284"/>
        <v>990</v>
      </c>
      <c r="C674" s="24" t="str">
        <f t="shared" si="285"/>
        <v>Agencia Información</v>
      </c>
      <c r="D674" s="72" t="str">
        <f t="shared" si="278"/>
        <v>Economía</v>
      </c>
      <c r="E674" s="19">
        <v>15</v>
      </c>
      <c r="F674" s="18" t="s">
        <v>1466</v>
      </c>
      <c r="G674" s="18" t="s">
        <v>1470</v>
      </c>
      <c r="H674" s="33" t="s">
        <v>16</v>
      </c>
      <c r="I674" s="34" t="s">
        <v>382</v>
      </c>
      <c r="J674" s="9" t="str">
        <f t="shared" si="283"/>
        <v>Ninguno</v>
      </c>
      <c r="K674" s="9" t="str">
        <f t="shared" si="279"/>
        <v>Renta neta informada</v>
      </c>
      <c r="L674" s="9" t="str">
        <f t="shared" si="280"/>
        <v>Periodo 2005-2019</v>
      </c>
      <c r="M674" s="9" t="str">
        <f t="shared" si="281"/>
        <v>CLP</v>
      </c>
      <c r="N674" s="9" t="str">
        <f t="shared" si="282"/>
        <v>Servicio de Impuestos Internos (SII)</v>
      </c>
      <c r="O674" s="20" t="str">
        <f>+"Renta neta informada de trabajadoras en la "&amp;I674&amp;", "&amp;Agencia[[#This Row],[temporalidad]]</f>
        <v>Renta neta informada de trabajadoras en la Región de Arica y Parinacota, Periodo 2005-2019</v>
      </c>
      <c r="P674" s="112" t="s">
        <v>5737</v>
      </c>
      <c r="Q674" s="11" t="str">
        <f t="shared" si="270"/>
        <v>Gráfico de Evolución</v>
      </c>
      <c r="R674" s="148" t="str">
        <f>Agencia[[#This Row],[territorio]]&amp;",regional,trabajadoras,mujeres,femenino,género,renta,neta,informada,sii,tamaño,empresa,micro,pequeña,mediana,grande,PYME,"&amp;Agencia[[#This Row],[coleccion]]&amp;","&amp;Agencia[[#This Row],[sector]]&amp;","&amp;Agencia[[#This Row],[tema]]&amp;","&amp;Agencia[[#This Row],[contenido]]</f>
        <v>Región de Arica y Parinacota,regional,trabajadoras,mujeres,femenino,género,renta,neta,informada,sii,tamaño,empresa,micro,pequeña,mediana,grande,PYME,Agencia Información,Economía,Renta neta,Empresas</v>
      </c>
      <c r="S674" s="37" t="str">
        <f>HYPERLINK("https://analytics.zoho.com/open-view/2395394000008038636?ZOHO_CRITERIA=%225.1%20Empresas_Tama%C3%B1o%22.%22Cod_Regi%C3%B3n%22%3D"&amp;Agencia[[#This Row],[Filtro URL]])</f>
        <v>https://analytics.zoho.com/open-view/2395394000008038636?ZOHO_CRITERIA=%225.1%20Empresas_Tama%C3%B1o%22.%22Cod_Regi%C3%B3n%22%3D15</v>
      </c>
      <c r="T674" s="108" t="str">
        <f>"100-R-"&amp;Agencia[[#This Row],[Filtro URL]]</f>
        <v>100-R-15</v>
      </c>
      <c r="U674" s="46" t="str">
        <f t="shared" si="271"/>
        <v>#1774B9</v>
      </c>
      <c r="V674" s="93" t="str">
        <f>+Agencia[[#This Row],[idcoleccion]]&amp;"-"&amp;Agencia[[#This Row],[id]]</f>
        <v>990-0663</v>
      </c>
      <c r="W674" s="93">
        <f>+VLOOKUP(Agencia[[#This Row],[Filtro URL]],Estructura!$X$4:$Y$500,2,0)</f>
        <v>99200015</v>
      </c>
      <c r="X674" s="93" t="str">
        <f>+VLOOKUP(Agencia[[#This Row],[tema]],Estructura!$A$4:$C$500,3,0)</f>
        <v>T-1010</v>
      </c>
      <c r="Y674" s="93" t="str">
        <f>+VLOOKUP(Agencia[[#This Row],[contenido]],Estructura!$E$4:$G$500,3,0)</f>
        <v>C-993</v>
      </c>
      <c r="Z674" s="93" t="str">
        <f>+VLOOKUP(Agencia[[#This Row],[Filtro Integrado]],Estructura!$I$4:$K$500,3,0)</f>
        <v>FI-993</v>
      </c>
      <c r="AA674" s="93" t="str">
        <f>+VLOOKUP(Agencia[[#This Row],[Muestra]],Estructura!$M$4:$O$500,3,0)</f>
        <v>M-1009</v>
      </c>
    </row>
    <row r="675" spans="1:27" ht="57.6" x14ac:dyDescent="0.3">
      <c r="A675" s="21" t="s">
        <v>1179</v>
      </c>
      <c r="B675" s="23">
        <f t="shared" si="284"/>
        <v>990</v>
      </c>
      <c r="C675" s="24" t="str">
        <f t="shared" si="285"/>
        <v>Agencia Información</v>
      </c>
      <c r="D675" s="72" t="str">
        <f t="shared" si="278"/>
        <v>Economía</v>
      </c>
      <c r="E675" s="19">
        <v>16</v>
      </c>
      <c r="F675" s="18" t="s">
        <v>1466</v>
      </c>
      <c r="G675" s="18" t="s">
        <v>1470</v>
      </c>
      <c r="H675" s="33" t="s">
        <v>16</v>
      </c>
      <c r="I675" s="34" t="s">
        <v>383</v>
      </c>
      <c r="J675" s="9" t="str">
        <f t="shared" si="283"/>
        <v>Ninguno</v>
      </c>
      <c r="K675" s="9" t="str">
        <f t="shared" si="279"/>
        <v>Renta neta informada</v>
      </c>
      <c r="L675" s="9" t="str">
        <f t="shared" si="280"/>
        <v>Periodo 2005-2019</v>
      </c>
      <c r="M675" s="9" t="str">
        <f t="shared" si="281"/>
        <v>CLP</v>
      </c>
      <c r="N675" s="9" t="str">
        <f t="shared" si="282"/>
        <v>Servicio de Impuestos Internos (SII)</v>
      </c>
      <c r="O675" s="20" t="str">
        <f>+"Renta neta informada de trabajadoras en la "&amp;I675&amp;", "&amp;Agencia[[#This Row],[temporalidad]]</f>
        <v>Renta neta informada de trabajadoras en la Región de Ñuble, Periodo 2005-2019</v>
      </c>
      <c r="P675" s="112" t="s">
        <v>5738</v>
      </c>
      <c r="Q675" s="11" t="str">
        <f t="shared" si="270"/>
        <v>Gráfico de Evolución</v>
      </c>
      <c r="R675" s="148" t="str">
        <f>Agencia[[#This Row],[territorio]]&amp;",regional,trabajadoras,mujeres,femenino,género,renta,neta,informada,sii,tamaño,empresa,micro,pequeña,mediana,grande,PYME,"&amp;Agencia[[#This Row],[coleccion]]&amp;","&amp;Agencia[[#This Row],[sector]]&amp;","&amp;Agencia[[#This Row],[tema]]&amp;","&amp;Agencia[[#This Row],[contenido]]</f>
        <v>Región de Ñuble,regional,trabajadoras,mujeres,femenino,género,renta,neta,informada,sii,tamaño,empresa,micro,pequeña,mediana,grande,PYME,Agencia Información,Economía,Renta neta,Empresas</v>
      </c>
      <c r="S675" s="37" t="str">
        <f>HYPERLINK("https://analytics.zoho.com/open-view/2395394000008038636?ZOHO_CRITERIA=%225.1%20Empresas_Tama%C3%B1o%22.%22Cod_Regi%C3%B3n%22%3D"&amp;Agencia[[#This Row],[Filtro URL]])</f>
        <v>https://analytics.zoho.com/open-view/2395394000008038636?ZOHO_CRITERIA=%225.1%20Empresas_Tama%C3%B1o%22.%22Cod_Regi%C3%B3n%22%3D16</v>
      </c>
      <c r="T675" s="108" t="str">
        <f>"100-R-"&amp;Agencia[[#This Row],[Filtro URL]]</f>
        <v>100-R-16</v>
      </c>
      <c r="U675" s="46" t="str">
        <f t="shared" si="271"/>
        <v>#1774B9</v>
      </c>
      <c r="V675" s="93" t="str">
        <f>+Agencia[[#This Row],[idcoleccion]]&amp;"-"&amp;Agencia[[#This Row],[id]]</f>
        <v>990-0664</v>
      </c>
      <c r="W675" s="93">
        <f>+VLOOKUP(Agencia[[#This Row],[Filtro URL]],Estructura!$X$4:$Y$500,2,0)</f>
        <v>99200016</v>
      </c>
      <c r="X675" s="93" t="str">
        <f>+VLOOKUP(Agencia[[#This Row],[tema]],Estructura!$A$4:$C$500,3,0)</f>
        <v>T-1010</v>
      </c>
      <c r="Y675" s="93" t="str">
        <f>+VLOOKUP(Agencia[[#This Row],[contenido]],Estructura!$E$4:$G$500,3,0)</f>
        <v>C-993</v>
      </c>
      <c r="Z675" s="93" t="str">
        <f>+VLOOKUP(Agencia[[#This Row],[Filtro Integrado]],Estructura!$I$4:$K$500,3,0)</f>
        <v>FI-993</v>
      </c>
      <c r="AA675" s="93" t="str">
        <f>+VLOOKUP(Agencia[[#This Row],[Muestra]],Estructura!$M$4:$O$500,3,0)</f>
        <v>M-1009</v>
      </c>
    </row>
    <row r="676" spans="1:27" ht="40.799999999999997" x14ac:dyDescent="0.3">
      <c r="A676" s="21" t="s">
        <v>1180</v>
      </c>
      <c r="B676" s="23">
        <f t="shared" si="284"/>
        <v>990</v>
      </c>
      <c r="C676" s="24" t="str">
        <f t="shared" si="285"/>
        <v>Agencia Información</v>
      </c>
      <c r="D676" s="72" t="s">
        <v>823</v>
      </c>
      <c r="E676" s="14">
        <v>0</v>
      </c>
      <c r="F676" s="18" t="s">
        <v>1471</v>
      </c>
      <c r="G676" s="18" t="s">
        <v>1470</v>
      </c>
      <c r="H676" s="31" t="s">
        <v>20</v>
      </c>
      <c r="I676" s="32" t="s">
        <v>15</v>
      </c>
      <c r="J676" s="9" t="s">
        <v>16</v>
      </c>
      <c r="K676" s="9" t="s">
        <v>1470</v>
      </c>
      <c r="L676" s="9" t="s">
        <v>1391</v>
      </c>
      <c r="M676" s="9" t="s">
        <v>1469</v>
      </c>
      <c r="N676" s="9" t="s">
        <v>826</v>
      </c>
      <c r="O676" s="20" t="str">
        <f>+"Número de Empresas por Tamaño según ventas en "&amp;I676&amp;", "&amp;Agencia[[#This Row],[temporalidad]]</f>
        <v>Número de Empresas por Tamaño según ventas en Chile, Periodo 2005-2019</v>
      </c>
      <c r="P676" s="112" t="s">
        <v>5739</v>
      </c>
      <c r="Q676" s="11" t="s">
        <v>784</v>
      </c>
      <c r="R676" s="20" t="str">
        <f>Agencia[[#This Row],[territorio]]&amp;",empresas,regional,tramos,ventas,uf,micro,mediana,grande,pequeña,PYME,sii,"&amp;Agencia[[#This Row],[coleccion]]&amp;","&amp;Agencia[[#This Row],[sector]]&amp;","&amp;Agencia[[#This Row],[tema]]&amp;","&amp;Agencia[[#This Row],[contenido]]</f>
        <v>Chile,empresas,regional,tramos,ventas,uf,micro,mediana,grande,pequeña,PYME,sii,Agencia Información,Economía,Empresas por tamaño,Empresas</v>
      </c>
      <c r="S676" s="37" t="s">
        <v>1472</v>
      </c>
      <c r="T676" s="108" t="s">
        <v>805</v>
      </c>
      <c r="U676" s="46" t="str">
        <f t="shared" si="271"/>
        <v>#1774B9</v>
      </c>
      <c r="V676" s="93" t="str">
        <f>+Agencia[[#This Row],[idcoleccion]]&amp;"-"&amp;Agencia[[#This Row],[id]]</f>
        <v>990-0665</v>
      </c>
      <c r="W676" s="93">
        <f>+VLOOKUP(Agencia[[#This Row],[Filtro URL]],Estructura!$X$4:$Y$500,2,0)</f>
        <v>99100000</v>
      </c>
      <c r="X676" s="93" t="str">
        <f>+VLOOKUP(Agencia[[#This Row],[tema]],Estructura!$A$4:$C$500,3,0)</f>
        <v>T-1011</v>
      </c>
      <c r="Y676" s="93" t="str">
        <f>+VLOOKUP(Agencia[[#This Row],[contenido]],Estructura!$E$4:$G$500,3,0)</f>
        <v>C-993</v>
      </c>
      <c r="Z676" s="93" t="str">
        <f>+VLOOKUP(Agencia[[#This Row],[Filtro Integrado]],Estructura!$I$4:$K$500,3,0)</f>
        <v>FI-992</v>
      </c>
      <c r="AA676" s="93" t="str">
        <f>+VLOOKUP(Agencia[[#This Row],[Muestra]],Estructura!$M$4:$O$500,3,0)</f>
        <v>M-1066</v>
      </c>
    </row>
    <row r="677" spans="1:27" ht="57.6" x14ac:dyDescent="0.3">
      <c r="A677" s="21" t="s">
        <v>1181</v>
      </c>
      <c r="B677" s="23">
        <f t="shared" si="284"/>
        <v>990</v>
      </c>
      <c r="C677" s="24" t="str">
        <f t="shared" si="285"/>
        <v>Agencia Información</v>
      </c>
      <c r="D677" s="72" t="str">
        <f t="shared" ref="D677:D692" si="286">+D676</f>
        <v>Economía</v>
      </c>
      <c r="E677" s="19">
        <v>1</v>
      </c>
      <c r="F677" s="18" t="s">
        <v>1471</v>
      </c>
      <c r="G677" s="18" t="s">
        <v>1470</v>
      </c>
      <c r="H677" s="33" t="s">
        <v>16</v>
      </c>
      <c r="I677" s="34" t="s">
        <v>368</v>
      </c>
      <c r="J677" s="9" t="s">
        <v>403</v>
      </c>
      <c r="K677" s="9" t="str">
        <f t="shared" ref="K677:K692" si="287">+K676</f>
        <v>Empresas</v>
      </c>
      <c r="L677" s="9" t="str">
        <f t="shared" ref="L677:L692" si="288">+L676</f>
        <v>Periodo 2005-2019</v>
      </c>
      <c r="M677" s="9" t="str">
        <f t="shared" ref="M677:M692" si="289">+M676</f>
        <v>Número de empresas</v>
      </c>
      <c r="N677" s="9" t="str">
        <f t="shared" ref="N677:N692" si="290">+N676</f>
        <v>Servicio de Impuestos Internos (SII)</v>
      </c>
      <c r="O677" s="20" t="str">
        <f>+"Número de Empresas por Tamaño según ventas en la "&amp;I677&amp;", "&amp;Agencia[[#This Row],[temporalidad]]</f>
        <v>Número de Empresas por Tamaño según ventas en la Región de Tarapacá, Periodo 2005-2019</v>
      </c>
      <c r="P677" s="112" t="s">
        <v>5740</v>
      </c>
      <c r="Q677" s="11" t="str">
        <f t="shared" si="270"/>
        <v>Gráfico de Evolución</v>
      </c>
      <c r="R677" s="148" t="str">
        <f>Agencia[[#This Row],[territorio]]&amp;",empresas,regional,tramos,ventas,uf,micro,mediana,grande,pequeña,PYME,sii,"&amp;Agencia[[#This Row],[coleccion]]&amp;","&amp;Agencia[[#This Row],[sector]]&amp;","&amp;Agencia[[#This Row],[tema]]&amp;","&amp;Agencia[[#This Row],[contenido]]</f>
        <v>Región de Tarapacá,empresas,regional,tramos,ventas,uf,micro,mediana,grande,pequeña,PYME,sii,Agencia Información,Economía,Empresas por tamaño,Empresas</v>
      </c>
      <c r="S677" s="37" t="str">
        <f>HYPERLINK("https://analytics.zoho.com/open-view/2395394000008039000?ZOHO_CRITERIA=%225.1%20Empresas_Tama%C3%B1o%22.%22Cod_Regi%C3%B3n%22%3D"&amp;Agencia[[#This Row],[Filtro URL]])</f>
        <v>https://analytics.zoho.com/open-view/2395394000008039000?ZOHO_CRITERIA=%225.1%20Empresas_Tama%C3%B1o%22.%22Cod_Regi%C3%B3n%22%3D1</v>
      </c>
      <c r="T677" s="108" t="str">
        <f>"100-R-"&amp;Agencia[[#This Row],[Filtro URL]]</f>
        <v>100-R-1</v>
      </c>
      <c r="U677" s="46" t="str">
        <f t="shared" si="271"/>
        <v>#1774B9</v>
      </c>
      <c r="V677" s="93" t="str">
        <f>+Agencia[[#This Row],[idcoleccion]]&amp;"-"&amp;Agencia[[#This Row],[id]]</f>
        <v>990-0666</v>
      </c>
      <c r="W677" s="93">
        <f>+VLOOKUP(Agencia[[#This Row],[Filtro URL]],Estructura!$X$4:$Y$500,2,0)</f>
        <v>99200001</v>
      </c>
      <c r="X677" s="93" t="str">
        <f>+VLOOKUP(Agencia[[#This Row],[tema]],Estructura!$A$4:$C$500,3,0)</f>
        <v>T-1011</v>
      </c>
      <c r="Y677" s="93" t="str">
        <f>+VLOOKUP(Agencia[[#This Row],[contenido]],Estructura!$E$4:$G$500,3,0)</f>
        <v>C-993</v>
      </c>
      <c r="Z677" s="93" t="str">
        <f>+VLOOKUP(Agencia[[#This Row],[Filtro Integrado]],Estructura!$I$4:$K$500,3,0)</f>
        <v>FI-993</v>
      </c>
      <c r="AA677" s="93" t="str">
        <f>+VLOOKUP(Agencia[[#This Row],[Muestra]],Estructura!$M$4:$O$500,3,0)</f>
        <v>M-1066</v>
      </c>
    </row>
    <row r="678" spans="1:27" ht="57.6" x14ac:dyDescent="0.3">
      <c r="A678" s="21" t="s">
        <v>1182</v>
      </c>
      <c r="B678" s="23">
        <f t="shared" si="284"/>
        <v>990</v>
      </c>
      <c r="C678" s="24" t="str">
        <f t="shared" si="285"/>
        <v>Agencia Información</v>
      </c>
      <c r="D678" s="72" t="str">
        <f t="shared" si="286"/>
        <v>Economía</v>
      </c>
      <c r="E678" s="19">
        <v>2</v>
      </c>
      <c r="F678" s="18" t="s">
        <v>1471</v>
      </c>
      <c r="G678" s="18" t="s">
        <v>1470</v>
      </c>
      <c r="H678" s="33" t="s">
        <v>16</v>
      </c>
      <c r="I678" s="34" t="s">
        <v>369</v>
      </c>
      <c r="J678" s="9" t="str">
        <f t="shared" ref="J678:J692" si="291">+J677</f>
        <v>Ninguno</v>
      </c>
      <c r="K678" s="9" t="str">
        <f t="shared" si="287"/>
        <v>Empresas</v>
      </c>
      <c r="L678" s="9" t="str">
        <f t="shared" si="288"/>
        <v>Periodo 2005-2019</v>
      </c>
      <c r="M678" s="9" t="str">
        <f t="shared" si="289"/>
        <v>Número de empresas</v>
      </c>
      <c r="N678" s="9" t="str">
        <f t="shared" si="290"/>
        <v>Servicio de Impuestos Internos (SII)</v>
      </c>
      <c r="O678" s="20" t="str">
        <f>+"Número de Empresas por Tamaño según ventas en la "&amp;I678&amp;", "&amp;Agencia[[#This Row],[temporalidad]]</f>
        <v>Número de Empresas por Tamaño según ventas en la Región de Antofagasta, Periodo 2005-2019</v>
      </c>
      <c r="P678" s="112" t="s">
        <v>5788</v>
      </c>
      <c r="Q678" s="11" t="str">
        <f t="shared" si="270"/>
        <v>Gráfico de Evolución</v>
      </c>
      <c r="R678" s="148" t="str">
        <f>Agencia[[#This Row],[territorio]]&amp;",empresas,regional,tramos,ventas,uf,micro,mediana,grande,pequeña,PYME,sii,"&amp;Agencia[[#This Row],[coleccion]]&amp;","&amp;Agencia[[#This Row],[sector]]&amp;","&amp;Agencia[[#This Row],[tema]]&amp;","&amp;Agencia[[#This Row],[contenido]]</f>
        <v>Región de Antofagasta,empresas,regional,tramos,ventas,uf,micro,mediana,grande,pequeña,PYME,sii,Agencia Información,Economía,Empresas por tamaño,Empresas</v>
      </c>
      <c r="S678" s="37" t="str">
        <f>HYPERLINK("https://analytics.zoho.com/open-view/2395394000008039000?ZOHO_CRITERIA=%225.1%20Empresas_Tama%C3%B1o%22.%22Cod_Regi%C3%B3n%22%3D"&amp;Agencia[[#This Row],[Filtro URL]])</f>
        <v>https://analytics.zoho.com/open-view/2395394000008039000?ZOHO_CRITERIA=%225.1%20Empresas_Tama%C3%B1o%22.%22Cod_Regi%C3%B3n%22%3D2</v>
      </c>
      <c r="T678" s="108" t="str">
        <f>"100-R-"&amp;Agencia[[#This Row],[Filtro URL]]</f>
        <v>100-R-2</v>
      </c>
      <c r="U678" s="46" t="str">
        <f t="shared" si="271"/>
        <v>#1774B9</v>
      </c>
      <c r="V678" s="93" t="str">
        <f>+Agencia[[#This Row],[idcoleccion]]&amp;"-"&amp;Agencia[[#This Row],[id]]</f>
        <v>990-0667</v>
      </c>
      <c r="W678" s="93">
        <f>+VLOOKUP(Agencia[[#This Row],[Filtro URL]],Estructura!$X$4:$Y$500,2,0)</f>
        <v>99200002</v>
      </c>
      <c r="X678" s="93" t="str">
        <f>+VLOOKUP(Agencia[[#This Row],[tema]],Estructura!$A$4:$C$500,3,0)</f>
        <v>T-1011</v>
      </c>
      <c r="Y678" s="93" t="str">
        <f>+VLOOKUP(Agencia[[#This Row],[contenido]],Estructura!$E$4:$G$500,3,0)</f>
        <v>C-993</v>
      </c>
      <c r="Z678" s="93" t="str">
        <f>+VLOOKUP(Agencia[[#This Row],[Filtro Integrado]],Estructura!$I$4:$K$500,3,0)</f>
        <v>FI-993</v>
      </c>
      <c r="AA678" s="93" t="str">
        <f>+VLOOKUP(Agencia[[#This Row],[Muestra]],Estructura!$M$4:$O$500,3,0)</f>
        <v>M-1066</v>
      </c>
    </row>
    <row r="679" spans="1:27" ht="57.6" x14ac:dyDescent="0.3">
      <c r="A679" s="21" t="s">
        <v>1183</v>
      </c>
      <c r="B679" s="23">
        <f t="shared" si="284"/>
        <v>990</v>
      </c>
      <c r="C679" s="24" t="str">
        <f t="shared" si="285"/>
        <v>Agencia Información</v>
      </c>
      <c r="D679" s="72" t="str">
        <f t="shared" si="286"/>
        <v>Economía</v>
      </c>
      <c r="E679" s="19">
        <v>3</v>
      </c>
      <c r="F679" s="18" t="s">
        <v>1471</v>
      </c>
      <c r="G679" s="18" t="s">
        <v>1470</v>
      </c>
      <c r="H679" s="33" t="s">
        <v>16</v>
      </c>
      <c r="I679" s="34" t="s">
        <v>370</v>
      </c>
      <c r="J679" s="9" t="str">
        <f t="shared" si="291"/>
        <v>Ninguno</v>
      </c>
      <c r="K679" s="9" t="str">
        <f t="shared" si="287"/>
        <v>Empresas</v>
      </c>
      <c r="L679" s="9" t="str">
        <f t="shared" si="288"/>
        <v>Periodo 2005-2019</v>
      </c>
      <c r="M679" s="9" t="str">
        <f t="shared" si="289"/>
        <v>Número de empresas</v>
      </c>
      <c r="N679" s="9" t="str">
        <f t="shared" si="290"/>
        <v>Servicio de Impuestos Internos (SII)</v>
      </c>
      <c r="O679" s="20" t="str">
        <f>+"Número de Empresas por Tamaño según ventas en la "&amp;I679&amp;", "&amp;Agencia[[#This Row],[temporalidad]]</f>
        <v>Número de Empresas por Tamaño según ventas en la Región de Atacama, Periodo 2005-2019</v>
      </c>
      <c r="P679" s="112" t="s">
        <v>5741</v>
      </c>
      <c r="Q679" s="11" t="str">
        <f t="shared" si="270"/>
        <v>Gráfico de Evolución</v>
      </c>
      <c r="R679" s="148" t="str">
        <f>Agencia[[#This Row],[territorio]]&amp;",empresas,regional,tramos,ventas,uf,micro,mediana,grande,pequeña,PYME,sii,"&amp;Agencia[[#This Row],[coleccion]]&amp;","&amp;Agencia[[#This Row],[sector]]&amp;","&amp;Agencia[[#This Row],[tema]]&amp;","&amp;Agencia[[#This Row],[contenido]]</f>
        <v>Región de Atacama,empresas,regional,tramos,ventas,uf,micro,mediana,grande,pequeña,PYME,sii,Agencia Información,Economía,Empresas por tamaño,Empresas</v>
      </c>
      <c r="S679" s="37" t="str">
        <f>HYPERLINK("https://analytics.zoho.com/open-view/2395394000008039000?ZOHO_CRITERIA=%225.1%20Empresas_Tama%C3%B1o%22.%22Cod_Regi%C3%B3n%22%3D"&amp;Agencia[[#This Row],[Filtro URL]])</f>
        <v>https://analytics.zoho.com/open-view/2395394000008039000?ZOHO_CRITERIA=%225.1%20Empresas_Tama%C3%B1o%22.%22Cod_Regi%C3%B3n%22%3D3</v>
      </c>
      <c r="T679" s="108" t="str">
        <f>"100-R-"&amp;Agencia[[#This Row],[Filtro URL]]</f>
        <v>100-R-3</v>
      </c>
      <c r="U679" s="46" t="str">
        <f t="shared" si="271"/>
        <v>#1774B9</v>
      </c>
      <c r="V679" s="93" t="str">
        <f>+Agencia[[#This Row],[idcoleccion]]&amp;"-"&amp;Agencia[[#This Row],[id]]</f>
        <v>990-0668</v>
      </c>
      <c r="W679" s="93">
        <f>+VLOOKUP(Agencia[[#This Row],[Filtro URL]],Estructura!$X$4:$Y$500,2,0)</f>
        <v>99200003</v>
      </c>
      <c r="X679" s="93" t="str">
        <f>+VLOOKUP(Agencia[[#This Row],[tema]],Estructura!$A$4:$C$500,3,0)</f>
        <v>T-1011</v>
      </c>
      <c r="Y679" s="93" t="str">
        <f>+VLOOKUP(Agencia[[#This Row],[contenido]],Estructura!$E$4:$G$500,3,0)</f>
        <v>C-993</v>
      </c>
      <c r="Z679" s="93" t="str">
        <f>+VLOOKUP(Agencia[[#This Row],[Filtro Integrado]],Estructura!$I$4:$K$500,3,0)</f>
        <v>FI-993</v>
      </c>
      <c r="AA679" s="93" t="str">
        <f>+VLOOKUP(Agencia[[#This Row],[Muestra]],Estructura!$M$4:$O$500,3,0)</f>
        <v>M-1066</v>
      </c>
    </row>
    <row r="680" spans="1:27" ht="57.6" x14ac:dyDescent="0.3">
      <c r="A680" s="21" t="s">
        <v>1184</v>
      </c>
      <c r="B680" s="23">
        <f t="shared" si="284"/>
        <v>990</v>
      </c>
      <c r="C680" s="24" t="str">
        <f t="shared" si="285"/>
        <v>Agencia Información</v>
      </c>
      <c r="D680" s="72" t="str">
        <f t="shared" si="286"/>
        <v>Economía</v>
      </c>
      <c r="E680" s="19">
        <v>4</v>
      </c>
      <c r="F680" s="18" t="s">
        <v>1471</v>
      </c>
      <c r="G680" s="18" t="s">
        <v>1470</v>
      </c>
      <c r="H680" s="33" t="s">
        <v>16</v>
      </c>
      <c r="I680" s="34" t="s">
        <v>371</v>
      </c>
      <c r="J680" s="9" t="str">
        <f t="shared" si="291"/>
        <v>Ninguno</v>
      </c>
      <c r="K680" s="9" t="str">
        <f t="shared" si="287"/>
        <v>Empresas</v>
      </c>
      <c r="L680" s="9" t="str">
        <f t="shared" si="288"/>
        <v>Periodo 2005-2019</v>
      </c>
      <c r="M680" s="9" t="str">
        <f t="shared" si="289"/>
        <v>Número de empresas</v>
      </c>
      <c r="N680" s="9" t="str">
        <f t="shared" si="290"/>
        <v>Servicio de Impuestos Internos (SII)</v>
      </c>
      <c r="O680" s="20" t="str">
        <f>+"Número de Empresas por Tamaño según ventas en la "&amp;I680&amp;", "&amp;Agencia[[#This Row],[temporalidad]]</f>
        <v>Número de Empresas por Tamaño según ventas en la Región de Coquimbo, Periodo 2005-2019</v>
      </c>
      <c r="P680" s="112" t="s">
        <v>5742</v>
      </c>
      <c r="Q680" s="11" t="str">
        <f t="shared" si="270"/>
        <v>Gráfico de Evolución</v>
      </c>
      <c r="R680" s="148" t="str">
        <f>Agencia[[#This Row],[territorio]]&amp;",empresas,regional,tramos,ventas,uf,micro,mediana,grande,pequeña,PYME,sii,"&amp;Agencia[[#This Row],[coleccion]]&amp;","&amp;Agencia[[#This Row],[sector]]&amp;","&amp;Agencia[[#This Row],[tema]]&amp;","&amp;Agencia[[#This Row],[contenido]]</f>
        <v>Región de Coquimbo,empresas,regional,tramos,ventas,uf,micro,mediana,grande,pequeña,PYME,sii,Agencia Información,Economía,Empresas por tamaño,Empresas</v>
      </c>
      <c r="S680" s="37" t="str">
        <f>HYPERLINK("https://analytics.zoho.com/open-view/2395394000008039000?ZOHO_CRITERIA=%225.1%20Empresas_Tama%C3%B1o%22.%22Cod_Regi%C3%B3n%22%3D"&amp;Agencia[[#This Row],[Filtro URL]])</f>
        <v>https://analytics.zoho.com/open-view/2395394000008039000?ZOHO_CRITERIA=%225.1%20Empresas_Tama%C3%B1o%22.%22Cod_Regi%C3%B3n%22%3D4</v>
      </c>
      <c r="T680" s="108" t="str">
        <f>"100-R-"&amp;Agencia[[#This Row],[Filtro URL]]</f>
        <v>100-R-4</v>
      </c>
      <c r="U680" s="46" t="str">
        <f t="shared" si="271"/>
        <v>#1774B9</v>
      </c>
      <c r="V680" s="93" t="str">
        <f>+Agencia[[#This Row],[idcoleccion]]&amp;"-"&amp;Agencia[[#This Row],[id]]</f>
        <v>990-0669</v>
      </c>
      <c r="W680" s="93">
        <f>+VLOOKUP(Agencia[[#This Row],[Filtro URL]],Estructura!$X$4:$Y$500,2,0)</f>
        <v>99200004</v>
      </c>
      <c r="X680" s="93" t="str">
        <f>+VLOOKUP(Agencia[[#This Row],[tema]],Estructura!$A$4:$C$500,3,0)</f>
        <v>T-1011</v>
      </c>
      <c r="Y680" s="93" t="str">
        <f>+VLOOKUP(Agencia[[#This Row],[contenido]],Estructura!$E$4:$G$500,3,0)</f>
        <v>C-993</v>
      </c>
      <c r="Z680" s="93" t="str">
        <f>+VLOOKUP(Agencia[[#This Row],[Filtro Integrado]],Estructura!$I$4:$K$500,3,0)</f>
        <v>FI-993</v>
      </c>
      <c r="AA680" s="93" t="str">
        <f>+VLOOKUP(Agencia[[#This Row],[Muestra]],Estructura!$M$4:$O$500,3,0)</f>
        <v>M-1066</v>
      </c>
    </row>
    <row r="681" spans="1:27" ht="57.6" x14ac:dyDescent="0.3">
      <c r="A681" s="21" t="s">
        <v>1185</v>
      </c>
      <c r="B681" s="23">
        <f t="shared" si="284"/>
        <v>990</v>
      </c>
      <c r="C681" s="24" t="str">
        <f t="shared" si="285"/>
        <v>Agencia Información</v>
      </c>
      <c r="D681" s="72" t="str">
        <f t="shared" si="286"/>
        <v>Economía</v>
      </c>
      <c r="E681" s="19">
        <v>5</v>
      </c>
      <c r="F681" s="18" t="s">
        <v>1471</v>
      </c>
      <c r="G681" s="18" t="s">
        <v>1470</v>
      </c>
      <c r="H681" s="33" t="s">
        <v>16</v>
      </c>
      <c r="I681" s="34" t="s">
        <v>372</v>
      </c>
      <c r="J681" s="9" t="str">
        <f t="shared" si="291"/>
        <v>Ninguno</v>
      </c>
      <c r="K681" s="9" t="str">
        <f t="shared" si="287"/>
        <v>Empresas</v>
      </c>
      <c r="L681" s="9" t="str">
        <f t="shared" si="288"/>
        <v>Periodo 2005-2019</v>
      </c>
      <c r="M681" s="9" t="str">
        <f t="shared" si="289"/>
        <v>Número de empresas</v>
      </c>
      <c r="N681" s="9" t="str">
        <f t="shared" si="290"/>
        <v>Servicio de Impuestos Internos (SII)</v>
      </c>
      <c r="O681" s="20" t="str">
        <f>+"Número de Empresas por Tamaño según ventas en la "&amp;I681&amp;", "&amp;Agencia[[#This Row],[temporalidad]]</f>
        <v>Número de Empresas por Tamaño según ventas en la Región de Valparaíso, Periodo 2005-2019</v>
      </c>
      <c r="P681" s="112" t="s">
        <v>5789</v>
      </c>
      <c r="Q681" s="11" t="str">
        <f t="shared" si="270"/>
        <v>Gráfico de Evolución</v>
      </c>
      <c r="R681" s="148" t="str">
        <f>Agencia[[#This Row],[territorio]]&amp;",empresas,regional,tramos,ventas,uf,micro,mediana,grande,pequeña,PYME,sii,"&amp;Agencia[[#This Row],[coleccion]]&amp;","&amp;Agencia[[#This Row],[sector]]&amp;","&amp;Agencia[[#This Row],[tema]]&amp;","&amp;Agencia[[#This Row],[contenido]]</f>
        <v>Región de Valparaíso,empresas,regional,tramos,ventas,uf,micro,mediana,grande,pequeña,PYME,sii,Agencia Información,Economía,Empresas por tamaño,Empresas</v>
      </c>
      <c r="S681" s="37" t="str">
        <f>HYPERLINK("https://analytics.zoho.com/open-view/2395394000008039000?ZOHO_CRITERIA=%225.1%20Empresas_Tama%C3%B1o%22.%22Cod_Regi%C3%B3n%22%3D"&amp;Agencia[[#This Row],[Filtro URL]])</f>
        <v>https://analytics.zoho.com/open-view/2395394000008039000?ZOHO_CRITERIA=%225.1%20Empresas_Tama%C3%B1o%22.%22Cod_Regi%C3%B3n%22%3D5</v>
      </c>
      <c r="T681" s="108" t="str">
        <f>"100-R-"&amp;Agencia[[#This Row],[Filtro URL]]</f>
        <v>100-R-5</v>
      </c>
      <c r="U681" s="46" t="str">
        <f t="shared" si="271"/>
        <v>#1774B9</v>
      </c>
      <c r="V681" s="93" t="str">
        <f>+Agencia[[#This Row],[idcoleccion]]&amp;"-"&amp;Agencia[[#This Row],[id]]</f>
        <v>990-0670</v>
      </c>
      <c r="W681" s="93">
        <f>+VLOOKUP(Agencia[[#This Row],[Filtro URL]],Estructura!$X$4:$Y$500,2,0)</f>
        <v>99200005</v>
      </c>
      <c r="X681" s="93" t="str">
        <f>+VLOOKUP(Agencia[[#This Row],[tema]],Estructura!$A$4:$C$500,3,0)</f>
        <v>T-1011</v>
      </c>
      <c r="Y681" s="93" t="str">
        <f>+VLOOKUP(Agencia[[#This Row],[contenido]],Estructura!$E$4:$G$500,3,0)</f>
        <v>C-993</v>
      </c>
      <c r="Z681" s="93" t="str">
        <f>+VLOOKUP(Agencia[[#This Row],[Filtro Integrado]],Estructura!$I$4:$K$500,3,0)</f>
        <v>FI-993</v>
      </c>
      <c r="AA681" s="93" t="str">
        <f>+VLOOKUP(Agencia[[#This Row],[Muestra]],Estructura!$M$4:$O$500,3,0)</f>
        <v>M-1066</v>
      </c>
    </row>
    <row r="682" spans="1:27" ht="57.6" x14ac:dyDescent="0.3">
      <c r="A682" s="21" t="s">
        <v>1186</v>
      </c>
      <c r="B682" s="23">
        <f t="shared" si="284"/>
        <v>990</v>
      </c>
      <c r="C682" s="24" t="str">
        <f t="shared" si="285"/>
        <v>Agencia Información</v>
      </c>
      <c r="D682" s="72" t="str">
        <f t="shared" si="286"/>
        <v>Economía</v>
      </c>
      <c r="E682" s="19">
        <v>6</v>
      </c>
      <c r="F682" s="18" t="s">
        <v>1471</v>
      </c>
      <c r="G682" s="18" t="s">
        <v>1470</v>
      </c>
      <c r="H682" s="33" t="s">
        <v>16</v>
      </c>
      <c r="I682" s="34" t="s">
        <v>373</v>
      </c>
      <c r="J682" s="9" t="str">
        <f t="shared" si="291"/>
        <v>Ninguno</v>
      </c>
      <c r="K682" s="9" t="str">
        <f t="shared" si="287"/>
        <v>Empresas</v>
      </c>
      <c r="L682" s="9" t="str">
        <f t="shared" si="288"/>
        <v>Periodo 2005-2019</v>
      </c>
      <c r="M682" s="9" t="str">
        <f t="shared" si="289"/>
        <v>Número de empresas</v>
      </c>
      <c r="N682" s="9" t="str">
        <f t="shared" si="290"/>
        <v>Servicio de Impuestos Internos (SII)</v>
      </c>
      <c r="O682" s="20" t="str">
        <f>+"Número de Empresas por Tamaño según ventas en la "&amp;I682&amp;", "&amp;Agencia[[#This Row],[temporalidad]]</f>
        <v>Número de Empresas por Tamaño según ventas en la Región de O'Higgins, Periodo 2005-2019</v>
      </c>
      <c r="P682" s="112" t="s">
        <v>5790</v>
      </c>
      <c r="Q682" s="11" t="str">
        <f t="shared" si="270"/>
        <v>Gráfico de Evolución</v>
      </c>
      <c r="R682" s="148" t="str">
        <f>Agencia[[#This Row],[territorio]]&amp;",empresas,regional,tramos,ventas,uf,micro,mediana,grande,pequeña,PYME,sii,"&amp;Agencia[[#This Row],[coleccion]]&amp;","&amp;Agencia[[#This Row],[sector]]&amp;","&amp;Agencia[[#This Row],[tema]]&amp;","&amp;Agencia[[#This Row],[contenido]]</f>
        <v>Región de O'Higgins,empresas,regional,tramos,ventas,uf,micro,mediana,grande,pequeña,PYME,sii,Agencia Información,Economía,Empresas por tamaño,Empresas</v>
      </c>
      <c r="S682" s="37" t="str">
        <f>HYPERLINK("https://analytics.zoho.com/open-view/2395394000008039000?ZOHO_CRITERIA=%225.1%20Empresas_Tama%C3%B1o%22.%22Cod_Regi%C3%B3n%22%3D"&amp;Agencia[[#This Row],[Filtro URL]])</f>
        <v>https://analytics.zoho.com/open-view/2395394000008039000?ZOHO_CRITERIA=%225.1%20Empresas_Tama%C3%B1o%22.%22Cod_Regi%C3%B3n%22%3D6</v>
      </c>
      <c r="T682" s="108" t="str">
        <f>"100-R-"&amp;Agencia[[#This Row],[Filtro URL]]</f>
        <v>100-R-6</v>
      </c>
      <c r="U682" s="46" t="str">
        <f t="shared" si="271"/>
        <v>#1774B9</v>
      </c>
      <c r="V682" s="93" t="str">
        <f>+Agencia[[#This Row],[idcoleccion]]&amp;"-"&amp;Agencia[[#This Row],[id]]</f>
        <v>990-0671</v>
      </c>
      <c r="W682" s="93">
        <f>+VLOOKUP(Agencia[[#This Row],[Filtro URL]],Estructura!$X$4:$Y$500,2,0)</f>
        <v>99200006</v>
      </c>
      <c r="X682" s="93" t="str">
        <f>+VLOOKUP(Agencia[[#This Row],[tema]],Estructura!$A$4:$C$500,3,0)</f>
        <v>T-1011</v>
      </c>
      <c r="Y682" s="93" t="str">
        <f>+VLOOKUP(Agencia[[#This Row],[contenido]],Estructura!$E$4:$G$500,3,0)</f>
        <v>C-993</v>
      </c>
      <c r="Z682" s="93" t="str">
        <f>+VLOOKUP(Agencia[[#This Row],[Filtro Integrado]],Estructura!$I$4:$K$500,3,0)</f>
        <v>FI-993</v>
      </c>
      <c r="AA682" s="93" t="str">
        <f>+VLOOKUP(Agencia[[#This Row],[Muestra]],Estructura!$M$4:$O$500,3,0)</f>
        <v>M-1066</v>
      </c>
    </row>
    <row r="683" spans="1:27" ht="57.6" x14ac:dyDescent="0.3">
      <c r="A683" s="21" t="s">
        <v>1187</v>
      </c>
      <c r="B683" s="23">
        <f t="shared" si="284"/>
        <v>990</v>
      </c>
      <c r="C683" s="24" t="str">
        <f t="shared" si="285"/>
        <v>Agencia Información</v>
      </c>
      <c r="D683" s="72" t="str">
        <f t="shared" si="286"/>
        <v>Economía</v>
      </c>
      <c r="E683" s="19">
        <v>7</v>
      </c>
      <c r="F683" s="18" t="s">
        <v>1471</v>
      </c>
      <c r="G683" s="18" t="s">
        <v>1470</v>
      </c>
      <c r="H683" s="33" t="s">
        <v>16</v>
      </c>
      <c r="I683" s="34" t="s">
        <v>374</v>
      </c>
      <c r="J683" s="9" t="str">
        <f t="shared" si="291"/>
        <v>Ninguno</v>
      </c>
      <c r="K683" s="9" t="str">
        <f t="shared" si="287"/>
        <v>Empresas</v>
      </c>
      <c r="L683" s="9" t="str">
        <f t="shared" si="288"/>
        <v>Periodo 2005-2019</v>
      </c>
      <c r="M683" s="9" t="str">
        <f t="shared" si="289"/>
        <v>Número de empresas</v>
      </c>
      <c r="N683" s="9" t="str">
        <f t="shared" si="290"/>
        <v>Servicio de Impuestos Internos (SII)</v>
      </c>
      <c r="O683" s="20" t="str">
        <f>+"Número de Empresas por Tamaño según ventas en la "&amp;I683&amp;", "&amp;Agencia[[#This Row],[temporalidad]]</f>
        <v>Número de Empresas por Tamaño según ventas en la Región de Maule, Periodo 2005-2019</v>
      </c>
      <c r="P683" s="112" t="s">
        <v>5743</v>
      </c>
      <c r="Q683" s="11" t="str">
        <f t="shared" si="270"/>
        <v>Gráfico de Evolución</v>
      </c>
      <c r="R683" s="148" t="str">
        <f>Agencia[[#This Row],[territorio]]&amp;",empresas,regional,tramos,ventas,uf,micro,mediana,grande,pequeña,PYME,sii,"&amp;Agencia[[#This Row],[coleccion]]&amp;","&amp;Agencia[[#This Row],[sector]]&amp;","&amp;Agencia[[#This Row],[tema]]&amp;","&amp;Agencia[[#This Row],[contenido]]</f>
        <v>Región de Maule,empresas,regional,tramos,ventas,uf,micro,mediana,grande,pequeña,PYME,sii,Agencia Información,Economía,Empresas por tamaño,Empresas</v>
      </c>
      <c r="S683" s="37" t="str">
        <f>HYPERLINK("https://analytics.zoho.com/open-view/2395394000008039000?ZOHO_CRITERIA=%225.1%20Empresas_Tama%C3%B1o%22.%22Cod_Regi%C3%B3n%22%3D"&amp;Agencia[[#This Row],[Filtro URL]])</f>
        <v>https://analytics.zoho.com/open-view/2395394000008039000?ZOHO_CRITERIA=%225.1%20Empresas_Tama%C3%B1o%22.%22Cod_Regi%C3%B3n%22%3D7</v>
      </c>
      <c r="T683" s="108" t="str">
        <f>"100-R-"&amp;Agencia[[#This Row],[Filtro URL]]</f>
        <v>100-R-7</v>
      </c>
      <c r="U683" s="46" t="str">
        <f t="shared" si="271"/>
        <v>#1774B9</v>
      </c>
      <c r="V683" s="93" t="str">
        <f>+Agencia[[#This Row],[idcoleccion]]&amp;"-"&amp;Agencia[[#This Row],[id]]</f>
        <v>990-0672</v>
      </c>
      <c r="W683" s="93">
        <f>+VLOOKUP(Agencia[[#This Row],[Filtro URL]],Estructura!$X$4:$Y$500,2,0)</f>
        <v>99200007</v>
      </c>
      <c r="X683" s="93" t="str">
        <f>+VLOOKUP(Agencia[[#This Row],[tema]],Estructura!$A$4:$C$500,3,0)</f>
        <v>T-1011</v>
      </c>
      <c r="Y683" s="93" t="str">
        <f>+VLOOKUP(Agencia[[#This Row],[contenido]],Estructura!$E$4:$G$500,3,0)</f>
        <v>C-993</v>
      </c>
      <c r="Z683" s="93" t="str">
        <f>+VLOOKUP(Agencia[[#This Row],[Filtro Integrado]],Estructura!$I$4:$K$500,3,0)</f>
        <v>FI-993</v>
      </c>
      <c r="AA683" s="93" t="str">
        <f>+VLOOKUP(Agencia[[#This Row],[Muestra]],Estructura!$M$4:$O$500,3,0)</f>
        <v>M-1066</v>
      </c>
    </row>
    <row r="684" spans="1:27" ht="57.6" x14ac:dyDescent="0.3">
      <c r="A684" s="21" t="s">
        <v>1188</v>
      </c>
      <c r="B684" s="23">
        <f t="shared" si="284"/>
        <v>990</v>
      </c>
      <c r="C684" s="24" t="str">
        <f t="shared" si="285"/>
        <v>Agencia Información</v>
      </c>
      <c r="D684" s="72" t="str">
        <f t="shared" si="286"/>
        <v>Economía</v>
      </c>
      <c r="E684" s="19">
        <v>8</v>
      </c>
      <c r="F684" s="18" t="s">
        <v>1471</v>
      </c>
      <c r="G684" s="18" t="s">
        <v>1470</v>
      </c>
      <c r="H684" s="33" t="s">
        <v>16</v>
      </c>
      <c r="I684" s="34" t="s">
        <v>375</v>
      </c>
      <c r="J684" s="9" t="str">
        <f t="shared" si="291"/>
        <v>Ninguno</v>
      </c>
      <c r="K684" s="9" t="str">
        <f t="shared" si="287"/>
        <v>Empresas</v>
      </c>
      <c r="L684" s="9" t="str">
        <f t="shared" si="288"/>
        <v>Periodo 2005-2019</v>
      </c>
      <c r="M684" s="9" t="str">
        <f t="shared" si="289"/>
        <v>Número de empresas</v>
      </c>
      <c r="N684" s="9" t="str">
        <f t="shared" si="290"/>
        <v>Servicio de Impuestos Internos (SII)</v>
      </c>
      <c r="O684" s="20" t="str">
        <f>+"Número de Empresas por Tamaño según ventas en la "&amp;I684&amp;", "&amp;Agencia[[#This Row],[temporalidad]]</f>
        <v>Número de Empresas por Tamaño según ventas en la Región del Biobío, Periodo 2005-2019</v>
      </c>
      <c r="P684" s="112" t="s">
        <v>5791</v>
      </c>
      <c r="Q684" s="11" t="str">
        <f t="shared" si="270"/>
        <v>Gráfico de Evolución</v>
      </c>
      <c r="R684" s="148" t="str">
        <f>Agencia[[#This Row],[territorio]]&amp;",empresas,regional,tramos,ventas,uf,micro,mediana,grande,pequeña,PYME,sii,"&amp;Agencia[[#This Row],[coleccion]]&amp;","&amp;Agencia[[#This Row],[sector]]&amp;","&amp;Agencia[[#This Row],[tema]]&amp;","&amp;Agencia[[#This Row],[contenido]]</f>
        <v>Región del Biobío,empresas,regional,tramos,ventas,uf,micro,mediana,grande,pequeña,PYME,sii,Agencia Información,Economía,Empresas por tamaño,Empresas</v>
      </c>
      <c r="S684" s="37" t="str">
        <f>HYPERLINK("https://analytics.zoho.com/open-view/2395394000008039000?ZOHO_CRITERIA=%225.1%20Empresas_Tama%C3%B1o%22.%22Cod_Regi%C3%B3n%22%3D"&amp;Agencia[[#This Row],[Filtro URL]])</f>
        <v>https://analytics.zoho.com/open-view/2395394000008039000?ZOHO_CRITERIA=%225.1%20Empresas_Tama%C3%B1o%22.%22Cod_Regi%C3%B3n%22%3D8</v>
      </c>
      <c r="T684" s="108" t="str">
        <f>"100-R-"&amp;Agencia[[#This Row],[Filtro URL]]</f>
        <v>100-R-8</v>
      </c>
      <c r="U684" s="46" t="str">
        <f t="shared" si="271"/>
        <v>#1774B9</v>
      </c>
      <c r="V684" s="93" t="str">
        <f>+Agencia[[#This Row],[idcoleccion]]&amp;"-"&amp;Agencia[[#This Row],[id]]</f>
        <v>990-0673</v>
      </c>
      <c r="W684" s="93">
        <f>+VLOOKUP(Agencia[[#This Row],[Filtro URL]],Estructura!$X$4:$Y$500,2,0)</f>
        <v>99200008</v>
      </c>
      <c r="X684" s="93" t="str">
        <f>+VLOOKUP(Agencia[[#This Row],[tema]],Estructura!$A$4:$C$500,3,0)</f>
        <v>T-1011</v>
      </c>
      <c r="Y684" s="93" t="str">
        <f>+VLOOKUP(Agencia[[#This Row],[contenido]],Estructura!$E$4:$G$500,3,0)</f>
        <v>C-993</v>
      </c>
      <c r="Z684" s="93" t="str">
        <f>+VLOOKUP(Agencia[[#This Row],[Filtro Integrado]],Estructura!$I$4:$K$500,3,0)</f>
        <v>FI-993</v>
      </c>
      <c r="AA684" s="93" t="str">
        <f>+VLOOKUP(Agencia[[#This Row],[Muestra]],Estructura!$M$4:$O$500,3,0)</f>
        <v>M-1066</v>
      </c>
    </row>
    <row r="685" spans="1:27" ht="57.6" x14ac:dyDescent="0.3">
      <c r="A685" s="21" t="s">
        <v>1189</v>
      </c>
      <c r="B685" s="23">
        <f t="shared" si="284"/>
        <v>990</v>
      </c>
      <c r="C685" s="24" t="str">
        <f t="shared" si="285"/>
        <v>Agencia Información</v>
      </c>
      <c r="D685" s="72" t="str">
        <f t="shared" si="286"/>
        <v>Economía</v>
      </c>
      <c r="E685" s="19">
        <v>9</v>
      </c>
      <c r="F685" s="18" t="s">
        <v>1471</v>
      </c>
      <c r="G685" s="18" t="s">
        <v>1470</v>
      </c>
      <c r="H685" s="33" t="s">
        <v>16</v>
      </c>
      <c r="I685" s="34" t="s">
        <v>376</v>
      </c>
      <c r="J685" s="9" t="str">
        <f t="shared" si="291"/>
        <v>Ninguno</v>
      </c>
      <c r="K685" s="9" t="str">
        <f t="shared" si="287"/>
        <v>Empresas</v>
      </c>
      <c r="L685" s="9" t="str">
        <f t="shared" si="288"/>
        <v>Periodo 2005-2019</v>
      </c>
      <c r="M685" s="9" t="str">
        <f t="shared" si="289"/>
        <v>Número de empresas</v>
      </c>
      <c r="N685" s="9" t="str">
        <f t="shared" si="290"/>
        <v>Servicio de Impuestos Internos (SII)</v>
      </c>
      <c r="O685" s="20" t="str">
        <f>+"Número de Empresas por Tamaño según ventas en la "&amp;I685&amp;", "&amp;Agencia[[#This Row],[temporalidad]]</f>
        <v>Número de Empresas por Tamaño según ventas en la Región de La Araucanía, Periodo 2005-2019</v>
      </c>
      <c r="P685" s="112" t="s">
        <v>5744</v>
      </c>
      <c r="Q685" s="11" t="str">
        <f t="shared" si="270"/>
        <v>Gráfico de Evolución</v>
      </c>
      <c r="R685" s="148" t="str">
        <f>Agencia[[#This Row],[territorio]]&amp;",empresas,regional,tramos,ventas,uf,micro,mediana,grande,pequeña,PYME,sii,"&amp;Agencia[[#This Row],[coleccion]]&amp;","&amp;Agencia[[#This Row],[sector]]&amp;","&amp;Agencia[[#This Row],[tema]]&amp;","&amp;Agencia[[#This Row],[contenido]]</f>
        <v>Región de La Araucanía,empresas,regional,tramos,ventas,uf,micro,mediana,grande,pequeña,PYME,sii,Agencia Información,Economía,Empresas por tamaño,Empresas</v>
      </c>
      <c r="S685" s="37" t="str">
        <f>HYPERLINK("https://analytics.zoho.com/open-view/2395394000008039000?ZOHO_CRITERIA=%225.1%20Empresas_Tama%C3%B1o%22.%22Cod_Regi%C3%B3n%22%3D"&amp;Agencia[[#This Row],[Filtro URL]])</f>
        <v>https://analytics.zoho.com/open-view/2395394000008039000?ZOHO_CRITERIA=%225.1%20Empresas_Tama%C3%B1o%22.%22Cod_Regi%C3%B3n%22%3D9</v>
      </c>
      <c r="T685" s="108" t="str">
        <f>"100-R-"&amp;Agencia[[#This Row],[Filtro URL]]</f>
        <v>100-R-9</v>
      </c>
      <c r="U685" s="46" t="str">
        <f t="shared" si="271"/>
        <v>#1774B9</v>
      </c>
      <c r="V685" s="93" t="str">
        <f>+Agencia[[#This Row],[idcoleccion]]&amp;"-"&amp;Agencia[[#This Row],[id]]</f>
        <v>990-0674</v>
      </c>
      <c r="W685" s="93">
        <f>+VLOOKUP(Agencia[[#This Row],[Filtro URL]],Estructura!$X$4:$Y$500,2,0)</f>
        <v>99200009</v>
      </c>
      <c r="X685" s="93" t="str">
        <f>+VLOOKUP(Agencia[[#This Row],[tema]],Estructura!$A$4:$C$500,3,0)</f>
        <v>T-1011</v>
      </c>
      <c r="Y685" s="93" t="str">
        <f>+VLOOKUP(Agencia[[#This Row],[contenido]],Estructura!$E$4:$G$500,3,0)</f>
        <v>C-993</v>
      </c>
      <c r="Z685" s="93" t="str">
        <f>+VLOOKUP(Agencia[[#This Row],[Filtro Integrado]],Estructura!$I$4:$K$500,3,0)</f>
        <v>FI-993</v>
      </c>
      <c r="AA685" s="93" t="str">
        <f>+VLOOKUP(Agencia[[#This Row],[Muestra]],Estructura!$M$4:$O$500,3,0)</f>
        <v>M-1066</v>
      </c>
    </row>
    <row r="686" spans="1:27" ht="57.6" x14ac:dyDescent="0.3">
      <c r="A686" s="21" t="s">
        <v>1190</v>
      </c>
      <c r="B686" s="23">
        <f t="shared" si="284"/>
        <v>990</v>
      </c>
      <c r="C686" s="24" t="str">
        <f t="shared" si="285"/>
        <v>Agencia Información</v>
      </c>
      <c r="D686" s="72" t="str">
        <f t="shared" si="286"/>
        <v>Economía</v>
      </c>
      <c r="E686" s="19">
        <v>10</v>
      </c>
      <c r="F686" s="18" t="s">
        <v>1471</v>
      </c>
      <c r="G686" s="18" t="s">
        <v>1470</v>
      </c>
      <c r="H686" s="33" t="s">
        <v>16</v>
      </c>
      <c r="I686" s="34" t="s">
        <v>377</v>
      </c>
      <c r="J686" s="9" t="str">
        <f t="shared" si="291"/>
        <v>Ninguno</v>
      </c>
      <c r="K686" s="9" t="str">
        <f t="shared" si="287"/>
        <v>Empresas</v>
      </c>
      <c r="L686" s="9" t="str">
        <f t="shared" si="288"/>
        <v>Periodo 2005-2019</v>
      </c>
      <c r="M686" s="9" t="str">
        <f t="shared" si="289"/>
        <v>Número de empresas</v>
      </c>
      <c r="N686" s="9" t="str">
        <f t="shared" si="290"/>
        <v>Servicio de Impuestos Internos (SII)</v>
      </c>
      <c r="O686" s="20" t="str">
        <f>+"Número de Empresas por Tamaño según ventas en la "&amp;I686&amp;", "&amp;Agencia[[#This Row],[temporalidad]]</f>
        <v>Número de Empresas por Tamaño según ventas en la Región de Los Lagos, Periodo 2005-2019</v>
      </c>
      <c r="P686" s="112" t="s">
        <v>5792</v>
      </c>
      <c r="Q686" s="11" t="str">
        <f t="shared" si="270"/>
        <v>Gráfico de Evolución</v>
      </c>
      <c r="R686" s="148" t="str">
        <f>Agencia[[#This Row],[territorio]]&amp;",empresas,regional,tramos,ventas,uf,micro,mediana,grande,pequeña,PYME,sii,"&amp;Agencia[[#This Row],[coleccion]]&amp;","&amp;Agencia[[#This Row],[sector]]&amp;","&amp;Agencia[[#This Row],[tema]]&amp;","&amp;Agencia[[#This Row],[contenido]]</f>
        <v>Región de Los Lagos,empresas,regional,tramos,ventas,uf,micro,mediana,grande,pequeña,PYME,sii,Agencia Información,Economía,Empresas por tamaño,Empresas</v>
      </c>
      <c r="S686" s="37" t="str">
        <f>HYPERLINK("https://analytics.zoho.com/open-view/2395394000008039000?ZOHO_CRITERIA=%225.1%20Empresas_Tama%C3%B1o%22.%22Cod_Regi%C3%B3n%22%3D"&amp;Agencia[[#This Row],[Filtro URL]])</f>
        <v>https://analytics.zoho.com/open-view/2395394000008039000?ZOHO_CRITERIA=%225.1%20Empresas_Tama%C3%B1o%22.%22Cod_Regi%C3%B3n%22%3D10</v>
      </c>
      <c r="T686" s="108" t="str">
        <f>"100-R-"&amp;Agencia[[#This Row],[Filtro URL]]</f>
        <v>100-R-10</v>
      </c>
      <c r="U686" s="46" t="str">
        <f t="shared" si="271"/>
        <v>#1774B9</v>
      </c>
      <c r="V686" s="93" t="str">
        <f>+Agencia[[#This Row],[idcoleccion]]&amp;"-"&amp;Agencia[[#This Row],[id]]</f>
        <v>990-0675</v>
      </c>
      <c r="W686" s="93">
        <f>+VLOOKUP(Agencia[[#This Row],[Filtro URL]],Estructura!$X$4:$Y$500,2,0)</f>
        <v>99200010</v>
      </c>
      <c r="X686" s="93" t="str">
        <f>+VLOOKUP(Agencia[[#This Row],[tema]],Estructura!$A$4:$C$500,3,0)</f>
        <v>T-1011</v>
      </c>
      <c r="Y686" s="93" t="str">
        <f>+VLOOKUP(Agencia[[#This Row],[contenido]],Estructura!$E$4:$G$500,3,0)</f>
        <v>C-993</v>
      </c>
      <c r="Z686" s="93" t="str">
        <f>+VLOOKUP(Agencia[[#This Row],[Filtro Integrado]],Estructura!$I$4:$K$500,3,0)</f>
        <v>FI-993</v>
      </c>
      <c r="AA686" s="93" t="str">
        <f>+VLOOKUP(Agencia[[#This Row],[Muestra]],Estructura!$M$4:$O$500,3,0)</f>
        <v>M-1066</v>
      </c>
    </row>
    <row r="687" spans="1:27" ht="57.6" x14ac:dyDescent="0.3">
      <c r="A687" s="21" t="s">
        <v>1191</v>
      </c>
      <c r="B687" s="23">
        <f t="shared" si="284"/>
        <v>990</v>
      </c>
      <c r="C687" s="24" t="str">
        <f t="shared" si="285"/>
        <v>Agencia Información</v>
      </c>
      <c r="D687" s="72" t="str">
        <f t="shared" si="286"/>
        <v>Economía</v>
      </c>
      <c r="E687" s="19">
        <v>11</v>
      </c>
      <c r="F687" s="18" t="s">
        <v>1471</v>
      </c>
      <c r="G687" s="18" t="s">
        <v>1470</v>
      </c>
      <c r="H687" s="33" t="s">
        <v>16</v>
      </c>
      <c r="I687" s="34" t="s">
        <v>378</v>
      </c>
      <c r="J687" s="9" t="str">
        <f t="shared" si="291"/>
        <v>Ninguno</v>
      </c>
      <c r="K687" s="9" t="str">
        <f t="shared" si="287"/>
        <v>Empresas</v>
      </c>
      <c r="L687" s="9" t="str">
        <f t="shared" si="288"/>
        <v>Periodo 2005-2019</v>
      </c>
      <c r="M687" s="9" t="str">
        <f t="shared" si="289"/>
        <v>Número de empresas</v>
      </c>
      <c r="N687" s="9" t="str">
        <f t="shared" si="290"/>
        <v>Servicio de Impuestos Internos (SII)</v>
      </c>
      <c r="O687" s="20" t="str">
        <f>+"Número de Empresas por Tamaño según ventas en la "&amp;I687&amp;", "&amp;Agencia[[#This Row],[temporalidad]]</f>
        <v>Número de Empresas por Tamaño según ventas en la Región de Aysén, Periodo 2005-2019</v>
      </c>
      <c r="P687" s="112" t="s">
        <v>5745</v>
      </c>
      <c r="Q687" s="11" t="str">
        <f t="shared" si="270"/>
        <v>Gráfico de Evolución</v>
      </c>
      <c r="R687" s="148" t="str">
        <f>Agencia[[#This Row],[territorio]]&amp;",empresas,regional,tramos,ventas,uf,micro,mediana,grande,pequeña,PYME,sii,"&amp;Agencia[[#This Row],[coleccion]]&amp;","&amp;Agencia[[#This Row],[sector]]&amp;","&amp;Agencia[[#This Row],[tema]]&amp;","&amp;Agencia[[#This Row],[contenido]]</f>
        <v>Región de Aysén,empresas,regional,tramos,ventas,uf,micro,mediana,grande,pequeña,PYME,sii,Agencia Información,Economía,Empresas por tamaño,Empresas</v>
      </c>
      <c r="S687" s="37" t="str">
        <f>HYPERLINK("https://analytics.zoho.com/open-view/2395394000008039000?ZOHO_CRITERIA=%225.1%20Empresas_Tama%C3%B1o%22.%22Cod_Regi%C3%B3n%22%3D"&amp;Agencia[[#This Row],[Filtro URL]])</f>
        <v>https://analytics.zoho.com/open-view/2395394000008039000?ZOHO_CRITERIA=%225.1%20Empresas_Tama%C3%B1o%22.%22Cod_Regi%C3%B3n%22%3D11</v>
      </c>
      <c r="T687" s="108" t="str">
        <f>"100-R-"&amp;Agencia[[#This Row],[Filtro URL]]</f>
        <v>100-R-11</v>
      </c>
      <c r="U687" s="46" t="str">
        <f t="shared" si="271"/>
        <v>#1774B9</v>
      </c>
      <c r="V687" s="93" t="str">
        <f>+Agencia[[#This Row],[idcoleccion]]&amp;"-"&amp;Agencia[[#This Row],[id]]</f>
        <v>990-0676</v>
      </c>
      <c r="W687" s="93">
        <f>+VLOOKUP(Agencia[[#This Row],[Filtro URL]],Estructura!$X$4:$Y$500,2,0)</f>
        <v>99200011</v>
      </c>
      <c r="X687" s="93" t="str">
        <f>+VLOOKUP(Agencia[[#This Row],[tema]],Estructura!$A$4:$C$500,3,0)</f>
        <v>T-1011</v>
      </c>
      <c r="Y687" s="93" t="str">
        <f>+VLOOKUP(Agencia[[#This Row],[contenido]],Estructura!$E$4:$G$500,3,0)</f>
        <v>C-993</v>
      </c>
      <c r="Z687" s="93" t="str">
        <f>+VLOOKUP(Agencia[[#This Row],[Filtro Integrado]],Estructura!$I$4:$K$500,3,0)</f>
        <v>FI-993</v>
      </c>
      <c r="AA687" s="93" t="str">
        <f>+VLOOKUP(Agencia[[#This Row],[Muestra]],Estructura!$M$4:$O$500,3,0)</f>
        <v>M-1066</v>
      </c>
    </row>
    <row r="688" spans="1:27" ht="57.6" x14ac:dyDescent="0.3">
      <c r="A688" s="21" t="s">
        <v>1192</v>
      </c>
      <c r="B688" s="23">
        <f t="shared" si="284"/>
        <v>990</v>
      </c>
      <c r="C688" s="24" t="str">
        <f t="shared" si="285"/>
        <v>Agencia Información</v>
      </c>
      <c r="D688" s="72" t="str">
        <f t="shared" si="286"/>
        <v>Economía</v>
      </c>
      <c r="E688" s="19">
        <v>12</v>
      </c>
      <c r="F688" s="18" t="s">
        <v>1471</v>
      </c>
      <c r="G688" s="18" t="s">
        <v>1470</v>
      </c>
      <c r="H688" s="33" t="s">
        <v>16</v>
      </c>
      <c r="I688" s="34" t="s">
        <v>379</v>
      </c>
      <c r="J688" s="9" t="str">
        <f t="shared" si="291"/>
        <v>Ninguno</v>
      </c>
      <c r="K688" s="9" t="str">
        <f t="shared" si="287"/>
        <v>Empresas</v>
      </c>
      <c r="L688" s="9" t="str">
        <f t="shared" si="288"/>
        <v>Periodo 2005-2019</v>
      </c>
      <c r="M688" s="9" t="str">
        <f t="shared" si="289"/>
        <v>Número de empresas</v>
      </c>
      <c r="N688" s="9" t="str">
        <f t="shared" si="290"/>
        <v>Servicio de Impuestos Internos (SII)</v>
      </c>
      <c r="O688" s="20" t="str">
        <f>+"Número de Empresas por Tamaño según ventas en la "&amp;I688&amp;", "&amp;Agencia[[#This Row],[temporalidad]]</f>
        <v>Número de Empresas por Tamaño según ventas en la Región de Magallanes, Periodo 2005-2019</v>
      </c>
      <c r="P688" s="112" t="s">
        <v>5793</v>
      </c>
      <c r="Q688" s="11" t="str">
        <f t="shared" si="270"/>
        <v>Gráfico de Evolución</v>
      </c>
      <c r="R688" s="148" t="str">
        <f>Agencia[[#This Row],[territorio]]&amp;",empresas,regional,tramos,ventas,uf,micro,mediana,grande,pequeña,PYME,sii,"&amp;Agencia[[#This Row],[coleccion]]&amp;","&amp;Agencia[[#This Row],[sector]]&amp;","&amp;Agencia[[#This Row],[tema]]&amp;","&amp;Agencia[[#This Row],[contenido]]</f>
        <v>Región de Magallanes,empresas,regional,tramos,ventas,uf,micro,mediana,grande,pequeña,PYME,sii,Agencia Información,Economía,Empresas por tamaño,Empresas</v>
      </c>
      <c r="S688" s="37" t="str">
        <f>HYPERLINK("https://analytics.zoho.com/open-view/2395394000008039000?ZOHO_CRITERIA=%225.1%20Empresas_Tama%C3%B1o%22.%22Cod_Regi%C3%B3n%22%3D"&amp;Agencia[[#This Row],[Filtro URL]])</f>
        <v>https://analytics.zoho.com/open-view/2395394000008039000?ZOHO_CRITERIA=%225.1%20Empresas_Tama%C3%B1o%22.%22Cod_Regi%C3%B3n%22%3D12</v>
      </c>
      <c r="T688" s="108" t="str">
        <f>"100-R-"&amp;Agencia[[#This Row],[Filtro URL]]</f>
        <v>100-R-12</v>
      </c>
      <c r="U688" s="46" t="str">
        <f t="shared" si="271"/>
        <v>#1774B9</v>
      </c>
      <c r="V688" s="93" t="str">
        <f>+Agencia[[#This Row],[idcoleccion]]&amp;"-"&amp;Agencia[[#This Row],[id]]</f>
        <v>990-0677</v>
      </c>
      <c r="W688" s="93">
        <f>+VLOOKUP(Agencia[[#This Row],[Filtro URL]],Estructura!$X$4:$Y$500,2,0)</f>
        <v>99200012</v>
      </c>
      <c r="X688" s="93" t="str">
        <f>+VLOOKUP(Agencia[[#This Row],[tema]],Estructura!$A$4:$C$500,3,0)</f>
        <v>T-1011</v>
      </c>
      <c r="Y688" s="93" t="str">
        <f>+VLOOKUP(Agencia[[#This Row],[contenido]],Estructura!$E$4:$G$500,3,0)</f>
        <v>C-993</v>
      </c>
      <c r="Z688" s="93" t="str">
        <f>+VLOOKUP(Agencia[[#This Row],[Filtro Integrado]],Estructura!$I$4:$K$500,3,0)</f>
        <v>FI-993</v>
      </c>
      <c r="AA688" s="93" t="str">
        <f>+VLOOKUP(Agencia[[#This Row],[Muestra]],Estructura!$M$4:$O$500,3,0)</f>
        <v>M-1066</v>
      </c>
    </row>
    <row r="689" spans="1:27" ht="57.6" x14ac:dyDescent="0.3">
      <c r="A689" s="21" t="s">
        <v>1193</v>
      </c>
      <c r="B689" s="23">
        <f t="shared" si="284"/>
        <v>990</v>
      </c>
      <c r="C689" s="24" t="str">
        <f t="shared" si="285"/>
        <v>Agencia Información</v>
      </c>
      <c r="D689" s="72" t="str">
        <f t="shared" si="286"/>
        <v>Economía</v>
      </c>
      <c r="E689" s="19">
        <v>13</v>
      </c>
      <c r="F689" s="18" t="s">
        <v>1471</v>
      </c>
      <c r="G689" s="18" t="s">
        <v>1470</v>
      </c>
      <c r="H689" s="33" t="s">
        <v>16</v>
      </c>
      <c r="I689" s="34" t="s">
        <v>380</v>
      </c>
      <c r="J689" s="9" t="str">
        <f t="shared" si="291"/>
        <v>Ninguno</v>
      </c>
      <c r="K689" s="9" t="str">
        <f t="shared" si="287"/>
        <v>Empresas</v>
      </c>
      <c r="L689" s="9" t="str">
        <f t="shared" si="288"/>
        <v>Periodo 2005-2019</v>
      </c>
      <c r="M689" s="9" t="str">
        <f t="shared" si="289"/>
        <v>Número de empresas</v>
      </c>
      <c r="N689" s="9" t="str">
        <f t="shared" si="290"/>
        <v>Servicio de Impuestos Internos (SII)</v>
      </c>
      <c r="O689" s="20" t="str">
        <f>+"Número de Empresas por Tamaño según ventas en la "&amp;I689&amp;", "&amp;Agencia[[#This Row],[temporalidad]]</f>
        <v>Número de Empresas por Tamaño según ventas en la Región Metropolitana, Periodo 2005-2019</v>
      </c>
      <c r="P689" s="112" t="s">
        <v>1468</v>
      </c>
      <c r="Q689" s="11" t="str">
        <f t="shared" si="270"/>
        <v>Gráfico de Evolución</v>
      </c>
      <c r="R689" s="148" t="str">
        <f>Agencia[[#This Row],[territorio]]&amp;",empresas,regional,tramos,ventas,uf,micro,mediana,grande,pequeña,PYME,sii,"&amp;Agencia[[#This Row],[coleccion]]&amp;","&amp;Agencia[[#This Row],[sector]]&amp;","&amp;Agencia[[#This Row],[tema]]&amp;","&amp;Agencia[[#This Row],[contenido]]</f>
        <v>Región Metropolitana,empresas,regional,tramos,ventas,uf,micro,mediana,grande,pequeña,PYME,sii,Agencia Información,Economía,Empresas por tamaño,Empresas</v>
      </c>
      <c r="S689" s="37" t="str">
        <f>HYPERLINK("https://analytics.zoho.com/open-view/2395394000008039000?ZOHO_CRITERIA=%225.1%20Empresas_Tama%C3%B1o%22.%22Cod_Regi%C3%B3n%22%3D"&amp;Agencia[[#This Row],[Filtro URL]])</f>
        <v>https://analytics.zoho.com/open-view/2395394000008039000?ZOHO_CRITERIA=%225.1%20Empresas_Tama%C3%B1o%22.%22Cod_Regi%C3%B3n%22%3D13</v>
      </c>
      <c r="T689" s="108" t="str">
        <f>"200-R-"&amp;Agencia[[#This Row],[Filtro URL]]</f>
        <v>200-R-13</v>
      </c>
      <c r="U689" s="46" t="str">
        <f t="shared" si="271"/>
        <v>#1774B9</v>
      </c>
      <c r="V689" s="93" t="str">
        <f>+Agencia[[#This Row],[idcoleccion]]&amp;"-"&amp;Agencia[[#This Row],[id]]</f>
        <v>990-0678</v>
      </c>
      <c r="W689" s="93">
        <f>+VLOOKUP(Agencia[[#This Row],[Filtro URL]],Estructura!$X$4:$Y$500,2,0)</f>
        <v>99200013</v>
      </c>
      <c r="X689" s="93" t="str">
        <f>+VLOOKUP(Agencia[[#This Row],[tema]],Estructura!$A$4:$C$500,3,0)</f>
        <v>T-1011</v>
      </c>
      <c r="Y689" s="93" t="str">
        <f>+VLOOKUP(Agencia[[#This Row],[contenido]],Estructura!$E$4:$G$500,3,0)</f>
        <v>C-993</v>
      </c>
      <c r="Z689" s="93" t="str">
        <f>+VLOOKUP(Agencia[[#This Row],[Filtro Integrado]],Estructura!$I$4:$K$500,3,0)</f>
        <v>FI-993</v>
      </c>
      <c r="AA689" s="93" t="str">
        <f>+VLOOKUP(Agencia[[#This Row],[Muestra]],Estructura!$M$4:$O$500,3,0)</f>
        <v>M-1066</v>
      </c>
    </row>
    <row r="690" spans="1:27" ht="57.6" x14ac:dyDescent="0.3">
      <c r="A690" s="21" t="s">
        <v>1194</v>
      </c>
      <c r="B690" s="23">
        <f t="shared" si="284"/>
        <v>990</v>
      </c>
      <c r="C690" s="24" t="str">
        <f t="shared" si="285"/>
        <v>Agencia Información</v>
      </c>
      <c r="D690" s="72" t="str">
        <f t="shared" si="286"/>
        <v>Economía</v>
      </c>
      <c r="E690" s="19">
        <v>14</v>
      </c>
      <c r="F690" s="18" t="s">
        <v>1471</v>
      </c>
      <c r="G690" s="18" t="s">
        <v>1470</v>
      </c>
      <c r="H690" s="33" t="s">
        <v>16</v>
      </c>
      <c r="I690" s="34" t="s">
        <v>381</v>
      </c>
      <c r="J690" s="9" t="str">
        <f t="shared" si="291"/>
        <v>Ninguno</v>
      </c>
      <c r="K690" s="9" t="str">
        <f t="shared" si="287"/>
        <v>Empresas</v>
      </c>
      <c r="L690" s="9" t="str">
        <f t="shared" si="288"/>
        <v>Periodo 2005-2019</v>
      </c>
      <c r="M690" s="9" t="str">
        <f t="shared" si="289"/>
        <v>Número de empresas</v>
      </c>
      <c r="N690" s="9" t="str">
        <f t="shared" si="290"/>
        <v>Servicio de Impuestos Internos (SII)</v>
      </c>
      <c r="O690" s="20" t="str">
        <f>+"Número de Empresas por Tamaño según ventas en la "&amp;I690&amp;", "&amp;Agencia[[#This Row],[temporalidad]]</f>
        <v>Número de Empresas por Tamaño según ventas en la Región de Los Ríos, Periodo 2005-2019</v>
      </c>
      <c r="P690" s="112" t="s">
        <v>5746</v>
      </c>
      <c r="Q690" s="11" t="str">
        <f t="shared" si="270"/>
        <v>Gráfico de Evolución</v>
      </c>
      <c r="R690" s="148" t="str">
        <f>Agencia[[#This Row],[territorio]]&amp;",empresas,regional,tramos,ventas,uf,micro,mediana,grande,pequeña,PYME,sii,"&amp;Agencia[[#This Row],[coleccion]]&amp;","&amp;Agencia[[#This Row],[sector]]&amp;","&amp;Agencia[[#This Row],[tema]]&amp;","&amp;Agencia[[#This Row],[contenido]]</f>
        <v>Región de Los Ríos,empresas,regional,tramos,ventas,uf,micro,mediana,grande,pequeña,PYME,sii,Agencia Información,Economía,Empresas por tamaño,Empresas</v>
      </c>
      <c r="S690" s="37" t="str">
        <f>HYPERLINK("https://analytics.zoho.com/open-view/2395394000008039000?ZOHO_CRITERIA=%225.1%20Empresas_Tama%C3%B1o%22.%22Cod_Regi%C3%B3n%22%3D"&amp;Agencia[[#This Row],[Filtro URL]])</f>
        <v>https://analytics.zoho.com/open-view/2395394000008039000?ZOHO_CRITERIA=%225.1%20Empresas_Tama%C3%B1o%22.%22Cod_Regi%C3%B3n%22%3D14</v>
      </c>
      <c r="T690" s="108" t="str">
        <f>"100-R-"&amp;Agencia[[#This Row],[Filtro URL]]</f>
        <v>100-R-14</v>
      </c>
      <c r="U690" s="46" t="str">
        <f t="shared" si="271"/>
        <v>#1774B9</v>
      </c>
      <c r="V690" s="93" t="str">
        <f>+Agencia[[#This Row],[idcoleccion]]&amp;"-"&amp;Agencia[[#This Row],[id]]</f>
        <v>990-0679</v>
      </c>
      <c r="W690" s="93">
        <f>+VLOOKUP(Agencia[[#This Row],[Filtro URL]],Estructura!$X$4:$Y$500,2,0)</f>
        <v>99200014</v>
      </c>
      <c r="X690" s="93" t="str">
        <f>+VLOOKUP(Agencia[[#This Row],[tema]],Estructura!$A$4:$C$500,3,0)</f>
        <v>T-1011</v>
      </c>
      <c r="Y690" s="93" t="str">
        <f>+VLOOKUP(Agencia[[#This Row],[contenido]],Estructura!$E$4:$G$500,3,0)</f>
        <v>C-993</v>
      </c>
      <c r="Z690" s="93" t="str">
        <f>+VLOOKUP(Agencia[[#This Row],[Filtro Integrado]],Estructura!$I$4:$K$500,3,0)</f>
        <v>FI-993</v>
      </c>
      <c r="AA690" s="93" t="str">
        <f>+VLOOKUP(Agencia[[#This Row],[Muestra]],Estructura!$M$4:$O$500,3,0)</f>
        <v>M-1066</v>
      </c>
    </row>
    <row r="691" spans="1:27" ht="57.6" x14ac:dyDescent="0.3">
      <c r="A691" s="21" t="s">
        <v>1195</v>
      </c>
      <c r="B691" s="23">
        <f t="shared" si="284"/>
        <v>990</v>
      </c>
      <c r="C691" s="24" t="str">
        <f t="shared" si="285"/>
        <v>Agencia Información</v>
      </c>
      <c r="D691" s="72" t="str">
        <f t="shared" si="286"/>
        <v>Economía</v>
      </c>
      <c r="E691" s="19">
        <v>15</v>
      </c>
      <c r="F691" s="18" t="s">
        <v>1471</v>
      </c>
      <c r="G691" s="18" t="s">
        <v>1470</v>
      </c>
      <c r="H691" s="33" t="s">
        <v>16</v>
      </c>
      <c r="I691" s="34" t="s">
        <v>382</v>
      </c>
      <c r="J691" s="9" t="str">
        <f t="shared" si="291"/>
        <v>Ninguno</v>
      </c>
      <c r="K691" s="9" t="str">
        <f t="shared" si="287"/>
        <v>Empresas</v>
      </c>
      <c r="L691" s="9" t="str">
        <f t="shared" si="288"/>
        <v>Periodo 2005-2019</v>
      </c>
      <c r="M691" s="9" t="str">
        <f t="shared" si="289"/>
        <v>Número de empresas</v>
      </c>
      <c r="N691" s="9" t="str">
        <f t="shared" si="290"/>
        <v>Servicio de Impuestos Internos (SII)</v>
      </c>
      <c r="O691" s="20" t="str">
        <f>+"Número de Empresas por Tamaño según ventas en la "&amp;I691&amp;", "&amp;Agencia[[#This Row],[temporalidad]]</f>
        <v>Número de Empresas por Tamaño según ventas en la Región de Arica y Parinacota, Periodo 2005-2019</v>
      </c>
      <c r="P691" s="112" t="s">
        <v>5747</v>
      </c>
      <c r="Q691" s="11" t="str">
        <f t="shared" si="270"/>
        <v>Gráfico de Evolución</v>
      </c>
      <c r="R691" s="148" t="str">
        <f>Agencia[[#This Row],[territorio]]&amp;",empresas,regional,tramos,ventas,uf,micro,mediana,grande,pequeña,PYME,sii,"&amp;Agencia[[#This Row],[coleccion]]&amp;","&amp;Agencia[[#This Row],[sector]]&amp;","&amp;Agencia[[#This Row],[tema]]&amp;","&amp;Agencia[[#This Row],[contenido]]</f>
        <v>Región de Arica y Parinacota,empresas,regional,tramos,ventas,uf,micro,mediana,grande,pequeña,PYME,sii,Agencia Información,Economía,Empresas por tamaño,Empresas</v>
      </c>
      <c r="S691" s="37" t="str">
        <f>HYPERLINK("https://analytics.zoho.com/open-view/2395394000008039000?ZOHO_CRITERIA=%225.1%20Empresas_Tama%C3%B1o%22.%22Cod_Regi%C3%B3n%22%3D"&amp;Agencia[[#This Row],[Filtro URL]])</f>
        <v>https://analytics.zoho.com/open-view/2395394000008039000?ZOHO_CRITERIA=%225.1%20Empresas_Tama%C3%B1o%22.%22Cod_Regi%C3%B3n%22%3D15</v>
      </c>
      <c r="T691" s="108" t="str">
        <f>"100-R-"&amp;Agencia[[#This Row],[Filtro URL]]</f>
        <v>100-R-15</v>
      </c>
      <c r="U691" s="46" t="str">
        <f t="shared" si="271"/>
        <v>#1774B9</v>
      </c>
      <c r="V691" s="93" t="str">
        <f>+Agencia[[#This Row],[idcoleccion]]&amp;"-"&amp;Agencia[[#This Row],[id]]</f>
        <v>990-0680</v>
      </c>
      <c r="W691" s="93">
        <f>+VLOOKUP(Agencia[[#This Row],[Filtro URL]],Estructura!$X$4:$Y$500,2,0)</f>
        <v>99200015</v>
      </c>
      <c r="X691" s="93" t="str">
        <f>+VLOOKUP(Agencia[[#This Row],[tema]],Estructura!$A$4:$C$500,3,0)</f>
        <v>T-1011</v>
      </c>
      <c r="Y691" s="93" t="str">
        <f>+VLOOKUP(Agencia[[#This Row],[contenido]],Estructura!$E$4:$G$500,3,0)</f>
        <v>C-993</v>
      </c>
      <c r="Z691" s="93" t="str">
        <f>+VLOOKUP(Agencia[[#This Row],[Filtro Integrado]],Estructura!$I$4:$K$500,3,0)</f>
        <v>FI-993</v>
      </c>
      <c r="AA691" s="93" t="str">
        <f>+VLOOKUP(Agencia[[#This Row],[Muestra]],Estructura!$M$4:$O$500,3,0)</f>
        <v>M-1066</v>
      </c>
    </row>
    <row r="692" spans="1:27" ht="57.6" x14ac:dyDescent="0.3">
      <c r="A692" s="21" t="s">
        <v>1196</v>
      </c>
      <c r="B692" s="23">
        <f t="shared" si="284"/>
        <v>990</v>
      </c>
      <c r="C692" s="24" t="str">
        <f t="shared" si="285"/>
        <v>Agencia Información</v>
      </c>
      <c r="D692" s="72" t="str">
        <f t="shared" si="286"/>
        <v>Economía</v>
      </c>
      <c r="E692" s="19">
        <v>16</v>
      </c>
      <c r="F692" s="18" t="s">
        <v>1471</v>
      </c>
      <c r="G692" s="18" t="s">
        <v>1470</v>
      </c>
      <c r="H692" s="33" t="s">
        <v>16</v>
      </c>
      <c r="I692" s="34" t="s">
        <v>383</v>
      </c>
      <c r="J692" s="9" t="str">
        <f t="shared" si="291"/>
        <v>Ninguno</v>
      </c>
      <c r="K692" s="9" t="str">
        <f t="shared" si="287"/>
        <v>Empresas</v>
      </c>
      <c r="L692" s="9" t="str">
        <f t="shared" si="288"/>
        <v>Periodo 2005-2019</v>
      </c>
      <c r="M692" s="9" t="str">
        <f t="shared" si="289"/>
        <v>Número de empresas</v>
      </c>
      <c r="N692" s="9" t="str">
        <f t="shared" si="290"/>
        <v>Servicio de Impuestos Internos (SII)</v>
      </c>
      <c r="O692" s="20" t="str">
        <f>+"Número de Empresas por Tamaño según ventas en la "&amp;I692&amp;", "&amp;Agencia[[#This Row],[temporalidad]]</f>
        <v>Número de Empresas por Tamaño según ventas en la Región de Ñuble, Periodo 2005-2019</v>
      </c>
      <c r="P692" s="112" t="s">
        <v>5748</v>
      </c>
      <c r="Q692" s="11" t="str">
        <f t="shared" si="270"/>
        <v>Gráfico de Evolución</v>
      </c>
      <c r="R692" s="148" t="str">
        <f>Agencia[[#This Row],[territorio]]&amp;",empresas,regional,tramos,ventas,uf,micro,mediana,grande,pequeña,PYME,sii,"&amp;Agencia[[#This Row],[coleccion]]&amp;","&amp;Agencia[[#This Row],[sector]]&amp;","&amp;Agencia[[#This Row],[tema]]&amp;","&amp;Agencia[[#This Row],[contenido]]</f>
        <v>Región de Ñuble,empresas,regional,tramos,ventas,uf,micro,mediana,grande,pequeña,PYME,sii,Agencia Información,Economía,Empresas por tamaño,Empresas</v>
      </c>
      <c r="S692" s="37" t="str">
        <f>HYPERLINK("https://analytics.zoho.com/open-view/2395394000008039000?ZOHO_CRITERIA=%225.1%20Empresas_Tama%C3%B1o%22.%22Cod_Regi%C3%B3n%22%3D"&amp;Agencia[[#This Row],[Filtro URL]])</f>
        <v>https://analytics.zoho.com/open-view/2395394000008039000?ZOHO_CRITERIA=%225.1%20Empresas_Tama%C3%B1o%22.%22Cod_Regi%C3%B3n%22%3D16</v>
      </c>
      <c r="T692" s="108" t="str">
        <f>"100-R-"&amp;Agencia[[#This Row],[Filtro URL]]</f>
        <v>100-R-16</v>
      </c>
      <c r="U692" s="46" t="str">
        <f t="shared" si="271"/>
        <v>#1774B9</v>
      </c>
      <c r="V692" s="93" t="str">
        <f>+Agencia[[#This Row],[idcoleccion]]&amp;"-"&amp;Agencia[[#This Row],[id]]</f>
        <v>990-0681</v>
      </c>
      <c r="W692" s="93">
        <f>+VLOOKUP(Agencia[[#This Row],[Filtro URL]],Estructura!$X$4:$Y$500,2,0)</f>
        <v>99200016</v>
      </c>
      <c r="X692" s="93" t="str">
        <f>+VLOOKUP(Agencia[[#This Row],[tema]],Estructura!$A$4:$C$500,3,0)</f>
        <v>T-1011</v>
      </c>
      <c r="Y692" s="93" t="str">
        <f>+VLOOKUP(Agencia[[#This Row],[contenido]],Estructura!$E$4:$G$500,3,0)</f>
        <v>C-993</v>
      </c>
      <c r="Z692" s="93" t="str">
        <f>+VLOOKUP(Agencia[[#This Row],[Filtro Integrado]],Estructura!$I$4:$K$500,3,0)</f>
        <v>FI-993</v>
      </c>
      <c r="AA692" s="93" t="str">
        <f>+VLOOKUP(Agencia[[#This Row],[Muestra]],Estructura!$M$4:$O$500,3,0)</f>
        <v>M-1066</v>
      </c>
    </row>
    <row r="693" spans="1:27" ht="61.2" x14ac:dyDescent="0.3">
      <c r="A693" s="21" t="s">
        <v>1197</v>
      </c>
      <c r="B693" s="23">
        <f t="shared" si="284"/>
        <v>990</v>
      </c>
      <c r="C693" s="24" t="str">
        <f t="shared" si="285"/>
        <v>Agencia Información</v>
      </c>
      <c r="D693" s="72" t="s">
        <v>568</v>
      </c>
      <c r="E693" s="14">
        <v>0</v>
      </c>
      <c r="F693" s="18" t="s">
        <v>1473</v>
      </c>
      <c r="G693" s="18" t="s">
        <v>1898</v>
      </c>
      <c r="H693" s="31" t="s">
        <v>20</v>
      </c>
      <c r="I693" s="32" t="s">
        <v>15</v>
      </c>
      <c r="J693" s="9" t="s">
        <v>1474</v>
      </c>
      <c r="K693" s="9" t="s">
        <v>9307</v>
      </c>
      <c r="L693" s="9" t="s">
        <v>1475</v>
      </c>
      <c r="M693" s="9" t="s">
        <v>1392</v>
      </c>
      <c r="N693" s="9" t="s">
        <v>848</v>
      </c>
      <c r="O693" s="20" t="str">
        <f>+"Población en Control del Programa de Salud Cardiovascular en "&amp;I693&amp;", "&amp;Agencia[[#This Row],[temporalidad]]</f>
        <v>Población en Control del Programa de Salud Cardiovascular en Chile, Año 2018</v>
      </c>
      <c r="P693" s="113" t="s">
        <v>6633</v>
      </c>
      <c r="Q693" s="11" t="s">
        <v>576</v>
      </c>
      <c r="R693" s="148" t="str">
        <f>Agencia[[#This Row],[territorio]]&amp;",enfermedad,cardiovascular,PSCV,casos,población,control,programa,condiciones,riesgo,patologías,hipertensión,enfermedad,renal,dislipidemias,infarto"&amp;Agencia[[#This Row],[coleccion]]&amp;","&amp;Agencia[[#This Row],[sector]]&amp;","&amp;Agencia[[#This Row],[tema]]&amp;","&amp;Agencia[[#This Row],[contenido]]</f>
        <v>Chile,enfermedad,cardiovascular,PSCV,casos,población,control,programa,condiciones,riesgo,patologías,hipertensión,enfermedad,renal,dislipidemias,infartoAgencia Información,Salud,Programa de Salud Cardiovascular,Programas de Salud</v>
      </c>
      <c r="S693" s="83" t="s">
        <v>1476</v>
      </c>
      <c r="T693" s="108">
        <v>0</v>
      </c>
      <c r="U693" s="46" t="str">
        <f t="shared" si="271"/>
        <v>#1774B9</v>
      </c>
      <c r="V693" s="93" t="str">
        <f>+Agencia[[#This Row],[idcoleccion]]&amp;"-"&amp;Agencia[[#This Row],[id]]</f>
        <v>990-0682</v>
      </c>
      <c r="W693" s="93">
        <f>+VLOOKUP(Agencia[[#This Row],[Filtro URL]],Estructura!$X$4:$Y$500,2,0)</f>
        <v>99100000</v>
      </c>
      <c r="X693" s="93" t="str">
        <f>+VLOOKUP(Agencia[[#This Row],[tema]],Estructura!$A$4:$C$500,3,0)</f>
        <v>T-1012</v>
      </c>
      <c r="Y693" s="93" t="str">
        <f>+VLOOKUP(Agencia[[#This Row],[contenido]],Estructura!$E$4:$G$500,3,0)</f>
        <v>C-1010</v>
      </c>
      <c r="Z693" s="93" t="str">
        <f>+VLOOKUP(Agencia[[#This Row],[Filtro Integrado]],Estructura!$I$4:$K$500,3,0)</f>
        <v>FI-998</v>
      </c>
      <c r="AA693" s="93" t="str">
        <f>+VLOOKUP(Agencia[[#This Row],[Muestra]],Estructura!$M$4:$O$500,3,0)</f>
        <v>M-1053</v>
      </c>
    </row>
    <row r="694" spans="1:27" ht="51" x14ac:dyDescent="0.3">
      <c r="A694" s="21" t="s">
        <v>1198</v>
      </c>
      <c r="B694" s="23">
        <f t="shared" si="284"/>
        <v>990</v>
      </c>
      <c r="C694" s="24" t="str">
        <f t="shared" si="285"/>
        <v>Agencia Información</v>
      </c>
      <c r="D694" s="72" t="s">
        <v>954</v>
      </c>
      <c r="E694" s="14">
        <v>0</v>
      </c>
      <c r="F694" s="18" t="s">
        <v>5153</v>
      </c>
      <c r="G694" s="18" t="s">
        <v>1883</v>
      </c>
      <c r="H694" s="31" t="s">
        <v>20</v>
      </c>
      <c r="I694" s="32" t="s">
        <v>15</v>
      </c>
      <c r="J694" s="9" t="s">
        <v>403</v>
      </c>
      <c r="K694" s="9" t="s">
        <v>1482</v>
      </c>
      <c r="L694" s="9" t="s">
        <v>1477</v>
      </c>
      <c r="M694" s="9" t="s">
        <v>1478</v>
      </c>
      <c r="N694" s="9" t="s">
        <v>1480</v>
      </c>
      <c r="O694" s="20" t="str">
        <f>+"Mapa de Absorciones (kt) de CO2 por Región, "&amp;I694&amp;", "&amp;Agencia[[#This Row],[temporalidad]]</f>
        <v>Mapa de Absorciones (kt) de CO2 por Región, Chile, Periodo 1990-2018</v>
      </c>
      <c r="P694" s="112" t="s">
        <v>1481</v>
      </c>
      <c r="Q694" s="11" t="s">
        <v>794</v>
      </c>
      <c r="R694" s="20" t="str">
        <f>Agencia[[#This Row],[territorio]]&amp;",GEI,absorciones,CO2,dióxido,carbono,regiones,gas,efecto,invernadero,"&amp;Agencia[[#This Row],[coleccion]]&amp;","&amp;Agencia[[#This Row],[sector]]&amp;","&amp;Agencia[[#This Row],[tema]]&amp;","&amp;Agencia[[#This Row],[contenido]]</f>
        <v>Chile,GEI,absorciones,CO2,dióxido,carbono,regiones,gas,efecto,invernadero,Agencia Información,Medio Ambiente,Absorciones GEI,Inventario de Gases de Efecto Invernadero (GEI)</v>
      </c>
      <c r="S694" s="83" t="s">
        <v>1479</v>
      </c>
      <c r="T694" s="108">
        <v>0</v>
      </c>
      <c r="U694" s="46" t="str">
        <f t="shared" si="271"/>
        <v>#1774B9</v>
      </c>
      <c r="V694" s="93" t="str">
        <f>+Agencia[[#This Row],[idcoleccion]]&amp;"-"&amp;Agencia[[#This Row],[id]]</f>
        <v>990-0683</v>
      </c>
      <c r="W694" s="93">
        <f>+VLOOKUP(Agencia[[#This Row],[Filtro URL]],Estructura!$X$4:$Y$500,2,0)</f>
        <v>99100000</v>
      </c>
      <c r="X694" s="93" t="str">
        <f>+VLOOKUP(Agencia[[#This Row],[tema]],Estructura!$A$4:$C$500,3,0)</f>
        <v>T-1083</v>
      </c>
      <c r="Y694" s="93" t="str">
        <f>+VLOOKUP(Agencia[[#This Row],[contenido]],Estructura!$E$4:$G$500,3,0)</f>
        <v>C-1004</v>
      </c>
      <c r="Z694" s="93" t="str">
        <f>+VLOOKUP(Agencia[[#This Row],[Filtro Integrado]],Estructura!$I$4:$K$500,3,0)</f>
        <v>FI-993</v>
      </c>
      <c r="AA694" s="93" t="str">
        <f>+VLOOKUP(Agencia[[#This Row],[Muestra]],Estructura!$M$4:$O$500,3,0)</f>
        <v>M-1067</v>
      </c>
    </row>
    <row r="695" spans="1:27" ht="51" x14ac:dyDescent="0.3">
      <c r="A695" s="21" t="s">
        <v>1199</v>
      </c>
      <c r="B695" s="23">
        <f t="shared" si="284"/>
        <v>990</v>
      </c>
      <c r="C695" s="24" t="str">
        <f t="shared" si="285"/>
        <v>Agencia Información</v>
      </c>
      <c r="D695" s="72" t="s">
        <v>954</v>
      </c>
      <c r="E695" s="14">
        <v>0</v>
      </c>
      <c r="F695" s="18" t="s">
        <v>5152</v>
      </c>
      <c r="G695" s="18" t="s">
        <v>1883</v>
      </c>
      <c r="H695" s="31" t="s">
        <v>20</v>
      </c>
      <c r="I695" s="32" t="s">
        <v>15</v>
      </c>
      <c r="J695" s="9" t="str">
        <f>+J694</f>
        <v>Ninguno</v>
      </c>
      <c r="K695" s="9" t="s">
        <v>1483</v>
      </c>
      <c r="L695" s="9" t="s">
        <v>1477</v>
      </c>
      <c r="M695" s="9" t="s">
        <v>1478</v>
      </c>
      <c r="N695" s="9" t="s">
        <v>1480</v>
      </c>
      <c r="O695" s="20" t="str">
        <f>+"Promedio de Emisiones Netas (kt) de CO2 equivalente, "&amp;I695&amp;", "&amp;Agencia[[#This Row],[temporalidad]]</f>
        <v>Promedio de Emisiones Netas (kt) de CO2 equivalente, Chile, Periodo 1990-2018</v>
      </c>
      <c r="P695" s="112" t="s">
        <v>1484</v>
      </c>
      <c r="Q695" s="11" t="s">
        <v>784</v>
      </c>
      <c r="R695" s="20" t="str">
        <f>Agencia[[#This Row],[territorio]]&amp;",GEI,emisiones,netas,CO2 equivalente,dióxido,carbono,gas,efecto,invernadero,"&amp;Agencia[[#This Row],[coleccion]]&amp;","&amp;Agencia[[#This Row],[sector]]&amp;","&amp;Agencia[[#This Row],[tema]]&amp;","&amp;Agencia[[#This Row],[contenido]]</f>
        <v>Chile,GEI,emisiones,netas,CO2 equivalente,dióxido,carbono,gas,efecto,invernadero,Agencia Información,Medio Ambiente,Emisiones GEI,Inventario de Gases de Efecto Invernadero (GEI)</v>
      </c>
      <c r="S695" s="22" t="s">
        <v>1485</v>
      </c>
      <c r="T695" s="108">
        <v>0</v>
      </c>
      <c r="U695" s="46" t="str">
        <f t="shared" si="271"/>
        <v>#1774B9</v>
      </c>
      <c r="V695" s="93" t="str">
        <f>+Agencia[[#This Row],[idcoleccion]]&amp;"-"&amp;Agencia[[#This Row],[id]]</f>
        <v>990-0684</v>
      </c>
      <c r="W695" s="93">
        <f>+VLOOKUP(Agencia[[#This Row],[Filtro URL]],Estructura!$X$4:$Y$500,2,0)</f>
        <v>99100000</v>
      </c>
      <c r="X695" s="93" t="str">
        <f>+VLOOKUP(Agencia[[#This Row],[tema]],Estructura!$A$4:$C$500,3,0)</f>
        <v>T-1082</v>
      </c>
      <c r="Y695" s="93" t="str">
        <f>+VLOOKUP(Agencia[[#This Row],[contenido]],Estructura!$E$4:$G$500,3,0)</f>
        <v>C-1004</v>
      </c>
      <c r="Z695" s="93" t="str">
        <f>+VLOOKUP(Agencia[[#This Row],[Filtro Integrado]],Estructura!$I$4:$K$500,3,0)</f>
        <v>FI-993</v>
      </c>
      <c r="AA695" s="93" t="str">
        <f>+VLOOKUP(Agencia[[#This Row],[Muestra]],Estructura!$M$4:$O$500,3,0)</f>
        <v>M-1068</v>
      </c>
    </row>
    <row r="696" spans="1:27" ht="61.2" x14ac:dyDescent="0.3">
      <c r="A696" s="21" t="s">
        <v>1200</v>
      </c>
      <c r="B696" s="23">
        <f t="shared" si="284"/>
        <v>990</v>
      </c>
      <c r="C696" s="24" t="str">
        <f t="shared" si="285"/>
        <v>Agencia Información</v>
      </c>
      <c r="D696" s="72" t="s">
        <v>954</v>
      </c>
      <c r="E696" s="14">
        <v>0</v>
      </c>
      <c r="F696" s="18" t="s">
        <v>5152</v>
      </c>
      <c r="G696" s="18" t="s">
        <v>1883</v>
      </c>
      <c r="H696" s="31" t="s">
        <v>20</v>
      </c>
      <c r="I696" s="32" t="s">
        <v>15</v>
      </c>
      <c r="J696" s="9" t="s">
        <v>403</v>
      </c>
      <c r="K696" s="9" t="s">
        <v>9295</v>
      </c>
      <c r="L696" s="9" t="s">
        <v>1477</v>
      </c>
      <c r="M696" s="9" t="s">
        <v>1478</v>
      </c>
      <c r="N696" s="9" t="s">
        <v>1480</v>
      </c>
      <c r="O696" s="20" t="str">
        <f>+"Emisiones (kt) de CO2 equivalente por Gas en "&amp;I696&amp;", durante el "&amp;Agencia[[#This Row],[temporalidad]]</f>
        <v>Emisiones (kt) de CO2 equivalente por Gas en Chile, durante el Periodo 1990-2018</v>
      </c>
      <c r="P696" s="112" t="s">
        <v>1486</v>
      </c>
      <c r="Q696" s="11" t="s">
        <v>784</v>
      </c>
      <c r="R696" s="20" t="str">
        <f>Agencia[[#This Row],[territorio]]&amp;",GEI,emisiones,CO2 equivalente,dióxido,carbono,gas,efecto,invernadero,metano,óxido,nitroso,CH4,N2O,HFC,SF6,"&amp;Agencia[[#This Row],[coleccion]]&amp;","&amp;Agencia[[#This Row],[sector]]&amp;","&amp;Agencia[[#This Row],[tema]]&amp;","&amp;Agencia[[#This Row],[contenido]]</f>
        <v>Chile,GEI,emisiones,CO2 equivalente,dióxido,carbono,gas,efecto,invernadero,metano,óxido,nitroso,CH4,N2O,HFC,SF6,Agencia Información,Medio Ambiente,Emisiones GEI,Inventario de Gases de Efecto Invernadero (GEI)</v>
      </c>
      <c r="S696" s="22" t="s">
        <v>1487</v>
      </c>
      <c r="T696" s="108">
        <v>0</v>
      </c>
      <c r="U696" s="46" t="str">
        <f t="shared" si="271"/>
        <v>#1774B9</v>
      </c>
      <c r="V696" s="93" t="str">
        <f>+Agencia[[#This Row],[idcoleccion]]&amp;"-"&amp;Agencia[[#This Row],[id]]</f>
        <v>990-0685</v>
      </c>
      <c r="W696" s="93">
        <f>+VLOOKUP(Agencia[[#This Row],[Filtro URL]],Estructura!$X$4:$Y$500,2,0)</f>
        <v>99100000</v>
      </c>
      <c r="X696" s="93" t="str">
        <f>+VLOOKUP(Agencia[[#This Row],[tema]],Estructura!$A$4:$C$500,3,0)</f>
        <v>T-1082</v>
      </c>
      <c r="Y696" s="93" t="str">
        <f>+VLOOKUP(Agencia[[#This Row],[contenido]],Estructura!$E$4:$G$500,3,0)</f>
        <v>C-1004</v>
      </c>
      <c r="Z696" s="93" t="str">
        <f>+VLOOKUP(Agencia[[#This Row],[Filtro Integrado]],Estructura!$I$4:$K$500,3,0)</f>
        <v>FI-993</v>
      </c>
      <c r="AA696" s="93" t="str">
        <f>+VLOOKUP(Agencia[[#This Row],[Muestra]],Estructura!$M$4:$O$500,3,0)</f>
        <v>M-1069</v>
      </c>
    </row>
    <row r="697" spans="1:27" ht="61.2" x14ac:dyDescent="0.3">
      <c r="A697" s="21" t="s">
        <v>1201</v>
      </c>
      <c r="B697" s="23">
        <f t="shared" si="284"/>
        <v>990</v>
      </c>
      <c r="C697" s="24" t="str">
        <f t="shared" si="285"/>
        <v>Agencia Información</v>
      </c>
      <c r="D697" s="72" t="s">
        <v>954</v>
      </c>
      <c r="E697" s="14">
        <v>0</v>
      </c>
      <c r="F697" s="18" t="s">
        <v>5154</v>
      </c>
      <c r="G697" s="18" t="s">
        <v>1883</v>
      </c>
      <c r="H697" s="31" t="s">
        <v>20</v>
      </c>
      <c r="I697" s="32" t="s">
        <v>15</v>
      </c>
      <c r="J697" s="9" t="s">
        <v>403</v>
      </c>
      <c r="K697" s="9" t="s">
        <v>9296</v>
      </c>
      <c r="L697" s="9" t="s">
        <v>1475</v>
      </c>
      <c r="M697" s="9" t="s">
        <v>1478</v>
      </c>
      <c r="N697" s="9" t="s">
        <v>1480</v>
      </c>
      <c r="O697" s="20" t="str">
        <f>+"Emisiones y Absorciones (kt) de CO2 equivalente por Subsector en "&amp;I697&amp;", para el "&amp;Agencia[[#This Row],[temporalidad]]</f>
        <v>Emisiones y Absorciones (kt) de CO2 equivalente por Subsector en Chile, para el Año 2018</v>
      </c>
      <c r="P697" s="112" t="s">
        <v>1488</v>
      </c>
      <c r="Q697" s="11" t="s">
        <v>576</v>
      </c>
      <c r="R697" s="20" t="str">
        <f>Agencia[[#This Row],[territorio]]&amp;",GEI,emisiones,absorciones,CO2 equivalente,dióxido,carbono,subsector,gas,efecto,invernadero,"&amp;Agencia[[#This Row],[coleccion]]&amp;","&amp;Agencia[[#This Row],[sector]]&amp;","&amp;Agencia[[#This Row],[tema]]&amp;","&amp;Agencia[[#This Row],[contenido]]</f>
        <v>Chile,GEI,emisiones,absorciones,CO2 equivalente,dióxido,carbono,subsector,gas,efecto,invernadero,Agencia Información,Medio Ambiente,Emisiones y Absorciones GEI,Inventario de Gases de Efecto Invernadero (GEI)</v>
      </c>
      <c r="S697" s="22" t="s">
        <v>1489</v>
      </c>
      <c r="T697" s="108">
        <v>0</v>
      </c>
      <c r="U697" s="46" t="str">
        <f t="shared" si="271"/>
        <v>#1774B9</v>
      </c>
      <c r="V697" s="93" t="str">
        <f>+Agencia[[#This Row],[idcoleccion]]&amp;"-"&amp;Agencia[[#This Row],[id]]</f>
        <v>990-0686</v>
      </c>
      <c r="W697" s="93">
        <f>+VLOOKUP(Agencia[[#This Row],[Filtro URL]],Estructura!$X$4:$Y$500,2,0)</f>
        <v>99100000</v>
      </c>
      <c r="X697" s="93" t="str">
        <f>+VLOOKUP(Agencia[[#This Row],[tema]],Estructura!$A$4:$C$500,3,0)</f>
        <v>T-1084</v>
      </c>
      <c r="Y697" s="93" t="str">
        <f>+VLOOKUP(Agencia[[#This Row],[contenido]],Estructura!$E$4:$G$500,3,0)</f>
        <v>C-1004</v>
      </c>
      <c r="Z697" s="93" t="str">
        <f>+VLOOKUP(Agencia[[#This Row],[Filtro Integrado]],Estructura!$I$4:$K$500,3,0)</f>
        <v>FI-993</v>
      </c>
      <c r="AA697" s="93" t="str">
        <f>+VLOOKUP(Agencia[[#This Row],[Muestra]],Estructura!$M$4:$O$500,3,0)</f>
        <v>M-1070</v>
      </c>
    </row>
    <row r="698" spans="1:27" ht="51" x14ac:dyDescent="0.3">
      <c r="A698" s="21" t="s">
        <v>1202</v>
      </c>
      <c r="B698" s="23">
        <f t="shared" si="284"/>
        <v>990</v>
      </c>
      <c r="C698" s="24" t="str">
        <f t="shared" si="285"/>
        <v>Agencia Información</v>
      </c>
      <c r="D698" s="72" t="s">
        <v>823</v>
      </c>
      <c r="E698" s="14">
        <v>0</v>
      </c>
      <c r="F698" s="18" t="s">
        <v>1462</v>
      </c>
      <c r="G698" s="18" t="s">
        <v>1470</v>
      </c>
      <c r="H698" s="31" t="s">
        <v>20</v>
      </c>
      <c r="I698" s="32" t="s">
        <v>15</v>
      </c>
      <c r="J698" s="9" t="s">
        <v>16</v>
      </c>
      <c r="K698" s="142" t="s">
        <v>9266</v>
      </c>
      <c r="L698" s="9" t="s">
        <v>1391</v>
      </c>
      <c r="M698" s="9" t="s">
        <v>1392</v>
      </c>
      <c r="N698" s="9" t="s">
        <v>826</v>
      </c>
      <c r="O698" s="20" t="str">
        <f>+"Número de trabajadores dependientes por sexo, en el rubro B-Explotación minera y canteras, según año comercial y a nivel regional en "&amp;I698&amp;", "&amp;Agencia[[#This Row],[temporalidad]]</f>
        <v>Número de trabajadores dependientes por sexo, en el rubro B-Explotación minera y canteras, según año comercial y a nivel regional en Chile, Periodo 2005-2019</v>
      </c>
      <c r="P698" s="112" t="s">
        <v>5749</v>
      </c>
      <c r="Q698" s="11" t="s">
        <v>576</v>
      </c>
      <c r="R698" s="20" t="str">
        <f>Agencia[[#This Row],[territorio]]&amp;",personas,trabajadores,género,sexo,mujeres,hombres,proporción,explotación,canteras,mineras,sii,"&amp;Agencia[[#This Row],[coleccion]]&amp;","&amp;Agencia[[#This Row],[sector]]&amp;","&amp;Agencia[[#This Row],[tema]]&amp;","&amp;Agencia[[#This Row],[contenido]]</f>
        <v>Chile,personas,trabajadores,género,sexo,mujeres,hombres,proporción,explotación,canteras,mineras,sii,Agencia Información,Economía,Trabajadores por sexo,Empresas</v>
      </c>
      <c r="S698" s="83" t="s">
        <v>1491</v>
      </c>
      <c r="T698" s="108" t="s">
        <v>805</v>
      </c>
      <c r="U698" s="46" t="str">
        <f t="shared" si="271"/>
        <v>#1774B9</v>
      </c>
      <c r="V698" s="93" t="str">
        <f>+Agencia[[#This Row],[idcoleccion]]&amp;"-"&amp;Agencia[[#This Row],[id]]</f>
        <v>990-0687</v>
      </c>
      <c r="W698" s="93">
        <f>+VLOOKUP(Agencia[[#This Row],[Filtro URL]],Estructura!$X$4:$Y$500,2,0)</f>
        <v>99100000</v>
      </c>
      <c r="X698" s="93" t="str">
        <f>+VLOOKUP(Agencia[[#This Row],[tema]],Estructura!$A$4:$C$500,3,0)</f>
        <v>T-1009</v>
      </c>
      <c r="Y698" s="93" t="str">
        <f>+VLOOKUP(Agencia[[#This Row],[contenido]],Estructura!$E$4:$G$500,3,0)</f>
        <v>C-993</v>
      </c>
      <c r="Z698" s="93" t="str">
        <f>+VLOOKUP(Agencia[[#This Row],[Filtro Integrado]],Estructura!$I$4:$K$500,3,0)</f>
        <v>FI-992</v>
      </c>
      <c r="AA698" s="93" t="str">
        <f>+VLOOKUP(Agencia[[#This Row],[Muestra]],Estructura!$M$4:$O$500,3,0)</f>
        <v>M-1065</v>
      </c>
    </row>
    <row r="699" spans="1:27" ht="61.2" x14ac:dyDescent="0.3">
      <c r="A699" s="21" t="s">
        <v>1203</v>
      </c>
      <c r="B699" s="23">
        <f t="shared" si="284"/>
        <v>990</v>
      </c>
      <c r="C699" s="24" t="str">
        <f t="shared" si="285"/>
        <v>Agencia Información</v>
      </c>
      <c r="D699" s="72" t="str">
        <f t="shared" ref="D699:D714" si="292">+D698</f>
        <v>Economía</v>
      </c>
      <c r="E699" s="19">
        <v>1</v>
      </c>
      <c r="F699" s="18" t="s">
        <v>1462</v>
      </c>
      <c r="G699" s="18" t="s">
        <v>1470</v>
      </c>
      <c r="H699" s="33" t="s">
        <v>16</v>
      </c>
      <c r="I699" s="34" t="s">
        <v>368</v>
      </c>
      <c r="J699" s="9" t="s">
        <v>403</v>
      </c>
      <c r="K699" s="9" t="str">
        <f t="shared" ref="K699:K714" si="293">+K698</f>
        <v>Trabajadores dependientes informados</v>
      </c>
      <c r="L699" s="9" t="str">
        <f t="shared" ref="L699:L714" si="294">+L698</f>
        <v>Periodo 2005-2019</v>
      </c>
      <c r="M699" s="9" t="str">
        <f t="shared" ref="M699:M714" si="295">+M698</f>
        <v>Personas</v>
      </c>
      <c r="N699" s="9" t="str">
        <f t="shared" ref="N699:N714" si="296">+N698</f>
        <v>Servicio de Impuestos Internos (SII)</v>
      </c>
      <c r="O699" s="20" t="str">
        <f>+"Número de trabajadores dependientes por sexo, en el rubro B-Explotación minera y canteras, según año comercial en la "&amp;I699&amp;", "&amp;Agencia[[#This Row],[temporalidad]]</f>
        <v>Número de trabajadores dependientes por sexo, en el rubro B-Explotación minera y canteras, según año comercial en la Región de Tarapacá, Periodo 2005-2019</v>
      </c>
      <c r="P699" s="112" t="s">
        <v>5750</v>
      </c>
      <c r="Q699" s="11" t="str">
        <f t="shared" si="270"/>
        <v>Gráfico</v>
      </c>
      <c r="R699" s="148" t="str">
        <f>Agencia[[#This Row],[territorio]]&amp;",personas,trabajadores,género,sexo,mujeres,hombres,proporción,explotación,canteras,mineras,sii,"&amp;Agencia[[#This Row],[coleccion]]&amp;","&amp;Agencia[[#This Row],[sector]]&amp;","&amp;Agencia[[#This Row],[tema]]&amp;","&amp;Agencia[[#This Row],[contenido]]</f>
        <v>Región de Tarapacá,personas,trabajadores,género,sexo,mujeres,hombres,proporción,explotación,canteras,mineras,sii,Agencia Información,Economía,Trabajadores por sexo,Empresas</v>
      </c>
      <c r="S699" s="37" t="str">
        <f>HYPERLINK("https://analytics.zoho.com/open-view/2395394000008438205?ZOHO_CRITERIA=%22Rubros_Todo%22.%22Id_Regi%C3%B3n%22%3D"&amp;Agencia[[#This Row],[Filtro URL]])</f>
        <v>https://analytics.zoho.com/open-view/2395394000008438205?ZOHO_CRITERIA=%22Rubros_Todo%22.%22Id_Regi%C3%B3n%22%3D1</v>
      </c>
      <c r="T699" s="108" t="str">
        <f>"100-R-"&amp;Agencia[[#This Row],[Filtro URL]]</f>
        <v>100-R-1</v>
      </c>
      <c r="U699" s="46" t="str">
        <f t="shared" si="271"/>
        <v>#1774B9</v>
      </c>
      <c r="V699" s="93" t="str">
        <f>+Agencia[[#This Row],[idcoleccion]]&amp;"-"&amp;Agencia[[#This Row],[id]]</f>
        <v>990-0688</v>
      </c>
      <c r="W699" s="93">
        <f>+VLOOKUP(Agencia[[#This Row],[Filtro URL]],Estructura!$X$4:$Y$500,2,0)</f>
        <v>99200001</v>
      </c>
      <c r="X699" s="93" t="str">
        <f>+VLOOKUP(Agencia[[#This Row],[tema]],Estructura!$A$4:$C$500,3,0)</f>
        <v>T-1009</v>
      </c>
      <c r="Y699" s="93" t="str">
        <f>+VLOOKUP(Agencia[[#This Row],[contenido]],Estructura!$E$4:$G$500,3,0)</f>
        <v>C-993</v>
      </c>
      <c r="Z699" s="93" t="str">
        <f>+VLOOKUP(Agencia[[#This Row],[Filtro Integrado]],Estructura!$I$4:$K$500,3,0)</f>
        <v>FI-993</v>
      </c>
      <c r="AA699" s="93" t="str">
        <f>+VLOOKUP(Agencia[[#This Row],[Muestra]],Estructura!$M$4:$O$500,3,0)</f>
        <v>M-1065</v>
      </c>
    </row>
    <row r="700" spans="1:27" ht="61.2" x14ac:dyDescent="0.3">
      <c r="A700" s="21" t="s">
        <v>1204</v>
      </c>
      <c r="B700" s="23">
        <f t="shared" si="284"/>
        <v>990</v>
      </c>
      <c r="C700" s="24" t="str">
        <f t="shared" si="285"/>
        <v>Agencia Información</v>
      </c>
      <c r="D700" s="72" t="str">
        <f t="shared" si="292"/>
        <v>Economía</v>
      </c>
      <c r="E700" s="19">
        <v>2</v>
      </c>
      <c r="F700" s="18" t="s">
        <v>1462</v>
      </c>
      <c r="G700" s="18" t="s">
        <v>1470</v>
      </c>
      <c r="H700" s="33" t="s">
        <v>16</v>
      </c>
      <c r="I700" s="34" t="s">
        <v>369</v>
      </c>
      <c r="J700" s="9" t="str">
        <f t="shared" ref="J700:J714" si="297">+J699</f>
        <v>Ninguno</v>
      </c>
      <c r="K700" s="9" t="str">
        <f t="shared" si="293"/>
        <v>Trabajadores dependientes informados</v>
      </c>
      <c r="L700" s="9" t="str">
        <f t="shared" si="294"/>
        <v>Periodo 2005-2019</v>
      </c>
      <c r="M700" s="9" t="str">
        <f t="shared" si="295"/>
        <v>Personas</v>
      </c>
      <c r="N700" s="9" t="str">
        <f t="shared" si="296"/>
        <v>Servicio de Impuestos Internos (SII)</v>
      </c>
      <c r="O700" s="20" t="str">
        <f>+"Número de trabajadores dependientes por sexo, en el rubro B-Explotación minera y canteras, según año comercial en la "&amp;I700&amp;", "&amp;Agencia[[#This Row],[temporalidad]]</f>
        <v>Número de trabajadores dependientes por sexo, en el rubro B-Explotación minera y canteras, según año comercial en la Región de Antofagasta, Periodo 2005-2019</v>
      </c>
      <c r="P700" s="112" t="s">
        <v>5751</v>
      </c>
      <c r="Q700" s="11" t="str">
        <f t="shared" si="270"/>
        <v>Gráfico</v>
      </c>
      <c r="R700" s="148" t="str">
        <f>Agencia[[#This Row],[territorio]]&amp;",personas,trabajadores,género,sexo,mujeres,hombres,proporción,explotación,canteras,mineras,sii,"&amp;Agencia[[#This Row],[coleccion]]&amp;","&amp;Agencia[[#This Row],[sector]]&amp;","&amp;Agencia[[#This Row],[tema]]&amp;","&amp;Agencia[[#This Row],[contenido]]</f>
        <v>Región de Antofagasta,personas,trabajadores,género,sexo,mujeres,hombres,proporción,explotación,canteras,mineras,sii,Agencia Información,Economía,Trabajadores por sexo,Empresas</v>
      </c>
      <c r="S700" s="37" t="str">
        <f>HYPERLINK("https://analytics.zoho.com/open-view/2395394000008438205?ZOHO_CRITERIA=%22Rubros_Todo%22.%22Id_Regi%C3%B3n%22%3D"&amp;Agencia[[#This Row],[Filtro URL]])</f>
        <v>https://analytics.zoho.com/open-view/2395394000008438205?ZOHO_CRITERIA=%22Rubros_Todo%22.%22Id_Regi%C3%B3n%22%3D2</v>
      </c>
      <c r="T700" s="108" t="str">
        <f>"100-R-"&amp;Agencia[[#This Row],[Filtro URL]]</f>
        <v>100-R-2</v>
      </c>
      <c r="U700" s="46" t="str">
        <f t="shared" si="271"/>
        <v>#1774B9</v>
      </c>
      <c r="V700" s="93" t="str">
        <f>+Agencia[[#This Row],[idcoleccion]]&amp;"-"&amp;Agencia[[#This Row],[id]]</f>
        <v>990-0689</v>
      </c>
      <c r="W700" s="93">
        <f>+VLOOKUP(Agencia[[#This Row],[Filtro URL]],Estructura!$X$4:$Y$500,2,0)</f>
        <v>99200002</v>
      </c>
      <c r="X700" s="93" t="str">
        <f>+VLOOKUP(Agencia[[#This Row],[tema]],Estructura!$A$4:$C$500,3,0)</f>
        <v>T-1009</v>
      </c>
      <c r="Y700" s="93" t="str">
        <f>+VLOOKUP(Agencia[[#This Row],[contenido]],Estructura!$E$4:$G$500,3,0)</f>
        <v>C-993</v>
      </c>
      <c r="Z700" s="93" t="str">
        <f>+VLOOKUP(Agencia[[#This Row],[Filtro Integrado]],Estructura!$I$4:$K$500,3,0)</f>
        <v>FI-993</v>
      </c>
      <c r="AA700" s="93" t="str">
        <f>+VLOOKUP(Agencia[[#This Row],[Muestra]],Estructura!$M$4:$O$500,3,0)</f>
        <v>M-1065</v>
      </c>
    </row>
    <row r="701" spans="1:27" ht="61.2" x14ac:dyDescent="0.3">
      <c r="A701" s="21" t="s">
        <v>1205</v>
      </c>
      <c r="B701" s="23">
        <f t="shared" si="284"/>
        <v>990</v>
      </c>
      <c r="C701" s="24" t="str">
        <f t="shared" si="285"/>
        <v>Agencia Información</v>
      </c>
      <c r="D701" s="72" t="str">
        <f t="shared" si="292"/>
        <v>Economía</v>
      </c>
      <c r="E701" s="19">
        <v>3</v>
      </c>
      <c r="F701" s="18" t="s">
        <v>1462</v>
      </c>
      <c r="G701" s="18" t="s">
        <v>1470</v>
      </c>
      <c r="H701" s="33" t="s">
        <v>16</v>
      </c>
      <c r="I701" s="34" t="s">
        <v>370</v>
      </c>
      <c r="J701" s="9" t="str">
        <f t="shared" si="297"/>
        <v>Ninguno</v>
      </c>
      <c r="K701" s="9" t="str">
        <f t="shared" si="293"/>
        <v>Trabajadores dependientes informados</v>
      </c>
      <c r="L701" s="9" t="str">
        <f t="shared" si="294"/>
        <v>Periodo 2005-2019</v>
      </c>
      <c r="M701" s="9" t="str">
        <f t="shared" si="295"/>
        <v>Personas</v>
      </c>
      <c r="N701" s="9" t="str">
        <f t="shared" si="296"/>
        <v>Servicio de Impuestos Internos (SII)</v>
      </c>
      <c r="O701" s="20" t="str">
        <f>+"Número de trabajadores dependientes por sexo, en el rubro B-Explotación minera y canteras, según año comercial en la "&amp;I701&amp;", "&amp;Agencia[[#This Row],[temporalidad]]</f>
        <v>Número de trabajadores dependientes por sexo, en el rubro B-Explotación minera y canteras, según año comercial en la Región de Atacama, Periodo 2005-2019</v>
      </c>
      <c r="P701" s="112" t="s">
        <v>5794</v>
      </c>
      <c r="Q701" s="11" t="str">
        <f t="shared" si="270"/>
        <v>Gráfico</v>
      </c>
      <c r="R701" s="148" t="str">
        <f>Agencia[[#This Row],[territorio]]&amp;",personas,trabajadores,género,sexo,mujeres,hombres,proporción,explotación,canteras,mineras,sii,"&amp;Agencia[[#This Row],[coleccion]]&amp;","&amp;Agencia[[#This Row],[sector]]&amp;","&amp;Agencia[[#This Row],[tema]]&amp;","&amp;Agencia[[#This Row],[contenido]]</f>
        <v>Región de Atacama,personas,trabajadores,género,sexo,mujeres,hombres,proporción,explotación,canteras,mineras,sii,Agencia Información,Economía,Trabajadores por sexo,Empresas</v>
      </c>
      <c r="S701" s="37" t="str">
        <f>HYPERLINK("https://analytics.zoho.com/open-view/2395394000008438205?ZOHO_CRITERIA=%22Rubros_Todo%22.%22Id_Regi%C3%B3n%22%3D"&amp;Agencia[[#This Row],[Filtro URL]])</f>
        <v>https://analytics.zoho.com/open-view/2395394000008438205?ZOHO_CRITERIA=%22Rubros_Todo%22.%22Id_Regi%C3%B3n%22%3D3</v>
      </c>
      <c r="T701" s="108" t="str">
        <f>"100-R-"&amp;Agencia[[#This Row],[Filtro URL]]</f>
        <v>100-R-3</v>
      </c>
      <c r="U701" s="46" t="str">
        <f t="shared" si="271"/>
        <v>#1774B9</v>
      </c>
      <c r="V701" s="93" t="str">
        <f>+Agencia[[#This Row],[idcoleccion]]&amp;"-"&amp;Agencia[[#This Row],[id]]</f>
        <v>990-0690</v>
      </c>
      <c r="W701" s="93">
        <f>+VLOOKUP(Agencia[[#This Row],[Filtro URL]],Estructura!$X$4:$Y$500,2,0)</f>
        <v>99200003</v>
      </c>
      <c r="X701" s="93" t="str">
        <f>+VLOOKUP(Agencia[[#This Row],[tema]],Estructura!$A$4:$C$500,3,0)</f>
        <v>T-1009</v>
      </c>
      <c r="Y701" s="93" t="str">
        <f>+VLOOKUP(Agencia[[#This Row],[contenido]],Estructura!$E$4:$G$500,3,0)</f>
        <v>C-993</v>
      </c>
      <c r="Z701" s="93" t="str">
        <f>+VLOOKUP(Agencia[[#This Row],[Filtro Integrado]],Estructura!$I$4:$K$500,3,0)</f>
        <v>FI-993</v>
      </c>
      <c r="AA701" s="93" t="str">
        <f>+VLOOKUP(Agencia[[#This Row],[Muestra]],Estructura!$M$4:$O$500,3,0)</f>
        <v>M-1065</v>
      </c>
    </row>
    <row r="702" spans="1:27" ht="61.2" x14ac:dyDescent="0.3">
      <c r="A702" s="21" t="s">
        <v>1206</v>
      </c>
      <c r="B702" s="23">
        <f t="shared" si="284"/>
        <v>990</v>
      </c>
      <c r="C702" s="24" t="str">
        <f t="shared" si="285"/>
        <v>Agencia Información</v>
      </c>
      <c r="D702" s="72" t="str">
        <f t="shared" si="292"/>
        <v>Economía</v>
      </c>
      <c r="E702" s="19">
        <v>4</v>
      </c>
      <c r="F702" s="18" t="s">
        <v>1462</v>
      </c>
      <c r="G702" s="18" t="s">
        <v>1470</v>
      </c>
      <c r="H702" s="33" t="s">
        <v>16</v>
      </c>
      <c r="I702" s="34" t="s">
        <v>371</v>
      </c>
      <c r="J702" s="9" t="str">
        <f t="shared" si="297"/>
        <v>Ninguno</v>
      </c>
      <c r="K702" s="9" t="str">
        <f t="shared" si="293"/>
        <v>Trabajadores dependientes informados</v>
      </c>
      <c r="L702" s="9" t="str">
        <f t="shared" si="294"/>
        <v>Periodo 2005-2019</v>
      </c>
      <c r="M702" s="9" t="str">
        <f t="shared" si="295"/>
        <v>Personas</v>
      </c>
      <c r="N702" s="9" t="str">
        <f t="shared" si="296"/>
        <v>Servicio de Impuestos Internos (SII)</v>
      </c>
      <c r="O702" s="20" t="str">
        <f>+"Número de trabajadores dependientes por sexo, en el rubro B-Explotación minera y canteras, según año comercial en la "&amp;I702&amp;", "&amp;Agencia[[#This Row],[temporalidad]]</f>
        <v>Número de trabajadores dependientes por sexo, en el rubro B-Explotación minera y canteras, según año comercial en la Región de Coquimbo, Periodo 2005-2019</v>
      </c>
      <c r="P702" s="112" t="s">
        <v>5752</v>
      </c>
      <c r="Q702" s="11" t="str">
        <f t="shared" ref="Q702:Q750" si="298">+Q701</f>
        <v>Gráfico</v>
      </c>
      <c r="R702" s="148" t="str">
        <f>Agencia[[#This Row],[territorio]]&amp;",personas,trabajadores,género,sexo,mujeres,hombres,proporción,explotación,canteras,mineras,sii,"&amp;Agencia[[#This Row],[coleccion]]&amp;","&amp;Agencia[[#This Row],[sector]]&amp;","&amp;Agencia[[#This Row],[tema]]&amp;","&amp;Agencia[[#This Row],[contenido]]</f>
        <v>Región de Coquimbo,personas,trabajadores,género,sexo,mujeres,hombres,proporción,explotación,canteras,mineras,sii,Agencia Información,Economía,Trabajadores por sexo,Empresas</v>
      </c>
      <c r="S702" s="37" t="str">
        <f>HYPERLINK("https://analytics.zoho.com/open-view/2395394000008438205?ZOHO_CRITERIA=%22Rubros_Todo%22.%22Id_Regi%C3%B3n%22%3D"&amp;Agencia[[#This Row],[Filtro URL]])</f>
        <v>https://analytics.zoho.com/open-view/2395394000008438205?ZOHO_CRITERIA=%22Rubros_Todo%22.%22Id_Regi%C3%B3n%22%3D4</v>
      </c>
      <c r="T702" s="108" t="str">
        <f>"100-R-"&amp;Agencia[[#This Row],[Filtro URL]]</f>
        <v>100-R-4</v>
      </c>
      <c r="U702" s="46" t="str">
        <f t="shared" ref="U702:U752" si="299">+U701</f>
        <v>#1774B9</v>
      </c>
      <c r="V702" s="93" t="str">
        <f>+Agencia[[#This Row],[idcoleccion]]&amp;"-"&amp;Agencia[[#This Row],[id]]</f>
        <v>990-0691</v>
      </c>
      <c r="W702" s="93">
        <f>+VLOOKUP(Agencia[[#This Row],[Filtro URL]],Estructura!$X$4:$Y$500,2,0)</f>
        <v>99200004</v>
      </c>
      <c r="X702" s="93" t="str">
        <f>+VLOOKUP(Agencia[[#This Row],[tema]],Estructura!$A$4:$C$500,3,0)</f>
        <v>T-1009</v>
      </c>
      <c r="Y702" s="93" t="str">
        <f>+VLOOKUP(Agencia[[#This Row],[contenido]],Estructura!$E$4:$G$500,3,0)</f>
        <v>C-993</v>
      </c>
      <c r="Z702" s="93" t="str">
        <f>+VLOOKUP(Agencia[[#This Row],[Filtro Integrado]],Estructura!$I$4:$K$500,3,0)</f>
        <v>FI-993</v>
      </c>
      <c r="AA702" s="93" t="str">
        <f>+VLOOKUP(Agencia[[#This Row],[Muestra]],Estructura!$M$4:$O$500,3,0)</f>
        <v>M-1065</v>
      </c>
    </row>
    <row r="703" spans="1:27" ht="61.2" x14ac:dyDescent="0.3">
      <c r="A703" s="21" t="s">
        <v>1207</v>
      </c>
      <c r="B703" s="23">
        <f t="shared" si="284"/>
        <v>990</v>
      </c>
      <c r="C703" s="24" t="str">
        <f t="shared" si="285"/>
        <v>Agencia Información</v>
      </c>
      <c r="D703" s="72" t="str">
        <f t="shared" si="292"/>
        <v>Economía</v>
      </c>
      <c r="E703" s="19">
        <v>5</v>
      </c>
      <c r="F703" s="18" t="s">
        <v>1462</v>
      </c>
      <c r="G703" s="18" t="s">
        <v>1470</v>
      </c>
      <c r="H703" s="33" t="s">
        <v>16</v>
      </c>
      <c r="I703" s="34" t="s">
        <v>372</v>
      </c>
      <c r="J703" s="9" t="str">
        <f t="shared" si="297"/>
        <v>Ninguno</v>
      </c>
      <c r="K703" s="9" t="str">
        <f t="shared" si="293"/>
        <v>Trabajadores dependientes informados</v>
      </c>
      <c r="L703" s="9" t="str">
        <f t="shared" si="294"/>
        <v>Periodo 2005-2019</v>
      </c>
      <c r="M703" s="9" t="str">
        <f t="shared" si="295"/>
        <v>Personas</v>
      </c>
      <c r="N703" s="9" t="str">
        <f t="shared" si="296"/>
        <v>Servicio de Impuestos Internos (SII)</v>
      </c>
      <c r="O703" s="20" t="str">
        <f>+"Número de trabajadores dependientes por sexo, en el rubro B-Explotación minera y canteras, según año comercial en la "&amp;I703&amp;", "&amp;Agencia[[#This Row],[temporalidad]]</f>
        <v>Número de trabajadores dependientes por sexo, en el rubro B-Explotación minera y canteras, según año comercial en la Región de Valparaíso, Periodo 2005-2019</v>
      </c>
      <c r="P703" s="112" t="s">
        <v>5753</v>
      </c>
      <c r="Q703" s="11" t="str">
        <f t="shared" si="298"/>
        <v>Gráfico</v>
      </c>
      <c r="R703" s="148" t="str">
        <f>Agencia[[#This Row],[territorio]]&amp;",personas,trabajadores,género,sexo,mujeres,hombres,proporción,explotación,canteras,mineras,sii,"&amp;Agencia[[#This Row],[coleccion]]&amp;","&amp;Agencia[[#This Row],[sector]]&amp;","&amp;Agencia[[#This Row],[tema]]&amp;","&amp;Agencia[[#This Row],[contenido]]</f>
        <v>Región de Valparaíso,personas,trabajadores,género,sexo,mujeres,hombres,proporción,explotación,canteras,mineras,sii,Agencia Información,Economía,Trabajadores por sexo,Empresas</v>
      </c>
      <c r="S703" s="37" t="str">
        <f>HYPERLINK("https://analytics.zoho.com/open-view/2395394000008438205?ZOHO_CRITERIA=%22Rubros_Todo%22.%22Id_Regi%C3%B3n%22%3D"&amp;Agencia[[#This Row],[Filtro URL]])</f>
        <v>https://analytics.zoho.com/open-view/2395394000008438205?ZOHO_CRITERIA=%22Rubros_Todo%22.%22Id_Regi%C3%B3n%22%3D5</v>
      </c>
      <c r="T703" s="108" t="str">
        <f>"100-R-"&amp;Agencia[[#This Row],[Filtro URL]]</f>
        <v>100-R-5</v>
      </c>
      <c r="U703" s="46" t="str">
        <f t="shared" si="299"/>
        <v>#1774B9</v>
      </c>
      <c r="V703" s="93" t="str">
        <f>+Agencia[[#This Row],[idcoleccion]]&amp;"-"&amp;Agencia[[#This Row],[id]]</f>
        <v>990-0692</v>
      </c>
      <c r="W703" s="93">
        <f>+VLOOKUP(Agencia[[#This Row],[Filtro URL]],Estructura!$X$4:$Y$500,2,0)</f>
        <v>99200005</v>
      </c>
      <c r="X703" s="93" t="str">
        <f>+VLOOKUP(Agencia[[#This Row],[tema]],Estructura!$A$4:$C$500,3,0)</f>
        <v>T-1009</v>
      </c>
      <c r="Y703" s="93" t="str">
        <f>+VLOOKUP(Agencia[[#This Row],[contenido]],Estructura!$E$4:$G$500,3,0)</f>
        <v>C-993</v>
      </c>
      <c r="Z703" s="93" t="str">
        <f>+VLOOKUP(Agencia[[#This Row],[Filtro Integrado]],Estructura!$I$4:$K$500,3,0)</f>
        <v>FI-993</v>
      </c>
      <c r="AA703" s="93" t="str">
        <f>+VLOOKUP(Agencia[[#This Row],[Muestra]],Estructura!$M$4:$O$500,3,0)</f>
        <v>M-1065</v>
      </c>
    </row>
    <row r="704" spans="1:27" ht="61.2" x14ac:dyDescent="0.3">
      <c r="A704" s="21" t="s">
        <v>1208</v>
      </c>
      <c r="B704" s="23">
        <f t="shared" si="284"/>
        <v>990</v>
      </c>
      <c r="C704" s="24" t="str">
        <f t="shared" si="285"/>
        <v>Agencia Información</v>
      </c>
      <c r="D704" s="72" t="str">
        <f t="shared" si="292"/>
        <v>Economía</v>
      </c>
      <c r="E704" s="19">
        <v>6</v>
      </c>
      <c r="F704" s="18" t="s">
        <v>1462</v>
      </c>
      <c r="G704" s="18" t="s">
        <v>1470</v>
      </c>
      <c r="H704" s="33" t="s">
        <v>16</v>
      </c>
      <c r="I704" s="34" t="s">
        <v>373</v>
      </c>
      <c r="J704" s="9" t="str">
        <f t="shared" si="297"/>
        <v>Ninguno</v>
      </c>
      <c r="K704" s="9" t="str">
        <f t="shared" si="293"/>
        <v>Trabajadores dependientes informados</v>
      </c>
      <c r="L704" s="9" t="str">
        <f t="shared" si="294"/>
        <v>Periodo 2005-2019</v>
      </c>
      <c r="M704" s="9" t="str">
        <f t="shared" si="295"/>
        <v>Personas</v>
      </c>
      <c r="N704" s="9" t="str">
        <f t="shared" si="296"/>
        <v>Servicio de Impuestos Internos (SII)</v>
      </c>
      <c r="O704" s="20" t="str">
        <f>+"Número de trabajadores dependientes por sexo, en el rubro B-Explotación minera y canteras, según año comercial en la "&amp;I704&amp;", "&amp;Agencia[[#This Row],[temporalidad]]</f>
        <v>Número de trabajadores dependientes por sexo, en el rubro B-Explotación minera y canteras, según año comercial en la Región de O'Higgins, Periodo 2005-2019</v>
      </c>
      <c r="P704" s="112" t="s">
        <v>5795</v>
      </c>
      <c r="Q704" s="11" t="str">
        <f t="shared" si="298"/>
        <v>Gráfico</v>
      </c>
      <c r="R704" s="148" t="str">
        <f>Agencia[[#This Row],[territorio]]&amp;",personas,trabajadores,género,sexo,mujeres,hombres,proporción,explotación,canteras,mineras,sii,"&amp;Agencia[[#This Row],[coleccion]]&amp;","&amp;Agencia[[#This Row],[sector]]&amp;","&amp;Agencia[[#This Row],[tema]]&amp;","&amp;Agencia[[#This Row],[contenido]]</f>
        <v>Región de O'Higgins,personas,trabajadores,género,sexo,mujeres,hombres,proporción,explotación,canteras,mineras,sii,Agencia Información,Economía,Trabajadores por sexo,Empresas</v>
      </c>
      <c r="S704" s="37" t="str">
        <f>HYPERLINK("https://analytics.zoho.com/open-view/2395394000008438205?ZOHO_CRITERIA=%22Rubros_Todo%22.%22Id_Regi%C3%B3n%22%3D"&amp;Agencia[[#This Row],[Filtro URL]])</f>
        <v>https://analytics.zoho.com/open-view/2395394000008438205?ZOHO_CRITERIA=%22Rubros_Todo%22.%22Id_Regi%C3%B3n%22%3D6</v>
      </c>
      <c r="T704" s="108" t="str">
        <f>"100-R-"&amp;Agencia[[#This Row],[Filtro URL]]</f>
        <v>100-R-6</v>
      </c>
      <c r="U704" s="46" t="str">
        <f t="shared" si="299"/>
        <v>#1774B9</v>
      </c>
      <c r="V704" s="93" t="str">
        <f>+Agencia[[#This Row],[idcoleccion]]&amp;"-"&amp;Agencia[[#This Row],[id]]</f>
        <v>990-0693</v>
      </c>
      <c r="W704" s="93">
        <f>+VLOOKUP(Agencia[[#This Row],[Filtro URL]],Estructura!$X$4:$Y$500,2,0)</f>
        <v>99200006</v>
      </c>
      <c r="X704" s="93" t="str">
        <f>+VLOOKUP(Agencia[[#This Row],[tema]],Estructura!$A$4:$C$500,3,0)</f>
        <v>T-1009</v>
      </c>
      <c r="Y704" s="93" t="str">
        <f>+VLOOKUP(Agencia[[#This Row],[contenido]],Estructura!$E$4:$G$500,3,0)</f>
        <v>C-993</v>
      </c>
      <c r="Z704" s="93" t="str">
        <f>+VLOOKUP(Agencia[[#This Row],[Filtro Integrado]],Estructura!$I$4:$K$500,3,0)</f>
        <v>FI-993</v>
      </c>
      <c r="AA704" s="93" t="str">
        <f>+VLOOKUP(Agencia[[#This Row],[Muestra]],Estructura!$M$4:$O$500,3,0)</f>
        <v>M-1065</v>
      </c>
    </row>
    <row r="705" spans="1:27" ht="61.2" x14ac:dyDescent="0.3">
      <c r="A705" s="21" t="s">
        <v>1209</v>
      </c>
      <c r="B705" s="23">
        <f t="shared" si="284"/>
        <v>990</v>
      </c>
      <c r="C705" s="24" t="str">
        <f t="shared" si="285"/>
        <v>Agencia Información</v>
      </c>
      <c r="D705" s="72" t="str">
        <f t="shared" si="292"/>
        <v>Economía</v>
      </c>
      <c r="E705" s="19">
        <v>7</v>
      </c>
      <c r="F705" s="18" t="s">
        <v>1462</v>
      </c>
      <c r="G705" s="18" t="s">
        <v>1470</v>
      </c>
      <c r="H705" s="33" t="s">
        <v>16</v>
      </c>
      <c r="I705" s="34" t="s">
        <v>374</v>
      </c>
      <c r="J705" s="9" t="str">
        <f t="shared" si="297"/>
        <v>Ninguno</v>
      </c>
      <c r="K705" s="9" t="str">
        <f t="shared" si="293"/>
        <v>Trabajadores dependientes informados</v>
      </c>
      <c r="L705" s="9" t="str">
        <f t="shared" si="294"/>
        <v>Periodo 2005-2019</v>
      </c>
      <c r="M705" s="9" t="str">
        <f t="shared" si="295"/>
        <v>Personas</v>
      </c>
      <c r="N705" s="9" t="str">
        <f t="shared" si="296"/>
        <v>Servicio de Impuestos Internos (SII)</v>
      </c>
      <c r="O705" s="20" t="str">
        <f>+"Número de trabajadores dependientes por sexo, en el rubro B-Explotación minera y canteras, según año comercial en la "&amp;I705&amp;", "&amp;Agencia[[#This Row],[temporalidad]]</f>
        <v>Número de trabajadores dependientes por sexo, en el rubro B-Explotación minera y canteras, según año comercial en la Región de Maule, Periodo 2005-2019</v>
      </c>
      <c r="P705" s="112" t="s">
        <v>5754</v>
      </c>
      <c r="Q705" s="11" t="str">
        <f t="shared" si="298"/>
        <v>Gráfico</v>
      </c>
      <c r="R705" s="148" t="str">
        <f>Agencia[[#This Row],[territorio]]&amp;",personas,trabajadores,género,sexo,mujeres,hombres,proporción,explotación,canteras,mineras,sii,"&amp;Agencia[[#This Row],[coleccion]]&amp;","&amp;Agencia[[#This Row],[sector]]&amp;","&amp;Agencia[[#This Row],[tema]]&amp;","&amp;Agencia[[#This Row],[contenido]]</f>
        <v>Región de Maule,personas,trabajadores,género,sexo,mujeres,hombres,proporción,explotación,canteras,mineras,sii,Agencia Información,Economía,Trabajadores por sexo,Empresas</v>
      </c>
      <c r="S705" s="37" t="str">
        <f>HYPERLINK("https://analytics.zoho.com/open-view/2395394000008438205?ZOHO_CRITERIA=%22Rubros_Todo%22.%22Id_Regi%C3%B3n%22%3D"&amp;Agencia[[#This Row],[Filtro URL]])</f>
        <v>https://analytics.zoho.com/open-view/2395394000008438205?ZOHO_CRITERIA=%22Rubros_Todo%22.%22Id_Regi%C3%B3n%22%3D7</v>
      </c>
      <c r="T705" s="108" t="str">
        <f>"100-R-"&amp;Agencia[[#This Row],[Filtro URL]]</f>
        <v>100-R-7</v>
      </c>
      <c r="U705" s="46" t="str">
        <f t="shared" si="299"/>
        <v>#1774B9</v>
      </c>
      <c r="V705" s="93" t="str">
        <f>+Agencia[[#This Row],[idcoleccion]]&amp;"-"&amp;Agencia[[#This Row],[id]]</f>
        <v>990-0694</v>
      </c>
      <c r="W705" s="93">
        <f>+VLOOKUP(Agencia[[#This Row],[Filtro URL]],Estructura!$X$4:$Y$500,2,0)</f>
        <v>99200007</v>
      </c>
      <c r="X705" s="93" t="str">
        <f>+VLOOKUP(Agencia[[#This Row],[tema]],Estructura!$A$4:$C$500,3,0)</f>
        <v>T-1009</v>
      </c>
      <c r="Y705" s="93" t="str">
        <f>+VLOOKUP(Agencia[[#This Row],[contenido]],Estructura!$E$4:$G$500,3,0)</f>
        <v>C-993</v>
      </c>
      <c r="Z705" s="93" t="str">
        <f>+VLOOKUP(Agencia[[#This Row],[Filtro Integrado]],Estructura!$I$4:$K$500,3,0)</f>
        <v>FI-993</v>
      </c>
      <c r="AA705" s="93" t="str">
        <f>+VLOOKUP(Agencia[[#This Row],[Muestra]],Estructura!$M$4:$O$500,3,0)</f>
        <v>M-1065</v>
      </c>
    </row>
    <row r="706" spans="1:27" ht="61.2" x14ac:dyDescent="0.3">
      <c r="A706" s="21" t="s">
        <v>1210</v>
      </c>
      <c r="B706" s="23">
        <f t="shared" si="284"/>
        <v>990</v>
      </c>
      <c r="C706" s="24" t="str">
        <f t="shared" si="285"/>
        <v>Agencia Información</v>
      </c>
      <c r="D706" s="72" t="str">
        <f t="shared" si="292"/>
        <v>Economía</v>
      </c>
      <c r="E706" s="19">
        <v>8</v>
      </c>
      <c r="F706" s="18" t="s">
        <v>1462</v>
      </c>
      <c r="G706" s="18" t="s">
        <v>1470</v>
      </c>
      <c r="H706" s="33" t="s">
        <v>16</v>
      </c>
      <c r="I706" s="34" t="s">
        <v>375</v>
      </c>
      <c r="J706" s="9" t="str">
        <f t="shared" si="297"/>
        <v>Ninguno</v>
      </c>
      <c r="K706" s="9" t="str">
        <f t="shared" si="293"/>
        <v>Trabajadores dependientes informados</v>
      </c>
      <c r="L706" s="9" t="str">
        <f t="shared" si="294"/>
        <v>Periodo 2005-2019</v>
      </c>
      <c r="M706" s="9" t="str">
        <f t="shared" si="295"/>
        <v>Personas</v>
      </c>
      <c r="N706" s="9" t="str">
        <f t="shared" si="296"/>
        <v>Servicio de Impuestos Internos (SII)</v>
      </c>
      <c r="O706" s="20" t="str">
        <f>+"Número de trabajadores dependientes por sexo, en el rubro B-Explotación minera y canteras, según año comercial en la "&amp;I706&amp;", "&amp;Agencia[[#This Row],[temporalidad]]</f>
        <v>Número de trabajadores dependientes por sexo, en el rubro B-Explotación minera y canteras, según año comercial en la Región del Biobío, Periodo 2005-2019</v>
      </c>
      <c r="P706" s="112" t="s">
        <v>5755</v>
      </c>
      <c r="Q706" s="11" t="str">
        <f t="shared" si="298"/>
        <v>Gráfico</v>
      </c>
      <c r="R706" s="148" t="str">
        <f>Agencia[[#This Row],[territorio]]&amp;",personas,trabajadores,género,sexo,mujeres,hombres,proporción,explotación,canteras,mineras,sii,"&amp;Agencia[[#This Row],[coleccion]]&amp;","&amp;Agencia[[#This Row],[sector]]&amp;","&amp;Agencia[[#This Row],[tema]]&amp;","&amp;Agencia[[#This Row],[contenido]]</f>
        <v>Región del Biobío,personas,trabajadores,género,sexo,mujeres,hombres,proporción,explotación,canteras,mineras,sii,Agencia Información,Economía,Trabajadores por sexo,Empresas</v>
      </c>
      <c r="S706" s="37" t="str">
        <f>HYPERLINK("https://analytics.zoho.com/open-view/2395394000008438205?ZOHO_CRITERIA=%22Rubros_Todo%22.%22Id_Regi%C3%B3n%22%3D"&amp;Agencia[[#This Row],[Filtro URL]])</f>
        <v>https://analytics.zoho.com/open-view/2395394000008438205?ZOHO_CRITERIA=%22Rubros_Todo%22.%22Id_Regi%C3%B3n%22%3D8</v>
      </c>
      <c r="T706" s="108" t="str">
        <f>"100-R-"&amp;Agencia[[#This Row],[Filtro URL]]</f>
        <v>100-R-8</v>
      </c>
      <c r="U706" s="46" t="str">
        <f t="shared" si="299"/>
        <v>#1774B9</v>
      </c>
      <c r="V706" s="93" t="str">
        <f>+Agencia[[#This Row],[idcoleccion]]&amp;"-"&amp;Agencia[[#This Row],[id]]</f>
        <v>990-0695</v>
      </c>
      <c r="W706" s="93">
        <f>+VLOOKUP(Agencia[[#This Row],[Filtro URL]],Estructura!$X$4:$Y$500,2,0)</f>
        <v>99200008</v>
      </c>
      <c r="X706" s="93" t="str">
        <f>+VLOOKUP(Agencia[[#This Row],[tema]],Estructura!$A$4:$C$500,3,0)</f>
        <v>T-1009</v>
      </c>
      <c r="Y706" s="93" t="str">
        <f>+VLOOKUP(Agencia[[#This Row],[contenido]],Estructura!$E$4:$G$500,3,0)</f>
        <v>C-993</v>
      </c>
      <c r="Z706" s="93" t="str">
        <f>+VLOOKUP(Agencia[[#This Row],[Filtro Integrado]],Estructura!$I$4:$K$500,3,0)</f>
        <v>FI-993</v>
      </c>
      <c r="AA706" s="93" t="str">
        <f>+VLOOKUP(Agencia[[#This Row],[Muestra]],Estructura!$M$4:$O$500,3,0)</f>
        <v>M-1065</v>
      </c>
    </row>
    <row r="707" spans="1:27" ht="61.2" x14ac:dyDescent="0.3">
      <c r="A707" s="21" t="s">
        <v>1211</v>
      </c>
      <c r="B707" s="23">
        <f t="shared" si="284"/>
        <v>990</v>
      </c>
      <c r="C707" s="24" t="str">
        <f t="shared" si="285"/>
        <v>Agencia Información</v>
      </c>
      <c r="D707" s="72" t="str">
        <f t="shared" si="292"/>
        <v>Economía</v>
      </c>
      <c r="E707" s="19">
        <v>9</v>
      </c>
      <c r="F707" s="18" t="s">
        <v>1462</v>
      </c>
      <c r="G707" s="18" t="s">
        <v>1470</v>
      </c>
      <c r="H707" s="33" t="s">
        <v>16</v>
      </c>
      <c r="I707" s="34" t="s">
        <v>376</v>
      </c>
      <c r="J707" s="9" t="str">
        <f t="shared" si="297"/>
        <v>Ninguno</v>
      </c>
      <c r="K707" s="9" t="str">
        <f t="shared" si="293"/>
        <v>Trabajadores dependientes informados</v>
      </c>
      <c r="L707" s="9" t="str">
        <f t="shared" si="294"/>
        <v>Periodo 2005-2019</v>
      </c>
      <c r="M707" s="9" t="str">
        <f t="shared" si="295"/>
        <v>Personas</v>
      </c>
      <c r="N707" s="9" t="str">
        <f t="shared" si="296"/>
        <v>Servicio de Impuestos Internos (SII)</v>
      </c>
      <c r="O707" s="20" t="str">
        <f>+"Número de trabajadores dependientes por sexo, en el rubro B-Explotación minera y canteras, según año comercial en la "&amp;I707&amp;", "&amp;Agencia[[#This Row],[temporalidad]]</f>
        <v>Número de trabajadores dependientes por sexo, en el rubro B-Explotación minera y canteras, según año comercial en la Región de La Araucanía, Periodo 2005-2019</v>
      </c>
      <c r="P707" s="112" t="s">
        <v>5796</v>
      </c>
      <c r="Q707" s="11" t="str">
        <f t="shared" si="298"/>
        <v>Gráfico</v>
      </c>
      <c r="R707" s="148" t="str">
        <f>Agencia[[#This Row],[territorio]]&amp;",personas,trabajadores,género,sexo,mujeres,hombres,proporción,explotación,canteras,mineras,sii,"&amp;Agencia[[#This Row],[coleccion]]&amp;","&amp;Agencia[[#This Row],[sector]]&amp;","&amp;Agencia[[#This Row],[tema]]&amp;","&amp;Agencia[[#This Row],[contenido]]</f>
        <v>Región de La Araucanía,personas,trabajadores,género,sexo,mujeres,hombres,proporción,explotación,canteras,mineras,sii,Agencia Información,Economía,Trabajadores por sexo,Empresas</v>
      </c>
      <c r="S707" s="37" t="str">
        <f>HYPERLINK("https://analytics.zoho.com/open-view/2395394000008438205?ZOHO_CRITERIA=%22Rubros_Todo%22.%22Id_Regi%C3%B3n%22%3D"&amp;Agencia[[#This Row],[Filtro URL]])</f>
        <v>https://analytics.zoho.com/open-view/2395394000008438205?ZOHO_CRITERIA=%22Rubros_Todo%22.%22Id_Regi%C3%B3n%22%3D9</v>
      </c>
      <c r="T707" s="108" t="str">
        <f>"100-R-"&amp;Agencia[[#This Row],[Filtro URL]]</f>
        <v>100-R-9</v>
      </c>
      <c r="U707" s="46" t="str">
        <f t="shared" si="299"/>
        <v>#1774B9</v>
      </c>
      <c r="V707" s="93" t="str">
        <f>+Agencia[[#This Row],[idcoleccion]]&amp;"-"&amp;Agencia[[#This Row],[id]]</f>
        <v>990-0696</v>
      </c>
      <c r="W707" s="93">
        <f>+VLOOKUP(Agencia[[#This Row],[Filtro URL]],Estructura!$X$4:$Y$500,2,0)</f>
        <v>99200009</v>
      </c>
      <c r="X707" s="93" t="str">
        <f>+VLOOKUP(Agencia[[#This Row],[tema]],Estructura!$A$4:$C$500,3,0)</f>
        <v>T-1009</v>
      </c>
      <c r="Y707" s="93" t="str">
        <f>+VLOOKUP(Agencia[[#This Row],[contenido]],Estructura!$E$4:$G$500,3,0)</f>
        <v>C-993</v>
      </c>
      <c r="Z707" s="93" t="str">
        <f>+VLOOKUP(Agencia[[#This Row],[Filtro Integrado]],Estructura!$I$4:$K$500,3,0)</f>
        <v>FI-993</v>
      </c>
      <c r="AA707" s="93" t="str">
        <f>+VLOOKUP(Agencia[[#This Row],[Muestra]],Estructura!$M$4:$O$500,3,0)</f>
        <v>M-1065</v>
      </c>
    </row>
    <row r="708" spans="1:27" ht="61.2" x14ac:dyDescent="0.3">
      <c r="A708" s="21" t="s">
        <v>1212</v>
      </c>
      <c r="B708" s="23">
        <f t="shared" si="284"/>
        <v>990</v>
      </c>
      <c r="C708" s="24" t="str">
        <f t="shared" si="285"/>
        <v>Agencia Información</v>
      </c>
      <c r="D708" s="72" t="str">
        <f t="shared" si="292"/>
        <v>Economía</v>
      </c>
      <c r="E708" s="19">
        <v>10</v>
      </c>
      <c r="F708" s="18" t="s">
        <v>1462</v>
      </c>
      <c r="G708" s="18" t="s">
        <v>1470</v>
      </c>
      <c r="H708" s="33" t="s">
        <v>16</v>
      </c>
      <c r="I708" s="34" t="s">
        <v>377</v>
      </c>
      <c r="J708" s="9" t="str">
        <f t="shared" si="297"/>
        <v>Ninguno</v>
      </c>
      <c r="K708" s="9" t="str">
        <f t="shared" si="293"/>
        <v>Trabajadores dependientes informados</v>
      </c>
      <c r="L708" s="9" t="str">
        <f t="shared" si="294"/>
        <v>Periodo 2005-2019</v>
      </c>
      <c r="M708" s="9" t="str">
        <f t="shared" si="295"/>
        <v>Personas</v>
      </c>
      <c r="N708" s="9" t="str">
        <f t="shared" si="296"/>
        <v>Servicio de Impuestos Internos (SII)</v>
      </c>
      <c r="O708" s="20" t="str">
        <f>+"Número de trabajadores dependientes por sexo, en el rubro B-Explotación minera y canteras, según año comercial en la "&amp;I708&amp;", "&amp;Agencia[[#This Row],[temporalidad]]</f>
        <v>Número de trabajadores dependientes por sexo, en el rubro B-Explotación minera y canteras, según año comercial en la Región de Los Lagos, Periodo 2005-2019</v>
      </c>
      <c r="P708" s="112" t="s">
        <v>5756</v>
      </c>
      <c r="Q708" s="11" t="str">
        <f t="shared" si="298"/>
        <v>Gráfico</v>
      </c>
      <c r="R708" s="148" t="str">
        <f>Agencia[[#This Row],[territorio]]&amp;",personas,trabajadores,género,sexo,mujeres,hombres,proporción,explotación,canteras,mineras,sii,"&amp;Agencia[[#This Row],[coleccion]]&amp;","&amp;Agencia[[#This Row],[sector]]&amp;","&amp;Agencia[[#This Row],[tema]]&amp;","&amp;Agencia[[#This Row],[contenido]]</f>
        <v>Región de Los Lagos,personas,trabajadores,género,sexo,mujeres,hombres,proporción,explotación,canteras,mineras,sii,Agencia Información,Economía,Trabajadores por sexo,Empresas</v>
      </c>
      <c r="S708" s="37" t="str">
        <f>HYPERLINK("https://analytics.zoho.com/open-view/2395394000008438205?ZOHO_CRITERIA=%22Rubros_Todo%22.%22Id_Regi%C3%B3n%22%3D"&amp;Agencia[[#This Row],[Filtro URL]])</f>
        <v>https://analytics.zoho.com/open-view/2395394000008438205?ZOHO_CRITERIA=%22Rubros_Todo%22.%22Id_Regi%C3%B3n%22%3D10</v>
      </c>
      <c r="T708" s="108" t="str">
        <f>"100-R-"&amp;Agencia[[#This Row],[Filtro URL]]</f>
        <v>100-R-10</v>
      </c>
      <c r="U708" s="46" t="str">
        <f t="shared" si="299"/>
        <v>#1774B9</v>
      </c>
      <c r="V708" s="93" t="str">
        <f>+Agencia[[#This Row],[idcoleccion]]&amp;"-"&amp;Agencia[[#This Row],[id]]</f>
        <v>990-0697</v>
      </c>
      <c r="W708" s="93">
        <f>+VLOOKUP(Agencia[[#This Row],[Filtro URL]],Estructura!$X$4:$Y$500,2,0)</f>
        <v>99200010</v>
      </c>
      <c r="X708" s="93" t="str">
        <f>+VLOOKUP(Agencia[[#This Row],[tema]],Estructura!$A$4:$C$500,3,0)</f>
        <v>T-1009</v>
      </c>
      <c r="Y708" s="93" t="str">
        <f>+VLOOKUP(Agencia[[#This Row],[contenido]],Estructura!$E$4:$G$500,3,0)</f>
        <v>C-993</v>
      </c>
      <c r="Z708" s="93" t="str">
        <f>+VLOOKUP(Agencia[[#This Row],[Filtro Integrado]],Estructura!$I$4:$K$500,3,0)</f>
        <v>FI-993</v>
      </c>
      <c r="AA708" s="93" t="str">
        <f>+VLOOKUP(Agencia[[#This Row],[Muestra]],Estructura!$M$4:$O$500,3,0)</f>
        <v>M-1065</v>
      </c>
    </row>
    <row r="709" spans="1:27" ht="61.2" x14ac:dyDescent="0.3">
      <c r="A709" s="21" t="s">
        <v>1213</v>
      </c>
      <c r="B709" s="23">
        <f t="shared" si="284"/>
        <v>990</v>
      </c>
      <c r="C709" s="24" t="str">
        <f t="shared" si="285"/>
        <v>Agencia Información</v>
      </c>
      <c r="D709" s="72" t="str">
        <f t="shared" si="292"/>
        <v>Economía</v>
      </c>
      <c r="E709" s="19">
        <v>11</v>
      </c>
      <c r="F709" s="18" t="s">
        <v>1462</v>
      </c>
      <c r="G709" s="18" t="s">
        <v>1470</v>
      </c>
      <c r="H709" s="33" t="s">
        <v>16</v>
      </c>
      <c r="I709" s="34" t="s">
        <v>378</v>
      </c>
      <c r="J709" s="9" t="str">
        <f t="shared" si="297"/>
        <v>Ninguno</v>
      </c>
      <c r="K709" s="9" t="str">
        <f t="shared" si="293"/>
        <v>Trabajadores dependientes informados</v>
      </c>
      <c r="L709" s="9" t="str">
        <f t="shared" si="294"/>
        <v>Periodo 2005-2019</v>
      </c>
      <c r="M709" s="9" t="str">
        <f t="shared" si="295"/>
        <v>Personas</v>
      </c>
      <c r="N709" s="9" t="str">
        <f t="shared" si="296"/>
        <v>Servicio de Impuestos Internos (SII)</v>
      </c>
      <c r="O709" s="20" t="str">
        <f>+"Número de trabajadores dependientes por sexo, en el rubro B-Explotación minera y canteras, según año comercial en la "&amp;I709&amp;", "&amp;Agencia[[#This Row],[temporalidad]]</f>
        <v>Número de trabajadores dependientes por sexo, en el rubro B-Explotación minera y canteras, según año comercial en la Región de Aysén, Periodo 2005-2019</v>
      </c>
      <c r="P709" s="112" t="s">
        <v>5757</v>
      </c>
      <c r="Q709" s="11" t="str">
        <f t="shared" si="298"/>
        <v>Gráfico</v>
      </c>
      <c r="R709" s="148" t="str">
        <f>Agencia[[#This Row],[territorio]]&amp;",personas,trabajadores,género,sexo,mujeres,hombres,proporción,explotación,canteras,mineras,sii,"&amp;Agencia[[#This Row],[coleccion]]&amp;","&amp;Agencia[[#This Row],[sector]]&amp;","&amp;Agencia[[#This Row],[tema]]&amp;","&amp;Agencia[[#This Row],[contenido]]</f>
        <v>Región de Aysén,personas,trabajadores,género,sexo,mujeres,hombres,proporción,explotación,canteras,mineras,sii,Agencia Información,Economía,Trabajadores por sexo,Empresas</v>
      </c>
      <c r="S709" s="37" t="str">
        <f>HYPERLINK("https://analytics.zoho.com/open-view/2395394000008438205?ZOHO_CRITERIA=%22Rubros_Todo%22.%22Id_Regi%C3%B3n%22%3D"&amp;Agencia[[#This Row],[Filtro URL]])</f>
        <v>https://analytics.zoho.com/open-view/2395394000008438205?ZOHO_CRITERIA=%22Rubros_Todo%22.%22Id_Regi%C3%B3n%22%3D11</v>
      </c>
      <c r="T709" s="108" t="str">
        <f>"100-R-"&amp;Agencia[[#This Row],[Filtro URL]]</f>
        <v>100-R-11</v>
      </c>
      <c r="U709" s="46" t="str">
        <f t="shared" si="299"/>
        <v>#1774B9</v>
      </c>
      <c r="V709" s="93" t="str">
        <f>+Agencia[[#This Row],[idcoleccion]]&amp;"-"&amp;Agencia[[#This Row],[id]]</f>
        <v>990-0698</v>
      </c>
      <c r="W709" s="93">
        <f>+VLOOKUP(Agencia[[#This Row],[Filtro URL]],Estructura!$X$4:$Y$500,2,0)</f>
        <v>99200011</v>
      </c>
      <c r="X709" s="93" t="str">
        <f>+VLOOKUP(Agencia[[#This Row],[tema]],Estructura!$A$4:$C$500,3,0)</f>
        <v>T-1009</v>
      </c>
      <c r="Y709" s="93" t="str">
        <f>+VLOOKUP(Agencia[[#This Row],[contenido]],Estructura!$E$4:$G$500,3,0)</f>
        <v>C-993</v>
      </c>
      <c r="Z709" s="93" t="str">
        <f>+VLOOKUP(Agencia[[#This Row],[Filtro Integrado]],Estructura!$I$4:$K$500,3,0)</f>
        <v>FI-993</v>
      </c>
      <c r="AA709" s="93" t="str">
        <f>+VLOOKUP(Agencia[[#This Row],[Muestra]],Estructura!$M$4:$O$500,3,0)</f>
        <v>M-1065</v>
      </c>
    </row>
    <row r="710" spans="1:27" ht="61.2" x14ac:dyDescent="0.3">
      <c r="A710" s="21" t="s">
        <v>1214</v>
      </c>
      <c r="B710" s="23">
        <f t="shared" si="284"/>
        <v>990</v>
      </c>
      <c r="C710" s="24" t="str">
        <f t="shared" si="285"/>
        <v>Agencia Información</v>
      </c>
      <c r="D710" s="72" t="str">
        <f t="shared" si="292"/>
        <v>Economía</v>
      </c>
      <c r="E710" s="19">
        <v>12</v>
      </c>
      <c r="F710" s="18" t="s">
        <v>1462</v>
      </c>
      <c r="G710" s="18" t="s">
        <v>1470</v>
      </c>
      <c r="H710" s="33" t="s">
        <v>16</v>
      </c>
      <c r="I710" s="34" t="s">
        <v>379</v>
      </c>
      <c r="J710" s="9" t="str">
        <f t="shared" si="297"/>
        <v>Ninguno</v>
      </c>
      <c r="K710" s="9" t="str">
        <f t="shared" si="293"/>
        <v>Trabajadores dependientes informados</v>
      </c>
      <c r="L710" s="9" t="str">
        <f t="shared" si="294"/>
        <v>Periodo 2005-2019</v>
      </c>
      <c r="M710" s="9" t="str">
        <f t="shared" si="295"/>
        <v>Personas</v>
      </c>
      <c r="N710" s="9" t="str">
        <f t="shared" si="296"/>
        <v>Servicio de Impuestos Internos (SII)</v>
      </c>
      <c r="O710" s="20" t="str">
        <f>+"Número de trabajadores dependientes por sexo, en el rubro B-Explotación minera y canteras, según año comercial en la "&amp;I710&amp;", "&amp;Agencia[[#This Row],[temporalidad]]</f>
        <v>Número de trabajadores dependientes por sexo, en el rubro B-Explotación minera y canteras, según año comercial en la Región de Magallanes, Periodo 2005-2019</v>
      </c>
      <c r="P710" s="112" t="s">
        <v>1490</v>
      </c>
      <c r="Q710" s="11" t="str">
        <f t="shared" si="298"/>
        <v>Gráfico</v>
      </c>
      <c r="R710" s="148" t="str">
        <f>Agencia[[#This Row],[territorio]]&amp;",personas,trabajadores,género,sexo,mujeres,hombres,proporción,explotación,canteras,mineras,sii,"&amp;Agencia[[#This Row],[coleccion]]&amp;","&amp;Agencia[[#This Row],[sector]]&amp;","&amp;Agencia[[#This Row],[tema]]&amp;","&amp;Agencia[[#This Row],[contenido]]</f>
        <v>Región de Magallanes,personas,trabajadores,género,sexo,mujeres,hombres,proporción,explotación,canteras,mineras,sii,Agencia Información,Economía,Trabajadores por sexo,Empresas</v>
      </c>
      <c r="S710" s="37" t="str">
        <f>HYPERLINK("https://analytics.zoho.com/open-view/2395394000008438205?ZOHO_CRITERIA=%22Rubros_Todo%22.%22Id_Regi%C3%B3n%22%3D"&amp;Agencia[[#This Row],[Filtro URL]])</f>
        <v>https://analytics.zoho.com/open-view/2395394000008438205?ZOHO_CRITERIA=%22Rubros_Todo%22.%22Id_Regi%C3%B3n%22%3D12</v>
      </c>
      <c r="T710" s="108" t="str">
        <f>"100-R-"&amp;Agencia[[#This Row],[Filtro URL]]</f>
        <v>100-R-12</v>
      </c>
      <c r="U710" s="46" t="str">
        <f t="shared" si="299"/>
        <v>#1774B9</v>
      </c>
      <c r="V710" s="93" t="str">
        <f>+Agencia[[#This Row],[idcoleccion]]&amp;"-"&amp;Agencia[[#This Row],[id]]</f>
        <v>990-0699</v>
      </c>
      <c r="W710" s="93">
        <f>+VLOOKUP(Agencia[[#This Row],[Filtro URL]],Estructura!$X$4:$Y$500,2,0)</f>
        <v>99200012</v>
      </c>
      <c r="X710" s="93" t="str">
        <f>+VLOOKUP(Agencia[[#This Row],[tema]],Estructura!$A$4:$C$500,3,0)</f>
        <v>T-1009</v>
      </c>
      <c r="Y710" s="93" t="str">
        <f>+VLOOKUP(Agencia[[#This Row],[contenido]],Estructura!$E$4:$G$500,3,0)</f>
        <v>C-993</v>
      </c>
      <c r="Z710" s="93" t="str">
        <f>+VLOOKUP(Agencia[[#This Row],[Filtro Integrado]],Estructura!$I$4:$K$500,3,0)</f>
        <v>FI-993</v>
      </c>
      <c r="AA710" s="93" t="str">
        <f>+VLOOKUP(Agencia[[#This Row],[Muestra]],Estructura!$M$4:$O$500,3,0)</f>
        <v>M-1065</v>
      </c>
    </row>
    <row r="711" spans="1:27" ht="61.2" x14ac:dyDescent="0.3">
      <c r="A711" s="21" t="s">
        <v>1215</v>
      </c>
      <c r="B711" s="23">
        <f t="shared" si="284"/>
        <v>990</v>
      </c>
      <c r="C711" s="24" t="str">
        <f t="shared" si="285"/>
        <v>Agencia Información</v>
      </c>
      <c r="D711" s="72" t="str">
        <f t="shared" si="292"/>
        <v>Economía</v>
      </c>
      <c r="E711" s="19">
        <v>13</v>
      </c>
      <c r="F711" s="18" t="s">
        <v>1462</v>
      </c>
      <c r="G711" s="18" t="s">
        <v>1470</v>
      </c>
      <c r="H711" s="33" t="s">
        <v>16</v>
      </c>
      <c r="I711" s="34" t="s">
        <v>380</v>
      </c>
      <c r="J711" s="9" t="str">
        <f t="shared" si="297"/>
        <v>Ninguno</v>
      </c>
      <c r="K711" s="9" t="str">
        <f t="shared" si="293"/>
        <v>Trabajadores dependientes informados</v>
      </c>
      <c r="L711" s="9" t="str">
        <f t="shared" si="294"/>
        <v>Periodo 2005-2019</v>
      </c>
      <c r="M711" s="9" t="str">
        <f t="shared" si="295"/>
        <v>Personas</v>
      </c>
      <c r="N711" s="9" t="str">
        <f t="shared" si="296"/>
        <v>Servicio de Impuestos Internos (SII)</v>
      </c>
      <c r="O711" s="20" t="str">
        <f>+"Número de trabajadores dependientes por sexo, en el rubro B-Explotación minera y canteras, según año comercial en la "&amp;I711&amp;", "&amp;Agencia[[#This Row],[temporalidad]]</f>
        <v>Número de trabajadores dependientes por sexo, en el rubro B-Explotación minera y canteras, según año comercial en la Región Metropolitana, Periodo 2005-2019</v>
      </c>
      <c r="P711" s="112" t="s">
        <v>5758</v>
      </c>
      <c r="Q711" s="11" t="str">
        <f t="shared" si="298"/>
        <v>Gráfico</v>
      </c>
      <c r="R711" s="148" t="str">
        <f>Agencia[[#This Row],[territorio]]&amp;",personas,trabajadores,género,sexo,mujeres,hombres,proporción,explotación,canteras,mineras,sii,"&amp;Agencia[[#This Row],[coleccion]]&amp;","&amp;Agencia[[#This Row],[sector]]&amp;","&amp;Agencia[[#This Row],[tema]]&amp;","&amp;Agencia[[#This Row],[contenido]]</f>
        <v>Región Metropolitana,personas,trabajadores,género,sexo,mujeres,hombres,proporción,explotación,canteras,mineras,sii,Agencia Información,Economía,Trabajadores por sexo,Empresas</v>
      </c>
      <c r="S711" s="37" t="str">
        <f>HYPERLINK("https://analytics.zoho.com/open-view/2395394000008438205?ZOHO_CRITERIA=%22Rubros_Todo%22.%22Id_Regi%C3%B3n%22%3D"&amp;Agencia[[#This Row],[Filtro URL]])</f>
        <v>https://analytics.zoho.com/open-view/2395394000008438205?ZOHO_CRITERIA=%22Rubros_Todo%22.%22Id_Regi%C3%B3n%22%3D13</v>
      </c>
      <c r="T711" s="108" t="str">
        <f>"200-R-"&amp;Agencia[[#This Row],[Filtro URL]]</f>
        <v>200-R-13</v>
      </c>
      <c r="U711" s="46" t="str">
        <f t="shared" si="299"/>
        <v>#1774B9</v>
      </c>
      <c r="V711" s="93" t="str">
        <f>+Agencia[[#This Row],[idcoleccion]]&amp;"-"&amp;Agencia[[#This Row],[id]]</f>
        <v>990-0700</v>
      </c>
      <c r="W711" s="93">
        <f>+VLOOKUP(Agencia[[#This Row],[Filtro URL]],Estructura!$X$4:$Y$500,2,0)</f>
        <v>99200013</v>
      </c>
      <c r="X711" s="93" t="str">
        <f>+VLOOKUP(Agencia[[#This Row],[tema]],Estructura!$A$4:$C$500,3,0)</f>
        <v>T-1009</v>
      </c>
      <c r="Y711" s="93" t="str">
        <f>+VLOOKUP(Agencia[[#This Row],[contenido]],Estructura!$E$4:$G$500,3,0)</f>
        <v>C-993</v>
      </c>
      <c r="Z711" s="93" t="str">
        <f>+VLOOKUP(Agencia[[#This Row],[Filtro Integrado]],Estructura!$I$4:$K$500,3,0)</f>
        <v>FI-993</v>
      </c>
      <c r="AA711" s="93" t="str">
        <f>+VLOOKUP(Agencia[[#This Row],[Muestra]],Estructura!$M$4:$O$500,3,0)</f>
        <v>M-1065</v>
      </c>
    </row>
    <row r="712" spans="1:27" ht="61.2" x14ac:dyDescent="0.3">
      <c r="A712" s="21" t="s">
        <v>1216</v>
      </c>
      <c r="B712" s="23">
        <f t="shared" si="284"/>
        <v>990</v>
      </c>
      <c r="C712" s="24" t="str">
        <f t="shared" si="285"/>
        <v>Agencia Información</v>
      </c>
      <c r="D712" s="72" t="str">
        <f t="shared" si="292"/>
        <v>Economía</v>
      </c>
      <c r="E712" s="19">
        <v>14</v>
      </c>
      <c r="F712" s="18" t="s">
        <v>1462</v>
      </c>
      <c r="G712" s="18" t="s">
        <v>1470</v>
      </c>
      <c r="H712" s="33" t="s">
        <v>16</v>
      </c>
      <c r="I712" s="34" t="s">
        <v>381</v>
      </c>
      <c r="J712" s="9" t="str">
        <f t="shared" si="297"/>
        <v>Ninguno</v>
      </c>
      <c r="K712" s="9" t="str">
        <f t="shared" si="293"/>
        <v>Trabajadores dependientes informados</v>
      </c>
      <c r="L712" s="9" t="str">
        <f t="shared" si="294"/>
        <v>Periodo 2005-2019</v>
      </c>
      <c r="M712" s="9" t="str">
        <f t="shared" si="295"/>
        <v>Personas</v>
      </c>
      <c r="N712" s="9" t="str">
        <f t="shared" si="296"/>
        <v>Servicio de Impuestos Internos (SII)</v>
      </c>
      <c r="O712" s="20" t="str">
        <f>+"Número de trabajadores dependientes por sexo, en el rubro B-Explotación minera y canteras, según año comercial en la "&amp;I712&amp;", "&amp;Agencia[[#This Row],[temporalidad]]</f>
        <v>Número de trabajadores dependientes por sexo, en el rubro B-Explotación minera y canteras, según año comercial en la Región de Los Ríos, Periodo 2005-2019</v>
      </c>
      <c r="P712" s="112" t="s">
        <v>5759</v>
      </c>
      <c r="Q712" s="11" t="str">
        <f t="shared" si="298"/>
        <v>Gráfico</v>
      </c>
      <c r="R712" s="148" t="str">
        <f>Agencia[[#This Row],[territorio]]&amp;",personas,trabajadores,género,sexo,mujeres,hombres,proporción,explotación,canteras,mineras,sii,"&amp;Agencia[[#This Row],[coleccion]]&amp;","&amp;Agencia[[#This Row],[sector]]&amp;","&amp;Agencia[[#This Row],[tema]]&amp;","&amp;Agencia[[#This Row],[contenido]]</f>
        <v>Región de Los Ríos,personas,trabajadores,género,sexo,mujeres,hombres,proporción,explotación,canteras,mineras,sii,Agencia Información,Economía,Trabajadores por sexo,Empresas</v>
      </c>
      <c r="S712" s="37" t="str">
        <f>HYPERLINK("https://analytics.zoho.com/open-view/2395394000008438205?ZOHO_CRITERIA=%22Rubros_Todo%22.%22Id_Regi%C3%B3n%22%3D"&amp;Agencia[[#This Row],[Filtro URL]])</f>
        <v>https://analytics.zoho.com/open-view/2395394000008438205?ZOHO_CRITERIA=%22Rubros_Todo%22.%22Id_Regi%C3%B3n%22%3D14</v>
      </c>
      <c r="T712" s="108" t="str">
        <f>"100-R-"&amp;Agencia[[#This Row],[Filtro URL]]</f>
        <v>100-R-14</v>
      </c>
      <c r="U712" s="46" t="str">
        <f t="shared" si="299"/>
        <v>#1774B9</v>
      </c>
      <c r="V712" s="93" t="str">
        <f>+Agencia[[#This Row],[idcoleccion]]&amp;"-"&amp;Agencia[[#This Row],[id]]</f>
        <v>990-0701</v>
      </c>
      <c r="W712" s="93">
        <f>+VLOOKUP(Agencia[[#This Row],[Filtro URL]],Estructura!$X$4:$Y$500,2,0)</f>
        <v>99200014</v>
      </c>
      <c r="X712" s="93" t="str">
        <f>+VLOOKUP(Agencia[[#This Row],[tema]],Estructura!$A$4:$C$500,3,0)</f>
        <v>T-1009</v>
      </c>
      <c r="Y712" s="93" t="str">
        <f>+VLOOKUP(Agencia[[#This Row],[contenido]],Estructura!$E$4:$G$500,3,0)</f>
        <v>C-993</v>
      </c>
      <c r="Z712" s="93" t="str">
        <f>+VLOOKUP(Agencia[[#This Row],[Filtro Integrado]],Estructura!$I$4:$K$500,3,0)</f>
        <v>FI-993</v>
      </c>
      <c r="AA712" s="93" t="str">
        <f>+VLOOKUP(Agencia[[#This Row],[Muestra]],Estructura!$M$4:$O$500,3,0)</f>
        <v>M-1065</v>
      </c>
    </row>
    <row r="713" spans="1:27" ht="61.2" x14ac:dyDescent="0.3">
      <c r="A713" s="21" t="s">
        <v>1217</v>
      </c>
      <c r="B713" s="23">
        <f t="shared" si="284"/>
        <v>990</v>
      </c>
      <c r="C713" s="24" t="str">
        <f t="shared" si="285"/>
        <v>Agencia Información</v>
      </c>
      <c r="D713" s="72" t="str">
        <f t="shared" si="292"/>
        <v>Economía</v>
      </c>
      <c r="E713" s="19">
        <v>15</v>
      </c>
      <c r="F713" s="18" t="s">
        <v>1462</v>
      </c>
      <c r="G713" s="18" t="s">
        <v>1470</v>
      </c>
      <c r="H713" s="33" t="s">
        <v>16</v>
      </c>
      <c r="I713" s="34" t="s">
        <v>382</v>
      </c>
      <c r="J713" s="9" t="str">
        <f t="shared" si="297"/>
        <v>Ninguno</v>
      </c>
      <c r="K713" s="9" t="str">
        <f t="shared" si="293"/>
        <v>Trabajadores dependientes informados</v>
      </c>
      <c r="L713" s="9" t="str">
        <f t="shared" si="294"/>
        <v>Periodo 2005-2019</v>
      </c>
      <c r="M713" s="9" t="str">
        <f t="shared" si="295"/>
        <v>Personas</v>
      </c>
      <c r="N713" s="9" t="str">
        <f t="shared" si="296"/>
        <v>Servicio de Impuestos Internos (SII)</v>
      </c>
      <c r="O713" s="20" t="str">
        <f>+"Número de trabajadores dependientes por sexo, en el rubro B-Explotación minera y canteras, según año comercial en la "&amp;I713&amp;", "&amp;Agencia[[#This Row],[temporalidad]]</f>
        <v>Número de trabajadores dependientes por sexo, en el rubro B-Explotación minera y canteras, según año comercial en la Región de Arica y Parinacota, Periodo 2005-2019</v>
      </c>
      <c r="P713" s="112" t="s">
        <v>5760</v>
      </c>
      <c r="Q713" s="11" t="str">
        <f t="shared" si="298"/>
        <v>Gráfico</v>
      </c>
      <c r="R713" s="148" t="str">
        <f>Agencia[[#This Row],[territorio]]&amp;",personas,trabajadores,género,sexo,mujeres,hombres,proporción,explotación,canteras,mineras,sii,"&amp;Agencia[[#This Row],[coleccion]]&amp;","&amp;Agencia[[#This Row],[sector]]&amp;","&amp;Agencia[[#This Row],[tema]]&amp;","&amp;Agencia[[#This Row],[contenido]]</f>
        <v>Región de Arica y Parinacota,personas,trabajadores,género,sexo,mujeres,hombres,proporción,explotación,canteras,mineras,sii,Agencia Información,Economía,Trabajadores por sexo,Empresas</v>
      </c>
      <c r="S713" s="37" t="str">
        <f>HYPERLINK("https://analytics.zoho.com/open-view/2395394000008438205?ZOHO_CRITERIA=%22Rubros_Todo%22.%22Id_Regi%C3%B3n%22%3D"&amp;Agencia[[#This Row],[Filtro URL]])</f>
        <v>https://analytics.zoho.com/open-view/2395394000008438205?ZOHO_CRITERIA=%22Rubros_Todo%22.%22Id_Regi%C3%B3n%22%3D15</v>
      </c>
      <c r="T713" s="108" t="str">
        <f>"100-R-"&amp;Agencia[[#This Row],[Filtro URL]]</f>
        <v>100-R-15</v>
      </c>
      <c r="U713" s="46" t="str">
        <f t="shared" si="299"/>
        <v>#1774B9</v>
      </c>
      <c r="V713" s="93" t="str">
        <f>+Agencia[[#This Row],[idcoleccion]]&amp;"-"&amp;Agencia[[#This Row],[id]]</f>
        <v>990-0702</v>
      </c>
      <c r="W713" s="93">
        <f>+VLOOKUP(Agencia[[#This Row],[Filtro URL]],Estructura!$X$4:$Y$500,2,0)</f>
        <v>99200015</v>
      </c>
      <c r="X713" s="93" t="str">
        <f>+VLOOKUP(Agencia[[#This Row],[tema]],Estructura!$A$4:$C$500,3,0)</f>
        <v>T-1009</v>
      </c>
      <c r="Y713" s="93" t="str">
        <f>+VLOOKUP(Agencia[[#This Row],[contenido]],Estructura!$E$4:$G$500,3,0)</f>
        <v>C-993</v>
      </c>
      <c r="Z713" s="93" t="str">
        <f>+VLOOKUP(Agencia[[#This Row],[Filtro Integrado]],Estructura!$I$4:$K$500,3,0)</f>
        <v>FI-993</v>
      </c>
      <c r="AA713" s="93" t="str">
        <f>+VLOOKUP(Agencia[[#This Row],[Muestra]],Estructura!$M$4:$O$500,3,0)</f>
        <v>M-1065</v>
      </c>
    </row>
    <row r="714" spans="1:27" ht="61.2" x14ac:dyDescent="0.3">
      <c r="A714" s="21" t="s">
        <v>1218</v>
      </c>
      <c r="B714" s="23">
        <f t="shared" si="284"/>
        <v>990</v>
      </c>
      <c r="C714" s="24" t="str">
        <f t="shared" si="285"/>
        <v>Agencia Información</v>
      </c>
      <c r="D714" s="72" t="str">
        <f t="shared" si="292"/>
        <v>Economía</v>
      </c>
      <c r="E714" s="19">
        <v>16</v>
      </c>
      <c r="F714" s="18" t="s">
        <v>1462</v>
      </c>
      <c r="G714" s="18" t="s">
        <v>1470</v>
      </c>
      <c r="H714" s="33" t="s">
        <v>16</v>
      </c>
      <c r="I714" s="34" t="s">
        <v>383</v>
      </c>
      <c r="J714" s="9" t="str">
        <f t="shared" si="297"/>
        <v>Ninguno</v>
      </c>
      <c r="K714" s="9" t="str">
        <f t="shared" si="293"/>
        <v>Trabajadores dependientes informados</v>
      </c>
      <c r="L714" s="9" t="str">
        <f t="shared" si="294"/>
        <v>Periodo 2005-2019</v>
      </c>
      <c r="M714" s="9" t="str">
        <f t="shared" si="295"/>
        <v>Personas</v>
      </c>
      <c r="N714" s="9" t="str">
        <f t="shared" si="296"/>
        <v>Servicio de Impuestos Internos (SII)</v>
      </c>
      <c r="O714" s="20" t="str">
        <f>+"Número de trabajadores dependientes por sexo, en el rubro B-Explotación minera y canteras, según año comercial en la "&amp;I714&amp;", "&amp;Agencia[[#This Row],[temporalidad]]</f>
        <v>Número de trabajadores dependientes por sexo, en el rubro B-Explotación minera y canteras, según año comercial en la Región de Ñuble, Periodo 2005-2019</v>
      </c>
      <c r="P714" s="112" t="s">
        <v>5761</v>
      </c>
      <c r="Q714" s="11" t="str">
        <f t="shared" si="298"/>
        <v>Gráfico</v>
      </c>
      <c r="R714" s="148" t="str">
        <f>Agencia[[#This Row],[territorio]]&amp;",personas,trabajadores,género,sexo,mujeres,hombres,proporción,explotación,canteras,mineras,sii,"&amp;Agencia[[#This Row],[coleccion]]&amp;","&amp;Agencia[[#This Row],[sector]]&amp;","&amp;Agencia[[#This Row],[tema]]&amp;","&amp;Agencia[[#This Row],[contenido]]</f>
        <v>Región de Ñuble,personas,trabajadores,género,sexo,mujeres,hombres,proporción,explotación,canteras,mineras,sii,Agencia Información,Economía,Trabajadores por sexo,Empresas</v>
      </c>
      <c r="S714" s="37" t="str">
        <f>HYPERLINK("https://analytics.zoho.com/open-view/2395394000008438205?ZOHO_CRITERIA=%22Rubros_Todo%22.%22Id_Regi%C3%B3n%22%3D"&amp;Agencia[[#This Row],[Filtro URL]])</f>
        <v>https://analytics.zoho.com/open-view/2395394000008438205?ZOHO_CRITERIA=%22Rubros_Todo%22.%22Id_Regi%C3%B3n%22%3D16</v>
      </c>
      <c r="T714" s="108" t="str">
        <f>"100-R-"&amp;Agencia[[#This Row],[Filtro URL]]</f>
        <v>100-R-16</v>
      </c>
      <c r="U714" s="46" t="str">
        <f t="shared" si="299"/>
        <v>#1774B9</v>
      </c>
      <c r="V714" s="93" t="str">
        <f>+Agencia[[#This Row],[idcoleccion]]&amp;"-"&amp;Agencia[[#This Row],[id]]</f>
        <v>990-0703</v>
      </c>
      <c r="W714" s="93">
        <f>+VLOOKUP(Agencia[[#This Row],[Filtro URL]],Estructura!$X$4:$Y$500,2,0)</f>
        <v>99200016</v>
      </c>
      <c r="X714" s="93" t="str">
        <f>+VLOOKUP(Agencia[[#This Row],[tema]],Estructura!$A$4:$C$500,3,0)</f>
        <v>T-1009</v>
      </c>
      <c r="Y714" s="93" t="str">
        <f>+VLOOKUP(Agencia[[#This Row],[contenido]],Estructura!$E$4:$G$500,3,0)</f>
        <v>C-993</v>
      </c>
      <c r="Z714" s="93" t="str">
        <f>+VLOOKUP(Agencia[[#This Row],[Filtro Integrado]],Estructura!$I$4:$K$500,3,0)</f>
        <v>FI-993</v>
      </c>
      <c r="AA714" s="93" t="str">
        <f>+VLOOKUP(Agencia[[#This Row],[Muestra]],Estructura!$M$4:$O$500,3,0)</f>
        <v>M-1065</v>
      </c>
    </row>
    <row r="715" spans="1:27" ht="57.9" customHeight="1" x14ac:dyDescent="0.3">
      <c r="A715" s="21" t="s">
        <v>1219</v>
      </c>
      <c r="B715" s="23">
        <f t="shared" si="284"/>
        <v>990</v>
      </c>
      <c r="C715" s="24" t="str">
        <f t="shared" si="285"/>
        <v>Agencia Información</v>
      </c>
      <c r="D715" s="72" t="s">
        <v>823</v>
      </c>
      <c r="E715" s="14">
        <v>0</v>
      </c>
      <c r="F715" s="18" t="s">
        <v>824</v>
      </c>
      <c r="G715" s="18" t="s">
        <v>1470</v>
      </c>
      <c r="H715" s="31" t="s">
        <v>20</v>
      </c>
      <c r="I715" s="32" t="s">
        <v>15</v>
      </c>
      <c r="J715" s="9" t="s">
        <v>403</v>
      </c>
      <c r="K715" s="9" t="s">
        <v>825</v>
      </c>
      <c r="L715" s="9" t="s">
        <v>1391</v>
      </c>
      <c r="M715" s="9" t="s">
        <v>822</v>
      </c>
      <c r="N715" s="9" t="s">
        <v>826</v>
      </c>
      <c r="O715" s="20" t="str">
        <f>+"Evolución de las Ventas Anuales en UF para el rubro L-Actividades Inmobiliarias en "&amp;I715&amp;", "&amp;Agencia[[#This Row],[temporalidad]]</f>
        <v>Evolución de las Ventas Anuales en UF para el rubro L-Actividades Inmobiliarias en Chile, Periodo 2005-2019</v>
      </c>
      <c r="P715" s="112" t="s">
        <v>1492</v>
      </c>
      <c r="Q715" s="11" t="s">
        <v>784</v>
      </c>
      <c r="R715" s="20" t="str">
        <f>Agencia[[#This Row],[territorio]]&amp;",evolución,anual,ventas,uf,unidad de fomento,rubro,actividades,inmobiliarias,nivel,nacional,"&amp;Agencia[[#This Row],[coleccion]]&amp;","&amp;Agencia[[#This Row],[sector]]&amp;","&amp;Agencia[[#This Row],[tema]]&amp;","&amp;Agencia[[#This Row],[contenido]]</f>
        <v>Chile,evolución,anual,ventas,uf,unidad de fomento,rubro,actividades,inmobiliarias,nivel,nacional,Agencia Información,Economía,Ventas,Empresas</v>
      </c>
      <c r="S715" s="83" t="s">
        <v>1493</v>
      </c>
      <c r="T715" s="108">
        <v>0</v>
      </c>
      <c r="U715" s="46" t="str">
        <f t="shared" si="299"/>
        <v>#1774B9</v>
      </c>
      <c r="V715" s="93" t="str">
        <f>+Agencia[[#This Row],[idcoleccion]]&amp;"-"&amp;Agencia[[#This Row],[id]]</f>
        <v>990-0704</v>
      </c>
      <c r="W715" s="93">
        <f>+VLOOKUP(Agencia[[#This Row],[Filtro URL]],Estructura!$X$4:$Y$500,2,0)</f>
        <v>99100000</v>
      </c>
      <c r="X715" s="93" t="str">
        <f>+VLOOKUP(Agencia[[#This Row],[tema]],Estructura!$A$4:$C$500,3,0)</f>
        <v>T-1027</v>
      </c>
      <c r="Y715" s="93" t="str">
        <f>+VLOOKUP(Agencia[[#This Row],[contenido]],Estructura!$E$4:$G$500,3,0)</f>
        <v>C-993</v>
      </c>
      <c r="Z715" s="93" t="str">
        <f>+VLOOKUP(Agencia[[#This Row],[Filtro Integrado]],Estructura!$I$4:$K$500,3,0)</f>
        <v>FI-993</v>
      </c>
      <c r="AA715" s="93" t="str">
        <f>+VLOOKUP(Agencia[[#This Row],[Muestra]],Estructura!$M$4:$O$500,3,0)</f>
        <v>M-1047</v>
      </c>
    </row>
    <row r="716" spans="1:27" ht="48" x14ac:dyDescent="0.3">
      <c r="A716" s="21" t="s">
        <v>1220</v>
      </c>
      <c r="B716" s="23">
        <f t="shared" si="284"/>
        <v>990</v>
      </c>
      <c r="C716" s="24" t="str">
        <f t="shared" si="285"/>
        <v>Agencia Información</v>
      </c>
      <c r="D716" s="72" t="s">
        <v>459</v>
      </c>
      <c r="E716" s="14">
        <v>0</v>
      </c>
      <c r="F716" s="18" t="s">
        <v>946</v>
      </c>
      <c r="G716" s="18" t="s">
        <v>1897</v>
      </c>
      <c r="H716" s="31" t="s">
        <v>20</v>
      </c>
      <c r="I716" s="32" t="s">
        <v>15</v>
      </c>
      <c r="J716" s="9" t="s">
        <v>2992</v>
      </c>
      <c r="K716" s="9" t="s">
        <v>9303</v>
      </c>
      <c r="L716" s="9" t="s">
        <v>945</v>
      </c>
      <c r="M716" s="9" t="s">
        <v>582</v>
      </c>
      <c r="N716" s="9" t="s">
        <v>848</v>
      </c>
      <c r="O716" s="20" t="str">
        <f>+"Evolución Casos de Cáncer de Cuello Uterino por Comuna en "&amp;I716&amp;", "&amp;Agencia[[#This Row],[temporalidad]]</f>
        <v>Evolución Casos de Cáncer de Cuello Uterino por Comuna en Chile, Periodo 2011-2018</v>
      </c>
      <c r="P716" s="112" t="s">
        <v>5861</v>
      </c>
      <c r="Q716" s="11" t="s">
        <v>784</v>
      </c>
      <c r="R716" s="20" t="str">
        <f>Agencia[[#This Row],[territorio]]&amp;",cáncer,cérvico,uterino,cuello,útero,casos,tumor,servicio,nacional,programa,"&amp;Agencia[[#This Row],[coleccion]]&amp;","&amp;Agencia[[#This Row],[sector]]&amp;","&amp;Agencia[[#This Row],[tema]]&amp;","&amp;Agencia[[#This Row],[contenido]]</f>
        <v>Chile,cáncer,cérvico,uterino,cuello,útero,casos,tumor,servicio,nacional,programa,Agencia Información,Mujeres,Programa de Cáncer de Cuello Uterino,Mujer Salud</v>
      </c>
      <c r="S716" s="37" t="s">
        <v>1494</v>
      </c>
      <c r="T716" s="108" t="s">
        <v>957</v>
      </c>
      <c r="U716" s="46" t="str">
        <f t="shared" si="299"/>
        <v>#1774B9</v>
      </c>
      <c r="V716" s="93" t="str">
        <f>+Agencia[[#This Row],[idcoleccion]]&amp;"-"&amp;Agencia[[#This Row],[id]]</f>
        <v>990-0705</v>
      </c>
      <c r="W716" s="93">
        <f>+VLOOKUP(Agencia[[#This Row],[Filtro URL]],Estructura!$X$4:$Y$500,2,0)</f>
        <v>99100000</v>
      </c>
      <c r="X716" s="93" t="str">
        <f>+VLOOKUP(Agencia[[#This Row],[tema]],Estructura!$A$4:$C$500,3,0)</f>
        <v>T-998</v>
      </c>
      <c r="Y716" s="93" t="str">
        <f>+VLOOKUP(Agencia[[#This Row],[contenido]],Estructura!$E$4:$G$500,3,0)</f>
        <v>C-1009</v>
      </c>
      <c r="Z716" s="93" t="str">
        <f>+VLOOKUP(Agencia[[#This Row],[Filtro Integrado]],Estructura!$I$4:$K$500,3,0)</f>
        <v>FI-1005</v>
      </c>
      <c r="AA716" s="93" t="str">
        <f>+VLOOKUP(Agencia[[#This Row],[Muestra]],Estructura!$M$4:$O$500,3,0)</f>
        <v>M-1052</v>
      </c>
    </row>
    <row r="717" spans="1:27" ht="57.6" x14ac:dyDescent="0.3">
      <c r="A717" s="21" t="s">
        <v>1221</v>
      </c>
      <c r="B717" s="23">
        <f t="shared" si="284"/>
        <v>990</v>
      </c>
      <c r="C717" s="24" t="str">
        <f t="shared" si="285"/>
        <v>Agencia Información</v>
      </c>
      <c r="D717" s="72" t="str">
        <f t="shared" ref="D717:D732" si="300">+D716</f>
        <v>Mujeres</v>
      </c>
      <c r="E717" s="19">
        <v>1</v>
      </c>
      <c r="F717" s="18" t="s">
        <v>946</v>
      </c>
      <c r="G717" s="18" t="s">
        <v>1897</v>
      </c>
      <c r="H717" s="33" t="s">
        <v>16</v>
      </c>
      <c r="I717" s="34" t="s">
        <v>368</v>
      </c>
      <c r="J717" s="9" t="s">
        <v>1495</v>
      </c>
      <c r="K717" s="9" t="str">
        <f t="shared" ref="K717:K732" si="301">+K716</f>
        <v>Casos de cáncer</v>
      </c>
      <c r="L717" s="9" t="str">
        <f t="shared" ref="L717:L732" si="302">+L716</f>
        <v>Periodo 2011-2018</v>
      </c>
      <c r="M717" s="9" t="str">
        <f t="shared" ref="M717:M732" si="303">+M716</f>
        <v>Número de Casos</v>
      </c>
      <c r="N717" s="9" t="str">
        <f t="shared" ref="N717:N732" si="304">+N716</f>
        <v>Departamento de Estadísticas e Información de la Salud (DEIS) - Ministerio de Salud</v>
      </c>
      <c r="O717" s="20" t="str">
        <f>+"Evolución Casos de Cáncer de Cuello Uterino por Comuna en la "&amp;I717&amp;", "&amp;Agencia[[#This Row],[temporalidad]]</f>
        <v>Evolución Casos de Cáncer de Cuello Uterino por Comuna en la Región de Tarapacá, Periodo 2011-2018</v>
      </c>
      <c r="P717" s="112" t="s">
        <v>5862</v>
      </c>
      <c r="Q717" s="11" t="str">
        <f t="shared" si="298"/>
        <v>Gráfico de Evolución</v>
      </c>
      <c r="R717" s="148" t="str">
        <f>Agencia[[#This Row],[territorio]]&amp;",cáncer,cérvico,uterino,cuello,útero,casos,tumor,servicio,nacional,programa,"&amp;Agencia[[#This Row],[coleccion]]&amp;","&amp;Agencia[[#This Row],[sector]]&amp;","&amp;Agencia[[#This Row],[tema]]&amp;","&amp;Agencia[[#This Row],[contenido]]</f>
        <v>Región de Tarapacá,cáncer,cérvico,uterino,cuello,útero,casos,tumor,servicio,nacional,programa,Agencia Información,Mujeres,Programa de Cáncer de Cuello Uterino,Mujer Salud</v>
      </c>
      <c r="S717" s="37" t="str">
        <f>HYPERLINK("https://analytics.zoho.com/open-view/2395394000008389657?ZOHO_CRITERIA=%22Localiza%20CL%22.%22Codreg%22%20%3D%20"&amp;Agencia[[#This Row],[Filtro URL]])</f>
        <v>https://analytics.zoho.com/open-view/2395394000008389657?ZOHO_CRITERIA=%22Localiza%20CL%22.%22Codreg%22%20%3D%201</v>
      </c>
      <c r="T717" s="108" t="str">
        <f>"100-C-"&amp;Agencia[[#This Row],[Filtro URL]]</f>
        <v>100-C-1</v>
      </c>
      <c r="U717" s="46" t="str">
        <f t="shared" si="299"/>
        <v>#1774B9</v>
      </c>
      <c r="V717" s="93" t="str">
        <f>+Agencia[[#This Row],[idcoleccion]]&amp;"-"&amp;Agencia[[#This Row],[id]]</f>
        <v>990-0706</v>
      </c>
      <c r="W717" s="93">
        <f>+VLOOKUP(Agencia[[#This Row],[Filtro URL]],Estructura!$X$4:$Y$500,2,0)</f>
        <v>99200001</v>
      </c>
      <c r="X717" s="93" t="str">
        <f>+VLOOKUP(Agencia[[#This Row],[tema]],Estructura!$A$4:$C$500,3,0)</f>
        <v>T-998</v>
      </c>
      <c r="Y717" s="93" t="str">
        <f>+VLOOKUP(Agencia[[#This Row],[contenido]],Estructura!$E$4:$G$500,3,0)</f>
        <v>C-1009</v>
      </c>
      <c r="Z717" s="93" t="str">
        <f>+VLOOKUP(Agencia[[#This Row],[Filtro Integrado]],Estructura!$I$4:$K$500,3,0)</f>
        <v>FI-999</v>
      </c>
      <c r="AA717" s="93" t="str">
        <f>+VLOOKUP(Agencia[[#This Row],[Muestra]],Estructura!$M$4:$O$500,3,0)</f>
        <v>M-1052</v>
      </c>
    </row>
    <row r="718" spans="1:27" ht="57.6" x14ac:dyDescent="0.3">
      <c r="A718" s="21" t="s">
        <v>1222</v>
      </c>
      <c r="B718" s="23">
        <f t="shared" si="284"/>
        <v>990</v>
      </c>
      <c r="C718" s="24" t="str">
        <f t="shared" si="285"/>
        <v>Agencia Información</v>
      </c>
      <c r="D718" s="72" t="str">
        <f t="shared" si="300"/>
        <v>Mujeres</v>
      </c>
      <c r="E718" s="19">
        <v>2</v>
      </c>
      <c r="F718" s="18" t="s">
        <v>946</v>
      </c>
      <c r="G718" s="18" t="s">
        <v>1897</v>
      </c>
      <c r="H718" s="33" t="s">
        <v>16</v>
      </c>
      <c r="I718" s="34" t="s">
        <v>369</v>
      </c>
      <c r="J718" s="9" t="str">
        <f t="shared" ref="J718:J732" si="305">+J717</f>
        <v>Servicio de Salud</v>
      </c>
      <c r="K718" s="9" t="str">
        <f t="shared" si="301"/>
        <v>Casos de cáncer</v>
      </c>
      <c r="L718" s="9" t="str">
        <f t="shared" si="302"/>
        <v>Periodo 2011-2018</v>
      </c>
      <c r="M718" s="9" t="str">
        <f t="shared" si="303"/>
        <v>Número de Casos</v>
      </c>
      <c r="N718" s="9" t="str">
        <f t="shared" si="304"/>
        <v>Departamento de Estadísticas e Información de la Salud (DEIS) - Ministerio de Salud</v>
      </c>
      <c r="O718" s="20" t="str">
        <f>+"Evolución Casos de Cáncer de Cuello Uterino por Comuna en la "&amp;I718&amp;", "&amp;Agencia[[#This Row],[temporalidad]]</f>
        <v>Evolución Casos de Cáncer de Cuello Uterino por Comuna en la Región de Antofagasta, Periodo 2011-2018</v>
      </c>
      <c r="P718" s="112" t="s">
        <v>5876</v>
      </c>
      <c r="Q718" s="11" t="str">
        <f t="shared" si="298"/>
        <v>Gráfico de Evolución</v>
      </c>
      <c r="R718" s="148" t="str">
        <f>Agencia[[#This Row],[territorio]]&amp;",cáncer,cérvico,uterino,cuello,útero,casos,tumor,servicio,nacional,programa,"&amp;Agencia[[#This Row],[coleccion]]&amp;","&amp;Agencia[[#This Row],[sector]]&amp;","&amp;Agencia[[#This Row],[tema]]&amp;","&amp;Agencia[[#This Row],[contenido]]</f>
        <v>Región de Antofagasta,cáncer,cérvico,uterino,cuello,útero,casos,tumor,servicio,nacional,programa,Agencia Información,Mujeres,Programa de Cáncer de Cuello Uterino,Mujer Salud</v>
      </c>
      <c r="S718" s="37" t="str">
        <f>HYPERLINK("https://analytics.zoho.com/open-view/2395394000008389657?ZOHO_CRITERIA=%22Localiza%20CL%22.%22Codreg%22%20%3D%20"&amp;Agencia[[#This Row],[Filtro URL]])</f>
        <v>https://analytics.zoho.com/open-view/2395394000008389657?ZOHO_CRITERIA=%22Localiza%20CL%22.%22Codreg%22%20%3D%202</v>
      </c>
      <c r="T718" s="108" t="str">
        <f>"100-C-"&amp;Agencia[[#This Row],[Filtro URL]]</f>
        <v>100-C-2</v>
      </c>
      <c r="U718" s="46" t="str">
        <f t="shared" si="299"/>
        <v>#1774B9</v>
      </c>
      <c r="V718" s="93" t="str">
        <f>+Agencia[[#This Row],[idcoleccion]]&amp;"-"&amp;Agencia[[#This Row],[id]]</f>
        <v>990-0707</v>
      </c>
      <c r="W718" s="93">
        <f>+VLOOKUP(Agencia[[#This Row],[Filtro URL]],Estructura!$X$4:$Y$500,2,0)</f>
        <v>99200002</v>
      </c>
      <c r="X718" s="93" t="str">
        <f>+VLOOKUP(Agencia[[#This Row],[tema]],Estructura!$A$4:$C$500,3,0)</f>
        <v>T-998</v>
      </c>
      <c r="Y718" s="93" t="str">
        <f>+VLOOKUP(Agencia[[#This Row],[contenido]],Estructura!$E$4:$G$500,3,0)</f>
        <v>C-1009</v>
      </c>
      <c r="Z718" s="93" t="str">
        <f>+VLOOKUP(Agencia[[#This Row],[Filtro Integrado]],Estructura!$I$4:$K$500,3,0)</f>
        <v>FI-999</v>
      </c>
      <c r="AA718" s="93" t="str">
        <f>+VLOOKUP(Agencia[[#This Row],[Muestra]],Estructura!$M$4:$O$500,3,0)</f>
        <v>M-1052</v>
      </c>
    </row>
    <row r="719" spans="1:27" ht="57.6" x14ac:dyDescent="0.3">
      <c r="A719" s="21" t="s">
        <v>1223</v>
      </c>
      <c r="B719" s="23">
        <f t="shared" si="284"/>
        <v>990</v>
      </c>
      <c r="C719" s="24" t="str">
        <f t="shared" si="285"/>
        <v>Agencia Información</v>
      </c>
      <c r="D719" s="72" t="str">
        <f t="shared" si="300"/>
        <v>Mujeres</v>
      </c>
      <c r="E719" s="19">
        <v>3</v>
      </c>
      <c r="F719" s="18" t="s">
        <v>946</v>
      </c>
      <c r="G719" s="18" t="s">
        <v>1897</v>
      </c>
      <c r="H719" s="33" t="s">
        <v>16</v>
      </c>
      <c r="I719" s="34" t="s">
        <v>370</v>
      </c>
      <c r="J719" s="9" t="str">
        <f t="shared" si="305"/>
        <v>Servicio de Salud</v>
      </c>
      <c r="K719" s="9" t="str">
        <f t="shared" si="301"/>
        <v>Casos de cáncer</v>
      </c>
      <c r="L719" s="9" t="str">
        <f t="shared" si="302"/>
        <v>Periodo 2011-2018</v>
      </c>
      <c r="M719" s="9" t="str">
        <f t="shared" si="303"/>
        <v>Número de Casos</v>
      </c>
      <c r="N719" s="9" t="str">
        <f t="shared" si="304"/>
        <v>Departamento de Estadísticas e Información de la Salud (DEIS) - Ministerio de Salud</v>
      </c>
      <c r="O719" s="20" t="str">
        <f>+"Evolución Casos de Cáncer de Cuello Uterino por Comuna en la "&amp;I719&amp;", "&amp;Agencia[[#This Row],[temporalidad]]</f>
        <v>Evolución Casos de Cáncer de Cuello Uterino por Comuna en la Región de Atacama, Periodo 2011-2018</v>
      </c>
      <c r="P719" s="112" t="s">
        <v>5877</v>
      </c>
      <c r="Q719" s="11" t="str">
        <f t="shared" si="298"/>
        <v>Gráfico de Evolución</v>
      </c>
      <c r="R719" s="148" t="str">
        <f>Agencia[[#This Row],[territorio]]&amp;",cáncer,cérvico,uterino,cuello,útero,casos,tumor,servicio,nacional,programa,"&amp;Agencia[[#This Row],[coleccion]]&amp;","&amp;Agencia[[#This Row],[sector]]&amp;","&amp;Agencia[[#This Row],[tema]]&amp;","&amp;Agencia[[#This Row],[contenido]]</f>
        <v>Región de Atacama,cáncer,cérvico,uterino,cuello,útero,casos,tumor,servicio,nacional,programa,Agencia Información,Mujeres,Programa de Cáncer de Cuello Uterino,Mujer Salud</v>
      </c>
      <c r="S719" s="37" t="str">
        <f>HYPERLINK("https://analytics.zoho.com/open-view/2395394000008389657?ZOHO_CRITERIA=%22Localiza%20CL%22.%22Codreg%22%20%3D%20"&amp;Agencia[[#This Row],[Filtro URL]])</f>
        <v>https://analytics.zoho.com/open-view/2395394000008389657?ZOHO_CRITERIA=%22Localiza%20CL%22.%22Codreg%22%20%3D%203</v>
      </c>
      <c r="T719" s="108" t="str">
        <f>"100-C-"&amp;Agencia[[#This Row],[Filtro URL]]</f>
        <v>100-C-3</v>
      </c>
      <c r="U719" s="46" t="str">
        <f t="shared" si="299"/>
        <v>#1774B9</v>
      </c>
      <c r="V719" s="93" t="str">
        <f>+Agencia[[#This Row],[idcoleccion]]&amp;"-"&amp;Agencia[[#This Row],[id]]</f>
        <v>990-0708</v>
      </c>
      <c r="W719" s="93">
        <f>+VLOOKUP(Agencia[[#This Row],[Filtro URL]],Estructura!$X$4:$Y$500,2,0)</f>
        <v>99200003</v>
      </c>
      <c r="X719" s="93" t="str">
        <f>+VLOOKUP(Agencia[[#This Row],[tema]],Estructura!$A$4:$C$500,3,0)</f>
        <v>T-998</v>
      </c>
      <c r="Y719" s="93" t="str">
        <f>+VLOOKUP(Agencia[[#This Row],[contenido]],Estructura!$E$4:$G$500,3,0)</f>
        <v>C-1009</v>
      </c>
      <c r="Z719" s="93" t="str">
        <f>+VLOOKUP(Agencia[[#This Row],[Filtro Integrado]],Estructura!$I$4:$K$500,3,0)</f>
        <v>FI-999</v>
      </c>
      <c r="AA719" s="93" t="str">
        <f>+VLOOKUP(Agencia[[#This Row],[Muestra]],Estructura!$M$4:$O$500,3,0)</f>
        <v>M-1052</v>
      </c>
    </row>
    <row r="720" spans="1:27" ht="57.6" x14ac:dyDescent="0.3">
      <c r="A720" s="21" t="s">
        <v>1224</v>
      </c>
      <c r="B720" s="23">
        <f t="shared" si="284"/>
        <v>990</v>
      </c>
      <c r="C720" s="24" t="str">
        <f t="shared" si="285"/>
        <v>Agencia Información</v>
      </c>
      <c r="D720" s="72" t="str">
        <f t="shared" si="300"/>
        <v>Mujeres</v>
      </c>
      <c r="E720" s="19">
        <v>4</v>
      </c>
      <c r="F720" s="18" t="s">
        <v>946</v>
      </c>
      <c r="G720" s="18" t="s">
        <v>1897</v>
      </c>
      <c r="H720" s="33" t="s">
        <v>16</v>
      </c>
      <c r="I720" s="34" t="s">
        <v>371</v>
      </c>
      <c r="J720" s="9" t="str">
        <f t="shared" si="305"/>
        <v>Servicio de Salud</v>
      </c>
      <c r="K720" s="9" t="str">
        <f t="shared" si="301"/>
        <v>Casos de cáncer</v>
      </c>
      <c r="L720" s="9" t="str">
        <f t="shared" si="302"/>
        <v>Periodo 2011-2018</v>
      </c>
      <c r="M720" s="9" t="str">
        <f t="shared" si="303"/>
        <v>Número de Casos</v>
      </c>
      <c r="N720" s="9" t="str">
        <f t="shared" si="304"/>
        <v>Departamento de Estadísticas e Información de la Salud (DEIS) - Ministerio de Salud</v>
      </c>
      <c r="O720" s="20" t="str">
        <f>+"Evolución Casos de Cáncer de Cuello Uterino por Comuna en la "&amp;I720&amp;", "&amp;Agencia[[#This Row],[temporalidad]]</f>
        <v>Evolución Casos de Cáncer de Cuello Uterino por Comuna en la Región de Coquimbo, Periodo 2011-2018</v>
      </c>
      <c r="P720" s="112" t="s">
        <v>5863</v>
      </c>
      <c r="Q720" s="11" t="str">
        <f t="shared" si="298"/>
        <v>Gráfico de Evolución</v>
      </c>
      <c r="R720" s="148" t="str">
        <f>Agencia[[#This Row],[territorio]]&amp;",cáncer,cérvico,uterino,cuello,útero,casos,tumor,servicio,nacional,programa,"&amp;Agencia[[#This Row],[coleccion]]&amp;","&amp;Agencia[[#This Row],[sector]]&amp;","&amp;Agencia[[#This Row],[tema]]&amp;","&amp;Agencia[[#This Row],[contenido]]</f>
        <v>Región de Coquimbo,cáncer,cérvico,uterino,cuello,útero,casos,tumor,servicio,nacional,programa,Agencia Información,Mujeres,Programa de Cáncer de Cuello Uterino,Mujer Salud</v>
      </c>
      <c r="S720" s="37" t="str">
        <f>HYPERLINK("https://analytics.zoho.com/open-view/2395394000008389657?ZOHO_CRITERIA=%22Localiza%20CL%22.%22Codreg%22%20%3D%20"&amp;Agencia[[#This Row],[Filtro URL]])</f>
        <v>https://analytics.zoho.com/open-view/2395394000008389657?ZOHO_CRITERIA=%22Localiza%20CL%22.%22Codreg%22%20%3D%204</v>
      </c>
      <c r="T720" s="108" t="str">
        <f>"100-C-"&amp;Agencia[[#This Row],[Filtro URL]]</f>
        <v>100-C-4</v>
      </c>
      <c r="U720" s="46" t="str">
        <f t="shared" si="299"/>
        <v>#1774B9</v>
      </c>
      <c r="V720" s="93" t="str">
        <f>+Agencia[[#This Row],[idcoleccion]]&amp;"-"&amp;Agencia[[#This Row],[id]]</f>
        <v>990-0709</v>
      </c>
      <c r="W720" s="93">
        <f>+VLOOKUP(Agencia[[#This Row],[Filtro URL]],Estructura!$X$4:$Y$500,2,0)</f>
        <v>99200004</v>
      </c>
      <c r="X720" s="93" t="str">
        <f>+VLOOKUP(Agencia[[#This Row],[tema]],Estructura!$A$4:$C$500,3,0)</f>
        <v>T-998</v>
      </c>
      <c r="Y720" s="93" t="str">
        <f>+VLOOKUP(Agencia[[#This Row],[contenido]],Estructura!$E$4:$G$500,3,0)</f>
        <v>C-1009</v>
      </c>
      <c r="Z720" s="93" t="str">
        <f>+VLOOKUP(Agencia[[#This Row],[Filtro Integrado]],Estructura!$I$4:$K$500,3,0)</f>
        <v>FI-999</v>
      </c>
      <c r="AA720" s="93" t="str">
        <f>+VLOOKUP(Agencia[[#This Row],[Muestra]],Estructura!$M$4:$O$500,3,0)</f>
        <v>M-1052</v>
      </c>
    </row>
    <row r="721" spans="1:27" ht="57.6" x14ac:dyDescent="0.3">
      <c r="A721" s="21" t="s">
        <v>1225</v>
      </c>
      <c r="B721" s="23">
        <f t="shared" si="284"/>
        <v>990</v>
      </c>
      <c r="C721" s="24" t="str">
        <f t="shared" si="285"/>
        <v>Agencia Información</v>
      </c>
      <c r="D721" s="72" t="str">
        <f t="shared" si="300"/>
        <v>Mujeres</v>
      </c>
      <c r="E721" s="19">
        <v>5</v>
      </c>
      <c r="F721" s="18" t="s">
        <v>946</v>
      </c>
      <c r="G721" s="18" t="s">
        <v>1897</v>
      </c>
      <c r="H721" s="33" t="s">
        <v>16</v>
      </c>
      <c r="I721" s="34" t="s">
        <v>372</v>
      </c>
      <c r="J721" s="9" t="str">
        <f t="shared" si="305"/>
        <v>Servicio de Salud</v>
      </c>
      <c r="K721" s="9" t="str">
        <f t="shared" si="301"/>
        <v>Casos de cáncer</v>
      </c>
      <c r="L721" s="9" t="str">
        <f t="shared" si="302"/>
        <v>Periodo 2011-2018</v>
      </c>
      <c r="M721" s="9" t="str">
        <f t="shared" si="303"/>
        <v>Número de Casos</v>
      </c>
      <c r="N721" s="9" t="str">
        <f t="shared" si="304"/>
        <v>Departamento de Estadísticas e Información de la Salud (DEIS) - Ministerio de Salud</v>
      </c>
      <c r="O721" s="20" t="str">
        <f>+"Evolución Casos de Cáncer de Cuello Uterino por Comuna en la "&amp;I721&amp;", "&amp;Agencia[[#This Row],[temporalidad]]</f>
        <v>Evolución Casos de Cáncer de Cuello Uterino por Comuna en la Región de Valparaíso, Periodo 2011-2018</v>
      </c>
      <c r="P721" s="112" t="s">
        <v>5878</v>
      </c>
      <c r="Q721" s="11" t="str">
        <f t="shared" si="298"/>
        <v>Gráfico de Evolución</v>
      </c>
      <c r="R721" s="148" t="str">
        <f>Agencia[[#This Row],[territorio]]&amp;",cáncer,cérvico,uterino,cuello,útero,casos,tumor,servicio,nacional,programa,"&amp;Agencia[[#This Row],[coleccion]]&amp;","&amp;Agencia[[#This Row],[sector]]&amp;","&amp;Agencia[[#This Row],[tema]]&amp;","&amp;Agencia[[#This Row],[contenido]]</f>
        <v>Región de Valparaíso,cáncer,cérvico,uterino,cuello,útero,casos,tumor,servicio,nacional,programa,Agencia Información,Mujeres,Programa de Cáncer de Cuello Uterino,Mujer Salud</v>
      </c>
      <c r="S721" s="37" t="str">
        <f>HYPERLINK("https://analytics.zoho.com/open-view/2395394000008389657?ZOHO_CRITERIA=%22Localiza%20CL%22.%22Codreg%22%20%3D%20"&amp;Agencia[[#This Row],[Filtro URL]])</f>
        <v>https://analytics.zoho.com/open-view/2395394000008389657?ZOHO_CRITERIA=%22Localiza%20CL%22.%22Codreg%22%20%3D%205</v>
      </c>
      <c r="T721" s="108" t="str">
        <f>"100-C-"&amp;Agencia[[#This Row],[Filtro URL]]</f>
        <v>100-C-5</v>
      </c>
      <c r="U721" s="46" t="str">
        <f t="shared" si="299"/>
        <v>#1774B9</v>
      </c>
      <c r="V721" s="93" t="str">
        <f>+Agencia[[#This Row],[idcoleccion]]&amp;"-"&amp;Agencia[[#This Row],[id]]</f>
        <v>990-0710</v>
      </c>
      <c r="W721" s="93">
        <f>+VLOOKUP(Agencia[[#This Row],[Filtro URL]],Estructura!$X$4:$Y$500,2,0)</f>
        <v>99200005</v>
      </c>
      <c r="X721" s="93" t="str">
        <f>+VLOOKUP(Agencia[[#This Row],[tema]],Estructura!$A$4:$C$500,3,0)</f>
        <v>T-998</v>
      </c>
      <c r="Y721" s="93" t="str">
        <f>+VLOOKUP(Agencia[[#This Row],[contenido]],Estructura!$E$4:$G$500,3,0)</f>
        <v>C-1009</v>
      </c>
      <c r="Z721" s="93" t="str">
        <f>+VLOOKUP(Agencia[[#This Row],[Filtro Integrado]],Estructura!$I$4:$K$500,3,0)</f>
        <v>FI-999</v>
      </c>
      <c r="AA721" s="93" t="str">
        <f>+VLOOKUP(Agencia[[#This Row],[Muestra]],Estructura!$M$4:$O$500,3,0)</f>
        <v>M-1052</v>
      </c>
    </row>
    <row r="722" spans="1:27" ht="57.6" x14ac:dyDescent="0.3">
      <c r="A722" s="21" t="s">
        <v>1226</v>
      </c>
      <c r="B722" s="23">
        <f t="shared" si="284"/>
        <v>990</v>
      </c>
      <c r="C722" s="24" t="str">
        <f t="shared" si="285"/>
        <v>Agencia Información</v>
      </c>
      <c r="D722" s="72" t="str">
        <f t="shared" si="300"/>
        <v>Mujeres</v>
      </c>
      <c r="E722" s="19">
        <v>6</v>
      </c>
      <c r="F722" s="18" t="s">
        <v>946</v>
      </c>
      <c r="G722" s="18" t="s">
        <v>1897</v>
      </c>
      <c r="H722" s="33" t="s">
        <v>16</v>
      </c>
      <c r="I722" s="34" t="s">
        <v>373</v>
      </c>
      <c r="J722" s="9" t="str">
        <f t="shared" si="305"/>
        <v>Servicio de Salud</v>
      </c>
      <c r="K722" s="9" t="str">
        <f t="shared" si="301"/>
        <v>Casos de cáncer</v>
      </c>
      <c r="L722" s="9" t="str">
        <f t="shared" si="302"/>
        <v>Periodo 2011-2018</v>
      </c>
      <c r="M722" s="9" t="str">
        <f t="shared" si="303"/>
        <v>Número de Casos</v>
      </c>
      <c r="N722" s="9" t="str">
        <f t="shared" si="304"/>
        <v>Departamento de Estadísticas e Información de la Salud (DEIS) - Ministerio de Salud</v>
      </c>
      <c r="O722" s="20" t="str">
        <f>+"Evolución Casos de Cáncer de Cuello Uterino por Comuna en la "&amp;I722&amp;", "&amp;Agencia[[#This Row],[temporalidad]]</f>
        <v>Evolución Casos de Cáncer de Cuello Uterino por Comuna en la Región de O'Higgins, Periodo 2011-2018</v>
      </c>
      <c r="P722" s="112" t="s">
        <v>5879</v>
      </c>
      <c r="Q722" s="11" t="str">
        <f t="shared" si="298"/>
        <v>Gráfico de Evolución</v>
      </c>
      <c r="R722" s="148" t="str">
        <f>Agencia[[#This Row],[territorio]]&amp;",cáncer,cérvico,uterino,cuello,útero,casos,tumor,servicio,nacional,programa,"&amp;Agencia[[#This Row],[coleccion]]&amp;","&amp;Agencia[[#This Row],[sector]]&amp;","&amp;Agencia[[#This Row],[tema]]&amp;","&amp;Agencia[[#This Row],[contenido]]</f>
        <v>Región de O'Higgins,cáncer,cérvico,uterino,cuello,útero,casos,tumor,servicio,nacional,programa,Agencia Información,Mujeres,Programa de Cáncer de Cuello Uterino,Mujer Salud</v>
      </c>
      <c r="S722" s="37" t="str">
        <f>HYPERLINK("https://analytics.zoho.com/open-view/2395394000008389657?ZOHO_CRITERIA=%22Localiza%20CL%22.%22Codreg%22%20%3D%20"&amp;Agencia[[#This Row],[Filtro URL]])</f>
        <v>https://analytics.zoho.com/open-view/2395394000008389657?ZOHO_CRITERIA=%22Localiza%20CL%22.%22Codreg%22%20%3D%206</v>
      </c>
      <c r="T722" s="108" t="str">
        <f>"100-C-"&amp;Agencia[[#This Row],[Filtro URL]]</f>
        <v>100-C-6</v>
      </c>
      <c r="U722" s="46" t="str">
        <f t="shared" si="299"/>
        <v>#1774B9</v>
      </c>
      <c r="V722" s="93" t="str">
        <f>+Agencia[[#This Row],[idcoleccion]]&amp;"-"&amp;Agencia[[#This Row],[id]]</f>
        <v>990-0711</v>
      </c>
      <c r="W722" s="93">
        <f>+VLOOKUP(Agencia[[#This Row],[Filtro URL]],Estructura!$X$4:$Y$500,2,0)</f>
        <v>99200006</v>
      </c>
      <c r="X722" s="93" t="str">
        <f>+VLOOKUP(Agencia[[#This Row],[tema]],Estructura!$A$4:$C$500,3,0)</f>
        <v>T-998</v>
      </c>
      <c r="Y722" s="93" t="str">
        <f>+VLOOKUP(Agencia[[#This Row],[contenido]],Estructura!$E$4:$G$500,3,0)</f>
        <v>C-1009</v>
      </c>
      <c r="Z722" s="93" t="str">
        <f>+VLOOKUP(Agencia[[#This Row],[Filtro Integrado]],Estructura!$I$4:$K$500,3,0)</f>
        <v>FI-999</v>
      </c>
      <c r="AA722" s="93" t="str">
        <f>+VLOOKUP(Agencia[[#This Row],[Muestra]],Estructura!$M$4:$O$500,3,0)</f>
        <v>M-1052</v>
      </c>
    </row>
    <row r="723" spans="1:27" ht="57.6" x14ac:dyDescent="0.3">
      <c r="A723" s="21" t="s">
        <v>1227</v>
      </c>
      <c r="B723" s="23">
        <f t="shared" si="284"/>
        <v>990</v>
      </c>
      <c r="C723" s="24" t="str">
        <f t="shared" si="285"/>
        <v>Agencia Información</v>
      </c>
      <c r="D723" s="72" t="str">
        <f t="shared" si="300"/>
        <v>Mujeres</v>
      </c>
      <c r="E723" s="19">
        <v>7</v>
      </c>
      <c r="F723" s="18" t="s">
        <v>946</v>
      </c>
      <c r="G723" s="18" t="s">
        <v>1897</v>
      </c>
      <c r="H723" s="33" t="s">
        <v>16</v>
      </c>
      <c r="I723" s="34" t="s">
        <v>374</v>
      </c>
      <c r="J723" s="9" t="str">
        <f t="shared" si="305"/>
        <v>Servicio de Salud</v>
      </c>
      <c r="K723" s="9" t="str">
        <f t="shared" si="301"/>
        <v>Casos de cáncer</v>
      </c>
      <c r="L723" s="9" t="str">
        <f t="shared" si="302"/>
        <v>Periodo 2011-2018</v>
      </c>
      <c r="M723" s="9" t="str">
        <f t="shared" si="303"/>
        <v>Número de Casos</v>
      </c>
      <c r="N723" s="9" t="str">
        <f t="shared" si="304"/>
        <v>Departamento de Estadísticas e Información de la Salud (DEIS) - Ministerio de Salud</v>
      </c>
      <c r="O723" s="20" t="str">
        <f>+"Evolución Casos de Cáncer de Cuello Uterino por Comuna en la "&amp;I723&amp;", "&amp;Agencia[[#This Row],[temporalidad]]</f>
        <v>Evolución Casos de Cáncer de Cuello Uterino por Comuna en la Región de Maule, Periodo 2011-2018</v>
      </c>
      <c r="P723" s="112" t="s">
        <v>5880</v>
      </c>
      <c r="Q723" s="11" t="str">
        <f t="shared" si="298"/>
        <v>Gráfico de Evolución</v>
      </c>
      <c r="R723" s="148" t="str">
        <f>Agencia[[#This Row],[territorio]]&amp;",cáncer,cérvico,uterino,cuello,útero,casos,tumor,servicio,nacional,programa,"&amp;Agencia[[#This Row],[coleccion]]&amp;","&amp;Agencia[[#This Row],[sector]]&amp;","&amp;Agencia[[#This Row],[tema]]&amp;","&amp;Agencia[[#This Row],[contenido]]</f>
        <v>Región de Maule,cáncer,cérvico,uterino,cuello,útero,casos,tumor,servicio,nacional,programa,Agencia Información,Mujeres,Programa de Cáncer de Cuello Uterino,Mujer Salud</v>
      </c>
      <c r="S723" s="37" t="str">
        <f>HYPERLINK("https://analytics.zoho.com/open-view/2395394000008389657?ZOHO_CRITERIA=%22Localiza%20CL%22.%22Codreg%22%20%3D%20"&amp;Agencia[[#This Row],[Filtro URL]])</f>
        <v>https://analytics.zoho.com/open-view/2395394000008389657?ZOHO_CRITERIA=%22Localiza%20CL%22.%22Codreg%22%20%3D%207</v>
      </c>
      <c r="T723" s="108" t="str">
        <f>"100-C-"&amp;Agencia[[#This Row],[Filtro URL]]</f>
        <v>100-C-7</v>
      </c>
      <c r="U723" s="46" t="str">
        <f t="shared" si="299"/>
        <v>#1774B9</v>
      </c>
      <c r="V723" s="93" t="str">
        <f>+Agencia[[#This Row],[idcoleccion]]&amp;"-"&amp;Agencia[[#This Row],[id]]</f>
        <v>990-0712</v>
      </c>
      <c r="W723" s="93">
        <f>+VLOOKUP(Agencia[[#This Row],[Filtro URL]],Estructura!$X$4:$Y$500,2,0)</f>
        <v>99200007</v>
      </c>
      <c r="X723" s="93" t="str">
        <f>+VLOOKUP(Agencia[[#This Row],[tema]],Estructura!$A$4:$C$500,3,0)</f>
        <v>T-998</v>
      </c>
      <c r="Y723" s="93" t="str">
        <f>+VLOOKUP(Agencia[[#This Row],[contenido]],Estructura!$E$4:$G$500,3,0)</f>
        <v>C-1009</v>
      </c>
      <c r="Z723" s="93" t="str">
        <f>+VLOOKUP(Agencia[[#This Row],[Filtro Integrado]],Estructura!$I$4:$K$500,3,0)</f>
        <v>FI-999</v>
      </c>
      <c r="AA723" s="93" t="str">
        <f>+VLOOKUP(Agencia[[#This Row],[Muestra]],Estructura!$M$4:$O$500,3,0)</f>
        <v>M-1052</v>
      </c>
    </row>
    <row r="724" spans="1:27" ht="57.6" x14ac:dyDescent="0.3">
      <c r="A724" s="21" t="s">
        <v>1228</v>
      </c>
      <c r="B724" s="23">
        <f t="shared" si="284"/>
        <v>990</v>
      </c>
      <c r="C724" s="24" t="str">
        <f t="shared" si="285"/>
        <v>Agencia Información</v>
      </c>
      <c r="D724" s="72" t="str">
        <f t="shared" si="300"/>
        <v>Mujeres</v>
      </c>
      <c r="E724" s="19">
        <v>8</v>
      </c>
      <c r="F724" s="18" t="s">
        <v>946</v>
      </c>
      <c r="G724" s="18" t="s">
        <v>1897</v>
      </c>
      <c r="H724" s="33" t="s">
        <v>16</v>
      </c>
      <c r="I724" s="34" t="s">
        <v>375</v>
      </c>
      <c r="J724" s="9" t="str">
        <f t="shared" si="305"/>
        <v>Servicio de Salud</v>
      </c>
      <c r="K724" s="9" t="str">
        <f t="shared" si="301"/>
        <v>Casos de cáncer</v>
      </c>
      <c r="L724" s="9" t="str">
        <f t="shared" si="302"/>
        <v>Periodo 2011-2018</v>
      </c>
      <c r="M724" s="9" t="str">
        <f t="shared" si="303"/>
        <v>Número de Casos</v>
      </c>
      <c r="N724" s="9" t="str">
        <f t="shared" si="304"/>
        <v>Departamento de Estadísticas e Información de la Salud (DEIS) - Ministerio de Salud</v>
      </c>
      <c r="O724" s="20" t="str">
        <f>+"Evolución Casos de Cáncer de Cuello Uterino por Comuna en la "&amp;I724&amp;", "&amp;Agencia[[#This Row],[temporalidad]]</f>
        <v>Evolución Casos de Cáncer de Cuello Uterino por Comuna en la Región del Biobío, Periodo 2011-2018</v>
      </c>
      <c r="P724" s="112" t="s">
        <v>5864</v>
      </c>
      <c r="Q724" s="11" t="str">
        <f t="shared" si="298"/>
        <v>Gráfico de Evolución</v>
      </c>
      <c r="R724" s="148" t="str">
        <f>Agencia[[#This Row],[territorio]]&amp;",cáncer,cérvico,uterino,cuello,útero,casos,tumor,servicio,nacional,programa,"&amp;Agencia[[#This Row],[coleccion]]&amp;","&amp;Agencia[[#This Row],[sector]]&amp;","&amp;Agencia[[#This Row],[tema]]&amp;","&amp;Agencia[[#This Row],[contenido]]</f>
        <v>Región del Biobío,cáncer,cérvico,uterino,cuello,útero,casos,tumor,servicio,nacional,programa,Agencia Información,Mujeres,Programa de Cáncer de Cuello Uterino,Mujer Salud</v>
      </c>
      <c r="S724" s="37" t="str">
        <f>HYPERLINK("https://analytics.zoho.com/open-view/2395394000008389657?ZOHO_CRITERIA=%22Localiza%20CL%22.%22Codreg%22%20%3D%20"&amp;Agencia[[#This Row],[Filtro URL]])</f>
        <v>https://analytics.zoho.com/open-view/2395394000008389657?ZOHO_CRITERIA=%22Localiza%20CL%22.%22Codreg%22%20%3D%208</v>
      </c>
      <c r="T724" s="108" t="str">
        <f>"100-C-"&amp;Agencia[[#This Row],[Filtro URL]]</f>
        <v>100-C-8</v>
      </c>
      <c r="U724" s="46" t="str">
        <f t="shared" si="299"/>
        <v>#1774B9</v>
      </c>
      <c r="V724" s="93" t="str">
        <f>+Agencia[[#This Row],[idcoleccion]]&amp;"-"&amp;Agencia[[#This Row],[id]]</f>
        <v>990-0713</v>
      </c>
      <c r="W724" s="93">
        <f>+VLOOKUP(Agencia[[#This Row],[Filtro URL]],Estructura!$X$4:$Y$500,2,0)</f>
        <v>99200008</v>
      </c>
      <c r="X724" s="93" t="str">
        <f>+VLOOKUP(Agencia[[#This Row],[tema]],Estructura!$A$4:$C$500,3,0)</f>
        <v>T-998</v>
      </c>
      <c r="Y724" s="93" t="str">
        <f>+VLOOKUP(Agencia[[#This Row],[contenido]],Estructura!$E$4:$G$500,3,0)</f>
        <v>C-1009</v>
      </c>
      <c r="Z724" s="93" t="str">
        <f>+VLOOKUP(Agencia[[#This Row],[Filtro Integrado]],Estructura!$I$4:$K$500,3,0)</f>
        <v>FI-999</v>
      </c>
      <c r="AA724" s="93" t="str">
        <f>+VLOOKUP(Agencia[[#This Row],[Muestra]],Estructura!$M$4:$O$500,3,0)</f>
        <v>M-1052</v>
      </c>
    </row>
    <row r="725" spans="1:27" ht="57.6" x14ac:dyDescent="0.3">
      <c r="A725" s="21" t="s">
        <v>1229</v>
      </c>
      <c r="B725" s="23">
        <f t="shared" si="284"/>
        <v>990</v>
      </c>
      <c r="C725" s="24" t="str">
        <f t="shared" si="285"/>
        <v>Agencia Información</v>
      </c>
      <c r="D725" s="72" t="str">
        <f t="shared" si="300"/>
        <v>Mujeres</v>
      </c>
      <c r="E725" s="19">
        <v>9</v>
      </c>
      <c r="F725" s="18" t="s">
        <v>946</v>
      </c>
      <c r="G725" s="18" t="s">
        <v>1897</v>
      </c>
      <c r="H725" s="33" t="s">
        <v>16</v>
      </c>
      <c r="I725" s="34" t="s">
        <v>376</v>
      </c>
      <c r="J725" s="9" t="str">
        <f t="shared" si="305"/>
        <v>Servicio de Salud</v>
      </c>
      <c r="K725" s="9" t="str">
        <f t="shared" si="301"/>
        <v>Casos de cáncer</v>
      </c>
      <c r="L725" s="9" t="str">
        <f t="shared" si="302"/>
        <v>Periodo 2011-2018</v>
      </c>
      <c r="M725" s="9" t="str">
        <f t="shared" si="303"/>
        <v>Número de Casos</v>
      </c>
      <c r="N725" s="9" t="str">
        <f t="shared" si="304"/>
        <v>Departamento de Estadísticas e Información de la Salud (DEIS) - Ministerio de Salud</v>
      </c>
      <c r="O725" s="20" t="str">
        <f>+"Evolución Casos de Cáncer de Cuello Uterino por Comuna en la "&amp;I725&amp;", "&amp;Agencia[[#This Row],[temporalidad]]</f>
        <v>Evolución Casos de Cáncer de Cuello Uterino por Comuna en la Región de La Araucanía, Periodo 2011-2018</v>
      </c>
      <c r="P725" s="112" t="s">
        <v>5865</v>
      </c>
      <c r="Q725" s="11" t="str">
        <f t="shared" si="298"/>
        <v>Gráfico de Evolución</v>
      </c>
      <c r="R725" s="148" t="str">
        <f>Agencia[[#This Row],[territorio]]&amp;",cáncer,cérvico,uterino,cuello,útero,casos,tumor,servicio,nacional,programa,"&amp;Agencia[[#This Row],[coleccion]]&amp;","&amp;Agencia[[#This Row],[sector]]&amp;","&amp;Agencia[[#This Row],[tema]]&amp;","&amp;Agencia[[#This Row],[contenido]]</f>
        <v>Región de La Araucanía,cáncer,cérvico,uterino,cuello,útero,casos,tumor,servicio,nacional,programa,Agencia Información,Mujeres,Programa de Cáncer de Cuello Uterino,Mujer Salud</v>
      </c>
      <c r="S725" s="37" t="str">
        <f>HYPERLINK("https://analytics.zoho.com/open-view/2395394000008389657?ZOHO_CRITERIA=%22Localiza%20CL%22.%22Codreg%22%20%3D%20"&amp;Agencia[[#This Row],[Filtro URL]])</f>
        <v>https://analytics.zoho.com/open-view/2395394000008389657?ZOHO_CRITERIA=%22Localiza%20CL%22.%22Codreg%22%20%3D%209</v>
      </c>
      <c r="T725" s="108" t="str">
        <f>"100-C-"&amp;Agencia[[#This Row],[Filtro URL]]</f>
        <v>100-C-9</v>
      </c>
      <c r="U725" s="46" t="str">
        <f t="shared" si="299"/>
        <v>#1774B9</v>
      </c>
      <c r="V725" s="93" t="str">
        <f>+Agencia[[#This Row],[idcoleccion]]&amp;"-"&amp;Agencia[[#This Row],[id]]</f>
        <v>990-0714</v>
      </c>
      <c r="W725" s="93">
        <f>+VLOOKUP(Agencia[[#This Row],[Filtro URL]],Estructura!$X$4:$Y$500,2,0)</f>
        <v>99200009</v>
      </c>
      <c r="X725" s="93" t="str">
        <f>+VLOOKUP(Agencia[[#This Row],[tema]],Estructura!$A$4:$C$500,3,0)</f>
        <v>T-998</v>
      </c>
      <c r="Y725" s="93" t="str">
        <f>+VLOOKUP(Agencia[[#This Row],[contenido]],Estructura!$E$4:$G$500,3,0)</f>
        <v>C-1009</v>
      </c>
      <c r="Z725" s="93" t="str">
        <f>+VLOOKUP(Agencia[[#This Row],[Filtro Integrado]],Estructura!$I$4:$K$500,3,0)</f>
        <v>FI-999</v>
      </c>
      <c r="AA725" s="93" t="str">
        <f>+VLOOKUP(Agencia[[#This Row],[Muestra]],Estructura!$M$4:$O$500,3,0)</f>
        <v>M-1052</v>
      </c>
    </row>
    <row r="726" spans="1:27" ht="57.6" x14ac:dyDescent="0.3">
      <c r="A726" s="21" t="s">
        <v>1230</v>
      </c>
      <c r="B726" s="23">
        <f t="shared" si="284"/>
        <v>990</v>
      </c>
      <c r="C726" s="24" t="str">
        <f t="shared" si="285"/>
        <v>Agencia Información</v>
      </c>
      <c r="D726" s="72" t="str">
        <f t="shared" si="300"/>
        <v>Mujeres</v>
      </c>
      <c r="E726" s="19">
        <v>10</v>
      </c>
      <c r="F726" s="18" t="s">
        <v>946</v>
      </c>
      <c r="G726" s="18" t="s">
        <v>1897</v>
      </c>
      <c r="H726" s="33" t="s">
        <v>16</v>
      </c>
      <c r="I726" s="34" t="s">
        <v>377</v>
      </c>
      <c r="J726" s="9" t="str">
        <f t="shared" si="305"/>
        <v>Servicio de Salud</v>
      </c>
      <c r="K726" s="9" t="str">
        <f t="shared" si="301"/>
        <v>Casos de cáncer</v>
      </c>
      <c r="L726" s="9" t="str">
        <f t="shared" si="302"/>
        <v>Periodo 2011-2018</v>
      </c>
      <c r="M726" s="9" t="str">
        <f t="shared" si="303"/>
        <v>Número de Casos</v>
      </c>
      <c r="N726" s="9" t="str">
        <f t="shared" si="304"/>
        <v>Departamento de Estadísticas e Información de la Salud (DEIS) - Ministerio de Salud</v>
      </c>
      <c r="O726" s="20" t="str">
        <f>+"Evolución Casos de Cáncer de Cuello Uterino por Comuna en la "&amp;I726&amp;", "&amp;Agencia[[#This Row],[temporalidad]]</f>
        <v>Evolución Casos de Cáncer de Cuello Uterino por Comuna en la Región de Los Lagos, Periodo 2011-2018</v>
      </c>
      <c r="P726" s="112" t="s">
        <v>5881</v>
      </c>
      <c r="Q726" s="11" t="str">
        <f t="shared" si="298"/>
        <v>Gráfico de Evolución</v>
      </c>
      <c r="R726" s="148" t="str">
        <f>Agencia[[#This Row],[territorio]]&amp;",cáncer,cérvico,uterino,cuello,útero,casos,tumor,servicio,nacional,programa,"&amp;Agencia[[#This Row],[coleccion]]&amp;","&amp;Agencia[[#This Row],[sector]]&amp;","&amp;Agencia[[#This Row],[tema]]&amp;","&amp;Agencia[[#This Row],[contenido]]</f>
        <v>Región de Los Lagos,cáncer,cérvico,uterino,cuello,útero,casos,tumor,servicio,nacional,programa,Agencia Información,Mujeres,Programa de Cáncer de Cuello Uterino,Mujer Salud</v>
      </c>
      <c r="S726" s="37" t="str">
        <f>HYPERLINK("https://analytics.zoho.com/open-view/2395394000008389657?ZOHO_CRITERIA=%22Localiza%20CL%22.%22Codreg%22%20%3D%20"&amp;Agencia[[#This Row],[Filtro URL]])</f>
        <v>https://analytics.zoho.com/open-view/2395394000008389657?ZOHO_CRITERIA=%22Localiza%20CL%22.%22Codreg%22%20%3D%2010</v>
      </c>
      <c r="T726" s="108" t="str">
        <f>"100-C-"&amp;Agencia[[#This Row],[Filtro URL]]</f>
        <v>100-C-10</v>
      </c>
      <c r="U726" s="46" t="str">
        <f t="shared" si="299"/>
        <v>#1774B9</v>
      </c>
      <c r="V726" s="93" t="str">
        <f>+Agencia[[#This Row],[idcoleccion]]&amp;"-"&amp;Agencia[[#This Row],[id]]</f>
        <v>990-0715</v>
      </c>
      <c r="W726" s="93">
        <f>+VLOOKUP(Agencia[[#This Row],[Filtro URL]],Estructura!$X$4:$Y$500,2,0)</f>
        <v>99200010</v>
      </c>
      <c r="X726" s="93" t="str">
        <f>+VLOOKUP(Agencia[[#This Row],[tema]],Estructura!$A$4:$C$500,3,0)</f>
        <v>T-998</v>
      </c>
      <c r="Y726" s="93" t="str">
        <f>+VLOOKUP(Agencia[[#This Row],[contenido]],Estructura!$E$4:$G$500,3,0)</f>
        <v>C-1009</v>
      </c>
      <c r="Z726" s="93" t="str">
        <f>+VLOOKUP(Agencia[[#This Row],[Filtro Integrado]],Estructura!$I$4:$K$500,3,0)</f>
        <v>FI-999</v>
      </c>
      <c r="AA726" s="93" t="str">
        <f>+VLOOKUP(Agencia[[#This Row],[Muestra]],Estructura!$M$4:$O$500,3,0)</f>
        <v>M-1052</v>
      </c>
    </row>
    <row r="727" spans="1:27" ht="57.6" x14ac:dyDescent="0.3">
      <c r="A727" s="21" t="s">
        <v>1231</v>
      </c>
      <c r="B727" s="23">
        <f t="shared" si="284"/>
        <v>990</v>
      </c>
      <c r="C727" s="24" t="str">
        <f t="shared" si="285"/>
        <v>Agencia Información</v>
      </c>
      <c r="D727" s="72" t="str">
        <f t="shared" si="300"/>
        <v>Mujeres</v>
      </c>
      <c r="E727" s="19">
        <v>11</v>
      </c>
      <c r="F727" s="18" t="s">
        <v>946</v>
      </c>
      <c r="G727" s="18" t="s">
        <v>1897</v>
      </c>
      <c r="H727" s="33" t="s">
        <v>16</v>
      </c>
      <c r="I727" s="34" t="s">
        <v>378</v>
      </c>
      <c r="J727" s="9" t="str">
        <f t="shared" si="305"/>
        <v>Servicio de Salud</v>
      </c>
      <c r="K727" s="9" t="str">
        <f t="shared" si="301"/>
        <v>Casos de cáncer</v>
      </c>
      <c r="L727" s="9" t="str">
        <f t="shared" si="302"/>
        <v>Periodo 2011-2018</v>
      </c>
      <c r="M727" s="9" t="str">
        <f t="shared" si="303"/>
        <v>Número de Casos</v>
      </c>
      <c r="N727" s="9" t="str">
        <f t="shared" si="304"/>
        <v>Departamento de Estadísticas e Información de la Salud (DEIS) - Ministerio de Salud</v>
      </c>
      <c r="O727" s="20" t="str">
        <f>+"Evolución Casos de Cáncer de Cuello Uterino por Comuna en la "&amp;I727&amp;", "&amp;Agencia[[#This Row],[temporalidad]]</f>
        <v>Evolución Casos de Cáncer de Cuello Uterino por Comuna en la Región de Aysén, Periodo 2011-2018</v>
      </c>
      <c r="P727" s="112" t="s">
        <v>5882</v>
      </c>
      <c r="Q727" s="11" t="str">
        <f t="shared" si="298"/>
        <v>Gráfico de Evolución</v>
      </c>
      <c r="R727" s="148" t="str">
        <f>Agencia[[#This Row],[territorio]]&amp;",cáncer,cérvico,uterino,cuello,útero,casos,tumor,servicio,nacional,programa,"&amp;Agencia[[#This Row],[coleccion]]&amp;","&amp;Agencia[[#This Row],[sector]]&amp;","&amp;Agencia[[#This Row],[tema]]&amp;","&amp;Agencia[[#This Row],[contenido]]</f>
        <v>Región de Aysén,cáncer,cérvico,uterino,cuello,útero,casos,tumor,servicio,nacional,programa,Agencia Información,Mujeres,Programa de Cáncer de Cuello Uterino,Mujer Salud</v>
      </c>
      <c r="S727" s="37" t="str">
        <f>HYPERLINK("https://analytics.zoho.com/open-view/2395394000008389657?ZOHO_CRITERIA=%22Localiza%20CL%22.%22Codreg%22%20%3D%20"&amp;Agencia[[#This Row],[Filtro URL]])</f>
        <v>https://analytics.zoho.com/open-view/2395394000008389657?ZOHO_CRITERIA=%22Localiza%20CL%22.%22Codreg%22%20%3D%2011</v>
      </c>
      <c r="T727" s="108" t="str">
        <f>"100-C-"&amp;Agencia[[#This Row],[Filtro URL]]</f>
        <v>100-C-11</v>
      </c>
      <c r="U727" s="46" t="str">
        <f t="shared" si="299"/>
        <v>#1774B9</v>
      </c>
      <c r="V727" s="93" t="str">
        <f>+Agencia[[#This Row],[idcoleccion]]&amp;"-"&amp;Agencia[[#This Row],[id]]</f>
        <v>990-0716</v>
      </c>
      <c r="W727" s="93">
        <f>+VLOOKUP(Agencia[[#This Row],[Filtro URL]],Estructura!$X$4:$Y$500,2,0)</f>
        <v>99200011</v>
      </c>
      <c r="X727" s="93" t="str">
        <f>+VLOOKUP(Agencia[[#This Row],[tema]],Estructura!$A$4:$C$500,3,0)</f>
        <v>T-998</v>
      </c>
      <c r="Y727" s="93" t="str">
        <f>+VLOOKUP(Agencia[[#This Row],[contenido]],Estructura!$E$4:$G$500,3,0)</f>
        <v>C-1009</v>
      </c>
      <c r="Z727" s="93" t="str">
        <f>+VLOOKUP(Agencia[[#This Row],[Filtro Integrado]],Estructura!$I$4:$K$500,3,0)</f>
        <v>FI-999</v>
      </c>
      <c r="AA727" s="93" t="str">
        <f>+VLOOKUP(Agencia[[#This Row],[Muestra]],Estructura!$M$4:$O$500,3,0)</f>
        <v>M-1052</v>
      </c>
    </row>
    <row r="728" spans="1:27" ht="57.6" x14ac:dyDescent="0.3">
      <c r="A728" s="21" t="s">
        <v>1232</v>
      </c>
      <c r="B728" s="23">
        <f t="shared" si="284"/>
        <v>990</v>
      </c>
      <c r="C728" s="24" t="str">
        <f t="shared" si="285"/>
        <v>Agencia Información</v>
      </c>
      <c r="D728" s="72" t="str">
        <f t="shared" si="300"/>
        <v>Mujeres</v>
      </c>
      <c r="E728" s="19">
        <v>12</v>
      </c>
      <c r="F728" s="18" t="s">
        <v>946</v>
      </c>
      <c r="G728" s="18" t="s">
        <v>1897</v>
      </c>
      <c r="H728" s="33" t="s">
        <v>16</v>
      </c>
      <c r="I728" s="34" t="s">
        <v>379</v>
      </c>
      <c r="J728" s="9" t="str">
        <f t="shared" si="305"/>
        <v>Servicio de Salud</v>
      </c>
      <c r="K728" s="9" t="str">
        <f t="shared" si="301"/>
        <v>Casos de cáncer</v>
      </c>
      <c r="L728" s="9" t="str">
        <f t="shared" si="302"/>
        <v>Periodo 2011-2018</v>
      </c>
      <c r="M728" s="9" t="str">
        <f t="shared" si="303"/>
        <v>Número de Casos</v>
      </c>
      <c r="N728" s="9" t="str">
        <f t="shared" si="304"/>
        <v>Departamento de Estadísticas e Información de la Salud (DEIS) - Ministerio de Salud</v>
      </c>
      <c r="O728" s="20" t="str">
        <f>+"Evolución Casos de Cáncer de Cuello Uterino por Comuna en la "&amp;I728&amp;", "&amp;Agencia[[#This Row],[temporalidad]]</f>
        <v>Evolución Casos de Cáncer de Cuello Uterino por Comuna en la Región de Magallanes, Periodo 2011-2018</v>
      </c>
      <c r="P728" s="112" t="s">
        <v>5883</v>
      </c>
      <c r="Q728" s="11" t="str">
        <f t="shared" si="298"/>
        <v>Gráfico de Evolución</v>
      </c>
      <c r="R728" s="148" t="str">
        <f>Agencia[[#This Row],[territorio]]&amp;",cáncer,cérvico,uterino,cuello,útero,casos,tumor,servicio,nacional,programa,"&amp;Agencia[[#This Row],[coleccion]]&amp;","&amp;Agencia[[#This Row],[sector]]&amp;","&amp;Agencia[[#This Row],[tema]]&amp;","&amp;Agencia[[#This Row],[contenido]]</f>
        <v>Región de Magallanes,cáncer,cérvico,uterino,cuello,útero,casos,tumor,servicio,nacional,programa,Agencia Información,Mujeres,Programa de Cáncer de Cuello Uterino,Mujer Salud</v>
      </c>
      <c r="S728" s="37" t="str">
        <f>HYPERLINK("https://analytics.zoho.com/open-view/2395394000008389657?ZOHO_CRITERIA=%22Localiza%20CL%22.%22Codreg%22%20%3D%20"&amp;Agencia[[#This Row],[Filtro URL]])</f>
        <v>https://analytics.zoho.com/open-view/2395394000008389657?ZOHO_CRITERIA=%22Localiza%20CL%22.%22Codreg%22%20%3D%2012</v>
      </c>
      <c r="T728" s="108" t="str">
        <f>"100-C-"&amp;Agencia[[#This Row],[Filtro URL]]</f>
        <v>100-C-12</v>
      </c>
      <c r="U728" s="46" t="str">
        <f t="shared" si="299"/>
        <v>#1774B9</v>
      </c>
      <c r="V728" s="93" t="str">
        <f>+Agencia[[#This Row],[idcoleccion]]&amp;"-"&amp;Agencia[[#This Row],[id]]</f>
        <v>990-0717</v>
      </c>
      <c r="W728" s="93">
        <f>+VLOOKUP(Agencia[[#This Row],[Filtro URL]],Estructura!$X$4:$Y$500,2,0)</f>
        <v>99200012</v>
      </c>
      <c r="X728" s="93" t="str">
        <f>+VLOOKUP(Agencia[[#This Row],[tema]],Estructura!$A$4:$C$500,3,0)</f>
        <v>T-998</v>
      </c>
      <c r="Y728" s="93" t="str">
        <f>+VLOOKUP(Agencia[[#This Row],[contenido]],Estructura!$E$4:$G$500,3,0)</f>
        <v>C-1009</v>
      </c>
      <c r="Z728" s="93" t="str">
        <f>+VLOOKUP(Agencia[[#This Row],[Filtro Integrado]],Estructura!$I$4:$K$500,3,0)</f>
        <v>FI-999</v>
      </c>
      <c r="AA728" s="93" t="str">
        <f>+VLOOKUP(Agencia[[#This Row],[Muestra]],Estructura!$M$4:$O$500,3,0)</f>
        <v>M-1052</v>
      </c>
    </row>
    <row r="729" spans="1:27" ht="57.6" x14ac:dyDescent="0.3">
      <c r="A729" s="21" t="s">
        <v>1233</v>
      </c>
      <c r="B729" s="23">
        <f t="shared" si="284"/>
        <v>990</v>
      </c>
      <c r="C729" s="24" t="str">
        <f t="shared" si="285"/>
        <v>Agencia Información</v>
      </c>
      <c r="D729" s="72" t="str">
        <f t="shared" si="300"/>
        <v>Mujeres</v>
      </c>
      <c r="E729" s="19">
        <v>13</v>
      </c>
      <c r="F729" s="18" t="s">
        <v>946</v>
      </c>
      <c r="G729" s="18" t="s">
        <v>1897</v>
      </c>
      <c r="H729" s="33" t="s">
        <v>16</v>
      </c>
      <c r="I729" s="34" t="s">
        <v>380</v>
      </c>
      <c r="J729" s="9" t="str">
        <f t="shared" si="305"/>
        <v>Servicio de Salud</v>
      </c>
      <c r="K729" s="9" t="str">
        <f t="shared" si="301"/>
        <v>Casos de cáncer</v>
      </c>
      <c r="L729" s="9" t="str">
        <f t="shared" si="302"/>
        <v>Periodo 2011-2018</v>
      </c>
      <c r="M729" s="9" t="str">
        <f t="shared" si="303"/>
        <v>Número de Casos</v>
      </c>
      <c r="N729" s="9" t="str">
        <f t="shared" si="304"/>
        <v>Departamento de Estadísticas e Información de la Salud (DEIS) - Ministerio de Salud</v>
      </c>
      <c r="O729" s="20" t="str">
        <f>+"Evolución Casos de Cáncer de Cuello Uterino por Comuna en la "&amp;I729&amp;", "&amp;Agencia[[#This Row],[temporalidad]]</f>
        <v>Evolución Casos de Cáncer de Cuello Uterino por Comuna en la Región Metropolitana, Periodo 2011-2018</v>
      </c>
      <c r="P729" s="112" t="s">
        <v>5884</v>
      </c>
      <c r="Q729" s="11" t="str">
        <f t="shared" si="298"/>
        <v>Gráfico de Evolución</v>
      </c>
      <c r="R729" s="148" t="str">
        <f>Agencia[[#This Row],[territorio]]&amp;",cáncer,cérvico,uterino,cuello,útero,casos,tumor,servicio,nacional,programa,"&amp;Agencia[[#This Row],[coleccion]]&amp;","&amp;Agencia[[#This Row],[sector]]&amp;","&amp;Agencia[[#This Row],[tema]]&amp;","&amp;Agencia[[#This Row],[contenido]]</f>
        <v>Región Metropolitana,cáncer,cérvico,uterino,cuello,útero,casos,tumor,servicio,nacional,programa,Agencia Información,Mujeres,Programa de Cáncer de Cuello Uterino,Mujer Salud</v>
      </c>
      <c r="S729" s="37" t="str">
        <f>HYPERLINK("https://analytics.zoho.com/open-view/2395394000008389657?ZOHO_CRITERIA=%22Localiza%20CL%22.%22Codreg%22%20%3D%20"&amp;Agencia[[#This Row],[Filtro URL]])</f>
        <v>https://analytics.zoho.com/open-view/2395394000008389657?ZOHO_CRITERIA=%22Localiza%20CL%22.%22Codreg%22%20%3D%2013</v>
      </c>
      <c r="T729" s="108" t="str">
        <f>"200-C-"&amp;Agencia[[#This Row],[Filtro URL]]</f>
        <v>200-C-13</v>
      </c>
      <c r="U729" s="46" t="str">
        <f t="shared" si="299"/>
        <v>#1774B9</v>
      </c>
      <c r="V729" s="93" t="str">
        <f>+Agencia[[#This Row],[idcoleccion]]&amp;"-"&amp;Agencia[[#This Row],[id]]</f>
        <v>990-0718</v>
      </c>
      <c r="W729" s="93">
        <f>+VLOOKUP(Agencia[[#This Row],[Filtro URL]],Estructura!$X$4:$Y$500,2,0)</f>
        <v>99200013</v>
      </c>
      <c r="X729" s="93" t="str">
        <f>+VLOOKUP(Agencia[[#This Row],[tema]],Estructura!$A$4:$C$500,3,0)</f>
        <v>T-998</v>
      </c>
      <c r="Y729" s="93" t="str">
        <f>+VLOOKUP(Agencia[[#This Row],[contenido]],Estructura!$E$4:$G$500,3,0)</f>
        <v>C-1009</v>
      </c>
      <c r="Z729" s="93" t="str">
        <f>+VLOOKUP(Agencia[[#This Row],[Filtro Integrado]],Estructura!$I$4:$K$500,3,0)</f>
        <v>FI-999</v>
      </c>
      <c r="AA729" s="93" t="str">
        <f>+VLOOKUP(Agencia[[#This Row],[Muestra]],Estructura!$M$4:$O$500,3,0)</f>
        <v>M-1052</v>
      </c>
    </row>
    <row r="730" spans="1:27" ht="57.6" x14ac:dyDescent="0.3">
      <c r="A730" s="21" t="s">
        <v>1234</v>
      </c>
      <c r="B730" s="23">
        <f t="shared" si="284"/>
        <v>990</v>
      </c>
      <c r="C730" s="24" t="str">
        <f t="shared" si="285"/>
        <v>Agencia Información</v>
      </c>
      <c r="D730" s="72" t="str">
        <f t="shared" si="300"/>
        <v>Mujeres</v>
      </c>
      <c r="E730" s="19">
        <v>14</v>
      </c>
      <c r="F730" s="18" t="s">
        <v>946</v>
      </c>
      <c r="G730" s="18" t="s">
        <v>1897</v>
      </c>
      <c r="H730" s="33" t="s">
        <v>16</v>
      </c>
      <c r="I730" s="34" t="s">
        <v>381</v>
      </c>
      <c r="J730" s="9" t="str">
        <f t="shared" si="305"/>
        <v>Servicio de Salud</v>
      </c>
      <c r="K730" s="9" t="str">
        <f t="shared" si="301"/>
        <v>Casos de cáncer</v>
      </c>
      <c r="L730" s="9" t="str">
        <f t="shared" si="302"/>
        <v>Periodo 2011-2018</v>
      </c>
      <c r="M730" s="9" t="str">
        <f t="shared" si="303"/>
        <v>Número de Casos</v>
      </c>
      <c r="N730" s="9" t="str">
        <f t="shared" si="304"/>
        <v>Departamento de Estadísticas e Información de la Salud (DEIS) - Ministerio de Salud</v>
      </c>
      <c r="O730" s="20" t="str">
        <f>+"Evolución Casos de Cáncer de Cuello Uterino por Comuna en la "&amp;I730&amp;", "&amp;Agencia[[#This Row],[temporalidad]]</f>
        <v>Evolución Casos de Cáncer de Cuello Uterino por Comuna en la Región de Los Ríos, Periodo 2011-2018</v>
      </c>
      <c r="P730" s="112" t="s">
        <v>5885</v>
      </c>
      <c r="Q730" s="11" t="str">
        <f t="shared" si="298"/>
        <v>Gráfico de Evolución</v>
      </c>
      <c r="R730" s="148" t="str">
        <f>Agencia[[#This Row],[territorio]]&amp;",cáncer,cérvico,uterino,cuello,útero,casos,tumor,servicio,nacional,programa,"&amp;Agencia[[#This Row],[coleccion]]&amp;","&amp;Agencia[[#This Row],[sector]]&amp;","&amp;Agencia[[#This Row],[tema]]&amp;","&amp;Agencia[[#This Row],[contenido]]</f>
        <v>Región de Los Ríos,cáncer,cérvico,uterino,cuello,útero,casos,tumor,servicio,nacional,programa,Agencia Información,Mujeres,Programa de Cáncer de Cuello Uterino,Mujer Salud</v>
      </c>
      <c r="S730" s="37" t="str">
        <f>HYPERLINK("https://analytics.zoho.com/open-view/2395394000008389657?ZOHO_CRITERIA=%22Localiza%20CL%22.%22Codreg%22%20%3D%20"&amp;Agencia[[#This Row],[Filtro URL]])</f>
        <v>https://analytics.zoho.com/open-view/2395394000008389657?ZOHO_CRITERIA=%22Localiza%20CL%22.%22Codreg%22%20%3D%2014</v>
      </c>
      <c r="T730" s="108" t="str">
        <f>"100-C-"&amp;Agencia[[#This Row],[Filtro URL]]</f>
        <v>100-C-14</v>
      </c>
      <c r="U730" s="46" t="str">
        <f t="shared" si="299"/>
        <v>#1774B9</v>
      </c>
      <c r="V730" s="93" t="str">
        <f>+Agencia[[#This Row],[idcoleccion]]&amp;"-"&amp;Agencia[[#This Row],[id]]</f>
        <v>990-0719</v>
      </c>
      <c r="W730" s="93">
        <f>+VLOOKUP(Agencia[[#This Row],[Filtro URL]],Estructura!$X$4:$Y$500,2,0)</f>
        <v>99200014</v>
      </c>
      <c r="X730" s="93" t="str">
        <f>+VLOOKUP(Agencia[[#This Row],[tema]],Estructura!$A$4:$C$500,3,0)</f>
        <v>T-998</v>
      </c>
      <c r="Y730" s="93" t="str">
        <f>+VLOOKUP(Agencia[[#This Row],[contenido]],Estructura!$E$4:$G$500,3,0)</f>
        <v>C-1009</v>
      </c>
      <c r="Z730" s="93" t="str">
        <f>+VLOOKUP(Agencia[[#This Row],[Filtro Integrado]],Estructura!$I$4:$K$500,3,0)</f>
        <v>FI-999</v>
      </c>
      <c r="AA730" s="93" t="str">
        <f>+VLOOKUP(Agencia[[#This Row],[Muestra]],Estructura!$M$4:$O$500,3,0)</f>
        <v>M-1052</v>
      </c>
    </row>
    <row r="731" spans="1:27" ht="57.6" x14ac:dyDescent="0.3">
      <c r="A731" s="21" t="s">
        <v>1235</v>
      </c>
      <c r="B731" s="23">
        <f t="shared" si="284"/>
        <v>990</v>
      </c>
      <c r="C731" s="24" t="str">
        <f t="shared" si="285"/>
        <v>Agencia Información</v>
      </c>
      <c r="D731" s="72" t="str">
        <f t="shared" si="300"/>
        <v>Mujeres</v>
      </c>
      <c r="E731" s="19">
        <v>15</v>
      </c>
      <c r="F731" s="18" t="s">
        <v>946</v>
      </c>
      <c r="G731" s="18" t="s">
        <v>1897</v>
      </c>
      <c r="H731" s="33" t="s">
        <v>16</v>
      </c>
      <c r="I731" s="34" t="s">
        <v>382</v>
      </c>
      <c r="J731" s="9" t="str">
        <f t="shared" si="305"/>
        <v>Servicio de Salud</v>
      </c>
      <c r="K731" s="9" t="str">
        <f t="shared" si="301"/>
        <v>Casos de cáncer</v>
      </c>
      <c r="L731" s="9" t="str">
        <f t="shared" si="302"/>
        <v>Periodo 2011-2018</v>
      </c>
      <c r="M731" s="9" t="str">
        <f t="shared" si="303"/>
        <v>Número de Casos</v>
      </c>
      <c r="N731" s="9" t="str">
        <f t="shared" si="304"/>
        <v>Departamento de Estadísticas e Información de la Salud (DEIS) - Ministerio de Salud</v>
      </c>
      <c r="O731" s="20" t="str">
        <f>+"Evolución Casos de Cáncer de Cuello Uterino por Comuna en la "&amp;I731&amp;", "&amp;Agencia[[#This Row],[temporalidad]]</f>
        <v>Evolución Casos de Cáncer de Cuello Uterino por Comuna en la Región de Arica y Parinacota, Periodo 2011-2018</v>
      </c>
      <c r="P731" s="112" t="s">
        <v>5886</v>
      </c>
      <c r="Q731" s="11" t="str">
        <f t="shared" si="298"/>
        <v>Gráfico de Evolución</v>
      </c>
      <c r="R731" s="148" t="str">
        <f>Agencia[[#This Row],[territorio]]&amp;",cáncer,cérvico,uterino,cuello,útero,casos,tumor,servicio,nacional,programa,"&amp;Agencia[[#This Row],[coleccion]]&amp;","&amp;Agencia[[#This Row],[sector]]&amp;","&amp;Agencia[[#This Row],[tema]]&amp;","&amp;Agencia[[#This Row],[contenido]]</f>
        <v>Región de Arica y Parinacota,cáncer,cérvico,uterino,cuello,útero,casos,tumor,servicio,nacional,programa,Agencia Información,Mujeres,Programa de Cáncer de Cuello Uterino,Mujer Salud</v>
      </c>
      <c r="S731" s="37" t="str">
        <f>HYPERLINK("https://analytics.zoho.com/open-view/2395394000008389657?ZOHO_CRITERIA=%22Localiza%20CL%22.%22Codreg%22%20%3D%20"&amp;Agencia[[#This Row],[Filtro URL]])</f>
        <v>https://analytics.zoho.com/open-view/2395394000008389657?ZOHO_CRITERIA=%22Localiza%20CL%22.%22Codreg%22%20%3D%2015</v>
      </c>
      <c r="T731" s="108" t="str">
        <f>"100-C-"&amp;Agencia[[#This Row],[Filtro URL]]</f>
        <v>100-C-15</v>
      </c>
      <c r="U731" s="46" t="str">
        <f t="shared" si="299"/>
        <v>#1774B9</v>
      </c>
      <c r="V731" s="93" t="str">
        <f>+Agencia[[#This Row],[idcoleccion]]&amp;"-"&amp;Agencia[[#This Row],[id]]</f>
        <v>990-0720</v>
      </c>
      <c r="W731" s="93">
        <f>+VLOOKUP(Agencia[[#This Row],[Filtro URL]],Estructura!$X$4:$Y$500,2,0)</f>
        <v>99200015</v>
      </c>
      <c r="X731" s="93" t="str">
        <f>+VLOOKUP(Agencia[[#This Row],[tema]],Estructura!$A$4:$C$500,3,0)</f>
        <v>T-998</v>
      </c>
      <c r="Y731" s="93" t="str">
        <f>+VLOOKUP(Agencia[[#This Row],[contenido]],Estructura!$E$4:$G$500,3,0)</f>
        <v>C-1009</v>
      </c>
      <c r="Z731" s="93" t="str">
        <f>+VLOOKUP(Agencia[[#This Row],[Filtro Integrado]],Estructura!$I$4:$K$500,3,0)</f>
        <v>FI-999</v>
      </c>
      <c r="AA731" s="93" t="str">
        <f>+VLOOKUP(Agencia[[#This Row],[Muestra]],Estructura!$M$4:$O$500,3,0)</f>
        <v>M-1052</v>
      </c>
    </row>
    <row r="732" spans="1:27" ht="57.6" x14ac:dyDescent="0.3">
      <c r="A732" s="21" t="s">
        <v>1236</v>
      </c>
      <c r="B732" s="23">
        <f t="shared" si="284"/>
        <v>990</v>
      </c>
      <c r="C732" s="24" t="str">
        <f t="shared" si="285"/>
        <v>Agencia Información</v>
      </c>
      <c r="D732" s="72" t="str">
        <f t="shared" si="300"/>
        <v>Mujeres</v>
      </c>
      <c r="E732" s="19">
        <v>16</v>
      </c>
      <c r="F732" s="18" t="s">
        <v>946</v>
      </c>
      <c r="G732" s="18" t="s">
        <v>1897</v>
      </c>
      <c r="H732" s="33" t="s">
        <v>16</v>
      </c>
      <c r="I732" s="34" t="s">
        <v>383</v>
      </c>
      <c r="J732" s="9" t="str">
        <f t="shared" si="305"/>
        <v>Servicio de Salud</v>
      </c>
      <c r="K732" s="9" t="str">
        <f t="shared" si="301"/>
        <v>Casos de cáncer</v>
      </c>
      <c r="L732" s="9" t="str">
        <f t="shared" si="302"/>
        <v>Periodo 2011-2018</v>
      </c>
      <c r="M732" s="9" t="str">
        <f t="shared" si="303"/>
        <v>Número de Casos</v>
      </c>
      <c r="N732" s="9" t="str">
        <f t="shared" si="304"/>
        <v>Departamento de Estadísticas e Información de la Salud (DEIS) - Ministerio de Salud</v>
      </c>
      <c r="O732" s="20" t="str">
        <f>+"Evolución Casos de Cáncer de Cuello Uterino por Comuna en la "&amp;I732&amp;", "&amp;Agencia[[#This Row],[temporalidad]]</f>
        <v>Evolución Casos de Cáncer de Cuello Uterino por Comuna en la Región de Ñuble, Periodo 2011-2018</v>
      </c>
      <c r="P732" s="112" t="s">
        <v>5866</v>
      </c>
      <c r="Q732" s="11" t="str">
        <f t="shared" si="298"/>
        <v>Gráfico de Evolución</v>
      </c>
      <c r="R732" s="148" t="str">
        <f>Agencia[[#This Row],[territorio]]&amp;",cáncer,cérvico,uterino,cuello,útero,casos,tumor,servicio,nacional,programa,"&amp;Agencia[[#This Row],[coleccion]]&amp;","&amp;Agencia[[#This Row],[sector]]&amp;","&amp;Agencia[[#This Row],[tema]]&amp;","&amp;Agencia[[#This Row],[contenido]]</f>
        <v>Región de Ñuble,cáncer,cérvico,uterino,cuello,útero,casos,tumor,servicio,nacional,programa,Agencia Información,Mujeres,Programa de Cáncer de Cuello Uterino,Mujer Salud</v>
      </c>
      <c r="S732" s="37" t="str">
        <f>HYPERLINK("https://analytics.zoho.com/open-view/2395394000008389657?ZOHO_CRITERIA=%22Localiza%20CL%22.%22Codreg%22%20%3D%20"&amp;Agencia[[#This Row],[Filtro URL]])</f>
        <v>https://analytics.zoho.com/open-view/2395394000008389657?ZOHO_CRITERIA=%22Localiza%20CL%22.%22Codreg%22%20%3D%2016</v>
      </c>
      <c r="T732" s="108" t="str">
        <f>"100-C-"&amp;Agencia[[#This Row],[Filtro URL]]</f>
        <v>100-C-16</v>
      </c>
      <c r="U732" s="46" t="str">
        <f t="shared" si="299"/>
        <v>#1774B9</v>
      </c>
      <c r="V732" s="93" t="str">
        <f>+Agencia[[#This Row],[idcoleccion]]&amp;"-"&amp;Agencia[[#This Row],[id]]</f>
        <v>990-0721</v>
      </c>
      <c r="W732" s="93">
        <f>+VLOOKUP(Agencia[[#This Row],[Filtro URL]],Estructura!$X$4:$Y$500,2,0)</f>
        <v>99200016</v>
      </c>
      <c r="X732" s="93" t="str">
        <f>+VLOOKUP(Agencia[[#This Row],[tema]],Estructura!$A$4:$C$500,3,0)</f>
        <v>T-998</v>
      </c>
      <c r="Y732" s="93" t="str">
        <f>+VLOOKUP(Agencia[[#This Row],[contenido]],Estructura!$E$4:$G$500,3,0)</f>
        <v>C-1009</v>
      </c>
      <c r="Z732" s="93" t="str">
        <f>+VLOOKUP(Agencia[[#This Row],[Filtro Integrado]],Estructura!$I$4:$K$500,3,0)</f>
        <v>FI-999</v>
      </c>
      <c r="AA732" s="93" t="str">
        <f>+VLOOKUP(Agencia[[#This Row],[Muestra]],Estructura!$M$4:$O$500,3,0)</f>
        <v>M-1052</v>
      </c>
    </row>
    <row r="733" spans="1:27" ht="51" x14ac:dyDescent="0.3">
      <c r="A733" s="21" t="s">
        <v>1237</v>
      </c>
      <c r="B733" s="23">
        <f t="shared" si="284"/>
        <v>990</v>
      </c>
      <c r="C733" s="24" t="str">
        <f t="shared" si="285"/>
        <v>Agencia Información</v>
      </c>
      <c r="D733" s="72" t="s">
        <v>954</v>
      </c>
      <c r="E733" s="14">
        <v>0</v>
      </c>
      <c r="F733" s="18" t="s">
        <v>5152</v>
      </c>
      <c r="G733" s="18" t="s">
        <v>1883</v>
      </c>
      <c r="H733" s="31" t="s">
        <v>20</v>
      </c>
      <c r="I733" s="32" t="s">
        <v>15</v>
      </c>
      <c r="J733" s="9" t="s">
        <v>403</v>
      </c>
      <c r="K733" s="9" t="s">
        <v>9295</v>
      </c>
      <c r="L733" s="9" t="s">
        <v>1475</v>
      </c>
      <c r="M733" s="9" t="s">
        <v>1478</v>
      </c>
      <c r="N733" s="9" t="s">
        <v>1480</v>
      </c>
      <c r="O733" s="20" t="str">
        <f>+"Emisiones Netas (kt) de CO2 equivalente por Región en "&amp;I733&amp;", "&amp;Agencia[[#This Row],[temporalidad]]</f>
        <v>Emisiones Netas (kt) de CO2 equivalente por Región en Chile, Año 2018</v>
      </c>
      <c r="P733" s="112" t="s">
        <v>1497</v>
      </c>
      <c r="Q733" s="11" t="s">
        <v>576</v>
      </c>
      <c r="R733" s="20" t="str">
        <f>Agencia[[#This Row],[territorio]]&amp;",GEI,emisiones,netas,CO2 equivalente,dióxido,carbono,regiones,gas,efecto,invernadero,"&amp;Agencia[[#This Row],[coleccion]]&amp;","&amp;Agencia[[#This Row],[sector]]&amp;","&amp;Agencia[[#This Row],[tema]]&amp;","&amp;Agencia[[#This Row],[contenido]]</f>
        <v>Chile,GEI,emisiones,netas,CO2 equivalente,dióxido,carbono,regiones,gas,efecto,invernadero,Agencia Información,Medio Ambiente,Emisiones GEI,Inventario de Gases de Efecto Invernadero (GEI)</v>
      </c>
      <c r="S733" s="22" t="s">
        <v>1496</v>
      </c>
      <c r="T733" s="108">
        <v>0</v>
      </c>
      <c r="U733" s="46" t="str">
        <f t="shared" si="299"/>
        <v>#1774B9</v>
      </c>
      <c r="V733" s="93" t="str">
        <f>+Agencia[[#This Row],[idcoleccion]]&amp;"-"&amp;Agencia[[#This Row],[id]]</f>
        <v>990-0722</v>
      </c>
      <c r="W733" s="93">
        <f>+VLOOKUP(Agencia[[#This Row],[Filtro URL]],Estructura!$X$4:$Y$500,2,0)</f>
        <v>99100000</v>
      </c>
      <c r="X733" s="93" t="str">
        <f>+VLOOKUP(Agencia[[#This Row],[tema]],Estructura!$A$4:$C$500,3,0)</f>
        <v>T-1082</v>
      </c>
      <c r="Y733" s="93" t="str">
        <f>+VLOOKUP(Agencia[[#This Row],[contenido]],Estructura!$E$4:$G$500,3,0)</f>
        <v>C-1004</v>
      </c>
      <c r="Z733" s="93" t="str">
        <f>+VLOOKUP(Agencia[[#This Row],[Filtro Integrado]],Estructura!$I$4:$K$500,3,0)</f>
        <v>FI-993</v>
      </c>
      <c r="AA733" s="93" t="str">
        <f>+VLOOKUP(Agencia[[#This Row],[Muestra]],Estructura!$M$4:$O$500,3,0)</f>
        <v>M-1069</v>
      </c>
    </row>
    <row r="734" spans="1:27" ht="71.400000000000006" x14ac:dyDescent="0.3">
      <c r="A734" s="21" t="s">
        <v>1238</v>
      </c>
      <c r="B734" s="23">
        <f t="shared" ref="B734:B777" si="306">+B733</f>
        <v>990</v>
      </c>
      <c r="C734" s="24" t="str">
        <f t="shared" si="285"/>
        <v>Agencia Información</v>
      </c>
      <c r="D734" s="72" t="s">
        <v>571</v>
      </c>
      <c r="E734" s="14">
        <v>0</v>
      </c>
      <c r="F734" s="18" t="s">
        <v>1498</v>
      </c>
      <c r="G734" s="18" t="s">
        <v>1899</v>
      </c>
      <c r="H734" s="31" t="s">
        <v>20</v>
      </c>
      <c r="I734" s="32" t="s">
        <v>15</v>
      </c>
      <c r="J734" s="9" t="s">
        <v>403</v>
      </c>
      <c r="K734" s="142" t="s">
        <v>9287</v>
      </c>
      <c r="L734" s="9" t="s">
        <v>592</v>
      </c>
      <c r="M734" s="9" t="s">
        <v>594</v>
      </c>
      <c r="N734" s="9" t="s">
        <v>591</v>
      </c>
      <c r="O734" s="20" t="str">
        <f>+"Superficie de Incendios Forestales por Comuna en "&amp;I734&amp;", "&amp;Agencia[[#This Row],[temporalidad]]</f>
        <v>Superficie de Incendios Forestales por Comuna en Chile, Periodo 2010-2020</v>
      </c>
      <c r="P734" s="112" t="s">
        <v>6437</v>
      </c>
      <c r="Q734" s="11" t="s">
        <v>593</v>
      </c>
      <c r="R734" s="20" t="str">
        <f>Agencia[[#This Row],[territorio]]&amp;",incendios,forestales,hectáreas,superficie,comunas,"&amp;Agencia[[#This Row],[coleccion]]&amp;","&amp;Agencia[[#This Row],[sector]]&amp;","&amp;Agencia[[#This Row],[tema]]&amp;","&amp;Agencia[[#This Row],[contenido]]</f>
        <v>Chile,incendios,forestales,hectáreas,superficie,comunas,Agencia Información,Agropecuario y Forestal,Incendios Forestales,Forestal</v>
      </c>
      <c r="S734" s="101" t="s">
        <v>5319</v>
      </c>
      <c r="T734" s="108">
        <v>0</v>
      </c>
      <c r="U734" s="46" t="str">
        <f t="shared" si="299"/>
        <v>#1774B9</v>
      </c>
      <c r="V734" s="93" t="str">
        <f>+Agencia[[#This Row],[idcoleccion]]&amp;"-"&amp;Agencia[[#This Row],[id]]</f>
        <v>990-0723</v>
      </c>
      <c r="W734" s="93">
        <f>+VLOOKUP(Agencia[[#This Row],[Filtro URL]],Estructura!$X$4:$Y$500,2,0)</f>
        <v>99100000</v>
      </c>
      <c r="X734" s="93" t="str">
        <f>+VLOOKUP(Agencia[[#This Row],[tema]],Estructura!$A$4:$C$500,3,0)</f>
        <v>T-1035</v>
      </c>
      <c r="Y734" s="93" t="str">
        <f>+VLOOKUP(Agencia[[#This Row],[contenido]],Estructura!$E$4:$G$500,3,0)</f>
        <v>C-1007</v>
      </c>
      <c r="Z734" s="93" t="str">
        <f>+VLOOKUP(Agencia[[#This Row],[Filtro Integrado]],Estructura!$I$4:$K$500,3,0)</f>
        <v>FI-993</v>
      </c>
      <c r="AA734" s="93" t="str">
        <f>+VLOOKUP(Agencia[[#This Row],[Muestra]],Estructura!$M$4:$O$500,3,0)</f>
        <v>M-1071</v>
      </c>
    </row>
    <row r="735" spans="1:27" ht="91.8" x14ac:dyDescent="0.3">
      <c r="A735" s="21" t="s">
        <v>1239</v>
      </c>
      <c r="B735" s="23">
        <f t="shared" si="306"/>
        <v>990</v>
      </c>
      <c r="C735" s="24" t="str">
        <f t="shared" ref="C735:C778" si="307">+C734</f>
        <v>Agencia Información</v>
      </c>
      <c r="D735" s="72" t="str">
        <f t="shared" ref="D735:D750" si="308">+D734</f>
        <v>Agropecuario y Forestal</v>
      </c>
      <c r="E735" s="19">
        <v>1</v>
      </c>
      <c r="F735" s="18" t="s">
        <v>1498</v>
      </c>
      <c r="G735" s="18" t="s">
        <v>1899</v>
      </c>
      <c r="H735" s="33" t="s">
        <v>16</v>
      </c>
      <c r="I735" s="34" t="s">
        <v>368</v>
      </c>
      <c r="J735" s="9" t="str">
        <f t="shared" ref="J735:J750" si="309">+J734</f>
        <v>Ninguno</v>
      </c>
      <c r="K735" s="142" t="s">
        <v>9287</v>
      </c>
      <c r="L735" s="9" t="str">
        <f t="shared" ref="L735:L750" si="310">+L734</f>
        <v>Periodo 2010-2020</v>
      </c>
      <c r="M735" s="9" t="str">
        <f t="shared" ref="M735:M750" si="311">+M734</f>
        <v>Hectáreas</v>
      </c>
      <c r="N735" s="9" t="str">
        <f t="shared" ref="N735:N750" si="312">+N734</f>
        <v>Corporación Nacional Forestal (CONAF)</v>
      </c>
      <c r="O735" s="20" t="str">
        <f>+"Superficie de Incendios Forestales por Comuna en la "&amp;I735&amp;", "&amp;Agencia[[#This Row],[temporalidad]]</f>
        <v>Superficie de Incendios Forestales por Comuna en la Región de Tarapacá, Periodo 2010-2020</v>
      </c>
      <c r="P735" s="112" t="s">
        <v>6438</v>
      </c>
      <c r="Q735" s="11" t="str">
        <f t="shared" si="298"/>
        <v>Gráfico animado</v>
      </c>
      <c r="R735" s="148" t="str">
        <f>Agencia[[#This Row],[territorio]]&amp;",incendios,forestales,hectáreas,superficie,comunas,"&amp;Agencia[[#This Row],[coleccion]]&amp;","&amp;Agencia[[#This Row],[sector]]&amp;","&amp;Agencia[[#This Row],[tema]]&amp;","&amp;Agencia[[#This Row],[contenido]]</f>
        <v>Región de Tarapacá,incendios,forestales,hectáreas,superficie,comunas,Agencia Información,Agropecuario y Forestal,Incendios Forestales,Forestal</v>
      </c>
      <c r="S735" s="101" t="s">
        <v>5320</v>
      </c>
      <c r="T735" s="111" t="str">
        <f>"100-R-"&amp;Agencia[[#This Row],[Filtro URL]]</f>
        <v>100-R-1</v>
      </c>
      <c r="U735" s="46" t="str">
        <f t="shared" si="299"/>
        <v>#1774B9</v>
      </c>
      <c r="V735" s="93" t="str">
        <f>+Agencia[[#This Row],[idcoleccion]]&amp;"-"&amp;Agencia[[#This Row],[id]]</f>
        <v>990-0724</v>
      </c>
      <c r="W735" s="93">
        <f>+VLOOKUP(Agencia[[#This Row],[Filtro URL]],Estructura!$X$4:$Y$500,2,0)</f>
        <v>99200001</v>
      </c>
      <c r="X735" s="93" t="str">
        <f>+VLOOKUP(Agencia[[#This Row],[tema]],Estructura!$A$4:$C$500,3,0)</f>
        <v>T-1035</v>
      </c>
      <c r="Y735" s="93" t="str">
        <f>+VLOOKUP(Agencia[[#This Row],[contenido]],Estructura!$E$4:$G$500,3,0)</f>
        <v>C-1007</v>
      </c>
      <c r="Z735" s="93" t="str">
        <f>+VLOOKUP(Agencia[[#This Row],[Filtro Integrado]],Estructura!$I$4:$K$500,3,0)</f>
        <v>FI-993</v>
      </c>
      <c r="AA735" s="93" t="str">
        <f>+VLOOKUP(Agencia[[#This Row],[Muestra]],Estructura!$M$4:$O$500,3,0)</f>
        <v>M-1071</v>
      </c>
    </row>
    <row r="736" spans="1:27" ht="91.8" x14ac:dyDescent="0.3">
      <c r="A736" s="21" t="s">
        <v>1240</v>
      </c>
      <c r="B736" s="23">
        <f t="shared" si="306"/>
        <v>990</v>
      </c>
      <c r="C736" s="24" t="str">
        <f t="shared" si="307"/>
        <v>Agencia Información</v>
      </c>
      <c r="D736" s="72" t="str">
        <f t="shared" si="308"/>
        <v>Agropecuario y Forestal</v>
      </c>
      <c r="E736" s="19">
        <v>2</v>
      </c>
      <c r="F736" s="18" t="s">
        <v>1498</v>
      </c>
      <c r="G736" s="18" t="s">
        <v>1899</v>
      </c>
      <c r="H736" s="33" t="s">
        <v>16</v>
      </c>
      <c r="I736" s="34" t="s">
        <v>369</v>
      </c>
      <c r="J736" s="9" t="str">
        <f t="shared" si="309"/>
        <v>Ninguno</v>
      </c>
      <c r="K736" s="9" t="str">
        <f t="shared" ref="K736:K750" si="313">+K735</f>
        <v>Incendios</v>
      </c>
      <c r="L736" s="9" t="str">
        <f t="shared" si="310"/>
        <v>Periodo 2010-2020</v>
      </c>
      <c r="M736" s="9" t="str">
        <f t="shared" si="311"/>
        <v>Hectáreas</v>
      </c>
      <c r="N736" s="9" t="str">
        <f t="shared" si="312"/>
        <v>Corporación Nacional Forestal (CONAF)</v>
      </c>
      <c r="O736" s="20" t="str">
        <f>+"Superficie de Incendios Forestales por Comuna en la "&amp;I736&amp;", "&amp;Agencia[[#This Row],[temporalidad]]</f>
        <v>Superficie de Incendios Forestales por Comuna en la Región de Antofagasta, Periodo 2010-2020</v>
      </c>
      <c r="P736" s="112" t="s">
        <v>6439</v>
      </c>
      <c r="Q736" s="11" t="str">
        <f t="shared" si="298"/>
        <v>Gráfico animado</v>
      </c>
      <c r="R736" s="148" t="str">
        <f>Agencia[[#This Row],[territorio]]&amp;",incendios,forestales,hectáreas,superficie,comunas,"&amp;Agencia[[#This Row],[coleccion]]&amp;","&amp;Agencia[[#This Row],[sector]]&amp;","&amp;Agencia[[#This Row],[tema]]&amp;","&amp;Agencia[[#This Row],[contenido]]</f>
        <v>Región de Antofagasta,incendios,forestales,hectáreas,superficie,comunas,Agencia Información,Agropecuario y Forestal,Incendios Forestales,Forestal</v>
      </c>
      <c r="S736" s="101" t="s">
        <v>5321</v>
      </c>
      <c r="T736" s="111" t="str">
        <f>"100-R-"&amp;Agencia[[#This Row],[Filtro URL]]</f>
        <v>100-R-2</v>
      </c>
      <c r="U736" s="46" t="str">
        <f t="shared" si="299"/>
        <v>#1774B9</v>
      </c>
      <c r="V736" s="93" t="str">
        <f>+Agencia[[#This Row],[idcoleccion]]&amp;"-"&amp;Agencia[[#This Row],[id]]</f>
        <v>990-0725</v>
      </c>
      <c r="W736" s="93">
        <f>+VLOOKUP(Agencia[[#This Row],[Filtro URL]],Estructura!$X$4:$Y$500,2,0)</f>
        <v>99200002</v>
      </c>
      <c r="X736" s="93" t="str">
        <f>+VLOOKUP(Agencia[[#This Row],[tema]],Estructura!$A$4:$C$500,3,0)</f>
        <v>T-1035</v>
      </c>
      <c r="Y736" s="93" t="str">
        <f>+VLOOKUP(Agencia[[#This Row],[contenido]],Estructura!$E$4:$G$500,3,0)</f>
        <v>C-1007</v>
      </c>
      <c r="Z736" s="93" t="str">
        <f>+VLOOKUP(Agencia[[#This Row],[Filtro Integrado]],Estructura!$I$4:$K$500,3,0)</f>
        <v>FI-993</v>
      </c>
      <c r="AA736" s="93" t="str">
        <f>+VLOOKUP(Agencia[[#This Row],[Muestra]],Estructura!$M$4:$O$500,3,0)</f>
        <v>M-1071</v>
      </c>
    </row>
    <row r="737" spans="1:27" ht="91.8" x14ac:dyDescent="0.3">
      <c r="A737" s="21" t="s">
        <v>1241</v>
      </c>
      <c r="B737" s="23">
        <f t="shared" si="306"/>
        <v>990</v>
      </c>
      <c r="C737" s="24" t="str">
        <f t="shared" si="307"/>
        <v>Agencia Información</v>
      </c>
      <c r="D737" s="72" t="str">
        <f t="shared" si="308"/>
        <v>Agropecuario y Forestal</v>
      </c>
      <c r="E737" s="19">
        <v>3</v>
      </c>
      <c r="F737" s="18" t="s">
        <v>1498</v>
      </c>
      <c r="G737" s="18" t="s">
        <v>1899</v>
      </c>
      <c r="H737" s="33" t="s">
        <v>16</v>
      </c>
      <c r="I737" s="34" t="s">
        <v>370</v>
      </c>
      <c r="J737" s="9" t="str">
        <f t="shared" si="309"/>
        <v>Ninguno</v>
      </c>
      <c r="K737" s="9" t="str">
        <f t="shared" si="313"/>
        <v>Incendios</v>
      </c>
      <c r="L737" s="9" t="str">
        <f t="shared" si="310"/>
        <v>Periodo 2010-2020</v>
      </c>
      <c r="M737" s="9" t="str">
        <f t="shared" si="311"/>
        <v>Hectáreas</v>
      </c>
      <c r="N737" s="9" t="str">
        <f t="shared" si="312"/>
        <v>Corporación Nacional Forestal (CONAF)</v>
      </c>
      <c r="O737" s="20" t="str">
        <f>+"Superficie de Incendios Forestales por Comuna en la "&amp;I737&amp;", "&amp;Agencia[[#This Row],[temporalidad]]</f>
        <v>Superficie de Incendios Forestales por Comuna en la Región de Atacama, Periodo 2010-2020</v>
      </c>
      <c r="P737" s="112" t="s">
        <v>6440</v>
      </c>
      <c r="Q737" s="11" t="str">
        <f t="shared" si="298"/>
        <v>Gráfico animado</v>
      </c>
      <c r="R737" s="148" t="str">
        <f>Agencia[[#This Row],[territorio]]&amp;",incendios,forestales,hectáreas,superficie,comunas,"&amp;Agencia[[#This Row],[coleccion]]&amp;","&amp;Agencia[[#This Row],[sector]]&amp;","&amp;Agencia[[#This Row],[tema]]&amp;","&amp;Agencia[[#This Row],[contenido]]</f>
        <v>Región de Atacama,incendios,forestales,hectáreas,superficie,comunas,Agencia Información,Agropecuario y Forestal,Incendios Forestales,Forestal</v>
      </c>
      <c r="S737" s="101" t="s">
        <v>5322</v>
      </c>
      <c r="T737" s="111" t="str">
        <f>"100-R-"&amp;Agencia[[#This Row],[Filtro URL]]</f>
        <v>100-R-3</v>
      </c>
      <c r="U737" s="46" t="str">
        <f t="shared" si="299"/>
        <v>#1774B9</v>
      </c>
      <c r="V737" s="93" t="str">
        <f>+Agencia[[#This Row],[idcoleccion]]&amp;"-"&amp;Agencia[[#This Row],[id]]</f>
        <v>990-0726</v>
      </c>
      <c r="W737" s="93">
        <f>+VLOOKUP(Agencia[[#This Row],[Filtro URL]],Estructura!$X$4:$Y$500,2,0)</f>
        <v>99200003</v>
      </c>
      <c r="X737" s="93" t="str">
        <f>+VLOOKUP(Agencia[[#This Row],[tema]],Estructura!$A$4:$C$500,3,0)</f>
        <v>T-1035</v>
      </c>
      <c r="Y737" s="93" t="str">
        <f>+VLOOKUP(Agencia[[#This Row],[contenido]],Estructura!$E$4:$G$500,3,0)</f>
        <v>C-1007</v>
      </c>
      <c r="Z737" s="93" t="str">
        <f>+VLOOKUP(Agencia[[#This Row],[Filtro Integrado]],Estructura!$I$4:$K$500,3,0)</f>
        <v>FI-993</v>
      </c>
      <c r="AA737" s="93" t="str">
        <f>+VLOOKUP(Agencia[[#This Row],[Muestra]],Estructura!$M$4:$O$500,3,0)</f>
        <v>M-1071</v>
      </c>
    </row>
    <row r="738" spans="1:27" ht="91.8" x14ac:dyDescent="0.3">
      <c r="A738" s="21" t="s">
        <v>1242</v>
      </c>
      <c r="B738" s="23">
        <f t="shared" si="306"/>
        <v>990</v>
      </c>
      <c r="C738" s="24" t="str">
        <f t="shared" si="307"/>
        <v>Agencia Información</v>
      </c>
      <c r="D738" s="72" t="str">
        <f t="shared" si="308"/>
        <v>Agropecuario y Forestal</v>
      </c>
      <c r="E738" s="19">
        <v>4</v>
      </c>
      <c r="F738" s="18" t="s">
        <v>1498</v>
      </c>
      <c r="G738" s="18" t="s">
        <v>1899</v>
      </c>
      <c r="H738" s="33" t="s">
        <v>16</v>
      </c>
      <c r="I738" s="34" t="s">
        <v>371</v>
      </c>
      <c r="J738" s="9" t="str">
        <f t="shared" si="309"/>
        <v>Ninguno</v>
      </c>
      <c r="K738" s="9" t="str">
        <f t="shared" si="313"/>
        <v>Incendios</v>
      </c>
      <c r="L738" s="9" t="str">
        <f t="shared" si="310"/>
        <v>Periodo 2010-2020</v>
      </c>
      <c r="M738" s="9" t="str">
        <f t="shared" si="311"/>
        <v>Hectáreas</v>
      </c>
      <c r="N738" s="9" t="str">
        <f t="shared" si="312"/>
        <v>Corporación Nacional Forestal (CONAF)</v>
      </c>
      <c r="O738" s="20" t="str">
        <f>+"Superficie de Incendios Forestales por Comuna en la "&amp;I738&amp;", "&amp;Agencia[[#This Row],[temporalidad]]</f>
        <v>Superficie de Incendios Forestales por Comuna en la Región de Coquimbo, Periodo 2010-2020</v>
      </c>
      <c r="P738" s="112" t="s">
        <v>6441</v>
      </c>
      <c r="Q738" s="11" t="str">
        <f t="shared" si="298"/>
        <v>Gráfico animado</v>
      </c>
      <c r="R738" s="148" t="str">
        <f>Agencia[[#This Row],[territorio]]&amp;",incendios,forestales,hectáreas,superficie,comunas,"&amp;Agencia[[#This Row],[coleccion]]&amp;","&amp;Agencia[[#This Row],[sector]]&amp;","&amp;Agencia[[#This Row],[tema]]&amp;","&amp;Agencia[[#This Row],[contenido]]</f>
        <v>Región de Coquimbo,incendios,forestales,hectáreas,superficie,comunas,Agencia Información,Agropecuario y Forestal,Incendios Forestales,Forestal</v>
      </c>
      <c r="S738" s="101" t="s">
        <v>5323</v>
      </c>
      <c r="T738" s="111" t="str">
        <f>"100-R-"&amp;Agencia[[#This Row],[Filtro URL]]</f>
        <v>100-R-4</v>
      </c>
      <c r="U738" s="46" t="str">
        <f t="shared" si="299"/>
        <v>#1774B9</v>
      </c>
      <c r="V738" s="93" t="str">
        <f>+Agencia[[#This Row],[idcoleccion]]&amp;"-"&amp;Agencia[[#This Row],[id]]</f>
        <v>990-0727</v>
      </c>
      <c r="W738" s="93">
        <f>+VLOOKUP(Agencia[[#This Row],[Filtro URL]],Estructura!$X$4:$Y$500,2,0)</f>
        <v>99200004</v>
      </c>
      <c r="X738" s="93" t="str">
        <f>+VLOOKUP(Agencia[[#This Row],[tema]],Estructura!$A$4:$C$500,3,0)</f>
        <v>T-1035</v>
      </c>
      <c r="Y738" s="93" t="str">
        <f>+VLOOKUP(Agencia[[#This Row],[contenido]],Estructura!$E$4:$G$500,3,0)</f>
        <v>C-1007</v>
      </c>
      <c r="Z738" s="93" t="str">
        <f>+VLOOKUP(Agencia[[#This Row],[Filtro Integrado]],Estructura!$I$4:$K$500,3,0)</f>
        <v>FI-993</v>
      </c>
      <c r="AA738" s="93" t="str">
        <f>+VLOOKUP(Agencia[[#This Row],[Muestra]],Estructura!$M$4:$O$500,3,0)</f>
        <v>M-1071</v>
      </c>
    </row>
    <row r="739" spans="1:27" ht="91.8" x14ac:dyDescent="0.3">
      <c r="A739" s="21" t="s">
        <v>1243</v>
      </c>
      <c r="B739" s="23">
        <f t="shared" si="306"/>
        <v>990</v>
      </c>
      <c r="C739" s="24" t="str">
        <f t="shared" si="307"/>
        <v>Agencia Información</v>
      </c>
      <c r="D739" s="72" t="str">
        <f t="shared" si="308"/>
        <v>Agropecuario y Forestal</v>
      </c>
      <c r="E739" s="19">
        <v>5</v>
      </c>
      <c r="F739" s="18" t="s">
        <v>1498</v>
      </c>
      <c r="G739" s="18" t="s">
        <v>1899</v>
      </c>
      <c r="H739" s="33" t="s">
        <v>16</v>
      </c>
      <c r="I739" s="34" t="s">
        <v>372</v>
      </c>
      <c r="J739" s="9" t="str">
        <f t="shared" si="309"/>
        <v>Ninguno</v>
      </c>
      <c r="K739" s="9" t="str">
        <f t="shared" si="313"/>
        <v>Incendios</v>
      </c>
      <c r="L739" s="9" t="str">
        <f t="shared" si="310"/>
        <v>Periodo 2010-2020</v>
      </c>
      <c r="M739" s="9" t="str">
        <f t="shared" si="311"/>
        <v>Hectáreas</v>
      </c>
      <c r="N739" s="9" t="str">
        <f t="shared" si="312"/>
        <v>Corporación Nacional Forestal (CONAF)</v>
      </c>
      <c r="O739" s="20" t="str">
        <f>+"Superficie de Incendios Forestales por Comuna en la "&amp;I739&amp;", "&amp;Agencia[[#This Row],[temporalidad]]</f>
        <v>Superficie de Incendios Forestales por Comuna en la Región de Valparaíso, Periodo 2010-2020</v>
      </c>
      <c r="P739" s="112" t="s">
        <v>6442</v>
      </c>
      <c r="Q739" s="11" t="str">
        <f t="shared" si="298"/>
        <v>Gráfico animado</v>
      </c>
      <c r="R739" s="148" t="str">
        <f>Agencia[[#This Row],[territorio]]&amp;",incendios,forestales,hectáreas,superficie,comunas,"&amp;Agencia[[#This Row],[coleccion]]&amp;","&amp;Agencia[[#This Row],[sector]]&amp;","&amp;Agencia[[#This Row],[tema]]&amp;","&amp;Agencia[[#This Row],[contenido]]</f>
        <v>Región de Valparaíso,incendios,forestales,hectáreas,superficie,comunas,Agencia Información,Agropecuario y Forestal,Incendios Forestales,Forestal</v>
      </c>
      <c r="S739" s="101" t="s">
        <v>5324</v>
      </c>
      <c r="T739" s="111" t="str">
        <f>"100-R-"&amp;Agencia[[#This Row],[Filtro URL]]</f>
        <v>100-R-5</v>
      </c>
      <c r="U739" s="46" t="str">
        <f t="shared" si="299"/>
        <v>#1774B9</v>
      </c>
      <c r="V739" s="93" t="str">
        <f>+Agencia[[#This Row],[idcoleccion]]&amp;"-"&amp;Agencia[[#This Row],[id]]</f>
        <v>990-0728</v>
      </c>
      <c r="W739" s="93">
        <f>+VLOOKUP(Agencia[[#This Row],[Filtro URL]],Estructura!$X$4:$Y$500,2,0)</f>
        <v>99200005</v>
      </c>
      <c r="X739" s="93" t="str">
        <f>+VLOOKUP(Agencia[[#This Row],[tema]],Estructura!$A$4:$C$500,3,0)</f>
        <v>T-1035</v>
      </c>
      <c r="Y739" s="93" t="str">
        <f>+VLOOKUP(Agencia[[#This Row],[contenido]],Estructura!$E$4:$G$500,3,0)</f>
        <v>C-1007</v>
      </c>
      <c r="Z739" s="93" t="str">
        <f>+VLOOKUP(Agencia[[#This Row],[Filtro Integrado]],Estructura!$I$4:$K$500,3,0)</f>
        <v>FI-993</v>
      </c>
      <c r="AA739" s="93" t="str">
        <f>+VLOOKUP(Agencia[[#This Row],[Muestra]],Estructura!$M$4:$O$500,3,0)</f>
        <v>M-1071</v>
      </c>
    </row>
    <row r="740" spans="1:27" ht="91.8" x14ac:dyDescent="0.3">
      <c r="A740" s="21" t="s">
        <v>1244</v>
      </c>
      <c r="B740" s="23">
        <f t="shared" si="306"/>
        <v>990</v>
      </c>
      <c r="C740" s="24" t="str">
        <f t="shared" si="307"/>
        <v>Agencia Información</v>
      </c>
      <c r="D740" s="72" t="str">
        <f t="shared" si="308"/>
        <v>Agropecuario y Forestal</v>
      </c>
      <c r="E740" s="19">
        <v>6</v>
      </c>
      <c r="F740" s="18" t="s">
        <v>1498</v>
      </c>
      <c r="G740" s="18" t="s">
        <v>1899</v>
      </c>
      <c r="H740" s="33" t="s">
        <v>16</v>
      </c>
      <c r="I740" s="34" t="s">
        <v>373</v>
      </c>
      <c r="J740" s="9" t="str">
        <f t="shared" si="309"/>
        <v>Ninguno</v>
      </c>
      <c r="K740" s="9" t="str">
        <f t="shared" si="313"/>
        <v>Incendios</v>
      </c>
      <c r="L740" s="9" t="str">
        <f t="shared" si="310"/>
        <v>Periodo 2010-2020</v>
      </c>
      <c r="M740" s="9" t="str">
        <f t="shared" si="311"/>
        <v>Hectáreas</v>
      </c>
      <c r="N740" s="9" t="str">
        <f t="shared" si="312"/>
        <v>Corporación Nacional Forestal (CONAF)</v>
      </c>
      <c r="O740" s="20" t="str">
        <f>+"Superficie de Incendios Forestales por Comuna en la "&amp;I740&amp;", "&amp;Agencia[[#This Row],[temporalidad]]</f>
        <v>Superficie de Incendios Forestales por Comuna en la Región de O'Higgins, Periodo 2010-2020</v>
      </c>
      <c r="P740" s="112" t="s">
        <v>6443</v>
      </c>
      <c r="Q740" s="11" t="str">
        <f t="shared" si="298"/>
        <v>Gráfico animado</v>
      </c>
      <c r="R740" s="148" t="str">
        <f>Agencia[[#This Row],[territorio]]&amp;",incendios,forestales,hectáreas,superficie,comunas,"&amp;Agencia[[#This Row],[coleccion]]&amp;","&amp;Agencia[[#This Row],[sector]]&amp;","&amp;Agencia[[#This Row],[tema]]&amp;","&amp;Agencia[[#This Row],[contenido]]</f>
        <v>Región de O'Higgins,incendios,forestales,hectáreas,superficie,comunas,Agencia Información,Agropecuario y Forestal,Incendios Forestales,Forestal</v>
      </c>
      <c r="S740" s="101" t="s">
        <v>5325</v>
      </c>
      <c r="T740" s="111" t="str">
        <f>"100-R-"&amp;Agencia[[#This Row],[Filtro URL]]</f>
        <v>100-R-6</v>
      </c>
      <c r="U740" s="46" t="str">
        <f t="shared" si="299"/>
        <v>#1774B9</v>
      </c>
      <c r="V740" s="93" t="str">
        <f>+Agencia[[#This Row],[idcoleccion]]&amp;"-"&amp;Agencia[[#This Row],[id]]</f>
        <v>990-0729</v>
      </c>
      <c r="W740" s="93">
        <f>+VLOOKUP(Agencia[[#This Row],[Filtro URL]],Estructura!$X$4:$Y$500,2,0)</f>
        <v>99200006</v>
      </c>
      <c r="X740" s="93" t="str">
        <f>+VLOOKUP(Agencia[[#This Row],[tema]],Estructura!$A$4:$C$500,3,0)</f>
        <v>T-1035</v>
      </c>
      <c r="Y740" s="93" t="str">
        <f>+VLOOKUP(Agencia[[#This Row],[contenido]],Estructura!$E$4:$G$500,3,0)</f>
        <v>C-1007</v>
      </c>
      <c r="Z740" s="93" t="str">
        <f>+VLOOKUP(Agencia[[#This Row],[Filtro Integrado]],Estructura!$I$4:$K$500,3,0)</f>
        <v>FI-993</v>
      </c>
      <c r="AA740" s="93" t="str">
        <f>+VLOOKUP(Agencia[[#This Row],[Muestra]],Estructura!$M$4:$O$500,3,0)</f>
        <v>M-1071</v>
      </c>
    </row>
    <row r="741" spans="1:27" ht="91.8" x14ac:dyDescent="0.3">
      <c r="A741" s="21" t="s">
        <v>1245</v>
      </c>
      <c r="B741" s="23">
        <f t="shared" si="306"/>
        <v>990</v>
      </c>
      <c r="C741" s="24" t="str">
        <f t="shared" si="307"/>
        <v>Agencia Información</v>
      </c>
      <c r="D741" s="72" t="str">
        <f t="shared" si="308"/>
        <v>Agropecuario y Forestal</v>
      </c>
      <c r="E741" s="19">
        <v>7</v>
      </c>
      <c r="F741" s="18" t="s">
        <v>1498</v>
      </c>
      <c r="G741" s="18" t="s">
        <v>1899</v>
      </c>
      <c r="H741" s="33" t="s">
        <v>16</v>
      </c>
      <c r="I741" s="34" t="s">
        <v>374</v>
      </c>
      <c r="J741" s="9" t="str">
        <f t="shared" si="309"/>
        <v>Ninguno</v>
      </c>
      <c r="K741" s="9" t="str">
        <f t="shared" si="313"/>
        <v>Incendios</v>
      </c>
      <c r="L741" s="9" t="str">
        <f t="shared" si="310"/>
        <v>Periodo 2010-2020</v>
      </c>
      <c r="M741" s="9" t="str">
        <f t="shared" si="311"/>
        <v>Hectáreas</v>
      </c>
      <c r="N741" s="9" t="str">
        <f t="shared" si="312"/>
        <v>Corporación Nacional Forestal (CONAF)</v>
      </c>
      <c r="O741" s="20" t="str">
        <f>+"Superficie de Incendios Forestales por Comuna en la "&amp;I741&amp;", "&amp;Agencia[[#This Row],[temporalidad]]</f>
        <v>Superficie de Incendios Forestales por Comuna en la Región de Maule, Periodo 2010-2020</v>
      </c>
      <c r="P741" s="112" t="s">
        <v>6444</v>
      </c>
      <c r="Q741" s="11" t="str">
        <f t="shared" si="298"/>
        <v>Gráfico animado</v>
      </c>
      <c r="R741" s="148" t="str">
        <f>Agencia[[#This Row],[territorio]]&amp;",incendios,forestales,hectáreas,superficie,comunas,"&amp;Agencia[[#This Row],[coleccion]]&amp;","&amp;Agencia[[#This Row],[sector]]&amp;","&amp;Agencia[[#This Row],[tema]]&amp;","&amp;Agencia[[#This Row],[contenido]]</f>
        <v>Región de Maule,incendios,forestales,hectáreas,superficie,comunas,Agencia Información,Agropecuario y Forestal,Incendios Forestales,Forestal</v>
      </c>
      <c r="S741" s="101" t="s">
        <v>5326</v>
      </c>
      <c r="T741" s="111" t="str">
        <f>"100-R-"&amp;Agencia[[#This Row],[Filtro URL]]</f>
        <v>100-R-7</v>
      </c>
      <c r="U741" s="46" t="str">
        <f t="shared" si="299"/>
        <v>#1774B9</v>
      </c>
      <c r="V741" s="93" t="str">
        <f>+Agencia[[#This Row],[idcoleccion]]&amp;"-"&amp;Agencia[[#This Row],[id]]</f>
        <v>990-0730</v>
      </c>
      <c r="W741" s="93">
        <f>+VLOOKUP(Agencia[[#This Row],[Filtro URL]],Estructura!$X$4:$Y$500,2,0)</f>
        <v>99200007</v>
      </c>
      <c r="X741" s="93" t="str">
        <f>+VLOOKUP(Agencia[[#This Row],[tema]],Estructura!$A$4:$C$500,3,0)</f>
        <v>T-1035</v>
      </c>
      <c r="Y741" s="93" t="str">
        <f>+VLOOKUP(Agencia[[#This Row],[contenido]],Estructura!$E$4:$G$500,3,0)</f>
        <v>C-1007</v>
      </c>
      <c r="Z741" s="93" t="str">
        <f>+VLOOKUP(Agencia[[#This Row],[Filtro Integrado]],Estructura!$I$4:$K$500,3,0)</f>
        <v>FI-993</v>
      </c>
      <c r="AA741" s="93" t="str">
        <f>+VLOOKUP(Agencia[[#This Row],[Muestra]],Estructura!$M$4:$O$500,3,0)</f>
        <v>M-1071</v>
      </c>
    </row>
    <row r="742" spans="1:27" ht="91.8" x14ac:dyDescent="0.3">
      <c r="A742" s="21" t="s">
        <v>1246</v>
      </c>
      <c r="B742" s="23">
        <f t="shared" si="306"/>
        <v>990</v>
      </c>
      <c r="C742" s="24" t="str">
        <f t="shared" si="307"/>
        <v>Agencia Información</v>
      </c>
      <c r="D742" s="72" t="str">
        <f t="shared" si="308"/>
        <v>Agropecuario y Forestal</v>
      </c>
      <c r="E742" s="19">
        <v>8</v>
      </c>
      <c r="F742" s="18" t="s">
        <v>1498</v>
      </c>
      <c r="G742" s="18" t="s">
        <v>1899</v>
      </c>
      <c r="H742" s="33" t="s">
        <v>16</v>
      </c>
      <c r="I742" s="34" t="s">
        <v>375</v>
      </c>
      <c r="J742" s="9" t="str">
        <f t="shared" si="309"/>
        <v>Ninguno</v>
      </c>
      <c r="K742" s="9" t="str">
        <f t="shared" si="313"/>
        <v>Incendios</v>
      </c>
      <c r="L742" s="9" t="str">
        <f t="shared" si="310"/>
        <v>Periodo 2010-2020</v>
      </c>
      <c r="M742" s="9" t="str">
        <f t="shared" si="311"/>
        <v>Hectáreas</v>
      </c>
      <c r="N742" s="9" t="str">
        <f t="shared" si="312"/>
        <v>Corporación Nacional Forestal (CONAF)</v>
      </c>
      <c r="O742" s="20" t="str">
        <f>+"Superficie de Incendios Forestales por Comuna en la "&amp;I742&amp;", "&amp;Agencia[[#This Row],[temporalidad]]</f>
        <v>Superficie de Incendios Forestales por Comuna en la Región del Biobío, Periodo 2010-2020</v>
      </c>
      <c r="P742" s="112" t="s">
        <v>6453</v>
      </c>
      <c r="Q742" s="11" t="str">
        <f t="shared" si="298"/>
        <v>Gráfico animado</v>
      </c>
      <c r="R742" s="148" t="str">
        <f>Agencia[[#This Row],[territorio]]&amp;",incendios,forestales,hectáreas,superficie,comunas,"&amp;Agencia[[#This Row],[coleccion]]&amp;","&amp;Agencia[[#This Row],[sector]]&amp;","&amp;Agencia[[#This Row],[tema]]&amp;","&amp;Agencia[[#This Row],[contenido]]</f>
        <v>Región del Biobío,incendios,forestales,hectáreas,superficie,comunas,Agencia Información,Agropecuario y Forestal,Incendios Forestales,Forestal</v>
      </c>
      <c r="S742" s="101" t="s">
        <v>5327</v>
      </c>
      <c r="T742" s="111" t="str">
        <f>"100-R-"&amp;Agencia[[#This Row],[Filtro URL]]</f>
        <v>100-R-8</v>
      </c>
      <c r="U742" s="46" t="str">
        <f t="shared" si="299"/>
        <v>#1774B9</v>
      </c>
      <c r="V742" s="93" t="str">
        <f>+Agencia[[#This Row],[idcoleccion]]&amp;"-"&amp;Agencia[[#This Row],[id]]</f>
        <v>990-0731</v>
      </c>
      <c r="W742" s="93">
        <f>+VLOOKUP(Agencia[[#This Row],[Filtro URL]],Estructura!$X$4:$Y$500,2,0)</f>
        <v>99200008</v>
      </c>
      <c r="X742" s="93" t="str">
        <f>+VLOOKUP(Agencia[[#This Row],[tema]],Estructura!$A$4:$C$500,3,0)</f>
        <v>T-1035</v>
      </c>
      <c r="Y742" s="93" t="str">
        <f>+VLOOKUP(Agencia[[#This Row],[contenido]],Estructura!$E$4:$G$500,3,0)</f>
        <v>C-1007</v>
      </c>
      <c r="Z742" s="93" t="str">
        <f>+VLOOKUP(Agencia[[#This Row],[Filtro Integrado]],Estructura!$I$4:$K$500,3,0)</f>
        <v>FI-993</v>
      </c>
      <c r="AA742" s="93" t="str">
        <f>+VLOOKUP(Agencia[[#This Row],[Muestra]],Estructura!$M$4:$O$500,3,0)</f>
        <v>M-1071</v>
      </c>
    </row>
    <row r="743" spans="1:27" ht="91.8" x14ac:dyDescent="0.3">
      <c r="A743" s="21" t="s">
        <v>1247</v>
      </c>
      <c r="B743" s="23">
        <f t="shared" si="306"/>
        <v>990</v>
      </c>
      <c r="C743" s="24" t="str">
        <f t="shared" si="307"/>
        <v>Agencia Información</v>
      </c>
      <c r="D743" s="72" t="str">
        <f t="shared" si="308"/>
        <v>Agropecuario y Forestal</v>
      </c>
      <c r="E743" s="19">
        <v>9</v>
      </c>
      <c r="F743" s="18" t="s">
        <v>1498</v>
      </c>
      <c r="G743" s="18" t="s">
        <v>1899</v>
      </c>
      <c r="H743" s="33" t="s">
        <v>16</v>
      </c>
      <c r="I743" s="34" t="s">
        <v>376</v>
      </c>
      <c r="J743" s="9" t="str">
        <f t="shared" si="309"/>
        <v>Ninguno</v>
      </c>
      <c r="K743" s="9" t="str">
        <f t="shared" si="313"/>
        <v>Incendios</v>
      </c>
      <c r="L743" s="9" t="str">
        <f t="shared" si="310"/>
        <v>Periodo 2010-2020</v>
      </c>
      <c r="M743" s="9" t="str">
        <f t="shared" si="311"/>
        <v>Hectáreas</v>
      </c>
      <c r="N743" s="9" t="str">
        <f t="shared" si="312"/>
        <v>Corporación Nacional Forestal (CONAF)</v>
      </c>
      <c r="O743" s="20" t="str">
        <f>+"Superficie de Incendios Forestales por Comuna en la "&amp;I743&amp;", "&amp;Agencia[[#This Row],[temporalidad]]</f>
        <v>Superficie de Incendios Forestales por Comuna en la Región de La Araucanía, Periodo 2010-2020</v>
      </c>
      <c r="P743" s="112" t="s">
        <v>6445</v>
      </c>
      <c r="Q743" s="11" t="str">
        <f t="shared" si="298"/>
        <v>Gráfico animado</v>
      </c>
      <c r="R743" s="148" t="str">
        <f>Agencia[[#This Row],[territorio]]&amp;",incendios,forestales,hectáreas,superficie,comunas,"&amp;Agencia[[#This Row],[coleccion]]&amp;","&amp;Agencia[[#This Row],[sector]]&amp;","&amp;Agencia[[#This Row],[tema]]&amp;","&amp;Agencia[[#This Row],[contenido]]</f>
        <v>Región de La Araucanía,incendios,forestales,hectáreas,superficie,comunas,Agencia Información,Agropecuario y Forestal,Incendios Forestales,Forestal</v>
      </c>
      <c r="S743" s="101" t="s">
        <v>5328</v>
      </c>
      <c r="T743" s="111" t="str">
        <f>"100-R-"&amp;Agencia[[#This Row],[Filtro URL]]</f>
        <v>100-R-9</v>
      </c>
      <c r="U743" s="46" t="str">
        <f t="shared" si="299"/>
        <v>#1774B9</v>
      </c>
      <c r="V743" s="93" t="str">
        <f>+Agencia[[#This Row],[idcoleccion]]&amp;"-"&amp;Agencia[[#This Row],[id]]</f>
        <v>990-0732</v>
      </c>
      <c r="W743" s="93">
        <f>+VLOOKUP(Agencia[[#This Row],[Filtro URL]],Estructura!$X$4:$Y$500,2,0)</f>
        <v>99200009</v>
      </c>
      <c r="X743" s="93" t="str">
        <f>+VLOOKUP(Agencia[[#This Row],[tema]],Estructura!$A$4:$C$500,3,0)</f>
        <v>T-1035</v>
      </c>
      <c r="Y743" s="93" t="str">
        <f>+VLOOKUP(Agencia[[#This Row],[contenido]],Estructura!$E$4:$G$500,3,0)</f>
        <v>C-1007</v>
      </c>
      <c r="Z743" s="93" t="str">
        <f>+VLOOKUP(Agencia[[#This Row],[Filtro Integrado]],Estructura!$I$4:$K$500,3,0)</f>
        <v>FI-993</v>
      </c>
      <c r="AA743" s="93" t="str">
        <f>+VLOOKUP(Agencia[[#This Row],[Muestra]],Estructura!$M$4:$O$500,3,0)</f>
        <v>M-1071</v>
      </c>
    </row>
    <row r="744" spans="1:27" ht="91.8" x14ac:dyDescent="0.3">
      <c r="A744" s="21" t="s">
        <v>1248</v>
      </c>
      <c r="B744" s="23">
        <f t="shared" si="306"/>
        <v>990</v>
      </c>
      <c r="C744" s="24" t="str">
        <f t="shared" si="307"/>
        <v>Agencia Información</v>
      </c>
      <c r="D744" s="72" t="str">
        <f t="shared" si="308"/>
        <v>Agropecuario y Forestal</v>
      </c>
      <c r="E744" s="19">
        <v>10</v>
      </c>
      <c r="F744" s="18" t="s">
        <v>1498</v>
      </c>
      <c r="G744" s="18" t="s">
        <v>1899</v>
      </c>
      <c r="H744" s="33" t="s">
        <v>16</v>
      </c>
      <c r="I744" s="34" t="s">
        <v>377</v>
      </c>
      <c r="J744" s="9" t="str">
        <f t="shared" si="309"/>
        <v>Ninguno</v>
      </c>
      <c r="K744" s="9" t="str">
        <f t="shared" si="313"/>
        <v>Incendios</v>
      </c>
      <c r="L744" s="9" t="str">
        <f t="shared" si="310"/>
        <v>Periodo 2010-2020</v>
      </c>
      <c r="M744" s="9" t="str">
        <f t="shared" si="311"/>
        <v>Hectáreas</v>
      </c>
      <c r="N744" s="9" t="str">
        <f t="shared" si="312"/>
        <v>Corporación Nacional Forestal (CONAF)</v>
      </c>
      <c r="O744" s="20" t="str">
        <f>+"Superficie de Incendios Forestales por Comuna en la "&amp;I744&amp;", "&amp;Agencia[[#This Row],[temporalidad]]</f>
        <v>Superficie de Incendios Forestales por Comuna en la Región de Los Lagos, Periodo 2010-2020</v>
      </c>
      <c r="P744" s="112" t="s">
        <v>6446</v>
      </c>
      <c r="Q744" s="11" t="str">
        <f t="shared" si="298"/>
        <v>Gráfico animado</v>
      </c>
      <c r="R744" s="148" t="str">
        <f>Agencia[[#This Row],[territorio]]&amp;",incendios,forestales,hectáreas,superficie,comunas,"&amp;Agencia[[#This Row],[coleccion]]&amp;","&amp;Agencia[[#This Row],[sector]]&amp;","&amp;Agencia[[#This Row],[tema]]&amp;","&amp;Agencia[[#This Row],[contenido]]</f>
        <v>Región de Los Lagos,incendios,forestales,hectáreas,superficie,comunas,Agencia Información,Agropecuario y Forestal,Incendios Forestales,Forestal</v>
      </c>
      <c r="S744" s="101" t="s">
        <v>5329</v>
      </c>
      <c r="T744" s="111" t="str">
        <f>"100-R-"&amp;Agencia[[#This Row],[Filtro URL]]</f>
        <v>100-R-10</v>
      </c>
      <c r="U744" s="46" t="str">
        <f t="shared" si="299"/>
        <v>#1774B9</v>
      </c>
      <c r="V744" s="93" t="str">
        <f>+Agencia[[#This Row],[idcoleccion]]&amp;"-"&amp;Agencia[[#This Row],[id]]</f>
        <v>990-0733</v>
      </c>
      <c r="W744" s="93">
        <f>+VLOOKUP(Agencia[[#This Row],[Filtro URL]],Estructura!$X$4:$Y$500,2,0)</f>
        <v>99200010</v>
      </c>
      <c r="X744" s="93" t="str">
        <f>+VLOOKUP(Agencia[[#This Row],[tema]],Estructura!$A$4:$C$500,3,0)</f>
        <v>T-1035</v>
      </c>
      <c r="Y744" s="93" t="str">
        <f>+VLOOKUP(Agencia[[#This Row],[contenido]],Estructura!$E$4:$G$500,3,0)</f>
        <v>C-1007</v>
      </c>
      <c r="Z744" s="93" t="str">
        <f>+VLOOKUP(Agencia[[#This Row],[Filtro Integrado]],Estructura!$I$4:$K$500,3,0)</f>
        <v>FI-993</v>
      </c>
      <c r="AA744" s="93" t="str">
        <f>+VLOOKUP(Agencia[[#This Row],[Muestra]],Estructura!$M$4:$O$500,3,0)</f>
        <v>M-1071</v>
      </c>
    </row>
    <row r="745" spans="1:27" ht="91.8" x14ac:dyDescent="0.3">
      <c r="A745" s="21" t="s">
        <v>1249</v>
      </c>
      <c r="B745" s="23">
        <f t="shared" si="306"/>
        <v>990</v>
      </c>
      <c r="C745" s="24" t="str">
        <f t="shared" si="307"/>
        <v>Agencia Información</v>
      </c>
      <c r="D745" s="72" t="str">
        <f t="shared" si="308"/>
        <v>Agropecuario y Forestal</v>
      </c>
      <c r="E745" s="19">
        <v>11</v>
      </c>
      <c r="F745" s="18" t="s">
        <v>1498</v>
      </c>
      <c r="G745" s="18" t="s">
        <v>1899</v>
      </c>
      <c r="H745" s="33" t="s">
        <v>16</v>
      </c>
      <c r="I745" s="34" t="s">
        <v>378</v>
      </c>
      <c r="J745" s="9" t="str">
        <f t="shared" si="309"/>
        <v>Ninguno</v>
      </c>
      <c r="K745" s="9" t="str">
        <f t="shared" si="313"/>
        <v>Incendios</v>
      </c>
      <c r="L745" s="9" t="str">
        <f t="shared" si="310"/>
        <v>Periodo 2010-2020</v>
      </c>
      <c r="M745" s="9" t="str">
        <f t="shared" si="311"/>
        <v>Hectáreas</v>
      </c>
      <c r="N745" s="9" t="str">
        <f t="shared" si="312"/>
        <v>Corporación Nacional Forestal (CONAF)</v>
      </c>
      <c r="O745" s="20" t="str">
        <f>+"Superficie de Incendios Forestales por Comuna en la "&amp;I745&amp;", "&amp;Agencia[[#This Row],[temporalidad]]</f>
        <v>Superficie de Incendios Forestales por Comuna en la Región de Aysén, Periodo 2010-2020</v>
      </c>
      <c r="P745" s="112" t="s">
        <v>6447</v>
      </c>
      <c r="Q745" s="11" t="str">
        <f t="shared" si="298"/>
        <v>Gráfico animado</v>
      </c>
      <c r="R745" s="148" t="str">
        <f>Agencia[[#This Row],[territorio]]&amp;",incendios,forestales,hectáreas,superficie,comunas,"&amp;Agencia[[#This Row],[coleccion]]&amp;","&amp;Agencia[[#This Row],[sector]]&amp;","&amp;Agencia[[#This Row],[tema]]&amp;","&amp;Agencia[[#This Row],[contenido]]</f>
        <v>Región de Aysén,incendios,forestales,hectáreas,superficie,comunas,Agencia Información,Agropecuario y Forestal,Incendios Forestales,Forestal</v>
      </c>
      <c r="S745" s="101" t="s">
        <v>5330</v>
      </c>
      <c r="T745" s="111" t="str">
        <f>"100-R-"&amp;Agencia[[#This Row],[Filtro URL]]</f>
        <v>100-R-11</v>
      </c>
      <c r="U745" s="46" t="str">
        <f t="shared" si="299"/>
        <v>#1774B9</v>
      </c>
      <c r="V745" s="93" t="str">
        <f>+Agencia[[#This Row],[idcoleccion]]&amp;"-"&amp;Agencia[[#This Row],[id]]</f>
        <v>990-0734</v>
      </c>
      <c r="W745" s="93">
        <f>+VLOOKUP(Agencia[[#This Row],[Filtro URL]],Estructura!$X$4:$Y$500,2,0)</f>
        <v>99200011</v>
      </c>
      <c r="X745" s="93" t="str">
        <f>+VLOOKUP(Agencia[[#This Row],[tema]],Estructura!$A$4:$C$500,3,0)</f>
        <v>T-1035</v>
      </c>
      <c r="Y745" s="93" t="str">
        <f>+VLOOKUP(Agencia[[#This Row],[contenido]],Estructura!$E$4:$G$500,3,0)</f>
        <v>C-1007</v>
      </c>
      <c r="Z745" s="93" t="str">
        <f>+VLOOKUP(Agencia[[#This Row],[Filtro Integrado]],Estructura!$I$4:$K$500,3,0)</f>
        <v>FI-993</v>
      </c>
      <c r="AA745" s="93" t="str">
        <f>+VLOOKUP(Agencia[[#This Row],[Muestra]],Estructura!$M$4:$O$500,3,0)</f>
        <v>M-1071</v>
      </c>
    </row>
    <row r="746" spans="1:27" ht="91.8" x14ac:dyDescent="0.3">
      <c r="A746" s="21" t="s">
        <v>1250</v>
      </c>
      <c r="B746" s="23">
        <f t="shared" si="306"/>
        <v>990</v>
      </c>
      <c r="C746" s="24" t="str">
        <f t="shared" si="307"/>
        <v>Agencia Información</v>
      </c>
      <c r="D746" s="72" t="str">
        <f t="shared" si="308"/>
        <v>Agropecuario y Forestal</v>
      </c>
      <c r="E746" s="19">
        <v>12</v>
      </c>
      <c r="F746" s="18" t="s">
        <v>1498</v>
      </c>
      <c r="G746" s="18" t="s">
        <v>1899</v>
      </c>
      <c r="H746" s="33" t="s">
        <v>16</v>
      </c>
      <c r="I746" s="34" t="s">
        <v>379</v>
      </c>
      <c r="J746" s="9" t="str">
        <f t="shared" si="309"/>
        <v>Ninguno</v>
      </c>
      <c r="K746" s="9" t="str">
        <f t="shared" si="313"/>
        <v>Incendios</v>
      </c>
      <c r="L746" s="9" t="str">
        <f t="shared" si="310"/>
        <v>Periodo 2010-2020</v>
      </c>
      <c r="M746" s="9" t="str">
        <f t="shared" si="311"/>
        <v>Hectáreas</v>
      </c>
      <c r="N746" s="9" t="str">
        <f t="shared" si="312"/>
        <v>Corporación Nacional Forestal (CONAF)</v>
      </c>
      <c r="O746" s="20" t="str">
        <f>+"Superficie de Incendios Forestales por Comuna en la "&amp;I746&amp;", "&amp;Agencia[[#This Row],[temporalidad]]</f>
        <v>Superficie de Incendios Forestales por Comuna en la Región de Magallanes, Periodo 2010-2020</v>
      </c>
      <c r="P746" s="112" t="s">
        <v>6448</v>
      </c>
      <c r="Q746" s="11" t="str">
        <f t="shared" si="298"/>
        <v>Gráfico animado</v>
      </c>
      <c r="R746" s="148" t="str">
        <f>Agencia[[#This Row],[territorio]]&amp;",incendios,forestales,hectáreas,superficie,comunas,"&amp;Agencia[[#This Row],[coleccion]]&amp;","&amp;Agencia[[#This Row],[sector]]&amp;","&amp;Agencia[[#This Row],[tema]]&amp;","&amp;Agencia[[#This Row],[contenido]]</f>
        <v>Región de Magallanes,incendios,forestales,hectáreas,superficie,comunas,Agencia Información,Agropecuario y Forestal,Incendios Forestales,Forestal</v>
      </c>
      <c r="S746" s="101" t="s">
        <v>5331</v>
      </c>
      <c r="T746" s="111" t="str">
        <f>"100-R-"&amp;Agencia[[#This Row],[Filtro URL]]</f>
        <v>100-R-12</v>
      </c>
      <c r="U746" s="46" t="str">
        <f t="shared" si="299"/>
        <v>#1774B9</v>
      </c>
      <c r="V746" s="93" t="str">
        <f>+Agencia[[#This Row],[idcoleccion]]&amp;"-"&amp;Agencia[[#This Row],[id]]</f>
        <v>990-0735</v>
      </c>
      <c r="W746" s="93">
        <f>+VLOOKUP(Agencia[[#This Row],[Filtro URL]],Estructura!$X$4:$Y$500,2,0)</f>
        <v>99200012</v>
      </c>
      <c r="X746" s="93" t="str">
        <f>+VLOOKUP(Agencia[[#This Row],[tema]],Estructura!$A$4:$C$500,3,0)</f>
        <v>T-1035</v>
      </c>
      <c r="Y746" s="93" t="str">
        <f>+VLOOKUP(Agencia[[#This Row],[contenido]],Estructura!$E$4:$G$500,3,0)</f>
        <v>C-1007</v>
      </c>
      <c r="Z746" s="93" t="str">
        <f>+VLOOKUP(Agencia[[#This Row],[Filtro Integrado]],Estructura!$I$4:$K$500,3,0)</f>
        <v>FI-993</v>
      </c>
      <c r="AA746" s="93" t="str">
        <f>+VLOOKUP(Agencia[[#This Row],[Muestra]],Estructura!$M$4:$O$500,3,0)</f>
        <v>M-1071</v>
      </c>
    </row>
    <row r="747" spans="1:27" ht="91.8" x14ac:dyDescent="0.3">
      <c r="A747" s="21" t="s">
        <v>1251</v>
      </c>
      <c r="B747" s="23">
        <f t="shared" si="306"/>
        <v>990</v>
      </c>
      <c r="C747" s="24" t="str">
        <f t="shared" si="307"/>
        <v>Agencia Información</v>
      </c>
      <c r="D747" s="72" t="str">
        <f t="shared" si="308"/>
        <v>Agropecuario y Forestal</v>
      </c>
      <c r="E747" s="19">
        <v>13</v>
      </c>
      <c r="F747" s="18" t="s">
        <v>1498</v>
      </c>
      <c r="G747" s="18" t="s">
        <v>1899</v>
      </c>
      <c r="H747" s="33" t="s">
        <v>16</v>
      </c>
      <c r="I747" s="34" t="s">
        <v>380</v>
      </c>
      <c r="J747" s="9" t="str">
        <f t="shared" si="309"/>
        <v>Ninguno</v>
      </c>
      <c r="K747" s="9" t="str">
        <f t="shared" si="313"/>
        <v>Incendios</v>
      </c>
      <c r="L747" s="9" t="str">
        <f t="shared" si="310"/>
        <v>Periodo 2010-2020</v>
      </c>
      <c r="M747" s="9" t="str">
        <f t="shared" si="311"/>
        <v>Hectáreas</v>
      </c>
      <c r="N747" s="9" t="str">
        <f t="shared" si="312"/>
        <v>Corporación Nacional Forestal (CONAF)</v>
      </c>
      <c r="O747" s="20" t="str">
        <f>+"Superficie de Incendios Forestales por Comuna en la "&amp;I747&amp;", "&amp;Agencia[[#This Row],[temporalidad]]</f>
        <v>Superficie de Incendios Forestales por Comuna en la Región Metropolitana, Periodo 2010-2020</v>
      </c>
      <c r="P747" s="112" t="s">
        <v>6449</v>
      </c>
      <c r="Q747" s="11" t="str">
        <f t="shared" si="298"/>
        <v>Gráfico animado</v>
      </c>
      <c r="R747" s="148" t="str">
        <f>Agencia[[#This Row],[territorio]]&amp;",incendios,forestales,hectáreas,superficie,comunas,"&amp;Agencia[[#This Row],[coleccion]]&amp;","&amp;Agencia[[#This Row],[sector]]&amp;","&amp;Agencia[[#This Row],[tema]]&amp;","&amp;Agencia[[#This Row],[contenido]]</f>
        <v>Región Metropolitana,incendios,forestales,hectáreas,superficie,comunas,Agencia Información,Agropecuario y Forestal,Incendios Forestales,Forestal</v>
      </c>
      <c r="S747" s="101" t="s">
        <v>5332</v>
      </c>
      <c r="T747" s="111" t="str">
        <f>"200-R-"&amp;Agencia[[#This Row],[Filtro URL]]</f>
        <v>200-R-13</v>
      </c>
      <c r="U747" s="46" t="str">
        <f t="shared" si="299"/>
        <v>#1774B9</v>
      </c>
      <c r="V747" s="93" t="str">
        <f>+Agencia[[#This Row],[idcoleccion]]&amp;"-"&amp;Agencia[[#This Row],[id]]</f>
        <v>990-0736</v>
      </c>
      <c r="W747" s="93">
        <f>+VLOOKUP(Agencia[[#This Row],[Filtro URL]],Estructura!$X$4:$Y$500,2,0)</f>
        <v>99200013</v>
      </c>
      <c r="X747" s="93" t="str">
        <f>+VLOOKUP(Agencia[[#This Row],[tema]],Estructura!$A$4:$C$500,3,0)</f>
        <v>T-1035</v>
      </c>
      <c r="Y747" s="93" t="str">
        <f>+VLOOKUP(Agencia[[#This Row],[contenido]],Estructura!$E$4:$G$500,3,0)</f>
        <v>C-1007</v>
      </c>
      <c r="Z747" s="93" t="str">
        <f>+VLOOKUP(Agencia[[#This Row],[Filtro Integrado]],Estructura!$I$4:$K$500,3,0)</f>
        <v>FI-993</v>
      </c>
      <c r="AA747" s="93" t="str">
        <f>+VLOOKUP(Agencia[[#This Row],[Muestra]],Estructura!$M$4:$O$500,3,0)</f>
        <v>M-1071</v>
      </c>
    </row>
    <row r="748" spans="1:27" ht="91.8" x14ac:dyDescent="0.3">
      <c r="A748" s="21" t="s">
        <v>1252</v>
      </c>
      <c r="B748" s="23">
        <f t="shared" si="306"/>
        <v>990</v>
      </c>
      <c r="C748" s="24" t="str">
        <f t="shared" si="307"/>
        <v>Agencia Información</v>
      </c>
      <c r="D748" s="72" t="str">
        <f t="shared" si="308"/>
        <v>Agropecuario y Forestal</v>
      </c>
      <c r="E748" s="19">
        <v>14</v>
      </c>
      <c r="F748" s="18" t="s">
        <v>1498</v>
      </c>
      <c r="G748" s="18" t="s">
        <v>1899</v>
      </c>
      <c r="H748" s="33" t="s">
        <v>16</v>
      </c>
      <c r="I748" s="34" t="s">
        <v>381</v>
      </c>
      <c r="J748" s="9" t="str">
        <f t="shared" si="309"/>
        <v>Ninguno</v>
      </c>
      <c r="K748" s="9" t="str">
        <f t="shared" si="313"/>
        <v>Incendios</v>
      </c>
      <c r="L748" s="9" t="str">
        <f t="shared" si="310"/>
        <v>Periodo 2010-2020</v>
      </c>
      <c r="M748" s="9" t="str">
        <f t="shared" si="311"/>
        <v>Hectáreas</v>
      </c>
      <c r="N748" s="9" t="str">
        <f t="shared" si="312"/>
        <v>Corporación Nacional Forestal (CONAF)</v>
      </c>
      <c r="O748" s="20" t="str">
        <f>+"Superficie de Incendios Forestales por Comuna en la "&amp;I748&amp;", "&amp;Agencia[[#This Row],[temporalidad]]</f>
        <v>Superficie de Incendios Forestales por Comuna en la Región de Los Ríos, Periodo 2010-2020</v>
      </c>
      <c r="P748" s="112" t="s">
        <v>6450</v>
      </c>
      <c r="Q748" s="11" t="str">
        <f t="shared" si="298"/>
        <v>Gráfico animado</v>
      </c>
      <c r="R748" s="148" t="str">
        <f>Agencia[[#This Row],[territorio]]&amp;",incendios,forestales,hectáreas,superficie,comunas,"&amp;Agencia[[#This Row],[coleccion]]&amp;","&amp;Agencia[[#This Row],[sector]]&amp;","&amp;Agencia[[#This Row],[tema]]&amp;","&amp;Agencia[[#This Row],[contenido]]</f>
        <v>Región de Los Ríos,incendios,forestales,hectáreas,superficie,comunas,Agencia Información,Agropecuario y Forestal,Incendios Forestales,Forestal</v>
      </c>
      <c r="S748" s="101" t="s">
        <v>5333</v>
      </c>
      <c r="T748" s="111" t="str">
        <f>"100-R-"&amp;Agencia[[#This Row],[Filtro URL]]</f>
        <v>100-R-14</v>
      </c>
      <c r="U748" s="46" t="str">
        <f t="shared" si="299"/>
        <v>#1774B9</v>
      </c>
      <c r="V748" s="93" t="str">
        <f>+Agencia[[#This Row],[idcoleccion]]&amp;"-"&amp;Agencia[[#This Row],[id]]</f>
        <v>990-0737</v>
      </c>
      <c r="W748" s="93">
        <f>+VLOOKUP(Agencia[[#This Row],[Filtro URL]],Estructura!$X$4:$Y$500,2,0)</f>
        <v>99200014</v>
      </c>
      <c r="X748" s="93" t="str">
        <f>+VLOOKUP(Agencia[[#This Row],[tema]],Estructura!$A$4:$C$500,3,0)</f>
        <v>T-1035</v>
      </c>
      <c r="Y748" s="93" t="str">
        <f>+VLOOKUP(Agencia[[#This Row],[contenido]],Estructura!$E$4:$G$500,3,0)</f>
        <v>C-1007</v>
      </c>
      <c r="Z748" s="93" t="str">
        <f>+VLOOKUP(Agencia[[#This Row],[Filtro Integrado]],Estructura!$I$4:$K$500,3,0)</f>
        <v>FI-993</v>
      </c>
      <c r="AA748" s="93" t="str">
        <f>+VLOOKUP(Agencia[[#This Row],[Muestra]],Estructura!$M$4:$O$500,3,0)</f>
        <v>M-1071</v>
      </c>
    </row>
    <row r="749" spans="1:27" ht="91.8" x14ac:dyDescent="0.3">
      <c r="A749" s="21" t="s">
        <v>1253</v>
      </c>
      <c r="B749" s="23">
        <f t="shared" si="306"/>
        <v>990</v>
      </c>
      <c r="C749" s="24" t="str">
        <f t="shared" si="307"/>
        <v>Agencia Información</v>
      </c>
      <c r="D749" s="72" t="str">
        <f t="shared" si="308"/>
        <v>Agropecuario y Forestal</v>
      </c>
      <c r="E749" s="19">
        <v>15</v>
      </c>
      <c r="F749" s="18" t="s">
        <v>1498</v>
      </c>
      <c r="G749" s="18" t="s">
        <v>1899</v>
      </c>
      <c r="H749" s="33" t="s">
        <v>16</v>
      </c>
      <c r="I749" s="34" t="s">
        <v>382</v>
      </c>
      <c r="J749" s="9" t="str">
        <f t="shared" si="309"/>
        <v>Ninguno</v>
      </c>
      <c r="K749" s="9" t="str">
        <f t="shared" si="313"/>
        <v>Incendios</v>
      </c>
      <c r="L749" s="9" t="str">
        <f t="shared" si="310"/>
        <v>Periodo 2010-2020</v>
      </c>
      <c r="M749" s="9" t="str">
        <f t="shared" si="311"/>
        <v>Hectáreas</v>
      </c>
      <c r="N749" s="9" t="str">
        <f t="shared" si="312"/>
        <v>Corporación Nacional Forestal (CONAF)</v>
      </c>
      <c r="O749" s="20" t="str">
        <f>+"Superficie de Incendios Forestales por Comuna en la "&amp;I749&amp;", "&amp;Agencia[[#This Row],[temporalidad]]</f>
        <v>Superficie de Incendios Forestales por Comuna en la Región de Arica y Parinacota, Periodo 2010-2020</v>
      </c>
      <c r="P749" s="112" t="s">
        <v>6451</v>
      </c>
      <c r="Q749" s="11" t="str">
        <f t="shared" si="298"/>
        <v>Gráfico animado</v>
      </c>
      <c r="R749" s="148" t="str">
        <f>Agencia[[#This Row],[territorio]]&amp;",incendios,forestales,hectáreas,superficie,comunas,"&amp;Agencia[[#This Row],[coleccion]]&amp;","&amp;Agencia[[#This Row],[sector]]&amp;","&amp;Agencia[[#This Row],[tema]]&amp;","&amp;Agencia[[#This Row],[contenido]]</f>
        <v>Región de Arica y Parinacota,incendios,forestales,hectáreas,superficie,comunas,Agencia Información,Agropecuario y Forestal,Incendios Forestales,Forestal</v>
      </c>
      <c r="S749" s="101" t="s">
        <v>5334</v>
      </c>
      <c r="T749" s="111" t="str">
        <f>"100-R-"&amp;Agencia[[#This Row],[Filtro URL]]</f>
        <v>100-R-15</v>
      </c>
      <c r="U749" s="46" t="str">
        <f t="shared" si="299"/>
        <v>#1774B9</v>
      </c>
      <c r="V749" s="93" t="str">
        <f>+Agencia[[#This Row],[idcoleccion]]&amp;"-"&amp;Agencia[[#This Row],[id]]</f>
        <v>990-0738</v>
      </c>
      <c r="W749" s="93">
        <f>+VLOOKUP(Agencia[[#This Row],[Filtro URL]],Estructura!$X$4:$Y$500,2,0)</f>
        <v>99200015</v>
      </c>
      <c r="X749" s="93" t="str">
        <f>+VLOOKUP(Agencia[[#This Row],[tema]],Estructura!$A$4:$C$500,3,0)</f>
        <v>T-1035</v>
      </c>
      <c r="Y749" s="93" t="str">
        <f>+VLOOKUP(Agencia[[#This Row],[contenido]],Estructura!$E$4:$G$500,3,0)</f>
        <v>C-1007</v>
      </c>
      <c r="Z749" s="93" t="str">
        <f>+VLOOKUP(Agencia[[#This Row],[Filtro Integrado]],Estructura!$I$4:$K$500,3,0)</f>
        <v>FI-993</v>
      </c>
      <c r="AA749" s="93" t="str">
        <f>+VLOOKUP(Agencia[[#This Row],[Muestra]],Estructura!$M$4:$O$500,3,0)</f>
        <v>M-1071</v>
      </c>
    </row>
    <row r="750" spans="1:27" ht="91.8" x14ac:dyDescent="0.3">
      <c r="A750" s="21" t="s">
        <v>1254</v>
      </c>
      <c r="B750" s="23">
        <f t="shared" si="306"/>
        <v>990</v>
      </c>
      <c r="C750" s="24" t="str">
        <f t="shared" si="307"/>
        <v>Agencia Información</v>
      </c>
      <c r="D750" s="72" t="str">
        <f t="shared" si="308"/>
        <v>Agropecuario y Forestal</v>
      </c>
      <c r="E750" s="19">
        <v>16</v>
      </c>
      <c r="F750" s="18" t="s">
        <v>1498</v>
      </c>
      <c r="G750" s="18" t="s">
        <v>1899</v>
      </c>
      <c r="H750" s="33" t="s">
        <v>16</v>
      </c>
      <c r="I750" s="34" t="s">
        <v>383</v>
      </c>
      <c r="J750" s="9" t="str">
        <f t="shared" si="309"/>
        <v>Ninguno</v>
      </c>
      <c r="K750" s="9" t="str">
        <f t="shared" si="313"/>
        <v>Incendios</v>
      </c>
      <c r="L750" s="9" t="str">
        <f t="shared" si="310"/>
        <v>Periodo 2010-2020</v>
      </c>
      <c r="M750" s="9" t="str">
        <f t="shared" si="311"/>
        <v>Hectáreas</v>
      </c>
      <c r="N750" s="9" t="str">
        <f t="shared" si="312"/>
        <v>Corporación Nacional Forestal (CONAF)</v>
      </c>
      <c r="O750" s="20" t="str">
        <f>+"Superficie de Incendios Forestales por Comuna en la "&amp;I750&amp;", "&amp;Agencia[[#This Row],[temporalidad]]</f>
        <v>Superficie de Incendios Forestales por Comuna en la Región de Ñuble, Periodo 2010-2020</v>
      </c>
      <c r="P750" s="112" t="s">
        <v>6452</v>
      </c>
      <c r="Q750" s="11" t="str">
        <f t="shared" si="298"/>
        <v>Gráfico animado</v>
      </c>
      <c r="R750" s="148" t="str">
        <f>Agencia[[#This Row],[territorio]]&amp;",incendios,forestales,hectáreas,superficie,comunas,"&amp;Agencia[[#This Row],[coleccion]]&amp;","&amp;Agencia[[#This Row],[sector]]&amp;","&amp;Agencia[[#This Row],[tema]]&amp;","&amp;Agencia[[#This Row],[contenido]]</f>
        <v>Región de Ñuble,incendios,forestales,hectáreas,superficie,comunas,Agencia Información,Agropecuario y Forestal,Incendios Forestales,Forestal</v>
      </c>
      <c r="S750" s="101" t="s">
        <v>5335</v>
      </c>
      <c r="T750" s="111" t="str">
        <f>"100-R-"&amp;Agencia[[#This Row],[Filtro URL]]</f>
        <v>100-R-16</v>
      </c>
      <c r="U750" s="46" t="str">
        <f t="shared" si="299"/>
        <v>#1774B9</v>
      </c>
      <c r="V750" s="93" t="str">
        <f>+Agencia[[#This Row],[idcoleccion]]&amp;"-"&amp;Agencia[[#This Row],[id]]</f>
        <v>990-0739</v>
      </c>
      <c r="W750" s="93">
        <f>+VLOOKUP(Agencia[[#This Row],[Filtro URL]],Estructura!$X$4:$Y$500,2,0)</f>
        <v>99200016</v>
      </c>
      <c r="X750" s="93" t="str">
        <f>+VLOOKUP(Agencia[[#This Row],[tema]],Estructura!$A$4:$C$500,3,0)</f>
        <v>T-1035</v>
      </c>
      <c r="Y750" s="93" t="str">
        <f>+VLOOKUP(Agencia[[#This Row],[contenido]],Estructura!$E$4:$G$500,3,0)</f>
        <v>C-1007</v>
      </c>
      <c r="Z750" s="93" t="str">
        <f>+VLOOKUP(Agencia[[#This Row],[Filtro Integrado]],Estructura!$I$4:$K$500,3,0)</f>
        <v>FI-993</v>
      </c>
      <c r="AA750" s="93" t="str">
        <f>+VLOOKUP(Agencia[[#This Row],[Muestra]],Estructura!$M$4:$O$500,3,0)</f>
        <v>M-1071</v>
      </c>
    </row>
    <row r="751" spans="1:27" ht="91.8" x14ac:dyDescent="0.3">
      <c r="A751" s="21" t="s">
        <v>1255</v>
      </c>
      <c r="B751" s="23">
        <f>+B750</f>
        <v>990</v>
      </c>
      <c r="C751" s="136" t="str">
        <f>+C750</f>
        <v>Agencia Información</v>
      </c>
      <c r="D751" s="72" t="s">
        <v>571</v>
      </c>
      <c r="E751" s="14">
        <v>0</v>
      </c>
      <c r="F751" s="18" t="s">
        <v>1498</v>
      </c>
      <c r="G751" s="18" t="s">
        <v>1899</v>
      </c>
      <c r="H751" s="31" t="s">
        <v>20</v>
      </c>
      <c r="I751" s="32" t="s">
        <v>15</v>
      </c>
      <c r="J751" s="9" t="s">
        <v>403</v>
      </c>
      <c r="K751" s="9" t="s">
        <v>9286</v>
      </c>
      <c r="L751" s="9" t="s">
        <v>592</v>
      </c>
      <c r="M751" s="9" t="s">
        <v>1499</v>
      </c>
      <c r="N751" s="9" t="s">
        <v>591</v>
      </c>
      <c r="O751" s="20" t="str">
        <f>+"Incendios y superficie afectada de plantaciones Forestales según causas específicas en "&amp;I751&amp;", "&amp;Agencia[[#This Row],[temporalidad]]</f>
        <v>Incendios y superficie afectada de plantaciones Forestales según causas específicas en Chile, Periodo 2010-2020</v>
      </c>
      <c r="P751" s="112" t="s">
        <v>5963</v>
      </c>
      <c r="Q751" s="11" t="s">
        <v>590</v>
      </c>
      <c r="R751" s="20" t="str">
        <f>Agencia[[#This Row],[territorio]]&amp;",incendios,forestales,hectáreas,superficie,cantidad,número,causa,plantaciones,temporada,fuego,"&amp;Agencia[[#This Row],[coleccion]]&amp;","&amp;Agencia[[#This Row],[sector]]&amp;","&amp;Agencia[[#This Row],[tema]]&amp;","&amp;Agencia[[#This Row],[contenido]]</f>
        <v>Chile,incendios,forestales,hectáreas,superficie,cantidad,número,causa,plantaciones,temporada,fuego,Agencia Información,Agropecuario y Forestal,Incendios Forestales,Forestal</v>
      </c>
      <c r="S751" s="83" t="s">
        <v>5185</v>
      </c>
      <c r="T751" s="108">
        <v>0</v>
      </c>
      <c r="U751" s="46" t="str">
        <f t="shared" si="299"/>
        <v>#1774B9</v>
      </c>
      <c r="V751" s="93" t="str">
        <f>+Agencia[[#This Row],[idcoleccion]]&amp;"-"&amp;Agencia[[#This Row],[id]]</f>
        <v>990-0740</v>
      </c>
      <c r="W751" s="93">
        <f>+VLOOKUP(Agencia[[#This Row],[Filtro URL]],Estructura!$X$4:$Y$500,2,0)</f>
        <v>99100000</v>
      </c>
      <c r="X751" s="93" t="str">
        <f>+VLOOKUP(Agencia[[#This Row],[tema]],Estructura!$A$4:$C$500,3,0)</f>
        <v>T-1035</v>
      </c>
      <c r="Y751" s="93" t="str">
        <f>+VLOOKUP(Agencia[[#This Row],[contenido]],Estructura!$E$4:$G$500,3,0)</f>
        <v>C-1007</v>
      </c>
      <c r="Z751" s="93" t="str">
        <f>+VLOOKUP(Agencia[[#This Row],[Filtro Integrado]],Estructura!$I$4:$K$500,3,0)</f>
        <v>FI-993</v>
      </c>
      <c r="AA751" s="93" t="str">
        <f>+VLOOKUP(Agencia[[#This Row],[Muestra]],Estructura!$M$4:$O$500,3,0)</f>
        <v>M-1038</v>
      </c>
    </row>
    <row r="752" spans="1:27" ht="91.8" x14ac:dyDescent="0.3">
      <c r="A752" s="21" t="s">
        <v>1256</v>
      </c>
      <c r="B752" s="23">
        <f>+B751</f>
        <v>990</v>
      </c>
      <c r="C752" s="136" t="str">
        <f t="shared" ref="C752:D752" si="314">+C751</f>
        <v>Agencia Información</v>
      </c>
      <c r="D752" s="136" t="str">
        <f t="shared" si="314"/>
        <v>Agropecuario y Forestal</v>
      </c>
      <c r="E752" s="19">
        <v>3</v>
      </c>
      <c r="F752" s="18" t="s">
        <v>1498</v>
      </c>
      <c r="G752" s="18" t="s">
        <v>1899</v>
      </c>
      <c r="H752" s="33" t="s">
        <v>16</v>
      </c>
      <c r="I752" s="34" t="s">
        <v>370</v>
      </c>
      <c r="J752" s="9" t="str">
        <f>+J751</f>
        <v>Ninguno</v>
      </c>
      <c r="K752" s="127" t="str">
        <f t="shared" ref="K752:N752" si="315">+K751</f>
        <v>Plantaciones Forestales</v>
      </c>
      <c r="L752" s="127" t="str">
        <f t="shared" si="315"/>
        <v>Periodo 2010-2020</v>
      </c>
      <c r="M752" s="127" t="str">
        <f t="shared" si="315"/>
        <v>Número de incendios y Hectáreas</v>
      </c>
      <c r="N752" s="127" t="str">
        <f t="shared" si="315"/>
        <v>Corporación Nacional Forestal (CONAF)</v>
      </c>
      <c r="O752" s="20" t="str">
        <f>+"Incendios y superficie afectada de plantaciones Forestales según causas específicas en la "&amp;I752&amp;", "&amp;Agencia[[#This Row],[temporalidad]]</f>
        <v>Incendios y superficie afectada de plantaciones Forestales según causas específicas en la Región de Atacama, Periodo 2010-2020</v>
      </c>
      <c r="P752" s="112" t="s">
        <v>5964</v>
      </c>
      <c r="Q752" s="11" t="str">
        <f>+Q751</f>
        <v>Dashboard</v>
      </c>
      <c r="R752" s="148" t="str">
        <f>Agencia[[#This Row],[territorio]]&amp;",incendios,forestales,hectáreas,superficie,cantidad,número,causa,plantaciones,temporada,fuego,"&amp;Agencia[[#This Row],[coleccion]]&amp;","&amp;Agencia[[#This Row],[sector]]&amp;","&amp;Agencia[[#This Row],[tema]]&amp;","&amp;Agencia[[#This Row],[contenido]]</f>
        <v>Región de Atacama,incendios,forestales,hectáreas,superficie,cantidad,número,causa,plantaciones,temporada,fuego,Agencia Información,Agropecuario y Forestal,Incendios Forestales,Forestal</v>
      </c>
      <c r="S752" s="83" t="s">
        <v>5186</v>
      </c>
      <c r="T752" s="108" t="str">
        <f>"100-R-"&amp;Agencia[[#This Row],[Filtro URL]]</f>
        <v>100-R-3</v>
      </c>
      <c r="U752" s="46" t="str">
        <f t="shared" si="299"/>
        <v>#1774B9</v>
      </c>
      <c r="V752" s="93" t="str">
        <f>+Agencia[[#This Row],[idcoleccion]]&amp;"-"&amp;Agencia[[#This Row],[id]]</f>
        <v>990-0741</v>
      </c>
      <c r="W752" s="93">
        <f>+VLOOKUP(Agencia[[#This Row],[Filtro URL]],Estructura!$X$4:$Y$500,2,0)</f>
        <v>99200003</v>
      </c>
      <c r="X752" s="93" t="str">
        <f>+VLOOKUP(Agencia[[#This Row],[tema]],Estructura!$A$4:$C$500,3,0)</f>
        <v>T-1035</v>
      </c>
      <c r="Y752" s="93" t="str">
        <f>+VLOOKUP(Agencia[[#This Row],[contenido]],Estructura!$E$4:$G$500,3,0)</f>
        <v>C-1007</v>
      </c>
      <c r="Z752" s="93" t="str">
        <f>+VLOOKUP(Agencia[[#This Row],[Filtro Integrado]],Estructura!$I$4:$K$500,3,0)</f>
        <v>FI-993</v>
      </c>
      <c r="AA752" s="93" t="str">
        <f>+VLOOKUP(Agencia[[#This Row],[Muestra]],Estructura!$M$4:$O$500,3,0)</f>
        <v>M-1038</v>
      </c>
    </row>
    <row r="753" spans="1:27" ht="81.599999999999994" x14ac:dyDescent="0.3">
      <c r="A753" s="21" t="s">
        <v>1257</v>
      </c>
      <c r="B753" s="23">
        <f t="shared" si="306"/>
        <v>990</v>
      </c>
      <c r="C753" s="24" t="str">
        <f t="shared" si="307"/>
        <v>Agencia Información</v>
      </c>
      <c r="D753" s="72" t="str">
        <f t="shared" ref="D753:D764" si="316">+D752</f>
        <v>Agropecuario y Forestal</v>
      </c>
      <c r="E753" s="19">
        <v>4</v>
      </c>
      <c r="F753" s="18" t="s">
        <v>1498</v>
      </c>
      <c r="G753" s="18" t="s">
        <v>1899</v>
      </c>
      <c r="H753" s="33" t="s">
        <v>16</v>
      </c>
      <c r="I753" s="34" t="s">
        <v>371</v>
      </c>
      <c r="J753" s="9" t="str">
        <f t="shared" ref="J753:J763" si="317">+J752</f>
        <v>Ninguno</v>
      </c>
      <c r="K753" s="9" t="str">
        <f t="shared" ref="K753:K764" si="318">+K752</f>
        <v>Plantaciones Forestales</v>
      </c>
      <c r="L753" s="9" t="str">
        <f t="shared" ref="L753:L764" si="319">+L752</f>
        <v>Periodo 2010-2020</v>
      </c>
      <c r="M753" s="9" t="str">
        <f t="shared" ref="M753:M764" si="320">+M752</f>
        <v>Número de incendios y Hectáreas</v>
      </c>
      <c r="N753" s="9" t="str">
        <f t="shared" ref="N753:N764" si="321">+N752</f>
        <v>Corporación Nacional Forestal (CONAF)</v>
      </c>
      <c r="O753" s="20" t="str">
        <f>+"Incendios y superficie afectada de plantaciones Forestales según causas específicas en la "&amp;I753&amp;", "&amp;Agencia[[#This Row],[temporalidad]]</f>
        <v>Incendios y superficie afectada de plantaciones Forestales según causas específicas en la Región de Coquimbo, Periodo 2010-2020</v>
      </c>
      <c r="P753" s="112" t="s">
        <v>5966</v>
      </c>
      <c r="Q753" s="11" t="str">
        <f t="shared" ref="Q753:Q812" si="322">+Q752</f>
        <v>Dashboard</v>
      </c>
      <c r="R753" s="148" t="str">
        <f>Agencia[[#This Row],[territorio]]&amp;",incendios,forestales,hectáreas,superficie,cantidad,número,causa,plantaciones,temporada,fuego,"&amp;Agencia[[#This Row],[coleccion]]&amp;","&amp;Agencia[[#This Row],[sector]]&amp;","&amp;Agencia[[#This Row],[tema]]&amp;","&amp;Agencia[[#This Row],[contenido]]</f>
        <v>Región de Coquimbo,incendios,forestales,hectáreas,superficie,cantidad,número,causa,plantaciones,temporada,fuego,Agencia Información,Agropecuario y Forestal,Incendios Forestales,Forestal</v>
      </c>
      <c r="S753" s="83" t="s">
        <v>5187</v>
      </c>
      <c r="T753" s="108" t="str">
        <f>"100-R-"&amp;Agencia[[#This Row],[Filtro URL]]</f>
        <v>100-R-4</v>
      </c>
      <c r="U753" s="46" t="str">
        <f t="shared" ref="U753:U809" si="323">+U752</f>
        <v>#1774B9</v>
      </c>
      <c r="V753" s="93" t="str">
        <f>+Agencia[[#This Row],[idcoleccion]]&amp;"-"&amp;Agencia[[#This Row],[id]]</f>
        <v>990-0742</v>
      </c>
      <c r="W753" s="93">
        <f>+VLOOKUP(Agencia[[#This Row],[Filtro URL]],Estructura!$X$4:$Y$500,2,0)</f>
        <v>99200004</v>
      </c>
      <c r="X753" s="93" t="str">
        <f>+VLOOKUP(Agencia[[#This Row],[tema]],Estructura!$A$4:$C$500,3,0)</f>
        <v>T-1035</v>
      </c>
      <c r="Y753" s="93" t="str">
        <f>+VLOOKUP(Agencia[[#This Row],[contenido]],Estructura!$E$4:$G$500,3,0)</f>
        <v>C-1007</v>
      </c>
      <c r="Z753" s="93" t="str">
        <f>+VLOOKUP(Agencia[[#This Row],[Filtro Integrado]],Estructura!$I$4:$K$500,3,0)</f>
        <v>FI-993</v>
      </c>
      <c r="AA753" s="93" t="str">
        <f>+VLOOKUP(Agencia[[#This Row],[Muestra]],Estructura!$M$4:$O$500,3,0)</f>
        <v>M-1038</v>
      </c>
    </row>
    <row r="754" spans="1:27" ht="91.8" x14ac:dyDescent="0.3">
      <c r="A754" s="21" t="s">
        <v>1258</v>
      </c>
      <c r="B754" s="23">
        <f t="shared" si="306"/>
        <v>990</v>
      </c>
      <c r="C754" s="24" t="str">
        <f t="shared" si="307"/>
        <v>Agencia Información</v>
      </c>
      <c r="D754" s="72" t="str">
        <f t="shared" si="316"/>
        <v>Agropecuario y Forestal</v>
      </c>
      <c r="E754" s="19">
        <v>5</v>
      </c>
      <c r="F754" s="18" t="s">
        <v>1498</v>
      </c>
      <c r="G754" s="18" t="s">
        <v>1899</v>
      </c>
      <c r="H754" s="33" t="s">
        <v>16</v>
      </c>
      <c r="I754" s="34" t="s">
        <v>372</v>
      </c>
      <c r="J754" s="9" t="str">
        <f t="shared" si="317"/>
        <v>Ninguno</v>
      </c>
      <c r="K754" s="9" t="str">
        <f t="shared" si="318"/>
        <v>Plantaciones Forestales</v>
      </c>
      <c r="L754" s="9" t="str">
        <f t="shared" si="319"/>
        <v>Periodo 2010-2020</v>
      </c>
      <c r="M754" s="9" t="str">
        <f t="shared" si="320"/>
        <v>Número de incendios y Hectáreas</v>
      </c>
      <c r="N754" s="9" t="str">
        <f t="shared" si="321"/>
        <v>Corporación Nacional Forestal (CONAF)</v>
      </c>
      <c r="O754" s="20" t="str">
        <f>+"Incendios y superficie afectada de plantaciones Forestales según causas específicas en la "&amp;I754&amp;", "&amp;Agencia[[#This Row],[temporalidad]]</f>
        <v>Incendios y superficie afectada de plantaciones Forestales según causas específicas en la Región de Valparaíso, Periodo 2010-2020</v>
      </c>
      <c r="P754" s="112" t="s">
        <v>5972</v>
      </c>
      <c r="Q754" s="11" t="str">
        <f t="shared" si="322"/>
        <v>Dashboard</v>
      </c>
      <c r="R754" s="148" t="str">
        <f>Agencia[[#This Row],[territorio]]&amp;",incendios,forestales,hectáreas,superficie,cantidad,número,causa,plantaciones,temporada,fuego,"&amp;Agencia[[#This Row],[coleccion]]&amp;","&amp;Agencia[[#This Row],[sector]]&amp;","&amp;Agencia[[#This Row],[tema]]&amp;","&amp;Agencia[[#This Row],[contenido]]</f>
        <v>Región de Valparaíso,incendios,forestales,hectáreas,superficie,cantidad,número,causa,plantaciones,temporada,fuego,Agencia Información,Agropecuario y Forestal,Incendios Forestales,Forestal</v>
      </c>
      <c r="S754" s="83" t="s">
        <v>5188</v>
      </c>
      <c r="T754" s="108" t="str">
        <f>"100-R-"&amp;Agencia[[#This Row],[Filtro URL]]</f>
        <v>100-R-5</v>
      </c>
      <c r="U754" s="46" t="str">
        <f t="shared" si="323"/>
        <v>#1774B9</v>
      </c>
      <c r="V754" s="93" t="str">
        <f>+Agencia[[#This Row],[idcoleccion]]&amp;"-"&amp;Agencia[[#This Row],[id]]</f>
        <v>990-0743</v>
      </c>
      <c r="W754" s="93">
        <f>+VLOOKUP(Agencia[[#This Row],[Filtro URL]],Estructura!$X$4:$Y$500,2,0)</f>
        <v>99200005</v>
      </c>
      <c r="X754" s="93" t="str">
        <f>+VLOOKUP(Agencia[[#This Row],[tema]],Estructura!$A$4:$C$500,3,0)</f>
        <v>T-1035</v>
      </c>
      <c r="Y754" s="93" t="str">
        <f>+VLOOKUP(Agencia[[#This Row],[contenido]],Estructura!$E$4:$G$500,3,0)</f>
        <v>C-1007</v>
      </c>
      <c r="Z754" s="93" t="str">
        <f>+VLOOKUP(Agencia[[#This Row],[Filtro Integrado]],Estructura!$I$4:$K$500,3,0)</f>
        <v>FI-993</v>
      </c>
      <c r="AA754" s="93" t="str">
        <f>+VLOOKUP(Agencia[[#This Row],[Muestra]],Estructura!$M$4:$O$500,3,0)</f>
        <v>M-1038</v>
      </c>
    </row>
    <row r="755" spans="1:27" ht="91.8" x14ac:dyDescent="0.3">
      <c r="A755" s="21" t="s">
        <v>1259</v>
      </c>
      <c r="B755" s="23">
        <f t="shared" si="306"/>
        <v>990</v>
      </c>
      <c r="C755" s="24" t="str">
        <f t="shared" si="307"/>
        <v>Agencia Información</v>
      </c>
      <c r="D755" s="72" t="str">
        <f t="shared" si="316"/>
        <v>Agropecuario y Forestal</v>
      </c>
      <c r="E755" s="19">
        <v>6</v>
      </c>
      <c r="F755" s="18" t="s">
        <v>1498</v>
      </c>
      <c r="G755" s="18" t="s">
        <v>1899</v>
      </c>
      <c r="H755" s="33" t="s">
        <v>16</v>
      </c>
      <c r="I755" s="34" t="s">
        <v>373</v>
      </c>
      <c r="J755" s="9" t="str">
        <f t="shared" si="317"/>
        <v>Ninguno</v>
      </c>
      <c r="K755" s="9" t="str">
        <f t="shared" si="318"/>
        <v>Plantaciones Forestales</v>
      </c>
      <c r="L755" s="9" t="str">
        <f t="shared" si="319"/>
        <v>Periodo 2010-2020</v>
      </c>
      <c r="M755" s="9" t="str">
        <f t="shared" si="320"/>
        <v>Número de incendios y Hectáreas</v>
      </c>
      <c r="N755" s="9" t="str">
        <f t="shared" si="321"/>
        <v>Corporación Nacional Forestal (CONAF)</v>
      </c>
      <c r="O755" s="20" t="str">
        <f>+"Incendios y superficie afectada de plantaciones Forestales según causas específicas en la "&amp;I755&amp;", "&amp;Agencia[[#This Row],[temporalidad]]</f>
        <v>Incendios y superficie afectada de plantaciones Forestales según causas específicas en la Región de O'Higgins, Periodo 2010-2020</v>
      </c>
      <c r="P755" s="112" t="s">
        <v>5973</v>
      </c>
      <c r="Q755" s="11" t="str">
        <f t="shared" si="322"/>
        <v>Dashboard</v>
      </c>
      <c r="R755" s="148" t="str">
        <f>Agencia[[#This Row],[territorio]]&amp;",incendios,forestales,hectáreas,superficie,cantidad,número,causa,plantaciones,temporada,fuego,"&amp;Agencia[[#This Row],[coleccion]]&amp;","&amp;Agencia[[#This Row],[sector]]&amp;","&amp;Agencia[[#This Row],[tema]]&amp;","&amp;Agencia[[#This Row],[contenido]]</f>
        <v>Región de O'Higgins,incendios,forestales,hectáreas,superficie,cantidad,número,causa,plantaciones,temporada,fuego,Agencia Información,Agropecuario y Forestal,Incendios Forestales,Forestal</v>
      </c>
      <c r="S755" s="83" t="s">
        <v>5189</v>
      </c>
      <c r="T755" s="108" t="str">
        <f>"100-R-"&amp;Agencia[[#This Row],[Filtro URL]]</f>
        <v>100-R-6</v>
      </c>
      <c r="U755" s="46" t="str">
        <f t="shared" si="323"/>
        <v>#1774B9</v>
      </c>
      <c r="V755" s="93" t="str">
        <f>+Agencia[[#This Row],[idcoleccion]]&amp;"-"&amp;Agencia[[#This Row],[id]]</f>
        <v>990-0744</v>
      </c>
      <c r="W755" s="93">
        <f>+VLOOKUP(Agencia[[#This Row],[Filtro URL]],Estructura!$X$4:$Y$500,2,0)</f>
        <v>99200006</v>
      </c>
      <c r="X755" s="93" t="str">
        <f>+VLOOKUP(Agencia[[#This Row],[tema]],Estructura!$A$4:$C$500,3,0)</f>
        <v>T-1035</v>
      </c>
      <c r="Y755" s="93" t="str">
        <f>+VLOOKUP(Agencia[[#This Row],[contenido]],Estructura!$E$4:$G$500,3,0)</f>
        <v>C-1007</v>
      </c>
      <c r="Z755" s="93" t="str">
        <f>+VLOOKUP(Agencia[[#This Row],[Filtro Integrado]],Estructura!$I$4:$K$500,3,0)</f>
        <v>FI-993</v>
      </c>
      <c r="AA755" s="93" t="str">
        <f>+VLOOKUP(Agencia[[#This Row],[Muestra]],Estructura!$M$4:$O$500,3,0)</f>
        <v>M-1038</v>
      </c>
    </row>
    <row r="756" spans="1:27" ht="91.8" x14ac:dyDescent="0.3">
      <c r="A756" s="21" t="s">
        <v>1260</v>
      </c>
      <c r="B756" s="23">
        <f t="shared" si="306"/>
        <v>990</v>
      </c>
      <c r="C756" s="24" t="str">
        <f t="shared" si="307"/>
        <v>Agencia Información</v>
      </c>
      <c r="D756" s="72" t="str">
        <f t="shared" si="316"/>
        <v>Agropecuario y Forestal</v>
      </c>
      <c r="E756" s="19">
        <v>7</v>
      </c>
      <c r="F756" s="18" t="s">
        <v>1498</v>
      </c>
      <c r="G756" s="18" t="s">
        <v>1899</v>
      </c>
      <c r="H756" s="33" t="s">
        <v>16</v>
      </c>
      <c r="I756" s="34" t="s">
        <v>374</v>
      </c>
      <c r="J756" s="9" t="str">
        <f t="shared" si="317"/>
        <v>Ninguno</v>
      </c>
      <c r="K756" s="9" t="str">
        <f t="shared" si="318"/>
        <v>Plantaciones Forestales</v>
      </c>
      <c r="L756" s="9" t="str">
        <f t="shared" si="319"/>
        <v>Periodo 2010-2020</v>
      </c>
      <c r="M756" s="9" t="str">
        <f t="shared" si="320"/>
        <v>Número de incendios y Hectáreas</v>
      </c>
      <c r="N756" s="9" t="str">
        <f t="shared" si="321"/>
        <v>Corporación Nacional Forestal (CONAF)</v>
      </c>
      <c r="O756" s="20" t="str">
        <f>+"Incendios y superficie afectada de plantaciones Forestales según causas específicas en la "&amp;I756&amp;", "&amp;Agencia[[#This Row],[temporalidad]]</f>
        <v>Incendios y superficie afectada de plantaciones Forestales según causas específicas en la Región de Maule, Periodo 2010-2020</v>
      </c>
      <c r="P756" s="112" t="s">
        <v>5970</v>
      </c>
      <c r="Q756" s="11" t="str">
        <f t="shared" si="322"/>
        <v>Dashboard</v>
      </c>
      <c r="R756" s="148" t="str">
        <f>Agencia[[#This Row],[territorio]]&amp;",incendios,forestales,hectáreas,superficie,cantidad,número,causa,plantaciones,temporada,fuego,"&amp;Agencia[[#This Row],[coleccion]]&amp;","&amp;Agencia[[#This Row],[sector]]&amp;","&amp;Agencia[[#This Row],[tema]]&amp;","&amp;Agencia[[#This Row],[contenido]]</f>
        <v>Región de Maule,incendios,forestales,hectáreas,superficie,cantidad,número,causa,plantaciones,temporada,fuego,Agencia Información,Agropecuario y Forestal,Incendios Forestales,Forestal</v>
      </c>
      <c r="S756" s="83" t="s">
        <v>5190</v>
      </c>
      <c r="T756" s="108" t="str">
        <f>"100-R-"&amp;Agencia[[#This Row],[Filtro URL]]</f>
        <v>100-R-7</v>
      </c>
      <c r="U756" s="46" t="str">
        <f t="shared" si="323"/>
        <v>#1774B9</v>
      </c>
      <c r="V756" s="93" t="str">
        <f>+Agencia[[#This Row],[idcoleccion]]&amp;"-"&amp;Agencia[[#This Row],[id]]</f>
        <v>990-0745</v>
      </c>
      <c r="W756" s="93">
        <f>+VLOOKUP(Agencia[[#This Row],[Filtro URL]],Estructura!$X$4:$Y$500,2,0)</f>
        <v>99200007</v>
      </c>
      <c r="X756" s="93" t="str">
        <f>+VLOOKUP(Agencia[[#This Row],[tema]],Estructura!$A$4:$C$500,3,0)</f>
        <v>T-1035</v>
      </c>
      <c r="Y756" s="93" t="str">
        <f>+VLOOKUP(Agencia[[#This Row],[contenido]],Estructura!$E$4:$G$500,3,0)</f>
        <v>C-1007</v>
      </c>
      <c r="Z756" s="93" t="str">
        <f>+VLOOKUP(Agencia[[#This Row],[Filtro Integrado]],Estructura!$I$4:$K$500,3,0)</f>
        <v>FI-993</v>
      </c>
      <c r="AA756" s="93" t="str">
        <f>+VLOOKUP(Agencia[[#This Row],[Muestra]],Estructura!$M$4:$O$500,3,0)</f>
        <v>M-1038</v>
      </c>
    </row>
    <row r="757" spans="1:27" ht="91.8" x14ac:dyDescent="0.3">
      <c r="A757" s="21" t="s">
        <v>1261</v>
      </c>
      <c r="B757" s="23">
        <f t="shared" si="306"/>
        <v>990</v>
      </c>
      <c r="C757" s="24" t="str">
        <f t="shared" si="307"/>
        <v>Agencia Información</v>
      </c>
      <c r="D757" s="72" t="str">
        <f t="shared" si="316"/>
        <v>Agropecuario y Forestal</v>
      </c>
      <c r="E757" s="19">
        <v>8</v>
      </c>
      <c r="F757" s="18" t="s">
        <v>1498</v>
      </c>
      <c r="G757" s="18" t="s">
        <v>1899</v>
      </c>
      <c r="H757" s="33" t="s">
        <v>16</v>
      </c>
      <c r="I757" s="34" t="s">
        <v>375</v>
      </c>
      <c r="J757" s="9" t="str">
        <f t="shared" si="317"/>
        <v>Ninguno</v>
      </c>
      <c r="K757" s="9" t="str">
        <f t="shared" si="318"/>
        <v>Plantaciones Forestales</v>
      </c>
      <c r="L757" s="9" t="str">
        <f t="shared" si="319"/>
        <v>Periodo 2010-2020</v>
      </c>
      <c r="M757" s="9" t="str">
        <f t="shared" si="320"/>
        <v>Número de incendios y Hectáreas</v>
      </c>
      <c r="N757" s="9" t="str">
        <f t="shared" si="321"/>
        <v>Corporación Nacional Forestal (CONAF)</v>
      </c>
      <c r="O757" s="20" t="str">
        <f>+"Incendios y superficie afectada de plantaciones Forestales según causas específicas en la "&amp;I757&amp;", "&amp;Agencia[[#This Row],[temporalidad]]</f>
        <v>Incendios y superficie afectada de plantaciones Forestales según causas específicas en la Región del Biobío, Periodo 2010-2020</v>
      </c>
      <c r="P757" s="112" t="s">
        <v>6455</v>
      </c>
      <c r="Q757" s="11" t="str">
        <f t="shared" si="322"/>
        <v>Dashboard</v>
      </c>
      <c r="R757" s="148" t="str">
        <f>Agencia[[#This Row],[territorio]]&amp;",incendios,forestales,hectáreas,superficie,cantidad,número,causa,plantaciones,temporada,fuego,"&amp;Agencia[[#This Row],[coleccion]]&amp;","&amp;Agencia[[#This Row],[sector]]&amp;","&amp;Agencia[[#This Row],[tema]]&amp;","&amp;Agencia[[#This Row],[contenido]]</f>
        <v>Región del Biobío,incendios,forestales,hectáreas,superficie,cantidad,número,causa,plantaciones,temporada,fuego,Agencia Información,Agropecuario y Forestal,Incendios Forestales,Forestal</v>
      </c>
      <c r="S757" s="83" t="s">
        <v>5191</v>
      </c>
      <c r="T757" s="108" t="str">
        <f>"100-R-"&amp;Agencia[[#This Row],[Filtro URL]]</f>
        <v>100-R-8</v>
      </c>
      <c r="U757" s="46" t="str">
        <f t="shared" si="323"/>
        <v>#1774B9</v>
      </c>
      <c r="V757" s="93" t="str">
        <f>+Agencia[[#This Row],[idcoleccion]]&amp;"-"&amp;Agencia[[#This Row],[id]]</f>
        <v>990-0746</v>
      </c>
      <c r="W757" s="93">
        <f>+VLOOKUP(Agencia[[#This Row],[Filtro URL]],Estructura!$X$4:$Y$500,2,0)</f>
        <v>99200008</v>
      </c>
      <c r="X757" s="93" t="str">
        <f>+VLOOKUP(Agencia[[#This Row],[tema]],Estructura!$A$4:$C$500,3,0)</f>
        <v>T-1035</v>
      </c>
      <c r="Y757" s="93" t="str">
        <f>+VLOOKUP(Agencia[[#This Row],[contenido]],Estructura!$E$4:$G$500,3,0)</f>
        <v>C-1007</v>
      </c>
      <c r="Z757" s="93" t="str">
        <f>+VLOOKUP(Agencia[[#This Row],[Filtro Integrado]],Estructura!$I$4:$K$500,3,0)</f>
        <v>FI-993</v>
      </c>
      <c r="AA757" s="93" t="str">
        <f>+VLOOKUP(Agencia[[#This Row],[Muestra]],Estructura!$M$4:$O$500,3,0)</f>
        <v>M-1038</v>
      </c>
    </row>
    <row r="758" spans="1:27" ht="91.8" x14ac:dyDescent="0.3">
      <c r="A758" s="21" t="s">
        <v>1262</v>
      </c>
      <c r="B758" s="23">
        <f t="shared" si="306"/>
        <v>990</v>
      </c>
      <c r="C758" s="24" t="str">
        <f t="shared" si="307"/>
        <v>Agencia Información</v>
      </c>
      <c r="D758" s="72" t="str">
        <f t="shared" si="316"/>
        <v>Agropecuario y Forestal</v>
      </c>
      <c r="E758" s="19">
        <v>9</v>
      </c>
      <c r="F758" s="18" t="s">
        <v>1498</v>
      </c>
      <c r="G758" s="18" t="s">
        <v>1899</v>
      </c>
      <c r="H758" s="33" t="s">
        <v>16</v>
      </c>
      <c r="I758" s="34" t="s">
        <v>376</v>
      </c>
      <c r="J758" s="9" t="str">
        <f t="shared" si="317"/>
        <v>Ninguno</v>
      </c>
      <c r="K758" s="9" t="str">
        <f t="shared" si="318"/>
        <v>Plantaciones Forestales</v>
      </c>
      <c r="L758" s="9" t="str">
        <f t="shared" si="319"/>
        <v>Periodo 2010-2020</v>
      </c>
      <c r="M758" s="9" t="str">
        <f t="shared" si="320"/>
        <v>Número de incendios y Hectáreas</v>
      </c>
      <c r="N758" s="9" t="str">
        <f t="shared" si="321"/>
        <v>Corporación Nacional Forestal (CONAF)</v>
      </c>
      <c r="O758" s="20" t="str">
        <f>+"Incendios y superficie afectada de plantaciones Forestales según causas específicas en la "&amp;I758&amp;", "&amp;Agencia[[#This Row],[temporalidad]]</f>
        <v>Incendios y superficie afectada de plantaciones Forestales según causas específicas en la Región de La Araucanía, Periodo 2010-2020</v>
      </c>
      <c r="P758" s="112" t="s">
        <v>5974</v>
      </c>
      <c r="Q758" s="11" t="str">
        <f t="shared" si="322"/>
        <v>Dashboard</v>
      </c>
      <c r="R758" s="148" t="str">
        <f>Agencia[[#This Row],[territorio]]&amp;",incendios,forestales,hectáreas,superficie,cantidad,número,causa,plantaciones,temporada,fuego,"&amp;Agencia[[#This Row],[coleccion]]&amp;","&amp;Agencia[[#This Row],[sector]]&amp;","&amp;Agencia[[#This Row],[tema]]&amp;","&amp;Agencia[[#This Row],[contenido]]</f>
        <v>Región de La Araucanía,incendios,forestales,hectáreas,superficie,cantidad,número,causa,plantaciones,temporada,fuego,Agencia Información,Agropecuario y Forestal,Incendios Forestales,Forestal</v>
      </c>
      <c r="S758" s="83" t="s">
        <v>5198</v>
      </c>
      <c r="T758" s="108" t="str">
        <f>"100-R-"&amp;Agencia[[#This Row],[Filtro URL]]</f>
        <v>100-R-9</v>
      </c>
      <c r="U758" s="46" t="str">
        <f t="shared" si="323"/>
        <v>#1774B9</v>
      </c>
      <c r="V758" s="93" t="str">
        <f>+Agencia[[#This Row],[idcoleccion]]&amp;"-"&amp;Agencia[[#This Row],[id]]</f>
        <v>990-0747</v>
      </c>
      <c r="W758" s="93">
        <f>+VLOOKUP(Agencia[[#This Row],[Filtro URL]],Estructura!$X$4:$Y$500,2,0)</f>
        <v>99200009</v>
      </c>
      <c r="X758" s="93" t="str">
        <f>+VLOOKUP(Agencia[[#This Row],[tema]],Estructura!$A$4:$C$500,3,0)</f>
        <v>T-1035</v>
      </c>
      <c r="Y758" s="93" t="str">
        <f>+VLOOKUP(Agencia[[#This Row],[contenido]],Estructura!$E$4:$G$500,3,0)</f>
        <v>C-1007</v>
      </c>
      <c r="Z758" s="93" t="str">
        <f>+VLOOKUP(Agencia[[#This Row],[Filtro Integrado]],Estructura!$I$4:$K$500,3,0)</f>
        <v>FI-993</v>
      </c>
      <c r="AA758" s="93" t="str">
        <f>+VLOOKUP(Agencia[[#This Row],[Muestra]],Estructura!$M$4:$O$500,3,0)</f>
        <v>M-1038</v>
      </c>
    </row>
    <row r="759" spans="1:27" ht="91.8" x14ac:dyDescent="0.3">
      <c r="A759" s="21" t="s">
        <v>1263</v>
      </c>
      <c r="B759" s="23">
        <f t="shared" si="306"/>
        <v>990</v>
      </c>
      <c r="C759" s="24" t="str">
        <f t="shared" si="307"/>
        <v>Agencia Información</v>
      </c>
      <c r="D759" s="72" t="str">
        <f t="shared" si="316"/>
        <v>Agropecuario y Forestal</v>
      </c>
      <c r="E759" s="19">
        <v>10</v>
      </c>
      <c r="F759" s="18" t="s">
        <v>1498</v>
      </c>
      <c r="G759" s="18" t="s">
        <v>1899</v>
      </c>
      <c r="H759" s="33" t="s">
        <v>16</v>
      </c>
      <c r="I759" s="34" t="s">
        <v>377</v>
      </c>
      <c r="J759" s="9" t="str">
        <f t="shared" si="317"/>
        <v>Ninguno</v>
      </c>
      <c r="K759" s="9" t="str">
        <f t="shared" si="318"/>
        <v>Plantaciones Forestales</v>
      </c>
      <c r="L759" s="9" t="str">
        <f t="shared" si="319"/>
        <v>Periodo 2010-2020</v>
      </c>
      <c r="M759" s="9" t="str">
        <f t="shared" si="320"/>
        <v>Número de incendios y Hectáreas</v>
      </c>
      <c r="N759" s="9" t="str">
        <f t="shared" si="321"/>
        <v>Corporación Nacional Forestal (CONAF)</v>
      </c>
      <c r="O759" s="20" t="str">
        <f>+"Incendios y superficie afectada de plantaciones Forestales según causas específicas en la "&amp;I759&amp;", "&amp;Agencia[[#This Row],[temporalidad]]</f>
        <v>Incendios y superficie afectada de plantaciones Forestales según causas específicas en la Región de Los Lagos, Periodo 2010-2020</v>
      </c>
      <c r="P759" s="112" t="s">
        <v>5967</v>
      </c>
      <c r="Q759" s="11" t="str">
        <f t="shared" si="322"/>
        <v>Dashboard</v>
      </c>
      <c r="R759" s="148" t="str">
        <f>Agencia[[#This Row],[territorio]]&amp;",incendios,forestales,hectáreas,superficie,cantidad,número,causa,plantaciones,temporada,fuego,"&amp;Agencia[[#This Row],[coleccion]]&amp;","&amp;Agencia[[#This Row],[sector]]&amp;","&amp;Agencia[[#This Row],[tema]]&amp;","&amp;Agencia[[#This Row],[contenido]]</f>
        <v>Región de Los Lagos,incendios,forestales,hectáreas,superficie,cantidad,número,causa,plantaciones,temporada,fuego,Agencia Información,Agropecuario y Forestal,Incendios Forestales,Forestal</v>
      </c>
      <c r="S759" s="83" t="s">
        <v>5192</v>
      </c>
      <c r="T759" s="108" t="str">
        <f>"100-R-"&amp;Agencia[[#This Row],[Filtro URL]]</f>
        <v>100-R-10</v>
      </c>
      <c r="U759" s="46" t="str">
        <f t="shared" si="323"/>
        <v>#1774B9</v>
      </c>
      <c r="V759" s="93" t="str">
        <f>+Agencia[[#This Row],[idcoleccion]]&amp;"-"&amp;Agencia[[#This Row],[id]]</f>
        <v>990-0748</v>
      </c>
      <c r="W759" s="93">
        <f>+VLOOKUP(Agencia[[#This Row],[Filtro URL]],Estructura!$X$4:$Y$500,2,0)</f>
        <v>99200010</v>
      </c>
      <c r="X759" s="93" t="str">
        <f>+VLOOKUP(Agencia[[#This Row],[tema]],Estructura!$A$4:$C$500,3,0)</f>
        <v>T-1035</v>
      </c>
      <c r="Y759" s="93" t="str">
        <f>+VLOOKUP(Agencia[[#This Row],[contenido]],Estructura!$E$4:$G$500,3,0)</f>
        <v>C-1007</v>
      </c>
      <c r="Z759" s="93" t="str">
        <f>+VLOOKUP(Agencia[[#This Row],[Filtro Integrado]],Estructura!$I$4:$K$500,3,0)</f>
        <v>FI-993</v>
      </c>
      <c r="AA759" s="93" t="str">
        <f>+VLOOKUP(Agencia[[#This Row],[Muestra]],Estructura!$M$4:$O$500,3,0)</f>
        <v>M-1038</v>
      </c>
    </row>
    <row r="760" spans="1:27" ht="102" x14ac:dyDescent="0.3">
      <c r="A760" s="21" t="s">
        <v>1264</v>
      </c>
      <c r="B760" s="23">
        <f t="shared" si="306"/>
        <v>990</v>
      </c>
      <c r="C760" s="24" t="str">
        <f t="shared" si="307"/>
        <v>Agencia Información</v>
      </c>
      <c r="D760" s="72" t="str">
        <f t="shared" si="316"/>
        <v>Agropecuario y Forestal</v>
      </c>
      <c r="E760" s="19">
        <v>11</v>
      </c>
      <c r="F760" s="18" t="s">
        <v>1498</v>
      </c>
      <c r="G760" s="18" t="s">
        <v>1899</v>
      </c>
      <c r="H760" s="33" t="s">
        <v>16</v>
      </c>
      <c r="I760" s="34" t="s">
        <v>378</v>
      </c>
      <c r="J760" s="9" t="str">
        <f t="shared" si="317"/>
        <v>Ninguno</v>
      </c>
      <c r="K760" s="9" t="str">
        <f t="shared" si="318"/>
        <v>Plantaciones Forestales</v>
      </c>
      <c r="L760" s="9" t="str">
        <f t="shared" si="319"/>
        <v>Periodo 2010-2020</v>
      </c>
      <c r="M760" s="9" t="str">
        <f t="shared" si="320"/>
        <v>Número de incendios y Hectáreas</v>
      </c>
      <c r="N760" s="9" t="str">
        <f t="shared" si="321"/>
        <v>Corporación Nacional Forestal (CONAF)</v>
      </c>
      <c r="O760" s="20" t="str">
        <f>+"Incendios y superficie afectada de plantaciones Forestales según causas específicas en la "&amp;I760&amp;", "&amp;Agencia[[#This Row],[temporalidad]]</f>
        <v>Incendios y superficie afectada de plantaciones Forestales según causas específicas en la Región de Aysén, Periodo 2010-2020</v>
      </c>
      <c r="P760" s="112" t="s">
        <v>5965</v>
      </c>
      <c r="Q760" s="11" t="str">
        <f t="shared" si="322"/>
        <v>Dashboard</v>
      </c>
      <c r="R760" s="148" t="str">
        <f>Agencia[[#This Row],[territorio]]&amp;",incendios,forestales,hectáreas,superficie,cantidad,número,causa,plantaciones,temporada,fuego,"&amp;Agencia[[#This Row],[coleccion]]&amp;","&amp;Agencia[[#This Row],[sector]]&amp;","&amp;Agencia[[#This Row],[tema]]&amp;","&amp;Agencia[[#This Row],[contenido]]</f>
        <v>Región de Aysén,incendios,forestales,hectáreas,superficie,cantidad,número,causa,plantaciones,temporada,fuego,Agencia Información,Agropecuario y Forestal,Incendios Forestales,Forestal</v>
      </c>
      <c r="S760" s="83" t="s">
        <v>5193</v>
      </c>
      <c r="T760" s="108" t="str">
        <f>"100-R-"&amp;Agencia[[#This Row],[Filtro URL]]</f>
        <v>100-R-11</v>
      </c>
      <c r="U760" s="46" t="str">
        <f t="shared" si="323"/>
        <v>#1774B9</v>
      </c>
      <c r="V760" s="93" t="str">
        <f>+Agencia[[#This Row],[idcoleccion]]&amp;"-"&amp;Agencia[[#This Row],[id]]</f>
        <v>990-0749</v>
      </c>
      <c r="W760" s="93">
        <f>+VLOOKUP(Agencia[[#This Row],[Filtro URL]],Estructura!$X$4:$Y$500,2,0)</f>
        <v>99200011</v>
      </c>
      <c r="X760" s="93" t="str">
        <f>+VLOOKUP(Agencia[[#This Row],[tema]],Estructura!$A$4:$C$500,3,0)</f>
        <v>T-1035</v>
      </c>
      <c r="Y760" s="93" t="str">
        <f>+VLOOKUP(Agencia[[#This Row],[contenido]],Estructura!$E$4:$G$500,3,0)</f>
        <v>C-1007</v>
      </c>
      <c r="Z760" s="93" t="str">
        <f>+VLOOKUP(Agencia[[#This Row],[Filtro Integrado]],Estructura!$I$4:$K$500,3,0)</f>
        <v>FI-993</v>
      </c>
      <c r="AA760" s="93" t="str">
        <f>+VLOOKUP(Agencia[[#This Row],[Muestra]],Estructura!$M$4:$O$500,3,0)</f>
        <v>M-1038</v>
      </c>
    </row>
    <row r="761" spans="1:27" ht="81.599999999999994" x14ac:dyDescent="0.3">
      <c r="A761" s="21" t="s">
        <v>1265</v>
      </c>
      <c r="B761" s="23">
        <f t="shared" si="306"/>
        <v>990</v>
      </c>
      <c r="C761" s="24" t="str">
        <f t="shared" si="307"/>
        <v>Agencia Información</v>
      </c>
      <c r="D761" s="72" t="str">
        <f t="shared" si="316"/>
        <v>Agropecuario y Forestal</v>
      </c>
      <c r="E761" s="19">
        <v>12</v>
      </c>
      <c r="F761" s="18" t="s">
        <v>1498</v>
      </c>
      <c r="G761" s="18" t="s">
        <v>1899</v>
      </c>
      <c r="H761" s="33" t="s">
        <v>16</v>
      </c>
      <c r="I761" s="34" t="s">
        <v>379</v>
      </c>
      <c r="J761" s="9" t="str">
        <f t="shared" si="317"/>
        <v>Ninguno</v>
      </c>
      <c r="K761" s="9" t="str">
        <f t="shared" si="318"/>
        <v>Plantaciones Forestales</v>
      </c>
      <c r="L761" s="9" t="str">
        <f t="shared" si="319"/>
        <v>Periodo 2010-2020</v>
      </c>
      <c r="M761" s="9" t="str">
        <f t="shared" si="320"/>
        <v>Número de incendios y Hectáreas</v>
      </c>
      <c r="N761" s="9" t="str">
        <f t="shared" si="321"/>
        <v>Corporación Nacional Forestal (CONAF)</v>
      </c>
      <c r="O761" s="20" t="str">
        <f>+"Incendios y superficie afectada de plantaciones Forestales según causas específicas en la "&amp;I761&amp;", "&amp;Agencia[[#This Row],[temporalidad]]</f>
        <v>Incendios y superficie afectada de plantaciones Forestales según causas específicas en la Región de Magallanes, Periodo 2010-2020</v>
      </c>
      <c r="P761" s="112" t="s">
        <v>5969</v>
      </c>
      <c r="Q761" s="11" t="str">
        <f t="shared" si="322"/>
        <v>Dashboard</v>
      </c>
      <c r="R761" s="148" t="str">
        <f>Agencia[[#This Row],[territorio]]&amp;",incendios,forestales,hectáreas,superficie,cantidad,número,causa,plantaciones,temporada,fuego,"&amp;Agencia[[#This Row],[coleccion]]&amp;","&amp;Agencia[[#This Row],[sector]]&amp;","&amp;Agencia[[#This Row],[tema]]&amp;","&amp;Agencia[[#This Row],[contenido]]</f>
        <v>Región de Magallanes,incendios,forestales,hectáreas,superficie,cantidad,número,causa,plantaciones,temporada,fuego,Agencia Información,Agropecuario y Forestal,Incendios Forestales,Forestal</v>
      </c>
      <c r="S761" s="83" t="s">
        <v>5194</v>
      </c>
      <c r="T761" s="108" t="str">
        <f>"100-R-"&amp;Agencia[[#This Row],[Filtro URL]]</f>
        <v>100-R-12</v>
      </c>
      <c r="U761" s="46" t="str">
        <f t="shared" si="323"/>
        <v>#1774B9</v>
      </c>
      <c r="V761" s="93" t="str">
        <f>+Agencia[[#This Row],[idcoleccion]]&amp;"-"&amp;Agencia[[#This Row],[id]]</f>
        <v>990-0750</v>
      </c>
      <c r="W761" s="93">
        <f>+VLOOKUP(Agencia[[#This Row],[Filtro URL]],Estructura!$X$4:$Y$500,2,0)</f>
        <v>99200012</v>
      </c>
      <c r="X761" s="93" t="str">
        <f>+VLOOKUP(Agencia[[#This Row],[tema]],Estructura!$A$4:$C$500,3,0)</f>
        <v>T-1035</v>
      </c>
      <c r="Y761" s="93" t="str">
        <f>+VLOOKUP(Agencia[[#This Row],[contenido]],Estructura!$E$4:$G$500,3,0)</f>
        <v>C-1007</v>
      </c>
      <c r="Z761" s="93" t="str">
        <f>+VLOOKUP(Agencia[[#This Row],[Filtro Integrado]],Estructura!$I$4:$K$500,3,0)</f>
        <v>FI-993</v>
      </c>
      <c r="AA761" s="93" t="str">
        <f>+VLOOKUP(Agencia[[#This Row],[Muestra]],Estructura!$M$4:$O$500,3,0)</f>
        <v>M-1038</v>
      </c>
    </row>
    <row r="762" spans="1:27" ht="91.8" x14ac:dyDescent="0.3">
      <c r="A762" s="21" t="s">
        <v>1266</v>
      </c>
      <c r="B762" s="23">
        <f t="shared" si="306"/>
        <v>990</v>
      </c>
      <c r="C762" s="24" t="str">
        <f t="shared" si="307"/>
        <v>Agencia Información</v>
      </c>
      <c r="D762" s="72" t="str">
        <f t="shared" si="316"/>
        <v>Agropecuario y Forestal</v>
      </c>
      <c r="E762" s="19">
        <v>13</v>
      </c>
      <c r="F762" s="18" t="s">
        <v>1498</v>
      </c>
      <c r="G762" s="18" t="s">
        <v>1899</v>
      </c>
      <c r="H762" s="33" t="s">
        <v>16</v>
      </c>
      <c r="I762" s="34" t="s">
        <v>380</v>
      </c>
      <c r="J762" s="9" t="str">
        <f t="shared" si="317"/>
        <v>Ninguno</v>
      </c>
      <c r="K762" s="9" t="str">
        <f t="shared" si="318"/>
        <v>Plantaciones Forestales</v>
      </c>
      <c r="L762" s="9" t="str">
        <f t="shared" si="319"/>
        <v>Periodo 2010-2020</v>
      </c>
      <c r="M762" s="9" t="str">
        <f t="shared" si="320"/>
        <v>Número de incendios y Hectáreas</v>
      </c>
      <c r="N762" s="9" t="str">
        <f t="shared" si="321"/>
        <v>Corporación Nacional Forestal (CONAF)</v>
      </c>
      <c r="O762" s="20" t="str">
        <f>+"Incendios y superficie afectada de plantaciones Forestales según causas específicas en la "&amp;I762&amp;", "&amp;Agencia[[#This Row],[temporalidad]]</f>
        <v>Incendios y superficie afectada de plantaciones Forestales según causas específicas en la Región Metropolitana, Periodo 2010-2020</v>
      </c>
      <c r="P762" s="112" t="s">
        <v>5975</v>
      </c>
      <c r="Q762" s="11" t="str">
        <f t="shared" si="322"/>
        <v>Dashboard</v>
      </c>
      <c r="R762" s="148" t="str">
        <f>Agencia[[#This Row],[territorio]]&amp;",incendios,forestales,hectáreas,superficie,cantidad,número,causa,plantaciones,temporada,fuego,"&amp;Agencia[[#This Row],[coleccion]]&amp;","&amp;Agencia[[#This Row],[sector]]&amp;","&amp;Agencia[[#This Row],[tema]]&amp;","&amp;Agencia[[#This Row],[contenido]]</f>
        <v>Región Metropolitana,incendios,forestales,hectáreas,superficie,cantidad,número,causa,plantaciones,temporada,fuego,Agencia Información,Agropecuario y Forestal,Incendios Forestales,Forestal</v>
      </c>
      <c r="S762" s="83" t="s">
        <v>5195</v>
      </c>
      <c r="T762" s="108" t="str">
        <f>"200-R-"&amp;Agencia[[#This Row],[Filtro URL]]</f>
        <v>200-R-13</v>
      </c>
      <c r="U762" s="46" t="str">
        <f t="shared" si="323"/>
        <v>#1774B9</v>
      </c>
      <c r="V762" s="93" t="str">
        <f>+Agencia[[#This Row],[idcoleccion]]&amp;"-"&amp;Agencia[[#This Row],[id]]</f>
        <v>990-0751</v>
      </c>
      <c r="W762" s="93">
        <f>+VLOOKUP(Agencia[[#This Row],[Filtro URL]],Estructura!$X$4:$Y$500,2,0)</f>
        <v>99200013</v>
      </c>
      <c r="X762" s="93" t="str">
        <f>+VLOOKUP(Agencia[[#This Row],[tema]],Estructura!$A$4:$C$500,3,0)</f>
        <v>T-1035</v>
      </c>
      <c r="Y762" s="93" t="str">
        <f>+VLOOKUP(Agencia[[#This Row],[contenido]],Estructura!$E$4:$G$500,3,0)</f>
        <v>C-1007</v>
      </c>
      <c r="Z762" s="93" t="str">
        <f>+VLOOKUP(Agencia[[#This Row],[Filtro Integrado]],Estructura!$I$4:$K$500,3,0)</f>
        <v>FI-993</v>
      </c>
      <c r="AA762" s="93" t="str">
        <f>+VLOOKUP(Agencia[[#This Row],[Muestra]],Estructura!$M$4:$O$500,3,0)</f>
        <v>M-1038</v>
      </c>
    </row>
    <row r="763" spans="1:27" ht="102" x14ac:dyDescent="0.3">
      <c r="A763" s="21" t="s">
        <v>1267</v>
      </c>
      <c r="B763" s="23">
        <f t="shared" si="306"/>
        <v>990</v>
      </c>
      <c r="C763" s="24" t="str">
        <f t="shared" si="307"/>
        <v>Agencia Información</v>
      </c>
      <c r="D763" s="72" t="str">
        <f t="shared" si="316"/>
        <v>Agropecuario y Forestal</v>
      </c>
      <c r="E763" s="19">
        <v>14</v>
      </c>
      <c r="F763" s="18" t="s">
        <v>1498</v>
      </c>
      <c r="G763" s="18" t="s">
        <v>1899</v>
      </c>
      <c r="H763" s="33" t="s">
        <v>16</v>
      </c>
      <c r="I763" s="34" t="s">
        <v>381</v>
      </c>
      <c r="J763" s="9" t="str">
        <f t="shared" si="317"/>
        <v>Ninguno</v>
      </c>
      <c r="K763" s="9" t="str">
        <f t="shared" si="318"/>
        <v>Plantaciones Forestales</v>
      </c>
      <c r="L763" s="9" t="str">
        <f t="shared" si="319"/>
        <v>Periodo 2010-2020</v>
      </c>
      <c r="M763" s="9" t="str">
        <f t="shared" si="320"/>
        <v>Número de incendios y Hectáreas</v>
      </c>
      <c r="N763" s="9" t="str">
        <f t="shared" si="321"/>
        <v>Corporación Nacional Forestal (CONAF)</v>
      </c>
      <c r="O763" s="20" t="str">
        <f>+"Incendios y superficie afectada de plantaciones Forestales según causas específicas en la "&amp;I763&amp;", "&amp;Agencia[[#This Row],[temporalidad]]</f>
        <v>Incendios y superficie afectada de plantaciones Forestales según causas específicas en la Región de Los Ríos, Periodo 2010-2020</v>
      </c>
      <c r="P763" s="112" t="s">
        <v>5968</v>
      </c>
      <c r="Q763" s="11" t="str">
        <f t="shared" si="322"/>
        <v>Dashboard</v>
      </c>
      <c r="R763" s="148" t="str">
        <f>Agencia[[#This Row],[territorio]]&amp;",incendios,forestales,hectáreas,superficie,cantidad,número,causa,plantaciones,temporada,fuego,"&amp;Agencia[[#This Row],[coleccion]]&amp;","&amp;Agencia[[#This Row],[sector]]&amp;","&amp;Agencia[[#This Row],[tema]]&amp;","&amp;Agencia[[#This Row],[contenido]]</f>
        <v>Región de Los Ríos,incendios,forestales,hectáreas,superficie,cantidad,número,causa,plantaciones,temporada,fuego,Agencia Información,Agropecuario y Forestal,Incendios Forestales,Forestal</v>
      </c>
      <c r="S763" s="83" t="s">
        <v>5196</v>
      </c>
      <c r="T763" s="108" t="str">
        <f>"100-R-"&amp;Agencia[[#This Row],[Filtro URL]]</f>
        <v>100-R-14</v>
      </c>
      <c r="U763" s="46" t="str">
        <f t="shared" si="323"/>
        <v>#1774B9</v>
      </c>
      <c r="V763" s="93" t="str">
        <f>+Agencia[[#This Row],[idcoleccion]]&amp;"-"&amp;Agencia[[#This Row],[id]]</f>
        <v>990-0752</v>
      </c>
      <c r="W763" s="93">
        <f>+VLOOKUP(Agencia[[#This Row],[Filtro URL]],Estructura!$X$4:$Y$500,2,0)</f>
        <v>99200014</v>
      </c>
      <c r="X763" s="93" t="str">
        <f>+VLOOKUP(Agencia[[#This Row],[tema]],Estructura!$A$4:$C$500,3,0)</f>
        <v>T-1035</v>
      </c>
      <c r="Y763" s="93" t="str">
        <f>+VLOOKUP(Agencia[[#This Row],[contenido]],Estructura!$E$4:$G$500,3,0)</f>
        <v>C-1007</v>
      </c>
      <c r="Z763" s="93" t="str">
        <f>+VLOOKUP(Agencia[[#This Row],[Filtro Integrado]],Estructura!$I$4:$K$500,3,0)</f>
        <v>FI-993</v>
      </c>
      <c r="AA763" s="93" t="str">
        <f>+VLOOKUP(Agencia[[#This Row],[Muestra]],Estructura!$M$4:$O$500,3,0)</f>
        <v>M-1038</v>
      </c>
    </row>
    <row r="764" spans="1:27" ht="81.599999999999994" x14ac:dyDescent="0.3">
      <c r="A764" s="21" t="s">
        <v>1268</v>
      </c>
      <c r="B764" s="23">
        <f>+B763</f>
        <v>990</v>
      </c>
      <c r="C764" s="136" t="str">
        <f t="shared" si="307"/>
        <v>Agencia Información</v>
      </c>
      <c r="D764" s="136" t="str">
        <f t="shared" si="316"/>
        <v>Agropecuario y Forestal</v>
      </c>
      <c r="E764" s="19">
        <v>16</v>
      </c>
      <c r="F764" s="18" t="s">
        <v>1498</v>
      </c>
      <c r="G764" s="18" t="s">
        <v>1899</v>
      </c>
      <c r="H764" s="33" t="s">
        <v>16</v>
      </c>
      <c r="I764" s="34" t="s">
        <v>383</v>
      </c>
      <c r="J764" s="9" t="str">
        <f>+J763</f>
        <v>Ninguno</v>
      </c>
      <c r="K764" s="127" t="str">
        <f t="shared" si="318"/>
        <v>Plantaciones Forestales</v>
      </c>
      <c r="L764" s="127" t="str">
        <f t="shared" si="319"/>
        <v>Periodo 2010-2020</v>
      </c>
      <c r="M764" s="127" t="str">
        <f t="shared" si="320"/>
        <v>Número de incendios y Hectáreas</v>
      </c>
      <c r="N764" s="127" t="str">
        <f t="shared" si="321"/>
        <v>Corporación Nacional Forestal (CONAF)</v>
      </c>
      <c r="O764" s="20" t="str">
        <f>+"Incendios y superficie afectada de plantaciones Forestales según causas específicas en la "&amp;I764&amp;", "&amp;Agencia[[#This Row],[temporalidad]]</f>
        <v>Incendios y superficie afectada de plantaciones Forestales según causas específicas en la Región de Ñuble, Periodo 2010-2020</v>
      </c>
      <c r="P764" s="112" t="s">
        <v>5971</v>
      </c>
      <c r="Q764" s="11" t="str">
        <f>+Q763</f>
        <v>Dashboard</v>
      </c>
      <c r="R764" s="148" t="str">
        <f>Agencia[[#This Row],[territorio]]&amp;",incendios,forestales,hectáreas,superficie,cantidad,número,causa,plantaciones,temporada,fuego,"&amp;Agencia[[#This Row],[coleccion]]&amp;","&amp;Agencia[[#This Row],[sector]]&amp;","&amp;Agencia[[#This Row],[tema]]&amp;","&amp;Agencia[[#This Row],[contenido]]</f>
        <v>Región de Ñuble,incendios,forestales,hectáreas,superficie,cantidad,número,causa,plantaciones,temporada,fuego,Agencia Información,Agropecuario y Forestal,Incendios Forestales,Forestal</v>
      </c>
      <c r="S764" s="83" t="s">
        <v>5197</v>
      </c>
      <c r="T764" s="108" t="str">
        <f>"100-R-"&amp;Agencia[[#This Row],[Filtro URL]]</f>
        <v>100-R-16</v>
      </c>
      <c r="U764" s="46" t="str">
        <f t="shared" si="323"/>
        <v>#1774B9</v>
      </c>
      <c r="V764" s="93" t="str">
        <f>+Agencia[[#This Row],[idcoleccion]]&amp;"-"&amp;Agencia[[#This Row],[id]]</f>
        <v>990-0753</v>
      </c>
      <c r="W764" s="93">
        <f>+VLOOKUP(Agencia[[#This Row],[Filtro URL]],Estructura!$X$4:$Y$500,2,0)</f>
        <v>99200016</v>
      </c>
      <c r="X764" s="93" t="str">
        <f>+VLOOKUP(Agencia[[#This Row],[tema]],Estructura!$A$4:$C$500,3,0)</f>
        <v>T-1035</v>
      </c>
      <c r="Y764" s="93" t="str">
        <f>+VLOOKUP(Agencia[[#This Row],[contenido]],Estructura!$E$4:$G$500,3,0)</f>
        <v>C-1007</v>
      </c>
      <c r="Z764" s="93" t="str">
        <f>+VLOOKUP(Agencia[[#This Row],[Filtro Integrado]],Estructura!$I$4:$K$500,3,0)</f>
        <v>FI-993</v>
      </c>
      <c r="AA764" s="93" t="str">
        <f>+VLOOKUP(Agencia[[#This Row],[Muestra]],Estructura!$M$4:$O$500,3,0)</f>
        <v>M-1038</v>
      </c>
    </row>
    <row r="765" spans="1:27" ht="72" x14ac:dyDescent="0.3">
      <c r="A765" s="21" t="s">
        <v>1269</v>
      </c>
      <c r="B765" s="23">
        <f t="shared" si="306"/>
        <v>990</v>
      </c>
      <c r="C765" s="24" t="str">
        <f t="shared" si="307"/>
        <v>Agencia Información</v>
      </c>
      <c r="D765" s="72" t="s">
        <v>571</v>
      </c>
      <c r="E765" s="14">
        <v>0</v>
      </c>
      <c r="F765" s="18" t="s">
        <v>1498</v>
      </c>
      <c r="G765" s="18" t="s">
        <v>1899</v>
      </c>
      <c r="H765" s="31" t="s">
        <v>20</v>
      </c>
      <c r="I765" s="32" t="s">
        <v>15</v>
      </c>
      <c r="J765" s="9" t="s">
        <v>403</v>
      </c>
      <c r="K765" s="9" t="s">
        <v>9285</v>
      </c>
      <c r="L765" s="9" t="s">
        <v>592</v>
      </c>
      <c r="M765" s="9" t="str">
        <f t="shared" ref="M765" si="324">+M764</f>
        <v>Número de incendios y Hectáreas</v>
      </c>
      <c r="N765" s="9" t="s">
        <v>591</v>
      </c>
      <c r="O765" s="20" t="str">
        <f>+"Incendios y superficie afectada según causas generales y específicas en "&amp;I765&amp;", "&amp;Agencia[[#This Row],[temporalidad]]</f>
        <v>Incendios y superficie afectada según causas generales y específicas en Chile, Periodo 2010-2020</v>
      </c>
      <c r="P765" s="112" t="s">
        <v>5976</v>
      </c>
      <c r="Q765" s="11" t="s">
        <v>590</v>
      </c>
      <c r="R765" s="20" t="str">
        <f>Agencia[[#This Row],[territorio]]&amp;",incendios,forestales,hectáreas,superficie,cantidad,número,causa,general,específica,temporada,fuego,"&amp;Agencia[[#This Row],[coleccion]]&amp;","&amp;Agencia[[#This Row],[sector]]&amp;","&amp;Agencia[[#This Row],[tema]]&amp;","&amp;Agencia[[#This Row],[contenido]]</f>
        <v>Chile,incendios,forestales,hectáreas,superficie,cantidad,número,causa,general,específica,temporada,fuego,Agencia Información,Agropecuario y Forestal,Incendios Forestales,Forestal</v>
      </c>
      <c r="S765" s="101" t="s">
        <v>5199</v>
      </c>
      <c r="T765" s="108" t="s">
        <v>805</v>
      </c>
      <c r="U765" s="46" t="str">
        <f t="shared" si="323"/>
        <v>#1774B9</v>
      </c>
      <c r="V765" s="93" t="str">
        <f>+Agencia[[#This Row],[idcoleccion]]&amp;"-"&amp;Agencia[[#This Row],[id]]</f>
        <v>990-0754</v>
      </c>
      <c r="W765" s="93">
        <f>+VLOOKUP(Agencia[[#This Row],[Filtro URL]],Estructura!$X$4:$Y$500,2,0)</f>
        <v>99100000</v>
      </c>
      <c r="X765" s="93" t="str">
        <f>+VLOOKUP(Agencia[[#This Row],[tema]],Estructura!$A$4:$C$500,3,0)</f>
        <v>T-1035</v>
      </c>
      <c r="Y765" s="93" t="str">
        <f>+VLOOKUP(Agencia[[#This Row],[contenido]],Estructura!$E$4:$G$500,3,0)</f>
        <v>C-1007</v>
      </c>
      <c r="Z765" s="93" t="str">
        <f>+VLOOKUP(Agencia[[#This Row],[Filtro Integrado]],Estructura!$I$4:$K$500,3,0)</f>
        <v>FI-993</v>
      </c>
      <c r="AA765" s="93" t="str">
        <f>+VLOOKUP(Agencia[[#This Row],[Muestra]],Estructura!$M$4:$O$500,3,0)</f>
        <v>M-1072</v>
      </c>
    </row>
    <row r="766" spans="1:27" ht="72" x14ac:dyDescent="0.3">
      <c r="A766" s="21" t="s">
        <v>1270</v>
      </c>
      <c r="B766" s="23">
        <f t="shared" si="306"/>
        <v>990</v>
      </c>
      <c r="C766" s="24" t="str">
        <f t="shared" si="307"/>
        <v>Agencia Información</v>
      </c>
      <c r="D766" s="72" t="str">
        <f t="shared" ref="D766:D781" si="325">+D765</f>
        <v>Agropecuario y Forestal</v>
      </c>
      <c r="E766" s="19">
        <v>1</v>
      </c>
      <c r="F766" s="18" t="s">
        <v>1498</v>
      </c>
      <c r="G766" s="18" t="s">
        <v>1899</v>
      </c>
      <c r="H766" s="33" t="s">
        <v>16</v>
      </c>
      <c r="I766" s="34" t="s">
        <v>368</v>
      </c>
      <c r="J766" s="9" t="str">
        <f t="shared" ref="J766:J781" si="326">+J765</f>
        <v>Ninguno</v>
      </c>
      <c r="K766" s="142" t="s">
        <v>9285</v>
      </c>
      <c r="L766" s="9" t="str">
        <f t="shared" ref="L766:L781" si="327">+L765</f>
        <v>Periodo 2010-2020</v>
      </c>
      <c r="M766" s="9" t="str">
        <f t="shared" ref="M766:M781" si="328">+M765</f>
        <v>Número de incendios y Hectáreas</v>
      </c>
      <c r="N766" s="9" t="str">
        <f t="shared" ref="N766:N781" si="329">+N765</f>
        <v>Corporación Nacional Forestal (CONAF)</v>
      </c>
      <c r="O766" s="20" t="str">
        <f>+"Incendios y superficie afectada según causas generales y específicas en la "&amp;I766&amp;", "&amp;Agencia[[#This Row],[temporalidad]]</f>
        <v>Incendios y superficie afectada según causas generales y específicas en la Región de Tarapacá, Periodo 2010-2020</v>
      </c>
      <c r="P766" s="112" t="s">
        <v>6422</v>
      </c>
      <c r="Q766" s="11" t="str">
        <f t="shared" si="322"/>
        <v>Dashboard</v>
      </c>
      <c r="R766" s="148" t="str">
        <f>Agencia[[#This Row],[territorio]]&amp;",incendios,forestales,hectáreas,superficie,cantidad,número,causa,general,específica,temporada,fuego,"&amp;Agencia[[#This Row],[coleccion]]&amp;","&amp;Agencia[[#This Row],[sector]]&amp;","&amp;Agencia[[#This Row],[tema]]&amp;","&amp;Agencia[[#This Row],[contenido]]</f>
        <v>Región de Tarapacá,incendios,forestales,hectáreas,superficie,cantidad,número,causa,general,específica,temporada,fuego,Agencia Información,Agropecuario y Forestal,Incendios Forestales,Forestal</v>
      </c>
      <c r="S766" s="101" t="s">
        <v>5200</v>
      </c>
      <c r="T766" s="108" t="str">
        <f>"100-R-"&amp;Agencia[[#This Row],[Filtro URL]]</f>
        <v>100-R-1</v>
      </c>
      <c r="U766" s="46" t="str">
        <f t="shared" si="323"/>
        <v>#1774B9</v>
      </c>
      <c r="V766" s="93" t="str">
        <f>+Agencia[[#This Row],[idcoleccion]]&amp;"-"&amp;Agencia[[#This Row],[id]]</f>
        <v>990-0755</v>
      </c>
      <c r="W766" s="93">
        <f>+VLOOKUP(Agencia[[#This Row],[Filtro URL]],Estructura!$X$4:$Y$500,2,0)</f>
        <v>99200001</v>
      </c>
      <c r="X766" s="93" t="str">
        <f>+VLOOKUP(Agencia[[#This Row],[tema]],Estructura!$A$4:$C$500,3,0)</f>
        <v>T-1035</v>
      </c>
      <c r="Y766" s="93" t="str">
        <f>+VLOOKUP(Agencia[[#This Row],[contenido]],Estructura!$E$4:$G$500,3,0)</f>
        <v>C-1007</v>
      </c>
      <c r="Z766" s="93" t="str">
        <f>+VLOOKUP(Agencia[[#This Row],[Filtro Integrado]],Estructura!$I$4:$K$500,3,0)</f>
        <v>FI-993</v>
      </c>
      <c r="AA766" s="93" t="str">
        <f>+VLOOKUP(Agencia[[#This Row],[Muestra]],Estructura!$M$4:$O$500,3,0)</f>
        <v>M-1072</v>
      </c>
    </row>
    <row r="767" spans="1:27" ht="72" x14ac:dyDescent="0.3">
      <c r="A767" s="21" t="s">
        <v>1271</v>
      </c>
      <c r="B767" s="23">
        <f t="shared" si="306"/>
        <v>990</v>
      </c>
      <c r="C767" s="24" t="str">
        <f t="shared" si="307"/>
        <v>Agencia Información</v>
      </c>
      <c r="D767" s="72" t="str">
        <f t="shared" si="325"/>
        <v>Agropecuario y Forestal</v>
      </c>
      <c r="E767" s="19">
        <v>2</v>
      </c>
      <c r="F767" s="18" t="s">
        <v>1498</v>
      </c>
      <c r="G767" s="18" t="s">
        <v>1899</v>
      </c>
      <c r="H767" s="33" t="s">
        <v>16</v>
      </c>
      <c r="I767" s="34" t="s">
        <v>369</v>
      </c>
      <c r="J767" s="9" t="str">
        <f t="shared" si="326"/>
        <v>Ninguno</v>
      </c>
      <c r="K767" s="9" t="str">
        <f t="shared" ref="K767:K781" si="330">+K766</f>
        <v>Causas de incendios</v>
      </c>
      <c r="L767" s="9" t="str">
        <f t="shared" si="327"/>
        <v>Periodo 2010-2020</v>
      </c>
      <c r="M767" s="9" t="str">
        <f t="shared" si="328"/>
        <v>Número de incendios y Hectáreas</v>
      </c>
      <c r="N767" s="9" t="str">
        <f t="shared" si="329"/>
        <v>Corporación Nacional Forestal (CONAF)</v>
      </c>
      <c r="O767" s="20" t="str">
        <f>+"Incendios y superficie afectada según causas generales y específicas en la "&amp;I767&amp;", "&amp;Agencia[[#This Row],[temporalidad]]</f>
        <v>Incendios y superficie afectada según causas generales y específicas en la Región de Antofagasta, Periodo 2010-2020</v>
      </c>
      <c r="P767" s="112" t="s">
        <v>6423</v>
      </c>
      <c r="Q767" s="11" t="str">
        <f t="shared" si="322"/>
        <v>Dashboard</v>
      </c>
      <c r="R767" s="148" t="str">
        <f>Agencia[[#This Row],[territorio]]&amp;",incendios,forestales,hectáreas,superficie,cantidad,número,causa,general,específica,temporada,fuego,"&amp;Agencia[[#This Row],[coleccion]]&amp;","&amp;Agencia[[#This Row],[sector]]&amp;","&amp;Agencia[[#This Row],[tema]]&amp;","&amp;Agencia[[#This Row],[contenido]]</f>
        <v>Región de Antofagasta,incendios,forestales,hectáreas,superficie,cantidad,número,causa,general,específica,temporada,fuego,Agencia Información,Agropecuario y Forestal,Incendios Forestales,Forestal</v>
      </c>
      <c r="S767" s="101" t="s">
        <v>5201</v>
      </c>
      <c r="T767" s="108" t="str">
        <f>"100-R-"&amp;Agencia[[#This Row],[Filtro URL]]</f>
        <v>100-R-2</v>
      </c>
      <c r="U767" s="46" t="str">
        <f t="shared" si="323"/>
        <v>#1774B9</v>
      </c>
      <c r="V767" s="93" t="str">
        <f>+Agencia[[#This Row],[idcoleccion]]&amp;"-"&amp;Agencia[[#This Row],[id]]</f>
        <v>990-0756</v>
      </c>
      <c r="W767" s="93">
        <f>+VLOOKUP(Agencia[[#This Row],[Filtro URL]],Estructura!$X$4:$Y$500,2,0)</f>
        <v>99200002</v>
      </c>
      <c r="X767" s="93" t="str">
        <f>+VLOOKUP(Agencia[[#This Row],[tema]],Estructura!$A$4:$C$500,3,0)</f>
        <v>T-1035</v>
      </c>
      <c r="Y767" s="93" t="str">
        <f>+VLOOKUP(Agencia[[#This Row],[contenido]],Estructura!$E$4:$G$500,3,0)</f>
        <v>C-1007</v>
      </c>
      <c r="Z767" s="93" t="str">
        <f>+VLOOKUP(Agencia[[#This Row],[Filtro Integrado]],Estructura!$I$4:$K$500,3,0)</f>
        <v>FI-993</v>
      </c>
      <c r="AA767" s="93" t="str">
        <f>+VLOOKUP(Agencia[[#This Row],[Muestra]],Estructura!$M$4:$O$500,3,0)</f>
        <v>M-1072</v>
      </c>
    </row>
    <row r="768" spans="1:27" ht="72" x14ac:dyDescent="0.3">
      <c r="A768" s="21" t="s">
        <v>1272</v>
      </c>
      <c r="B768" s="23">
        <f t="shared" si="306"/>
        <v>990</v>
      </c>
      <c r="C768" s="24" t="str">
        <f t="shared" si="307"/>
        <v>Agencia Información</v>
      </c>
      <c r="D768" s="72" t="str">
        <f t="shared" si="325"/>
        <v>Agropecuario y Forestal</v>
      </c>
      <c r="E768" s="19">
        <v>3</v>
      </c>
      <c r="F768" s="18" t="s">
        <v>1498</v>
      </c>
      <c r="G768" s="18" t="s">
        <v>1899</v>
      </c>
      <c r="H768" s="33" t="s">
        <v>16</v>
      </c>
      <c r="I768" s="34" t="s">
        <v>370</v>
      </c>
      <c r="J768" s="9" t="str">
        <f t="shared" si="326"/>
        <v>Ninguno</v>
      </c>
      <c r="K768" s="9" t="str">
        <f t="shared" si="330"/>
        <v>Causas de incendios</v>
      </c>
      <c r="L768" s="9" t="str">
        <f t="shared" si="327"/>
        <v>Periodo 2010-2020</v>
      </c>
      <c r="M768" s="9" t="str">
        <f t="shared" si="328"/>
        <v>Número de incendios y Hectáreas</v>
      </c>
      <c r="N768" s="9" t="str">
        <f t="shared" si="329"/>
        <v>Corporación Nacional Forestal (CONAF)</v>
      </c>
      <c r="O768" s="20" t="str">
        <f>+"Incendios y superficie afectada según causas generales y específicas en la "&amp;I768&amp;", "&amp;Agencia[[#This Row],[temporalidad]]</f>
        <v>Incendios y superficie afectada según causas generales y específicas en la Región de Atacama, Periodo 2010-2020</v>
      </c>
      <c r="P768" s="112" t="s">
        <v>6424</v>
      </c>
      <c r="Q768" s="11" t="str">
        <f t="shared" si="322"/>
        <v>Dashboard</v>
      </c>
      <c r="R768" s="148" t="str">
        <f>Agencia[[#This Row],[territorio]]&amp;",incendios,forestales,hectáreas,superficie,cantidad,número,causa,general,específica,temporada,fuego,"&amp;Agencia[[#This Row],[coleccion]]&amp;","&amp;Agencia[[#This Row],[sector]]&amp;","&amp;Agencia[[#This Row],[tema]]&amp;","&amp;Agencia[[#This Row],[contenido]]</f>
        <v>Región de Atacama,incendios,forestales,hectáreas,superficie,cantidad,número,causa,general,específica,temporada,fuego,Agencia Información,Agropecuario y Forestal,Incendios Forestales,Forestal</v>
      </c>
      <c r="S768" s="101" t="s">
        <v>5202</v>
      </c>
      <c r="T768" s="108" t="str">
        <f>"100-R-"&amp;Agencia[[#This Row],[Filtro URL]]</f>
        <v>100-R-3</v>
      </c>
      <c r="U768" s="46" t="str">
        <f t="shared" si="323"/>
        <v>#1774B9</v>
      </c>
      <c r="V768" s="93" t="str">
        <f>+Agencia[[#This Row],[idcoleccion]]&amp;"-"&amp;Agencia[[#This Row],[id]]</f>
        <v>990-0757</v>
      </c>
      <c r="W768" s="93">
        <f>+VLOOKUP(Agencia[[#This Row],[Filtro URL]],Estructura!$X$4:$Y$500,2,0)</f>
        <v>99200003</v>
      </c>
      <c r="X768" s="93" t="str">
        <f>+VLOOKUP(Agencia[[#This Row],[tema]],Estructura!$A$4:$C$500,3,0)</f>
        <v>T-1035</v>
      </c>
      <c r="Y768" s="93" t="str">
        <f>+VLOOKUP(Agencia[[#This Row],[contenido]],Estructura!$E$4:$G$500,3,0)</f>
        <v>C-1007</v>
      </c>
      <c r="Z768" s="93" t="str">
        <f>+VLOOKUP(Agencia[[#This Row],[Filtro Integrado]],Estructura!$I$4:$K$500,3,0)</f>
        <v>FI-993</v>
      </c>
      <c r="AA768" s="93" t="str">
        <f>+VLOOKUP(Agencia[[#This Row],[Muestra]],Estructura!$M$4:$O$500,3,0)</f>
        <v>M-1072</v>
      </c>
    </row>
    <row r="769" spans="1:27" ht="72" x14ac:dyDescent="0.3">
      <c r="A769" s="21" t="s">
        <v>1273</v>
      </c>
      <c r="B769" s="23">
        <f t="shared" si="306"/>
        <v>990</v>
      </c>
      <c r="C769" s="24" t="str">
        <f t="shared" si="307"/>
        <v>Agencia Información</v>
      </c>
      <c r="D769" s="72" t="str">
        <f t="shared" si="325"/>
        <v>Agropecuario y Forestal</v>
      </c>
      <c r="E769" s="19">
        <v>4</v>
      </c>
      <c r="F769" s="18" t="s">
        <v>1498</v>
      </c>
      <c r="G769" s="18" t="s">
        <v>1899</v>
      </c>
      <c r="H769" s="33" t="s">
        <v>16</v>
      </c>
      <c r="I769" s="34" t="s">
        <v>371</v>
      </c>
      <c r="J769" s="9" t="str">
        <f t="shared" si="326"/>
        <v>Ninguno</v>
      </c>
      <c r="K769" s="9" t="str">
        <f t="shared" si="330"/>
        <v>Causas de incendios</v>
      </c>
      <c r="L769" s="9" t="str">
        <f t="shared" si="327"/>
        <v>Periodo 2010-2020</v>
      </c>
      <c r="M769" s="9" t="str">
        <f t="shared" si="328"/>
        <v>Número de incendios y Hectáreas</v>
      </c>
      <c r="N769" s="9" t="str">
        <f t="shared" si="329"/>
        <v>Corporación Nacional Forestal (CONAF)</v>
      </c>
      <c r="O769" s="20" t="str">
        <f>+"Incendios y superficie afectada según causas generales y específicas en la "&amp;I769&amp;", "&amp;Agencia[[#This Row],[temporalidad]]</f>
        <v>Incendios y superficie afectada según causas generales y específicas en la Región de Coquimbo, Periodo 2010-2020</v>
      </c>
      <c r="P769" s="112" t="s">
        <v>6425</v>
      </c>
      <c r="Q769" s="11" t="str">
        <f t="shared" si="322"/>
        <v>Dashboard</v>
      </c>
      <c r="R769" s="148" t="str">
        <f>Agencia[[#This Row],[territorio]]&amp;",incendios,forestales,hectáreas,superficie,cantidad,número,causa,general,específica,temporada,fuego,"&amp;Agencia[[#This Row],[coleccion]]&amp;","&amp;Agencia[[#This Row],[sector]]&amp;","&amp;Agencia[[#This Row],[tema]]&amp;","&amp;Agencia[[#This Row],[contenido]]</f>
        <v>Región de Coquimbo,incendios,forestales,hectáreas,superficie,cantidad,número,causa,general,específica,temporada,fuego,Agencia Información,Agropecuario y Forestal,Incendios Forestales,Forestal</v>
      </c>
      <c r="S769" s="101" t="s">
        <v>5203</v>
      </c>
      <c r="T769" s="108" t="str">
        <f>"100-R-"&amp;Agencia[[#This Row],[Filtro URL]]</f>
        <v>100-R-4</v>
      </c>
      <c r="U769" s="46" t="str">
        <f t="shared" si="323"/>
        <v>#1774B9</v>
      </c>
      <c r="V769" s="93" t="str">
        <f>+Agencia[[#This Row],[idcoleccion]]&amp;"-"&amp;Agencia[[#This Row],[id]]</f>
        <v>990-0758</v>
      </c>
      <c r="W769" s="93">
        <f>+VLOOKUP(Agencia[[#This Row],[Filtro URL]],Estructura!$X$4:$Y$500,2,0)</f>
        <v>99200004</v>
      </c>
      <c r="X769" s="93" t="str">
        <f>+VLOOKUP(Agencia[[#This Row],[tema]],Estructura!$A$4:$C$500,3,0)</f>
        <v>T-1035</v>
      </c>
      <c r="Y769" s="93" t="str">
        <f>+VLOOKUP(Agencia[[#This Row],[contenido]],Estructura!$E$4:$G$500,3,0)</f>
        <v>C-1007</v>
      </c>
      <c r="Z769" s="93" t="str">
        <f>+VLOOKUP(Agencia[[#This Row],[Filtro Integrado]],Estructura!$I$4:$K$500,3,0)</f>
        <v>FI-993</v>
      </c>
      <c r="AA769" s="93" t="str">
        <f>+VLOOKUP(Agencia[[#This Row],[Muestra]],Estructura!$M$4:$O$500,3,0)</f>
        <v>M-1072</v>
      </c>
    </row>
    <row r="770" spans="1:27" ht="72" x14ac:dyDescent="0.3">
      <c r="A770" s="21" t="s">
        <v>1274</v>
      </c>
      <c r="B770" s="23">
        <f t="shared" si="306"/>
        <v>990</v>
      </c>
      <c r="C770" s="24" t="str">
        <f t="shared" si="307"/>
        <v>Agencia Información</v>
      </c>
      <c r="D770" s="72" t="str">
        <f t="shared" si="325"/>
        <v>Agropecuario y Forestal</v>
      </c>
      <c r="E770" s="19">
        <v>5</v>
      </c>
      <c r="F770" s="18" t="s">
        <v>1498</v>
      </c>
      <c r="G770" s="18" t="s">
        <v>1899</v>
      </c>
      <c r="H770" s="33" t="s">
        <v>16</v>
      </c>
      <c r="I770" s="34" t="s">
        <v>372</v>
      </c>
      <c r="J770" s="9" t="str">
        <f t="shared" si="326"/>
        <v>Ninguno</v>
      </c>
      <c r="K770" s="9" t="str">
        <f t="shared" si="330"/>
        <v>Causas de incendios</v>
      </c>
      <c r="L770" s="9" t="str">
        <f t="shared" si="327"/>
        <v>Periodo 2010-2020</v>
      </c>
      <c r="M770" s="9" t="str">
        <f t="shared" si="328"/>
        <v>Número de incendios y Hectáreas</v>
      </c>
      <c r="N770" s="9" t="str">
        <f t="shared" si="329"/>
        <v>Corporación Nacional Forestal (CONAF)</v>
      </c>
      <c r="O770" s="20" t="str">
        <f>+"Incendios y superficie afectada según causas generales y específicas en la "&amp;I770&amp;", "&amp;Agencia[[#This Row],[temporalidad]]</f>
        <v>Incendios y superficie afectada según causas generales y específicas en la Región de Valparaíso, Periodo 2010-2020</v>
      </c>
      <c r="P770" s="112" t="s">
        <v>5977</v>
      </c>
      <c r="Q770" s="11" t="str">
        <f t="shared" si="322"/>
        <v>Dashboard</v>
      </c>
      <c r="R770" s="148" t="str">
        <f>Agencia[[#This Row],[territorio]]&amp;",incendios,forestales,hectáreas,superficie,cantidad,número,causa,general,específica,temporada,fuego,"&amp;Agencia[[#This Row],[coleccion]]&amp;","&amp;Agencia[[#This Row],[sector]]&amp;","&amp;Agencia[[#This Row],[tema]]&amp;","&amp;Agencia[[#This Row],[contenido]]</f>
        <v>Región de Valparaíso,incendios,forestales,hectáreas,superficie,cantidad,número,causa,general,específica,temporada,fuego,Agencia Información,Agropecuario y Forestal,Incendios Forestales,Forestal</v>
      </c>
      <c r="S770" s="101" t="s">
        <v>5204</v>
      </c>
      <c r="T770" s="108" t="str">
        <f>"100-R-"&amp;Agencia[[#This Row],[Filtro URL]]</f>
        <v>100-R-5</v>
      </c>
      <c r="U770" s="46" t="str">
        <f t="shared" si="323"/>
        <v>#1774B9</v>
      </c>
      <c r="V770" s="93" t="str">
        <f>+Agencia[[#This Row],[idcoleccion]]&amp;"-"&amp;Agencia[[#This Row],[id]]</f>
        <v>990-0759</v>
      </c>
      <c r="W770" s="93">
        <f>+VLOOKUP(Agencia[[#This Row],[Filtro URL]],Estructura!$X$4:$Y$500,2,0)</f>
        <v>99200005</v>
      </c>
      <c r="X770" s="93" t="str">
        <f>+VLOOKUP(Agencia[[#This Row],[tema]],Estructura!$A$4:$C$500,3,0)</f>
        <v>T-1035</v>
      </c>
      <c r="Y770" s="93" t="str">
        <f>+VLOOKUP(Agencia[[#This Row],[contenido]],Estructura!$E$4:$G$500,3,0)</f>
        <v>C-1007</v>
      </c>
      <c r="Z770" s="93" t="str">
        <f>+VLOOKUP(Agencia[[#This Row],[Filtro Integrado]],Estructura!$I$4:$K$500,3,0)</f>
        <v>FI-993</v>
      </c>
      <c r="AA770" s="93" t="str">
        <f>+VLOOKUP(Agencia[[#This Row],[Muestra]],Estructura!$M$4:$O$500,3,0)</f>
        <v>M-1072</v>
      </c>
    </row>
    <row r="771" spans="1:27" ht="72" x14ac:dyDescent="0.3">
      <c r="A771" s="21" t="s">
        <v>1275</v>
      </c>
      <c r="B771" s="23">
        <f t="shared" si="306"/>
        <v>990</v>
      </c>
      <c r="C771" s="24" t="str">
        <f t="shared" si="307"/>
        <v>Agencia Información</v>
      </c>
      <c r="D771" s="72" t="str">
        <f t="shared" si="325"/>
        <v>Agropecuario y Forestal</v>
      </c>
      <c r="E771" s="19">
        <v>6</v>
      </c>
      <c r="F771" s="18" t="s">
        <v>1498</v>
      </c>
      <c r="G771" s="18" t="s">
        <v>1899</v>
      </c>
      <c r="H771" s="33" t="s">
        <v>16</v>
      </c>
      <c r="I771" s="34" t="s">
        <v>373</v>
      </c>
      <c r="J771" s="9" t="str">
        <f t="shared" si="326"/>
        <v>Ninguno</v>
      </c>
      <c r="K771" s="9" t="str">
        <f t="shared" si="330"/>
        <v>Causas de incendios</v>
      </c>
      <c r="L771" s="9" t="str">
        <f t="shared" si="327"/>
        <v>Periodo 2010-2020</v>
      </c>
      <c r="M771" s="9" t="str">
        <f t="shared" si="328"/>
        <v>Número de incendios y Hectáreas</v>
      </c>
      <c r="N771" s="9" t="str">
        <f t="shared" si="329"/>
        <v>Corporación Nacional Forestal (CONAF)</v>
      </c>
      <c r="O771" s="20" t="str">
        <f>+"Incendios y superficie afectada según causas generales y específicas en la "&amp;I771&amp;", "&amp;Agencia[[#This Row],[temporalidad]]</f>
        <v>Incendios y superficie afectada según causas generales y específicas en la Región de O'Higgins, Periodo 2010-2020</v>
      </c>
      <c r="P771" s="112" t="s">
        <v>6426</v>
      </c>
      <c r="Q771" s="11" t="str">
        <f t="shared" si="322"/>
        <v>Dashboard</v>
      </c>
      <c r="R771" s="148" t="str">
        <f>Agencia[[#This Row],[territorio]]&amp;",incendios,forestales,hectáreas,superficie,cantidad,número,causa,general,específica,temporada,fuego,"&amp;Agencia[[#This Row],[coleccion]]&amp;","&amp;Agencia[[#This Row],[sector]]&amp;","&amp;Agencia[[#This Row],[tema]]&amp;","&amp;Agencia[[#This Row],[contenido]]</f>
        <v>Región de O'Higgins,incendios,forestales,hectáreas,superficie,cantidad,número,causa,general,específica,temporada,fuego,Agencia Información,Agropecuario y Forestal,Incendios Forestales,Forestal</v>
      </c>
      <c r="S771" s="101" t="s">
        <v>5205</v>
      </c>
      <c r="T771" s="108" t="str">
        <f>"100-R-"&amp;Agencia[[#This Row],[Filtro URL]]</f>
        <v>100-R-6</v>
      </c>
      <c r="U771" s="46" t="str">
        <f t="shared" si="323"/>
        <v>#1774B9</v>
      </c>
      <c r="V771" s="93" t="str">
        <f>+Agencia[[#This Row],[idcoleccion]]&amp;"-"&amp;Agencia[[#This Row],[id]]</f>
        <v>990-0760</v>
      </c>
      <c r="W771" s="93">
        <f>+VLOOKUP(Agencia[[#This Row],[Filtro URL]],Estructura!$X$4:$Y$500,2,0)</f>
        <v>99200006</v>
      </c>
      <c r="X771" s="93" t="str">
        <f>+VLOOKUP(Agencia[[#This Row],[tema]],Estructura!$A$4:$C$500,3,0)</f>
        <v>T-1035</v>
      </c>
      <c r="Y771" s="93" t="str">
        <f>+VLOOKUP(Agencia[[#This Row],[contenido]],Estructura!$E$4:$G$500,3,0)</f>
        <v>C-1007</v>
      </c>
      <c r="Z771" s="93" t="str">
        <f>+VLOOKUP(Agencia[[#This Row],[Filtro Integrado]],Estructura!$I$4:$K$500,3,0)</f>
        <v>FI-993</v>
      </c>
      <c r="AA771" s="93" t="str">
        <f>+VLOOKUP(Agencia[[#This Row],[Muestra]],Estructura!$M$4:$O$500,3,0)</f>
        <v>M-1072</v>
      </c>
    </row>
    <row r="772" spans="1:27" ht="72" x14ac:dyDescent="0.3">
      <c r="A772" s="21" t="s">
        <v>1276</v>
      </c>
      <c r="B772" s="23">
        <f t="shared" si="306"/>
        <v>990</v>
      </c>
      <c r="C772" s="24" t="str">
        <f t="shared" si="307"/>
        <v>Agencia Información</v>
      </c>
      <c r="D772" s="72" t="str">
        <f t="shared" si="325"/>
        <v>Agropecuario y Forestal</v>
      </c>
      <c r="E772" s="19">
        <v>7</v>
      </c>
      <c r="F772" s="18" t="s">
        <v>1498</v>
      </c>
      <c r="G772" s="18" t="s">
        <v>1899</v>
      </c>
      <c r="H772" s="33" t="s">
        <v>16</v>
      </c>
      <c r="I772" s="34" t="s">
        <v>374</v>
      </c>
      <c r="J772" s="9" t="str">
        <f t="shared" si="326"/>
        <v>Ninguno</v>
      </c>
      <c r="K772" s="9" t="str">
        <f t="shared" si="330"/>
        <v>Causas de incendios</v>
      </c>
      <c r="L772" s="9" t="str">
        <f t="shared" si="327"/>
        <v>Periodo 2010-2020</v>
      </c>
      <c r="M772" s="9" t="str">
        <f t="shared" si="328"/>
        <v>Número de incendios y Hectáreas</v>
      </c>
      <c r="N772" s="9" t="str">
        <f t="shared" si="329"/>
        <v>Corporación Nacional Forestal (CONAF)</v>
      </c>
      <c r="O772" s="20" t="str">
        <f>+"Incendios y superficie afectada según causas generales y específicas en la "&amp;I772&amp;", "&amp;Agencia[[#This Row],[temporalidad]]</f>
        <v>Incendios y superficie afectada según causas generales y específicas en la Región de Maule, Periodo 2010-2020</v>
      </c>
      <c r="P772" s="112" t="s">
        <v>6427</v>
      </c>
      <c r="Q772" s="11" t="str">
        <f t="shared" si="322"/>
        <v>Dashboard</v>
      </c>
      <c r="R772" s="148" t="str">
        <f>Agencia[[#This Row],[territorio]]&amp;",incendios,forestales,hectáreas,superficie,cantidad,número,causa,general,específica,temporada,fuego,"&amp;Agencia[[#This Row],[coleccion]]&amp;","&amp;Agencia[[#This Row],[sector]]&amp;","&amp;Agencia[[#This Row],[tema]]&amp;","&amp;Agencia[[#This Row],[contenido]]</f>
        <v>Región de Maule,incendios,forestales,hectáreas,superficie,cantidad,número,causa,general,específica,temporada,fuego,Agencia Información,Agropecuario y Forestal,Incendios Forestales,Forestal</v>
      </c>
      <c r="S772" s="101" t="s">
        <v>5206</v>
      </c>
      <c r="T772" s="108" t="str">
        <f>"100-R-"&amp;Agencia[[#This Row],[Filtro URL]]</f>
        <v>100-R-7</v>
      </c>
      <c r="U772" s="46" t="str">
        <f t="shared" si="323"/>
        <v>#1774B9</v>
      </c>
      <c r="V772" s="93" t="str">
        <f>+Agencia[[#This Row],[idcoleccion]]&amp;"-"&amp;Agencia[[#This Row],[id]]</f>
        <v>990-0761</v>
      </c>
      <c r="W772" s="93">
        <f>+VLOOKUP(Agencia[[#This Row],[Filtro URL]],Estructura!$X$4:$Y$500,2,0)</f>
        <v>99200007</v>
      </c>
      <c r="X772" s="93" t="str">
        <f>+VLOOKUP(Agencia[[#This Row],[tema]],Estructura!$A$4:$C$500,3,0)</f>
        <v>T-1035</v>
      </c>
      <c r="Y772" s="93" t="str">
        <f>+VLOOKUP(Agencia[[#This Row],[contenido]],Estructura!$E$4:$G$500,3,0)</f>
        <v>C-1007</v>
      </c>
      <c r="Z772" s="93" t="str">
        <f>+VLOOKUP(Agencia[[#This Row],[Filtro Integrado]],Estructura!$I$4:$K$500,3,0)</f>
        <v>FI-993</v>
      </c>
      <c r="AA772" s="93" t="str">
        <f>+VLOOKUP(Agencia[[#This Row],[Muestra]],Estructura!$M$4:$O$500,3,0)</f>
        <v>M-1072</v>
      </c>
    </row>
    <row r="773" spans="1:27" ht="72" x14ac:dyDescent="0.3">
      <c r="A773" s="21" t="s">
        <v>1277</v>
      </c>
      <c r="B773" s="23">
        <f t="shared" si="306"/>
        <v>990</v>
      </c>
      <c r="C773" s="24" t="str">
        <f t="shared" si="307"/>
        <v>Agencia Información</v>
      </c>
      <c r="D773" s="72" t="str">
        <f t="shared" si="325"/>
        <v>Agropecuario y Forestal</v>
      </c>
      <c r="E773" s="19">
        <v>8</v>
      </c>
      <c r="F773" s="18" t="s">
        <v>1498</v>
      </c>
      <c r="G773" s="18" t="s">
        <v>1899</v>
      </c>
      <c r="H773" s="33" t="s">
        <v>16</v>
      </c>
      <c r="I773" s="34" t="s">
        <v>375</v>
      </c>
      <c r="J773" s="9" t="str">
        <f t="shared" si="326"/>
        <v>Ninguno</v>
      </c>
      <c r="K773" s="9" t="str">
        <f t="shared" si="330"/>
        <v>Causas de incendios</v>
      </c>
      <c r="L773" s="9" t="str">
        <f t="shared" si="327"/>
        <v>Periodo 2010-2020</v>
      </c>
      <c r="M773" s="9" t="str">
        <f t="shared" si="328"/>
        <v>Número de incendios y Hectáreas</v>
      </c>
      <c r="N773" s="9" t="str">
        <f t="shared" si="329"/>
        <v>Corporación Nacional Forestal (CONAF)</v>
      </c>
      <c r="O773" s="20" t="str">
        <f>+"Incendios y superficie afectada según causas generales y específicas en la "&amp;I773&amp;", "&amp;Agencia[[#This Row],[temporalidad]]</f>
        <v>Incendios y superficie afectada según causas generales y específicas en la Región del Biobío, Periodo 2010-2020</v>
      </c>
      <c r="P773" s="112" t="s">
        <v>6428</v>
      </c>
      <c r="Q773" s="11" t="str">
        <f t="shared" si="322"/>
        <v>Dashboard</v>
      </c>
      <c r="R773" s="148" t="str">
        <f>Agencia[[#This Row],[territorio]]&amp;",incendios,forestales,hectáreas,superficie,cantidad,número,causa,general,específica,temporada,fuego,"&amp;Agencia[[#This Row],[coleccion]]&amp;","&amp;Agencia[[#This Row],[sector]]&amp;","&amp;Agencia[[#This Row],[tema]]&amp;","&amp;Agencia[[#This Row],[contenido]]</f>
        <v>Región del Biobío,incendios,forestales,hectáreas,superficie,cantidad,número,causa,general,específica,temporada,fuego,Agencia Información,Agropecuario y Forestal,Incendios Forestales,Forestal</v>
      </c>
      <c r="S773" s="101" t="s">
        <v>5207</v>
      </c>
      <c r="T773" s="108" t="str">
        <f>"100-R-"&amp;Agencia[[#This Row],[Filtro URL]]</f>
        <v>100-R-8</v>
      </c>
      <c r="U773" s="46" t="str">
        <f t="shared" si="323"/>
        <v>#1774B9</v>
      </c>
      <c r="V773" s="93" t="str">
        <f>+Agencia[[#This Row],[idcoleccion]]&amp;"-"&amp;Agencia[[#This Row],[id]]</f>
        <v>990-0762</v>
      </c>
      <c r="W773" s="93">
        <f>+VLOOKUP(Agencia[[#This Row],[Filtro URL]],Estructura!$X$4:$Y$500,2,0)</f>
        <v>99200008</v>
      </c>
      <c r="X773" s="93" t="str">
        <f>+VLOOKUP(Agencia[[#This Row],[tema]],Estructura!$A$4:$C$500,3,0)</f>
        <v>T-1035</v>
      </c>
      <c r="Y773" s="93" t="str">
        <f>+VLOOKUP(Agencia[[#This Row],[contenido]],Estructura!$E$4:$G$500,3,0)</f>
        <v>C-1007</v>
      </c>
      <c r="Z773" s="93" t="str">
        <f>+VLOOKUP(Agencia[[#This Row],[Filtro Integrado]],Estructura!$I$4:$K$500,3,0)</f>
        <v>FI-993</v>
      </c>
      <c r="AA773" s="93" t="str">
        <f>+VLOOKUP(Agencia[[#This Row],[Muestra]],Estructura!$M$4:$O$500,3,0)</f>
        <v>M-1072</v>
      </c>
    </row>
    <row r="774" spans="1:27" ht="72" x14ac:dyDescent="0.3">
      <c r="A774" s="21" t="s">
        <v>1278</v>
      </c>
      <c r="B774" s="23">
        <f t="shared" si="306"/>
        <v>990</v>
      </c>
      <c r="C774" s="24" t="str">
        <f t="shared" si="307"/>
        <v>Agencia Información</v>
      </c>
      <c r="D774" s="72" t="str">
        <f t="shared" si="325"/>
        <v>Agropecuario y Forestal</v>
      </c>
      <c r="E774" s="19">
        <v>9</v>
      </c>
      <c r="F774" s="18" t="s">
        <v>1498</v>
      </c>
      <c r="G774" s="18" t="s">
        <v>1899</v>
      </c>
      <c r="H774" s="33" t="s">
        <v>16</v>
      </c>
      <c r="I774" s="34" t="s">
        <v>376</v>
      </c>
      <c r="J774" s="9" t="str">
        <f t="shared" si="326"/>
        <v>Ninguno</v>
      </c>
      <c r="K774" s="9" t="str">
        <f t="shared" si="330"/>
        <v>Causas de incendios</v>
      </c>
      <c r="L774" s="9" t="str">
        <f t="shared" si="327"/>
        <v>Periodo 2010-2020</v>
      </c>
      <c r="M774" s="9" t="str">
        <f t="shared" si="328"/>
        <v>Número de incendios y Hectáreas</v>
      </c>
      <c r="N774" s="9" t="str">
        <f t="shared" si="329"/>
        <v>Corporación Nacional Forestal (CONAF)</v>
      </c>
      <c r="O774" s="20" t="str">
        <f>+"Incendios y superficie afectada según causas generales y específicas en la "&amp;I774&amp;", "&amp;Agencia[[#This Row],[temporalidad]]</f>
        <v>Incendios y superficie afectada según causas generales y específicas en la Región de La Araucanía, Periodo 2010-2020</v>
      </c>
      <c r="P774" s="112" t="s">
        <v>6429</v>
      </c>
      <c r="Q774" s="11" t="str">
        <f t="shared" si="322"/>
        <v>Dashboard</v>
      </c>
      <c r="R774" s="148" t="str">
        <f>Agencia[[#This Row],[territorio]]&amp;",incendios,forestales,hectáreas,superficie,cantidad,número,causa,general,específica,temporada,fuego,"&amp;Agencia[[#This Row],[coleccion]]&amp;","&amp;Agencia[[#This Row],[sector]]&amp;","&amp;Agencia[[#This Row],[tema]]&amp;","&amp;Agencia[[#This Row],[contenido]]</f>
        <v>Región de La Araucanía,incendios,forestales,hectáreas,superficie,cantidad,número,causa,general,específica,temporada,fuego,Agencia Información,Agropecuario y Forestal,Incendios Forestales,Forestal</v>
      </c>
      <c r="S774" s="101" t="s">
        <v>5208</v>
      </c>
      <c r="T774" s="108" t="str">
        <f>"100-R-"&amp;Agencia[[#This Row],[Filtro URL]]</f>
        <v>100-R-9</v>
      </c>
      <c r="U774" s="46" t="str">
        <f t="shared" si="323"/>
        <v>#1774B9</v>
      </c>
      <c r="V774" s="93" t="str">
        <f>+Agencia[[#This Row],[idcoleccion]]&amp;"-"&amp;Agencia[[#This Row],[id]]</f>
        <v>990-0763</v>
      </c>
      <c r="W774" s="93">
        <f>+VLOOKUP(Agencia[[#This Row],[Filtro URL]],Estructura!$X$4:$Y$500,2,0)</f>
        <v>99200009</v>
      </c>
      <c r="X774" s="93" t="str">
        <f>+VLOOKUP(Agencia[[#This Row],[tema]],Estructura!$A$4:$C$500,3,0)</f>
        <v>T-1035</v>
      </c>
      <c r="Y774" s="93" t="str">
        <f>+VLOOKUP(Agencia[[#This Row],[contenido]],Estructura!$E$4:$G$500,3,0)</f>
        <v>C-1007</v>
      </c>
      <c r="Z774" s="93" t="str">
        <f>+VLOOKUP(Agencia[[#This Row],[Filtro Integrado]],Estructura!$I$4:$K$500,3,0)</f>
        <v>FI-993</v>
      </c>
      <c r="AA774" s="93" t="str">
        <f>+VLOOKUP(Agencia[[#This Row],[Muestra]],Estructura!$M$4:$O$500,3,0)</f>
        <v>M-1072</v>
      </c>
    </row>
    <row r="775" spans="1:27" ht="81.599999999999994" x14ac:dyDescent="0.3">
      <c r="A775" s="21" t="s">
        <v>1279</v>
      </c>
      <c r="B775" s="23">
        <f t="shared" si="306"/>
        <v>990</v>
      </c>
      <c r="C775" s="24" t="str">
        <f t="shared" si="307"/>
        <v>Agencia Información</v>
      </c>
      <c r="D775" s="72" t="str">
        <f t="shared" si="325"/>
        <v>Agropecuario y Forestal</v>
      </c>
      <c r="E775" s="19">
        <v>10</v>
      </c>
      <c r="F775" s="18" t="s">
        <v>1498</v>
      </c>
      <c r="G775" s="18" t="s">
        <v>1899</v>
      </c>
      <c r="H775" s="33" t="s">
        <v>16</v>
      </c>
      <c r="I775" s="34" t="s">
        <v>377</v>
      </c>
      <c r="J775" s="9" t="str">
        <f t="shared" si="326"/>
        <v>Ninguno</v>
      </c>
      <c r="K775" s="9" t="str">
        <f t="shared" si="330"/>
        <v>Causas de incendios</v>
      </c>
      <c r="L775" s="9" t="str">
        <f t="shared" si="327"/>
        <v>Periodo 2010-2020</v>
      </c>
      <c r="M775" s="9" t="str">
        <f t="shared" si="328"/>
        <v>Número de incendios y Hectáreas</v>
      </c>
      <c r="N775" s="9" t="str">
        <f t="shared" si="329"/>
        <v>Corporación Nacional Forestal (CONAF)</v>
      </c>
      <c r="O775" s="20" t="str">
        <f>+"Incendios y superficie afectada según causas generales y específicas en la "&amp;I775&amp;", "&amp;Agencia[[#This Row],[temporalidad]]</f>
        <v>Incendios y superficie afectada según causas generales y específicas en la Región de Los Lagos, Periodo 2010-2020</v>
      </c>
      <c r="P775" s="112" t="s">
        <v>6430</v>
      </c>
      <c r="Q775" s="11" t="str">
        <f t="shared" si="322"/>
        <v>Dashboard</v>
      </c>
      <c r="R775" s="148" t="str">
        <f>Agencia[[#This Row],[territorio]]&amp;",incendios,forestales,hectáreas,superficie,cantidad,número,causa,general,específica,temporada,fuego,"&amp;Agencia[[#This Row],[coleccion]]&amp;","&amp;Agencia[[#This Row],[sector]]&amp;","&amp;Agencia[[#This Row],[tema]]&amp;","&amp;Agencia[[#This Row],[contenido]]</f>
        <v>Región de Los Lagos,incendios,forestales,hectáreas,superficie,cantidad,número,causa,general,específica,temporada,fuego,Agencia Información,Agropecuario y Forestal,Incendios Forestales,Forestal</v>
      </c>
      <c r="S775" s="101" t="s">
        <v>5209</v>
      </c>
      <c r="T775" s="108" t="str">
        <f>"100-R-"&amp;Agencia[[#This Row],[Filtro URL]]</f>
        <v>100-R-10</v>
      </c>
      <c r="U775" s="46" t="str">
        <f t="shared" si="323"/>
        <v>#1774B9</v>
      </c>
      <c r="V775" s="93" t="str">
        <f>+Agencia[[#This Row],[idcoleccion]]&amp;"-"&amp;Agencia[[#This Row],[id]]</f>
        <v>990-0764</v>
      </c>
      <c r="W775" s="93">
        <f>+VLOOKUP(Agencia[[#This Row],[Filtro URL]],Estructura!$X$4:$Y$500,2,0)</f>
        <v>99200010</v>
      </c>
      <c r="X775" s="93" t="str">
        <f>+VLOOKUP(Agencia[[#This Row],[tema]],Estructura!$A$4:$C$500,3,0)</f>
        <v>T-1035</v>
      </c>
      <c r="Y775" s="93" t="str">
        <f>+VLOOKUP(Agencia[[#This Row],[contenido]],Estructura!$E$4:$G$500,3,0)</f>
        <v>C-1007</v>
      </c>
      <c r="Z775" s="93" t="str">
        <f>+VLOOKUP(Agencia[[#This Row],[Filtro Integrado]],Estructura!$I$4:$K$500,3,0)</f>
        <v>FI-993</v>
      </c>
      <c r="AA775" s="93" t="str">
        <f>+VLOOKUP(Agencia[[#This Row],[Muestra]],Estructura!$M$4:$O$500,3,0)</f>
        <v>M-1072</v>
      </c>
    </row>
    <row r="776" spans="1:27" ht="81.599999999999994" x14ac:dyDescent="0.3">
      <c r="A776" s="21" t="s">
        <v>1280</v>
      </c>
      <c r="B776" s="23">
        <f t="shared" si="306"/>
        <v>990</v>
      </c>
      <c r="C776" s="24" t="str">
        <f t="shared" si="307"/>
        <v>Agencia Información</v>
      </c>
      <c r="D776" s="72" t="str">
        <f t="shared" si="325"/>
        <v>Agropecuario y Forestal</v>
      </c>
      <c r="E776" s="19">
        <v>11</v>
      </c>
      <c r="F776" s="18" t="s">
        <v>1498</v>
      </c>
      <c r="G776" s="18" t="s">
        <v>1899</v>
      </c>
      <c r="H776" s="33" t="s">
        <v>16</v>
      </c>
      <c r="I776" s="34" t="s">
        <v>378</v>
      </c>
      <c r="J776" s="9" t="str">
        <f t="shared" si="326"/>
        <v>Ninguno</v>
      </c>
      <c r="K776" s="9" t="str">
        <f t="shared" si="330"/>
        <v>Causas de incendios</v>
      </c>
      <c r="L776" s="9" t="str">
        <f t="shared" si="327"/>
        <v>Periodo 2010-2020</v>
      </c>
      <c r="M776" s="9" t="str">
        <f t="shared" si="328"/>
        <v>Número de incendios y Hectáreas</v>
      </c>
      <c r="N776" s="9" t="str">
        <f t="shared" si="329"/>
        <v>Corporación Nacional Forestal (CONAF)</v>
      </c>
      <c r="O776" s="20" t="str">
        <f>+"Incendios y superficie afectada según causas generales y específicas en la "&amp;I776&amp;", "&amp;Agencia[[#This Row],[temporalidad]]</f>
        <v>Incendios y superficie afectada según causas generales y específicas en la Región de Aysén, Periodo 2010-2020</v>
      </c>
      <c r="P776" s="112" t="s">
        <v>6431</v>
      </c>
      <c r="Q776" s="11" t="str">
        <f t="shared" si="322"/>
        <v>Dashboard</v>
      </c>
      <c r="R776" s="148" t="str">
        <f>Agencia[[#This Row],[territorio]]&amp;",incendios,forestales,hectáreas,superficie,cantidad,número,causa,general,específica,temporada,fuego,"&amp;Agencia[[#This Row],[coleccion]]&amp;","&amp;Agencia[[#This Row],[sector]]&amp;","&amp;Agencia[[#This Row],[tema]]&amp;","&amp;Agencia[[#This Row],[contenido]]</f>
        <v>Región de Aysén,incendios,forestales,hectáreas,superficie,cantidad,número,causa,general,específica,temporada,fuego,Agencia Información,Agropecuario y Forestal,Incendios Forestales,Forestal</v>
      </c>
      <c r="S776" s="101" t="s">
        <v>5210</v>
      </c>
      <c r="T776" s="108" t="str">
        <f>"100-R-"&amp;Agencia[[#This Row],[Filtro URL]]</f>
        <v>100-R-11</v>
      </c>
      <c r="U776" s="46" t="str">
        <f t="shared" si="323"/>
        <v>#1774B9</v>
      </c>
      <c r="V776" s="93" t="str">
        <f>+Agencia[[#This Row],[idcoleccion]]&amp;"-"&amp;Agencia[[#This Row],[id]]</f>
        <v>990-0765</v>
      </c>
      <c r="W776" s="93">
        <f>+VLOOKUP(Agencia[[#This Row],[Filtro URL]],Estructura!$X$4:$Y$500,2,0)</f>
        <v>99200011</v>
      </c>
      <c r="X776" s="93" t="str">
        <f>+VLOOKUP(Agencia[[#This Row],[tema]],Estructura!$A$4:$C$500,3,0)</f>
        <v>T-1035</v>
      </c>
      <c r="Y776" s="93" t="str">
        <f>+VLOOKUP(Agencia[[#This Row],[contenido]],Estructura!$E$4:$G$500,3,0)</f>
        <v>C-1007</v>
      </c>
      <c r="Z776" s="93" t="str">
        <f>+VLOOKUP(Agencia[[#This Row],[Filtro Integrado]],Estructura!$I$4:$K$500,3,0)</f>
        <v>FI-993</v>
      </c>
      <c r="AA776" s="93" t="str">
        <f>+VLOOKUP(Agencia[[#This Row],[Muestra]],Estructura!$M$4:$O$500,3,0)</f>
        <v>M-1072</v>
      </c>
    </row>
    <row r="777" spans="1:27" ht="72" x14ac:dyDescent="0.3">
      <c r="A777" s="21" t="s">
        <v>1281</v>
      </c>
      <c r="B777" s="23">
        <f t="shared" si="306"/>
        <v>990</v>
      </c>
      <c r="C777" s="24" t="str">
        <f t="shared" si="307"/>
        <v>Agencia Información</v>
      </c>
      <c r="D777" s="72" t="str">
        <f t="shared" si="325"/>
        <v>Agropecuario y Forestal</v>
      </c>
      <c r="E777" s="19">
        <v>12</v>
      </c>
      <c r="F777" s="18" t="s">
        <v>1498</v>
      </c>
      <c r="G777" s="18" t="s">
        <v>1899</v>
      </c>
      <c r="H777" s="33" t="s">
        <v>16</v>
      </c>
      <c r="I777" s="34" t="s">
        <v>379</v>
      </c>
      <c r="J777" s="9" t="str">
        <f t="shared" si="326"/>
        <v>Ninguno</v>
      </c>
      <c r="K777" s="9" t="str">
        <f t="shared" si="330"/>
        <v>Causas de incendios</v>
      </c>
      <c r="L777" s="9" t="str">
        <f t="shared" si="327"/>
        <v>Periodo 2010-2020</v>
      </c>
      <c r="M777" s="9" t="str">
        <f t="shared" si="328"/>
        <v>Número de incendios y Hectáreas</v>
      </c>
      <c r="N777" s="9" t="str">
        <f t="shared" si="329"/>
        <v>Corporación Nacional Forestal (CONAF)</v>
      </c>
      <c r="O777" s="20" t="str">
        <f>+"Incendios y superficie afectada según causas generales y específicas en la "&amp;I777&amp;", "&amp;Agencia[[#This Row],[temporalidad]]</f>
        <v>Incendios y superficie afectada según causas generales y específicas en la Región de Magallanes, Periodo 2010-2020</v>
      </c>
      <c r="P777" s="112" t="s">
        <v>6432</v>
      </c>
      <c r="Q777" s="11" t="str">
        <f t="shared" si="322"/>
        <v>Dashboard</v>
      </c>
      <c r="R777" s="148" t="str">
        <f>Agencia[[#This Row],[territorio]]&amp;",incendios,forestales,hectáreas,superficie,cantidad,número,causa,general,específica,temporada,fuego,"&amp;Agencia[[#This Row],[coleccion]]&amp;","&amp;Agencia[[#This Row],[sector]]&amp;","&amp;Agencia[[#This Row],[tema]]&amp;","&amp;Agencia[[#This Row],[contenido]]</f>
        <v>Región de Magallanes,incendios,forestales,hectáreas,superficie,cantidad,número,causa,general,específica,temporada,fuego,Agencia Información,Agropecuario y Forestal,Incendios Forestales,Forestal</v>
      </c>
      <c r="S777" s="101" t="s">
        <v>5211</v>
      </c>
      <c r="T777" s="108" t="str">
        <f>"100-R-"&amp;Agencia[[#This Row],[Filtro URL]]</f>
        <v>100-R-12</v>
      </c>
      <c r="U777" s="46" t="str">
        <f t="shared" si="323"/>
        <v>#1774B9</v>
      </c>
      <c r="V777" s="93" t="str">
        <f>+Agencia[[#This Row],[idcoleccion]]&amp;"-"&amp;Agencia[[#This Row],[id]]</f>
        <v>990-0766</v>
      </c>
      <c r="W777" s="93">
        <f>+VLOOKUP(Agencia[[#This Row],[Filtro URL]],Estructura!$X$4:$Y$500,2,0)</f>
        <v>99200012</v>
      </c>
      <c r="X777" s="93" t="str">
        <f>+VLOOKUP(Agencia[[#This Row],[tema]],Estructura!$A$4:$C$500,3,0)</f>
        <v>T-1035</v>
      </c>
      <c r="Y777" s="93" t="str">
        <f>+VLOOKUP(Agencia[[#This Row],[contenido]],Estructura!$E$4:$G$500,3,0)</f>
        <v>C-1007</v>
      </c>
      <c r="Z777" s="93" t="str">
        <f>+VLOOKUP(Agencia[[#This Row],[Filtro Integrado]],Estructura!$I$4:$K$500,3,0)</f>
        <v>FI-993</v>
      </c>
      <c r="AA777" s="93" t="str">
        <f>+VLOOKUP(Agencia[[#This Row],[Muestra]],Estructura!$M$4:$O$500,3,0)</f>
        <v>M-1072</v>
      </c>
    </row>
    <row r="778" spans="1:27" ht="72" x14ac:dyDescent="0.3">
      <c r="A778" s="21" t="s">
        <v>1282</v>
      </c>
      <c r="B778" s="23">
        <f t="shared" ref="B778:B841" si="331">+B777</f>
        <v>990</v>
      </c>
      <c r="C778" s="24" t="str">
        <f t="shared" si="307"/>
        <v>Agencia Información</v>
      </c>
      <c r="D778" s="72" t="str">
        <f t="shared" si="325"/>
        <v>Agropecuario y Forestal</v>
      </c>
      <c r="E778" s="19">
        <v>13</v>
      </c>
      <c r="F778" s="18" t="s">
        <v>1498</v>
      </c>
      <c r="G778" s="18" t="s">
        <v>1899</v>
      </c>
      <c r="H778" s="33" t="s">
        <v>16</v>
      </c>
      <c r="I778" s="34" t="s">
        <v>380</v>
      </c>
      <c r="J778" s="9" t="str">
        <f t="shared" si="326"/>
        <v>Ninguno</v>
      </c>
      <c r="K778" s="9" t="str">
        <f t="shared" si="330"/>
        <v>Causas de incendios</v>
      </c>
      <c r="L778" s="9" t="str">
        <f t="shared" si="327"/>
        <v>Periodo 2010-2020</v>
      </c>
      <c r="M778" s="9" t="str">
        <f t="shared" si="328"/>
        <v>Número de incendios y Hectáreas</v>
      </c>
      <c r="N778" s="9" t="str">
        <f t="shared" si="329"/>
        <v>Corporación Nacional Forestal (CONAF)</v>
      </c>
      <c r="O778" s="20" t="str">
        <f>+"Incendios y superficie afectada según causas generales y específicas en la "&amp;I778&amp;", "&amp;Agencia[[#This Row],[temporalidad]]</f>
        <v>Incendios y superficie afectada según causas generales y específicas en la Región Metropolitana, Periodo 2010-2020</v>
      </c>
      <c r="P778" s="112" t="s">
        <v>6433</v>
      </c>
      <c r="Q778" s="11" t="str">
        <f t="shared" si="322"/>
        <v>Dashboard</v>
      </c>
      <c r="R778" s="148" t="str">
        <f>Agencia[[#This Row],[territorio]]&amp;",incendios,forestales,hectáreas,superficie,cantidad,número,causa,general,específica,temporada,fuego,"&amp;Agencia[[#This Row],[coleccion]]&amp;","&amp;Agencia[[#This Row],[sector]]&amp;","&amp;Agencia[[#This Row],[tema]]&amp;","&amp;Agencia[[#This Row],[contenido]]</f>
        <v>Región Metropolitana,incendios,forestales,hectáreas,superficie,cantidad,número,causa,general,específica,temporada,fuego,Agencia Información,Agropecuario y Forestal,Incendios Forestales,Forestal</v>
      </c>
      <c r="S778" s="101" t="s">
        <v>5212</v>
      </c>
      <c r="T778" s="108" t="str">
        <f>"200-R-"&amp;Agencia[[#This Row],[Filtro URL]]</f>
        <v>200-R-13</v>
      </c>
      <c r="U778" s="46" t="str">
        <f t="shared" si="323"/>
        <v>#1774B9</v>
      </c>
      <c r="V778" s="93" t="str">
        <f>+Agencia[[#This Row],[idcoleccion]]&amp;"-"&amp;Agencia[[#This Row],[id]]</f>
        <v>990-0767</v>
      </c>
      <c r="W778" s="93">
        <f>+VLOOKUP(Agencia[[#This Row],[Filtro URL]],Estructura!$X$4:$Y$500,2,0)</f>
        <v>99200013</v>
      </c>
      <c r="X778" s="93" t="str">
        <f>+VLOOKUP(Agencia[[#This Row],[tema]],Estructura!$A$4:$C$500,3,0)</f>
        <v>T-1035</v>
      </c>
      <c r="Y778" s="93" t="str">
        <f>+VLOOKUP(Agencia[[#This Row],[contenido]],Estructura!$E$4:$G$500,3,0)</f>
        <v>C-1007</v>
      </c>
      <c r="Z778" s="93" t="str">
        <f>+VLOOKUP(Agencia[[#This Row],[Filtro Integrado]],Estructura!$I$4:$K$500,3,0)</f>
        <v>FI-993</v>
      </c>
      <c r="AA778" s="93" t="str">
        <f>+VLOOKUP(Agencia[[#This Row],[Muestra]],Estructura!$M$4:$O$500,3,0)</f>
        <v>M-1072</v>
      </c>
    </row>
    <row r="779" spans="1:27" ht="72" x14ac:dyDescent="0.3">
      <c r="A779" s="21" t="s">
        <v>1283</v>
      </c>
      <c r="B779" s="23">
        <f t="shared" si="331"/>
        <v>990</v>
      </c>
      <c r="C779" s="24" t="str">
        <f t="shared" ref="C779:C842" si="332">+C778</f>
        <v>Agencia Información</v>
      </c>
      <c r="D779" s="72" t="str">
        <f t="shared" si="325"/>
        <v>Agropecuario y Forestal</v>
      </c>
      <c r="E779" s="19">
        <v>14</v>
      </c>
      <c r="F779" s="18" t="s">
        <v>1498</v>
      </c>
      <c r="G779" s="18" t="s">
        <v>1899</v>
      </c>
      <c r="H779" s="33" t="s">
        <v>16</v>
      </c>
      <c r="I779" s="34" t="s">
        <v>381</v>
      </c>
      <c r="J779" s="9" t="str">
        <f t="shared" si="326"/>
        <v>Ninguno</v>
      </c>
      <c r="K779" s="9" t="str">
        <f t="shared" si="330"/>
        <v>Causas de incendios</v>
      </c>
      <c r="L779" s="9" t="str">
        <f t="shared" si="327"/>
        <v>Periodo 2010-2020</v>
      </c>
      <c r="M779" s="9" t="str">
        <f t="shared" si="328"/>
        <v>Número de incendios y Hectáreas</v>
      </c>
      <c r="N779" s="9" t="str">
        <f t="shared" si="329"/>
        <v>Corporación Nacional Forestal (CONAF)</v>
      </c>
      <c r="O779" s="20" t="str">
        <f>+"Incendios y superficie afectada según causas generales y específicas en la "&amp;I779&amp;", "&amp;Agencia[[#This Row],[temporalidad]]</f>
        <v>Incendios y superficie afectada según causas generales y específicas en la Región de Los Ríos, Periodo 2010-2020</v>
      </c>
      <c r="P779" s="112" t="s">
        <v>6434</v>
      </c>
      <c r="Q779" s="11" t="str">
        <f t="shared" si="322"/>
        <v>Dashboard</v>
      </c>
      <c r="R779" s="148" t="str">
        <f>Agencia[[#This Row],[territorio]]&amp;",incendios,forestales,hectáreas,superficie,cantidad,número,causa,general,específica,temporada,fuego,"&amp;Agencia[[#This Row],[coleccion]]&amp;","&amp;Agencia[[#This Row],[sector]]&amp;","&amp;Agencia[[#This Row],[tema]]&amp;","&amp;Agencia[[#This Row],[contenido]]</f>
        <v>Región de Los Ríos,incendios,forestales,hectáreas,superficie,cantidad,número,causa,general,específica,temporada,fuego,Agencia Información,Agropecuario y Forestal,Incendios Forestales,Forestal</v>
      </c>
      <c r="S779" s="101" t="s">
        <v>5213</v>
      </c>
      <c r="T779" s="108" t="str">
        <f>"100-R-"&amp;Agencia[[#This Row],[Filtro URL]]</f>
        <v>100-R-14</v>
      </c>
      <c r="U779" s="46" t="str">
        <f t="shared" si="323"/>
        <v>#1774B9</v>
      </c>
      <c r="V779" s="93" t="str">
        <f>+Agencia[[#This Row],[idcoleccion]]&amp;"-"&amp;Agencia[[#This Row],[id]]</f>
        <v>990-0768</v>
      </c>
      <c r="W779" s="93">
        <f>+VLOOKUP(Agencia[[#This Row],[Filtro URL]],Estructura!$X$4:$Y$500,2,0)</f>
        <v>99200014</v>
      </c>
      <c r="X779" s="93" t="str">
        <f>+VLOOKUP(Agencia[[#This Row],[tema]],Estructura!$A$4:$C$500,3,0)</f>
        <v>T-1035</v>
      </c>
      <c r="Y779" s="93" t="str">
        <f>+VLOOKUP(Agencia[[#This Row],[contenido]],Estructura!$E$4:$G$500,3,0)</f>
        <v>C-1007</v>
      </c>
      <c r="Z779" s="93" t="str">
        <f>+VLOOKUP(Agencia[[#This Row],[Filtro Integrado]],Estructura!$I$4:$K$500,3,0)</f>
        <v>FI-993</v>
      </c>
      <c r="AA779" s="93" t="str">
        <f>+VLOOKUP(Agencia[[#This Row],[Muestra]],Estructura!$M$4:$O$500,3,0)</f>
        <v>M-1072</v>
      </c>
    </row>
    <row r="780" spans="1:27" ht="72" x14ac:dyDescent="0.3">
      <c r="A780" s="21" t="s">
        <v>1284</v>
      </c>
      <c r="B780" s="23">
        <f t="shared" si="331"/>
        <v>990</v>
      </c>
      <c r="C780" s="24" t="str">
        <f t="shared" si="332"/>
        <v>Agencia Información</v>
      </c>
      <c r="D780" s="72" t="str">
        <f t="shared" si="325"/>
        <v>Agropecuario y Forestal</v>
      </c>
      <c r="E780" s="19">
        <v>15</v>
      </c>
      <c r="F780" s="18" t="s">
        <v>1498</v>
      </c>
      <c r="G780" s="18" t="s">
        <v>1899</v>
      </c>
      <c r="H780" s="33" t="s">
        <v>16</v>
      </c>
      <c r="I780" s="34" t="s">
        <v>382</v>
      </c>
      <c r="J780" s="9" t="str">
        <f t="shared" si="326"/>
        <v>Ninguno</v>
      </c>
      <c r="K780" s="9" t="str">
        <f t="shared" si="330"/>
        <v>Causas de incendios</v>
      </c>
      <c r="L780" s="9" t="str">
        <f t="shared" si="327"/>
        <v>Periodo 2010-2020</v>
      </c>
      <c r="M780" s="9" t="str">
        <f t="shared" si="328"/>
        <v>Número de incendios y Hectáreas</v>
      </c>
      <c r="N780" s="9" t="str">
        <f t="shared" si="329"/>
        <v>Corporación Nacional Forestal (CONAF)</v>
      </c>
      <c r="O780" s="20" t="str">
        <f>+"Incendios y superficie afectada según causas generales y específicas en la "&amp;I780&amp;", "&amp;Agencia[[#This Row],[temporalidad]]</f>
        <v>Incendios y superficie afectada según causas generales y específicas en la Región de Arica y Parinacota, Periodo 2010-2020</v>
      </c>
      <c r="P780" s="112" t="s">
        <v>6435</v>
      </c>
      <c r="Q780" s="11" t="str">
        <f t="shared" si="322"/>
        <v>Dashboard</v>
      </c>
      <c r="R780" s="148" t="str">
        <f>Agencia[[#This Row],[territorio]]&amp;",incendios,forestales,hectáreas,superficie,cantidad,número,causa,general,específica,temporada,fuego,"&amp;Agencia[[#This Row],[coleccion]]&amp;","&amp;Agencia[[#This Row],[sector]]&amp;","&amp;Agencia[[#This Row],[tema]]&amp;","&amp;Agencia[[#This Row],[contenido]]</f>
        <v>Región de Arica y Parinacota,incendios,forestales,hectáreas,superficie,cantidad,número,causa,general,específica,temporada,fuego,Agencia Información,Agropecuario y Forestal,Incendios Forestales,Forestal</v>
      </c>
      <c r="S780" s="101" t="s">
        <v>5214</v>
      </c>
      <c r="T780" s="108" t="str">
        <f>"100-R-"&amp;Agencia[[#This Row],[Filtro URL]]</f>
        <v>100-R-15</v>
      </c>
      <c r="U780" s="46" t="str">
        <f t="shared" si="323"/>
        <v>#1774B9</v>
      </c>
      <c r="V780" s="93" t="str">
        <f>+Agencia[[#This Row],[idcoleccion]]&amp;"-"&amp;Agencia[[#This Row],[id]]</f>
        <v>990-0769</v>
      </c>
      <c r="W780" s="93">
        <f>+VLOOKUP(Agencia[[#This Row],[Filtro URL]],Estructura!$X$4:$Y$500,2,0)</f>
        <v>99200015</v>
      </c>
      <c r="X780" s="93" t="str">
        <f>+VLOOKUP(Agencia[[#This Row],[tema]],Estructura!$A$4:$C$500,3,0)</f>
        <v>T-1035</v>
      </c>
      <c r="Y780" s="93" t="str">
        <f>+VLOOKUP(Agencia[[#This Row],[contenido]],Estructura!$E$4:$G$500,3,0)</f>
        <v>C-1007</v>
      </c>
      <c r="Z780" s="93" t="str">
        <f>+VLOOKUP(Agencia[[#This Row],[Filtro Integrado]],Estructura!$I$4:$K$500,3,0)</f>
        <v>FI-993</v>
      </c>
      <c r="AA780" s="93" t="str">
        <f>+VLOOKUP(Agencia[[#This Row],[Muestra]],Estructura!$M$4:$O$500,3,0)</f>
        <v>M-1072</v>
      </c>
    </row>
    <row r="781" spans="1:27" ht="72" x14ac:dyDescent="0.3">
      <c r="A781" s="21" t="s">
        <v>1285</v>
      </c>
      <c r="B781" s="23">
        <f t="shared" si="331"/>
        <v>990</v>
      </c>
      <c r="C781" s="24" t="str">
        <f t="shared" si="332"/>
        <v>Agencia Información</v>
      </c>
      <c r="D781" s="72" t="str">
        <f t="shared" si="325"/>
        <v>Agropecuario y Forestal</v>
      </c>
      <c r="E781" s="19">
        <v>16</v>
      </c>
      <c r="F781" s="18" t="s">
        <v>1498</v>
      </c>
      <c r="G781" s="18" t="s">
        <v>1899</v>
      </c>
      <c r="H781" s="33" t="s">
        <v>16</v>
      </c>
      <c r="I781" s="34" t="s">
        <v>383</v>
      </c>
      <c r="J781" s="9" t="str">
        <f t="shared" si="326"/>
        <v>Ninguno</v>
      </c>
      <c r="K781" s="9" t="str">
        <f t="shared" si="330"/>
        <v>Causas de incendios</v>
      </c>
      <c r="L781" s="9" t="str">
        <f t="shared" si="327"/>
        <v>Periodo 2010-2020</v>
      </c>
      <c r="M781" s="9" t="str">
        <f t="shared" si="328"/>
        <v>Número de incendios y Hectáreas</v>
      </c>
      <c r="N781" s="9" t="str">
        <f t="shared" si="329"/>
        <v>Corporación Nacional Forestal (CONAF)</v>
      </c>
      <c r="O781" s="20" t="str">
        <f>+"Incendios y superficie afectada según causas generales y específicas en la "&amp;I781&amp;", "&amp;Agencia[[#This Row],[temporalidad]]</f>
        <v>Incendios y superficie afectada según causas generales y específicas en la Región de Ñuble, Periodo 2010-2020</v>
      </c>
      <c r="P781" s="112" t="s">
        <v>6436</v>
      </c>
      <c r="Q781" s="11" t="str">
        <f t="shared" si="322"/>
        <v>Dashboard</v>
      </c>
      <c r="R781" s="148" t="str">
        <f>Agencia[[#This Row],[territorio]]&amp;",incendios,forestales,hectáreas,superficie,cantidad,número,causa,general,específica,temporada,fuego,"&amp;Agencia[[#This Row],[coleccion]]&amp;","&amp;Agencia[[#This Row],[sector]]&amp;","&amp;Agencia[[#This Row],[tema]]&amp;","&amp;Agencia[[#This Row],[contenido]]</f>
        <v>Región de Ñuble,incendios,forestales,hectáreas,superficie,cantidad,número,causa,general,específica,temporada,fuego,Agencia Información,Agropecuario y Forestal,Incendios Forestales,Forestal</v>
      </c>
      <c r="S781" s="101" t="s">
        <v>5215</v>
      </c>
      <c r="T781" s="108" t="str">
        <f>"100-R-"&amp;Agencia[[#This Row],[Filtro URL]]</f>
        <v>100-R-16</v>
      </c>
      <c r="U781" s="46" t="str">
        <f t="shared" si="323"/>
        <v>#1774B9</v>
      </c>
      <c r="V781" s="93" t="str">
        <f>+Agencia[[#This Row],[idcoleccion]]&amp;"-"&amp;Agencia[[#This Row],[id]]</f>
        <v>990-0770</v>
      </c>
      <c r="W781" s="93">
        <f>+VLOOKUP(Agencia[[#This Row],[Filtro URL]],Estructura!$X$4:$Y$500,2,0)</f>
        <v>99200016</v>
      </c>
      <c r="X781" s="93" t="str">
        <f>+VLOOKUP(Agencia[[#This Row],[tema]],Estructura!$A$4:$C$500,3,0)</f>
        <v>T-1035</v>
      </c>
      <c r="Y781" s="93" t="str">
        <f>+VLOOKUP(Agencia[[#This Row],[contenido]],Estructura!$E$4:$G$500,3,0)</f>
        <v>C-1007</v>
      </c>
      <c r="Z781" s="93" t="str">
        <f>+VLOOKUP(Agencia[[#This Row],[Filtro Integrado]],Estructura!$I$4:$K$500,3,0)</f>
        <v>FI-993</v>
      </c>
      <c r="AA781" s="93" t="str">
        <f>+VLOOKUP(Agencia[[#This Row],[Muestra]],Estructura!$M$4:$O$500,3,0)</f>
        <v>M-1072</v>
      </c>
    </row>
    <row r="782" spans="1:27" ht="72" x14ac:dyDescent="0.3">
      <c r="A782" s="21" t="s">
        <v>1286</v>
      </c>
      <c r="B782" s="23">
        <f t="shared" si="331"/>
        <v>990</v>
      </c>
      <c r="C782" s="24" t="str">
        <f t="shared" si="332"/>
        <v>Agencia Información</v>
      </c>
      <c r="D782" s="72" t="s">
        <v>587</v>
      </c>
      <c r="E782" s="14">
        <v>0</v>
      </c>
      <c r="F782" s="18" t="s">
        <v>1504</v>
      </c>
      <c r="G782" s="18" t="s">
        <v>1500</v>
      </c>
      <c r="H782" s="31" t="s">
        <v>20</v>
      </c>
      <c r="I782" s="32" t="s">
        <v>15</v>
      </c>
      <c r="J782" s="9" t="s">
        <v>956</v>
      </c>
      <c r="K782" s="9" t="s">
        <v>1504</v>
      </c>
      <c r="L782" s="9" t="s">
        <v>1502</v>
      </c>
      <c r="M782" s="9" t="s">
        <v>5250</v>
      </c>
      <c r="N782" s="9" t="s">
        <v>1501</v>
      </c>
      <c r="O782" s="41" t="str">
        <f>+"Candidatos electos, Lista-Partido y Votación Obtenida a los cargos de Elección Popular, para 6 comunas por Región en "&amp;I782&amp;", "&amp;Agencia[[#This Row],[temporalidad]]</f>
        <v>Candidatos electos, Lista-Partido y Votación Obtenida a los cargos de Elección Popular, para 6 comunas por Región en Chile, Periodo 1990-2020</v>
      </c>
      <c r="P782" s="112" t="s">
        <v>5358</v>
      </c>
      <c r="Q782" s="11" t="s">
        <v>590</v>
      </c>
      <c r="R782" s="20" t="str">
        <f>Agencia[[#This Row],[territorio]]&amp;"elecciones,candidatos,electos,consejeros,regionales,senadores,diputados,alcaldes,concejales,cargos,votación,cantidad,número,votos,partidos,"&amp;Agencia[[#This Row],[coleccion]]&amp;","&amp;Agencia[[#This Row],[sector]]&amp;","&amp;Agencia[[#This Row],[tema]]&amp;","&amp;Agencia[[#This Row],[contenido]]</f>
        <v>Chileelecciones,candidatos,electos,consejeros,regionales,senadores,diputados,alcaldes,concejales,cargos,votación,cantidad,número,votos,partidos,Agencia Información,Política y Gobierno,Candidatos electos,Elecciones</v>
      </c>
      <c r="S782" s="101" t="s">
        <v>5233</v>
      </c>
      <c r="T782" s="108" t="s">
        <v>957</v>
      </c>
      <c r="U782" s="46" t="str">
        <f t="shared" si="323"/>
        <v>#1774B9</v>
      </c>
      <c r="V782" s="93" t="str">
        <f>+Agencia[[#This Row],[idcoleccion]]&amp;"-"&amp;Agencia[[#This Row],[id]]</f>
        <v>990-0771</v>
      </c>
      <c r="W782" s="93">
        <f>+VLOOKUP(Agencia[[#This Row],[Filtro URL]],Estructura!$X$4:$Y$500,2,0)</f>
        <v>99100000</v>
      </c>
      <c r="X782" s="93" t="str">
        <f>+VLOOKUP(Agencia[[#This Row],[tema]],Estructura!$A$4:$C$500,3,0)</f>
        <v>T-1013</v>
      </c>
      <c r="Y782" s="93" t="str">
        <f>+VLOOKUP(Agencia[[#This Row],[contenido]],Estructura!$E$4:$G$500,3,0)</f>
        <v>C-994</v>
      </c>
      <c r="Z782" s="93" t="str">
        <f>+VLOOKUP(Agencia[[#This Row],[Filtro Integrado]],Estructura!$I$4:$K$500,3,0)</f>
        <v>FI-994</v>
      </c>
      <c r="AA782" s="93" t="str">
        <f>+VLOOKUP(Agencia[[#This Row],[Muestra]],Estructura!$M$4:$O$500,3,0)</f>
        <v>M-1073</v>
      </c>
    </row>
    <row r="783" spans="1:27" ht="72" x14ac:dyDescent="0.3">
      <c r="A783" s="21" t="s">
        <v>1287</v>
      </c>
      <c r="B783" s="23">
        <f t="shared" si="331"/>
        <v>990</v>
      </c>
      <c r="C783" s="24" t="str">
        <f t="shared" si="332"/>
        <v>Agencia Información</v>
      </c>
      <c r="D783" s="72" t="str">
        <f t="shared" ref="D783:D798" si="333">+D782</f>
        <v>Política y Gobierno</v>
      </c>
      <c r="E783" s="19">
        <v>1</v>
      </c>
      <c r="F783" s="18" t="s">
        <v>1504</v>
      </c>
      <c r="G783" s="18" t="s">
        <v>1500</v>
      </c>
      <c r="H783" s="33" t="s">
        <v>16</v>
      </c>
      <c r="I783" s="34" t="s">
        <v>368</v>
      </c>
      <c r="J783" s="9" t="s">
        <v>18</v>
      </c>
      <c r="K783" s="142" t="s">
        <v>1504</v>
      </c>
      <c r="L783" s="9" t="str">
        <f t="shared" ref="L783:L798" si="334">+L782</f>
        <v>Periodo 1990-2020</v>
      </c>
      <c r="M783" s="9" t="str">
        <f t="shared" ref="M783:M798" si="335">+M782</f>
        <v>Número de votos</v>
      </c>
      <c r="N783" s="9" t="str">
        <f t="shared" ref="N783:N798" si="336">+N782</f>
        <v>Servicio Electoral (SERVEL)</v>
      </c>
      <c r="O783" s="41" t="str">
        <f>+"Candidatos electos, Lista-Partido y Votación Obtenida a los cargos de Elección Popular, para 6 comunas en la "&amp;I783&amp;", "&amp;Agencia[[#This Row],[temporalidad]]</f>
        <v>Candidatos electos, Lista-Partido y Votación Obtenida a los cargos de Elección Popular, para 6 comunas en la Región de Tarapacá, Periodo 1990-2020</v>
      </c>
      <c r="P783" s="112" t="s">
        <v>5358</v>
      </c>
      <c r="Q783" s="11" t="str">
        <f t="shared" si="322"/>
        <v>Dashboard</v>
      </c>
      <c r="R783" s="70"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Tarapacá,elecciones,candidatos,electos,consejeros,regionales,senadores,diputados,alcaldes,concejales,cargos,votación,cantidad,número,votos,partidos,Agencia Información,Política y Gobierno,Candidatos electos,Elecciones</v>
      </c>
      <c r="S783" s="101" t="s">
        <v>5234</v>
      </c>
      <c r="T783" s="111" t="str">
        <f>"100-C-"&amp;Agencia[[#This Row],[Filtro URL]]</f>
        <v>100-C-1</v>
      </c>
      <c r="U783" s="46" t="str">
        <f t="shared" si="323"/>
        <v>#1774B9</v>
      </c>
      <c r="V783" s="93" t="str">
        <f>+Agencia[[#This Row],[idcoleccion]]&amp;"-"&amp;Agencia[[#This Row],[id]]</f>
        <v>990-0772</v>
      </c>
      <c r="W783" s="93">
        <f>+VLOOKUP(Agencia[[#This Row],[Filtro URL]],Estructura!$X$4:$Y$500,2,0)</f>
        <v>99200001</v>
      </c>
      <c r="X783" s="93" t="str">
        <f>+VLOOKUP(Agencia[[#This Row],[tema]],Estructura!$A$4:$C$500,3,0)</f>
        <v>T-1013</v>
      </c>
      <c r="Y783" s="93" t="str">
        <f>+VLOOKUP(Agencia[[#This Row],[contenido]],Estructura!$E$4:$G$500,3,0)</f>
        <v>C-994</v>
      </c>
      <c r="Z783" s="93" t="str">
        <f>+VLOOKUP(Agencia[[#This Row],[Filtro Integrado]],Estructura!$I$4:$K$500,3,0)</f>
        <v>FI-991</v>
      </c>
      <c r="AA783" s="93" t="str">
        <f>+VLOOKUP(Agencia[[#This Row],[Muestra]],Estructura!$M$4:$O$500,3,0)</f>
        <v>M-1073</v>
      </c>
    </row>
    <row r="784" spans="1:27" ht="72" x14ac:dyDescent="0.3">
      <c r="A784" s="21" t="s">
        <v>1288</v>
      </c>
      <c r="B784" s="23">
        <f t="shared" si="331"/>
        <v>990</v>
      </c>
      <c r="C784" s="24" t="str">
        <f t="shared" si="332"/>
        <v>Agencia Información</v>
      </c>
      <c r="D784" s="72" t="str">
        <f t="shared" si="333"/>
        <v>Política y Gobierno</v>
      </c>
      <c r="E784" s="19">
        <v>2</v>
      </c>
      <c r="F784" s="18" t="s">
        <v>1504</v>
      </c>
      <c r="G784" s="18" t="s">
        <v>1500</v>
      </c>
      <c r="H784" s="33" t="s">
        <v>16</v>
      </c>
      <c r="I784" s="34" t="s">
        <v>369</v>
      </c>
      <c r="J784" s="9" t="str">
        <f t="shared" ref="J784:J798" si="337">+J783</f>
        <v>Comuna</v>
      </c>
      <c r="K784" s="142" t="s">
        <v>1504</v>
      </c>
      <c r="L784" s="9" t="str">
        <f t="shared" si="334"/>
        <v>Periodo 1990-2020</v>
      </c>
      <c r="M784" s="9" t="str">
        <f t="shared" si="335"/>
        <v>Número de votos</v>
      </c>
      <c r="N784" s="9" t="str">
        <f t="shared" si="336"/>
        <v>Servicio Electoral (SERVEL)</v>
      </c>
      <c r="O784" s="41" t="str">
        <f>+"Candidatos electos, Lista-Partido y Votación Obtenida a los cargos de Elección Popular, para 6 comunas en la "&amp;I784&amp;", "&amp;Agencia[[#This Row],[temporalidad]]</f>
        <v>Candidatos electos, Lista-Partido y Votación Obtenida a los cargos de Elección Popular, para 6 comunas en la Región de Antofagasta, Periodo 1990-2020</v>
      </c>
      <c r="P784" s="112" t="s">
        <v>5358</v>
      </c>
      <c r="Q784" s="11" t="str">
        <f t="shared" si="322"/>
        <v>Dashboard</v>
      </c>
      <c r="R784"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Antofagasta,elecciones,candidatos,electos,consejeros,regionales,senadores,diputados,alcaldes,concejales,cargos,votación,cantidad,número,votos,partidos,Agencia Información,Política y Gobierno,Candidatos electos,Elecciones</v>
      </c>
      <c r="S784" s="101" t="s">
        <v>5235</v>
      </c>
      <c r="T784" s="111" t="str">
        <f>"100-C-"&amp;Agencia[[#This Row],[Filtro URL]]</f>
        <v>100-C-2</v>
      </c>
      <c r="U784" s="46" t="str">
        <f t="shared" si="323"/>
        <v>#1774B9</v>
      </c>
      <c r="V784" s="93" t="str">
        <f>+Agencia[[#This Row],[idcoleccion]]&amp;"-"&amp;Agencia[[#This Row],[id]]</f>
        <v>990-0773</v>
      </c>
      <c r="W784" s="93">
        <f>+VLOOKUP(Agencia[[#This Row],[Filtro URL]],Estructura!$X$4:$Y$500,2,0)</f>
        <v>99200002</v>
      </c>
      <c r="X784" s="93" t="str">
        <f>+VLOOKUP(Agencia[[#This Row],[tema]],Estructura!$A$4:$C$500,3,0)</f>
        <v>T-1013</v>
      </c>
      <c r="Y784" s="93" t="str">
        <f>+VLOOKUP(Agencia[[#This Row],[contenido]],Estructura!$E$4:$G$500,3,0)</f>
        <v>C-994</v>
      </c>
      <c r="Z784" s="93" t="str">
        <f>+VLOOKUP(Agencia[[#This Row],[Filtro Integrado]],Estructura!$I$4:$K$500,3,0)</f>
        <v>FI-991</v>
      </c>
      <c r="AA784" s="93" t="str">
        <f>+VLOOKUP(Agencia[[#This Row],[Muestra]],Estructura!$M$4:$O$500,3,0)</f>
        <v>M-1073</v>
      </c>
    </row>
    <row r="785" spans="1:27" ht="72" x14ac:dyDescent="0.3">
      <c r="A785" s="21" t="s">
        <v>1289</v>
      </c>
      <c r="B785" s="23">
        <f t="shared" si="331"/>
        <v>990</v>
      </c>
      <c r="C785" s="24" t="str">
        <f t="shared" si="332"/>
        <v>Agencia Información</v>
      </c>
      <c r="D785" s="72" t="str">
        <f t="shared" si="333"/>
        <v>Política y Gobierno</v>
      </c>
      <c r="E785" s="19">
        <v>3</v>
      </c>
      <c r="F785" s="18" t="s">
        <v>1504</v>
      </c>
      <c r="G785" s="18" t="s">
        <v>1500</v>
      </c>
      <c r="H785" s="33" t="s">
        <v>16</v>
      </c>
      <c r="I785" s="34" t="s">
        <v>370</v>
      </c>
      <c r="J785" s="9" t="str">
        <f t="shared" si="337"/>
        <v>Comuna</v>
      </c>
      <c r="K785" s="142" t="s">
        <v>1504</v>
      </c>
      <c r="L785" s="9" t="str">
        <f t="shared" si="334"/>
        <v>Periodo 1990-2020</v>
      </c>
      <c r="M785" s="9" t="str">
        <f t="shared" si="335"/>
        <v>Número de votos</v>
      </c>
      <c r="N785" s="9" t="str">
        <f t="shared" si="336"/>
        <v>Servicio Electoral (SERVEL)</v>
      </c>
      <c r="O785" s="41" t="str">
        <f>+"Candidatos electos, Lista-Partido y Votación Obtenida a los cargos de Elección Popular, para 6 comunas en la "&amp;I785&amp;", "&amp;Agencia[[#This Row],[temporalidad]]</f>
        <v>Candidatos electos, Lista-Partido y Votación Obtenida a los cargos de Elección Popular, para 6 comunas en la Región de Atacama, Periodo 1990-2020</v>
      </c>
      <c r="P785" s="112" t="s">
        <v>5358</v>
      </c>
      <c r="Q785" s="11" t="str">
        <f t="shared" si="322"/>
        <v>Dashboard</v>
      </c>
      <c r="R785"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Atacama,elecciones,candidatos,electos,consejeros,regionales,senadores,diputados,alcaldes,concejales,cargos,votación,cantidad,número,votos,partidos,Agencia Información,Política y Gobierno,Candidatos electos,Elecciones</v>
      </c>
      <c r="S785" s="101" t="s">
        <v>5236</v>
      </c>
      <c r="T785" s="111" t="str">
        <f>"100-C-"&amp;Agencia[[#This Row],[Filtro URL]]</f>
        <v>100-C-3</v>
      </c>
      <c r="U785" s="46" t="str">
        <f t="shared" si="323"/>
        <v>#1774B9</v>
      </c>
      <c r="V785" s="93" t="str">
        <f>+Agencia[[#This Row],[idcoleccion]]&amp;"-"&amp;Agencia[[#This Row],[id]]</f>
        <v>990-0774</v>
      </c>
      <c r="W785" s="93">
        <f>+VLOOKUP(Agencia[[#This Row],[Filtro URL]],Estructura!$X$4:$Y$500,2,0)</f>
        <v>99200003</v>
      </c>
      <c r="X785" s="93" t="str">
        <f>+VLOOKUP(Agencia[[#This Row],[tema]],Estructura!$A$4:$C$500,3,0)</f>
        <v>T-1013</v>
      </c>
      <c r="Y785" s="93" t="str">
        <f>+VLOOKUP(Agencia[[#This Row],[contenido]],Estructura!$E$4:$G$500,3,0)</f>
        <v>C-994</v>
      </c>
      <c r="Z785" s="93" t="str">
        <f>+VLOOKUP(Agencia[[#This Row],[Filtro Integrado]],Estructura!$I$4:$K$500,3,0)</f>
        <v>FI-991</v>
      </c>
      <c r="AA785" s="93" t="str">
        <f>+VLOOKUP(Agencia[[#This Row],[Muestra]],Estructura!$M$4:$O$500,3,0)</f>
        <v>M-1073</v>
      </c>
    </row>
    <row r="786" spans="1:27" ht="72" x14ac:dyDescent="0.3">
      <c r="A786" s="21" t="s">
        <v>1290</v>
      </c>
      <c r="B786" s="23">
        <f t="shared" si="331"/>
        <v>990</v>
      </c>
      <c r="C786" s="24" t="str">
        <f t="shared" si="332"/>
        <v>Agencia Información</v>
      </c>
      <c r="D786" s="72" t="str">
        <f t="shared" si="333"/>
        <v>Política y Gobierno</v>
      </c>
      <c r="E786" s="19">
        <v>4</v>
      </c>
      <c r="F786" s="18" t="s">
        <v>1504</v>
      </c>
      <c r="G786" s="18" t="s">
        <v>1500</v>
      </c>
      <c r="H786" s="33" t="s">
        <v>16</v>
      </c>
      <c r="I786" s="34" t="s">
        <v>371</v>
      </c>
      <c r="J786" s="9" t="str">
        <f t="shared" si="337"/>
        <v>Comuna</v>
      </c>
      <c r="K786" s="142" t="s">
        <v>1504</v>
      </c>
      <c r="L786" s="9" t="str">
        <f t="shared" si="334"/>
        <v>Periodo 1990-2020</v>
      </c>
      <c r="M786" s="9" t="str">
        <f t="shared" si="335"/>
        <v>Número de votos</v>
      </c>
      <c r="N786" s="9" t="str">
        <f t="shared" si="336"/>
        <v>Servicio Electoral (SERVEL)</v>
      </c>
      <c r="O786" s="41" t="str">
        <f>+"Candidatos electos, Lista-Partido y Votación Obtenida a los cargos de Elección Popular, para 6 comunas en la "&amp;I786&amp;", "&amp;Agencia[[#This Row],[temporalidad]]</f>
        <v>Candidatos electos, Lista-Partido y Votación Obtenida a los cargos de Elección Popular, para 6 comunas en la Región de Coquimbo, Periodo 1990-2020</v>
      </c>
      <c r="P786" s="112" t="s">
        <v>5358</v>
      </c>
      <c r="Q786" s="11" t="str">
        <f t="shared" si="322"/>
        <v>Dashboard</v>
      </c>
      <c r="R786"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Coquimbo,elecciones,candidatos,electos,consejeros,regionales,senadores,diputados,alcaldes,concejales,cargos,votación,cantidad,número,votos,partidos,Agencia Información,Política y Gobierno,Candidatos electos,Elecciones</v>
      </c>
      <c r="S786" s="101" t="s">
        <v>5237</v>
      </c>
      <c r="T786" s="111" t="str">
        <f>"100-C-"&amp;Agencia[[#This Row],[Filtro URL]]</f>
        <v>100-C-4</v>
      </c>
      <c r="U786" s="46" t="str">
        <f t="shared" si="323"/>
        <v>#1774B9</v>
      </c>
      <c r="V786" s="93" t="str">
        <f>+Agencia[[#This Row],[idcoleccion]]&amp;"-"&amp;Agencia[[#This Row],[id]]</f>
        <v>990-0775</v>
      </c>
      <c r="W786" s="93">
        <f>+VLOOKUP(Agencia[[#This Row],[Filtro URL]],Estructura!$X$4:$Y$500,2,0)</f>
        <v>99200004</v>
      </c>
      <c r="X786" s="93" t="str">
        <f>+VLOOKUP(Agencia[[#This Row],[tema]],Estructura!$A$4:$C$500,3,0)</f>
        <v>T-1013</v>
      </c>
      <c r="Y786" s="93" t="str">
        <f>+VLOOKUP(Agencia[[#This Row],[contenido]],Estructura!$E$4:$G$500,3,0)</f>
        <v>C-994</v>
      </c>
      <c r="Z786" s="93" t="str">
        <f>+VLOOKUP(Agencia[[#This Row],[Filtro Integrado]],Estructura!$I$4:$K$500,3,0)</f>
        <v>FI-991</v>
      </c>
      <c r="AA786" s="93" t="str">
        <f>+VLOOKUP(Agencia[[#This Row],[Muestra]],Estructura!$M$4:$O$500,3,0)</f>
        <v>M-1073</v>
      </c>
    </row>
    <row r="787" spans="1:27" ht="72" x14ac:dyDescent="0.3">
      <c r="A787" s="21" t="s">
        <v>1291</v>
      </c>
      <c r="B787" s="23">
        <f t="shared" si="331"/>
        <v>990</v>
      </c>
      <c r="C787" s="24" t="str">
        <f t="shared" si="332"/>
        <v>Agencia Información</v>
      </c>
      <c r="D787" s="72" t="str">
        <f t="shared" si="333"/>
        <v>Política y Gobierno</v>
      </c>
      <c r="E787" s="19">
        <v>5</v>
      </c>
      <c r="F787" s="18" t="s">
        <v>1504</v>
      </c>
      <c r="G787" s="18" t="s">
        <v>1500</v>
      </c>
      <c r="H787" s="33" t="s">
        <v>16</v>
      </c>
      <c r="I787" s="34" t="s">
        <v>372</v>
      </c>
      <c r="J787" s="9" t="str">
        <f t="shared" si="337"/>
        <v>Comuna</v>
      </c>
      <c r="K787" s="142" t="s">
        <v>1504</v>
      </c>
      <c r="L787" s="9" t="str">
        <f t="shared" si="334"/>
        <v>Periodo 1990-2020</v>
      </c>
      <c r="M787" s="9" t="str">
        <f t="shared" si="335"/>
        <v>Número de votos</v>
      </c>
      <c r="N787" s="9" t="str">
        <f t="shared" si="336"/>
        <v>Servicio Electoral (SERVEL)</v>
      </c>
      <c r="O787" s="41" t="str">
        <f>+"Candidatos electos, Lista-Partido y Votación Obtenida a los cargos de Elección Popular, para 6 comunas en la "&amp;I787&amp;", "&amp;Agencia[[#This Row],[temporalidad]]</f>
        <v>Candidatos electos, Lista-Partido y Votación Obtenida a los cargos de Elección Popular, para 6 comunas en la Región de Valparaíso, Periodo 1990-2020</v>
      </c>
      <c r="P787" s="112" t="s">
        <v>5358</v>
      </c>
      <c r="Q787" s="11" t="str">
        <f t="shared" si="322"/>
        <v>Dashboard</v>
      </c>
      <c r="R787"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Valparaíso,elecciones,candidatos,electos,consejeros,regionales,senadores,diputados,alcaldes,concejales,cargos,votación,cantidad,número,votos,partidos,Agencia Información,Política y Gobierno,Candidatos electos,Elecciones</v>
      </c>
      <c r="S787" s="101" t="s">
        <v>5238</v>
      </c>
      <c r="T787" s="111" t="str">
        <f>"100-C-"&amp;Agencia[[#This Row],[Filtro URL]]</f>
        <v>100-C-5</v>
      </c>
      <c r="U787" s="46" t="str">
        <f t="shared" si="323"/>
        <v>#1774B9</v>
      </c>
      <c r="V787" s="93" t="str">
        <f>+Agencia[[#This Row],[idcoleccion]]&amp;"-"&amp;Agencia[[#This Row],[id]]</f>
        <v>990-0776</v>
      </c>
      <c r="W787" s="93">
        <f>+VLOOKUP(Agencia[[#This Row],[Filtro URL]],Estructura!$X$4:$Y$500,2,0)</f>
        <v>99200005</v>
      </c>
      <c r="X787" s="93" t="str">
        <f>+VLOOKUP(Agencia[[#This Row],[tema]],Estructura!$A$4:$C$500,3,0)</f>
        <v>T-1013</v>
      </c>
      <c r="Y787" s="93" t="str">
        <f>+VLOOKUP(Agencia[[#This Row],[contenido]],Estructura!$E$4:$G$500,3,0)</f>
        <v>C-994</v>
      </c>
      <c r="Z787" s="93" t="str">
        <f>+VLOOKUP(Agencia[[#This Row],[Filtro Integrado]],Estructura!$I$4:$K$500,3,0)</f>
        <v>FI-991</v>
      </c>
      <c r="AA787" s="93" t="str">
        <f>+VLOOKUP(Agencia[[#This Row],[Muestra]],Estructura!$M$4:$O$500,3,0)</f>
        <v>M-1073</v>
      </c>
    </row>
    <row r="788" spans="1:27" ht="72" x14ac:dyDescent="0.3">
      <c r="A788" s="21" t="s">
        <v>1292</v>
      </c>
      <c r="B788" s="23">
        <f t="shared" si="331"/>
        <v>990</v>
      </c>
      <c r="C788" s="24" t="str">
        <f t="shared" si="332"/>
        <v>Agencia Información</v>
      </c>
      <c r="D788" s="72" t="str">
        <f t="shared" si="333"/>
        <v>Política y Gobierno</v>
      </c>
      <c r="E788" s="19">
        <v>6</v>
      </c>
      <c r="F788" s="18" t="s">
        <v>1504</v>
      </c>
      <c r="G788" s="18" t="s">
        <v>1500</v>
      </c>
      <c r="H788" s="33" t="s">
        <v>16</v>
      </c>
      <c r="I788" s="34" t="s">
        <v>373</v>
      </c>
      <c r="J788" s="9" t="str">
        <f t="shared" si="337"/>
        <v>Comuna</v>
      </c>
      <c r="K788" s="142" t="s">
        <v>1504</v>
      </c>
      <c r="L788" s="9" t="str">
        <f t="shared" si="334"/>
        <v>Periodo 1990-2020</v>
      </c>
      <c r="M788" s="9" t="str">
        <f t="shared" si="335"/>
        <v>Número de votos</v>
      </c>
      <c r="N788" s="9" t="str">
        <f t="shared" si="336"/>
        <v>Servicio Electoral (SERVEL)</v>
      </c>
      <c r="O788" s="41" t="str">
        <f>+"Candidatos electos, Lista-Partido y Votación Obtenida a los cargos de Elección Popular, para 6 comunas en la "&amp;I788&amp;", "&amp;Agencia[[#This Row],[temporalidad]]</f>
        <v>Candidatos electos, Lista-Partido y Votación Obtenida a los cargos de Elección Popular, para 6 comunas en la Región de O'Higgins, Periodo 1990-2020</v>
      </c>
      <c r="P788" s="112" t="s">
        <v>5358</v>
      </c>
      <c r="Q788" s="11" t="str">
        <f t="shared" si="322"/>
        <v>Dashboard</v>
      </c>
      <c r="R788"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O'Higgins,elecciones,candidatos,electos,consejeros,regionales,senadores,diputados,alcaldes,concejales,cargos,votación,cantidad,número,votos,partidos,Agencia Información,Política y Gobierno,Candidatos electos,Elecciones</v>
      </c>
      <c r="S788" s="101" t="s">
        <v>5239</v>
      </c>
      <c r="T788" s="111" t="str">
        <f>"100-C-"&amp;Agencia[[#This Row],[Filtro URL]]</f>
        <v>100-C-6</v>
      </c>
      <c r="U788" s="46" t="str">
        <f t="shared" si="323"/>
        <v>#1774B9</v>
      </c>
      <c r="V788" s="93" t="str">
        <f>+Agencia[[#This Row],[idcoleccion]]&amp;"-"&amp;Agencia[[#This Row],[id]]</f>
        <v>990-0777</v>
      </c>
      <c r="W788" s="93">
        <f>+VLOOKUP(Agencia[[#This Row],[Filtro URL]],Estructura!$X$4:$Y$500,2,0)</f>
        <v>99200006</v>
      </c>
      <c r="X788" s="93" t="str">
        <f>+VLOOKUP(Agencia[[#This Row],[tema]],Estructura!$A$4:$C$500,3,0)</f>
        <v>T-1013</v>
      </c>
      <c r="Y788" s="93" t="str">
        <f>+VLOOKUP(Agencia[[#This Row],[contenido]],Estructura!$E$4:$G$500,3,0)</f>
        <v>C-994</v>
      </c>
      <c r="Z788" s="93" t="str">
        <f>+VLOOKUP(Agencia[[#This Row],[Filtro Integrado]],Estructura!$I$4:$K$500,3,0)</f>
        <v>FI-991</v>
      </c>
      <c r="AA788" s="93" t="str">
        <f>+VLOOKUP(Agencia[[#This Row],[Muestra]],Estructura!$M$4:$O$500,3,0)</f>
        <v>M-1073</v>
      </c>
    </row>
    <row r="789" spans="1:27" ht="72" x14ac:dyDescent="0.3">
      <c r="A789" s="21" t="s">
        <v>1293</v>
      </c>
      <c r="B789" s="23">
        <f t="shared" si="331"/>
        <v>990</v>
      </c>
      <c r="C789" s="24" t="str">
        <f t="shared" si="332"/>
        <v>Agencia Información</v>
      </c>
      <c r="D789" s="72" t="str">
        <f t="shared" si="333"/>
        <v>Política y Gobierno</v>
      </c>
      <c r="E789" s="19">
        <v>7</v>
      </c>
      <c r="F789" s="18" t="s">
        <v>1504</v>
      </c>
      <c r="G789" s="18" t="s">
        <v>1500</v>
      </c>
      <c r="H789" s="33" t="s">
        <v>16</v>
      </c>
      <c r="I789" s="34" t="s">
        <v>374</v>
      </c>
      <c r="J789" s="9" t="str">
        <f t="shared" si="337"/>
        <v>Comuna</v>
      </c>
      <c r="K789" s="142" t="s">
        <v>1504</v>
      </c>
      <c r="L789" s="9" t="str">
        <f t="shared" si="334"/>
        <v>Periodo 1990-2020</v>
      </c>
      <c r="M789" s="9" t="str">
        <f t="shared" si="335"/>
        <v>Número de votos</v>
      </c>
      <c r="N789" s="9" t="str">
        <f t="shared" si="336"/>
        <v>Servicio Electoral (SERVEL)</v>
      </c>
      <c r="O789" s="41" t="str">
        <f>+"Candidatos electos, Lista-Partido y Votación Obtenida a los cargos de Elección Popular, para 6 comunas en la "&amp;I789&amp;", "&amp;Agencia[[#This Row],[temporalidad]]</f>
        <v>Candidatos electos, Lista-Partido y Votación Obtenida a los cargos de Elección Popular, para 6 comunas en la Región de Maule, Periodo 1990-2020</v>
      </c>
      <c r="P789" s="112" t="s">
        <v>5358</v>
      </c>
      <c r="Q789" s="11" t="str">
        <f t="shared" si="322"/>
        <v>Dashboard</v>
      </c>
      <c r="R789"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Maule,elecciones,candidatos,electos,consejeros,regionales,senadores,diputados,alcaldes,concejales,cargos,votación,cantidad,número,votos,partidos,Agencia Información,Política y Gobierno,Candidatos electos,Elecciones</v>
      </c>
      <c r="S789" s="101" t="s">
        <v>5240</v>
      </c>
      <c r="T789" s="111" t="str">
        <f>"100-C-"&amp;Agencia[[#This Row],[Filtro URL]]</f>
        <v>100-C-7</v>
      </c>
      <c r="U789" s="46" t="str">
        <f t="shared" si="323"/>
        <v>#1774B9</v>
      </c>
      <c r="V789" s="93" t="str">
        <f>+Agencia[[#This Row],[idcoleccion]]&amp;"-"&amp;Agencia[[#This Row],[id]]</f>
        <v>990-0778</v>
      </c>
      <c r="W789" s="93">
        <f>+VLOOKUP(Agencia[[#This Row],[Filtro URL]],Estructura!$X$4:$Y$500,2,0)</f>
        <v>99200007</v>
      </c>
      <c r="X789" s="93" t="str">
        <f>+VLOOKUP(Agencia[[#This Row],[tema]],Estructura!$A$4:$C$500,3,0)</f>
        <v>T-1013</v>
      </c>
      <c r="Y789" s="93" t="str">
        <f>+VLOOKUP(Agencia[[#This Row],[contenido]],Estructura!$E$4:$G$500,3,0)</f>
        <v>C-994</v>
      </c>
      <c r="Z789" s="93" t="str">
        <f>+VLOOKUP(Agencia[[#This Row],[Filtro Integrado]],Estructura!$I$4:$K$500,3,0)</f>
        <v>FI-991</v>
      </c>
      <c r="AA789" s="93" t="str">
        <f>+VLOOKUP(Agencia[[#This Row],[Muestra]],Estructura!$M$4:$O$500,3,0)</f>
        <v>M-1073</v>
      </c>
    </row>
    <row r="790" spans="1:27" ht="72" x14ac:dyDescent="0.3">
      <c r="A790" s="21" t="s">
        <v>1294</v>
      </c>
      <c r="B790" s="23">
        <f t="shared" si="331"/>
        <v>990</v>
      </c>
      <c r="C790" s="24" t="str">
        <f t="shared" si="332"/>
        <v>Agencia Información</v>
      </c>
      <c r="D790" s="72" t="str">
        <f t="shared" si="333"/>
        <v>Política y Gobierno</v>
      </c>
      <c r="E790" s="19">
        <v>8</v>
      </c>
      <c r="F790" s="18" t="s">
        <v>1504</v>
      </c>
      <c r="G790" s="18" t="s">
        <v>1500</v>
      </c>
      <c r="H790" s="33" t="s">
        <v>16</v>
      </c>
      <c r="I790" s="34" t="s">
        <v>375</v>
      </c>
      <c r="J790" s="9" t="str">
        <f t="shared" si="337"/>
        <v>Comuna</v>
      </c>
      <c r="K790" s="142" t="s">
        <v>1504</v>
      </c>
      <c r="L790" s="9" t="str">
        <f t="shared" si="334"/>
        <v>Periodo 1990-2020</v>
      </c>
      <c r="M790" s="9" t="str">
        <f t="shared" si="335"/>
        <v>Número de votos</v>
      </c>
      <c r="N790" s="9" t="str">
        <f t="shared" si="336"/>
        <v>Servicio Electoral (SERVEL)</v>
      </c>
      <c r="O790" s="41" t="str">
        <f>+"Candidatos electos, Lista-Partido y Votación Obtenida a los cargos de Elección Popular, para 6 comunas en la "&amp;I790&amp;", "&amp;Agencia[[#This Row],[temporalidad]]</f>
        <v>Candidatos electos, Lista-Partido y Votación Obtenida a los cargos de Elección Popular, para 6 comunas en la Región del Biobío, Periodo 1990-2020</v>
      </c>
      <c r="P790" s="112" t="s">
        <v>5358</v>
      </c>
      <c r="Q790" s="11" t="str">
        <f t="shared" si="322"/>
        <v>Dashboard</v>
      </c>
      <c r="R790"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del Biobío,elecciones,candidatos,electos,consejeros,regionales,senadores,diputados,alcaldes,concejales,cargos,votación,cantidad,número,votos,partidos,Agencia Información,Política y Gobierno,Candidatos electos,Elecciones</v>
      </c>
      <c r="S790" s="101" t="s">
        <v>5241</v>
      </c>
      <c r="T790" s="111" t="str">
        <f>"100-C-"&amp;Agencia[[#This Row],[Filtro URL]]</f>
        <v>100-C-8</v>
      </c>
      <c r="U790" s="46" t="str">
        <f t="shared" si="323"/>
        <v>#1774B9</v>
      </c>
      <c r="V790" s="93" t="str">
        <f>+Agencia[[#This Row],[idcoleccion]]&amp;"-"&amp;Agencia[[#This Row],[id]]</f>
        <v>990-0779</v>
      </c>
      <c r="W790" s="93">
        <f>+VLOOKUP(Agencia[[#This Row],[Filtro URL]],Estructura!$X$4:$Y$500,2,0)</f>
        <v>99200008</v>
      </c>
      <c r="X790" s="93" t="str">
        <f>+VLOOKUP(Agencia[[#This Row],[tema]],Estructura!$A$4:$C$500,3,0)</f>
        <v>T-1013</v>
      </c>
      <c r="Y790" s="93" t="str">
        <f>+VLOOKUP(Agencia[[#This Row],[contenido]],Estructura!$E$4:$G$500,3,0)</f>
        <v>C-994</v>
      </c>
      <c r="Z790" s="93" t="str">
        <f>+VLOOKUP(Agencia[[#This Row],[Filtro Integrado]],Estructura!$I$4:$K$500,3,0)</f>
        <v>FI-991</v>
      </c>
      <c r="AA790" s="93" t="str">
        <f>+VLOOKUP(Agencia[[#This Row],[Muestra]],Estructura!$M$4:$O$500,3,0)</f>
        <v>M-1073</v>
      </c>
    </row>
    <row r="791" spans="1:27" ht="72" x14ac:dyDescent="0.3">
      <c r="A791" s="21" t="s">
        <v>1295</v>
      </c>
      <c r="B791" s="23">
        <f t="shared" si="331"/>
        <v>990</v>
      </c>
      <c r="C791" s="24" t="str">
        <f t="shared" si="332"/>
        <v>Agencia Información</v>
      </c>
      <c r="D791" s="72" t="str">
        <f t="shared" si="333"/>
        <v>Política y Gobierno</v>
      </c>
      <c r="E791" s="19">
        <v>9</v>
      </c>
      <c r="F791" s="18" t="s">
        <v>1504</v>
      </c>
      <c r="G791" s="18" t="s">
        <v>1500</v>
      </c>
      <c r="H791" s="33" t="s">
        <v>16</v>
      </c>
      <c r="I791" s="34" t="s">
        <v>376</v>
      </c>
      <c r="J791" s="9" t="str">
        <f t="shared" si="337"/>
        <v>Comuna</v>
      </c>
      <c r="K791" s="142" t="s">
        <v>1504</v>
      </c>
      <c r="L791" s="9" t="str">
        <f t="shared" si="334"/>
        <v>Periodo 1990-2020</v>
      </c>
      <c r="M791" s="9" t="str">
        <f t="shared" si="335"/>
        <v>Número de votos</v>
      </c>
      <c r="N791" s="9" t="str">
        <f t="shared" si="336"/>
        <v>Servicio Electoral (SERVEL)</v>
      </c>
      <c r="O791" s="41" t="str">
        <f>+"Candidatos electos, Lista-Partido y Votación Obtenida a los cargos de Elección Popular, para 6 comunas en la "&amp;I791&amp;", "&amp;Agencia[[#This Row],[temporalidad]]</f>
        <v>Candidatos electos, Lista-Partido y Votación Obtenida a los cargos de Elección Popular, para 6 comunas en la Región de La Araucanía, Periodo 1990-2020</v>
      </c>
      <c r="P791" s="112" t="s">
        <v>5358</v>
      </c>
      <c r="Q791" s="11" t="str">
        <f t="shared" si="322"/>
        <v>Dashboard</v>
      </c>
      <c r="R791"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La Araucanía,elecciones,candidatos,electos,consejeros,regionales,senadores,diputados,alcaldes,concejales,cargos,votación,cantidad,número,votos,partidos,Agencia Información,Política y Gobierno,Candidatos electos,Elecciones</v>
      </c>
      <c r="S791" s="101" t="s">
        <v>5242</v>
      </c>
      <c r="T791" s="111" t="str">
        <f>"100-C-"&amp;Agencia[[#This Row],[Filtro URL]]</f>
        <v>100-C-9</v>
      </c>
      <c r="U791" s="46" t="str">
        <f t="shared" si="323"/>
        <v>#1774B9</v>
      </c>
      <c r="V791" s="93" t="str">
        <f>+Agencia[[#This Row],[idcoleccion]]&amp;"-"&amp;Agencia[[#This Row],[id]]</f>
        <v>990-0780</v>
      </c>
      <c r="W791" s="93">
        <f>+VLOOKUP(Agencia[[#This Row],[Filtro URL]],Estructura!$X$4:$Y$500,2,0)</f>
        <v>99200009</v>
      </c>
      <c r="X791" s="93" t="str">
        <f>+VLOOKUP(Agencia[[#This Row],[tema]],Estructura!$A$4:$C$500,3,0)</f>
        <v>T-1013</v>
      </c>
      <c r="Y791" s="93" t="str">
        <f>+VLOOKUP(Agencia[[#This Row],[contenido]],Estructura!$E$4:$G$500,3,0)</f>
        <v>C-994</v>
      </c>
      <c r="Z791" s="93" t="str">
        <f>+VLOOKUP(Agencia[[#This Row],[Filtro Integrado]],Estructura!$I$4:$K$500,3,0)</f>
        <v>FI-991</v>
      </c>
      <c r="AA791" s="93" t="str">
        <f>+VLOOKUP(Agencia[[#This Row],[Muestra]],Estructura!$M$4:$O$500,3,0)</f>
        <v>M-1073</v>
      </c>
    </row>
    <row r="792" spans="1:27" ht="72" x14ac:dyDescent="0.3">
      <c r="A792" s="21" t="s">
        <v>1296</v>
      </c>
      <c r="B792" s="23">
        <f t="shared" si="331"/>
        <v>990</v>
      </c>
      <c r="C792" s="24" t="str">
        <f t="shared" si="332"/>
        <v>Agencia Información</v>
      </c>
      <c r="D792" s="72" t="str">
        <f t="shared" si="333"/>
        <v>Política y Gobierno</v>
      </c>
      <c r="E792" s="19">
        <v>10</v>
      </c>
      <c r="F792" s="18" t="s">
        <v>1504</v>
      </c>
      <c r="G792" s="18" t="s">
        <v>1500</v>
      </c>
      <c r="H792" s="33" t="s">
        <v>16</v>
      </c>
      <c r="I792" s="34" t="s">
        <v>377</v>
      </c>
      <c r="J792" s="9" t="str">
        <f t="shared" si="337"/>
        <v>Comuna</v>
      </c>
      <c r="K792" s="142" t="s">
        <v>1504</v>
      </c>
      <c r="L792" s="9" t="str">
        <f t="shared" si="334"/>
        <v>Periodo 1990-2020</v>
      </c>
      <c r="M792" s="9" t="str">
        <f t="shared" si="335"/>
        <v>Número de votos</v>
      </c>
      <c r="N792" s="9" t="str">
        <f t="shared" si="336"/>
        <v>Servicio Electoral (SERVEL)</v>
      </c>
      <c r="O792" s="41" t="str">
        <f>+"Candidatos electos, Lista-Partido y Votación Obtenida a los cargos de Elección Popular, para 6 comunas en la "&amp;I792&amp;", "&amp;Agencia[[#This Row],[temporalidad]]</f>
        <v>Candidatos electos, Lista-Partido y Votación Obtenida a los cargos de Elección Popular, para 6 comunas en la Región de Los Lagos, Periodo 1990-2020</v>
      </c>
      <c r="P792" s="112" t="s">
        <v>5358</v>
      </c>
      <c r="Q792" s="11" t="str">
        <f t="shared" si="322"/>
        <v>Dashboard</v>
      </c>
      <c r="R792"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Los Lagos,elecciones,candidatos,electos,consejeros,regionales,senadores,diputados,alcaldes,concejales,cargos,votación,cantidad,número,votos,partidos,Agencia Información,Política y Gobierno,Candidatos electos,Elecciones</v>
      </c>
      <c r="S792" s="101" t="s">
        <v>5243</v>
      </c>
      <c r="T792" s="111" t="str">
        <f>"100-C-"&amp;Agencia[[#This Row],[Filtro URL]]</f>
        <v>100-C-10</v>
      </c>
      <c r="U792" s="46" t="str">
        <f t="shared" si="323"/>
        <v>#1774B9</v>
      </c>
      <c r="V792" s="93" t="str">
        <f>+Agencia[[#This Row],[idcoleccion]]&amp;"-"&amp;Agencia[[#This Row],[id]]</f>
        <v>990-0781</v>
      </c>
      <c r="W792" s="93">
        <f>+VLOOKUP(Agencia[[#This Row],[Filtro URL]],Estructura!$X$4:$Y$500,2,0)</f>
        <v>99200010</v>
      </c>
      <c r="X792" s="93" t="str">
        <f>+VLOOKUP(Agencia[[#This Row],[tema]],Estructura!$A$4:$C$500,3,0)</f>
        <v>T-1013</v>
      </c>
      <c r="Y792" s="93" t="str">
        <f>+VLOOKUP(Agencia[[#This Row],[contenido]],Estructura!$E$4:$G$500,3,0)</f>
        <v>C-994</v>
      </c>
      <c r="Z792" s="93" t="str">
        <f>+VLOOKUP(Agencia[[#This Row],[Filtro Integrado]],Estructura!$I$4:$K$500,3,0)</f>
        <v>FI-991</v>
      </c>
      <c r="AA792" s="93" t="str">
        <f>+VLOOKUP(Agencia[[#This Row],[Muestra]],Estructura!$M$4:$O$500,3,0)</f>
        <v>M-1073</v>
      </c>
    </row>
    <row r="793" spans="1:27" ht="72" x14ac:dyDescent="0.3">
      <c r="A793" s="21" t="s">
        <v>1297</v>
      </c>
      <c r="B793" s="23">
        <f t="shared" si="331"/>
        <v>990</v>
      </c>
      <c r="C793" s="24" t="str">
        <f t="shared" si="332"/>
        <v>Agencia Información</v>
      </c>
      <c r="D793" s="72" t="str">
        <f t="shared" si="333"/>
        <v>Política y Gobierno</v>
      </c>
      <c r="E793" s="19">
        <v>11</v>
      </c>
      <c r="F793" s="18" t="s">
        <v>1504</v>
      </c>
      <c r="G793" s="18" t="s">
        <v>1500</v>
      </c>
      <c r="H793" s="33" t="s">
        <v>16</v>
      </c>
      <c r="I793" s="34" t="s">
        <v>378</v>
      </c>
      <c r="J793" s="9" t="str">
        <f t="shared" si="337"/>
        <v>Comuna</v>
      </c>
      <c r="K793" s="142" t="s">
        <v>1504</v>
      </c>
      <c r="L793" s="9" t="str">
        <f t="shared" si="334"/>
        <v>Periodo 1990-2020</v>
      </c>
      <c r="M793" s="9" t="str">
        <f t="shared" si="335"/>
        <v>Número de votos</v>
      </c>
      <c r="N793" s="9" t="str">
        <f t="shared" si="336"/>
        <v>Servicio Electoral (SERVEL)</v>
      </c>
      <c r="O793" s="41" t="str">
        <f>+"Candidatos electos, Lista-Partido y Votación Obtenida a los cargos de Elección Popular, para 6 comunas en la "&amp;I793&amp;", "&amp;Agencia[[#This Row],[temporalidad]]</f>
        <v>Candidatos electos, Lista-Partido y Votación Obtenida a los cargos de Elección Popular, para 6 comunas en la Región de Aysén, Periodo 1990-2020</v>
      </c>
      <c r="P793" s="112" t="s">
        <v>5358</v>
      </c>
      <c r="Q793" s="11" t="str">
        <f t="shared" si="322"/>
        <v>Dashboard</v>
      </c>
      <c r="R793"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Aysén,elecciones,candidatos,electos,consejeros,regionales,senadores,diputados,alcaldes,concejales,cargos,votación,cantidad,número,votos,partidos,Agencia Información,Política y Gobierno,Candidatos electos,Elecciones</v>
      </c>
      <c r="S793" s="101" t="s">
        <v>5244</v>
      </c>
      <c r="T793" s="111" t="str">
        <f>"100-C-"&amp;Agencia[[#This Row],[Filtro URL]]</f>
        <v>100-C-11</v>
      </c>
      <c r="U793" s="46" t="str">
        <f t="shared" si="323"/>
        <v>#1774B9</v>
      </c>
      <c r="V793" s="93" t="str">
        <f>+Agencia[[#This Row],[idcoleccion]]&amp;"-"&amp;Agencia[[#This Row],[id]]</f>
        <v>990-0782</v>
      </c>
      <c r="W793" s="93">
        <f>+VLOOKUP(Agencia[[#This Row],[Filtro URL]],Estructura!$X$4:$Y$500,2,0)</f>
        <v>99200011</v>
      </c>
      <c r="X793" s="93" t="str">
        <f>+VLOOKUP(Agencia[[#This Row],[tema]],Estructura!$A$4:$C$500,3,0)</f>
        <v>T-1013</v>
      </c>
      <c r="Y793" s="93" t="str">
        <f>+VLOOKUP(Agencia[[#This Row],[contenido]],Estructura!$E$4:$G$500,3,0)</f>
        <v>C-994</v>
      </c>
      <c r="Z793" s="93" t="str">
        <f>+VLOOKUP(Agencia[[#This Row],[Filtro Integrado]],Estructura!$I$4:$K$500,3,0)</f>
        <v>FI-991</v>
      </c>
      <c r="AA793" s="93" t="str">
        <f>+VLOOKUP(Agencia[[#This Row],[Muestra]],Estructura!$M$4:$O$500,3,0)</f>
        <v>M-1073</v>
      </c>
    </row>
    <row r="794" spans="1:27" ht="72" x14ac:dyDescent="0.3">
      <c r="A794" s="21" t="s">
        <v>1298</v>
      </c>
      <c r="B794" s="23">
        <f t="shared" si="331"/>
        <v>990</v>
      </c>
      <c r="C794" s="24" t="str">
        <f t="shared" si="332"/>
        <v>Agencia Información</v>
      </c>
      <c r="D794" s="72" t="str">
        <f t="shared" si="333"/>
        <v>Política y Gobierno</v>
      </c>
      <c r="E794" s="19">
        <v>12</v>
      </c>
      <c r="F794" s="18" t="s">
        <v>1504</v>
      </c>
      <c r="G794" s="18" t="s">
        <v>1500</v>
      </c>
      <c r="H794" s="33" t="s">
        <v>16</v>
      </c>
      <c r="I794" s="34" t="s">
        <v>379</v>
      </c>
      <c r="J794" s="9" t="str">
        <f t="shared" si="337"/>
        <v>Comuna</v>
      </c>
      <c r="K794" s="142" t="s">
        <v>1504</v>
      </c>
      <c r="L794" s="9" t="str">
        <f t="shared" si="334"/>
        <v>Periodo 1990-2020</v>
      </c>
      <c r="M794" s="9" t="str">
        <f t="shared" si="335"/>
        <v>Número de votos</v>
      </c>
      <c r="N794" s="9" t="str">
        <f t="shared" si="336"/>
        <v>Servicio Electoral (SERVEL)</v>
      </c>
      <c r="O794" s="41" t="str">
        <f>+"Candidatos electos, Lista-Partido y Votación Obtenida a los cargos de Elección Popular, para 6 comunas en la "&amp;I794&amp;", "&amp;Agencia[[#This Row],[temporalidad]]</f>
        <v>Candidatos electos, Lista-Partido y Votación Obtenida a los cargos de Elección Popular, para 6 comunas en la Región de Magallanes, Periodo 1990-2020</v>
      </c>
      <c r="P794" s="112" t="s">
        <v>5358</v>
      </c>
      <c r="Q794" s="11" t="str">
        <f t="shared" si="322"/>
        <v>Dashboard</v>
      </c>
      <c r="R794"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Magallanes,elecciones,candidatos,electos,consejeros,regionales,senadores,diputados,alcaldes,concejales,cargos,votación,cantidad,número,votos,partidos,Agencia Información,Política y Gobierno,Candidatos electos,Elecciones</v>
      </c>
      <c r="S794" s="101" t="s">
        <v>5245</v>
      </c>
      <c r="T794" s="111" t="str">
        <f>"100-C-"&amp;Agencia[[#This Row],[Filtro URL]]</f>
        <v>100-C-12</v>
      </c>
      <c r="U794" s="46" t="str">
        <f t="shared" si="323"/>
        <v>#1774B9</v>
      </c>
      <c r="V794" s="93" t="str">
        <f>+Agencia[[#This Row],[idcoleccion]]&amp;"-"&amp;Agencia[[#This Row],[id]]</f>
        <v>990-0783</v>
      </c>
      <c r="W794" s="93">
        <f>+VLOOKUP(Agencia[[#This Row],[Filtro URL]],Estructura!$X$4:$Y$500,2,0)</f>
        <v>99200012</v>
      </c>
      <c r="X794" s="93" t="str">
        <f>+VLOOKUP(Agencia[[#This Row],[tema]],Estructura!$A$4:$C$500,3,0)</f>
        <v>T-1013</v>
      </c>
      <c r="Y794" s="93" t="str">
        <f>+VLOOKUP(Agencia[[#This Row],[contenido]],Estructura!$E$4:$G$500,3,0)</f>
        <v>C-994</v>
      </c>
      <c r="Z794" s="93" t="str">
        <f>+VLOOKUP(Agencia[[#This Row],[Filtro Integrado]],Estructura!$I$4:$K$500,3,0)</f>
        <v>FI-991</v>
      </c>
      <c r="AA794" s="93" t="str">
        <f>+VLOOKUP(Agencia[[#This Row],[Muestra]],Estructura!$M$4:$O$500,3,0)</f>
        <v>M-1073</v>
      </c>
    </row>
    <row r="795" spans="1:27" ht="72" x14ac:dyDescent="0.3">
      <c r="A795" s="21" t="s">
        <v>1299</v>
      </c>
      <c r="B795" s="23">
        <f t="shared" si="331"/>
        <v>990</v>
      </c>
      <c r="C795" s="24" t="str">
        <f t="shared" si="332"/>
        <v>Agencia Información</v>
      </c>
      <c r="D795" s="72" t="str">
        <f t="shared" si="333"/>
        <v>Política y Gobierno</v>
      </c>
      <c r="E795" s="19">
        <v>13</v>
      </c>
      <c r="F795" s="18" t="s">
        <v>1504</v>
      </c>
      <c r="G795" s="18" t="s">
        <v>1500</v>
      </c>
      <c r="H795" s="33" t="s">
        <v>16</v>
      </c>
      <c r="I795" s="34" t="s">
        <v>380</v>
      </c>
      <c r="J795" s="9" t="str">
        <f t="shared" si="337"/>
        <v>Comuna</v>
      </c>
      <c r="K795" s="142" t="s">
        <v>1504</v>
      </c>
      <c r="L795" s="9" t="str">
        <f t="shared" si="334"/>
        <v>Periodo 1990-2020</v>
      </c>
      <c r="M795" s="9" t="str">
        <f t="shared" si="335"/>
        <v>Número de votos</v>
      </c>
      <c r="N795" s="9" t="str">
        <f t="shared" si="336"/>
        <v>Servicio Electoral (SERVEL)</v>
      </c>
      <c r="O795" s="41" t="str">
        <f>+"Candidatos electos, Lista-Partido y Votación Obtenida a los cargos de Elección Popular, para 6 comunas en la "&amp;I795&amp;", "&amp;Agencia[[#This Row],[temporalidad]]</f>
        <v>Candidatos electos, Lista-Partido y Votación Obtenida a los cargos de Elección Popular, para 6 comunas en la Región Metropolitana, Periodo 1990-2020</v>
      </c>
      <c r="P795" s="112" t="s">
        <v>5358</v>
      </c>
      <c r="Q795" s="11" t="str">
        <f t="shared" si="322"/>
        <v>Dashboard</v>
      </c>
      <c r="R795"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Metropolitana,elecciones,candidatos,electos,consejeros,regionales,senadores,diputados,alcaldes,concejales,cargos,votación,cantidad,número,votos,partidos,Agencia Información,Política y Gobierno,Candidatos electos,Elecciones</v>
      </c>
      <c r="S795" s="101" t="s">
        <v>5246</v>
      </c>
      <c r="T795" s="111" t="str">
        <f>"200-C-"&amp;Agencia[[#This Row],[Filtro URL]]</f>
        <v>200-C-13</v>
      </c>
      <c r="U795" s="46" t="str">
        <f t="shared" si="323"/>
        <v>#1774B9</v>
      </c>
      <c r="V795" s="93" t="str">
        <f>+Agencia[[#This Row],[idcoleccion]]&amp;"-"&amp;Agencia[[#This Row],[id]]</f>
        <v>990-0784</v>
      </c>
      <c r="W795" s="93">
        <f>+VLOOKUP(Agencia[[#This Row],[Filtro URL]],Estructura!$X$4:$Y$500,2,0)</f>
        <v>99200013</v>
      </c>
      <c r="X795" s="93" t="str">
        <f>+VLOOKUP(Agencia[[#This Row],[tema]],Estructura!$A$4:$C$500,3,0)</f>
        <v>T-1013</v>
      </c>
      <c r="Y795" s="93" t="str">
        <f>+VLOOKUP(Agencia[[#This Row],[contenido]],Estructura!$E$4:$G$500,3,0)</f>
        <v>C-994</v>
      </c>
      <c r="Z795" s="93" t="str">
        <f>+VLOOKUP(Agencia[[#This Row],[Filtro Integrado]],Estructura!$I$4:$K$500,3,0)</f>
        <v>FI-991</v>
      </c>
      <c r="AA795" s="93" t="str">
        <f>+VLOOKUP(Agencia[[#This Row],[Muestra]],Estructura!$M$4:$O$500,3,0)</f>
        <v>M-1073</v>
      </c>
    </row>
    <row r="796" spans="1:27" ht="72" x14ac:dyDescent="0.3">
      <c r="A796" s="21" t="s">
        <v>1300</v>
      </c>
      <c r="B796" s="23">
        <f t="shared" si="331"/>
        <v>990</v>
      </c>
      <c r="C796" s="24" t="str">
        <f t="shared" si="332"/>
        <v>Agencia Información</v>
      </c>
      <c r="D796" s="72" t="str">
        <f t="shared" si="333"/>
        <v>Política y Gobierno</v>
      </c>
      <c r="E796" s="19">
        <v>14</v>
      </c>
      <c r="F796" s="18" t="s">
        <v>1504</v>
      </c>
      <c r="G796" s="18" t="s">
        <v>1500</v>
      </c>
      <c r="H796" s="33" t="s">
        <v>16</v>
      </c>
      <c r="I796" s="34" t="s">
        <v>381</v>
      </c>
      <c r="J796" s="9" t="str">
        <f t="shared" si="337"/>
        <v>Comuna</v>
      </c>
      <c r="K796" s="142" t="s">
        <v>1504</v>
      </c>
      <c r="L796" s="9" t="str">
        <f t="shared" si="334"/>
        <v>Periodo 1990-2020</v>
      </c>
      <c r="M796" s="9" t="str">
        <f t="shared" si="335"/>
        <v>Número de votos</v>
      </c>
      <c r="N796" s="9" t="str">
        <f t="shared" si="336"/>
        <v>Servicio Electoral (SERVEL)</v>
      </c>
      <c r="O796" s="41" t="str">
        <f>+"Candidatos electos, Lista-Partido y Votación Obtenida a los cargos de Elección Popular, para 6 comunas en la "&amp;I796&amp;", "&amp;Agencia[[#This Row],[temporalidad]]</f>
        <v>Candidatos electos, Lista-Partido y Votación Obtenida a los cargos de Elección Popular, para 6 comunas en la Región de Los Ríos, Periodo 1990-2020</v>
      </c>
      <c r="P796" s="112" t="s">
        <v>5358</v>
      </c>
      <c r="Q796" s="11" t="str">
        <f t="shared" si="322"/>
        <v>Dashboard</v>
      </c>
      <c r="R796"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Los Ríos,elecciones,candidatos,electos,consejeros,regionales,senadores,diputados,alcaldes,concejales,cargos,votación,cantidad,número,votos,partidos,Agencia Información,Política y Gobierno,Candidatos electos,Elecciones</v>
      </c>
      <c r="S796" s="101" t="s">
        <v>5247</v>
      </c>
      <c r="T796" s="111" t="str">
        <f>"100-C-"&amp;Agencia[[#This Row],[Filtro URL]]</f>
        <v>100-C-14</v>
      </c>
      <c r="U796" s="46" t="str">
        <f t="shared" si="323"/>
        <v>#1774B9</v>
      </c>
      <c r="V796" s="93" t="str">
        <f>+Agencia[[#This Row],[idcoleccion]]&amp;"-"&amp;Agencia[[#This Row],[id]]</f>
        <v>990-0785</v>
      </c>
      <c r="W796" s="93">
        <f>+VLOOKUP(Agencia[[#This Row],[Filtro URL]],Estructura!$X$4:$Y$500,2,0)</f>
        <v>99200014</v>
      </c>
      <c r="X796" s="93" t="str">
        <f>+VLOOKUP(Agencia[[#This Row],[tema]],Estructura!$A$4:$C$500,3,0)</f>
        <v>T-1013</v>
      </c>
      <c r="Y796" s="93" t="str">
        <f>+VLOOKUP(Agencia[[#This Row],[contenido]],Estructura!$E$4:$G$500,3,0)</f>
        <v>C-994</v>
      </c>
      <c r="Z796" s="93" t="str">
        <f>+VLOOKUP(Agencia[[#This Row],[Filtro Integrado]],Estructura!$I$4:$K$500,3,0)</f>
        <v>FI-991</v>
      </c>
      <c r="AA796" s="93" t="str">
        <f>+VLOOKUP(Agencia[[#This Row],[Muestra]],Estructura!$M$4:$O$500,3,0)</f>
        <v>M-1073</v>
      </c>
    </row>
    <row r="797" spans="1:27" ht="72" x14ac:dyDescent="0.3">
      <c r="A797" s="21" t="s">
        <v>1301</v>
      </c>
      <c r="B797" s="23">
        <f t="shared" si="331"/>
        <v>990</v>
      </c>
      <c r="C797" s="24" t="str">
        <f t="shared" si="332"/>
        <v>Agencia Información</v>
      </c>
      <c r="D797" s="72" t="str">
        <f t="shared" si="333"/>
        <v>Política y Gobierno</v>
      </c>
      <c r="E797" s="19">
        <v>15</v>
      </c>
      <c r="F797" s="18" t="s">
        <v>1504</v>
      </c>
      <c r="G797" s="18" t="s">
        <v>1500</v>
      </c>
      <c r="H797" s="33" t="s">
        <v>16</v>
      </c>
      <c r="I797" s="34" t="s">
        <v>382</v>
      </c>
      <c r="J797" s="9" t="str">
        <f t="shared" si="337"/>
        <v>Comuna</v>
      </c>
      <c r="K797" s="142" t="s">
        <v>1504</v>
      </c>
      <c r="L797" s="9" t="str">
        <f t="shared" si="334"/>
        <v>Periodo 1990-2020</v>
      </c>
      <c r="M797" s="9" t="str">
        <f t="shared" si="335"/>
        <v>Número de votos</v>
      </c>
      <c r="N797" s="9" t="str">
        <f t="shared" si="336"/>
        <v>Servicio Electoral (SERVEL)</v>
      </c>
      <c r="O797" s="41" t="str">
        <f>+"Candidatos electos, Lista-Partido y Votación Obtenida a los cargos de Elección Popular, para 4 comunas en la "&amp;I797&amp;", "&amp;Agencia[[#This Row],[temporalidad]]</f>
        <v>Candidatos electos, Lista-Partido y Votación Obtenida a los cargos de Elección Popular, para 4 comunas en la Región de Arica y Parinacota, Periodo 1990-2020</v>
      </c>
      <c r="P797" s="112" t="s">
        <v>5358</v>
      </c>
      <c r="Q797" s="11" t="str">
        <f t="shared" si="322"/>
        <v>Dashboard</v>
      </c>
      <c r="R797"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Arica y Parinacota,elecciones,candidatos,electos,consejeros,regionales,senadores,diputados,alcaldes,concejales,cargos,votación,cantidad,número,votos,partidos,Agencia Información,Política y Gobierno,Candidatos electos,Elecciones</v>
      </c>
      <c r="S797" s="101" t="s">
        <v>5248</v>
      </c>
      <c r="T797" s="111" t="str">
        <f>"100-C-"&amp;Agencia[[#This Row],[Filtro URL]]</f>
        <v>100-C-15</v>
      </c>
      <c r="U797" s="46" t="str">
        <f t="shared" si="323"/>
        <v>#1774B9</v>
      </c>
      <c r="V797" s="93" t="str">
        <f>+Agencia[[#This Row],[idcoleccion]]&amp;"-"&amp;Agencia[[#This Row],[id]]</f>
        <v>990-0786</v>
      </c>
      <c r="W797" s="93">
        <f>+VLOOKUP(Agencia[[#This Row],[Filtro URL]],Estructura!$X$4:$Y$500,2,0)</f>
        <v>99200015</v>
      </c>
      <c r="X797" s="93" t="str">
        <f>+VLOOKUP(Agencia[[#This Row],[tema]],Estructura!$A$4:$C$500,3,0)</f>
        <v>T-1013</v>
      </c>
      <c r="Y797" s="93" t="str">
        <f>+VLOOKUP(Agencia[[#This Row],[contenido]],Estructura!$E$4:$G$500,3,0)</f>
        <v>C-994</v>
      </c>
      <c r="Z797" s="93" t="str">
        <f>+VLOOKUP(Agencia[[#This Row],[Filtro Integrado]],Estructura!$I$4:$K$500,3,0)</f>
        <v>FI-991</v>
      </c>
      <c r="AA797" s="93" t="str">
        <f>+VLOOKUP(Agencia[[#This Row],[Muestra]],Estructura!$M$4:$O$500,3,0)</f>
        <v>M-1073</v>
      </c>
    </row>
    <row r="798" spans="1:27" ht="72" x14ac:dyDescent="0.3">
      <c r="A798" s="21" t="s">
        <v>1302</v>
      </c>
      <c r="B798" s="23">
        <f t="shared" si="331"/>
        <v>990</v>
      </c>
      <c r="C798" s="24" t="str">
        <f t="shared" si="332"/>
        <v>Agencia Información</v>
      </c>
      <c r="D798" s="72" t="str">
        <f t="shared" si="333"/>
        <v>Política y Gobierno</v>
      </c>
      <c r="E798" s="19">
        <v>16</v>
      </c>
      <c r="F798" s="18" t="s">
        <v>1504</v>
      </c>
      <c r="G798" s="18" t="s">
        <v>1500</v>
      </c>
      <c r="H798" s="33" t="s">
        <v>16</v>
      </c>
      <c r="I798" s="34" t="s">
        <v>383</v>
      </c>
      <c r="J798" s="9" t="str">
        <f t="shared" si="337"/>
        <v>Comuna</v>
      </c>
      <c r="K798" s="142" t="s">
        <v>1504</v>
      </c>
      <c r="L798" s="9" t="str">
        <f t="shared" si="334"/>
        <v>Periodo 1990-2020</v>
      </c>
      <c r="M798" s="9" t="str">
        <f t="shared" si="335"/>
        <v>Número de votos</v>
      </c>
      <c r="N798" s="9" t="str">
        <f t="shared" si="336"/>
        <v>Servicio Electoral (SERVEL)</v>
      </c>
      <c r="O798" s="41" t="str">
        <f>+"Candidatos electos, Lista-Partido y Votación Obtenida a los cargos de Elección Popular, para 6 comunas en la "&amp;I798&amp;", "&amp;Agencia[[#This Row],[temporalidad]]</f>
        <v>Candidatos electos, Lista-Partido y Votación Obtenida a los cargos de Elección Popular, para 6 comunas en la Región de Ñuble, Periodo 1990-2020</v>
      </c>
      <c r="P798" s="112" t="s">
        <v>5358</v>
      </c>
      <c r="Q798" s="11" t="str">
        <f t="shared" si="322"/>
        <v>Dashboard</v>
      </c>
      <c r="R798" s="148" t="str">
        <f>Agencia[[#This Row],[territorio]]&amp;",elecciones,candidatos,electos,consejeros,regionales,senadores,diputados,alcaldes,concejales,cargos,votación,cantidad,número,votos,partidos,"&amp;Agencia[[#This Row],[coleccion]]&amp;","&amp;Agencia[[#This Row],[sector]]&amp;","&amp;Agencia[[#This Row],[tema]]&amp;","&amp;Agencia[[#This Row],[contenido]]</f>
        <v>Región de Ñuble,elecciones,candidatos,electos,consejeros,regionales,senadores,diputados,alcaldes,concejales,cargos,votación,cantidad,número,votos,partidos,Agencia Información,Política y Gobierno,Candidatos electos,Elecciones</v>
      </c>
      <c r="S798" s="101" t="s">
        <v>5249</v>
      </c>
      <c r="T798" s="111" t="str">
        <f>"100-C-"&amp;Agencia[[#This Row],[Filtro URL]]</f>
        <v>100-C-16</v>
      </c>
      <c r="U798" s="46" t="str">
        <f t="shared" si="323"/>
        <v>#1774B9</v>
      </c>
      <c r="V798" s="93" t="str">
        <f>+Agencia[[#This Row],[idcoleccion]]&amp;"-"&amp;Agencia[[#This Row],[id]]</f>
        <v>990-0787</v>
      </c>
      <c r="W798" s="93">
        <f>+VLOOKUP(Agencia[[#This Row],[Filtro URL]],Estructura!$X$4:$Y$500,2,0)</f>
        <v>99200016</v>
      </c>
      <c r="X798" s="93" t="str">
        <f>+VLOOKUP(Agencia[[#This Row],[tema]],Estructura!$A$4:$C$500,3,0)</f>
        <v>T-1013</v>
      </c>
      <c r="Y798" s="93" t="str">
        <f>+VLOOKUP(Agencia[[#This Row],[contenido]],Estructura!$E$4:$G$500,3,0)</f>
        <v>C-994</v>
      </c>
      <c r="Z798" s="93" t="str">
        <f>+VLOOKUP(Agencia[[#This Row],[Filtro Integrado]],Estructura!$I$4:$K$500,3,0)</f>
        <v>FI-991</v>
      </c>
      <c r="AA798" s="93" t="str">
        <f>+VLOOKUP(Agencia[[#This Row],[Muestra]],Estructura!$M$4:$O$500,3,0)</f>
        <v>M-1073</v>
      </c>
    </row>
    <row r="799" spans="1:27" ht="72" x14ac:dyDescent="0.3">
      <c r="A799" s="21" t="s">
        <v>1303</v>
      </c>
      <c r="B799" s="23">
        <f t="shared" si="331"/>
        <v>990</v>
      </c>
      <c r="C799" s="24" t="str">
        <f t="shared" si="332"/>
        <v>Agencia Información</v>
      </c>
      <c r="D799" s="72" t="s">
        <v>587</v>
      </c>
      <c r="E799" s="14">
        <v>0</v>
      </c>
      <c r="F799" s="18" t="s">
        <v>1505</v>
      </c>
      <c r="G799" s="18" t="s">
        <v>1500</v>
      </c>
      <c r="H799" s="31" t="s">
        <v>20</v>
      </c>
      <c r="I799" s="32" t="s">
        <v>15</v>
      </c>
      <c r="J799" s="9" t="s">
        <v>956</v>
      </c>
      <c r="K799" s="9" t="s">
        <v>9265</v>
      </c>
      <c r="L799" s="36" t="s">
        <v>596</v>
      </c>
      <c r="M799" s="9" t="s">
        <v>1503</v>
      </c>
      <c r="N799" s="9" t="s">
        <v>1501</v>
      </c>
      <c r="O799" s="41" t="str">
        <f>+"Cupos para cargos de Elección Popular, a nivel regional y comunal en "&amp;I799</f>
        <v>Cupos para cargos de Elección Popular, a nivel regional y comunal en Chile</v>
      </c>
      <c r="P799" s="112" t="s">
        <v>5359</v>
      </c>
      <c r="Q799" s="11" t="s">
        <v>590</v>
      </c>
      <c r="R799" s="20" t="str">
        <f>Agencia[[#This Row],[territorio]]&amp;",elecciones,candidatos,consejeros,regionales,senadores,diputados,alcaldes,concejales,municipal,municipio,comuna,distrito,cargos,circunscripción,"&amp;Agencia[[#This Row],[coleccion]]&amp;","&amp;Agencia[[#This Row],[sector]]&amp;","&amp;Agencia[[#This Row],[tema]]&amp;","&amp;Agencia[[#This Row],[contenido]]</f>
        <v>Chile,elecciones,candidatos,consejeros,regionales,senadores,diputados,alcaldes,concejales,municipal,municipio,comuna,distrito,cargos,circunscripción,Agencia Información,Política y Gobierno,Cupos,Elecciones</v>
      </c>
      <c r="S799" s="101" t="s">
        <v>5216</v>
      </c>
      <c r="T799" s="108" t="s">
        <v>957</v>
      </c>
      <c r="U799" s="46" t="str">
        <f t="shared" si="323"/>
        <v>#1774B9</v>
      </c>
      <c r="V799" s="93" t="str">
        <f>+Agencia[[#This Row],[idcoleccion]]&amp;"-"&amp;Agencia[[#This Row],[id]]</f>
        <v>990-0788</v>
      </c>
      <c r="W799" s="93">
        <f>+VLOOKUP(Agencia[[#This Row],[Filtro URL]],Estructura!$X$4:$Y$500,2,0)</f>
        <v>99100000</v>
      </c>
      <c r="X799" s="93" t="str">
        <f>+VLOOKUP(Agencia[[#This Row],[tema]],Estructura!$A$4:$C$500,3,0)</f>
        <v>T-1014</v>
      </c>
      <c r="Y799" s="93" t="str">
        <f>+VLOOKUP(Agencia[[#This Row],[contenido]],Estructura!$E$4:$G$500,3,0)</f>
        <v>C-994</v>
      </c>
      <c r="Z799" s="93" t="str">
        <f>+VLOOKUP(Agencia[[#This Row],[Filtro Integrado]],Estructura!$I$4:$K$500,3,0)</f>
        <v>FI-994</v>
      </c>
      <c r="AA799" s="93" t="str">
        <f>+VLOOKUP(Agencia[[#This Row],[Muestra]],Estructura!$M$4:$O$500,3,0)</f>
        <v>M-1074</v>
      </c>
    </row>
    <row r="800" spans="1:27" ht="72" x14ac:dyDescent="0.3">
      <c r="A800" s="21" t="s">
        <v>1304</v>
      </c>
      <c r="B800" s="23">
        <f t="shared" si="331"/>
        <v>990</v>
      </c>
      <c r="C800" s="24" t="str">
        <f t="shared" si="332"/>
        <v>Agencia Información</v>
      </c>
      <c r="D800" s="72" t="str">
        <f t="shared" ref="D800:D815" si="338">+D799</f>
        <v>Política y Gobierno</v>
      </c>
      <c r="E800" s="19">
        <v>1</v>
      </c>
      <c r="F800" s="18" t="s">
        <v>1505</v>
      </c>
      <c r="G800" s="18" t="s">
        <v>1500</v>
      </c>
      <c r="H800" s="33" t="s">
        <v>16</v>
      </c>
      <c r="I800" s="34" t="s">
        <v>368</v>
      </c>
      <c r="J800" s="9" t="s">
        <v>18</v>
      </c>
      <c r="K800" s="142" t="s">
        <v>9265</v>
      </c>
      <c r="L800" s="36" t="str">
        <f t="shared" ref="L800:L815" si="339">+L799</f>
        <v>Año 2021</v>
      </c>
      <c r="M800" s="9" t="str">
        <f t="shared" ref="M800:M815" si="340">+M799</f>
        <v>Número de cupos</v>
      </c>
      <c r="N800" s="9" t="str">
        <f t="shared" ref="N800:N815" si="341">+N799</f>
        <v>Servicio Electoral (SERVEL)</v>
      </c>
      <c r="O800" s="41" t="str">
        <f t="shared" ref="O800:O815" si="342">+"Cupos para cargos de Elección Popular, a nivel regional y comunal en la "&amp;I800</f>
        <v>Cupos para cargos de Elección Popular, a nivel regional y comunal en la Región de Tarapacá</v>
      </c>
      <c r="P800" s="112" t="str">
        <f>"Cantidad de cupos para cargos de Elección Popular, específicamente para Senadores de la Circunscripción Senatorial N° 2, Diputados del Distrito N° 2, Consejeros Regionales, Alcaldes y Concejales de la "&amp;Agencia[[#This Row],[territorio]]&amp;", al año 2021."</f>
        <v>Cantidad de cupos para cargos de Elección Popular, específicamente para Senadores de la Circunscripción Senatorial N° 2, Diputados del Distrito N° 2, Consejeros Regionales, Alcaldes y Concejales de la Región de Tarapacá, al año 2021.</v>
      </c>
      <c r="Q800" s="11" t="str">
        <f t="shared" si="322"/>
        <v>Dashboard</v>
      </c>
      <c r="R800" s="20"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Tarapacá,elecciones,candidatos,consejeros,regionales,senadores,diputados,alcaldes,concejales,municipal,municipio,comuna,distrito,cargos,circunscripción,Agencia Información,Política y Gobierno,Cupos,Elecciones</v>
      </c>
      <c r="S800" s="101" t="s">
        <v>5217</v>
      </c>
      <c r="T800" s="111" t="str">
        <f>"100-C-"&amp;Agencia[[#This Row],[Filtro URL]]</f>
        <v>100-C-1</v>
      </c>
      <c r="U800" s="46" t="str">
        <f t="shared" si="323"/>
        <v>#1774B9</v>
      </c>
      <c r="V800" s="93" t="str">
        <f>+Agencia[[#This Row],[idcoleccion]]&amp;"-"&amp;Agencia[[#This Row],[id]]</f>
        <v>990-0789</v>
      </c>
      <c r="W800" s="93">
        <f>+VLOOKUP(Agencia[[#This Row],[Filtro URL]],Estructura!$X$4:$Y$500,2,0)</f>
        <v>99200001</v>
      </c>
      <c r="X800" s="93" t="str">
        <f>+VLOOKUP(Agencia[[#This Row],[tema]],Estructura!$A$4:$C$500,3,0)</f>
        <v>T-1014</v>
      </c>
      <c r="Y800" s="93" t="str">
        <f>+VLOOKUP(Agencia[[#This Row],[contenido]],Estructura!$E$4:$G$500,3,0)</f>
        <v>C-994</v>
      </c>
      <c r="Z800" s="93" t="str">
        <f>+VLOOKUP(Agencia[[#This Row],[Filtro Integrado]],Estructura!$I$4:$K$500,3,0)</f>
        <v>FI-991</v>
      </c>
      <c r="AA800" s="93" t="str">
        <f>+VLOOKUP(Agencia[[#This Row],[Muestra]],Estructura!$M$4:$O$500,3,0)</f>
        <v>M-1074</v>
      </c>
    </row>
    <row r="801" spans="1:27" ht="72" x14ac:dyDescent="0.3">
      <c r="A801" s="21" t="s">
        <v>1305</v>
      </c>
      <c r="B801" s="23">
        <f t="shared" si="331"/>
        <v>990</v>
      </c>
      <c r="C801" s="24" t="str">
        <f t="shared" si="332"/>
        <v>Agencia Información</v>
      </c>
      <c r="D801" s="72" t="str">
        <f t="shared" si="338"/>
        <v>Política y Gobierno</v>
      </c>
      <c r="E801" s="19">
        <v>2</v>
      </c>
      <c r="F801" s="18" t="s">
        <v>1505</v>
      </c>
      <c r="G801" s="18" t="s">
        <v>1500</v>
      </c>
      <c r="H801" s="33" t="s">
        <v>16</v>
      </c>
      <c r="I801" s="34" t="s">
        <v>369</v>
      </c>
      <c r="J801" s="9" t="str">
        <f t="shared" ref="J801:J815" si="343">+J800</f>
        <v>Comuna</v>
      </c>
      <c r="K801" s="142" t="s">
        <v>9265</v>
      </c>
      <c r="L801" s="36" t="str">
        <f t="shared" si="339"/>
        <v>Año 2021</v>
      </c>
      <c r="M801" s="9" t="str">
        <f t="shared" si="340"/>
        <v>Número de cupos</v>
      </c>
      <c r="N801" s="9" t="str">
        <f t="shared" si="341"/>
        <v>Servicio Electoral (SERVEL)</v>
      </c>
      <c r="O801" s="41" t="str">
        <f t="shared" si="342"/>
        <v>Cupos para cargos de Elección Popular, a nivel regional y comunal en la Región de Antofagasta</v>
      </c>
      <c r="P801" s="112" t="str">
        <f>"Cantidad de cupos para cargos de Elección Popular, específicamente para Senadores de la Circunscripción Senatorial N° 3, Diputados del Distrito N° 3, Consejeros Regionales, Alcaldes y Concejales de la "&amp;Agencia[[#This Row],[territorio]]&amp;", al año 2021."</f>
        <v>Cantidad de cupos para cargos de Elección Popular, específicamente para Senadores de la Circunscripción Senatorial N° 3, Diputados del Distrito N° 3, Consejeros Regionales, Alcaldes y Concejales de la Región de Antofagasta, al año 2021.</v>
      </c>
      <c r="Q801" s="11" t="str">
        <f t="shared" si="322"/>
        <v>Dashboard</v>
      </c>
      <c r="R801"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Antofagasta,elecciones,candidatos,consejeros,regionales,senadores,diputados,alcaldes,concejales,municipal,municipio,comuna,distrito,cargos,circunscripción,Agencia Información,Política y Gobierno,Cupos,Elecciones</v>
      </c>
      <c r="S801" s="101" t="s">
        <v>5218</v>
      </c>
      <c r="T801" s="111" t="str">
        <f>"100-C-"&amp;Agencia[[#This Row],[Filtro URL]]</f>
        <v>100-C-2</v>
      </c>
      <c r="U801" s="46" t="str">
        <f t="shared" si="323"/>
        <v>#1774B9</v>
      </c>
      <c r="V801" s="93" t="str">
        <f>+Agencia[[#This Row],[idcoleccion]]&amp;"-"&amp;Agencia[[#This Row],[id]]</f>
        <v>990-0790</v>
      </c>
      <c r="W801" s="93">
        <f>+VLOOKUP(Agencia[[#This Row],[Filtro URL]],Estructura!$X$4:$Y$500,2,0)</f>
        <v>99200002</v>
      </c>
      <c r="X801" s="93" t="str">
        <f>+VLOOKUP(Agencia[[#This Row],[tema]],Estructura!$A$4:$C$500,3,0)</f>
        <v>T-1014</v>
      </c>
      <c r="Y801" s="93" t="str">
        <f>+VLOOKUP(Agencia[[#This Row],[contenido]],Estructura!$E$4:$G$500,3,0)</f>
        <v>C-994</v>
      </c>
      <c r="Z801" s="93" t="str">
        <f>+VLOOKUP(Agencia[[#This Row],[Filtro Integrado]],Estructura!$I$4:$K$500,3,0)</f>
        <v>FI-991</v>
      </c>
      <c r="AA801" s="93" t="str">
        <f>+VLOOKUP(Agencia[[#This Row],[Muestra]],Estructura!$M$4:$O$500,3,0)</f>
        <v>M-1074</v>
      </c>
    </row>
    <row r="802" spans="1:27" ht="72" x14ac:dyDescent="0.3">
      <c r="A802" s="21" t="s">
        <v>1306</v>
      </c>
      <c r="B802" s="23">
        <f t="shared" si="331"/>
        <v>990</v>
      </c>
      <c r="C802" s="24" t="str">
        <f t="shared" si="332"/>
        <v>Agencia Información</v>
      </c>
      <c r="D802" s="72" t="str">
        <f t="shared" si="338"/>
        <v>Política y Gobierno</v>
      </c>
      <c r="E802" s="19">
        <v>3</v>
      </c>
      <c r="F802" s="18" t="s">
        <v>1505</v>
      </c>
      <c r="G802" s="18" t="s">
        <v>1500</v>
      </c>
      <c r="H802" s="33" t="s">
        <v>16</v>
      </c>
      <c r="I802" s="34" t="s">
        <v>370</v>
      </c>
      <c r="J802" s="9" t="str">
        <f t="shared" si="343"/>
        <v>Comuna</v>
      </c>
      <c r="K802" s="142" t="s">
        <v>9265</v>
      </c>
      <c r="L802" s="36" t="str">
        <f t="shared" si="339"/>
        <v>Año 2021</v>
      </c>
      <c r="M802" s="9" t="str">
        <f t="shared" si="340"/>
        <v>Número de cupos</v>
      </c>
      <c r="N802" s="9" t="str">
        <f t="shared" si="341"/>
        <v>Servicio Electoral (SERVEL)</v>
      </c>
      <c r="O802" s="41" t="str">
        <f t="shared" si="342"/>
        <v>Cupos para cargos de Elección Popular, a nivel regional y comunal en la Región de Atacama</v>
      </c>
      <c r="P802" s="112" t="str">
        <f>"Cantidad de cupos para cargos de Elección Popular, específicamente para Senadores de la Circunscripción Senatorial N° 4, Diputados del Distrito N° 4, Consejeros Regionales, Alcaldes y Concejales de la "&amp;Agencia[[#This Row],[territorio]]&amp;", al año 2021."</f>
        <v>Cantidad de cupos para cargos de Elección Popular, específicamente para Senadores de la Circunscripción Senatorial N° 4, Diputados del Distrito N° 4, Consejeros Regionales, Alcaldes y Concejales de la Región de Atacama, al año 2021.</v>
      </c>
      <c r="Q802" s="11" t="str">
        <f t="shared" si="322"/>
        <v>Dashboard</v>
      </c>
      <c r="R802"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Atacama,elecciones,candidatos,consejeros,regionales,senadores,diputados,alcaldes,concejales,municipal,municipio,comuna,distrito,cargos,circunscripción,Agencia Información,Política y Gobierno,Cupos,Elecciones</v>
      </c>
      <c r="S802" s="101" t="s">
        <v>5219</v>
      </c>
      <c r="T802" s="111" t="str">
        <f>"100-C-"&amp;Agencia[[#This Row],[Filtro URL]]</f>
        <v>100-C-3</v>
      </c>
      <c r="U802" s="46" t="str">
        <f t="shared" si="323"/>
        <v>#1774B9</v>
      </c>
      <c r="V802" s="93" t="str">
        <f>+Agencia[[#This Row],[idcoleccion]]&amp;"-"&amp;Agencia[[#This Row],[id]]</f>
        <v>990-0791</v>
      </c>
      <c r="W802" s="93">
        <f>+VLOOKUP(Agencia[[#This Row],[Filtro URL]],Estructura!$X$4:$Y$500,2,0)</f>
        <v>99200003</v>
      </c>
      <c r="X802" s="93" t="str">
        <f>+VLOOKUP(Agencia[[#This Row],[tema]],Estructura!$A$4:$C$500,3,0)</f>
        <v>T-1014</v>
      </c>
      <c r="Y802" s="93" t="str">
        <f>+VLOOKUP(Agencia[[#This Row],[contenido]],Estructura!$E$4:$G$500,3,0)</f>
        <v>C-994</v>
      </c>
      <c r="Z802" s="93" t="str">
        <f>+VLOOKUP(Agencia[[#This Row],[Filtro Integrado]],Estructura!$I$4:$K$500,3,0)</f>
        <v>FI-991</v>
      </c>
      <c r="AA802" s="93" t="str">
        <f>+VLOOKUP(Agencia[[#This Row],[Muestra]],Estructura!$M$4:$O$500,3,0)</f>
        <v>M-1074</v>
      </c>
    </row>
    <row r="803" spans="1:27" ht="72" x14ac:dyDescent="0.3">
      <c r="A803" s="21" t="s">
        <v>1307</v>
      </c>
      <c r="B803" s="23">
        <f t="shared" si="331"/>
        <v>990</v>
      </c>
      <c r="C803" s="24" t="str">
        <f t="shared" si="332"/>
        <v>Agencia Información</v>
      </c>
      <c r="D803" s="72" t="str">
        <f t="shared" si="338"/>
        <v>Política y Gobierno</v>
      </c>
      <c r="E803" s="19">
        <v>4</v>
      </c>
      <c r="F803" s="18" t="s">
        <v>1505</v>
      </c>
      <c r="G803" s="18" t="s">
        <v>1500</v>
      </c>
      <c r="H803" s="33" t="s">
        <v>16</v>
      </c>
      <c r="I803" s="34" t="s">
        <v>371</v>
      </c>
      <c r="J803" s="9" t="str">
        <f t="shared" si="343"/>
        <v>Comuna</v>
      </c>
      <c r="K803" s="142" t="s">
        <v>9265</v>
      </c>
      <c r="L803" s="36" t="str">
        <f t="shared" si="339"/>
        <v>Año 2021</v>
      </c>
      <c r="M803" s="9" t="str">
        <f t="shared" si="340"/>
        <v>Número de cupos</v>
      </c>
      <c r="N803" s="9" t="str">
        <f t="shared" si="341"/>
        <v>Servicio Electoral (SERVEL)</v>
      </c>
      <c r="O803" s="41" t="str">
        <f t="shared" si="342"/>
        <v>Cupos para cargos de Elección Popular, a nivel regional y comunal en la Región de Coquimbo</v>
      </c>
      <c r="P803" s="112" t="str">
        <f>"Cantidad de cupos para cargos de Elección Popular, específicamente para Senadores de la Circunscripción Senatorial N° 5, Diputados del Distrito N° 5, Consejeros Regionales, Alcaldes y Concejales de la "&amp;Agencia[[#This Row],[territorio]]&amp;", al año 2021."</f>
        <v>Cantidad de cupos para cargos de Elección Popular, específicamente para Senadores de la Circunscripción Senatorial N° 5, Diputados del Distrito N° 5, Consejeros Regionales, Alcaldes y Concejales de la Región de Coquimbo, al año 2021.</v>
      </c>
      <c r="Q803" s="11" t="str">
        <f t="shared" si="322"/>
        <v>Dashboard</v>
      </c>
      <c r="R803"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Coquimbo,elecciones,candidatos,consejeros,regionales,senadores,diputados,alcaldes,concejales,municipal,municipio,comuna,distrito,cargos,circunscripción,Agencia Información,Política y Gobierno,Cupos,Elecciones</v>
      </c>
      <c r="S803" s="101" t="s">
        <v>5220</v>
      </c>
      <c r="T803" s="111" t="str">
        <f>"100-C-"&amp;Agencia[[#This Row],[Filtro URL]]</f>
        <v>100-C-4</v>
      </c>
      <c r="U803" s="46" t="str">
        <f t="shared" si="323"/>
        <v>#1774B9</v>
      </c>
      <c r="V803" s="93" t="str">
        <f>+Agencia[[#This Row],[idcoleccion]]&amp;"-"&amp;Agencia[[#This Row],[id]]</f>
        <v>990-0792</v>
      </c>
      <c r="W803" s="93">
        <f>+VLOOKUP(Agencia[[#This Row],[Filtro URL]],Estructura!$X$4:$Y$500,2,0)</f>
        <v>99200004</v>
      </c>
      <c r="X803" s="93" t="str">
        <f>+VLOOKUP(Agencia[[#This Row],[tema]],Estructura!$A$4:$C$500,3,0)</f>
        <v>T-1014</v>
      </c>
      <c r="Y803" s="93" t="str">
        <f>+VLOOKUP(Agencia[[#This Row],[contenido]],Estructura!$E$4:$G$500,3,0)</f>
        <v>C-994</v>
      </c>
      <c r="Z803" s="93" t="str">
        <f>+VLOOKUP(Agencia[[#This Row],[Filtro Integrado]],Estructura!$I$4:$K$500,3,0)</f>
        <v>FI-991</v>
      </c>
      <c r="AA803" s="93" t="str">
        <f>+VLOOKUP(Agencia[[#This Row],[Muestra]],Estructura!$M$4:$O$500,3,0)</f>
        <v>M-1074</v>
      </c>
    </row>
    <row r="804" spans="1:27" ht="72" x14ac:dyDescent="0.3">
      <c r="A804" s="21" t="s">
        <v>1308</v>
      </c>
      <c r="B804" s="23">
        <f t="shared" si="331"/>
        <v>990</v>
      </c>
      <c r="C804" s="24" t="str">
        <f t="shared" si="332"/>
        <v>Agencia Información</v>
      </c>
      <c r="D804" s="72" t="str">
        <f t="shared" si="338"/>
        <v>Política y Gobierno</v>
      </c>
      <c r="E804" s="19">
        <v>5</v>
      </c>
      <c r="F804" s="18" t="s">
        <v>1505</v>
      </c>
      <c r="G804" s="18" t="s">
        <v>1500</v>
      </c>
      <c r="H804" s="33" t="s">
        <v>16</v>
      </c>
      <c r="I804" s="34" t="s">
        <v>372</v>
      </c>
      <c r="J804" s="9" t="str">
        <f t="shared" si="343"/>
        <v>Comuna</v>
      </c>
      <c r="K804" s="142" t="s">
        <v>9265</v>
      </c>
      <c r="L804" s="36" t="str">
        <f t="shared" si="339"/>
        <v>Año 2021</v>
      </c>
      <c r="M804" s="9" t="str">
        <f t="shared" si="340"/>
        <v>Número de cupos</v>
      </c>
      <c r="N804" s="9" t="str">
        <f t="shared" si="341"/>
        <v>Servicio Electoral (SERVEL)</v>
      </c>
      <c r="O804" s="41" t="str">
        <f t="shared" si="342"/>
        <v>Cupos para cargos de Elección Popular, a nivel regional y comunal en la Región de Valparaíso</v>
      </c>
      <c r="P804" s="112" t="str">
        <f>"Cantidad de cupos para cargos de Elección Popular, específicamente para Senadores de la Circunscripción Senatorial N° 6, Diputados del Distrito N° 6 y 7, Consejeros Regionales, Alcaldes y Concejales de la "&amp;Agencia[[#This Row],[territorio]]&amp;", al año 2021."</f>
        <v>Cantidad de cupos para cargos de Elección Popular, específicamente para Senadores de la Circunscripción Senatorial N° 6, Diputados del Distrito N° 6 y 7, Consejeros Regionales, Alcaldes y Concejales de la Región de Valparaíso, al año 2021.</v>
      </c>
      <c r="Q804" s="11" t="str">
        <f t="shared" si="322"/>
        <v>Dashboard</v>
      </c>
      <c r="R804"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Valparaíso,elecciones,candidatos,consejeros,regionales,senadores,diputados,alcaldes,concejales,municipal,municipio,comuna,distrito,cargos,circunscripción,Agencia Información,Política y Gobierno,Cupos,Elecciones</v>
      </c>
      <c r="S804" s="101" t="s">
        <v>5221</v>
      </c>
      <c r="T804" s="111" t="str">
        <f>"100-C-"&amp;Agencia[[#This Row],[Filtro URL]]</f>
        <v>100-C-5</v>
      </c>
      <c r="U804" s="46" t="str">
        <f t="shared" si="323"/>
        <v>#1774B9</v>
      </c>
      <c r="V804" s="93" t="str">
        <f>+Agencia[[#This Row],[idcoleccion]]&amp;"-"&amp;Agencia[[#This Row],[id]]</f>
        <v>990-0793</v>
      </c>
      <c r="W804" s="93">
        <f>+VLOOKUP(Agencia[[#This Row],[Filtro URL]],Estructura!$X$4:$Y$500,2,0)</f>
        <v>99200005</v>
      </c>
      <c r="X804" s="93" t="str">
        <f>+VLOOKUP(Agencia[[#This Row],[tema]],Estructura!$A$4:$C$500,3,0)</f>
        <v>T-1014</v>
      </c>
      <c r="Y804" s="93" t="str">
        <f>+VLOOKUP(Agencia[[#This Row],[contenido]],Estructura!$E$4:$G$500,3,0)</f>
        <v>C-994</v>
      </c>
      <c r="Z804" s="93" t="str">
        <f>+VLOOKUP(Agencia[[#This Row],[Filtro Integrado]],Estructura!$I$4:$K$500,3,0)</f>
        <v>FI-991</v>
      </c>
      <c r="AA804" s="93" t="str">
        <f>+VLOOKUP(Agencia[[#This Row],[Muestra]],Estructura!$M$4:$O$500,3,0)</f>
        <v>M-1074</v>
      </c>
    </row>
    <row r="805" spans="1:27" ht="72" x14ac:dyDescent="0.3">
      <c r="A805" s="21" t="s">
        <v>1309</v>
      </c>
      <c r="B805" s="23">
        <f t="shared" si="331"/>
        <v>990</v>
      </c>
      <c r="C805" s="24" t="str">
        <f t="shared" si="332"/>
        <v>Agencia Información</v>
      </c>
      <c r="D805" s="72" t="str">
        <f t="shared" si="338"/>
        <v>Política y Gobierno</v>
      </c>
      <c r="E805" s="19">
        <v>6</v>
      </c>
      <c r="F805" s="18" t="s">
        <v>1505</v>
      </c>
      <c r="G805" s="18" t="s">
        <v>1500</v>
      </c>
      <c r="H805" s="33" t="s">
        <v>16</v>
      </c>
      <c r="I805" s="34" t="s">
        <v>373</v>
      </c>
      <c r="J805" s="9" t="str">
        <f t="shared" si="343"/>
        <v>Comuna</v>
      </c>
      <c r="K805" s="142" t="s">
        <v>9265</v>
      </c>
      <c r="L805" s="36" t="str">
        <f t="shared" si="339"/>
        <v>Año 2021</v>
      </c>
      <c r="M805" s="9" t="str">
        <f t="shared" si="340"/>
        <v>Número de cupos</v>
      </c>
      <c r="N805" s="9" t="str">
        <f t="shared" si="341"/>
        <v>Servicio Electoral (SERVEL)</v>
      </c>
      <c r="O805" s="41" t="str">
        <f t="shared" si="342"/>
        <v>Cupos para cargos de Elección Popular, a nivel regional y comunal en la Región de O'Higgins</v>
      </c>
      <c r="P805" s="112" t="str">
        <f>"Cantidad de cupos para cargos de Elección Popular, específicamente para Senadores de la Circunscripción Senatorial N° 8, Diputados del Distrito N° 15 y 16, Consejeros Regionales, Alcaldes y Concejales de la "&amp;Agencia[[#This Row],[territorio]]&amp;", al año 2021."</f>
        <v>Cantidad de cupos para cargos de Elección Popular, específicamente para Senadores de la Circunscripción Senatorial N° 8, Diputados del Distrito N° 15 y 16, Consejeros Regionales, Alcaldes y Concejales de la Región de O'Higgins, al año 2021.</v>
      </c>
      <c r="Q805" s="11" t="str">
        <f t="shared" si="322"/>
        <v>Dashboard</v>
      </c>
      <c r="R805"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O'Higgins,elecciones,candidatos,consejeros,regionales,senadores,diputados,alcaldes,concejales,municipal,municipio,comuna,distrito,cargos,circunscripción,Agencia Información,Política y Gobierno,Cupos,Elecciones</v>
      </c>
      <c r="S805" s="101" t="s">
        <v>5222</v>
      </c>
      <c r="T805" s="111" t="str">
        <f>"100-C-"&amp;Agencia[[#This Row],[Filtro URL]]</f>
        <v>100-C-6</v>
      </c>
      <c r="U805" s="46" t="str">
        <f t="shared" si="323"/>
        <v>#1774B9</v>
      </c>
      <c r="V805" s="93" t="str">
        <f>+Agencia[[#This Row],[idcoleccion]]&amp;"-"&amp;Agencia[[#This Row],[id]]</f>
        <v>990-0794</v>
      </c>
      <c r="W805" s="93">
        <f>+VLOOKUP(Agencia[[#This Row],[Filtro URL]],Estructura!$X$4:$Y$500,2,0)</f>
        <v>99200006</v>
      </c>
      <c r="X805" s="93" t="str">
        <f>+VLOOKUP(Agencia[[#This Row],[tema]],Estructura!$A$4:$C$500,3,0)</f>
        <v>T-1014</v>
      </c>
      <c r="Y805" s="93" t="str">
        <f>+VLOOKUP(Agencia[[#This Row],[contenido]],Estructura!$E$4:$G$500,3,0)</f>
        <v>C-994</v>
      </c>
      <c r="Z805" s="93" t="str">
        <f>+VLOOKUP(Agencia[[#This Row],[Filtro Integrado]],Estructura!$I$4:$K$500,3,0)</f>
        <v>FI-991</v>
      </c>
      <c r="AA805" s="93" t="str">
        <f>+VLOOKUP(Agencia[[#This Row],[Muestra]],Estructura!$M$4:$O$500,3,0)</f>
        <v>M-1074</v>
      </c>
    </row>
    <row r="806" spans="1:27" ht="72" x14ac:dyDescent="0.3">
      <c r="A806" s="21" t="s">
        <v>1310</v>
      </c>
      <c r="B806" s="23">
        <f t="shared" si="331"/>
        <v>990</v>
      </c>
      <c r="C806" s="24" t="str">
        <f t="shared" si="332"/>
        <v>Agencia Información</v>
      </c>
      <c r="D806" s="72" t="str">
        <f t="shared" si="338"/>
        <v>Política y Gobierno</v>
      </c>
      <c r="E806" s="19">
        <v>7</v>
      </c>
      <c r="F806" s="18" t="s">
        <v>1505</v>
      </c>
      <c r="G806" s="18" t="s">
        <v>1500</v>
      </c>
      <c r="H806" s="33" t="s">
        <v>16</v>
      </c>
      <c r="I806" s="34" t="s">
        <v>374</v>
      </c>
      <c r="J806" s="9" t="str">
        <f t="shared" si="343"/>
        <v>Comuna</v>
      </c>
      <c r="K806" s="142" t="s">
        <v>9265</v>
      </c>
      <c r="L806" s="36" t="str">
        <f t="shared" si="339"/>
        <v>Año 2021</v>
      </c>
      <c r="M806" s="9" t="str">
        <f t="shared" si="340"/>
        <v>Número de cupos</v>
      </c>
      <c r="N806" s="9" t="str">
        <f t="shared" si="341"/>
        <v>Servicio Electoral (SERVEL)</v>
      </c>
      <c r="O806" s="41" t="str">
        <f t="shared" si="342"/>
        <v>Cupos para cargos de Elección Popular, a nivel regional y comunal en la Región de Maule</v>
      </c>
      <c r="P806" s="112" t="str">
        <f>"Cantidad de cupos para cargos de Elección Popular, específicamente para Senadores de la Circunscripción Senatorial N° 9, Diputados del Distrito N° 17 y 18, Consejeros Regionales, Alcaldes y Concejales de la "&amp;Agencia[[#This Row],[territorio]]&amp;", al año 2021."</f>
        <v>Cantidad de cupos para cargos de Elección Popular, específicamente para Senadores de la Circunscripción Senatorial N° 9, Diputados del Distrito N° 17 y 18, Consejeros Regionales, Alcaldes y Concejales de la Región de Maule, al año 2021.</v>
      </c>
      <c r="Q806" s="11" t="str">
        <f t="shared" si="322"/>
        <v>Dashboard</v>
      </c>
      <c r="R806"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Maule,elecciones,candidatos,consejeros,regionales,senadores,diputados,alcaldes,concejales,municipal,municipio,comuna,distrito,cargos,circunscripción,Agencia Información,Política y Gobierno,Cupos,Elecciones</v>
      </c>
      <c r="S806" s="101" t="s">
        <v>5223</v>
      </c>
      <c r="T806" s="111" t="str">
        <f>"100-C-"&amp;Agencia[[#This Row],[Filtro URL]]</f>
        <v>100-C-7</v>
      </c>
      <c r="U806" s="46" t="str">
        <f t="shared" si="323"/>
        <v>#1774B9</v>
      </c>
      <c r="V806" s="93" t="str">
        <f>+Agencia[[#This Row],[idcoleccion]]&amp;"-"&amp;Agencia[[#This Row],[id]]</f>
        <v>990-0795</v>
      </c>
      <c r="W806" s="93">
        <f>+VLOOKUP(Agencia[[#This Row],[Filtro URL]],Estructura!$X$4:$Y$500,2,0)</f>
        <v>99200007</v>
      </c>
      <c r="X806" s="93" t="str">
        <f>+VLOOKUP(Agencia[[#This Row],[tema]],Estructura!$A$4:$C$500,3,0)</f>
        <v>T-1014</v>
      </c>
      <c r="Y806" s="93" t="str">
        <f>+VLOOKUP(Agencia[[#This Row],[contenido]],Estructura!$E$4:$G$500,3,0)</f>
        <v>C-994</v>
      </c>
      <c r="Z806" s="93" t="str">
        <f>+VLOOKUP(Agencia[[#This Row],[Filtro Integrado]],Estructura!$I$4:$K$500,3,0)</f>
        <v>FI-991</v>
      </c>
      <c r="AA806" s="93" t="str">
        <f>+VLOOKUP(Agencia[[#This Row],[Muestra]],Estructura!$M$4:$O$500,3,0)</f>
        <v>M-1074</v>
      </c>
    </row>
    <row r="807" spans="1:27" ht="72" x14ac:dyDescent="0.3">
      <c r="A807" s="21" t="s">
        <v>1311</v>
      </c>
      <c r="B807" s="23">
        <f t="shared" si="331"/>
        <v>990</v>
      </c>
      <c r="C807" s="24" t="str">
        <f t="shared" si="332"/>
        <v>Agencia Información</v>
      </c>
      <c r="D807" s="72" t="str">
        <f t="shared" si="338"/>
        <v>Política y Gobierno</v>
      </c>
      <c r="E807" s="19">
        <v>8</v>
      </c>
      <c r="F807" s="18" t="s">
        <v>1505</v>
      </c>
      <c r="G807" s="18" t="s">
        <v>1500</v>
      </c>
      <c r="H807" s="33" t="s">
        <v>16</v>
      </c>
      <c r="I807" s="34" t="s">
        <v>375</v>
      </c>
      <c r="J807" s="9" t="str">
        <f t="shared" si="343"/>
        <v>Comuna</v>
      </c>
      <c r="K807" s="142" t="s">
        <v>9265</v>
      </c>
      <c r="L807" s="36" t="str">
        <f t="shared" si="339"/>
        <v>Año 2021</v>
      </c>
      <c r="M807" s="9" t="str">
        <f t="shared" si="340"/>
        <v>Número de cupos</v>
      </c>
      <c r="N807" s="9" t="str">
        <f t="shared" si="341"/>
        <v>Servicio Electoral (SERVEL)</v>
      </c>
      <c r="O807" s="41" t="str">
        <f t="shared" si="342"/>
        <v>Cupos para cargos de Elección Popular, a nivel regional y comunal en la Región del Biobío</v>
      </c>
      <c r="P807" s="112" t="str">
        <f>"Cantidad de cupos para cargos de Elección Popular, específicamente para Senadores de la Circunscripción Senatorial N° 10, Diputados del Distrito N° 20 y 21, Consejeros Regionales, Alcaldes y Concejales de la "&amp;Agencia[[#This Row],[territorio]]&amp;", al año 2021."</f>
        <v>Cantidad de cupos para cargos de Elección Popular, específicamente para Senadores de la Circunscripción Senatorial N° 10, Diputados del Distrito N° 20 y 21, Consejeros Regionales, Alcaldes y Concejales de la Región del Biobío, al año 2021.</v>
      </c>
      <c r="Q807" s="11" t="str">
        <f t="shared" si="322"/>
        <v>Dashboard</v>
      </c>
      <c r="R807"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del Biobío,elecciones,candidatos,consejeros,regionales,senadores,diputados,alcaldes,concejales,municipal,municipio,comuna,distrito,cargos,circunscripción,Agencia Información,Política y Gobierno,Cupos,Elecciones</v>
      </c>
      <c r="S807" s="101" t="s">
        <v>5224</v>
      </c>
      <c r="T807" s="111" t="str">
        <f>"100-C-"&amp;Agencia[[#This Row],[Filtro URL]]</f>
        <v>100-C-8</v>
      </c>
      <c r="U807" s="46" t="str">
        <f t="shared" si="323"/>
        <v>#1774B9</v>
      </c>
      <c r="V807" s="93" t="str">
        <f>+Agencia[[#This Row],[idcoleccion]]&amp;"-"&amp;Agencia[[#This Row],[id]]</f>
        <v>990-0796</v>
      </c>
      <c r="W807" s="93">
        <f>+VLOOKUP(Agencia[[#This Row],[Filtro URL]],Estructura!$X$4:$Y$500,2,0)</f>
        <v>99200008</v>
      </c>
      <c r="X807" s="93" t="str">
        <f>+VLOOKUP(Agencia[[#This Row],[tema]],Estructura!$A$4:$C$500,3,0)</f>
        <v>T-1014</v>
      </c>
      <c r="Y807" s="93" t="str">
        <f>+VLOOKUP(Agencia[[#This Row],[contenido]],Estructura!$E$4:$G$500,3,0)</f>
        <v>C-994</v>
      </c>
      <c r="Z807" s="93" t="str">
        <f>+VLOOKUP(Agencia[[#This Row],[Filtro Integrado]],Estructura!$I$4:$K$500,3,0)</f>
        <v>FI-991</v>
      </c>
      <c r="AA807" s="93" t="str">
        <f>+VLOOKUP(Agencia[[#This Row],[Muestra]],Estructura!$M$4:$O$500,3,0)</f>
        <v>M-1074</v>
      </c>
    </row>
    <row r="808" spans="1:27" ht="72" x14ac:dyDescent="0.3">
      <c r="A808" s="21" t="s">
        <v>1312</v>
      </c>
      <c r="B808" s="23">
        <f t="shared" si="331"/>
        <v>990</v>
      </c>
      <c r="C808" s="24" t="str">
        <f t="shared" si="332"/>
        <v>Agencia Información</v>
      </c>
      <c r="D808" s="72" t="str">
        <f t="shared" si="338"/>
        <v>Política y Gobierno</v>
      </c>
      <c r="E808" s="19">
        <v>9</v>
      </c>
      <c r="F808" s="18" t="s">
        <v>1505</v>
      </c>
      <c r="G808" s="18" t="s">
        <v>1500</v>
      </c>
      <c r="H808" s="33" t="s">
        <v>16</v>
      </c>
      <c r="I808" s="34" t="s">
        <v>376</v>
      </c>
      <c r="J808" s="9" t="str">
        <f t="shared" si="343"/>
        <v>Comuna</v>
      </c>
      <c r="K808" s="142" t="s">
        <v>9265</v>
      </c>
      <c r="L808" s="36" t="str">
        <f t="shared" si="339"/>
        <v>Año 2021</v>
      </c>
      <c r="M808" s="9" t="str">
        <f t="shared" si="340"/>
        <v>Número de cupos</v>
      </c>
      <c r="N808" s="9" t="str">
        <f t="shared" si="341"/>
        <v>Servicio Electoral (SERVEL)</v>
      </c>
      <c r="O808" s="41" t="str">
        <f t="shared" si="342"/>
        <v>Cupos para cargos de Elección Popular, a nivel regional y comunal en la Región de La Araucanía</v>
      </c>
      <c r="P808" s="112" t="str">
        <f>"Cantidad de cupos para cargos de Elección Popular, específicamente para Senadores de la Circunscripción Senatorial N° 11, Diputados del Distrito N° 22 y 23, Consejeros Regionales, Alcaldes y Concejales de la "&amp;Agencia[[#This Row],[territorio]]&amp;", al año 2021."</f>
        <v>Cantidad de cupos para cargos de Elección Popular, específicamente para Senadores de la Circunscripción Senatorial N° 11, Diputados del Distrito N° 22 y 23, Consejeros Regionales, Alcaldes y Concejales de la Región de La Araucanía, al año 2021.</v>
      </c>
      <c r="Q808" s="11" t="str">
        <f t="shared" si="322"/>
        <v>Dashboard</v>
      </c>
      <c r="R808"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La Araucanía,elecciones,candidatos,consejeros,regionales,senadores,diputados,alcaldes,concejales,municipal,municipio,comuna,distrito,cargos,circunscripción,Agencia Información,Política y Gobierno,Cupos,Elecciones</v>
      </c>
      <c r="S808" s="101" t="s">
        <v>5225</v>
      </c>
      <c r="T808" s="111" t="str">
        <f>"100-C-"&amp;Agencia[[#This Row],[Filtro URL]]</f>
        <v>100-C-9</v>
      </c>
      <c r="U808" s="46" t="str">
        <f t="shared" si="323"/>
        <v>#1774B9</v>
      </c>
      <c r="V808" s="93" t="str">
        <f>+Agencia[[#This Row],[idcoleccion]]&amp;"-"&amp;Agencia[[#This Row],[id]]</f>
        <v>990-0797</v>
      </c>
      <c r="W808" s="93">
        <f>+VLOOKUP(Agencia[[#This Row],[Filtro URL]],Estructura!$X$4:$Y$500,2,0)</f>
        <v>99200009</v>
      </c>
      <c r="X808" s="93" t="str">
        <f>+VLOOKUP(Agencia[[#This Row],[tema]],Estructura!$A$4:$C$500,3,0)</f>
        <v>T-1014</v>
      </c>
      <c r="Y808" s="93" t="str">
        <f>+VLOOKUP(Agencia[[#This Row],[contenido]],Estructura!$E$4:$G$500,3,0)</f>
        <v>C-994</v>
      </c>
      <c r="Z808" s="93" t="str">
        <f>+VLOOKUP(Agencia[[#This Row],[Filtro Integrado]],Estructura!$I$4:$K$500,3,0)</f>
        <v>FI-991</v>
      </c>
      <c r="AA808" s="93" t="str">
        <f>+VLOOKUP(Agencia[[#This Row],[Muestra]],Estructura!$M$4:$O$500,3,0)</f>
        <v>M-1074</v>
      </c>
    </row>
    <row r="809" spans="1:27" ht="72" x14ac:dyDescent="0.3">
      <c r="A809" s="21" t="s">
        <v>1313</v>
      </c>
      <c r="B809" s="23">
        <f t="shared" si="331"/>
        <v>990</v>
      </c>
      <c r="C809" s="24" t="str">
        <f t="shared" si="332"/>
        <v>Agencia Información</v>
      </c>
      <c r="D809" s="72" t="str">
        <f t="shared" si="338"/>
        <v>Política y Gobierno</v>
      </c>
      <c r="E809" s="19">
        <v>10</v>
      </c>
      <c r="F809" s="18" t="s">
        <v>1505</v>
      </c>
      <c r="G809" s="18" t="s">
        <v>1500</v>
      </c>
      <c r="H809" s="33" t="s">
        <v>16</v>
      </c>
      <c r="I809" s="34" t="s">
        <v>377</v>
      </c>
      <c r="J809" s="9" t="str">
        <f t="shared" si="343"/>
        <v>Comuna</v>
      </c>
      <c r="K809" s="142" t="s">
        <v>9265</v>
      </c>
      <c r="L809" s="36" t="str">
        <f t="shared" si="339"/>
        <v>Año 2021</v>
      </c>
      <c r="M809" s="9" t="str">
        <f t="shared" si="340"/>
        <v>Número de cupos</v>
      </c>
      <c r="N809" s="9" t="str">
        <f t="shared" si="341"/>
        <v>Servicio Electoral (SERVEL)</v>
      </c>
      <c r="O809" s="41" t="str">
        <f t="shared" si="342"/>
        <v>Cupos para cargos de Elección Popular, a nivel regional y comunal en la Región de Los Lagos</v>
      </c>
      <c r="P809" s="112" t="str">
        <f>"Cantidad de cupos para cargos de Elección Popular, específicamente para Senadores de la Circunscripción Senatorial N° 13, Diputados del Distrito N° 25 y 26, Consejeros Regionales, Alcaldes y Concejales de la "&amp;Agencia[[#This Row],[territorio]]&amp;", al año 2021."</f>
        <v>Cantidad de cupos para cargos de Elección Popular, específicamente para Senadores de la Circunscripción Senatorial N° 13, Diputados del Distrito N° 25 y 26, Consejeros Regionales, Alcaldes y Concejales de la Región de Los Lagos, al año 2021.</v>
      </c>
      <c r="Q809" s="11" t="str">
        <f t="shared" si="322"/>
        <v>Dashboard</v>
      </c>
      <c r="R809"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Los Lagos,elecciones,candidatos,consejeros,regionales,senadores,diputados,alcaldes,concejales,municipal,municipio,comuna,distrito,cargos,circunscripción,Agencia Información,Política y Gobierno,Cupos,Elecciones</v>
      </c>
      <c r="S809" s="101" t="s">
        <v>5226</v>
      </c>
      <c r="T809" s="111" t="str">
        <f>"100-C-"&amp;Agencia[[#This Row],[Filtro URL]]</f>
        <v>100-C-10</v>
      </c>
      <c r="U809" s="46" t="str">
        <f t="shared" si="323"/>
        <v>#1774B9</v>
      </c>
      <c r="V809" s="93" t="str">
        <f>+Agencia[[#This Row],[idcoleccion]]&amp;"-"&amp;Agencia[[#This Row],[id]]</f>
        <v>990-0798</v>
      </c>
      <c r="W809" s="93">
        <f>+VLOOKUP(Agencia[[#This Row],[Filtro URL]],Estructura!$X$4:$Y$500,2,0)</f>
        <v>99200010</v>
      </c>
      <c r="X809" s="93" t="str">
        <f>+VLOOKUP(Agencia[[#This Row],[tema]],Estructura!$A$4:$C$500,3,0)</f>
        <v>T-1014</v>
      </c>
      <c r="Y809" s="93" t="str">
        <f>+VLOOKUP(Agencia[[#This Row],[contenido]],Estructura!$E$4:$G$500,3,0)</f>
        <v>C-994</v>
      </c>
      <c r="Z809" s="93" t="str">
        <f>+VLOOKUP(Agencia[[#This Row],[Filtro Integrado]],Estructura!$I$4:$K$500,3,0)</f>
        <v>FI-991</v>
      </c>
      <c r="AA809" s="93" t="str">
        <f>+VLOOKUP(Agencia[[#This Row],[Muestra]],Estructura!$M$4:$O$500,3,0)</f>
        <v>M-1074</v>
      </c>
    </row>
    <row r="810" spans="1:27" ht="72" x14ac:dyDescent="0.3">
      <c r="A810" s="21" t="s">
        <v>1314</v>
      </c>
      <c r="B810" s="23">
        <f t="shared" si="331"/>
        <v>990</v>
      </c>
      <c r="C810" s="24" t="str">
        <f t="shared" si="332"/>
        <v>Agencia Información</v>
      </c>
      <c r="D810" s="72" t="str">
        <f t="shared" si="338"/>
        <v>Política y Gobierno</v>
      </c>
      <c r="E810" s="19">
        <v>11</v>
      </c>
      <c r="F810" s="18" t="s">
        <v>1505</v>
      </c>
      <c r="G810" s="18" t="s">
        <v>1500</v>
      </c>
      <c r="H810" s="33" t="s">
        <v>16</v>
      </c>
      <c r="I810" s="34" t="s">
        <v>378</v>
      </c>
      <c r="J810" s="9" t="str">
        <f t="shared" si="343"/>
        <v>Comuna</v>
      </c>
      <c r="K810" s="142" t="s">
        <v>9265</v>
      </c>
      <c r="L810" s="36" t="str">
        <f t="shared" si="339"/>
        <v>Año 2021</v>
      </c>
      <c r="M810" s="9" t="str">
        <f t="shared" si="340"/>
        <v>Número de cupos</v>
      </c>
      <c r="N810" s="9" t="str">
        <f t="shared" si="341"/>
        <v>Servicio Electoral (SERVEL)</v>
      </c>
      <c r="O810" s="41" t="str">
        <f t="shared" si="342"/>
        <v>Cupos para cargos de Elección Popular, a nivel regional y comunal en la Región de Aysén</v>
      </c>
      <c r="P810" s="112" t="str">
        <f>"Cantidad de cupos para cargos de Elección Popular, específicamente para Senadores de la Circunscripción Senatorial N° 14, Diputados del Distrito N° 27, Consejeros Regionales, Alcaldes y Concejales de la "&amp;Agencia[[#This Row],[territorio]]&amp;", al año 2021."</f>
        <v>Cantidad de cupos para cargos de Elección Popular, específicamente para Senadores de la Circunscripción Senatorial N° 14, Diputados del Distrito N° 27, Consejeros Regionales, Alcaldes y Concejales de la Región de Aysén, al año 2021.</v>
      </c>
      <c r="Q810" s="11" t="str">
        <f t="shared" si="322"/>
        <v>Dashboard</v>
      </c>
      <c r="R810"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Aysén,elecciones,candidatos,consejeros,regionales,senadores,diputados,alcaldes,concejales,municipal,municipio,comuna,distrito,cargos,circunscripción,Agencia Información,Política y Gobierno,Cupos,Elecciones</v>
      </c>
      <c r="S810" s="101" t="s">
        <v>5227</v>
      </c>
      <c r="T810" s="111" t="str">
        <f>"100-C-"&amp;Agencia[[#This Row],[Filtro URL]]</f>
        <v>100-C-11</v>
      </c>
      <c r="U810" s="46" t="str">
        <f t="shared" ref="U810:U873" si="344">+U809</f>
        <v>#1774B9</v>
      </c>
      <c r="V810" s="93" t="str">
        <f>+Agencia[[#This Row],[idcoleccion]]&amp;"-"&amp;Agencia[[#This Row],[id]]</f>
        <v>990-0799</v>
      </c>
      <c r="W810" s="93">
        <f>+VLOOKUP(Agencia[[#This Row],[Filtro URL]],Estructura!$X$4:$Y$500,2,0)</f>
        <v>99200011</v>
      </c>
      <c r="X810" s="93" t="str">
        <f>+VLOOKUP(Agencia[[#This Row],[tema]],Estructura!$A$4:$C$500,3,0)</f>
        <v>T-1014</v>
      </c>
      <c r="Y810" s="93" t="str">
        <f>+VLOOKUP(Agencia[[#This Row],[contenido]],Estructura!$E$4:$G$500,3,0)</f>
        <v>C-994</v>
      </c>
      <c r="Z810" s="93" t="str">
        <f>+VLOOKUP(Agencia[[#This Row],[Filtro Integrado]],Estructura!$I$4:$K$500,3,0)</f>
        <v>FI-991</v>
      </c>
      <c r="AA810" s="93" t="str">
        <f>+VLOOKUP(Agencia[[#This Row],[Muestra]],Estructura!$M$4:$O$500,3,0)</f>
        <v>M-1074</v>
      </c>
    </row>
    <row r="811" spans="1:27" ht="72" x14ac:dyDescent="0.3">
      <c r="A811" s="21" t="s">
        <v>1315</v>
      </c>
      <c r="B811" s="23">
        <f t="shared" si="331"/>
        <v>990</v>
      </c>
      <c r="C811" s="24" t="str">
        <f t="shared" si="332"/>
        <v>Agencia Información</v>
      </c>
      <c r="D811" s="72" t="str">
        <f t="shared" si="338"/>
        <v>Política y Gobierno</v>
      </c>
      <c r="E811" s="19">
        <v>12</v>
      </c>
      <c r="F811" s="18" t="s">
        <v>1505</v>
      </c>
      <c r="G811" s="18" t="s">
        <v>1500</v>
      </c>
      <c r="H811" s="33" t="s">
        <v>16</v>
      </c>
      <c r="I811" s="34" t="s">
        <v>379</v>
      </c>
      <c r="J811" s="9" t="str">
        <f t="shared" si="343"/>
        <v>Comuna</v>
      </c>
      <c r="K811" s="142" t="s">
        <v>9265</v>
      </c>
      <c r="L811" s="36" t="str">
        <f t="shared" si="339"/>
        <v>Año 2021</v>
      </c>
      <c r="M811" s="9" t="str">
        <f t="shared" si="340"/>
        <v>Número de cupos</v>
      </c>
      <c r="N811" s="9" t="str">
        <f t="shared" si="341"/>
        <v>Servicio Electoral (SERVEL)</v>
      </c>
      <c r="O811" s="41" t="str">
        <f t="shared" si="342"/>
        <v>Cupos para cargos de Elección Popular, a nivel regional y comunal en la Región de Magallanes</v>
      </c>
      <c r="P811" s="112" t="str">
        <f>"Cantidad de cupos para cargos de Elección Popular, específicamente para Senadores de la Circunscripción Senatorial N° 15, Diputados del Distrito N° 28, Consejeros Regionales, Alcaldes y Concejales de la "&amp;Agencia[[#This Row],[territorio]]&amp;", al año 2021."</f>
        <v>Cantidad de cupos para cargos de Elección Popular, específicamente para Senadores de la Circunscripción Senatorial N° 15, Diputados del Distrito N° 28, Consejeros Regionales, Alcaldes y Concejales de la Región de Magallanes, al año 2021.</v>
      </c>
      <c r="Q811" s="11" t="str">
        <f t="shared" si="322"/>
        <v>Dashboard</v>
      </c>
      <c r="R811"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Magallanes,elecciones,candidatos,consejeros,regionales,senadores,diputados,alcaldes,concejales,municipal,municipio,comuna,distrito,cargos,circunscripción,Agencia Información,Política y Gobierno,Cupos,Elecciones</v>
      </c>
      <c r="S811" s="101" t="s">
        <v>5228</v>
      </c>
      <c r="T811" s="111" t="str">
        <f>"100-C-"&amp;Agencia[[#This Row],[Filtro URL]]</f>
        <v>100-C-12</v>
      </c>
      <c r="U811" s="46" t="str">
        <f t="shared" si="344"/>
        <v>#1774B9</v>
      </c>
      <c r="V811" s="93" t="str">
        <f>+Agencia[[#This Row],[idcoleccion]]&amp;"-"&amp;Agencia[[#This Row],[id]]</f>
        <v>990-0800</v>
      </c>
      <c r="W811" s="93">
        <f>+VLOOKUP(Agencia[[#This Row],[Filtro URL]],Estructura!$X$4:$Y$500,2,0)</f>
        <v>99200012</v>
      </c>
      <c r="X811" s="93" t="str">
        <f>+VLOOKUP(Agencia[[#This Row],[tema]],Estructura!$A$4:$C$500,3,0)</f>
        <v>T-1014</v>
      </c>
      <c r="Y811" s="93" t="str">
        <f>+VLOOKUP(Agencia[[#This Row],[contenido]],Estructura!$E$4:$G$500,3,0)</f>
        <v>C-994</v>
      </c>
      <c r="Z811" s="93" t="str">
        <f>+VLOOKUP(Agencia[[#This Row],[Filtro Integrado]],Estructura!$I$4:$K$500,3,0)</f>
        <v>FI-991</v>
      </c>
      <c r="AA811" s="93" t="str">
        <f>+VLOOKUP(Agencia[[#This Row],[Muestra]],Estructura!$M$4:$O$500,3,0)</f>
        <v>M-1074</v>
      </c>
    </row>
    <row r="812" spans="1:27" ht="72" x14ac:dyDescent="0.3">
      <c r="A812" s="21" t="s">
        <v>1316</v>
      </c>
      <c r="B812" s="23">
        <f t="shared" si="331"/>
        <v>990</v>
      </c>
      <c r="C812" s="24" t="str">
        <f t="shared" si="332"/>
        <v>Agencia Información</v>
      </c>
      <c r="D812" s="72" t="str">
        <f t="shared" si="338"/>
        <v>Política y Gobierno</v>
      </c>
      <c r="E812" s="19">
        <v>13</v>
      </c>
      <c r="F812" s="18" t="s">
        <v>1505</v>
      </c>
      <c r="G812" s="18" t="s">
        <v>1500</v>
      </c>
      <c r="H812" s="33" t="s">
        <v>16</v>
      </c>
      <c r="I812" s="34" t="s">
        <v>380</v>
      </c>
      <c r="J812" s="9" t="str">
        <f t="shared" si="343"/>
        <v>Comuna</v>
      </c>
      <c r="K812" s="142" t="s">
        <v>9265</v>
      </c>
      <c r="L812" s="36" t="str">
        <f t="shared" si="339"/>
        <v>Año 2021</v>
      </c>
      <c r="M812" s="9" t="str">
        <f t="shared" si="340"/>
        <v>Número de cupos</v>
      </c>
      <c r="N812" s="9" t="str">
        <f t="shared" si="341"/>
        <v>Servicio Electoral (SERVEL)</v>
      </c>
      <c r="O812" s="41" t="str">
        <f t="shared" si="342"/>
        <v>Cupos para cargos de Elección Popular, a nivel regional y comunal en la Región Metropolitana</v>
      </c>
      <c r="P812" s="112" t="str">
        <f>"Cantidad de cupos para cargos de Elección Popular, específicamente para Senadores de la Circunscripción Senatorial N° 7, Diputados del Distrito N° 8 al 14, Consejeros Regionales, Alcaldes y Concejales de la "&amp;Agencia[[#This Row],[territorio]]&amp;", al año 2021."</f>
        <v>Cantidad de cupos para cargos de Elección Popular, específicamente para Senadores de la Circunscripción Senatorial N° 7, Diputados del Distrito N° 8 al 14, Consejeros Regionales, Alcaldes y Concejales de la Región Metropolitana, al año 2021.</v>
      </c>
      <c r="Q812" s="11" t="str">
        <f t="shared" si="322"/>
        <v>Dashboard</v>
      </c>
      <c r="R812"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Metropolitana,elecciones,candidatos,consejeros,regionales,senadores,diputados,alcaldes,concejales,municipal,municipio,comuna,distrito,cargos,circunscripción,Agencia Información,Política y Gobierno,Cupos,Elecciones</v>
      </c>
      <c r="S812" s="101" t="s">
        <v>5229</v>
      </c>
      <c r="T812" s="111" t="str">
        <f>"200-C-"&amp;Agencia[[#This Row],[Filtro URL]]</f>
        <v>200-C-13</v>
      </c>
      <c r="U812" s="46" t="str">
        <f t="shared" si="344"/>
        <v>#1774B9</v>
      </c>
      <c r="V812" s="93" t="str">
        <f>+Agencia[[#This Row],[idcoleccion]]&amp;"-"&amp;Agencia[[#This Row],[id]]</f>
        <v>990-0801</v>
      </c>
      <c r="W812" s="93">
        <f>+VLOOKUP(Agencia[[#This Row],[Filtro URL]],Estructura!$X$4:$Y$500,2,0)</f>
        <v>99200013</v>
      </c>
      <c r="X812" s="93" t="str">
        <f>+VLOOKUP(Agencia[[#This Row],[tema]],Estructura!$A$4:$C$500,3,0)</f>
        <v>T-1014</v>
      </c>
      <c r="Y812" s="93" t="str">
        <f>+VLOOKUP(Agencia[[#This Row],[contenido]],Estructura!$E$4:$G$500,3,0)</f>
        <v>C-994</v>
      </c>
      <c r="Z812" s="93" t="str">
        <f>+VLOOKUP(Agencia[[#This Row],[Filtro Integrado]],Estructura!$I$4:$K$500,3,0)</f>
        <v>FI-991</v>
      </c>
      <c r="AA812" s="93" t="str">
        <f>+VLOOKUP(Agencia[[#This Row],[Muestra]],Estructura!$M$4:$O$500,3,0)</f>
        <v>M-1074</v>
      </c>
    </row>
    <row r="813" spans="1:27" ht="72" x14ac:dyDescent="0.3">
      <c r="A813" s="21" t="s">
        <v>1317</v>
      </c>
      <c r="B813" s="23">
        <f t="shared" si="331"/>
        <v>990</v>
      </c>
      <c r="C813" s="24" t="str">
        <f t="shared" si="332"/>
        <v>Agencia Información</v>
      </c>
      <c r="D813" s="72" t="str">
        <f t="shared" si="338"/>
        <v>Política y Gobierno</v>
      </c>
      <c r="E813" s="19">
        <v>14</v>
      </c>
      <c r="F813" s="18" t="s">
        <v>1505</v>
      </c>
      <c r="G813" s="18" t="s">
        <v>1500</v>
      </c>
      <c r="H813" s="33" t="s">
        <v>16</v>
      </c>
      <c r="I813" s="34" t="s">
        <v>381</v>
      </c>
      <c r="J813" s="9" t="str">
        <f t="shared" si="343"/>
        <v>Comuna</v>
      </c>
      <c r="K813" s="142" t="s">
        <v>9265</v>
      </c>
      <c r="L813" s="36" t="str">
        <f t="shared" si="339"/>
        <v>Año 2021</v>
      </c>
      <c r="M813" s="9" t="str">
        <f t="shared" si="340"/>
        <v>Número de cupos</v>
      </c>
      <c r="N813" s="9" t="str">
        <f t="shared" si="341"/>
        <v>Servicio Electoral (SERVEL)</v>
      </c>
      <c r="O813" s="41" t="str">
        <f t="shared" si="342"/>
        <v>Cupos para cargos de Elección Popular, a nivel regional y comunal en la Región de Los Ríos</v>
      </c>
      <c r="P813" s="112" t="str">
        <f>"Cantidad de cupos para cargos de Elección Popular, específicamente para Senadores de la Circunscripción Senatorial N° 12, Diputados del Distrito N° 24, Consejeros Regionales, Alcaldes y Concejales de la "&amp;Agencia[[#This Row],[territorio]]&amp;", al año 2021."</f>
        <v>Cantidad de cupos para cargos de Elección Popular, específicamente para Senadores de la Circunscripción Senatorial N° 12, Diputados del Distrito N° 24, Consejeros Regionales, Alcaldes y Concejales de la Región de Los Ríos, al año 2021.</v>
      </c>
      <c r="Q813" s="11" t="str">
        <f>+Q812</f>
        <v>Dashboard</v>
      </c>
      <c r="R813"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Los Ríos,elecciones,candidatos,consejeros,regionales,senadores,diputados,alcaldes,concejales,municipal,municipio,comuna,distrito,cargos,circunscripción,Agencia Información,Política y Gobierno,Cupos,Elecciones</v>
      </c>
      <c r="S813" s="101" t="s">
        <v>5230</v>
      </c>
      <c r="T813" s="111" t="str">
        <f>"100-C-"&amp;Agencia[[#This Row],[Filtro URL]]</f>
        <v>100-C-14</v>
      </c>
      <c r="U813" s="46" t="str">
        <f t="shared" si="344"/>
        <v>#1774B9</v>
      </c>
      <c r="V813" s="93" t="str">
        <f>+Agencia[[#This Row],[idcoleccion]]&amp;"-"&amp;Agencia[[#This Row],[id]]</f>
        <v>990-0802</v>
      </c>
      <c r="W813" s="93">
        <f>+VLOOKUP(Agencia[[#This Row],[Filtro URL]],Estructura!$X$4:$Y$500,2,0)</f>
        <v>99200014</v>
      </c>
      <c r="X813" s="93" t="str">
        <f>+VLOOKUP(Agencia[[#This Row],[tema]],Estructura!$A$4:$C$500,3,0)</f>
        <v>T-1014</v>
      </c>
      <c r="Y813" s="93" t="str">
        <f>+VLOOKUP(Agencia[[#This Row],[contenido]],Estructura!$E$4:$G$500,3,0)</f>
        <v>C-994</v>
      </c>
      <c r="Z813" s="93" t="str">
        <f>+VLOOKUP(Agencia[[#This Row],[Filtro Integrado]],Estructura!$I$4:$K$500,3,0)</f>
        <v>FI-991</v>
      </c>
      <c r="AA813" s="93" t="str">
        <f>+VLOOKUP(Agencia[[#This Row],[Muestra]],Estructura!$M$4:$O$500,3,0)</f>
        <v>M-1074</v>
      </c>
    </row>
    <row r="814" spans="1:27" ht="72" x14ac:dyDescent="0.3">
      <c r="A814" s="21" t="s">
        <v>1318</v>
      </c>
      <c r="B814" s="23">
        <f t="shared" si="331"/>
        <v>990</v>
      </c>
      <c r="C814" s="24" t="str">
        <f t="shared" si="332"/>
        <v>Agencia Información</v>
      </c>
      <c r="D814" s="72" t="str">
        <f t="shared" si="338"/>
        <v>Política y Gobierno</v>
      </c>
      <c r="E814" s="19">
        <v>15</v>
      </c>
      <c r="F814" s="18" t="s">
        <v>1505</v>
      </c>
      <c r="G814" s="18" t="s">
        <v>1500</v>
      </c>
      <c r="H814" s="33" t="s">
        <v>16</v>
      </c>
      <c r="I814" s="34" t="s">
        <v>382</v>
      </c>
      <c r="J814" s="9" t="str">
        <f t="shared" si="343"/>
        <v>Comuna</v>
      </c>
      <c r="K814" s="142" t="s">
        <v>9265</v>
      </c>
      <c r="L814" s="36" t="str">
        <f t="shared" si="339"/>
        <v>Año 2021</v>
      </c>
      <c r="M814" s="9" t="str">
        <f t="shared" si="340"/>
        <v>Número de cupos</v>
      </c>
      <c r="N814" s="9" t="str">
        <f t="shared" si="341"/>
        <v>Servicio Electoral (SERVEL)</v>
      </c>
      <c r="O814" s="41" t="str">
        <f t="shared" si="342"/>
        <v>Cupos para cargos de Elección Popular, a nivel regional y comunal en la Región de Arica y Parinacota</v>
      </c>
      <c r="P814" s="112" t="str">
        <f>"Cantidad de cupos para cargos de Elección Popular, específicamente para Senadores de la Circunscripción Senatorial N° 1, Diputados del Distrito N° 1, Consejeros Regionales, Alcaldes y Concejales de la "&amp;Agencia[[#This Row],[territorio]]&amp;", al año 2021."</f>
        <v>Cantidad de cupos para cargos de Elección Popular, específicamente para Senadores de la Circunscripción Senatorial N° 1, Diputados del Distrito N° 1, Consejeros Regionales, Alcaldes y Concejales de la Región de Arica y Parinacota, al año 2021.</v>
      </c>
      <c r="Q814" s="11" t="str">
        <f>+Q813</f>
        <v>Dashboard</v>
      </c>
      <c r="R814"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Arica y Parinacota,elecciones,candidatos,consejeros,regionales,senadores,diputados,alcaldes,concejales,municipal,municipio,comuna,distrito,cargos,circunscripción,Agencia Información,Política y Gobierno,Cupos,Elecciones</v>
      </c>
      <c r="S814" s="101" t="s">
        <v>5231</v>
      </c>
      <c r="T814" s="111" t="str">
        <f>"100-C-"&amp;Agencia[[#This Row],[Filtro URL]]</f>
        <v>100-C-15</v>
      </c>
      <c r="U814" s="46" t="str">
        <f t="shared" si="344"/>
        <v>#1774B9</v>
      </c>
      <c r="V814" s="93" t="str">
        <f>+Agencia[[#This Row],[idcoleccion]]&amp;"-"&amp;Agencia[[#This Row],[id]]</f>
        <v>990-0803</v>
      </c>
      <c r="W814" s="93">
        <f>+VLOOKUP(Agencia[[#This Row],[Filtro URL]],Estructura!$X$4:$Y$500,2,0)</f>
        <v>99200015</v>
      </c>
      <c r="X814" s="93" t="str">
        <f>+VLOOKUP(Agencia[[#This Row],[tema]],Estructura!$A$4:$C$500,3,0)</f>
        <v>T-1014</v>
      </c>
      <c r="Y814" s="93" t="str">
        <f>+VLOOKUP(Agencia[[#This Row],[contenido]],Estructura!$E$4:$G$500,3,0)</f>
        <v>C-994</v>
      </c>
      <c r="Z814" s="93" t="str">
        <f>+VLOOKUP(Agencia[[#This Row],[Filtro Integrado]],Estructura!$I$4:$K$500,3,0)</f>
        <v>FI-991</v>
      </c>
      <c r="AA814" s="93" t="str">
        <f>+VLOOKUP(Agencia[[#This Row],[Muestra]],Estructura!$M$4:$O$500,3,0)</f>
        <v>M-1074</v>
      </c>
    </row>
    <row r="815" spans="1:27" ht="72" x14ac:dyDescent="0.3">
      <c r="A815" s="21" t="s">
        <v>1319</v>
      </c>
      <c r="B815" s="23">
        <f t="shared" si="331"/>
        <v>990</v>
      </c>
      <c r="C815" s="24" t="str">
        <f t="shared" si="332"/>
        <v>Agencia Información</v>
      </c>
      <c r="D815" s="72" t="str">
        <f t="shared" si="338"/>
        <v>Política y Gobierno</v>
      </c>
      <c r="E815" s="19">
        <v>16</v>
      </c>
      <c r="F815" s="18" t="s">
        <v>1505</v>
      </c>
      <c r="G815" s="18" t="s">
        <v>1500</v>
      </c>
      <c r="H815" s="33" t="s">
        <v>16</v>
      </c>
      <c r="I815" s="34" t="s">
        <v>383</v>
      </c>
      <c r="J815" s="9" t="str">
        <f t="shared" si="343"/>
        <v>Comuna</v>
      </c>
      <c r="K815" s="142" t="s">
        <v>9265</v>
      </c>
      <c r="L815" s="36" t="str">
        <f t="shared" si="339"/>
        <v>Año 2021</v>
      </c>
      <c r="M815" s="9" t="str">
        <f t="shared" si="340"/>
        <v>Número de cupos</v>
      </c>
      <c r="N815" s="9" t="str">
        <f t="shared" si="341"/>
        <v>Servicio Electoral (SERVEL)</v>
      </c>
      <c r="O815" s="41" t="str">
        <f t="shared" si="342"/>
        <v>Cupos para cargos de Elección Popular, a nivel regional y comunal en la Región de Ñuble</v>
      </c>
      <c r="P815" s="112" t="str">
        <f>"Cantidad de cupos para cargos de Elección Popular, específicamente para Senadores de la Circunscripción Senatorial N° 16, Diputados del Distrito N° 19, Consejeros Regionales, Alcaldes y Concejales de la "&amp;Agencia[[#This Row],[territorio]]&amp;", al año 2021."</f>
        <v>Cantidad de cupos para cargos de Elección Popular, específicamente para Senadores de la Circunscripción Senatorial N° 16, Diputados del Distrito N° 19, Consejeros Regionales, Alcaldes y Concejales de la Región de Ñuble, al año 2021.</v>
      </c>
      <c r="Q815" s="11" t="str">
        <f>+Q814</f>
        <v>Dashboard</v>
      </c>
      <c r="R815" s="148" t="str">
        <f>Agencia[[#This Row],[territorio]]&amp;",elecciones,candidatos,consejeros,regionales,senadores,diputados,alcaldes,concejales,municipal,municipio,comuna,distrito,cargos,circunscripción,"&amp;Agencia[[#This Row],[coleccion]]&amp;","&amp;Agencia[[#This Row],[sector]]&amp;","&amp;Agencia[[#This Row],[tema]]&amp;","&amp;Agencia[[#This Row],[contenido]]</f>
        <v>Región de Ñuble,elecciones,candidatos,consejeros,regionales,senadores,diputados,alcaldes,concejales,municipal,municipio,comuna,distrito,cargos,circunscripción,Agencia Información,Política y Gobierno,Cupos,Elecciones</v>
      </c>
      <c r="S815" s="101" t="s">
        <v>5232</v>
      </c>
      <c r="T815" s="111" t="str">
        <f>"100-C-"&amp;Agencia[[#This Row],[Filtro URL]]</f>
        <v>100-C-16</v>
      </c>
      <c r="U815" s="46" t="str">
        <f t="shared" si="344"/>
        <v>#1774B9</v>
      </c>
      <c r="V815" s="93" t="str">
        <f>+Agencia[[#This Row],[idcoleccion]]&amp;"-"&amp;Agencia[[#This Row],[id]]</f>
        <v>990-0804</v>
      </c>
      <c r="W815" s="93">
        <f>+VLOOKUP(Agencia[[#This Row],[Filtro URL]],Estructura!$X$4:$Y$500,2,0)</f>
        <v>99200016</v>
      </c>
      <c r="X815" s="93" t="str">
        <f>+VLOOKUP(Agencia[[#This Row],[tema]],Estructura!$A$4:$C$500,3,0)</f>
        <v>T-1014</v>
      </c>
      <c r="Y815" s="93" t="str">
        <f>+VLOOKUP(Agencia[[#This Row],[contenido]],Estructura!$E$4:$G$500,3,0)</f>
        <v>C-994</v>
      </c>
      <c r="Z815" s="93" t="str">
        <f>+VLOOKUP(Agencia[[#This Row],[Filtro Integrado]],Estructura!$I$4:$K$500,3,0)</f>
        <v>FI-991</v>
      </c>
      <c r="AA815" s="93" t="str">
        <f>+VLOOKUP(Agencia[[#This Row],[Muestra]],Estructura!$M$4:$O$500,3,0)</f>
        <v>M-1074</v>
      </c>
    </row>
    <row r="816" spans="1:27" ht="61.2" x14ac:dyDescent="0.3">
      <c r="A816" s="21" t="s">
        <v>1320</v>
      </c>
      <c r="B816" s="23">
        <f t="shared" si="331"/>
        <v>990</v>
      </c>
      <c r="C816" s="24" t="str">
        <f t="shared" si="332"/>
        <v>Agencia Información</v>
      </c>
      <c r="D816" s="72" t="s">
        <v>823</v>
      </c>
      <c r="E816" s="14">
        <v>0</v>
      </c>
      <c r="F816" s="18" t="s">
        <v>1508</v>
      </c>
      <c r="G816" s="18" t="s">
        <v>1470</v>
      </c>
      <c r="H816" s="31" t="s">
        <v>20</v>
      </c>
      <c r="I816" s="32" t="s">
        <v>15</v>
      </c>
      <c r="J816" s="9" t="s">
        <v>956</v>
      </c>
      <c r="K816" s="9" t="s">
        <v>1508</v>
      </c>
      <c r="L816" s="36" t="s">
        <v>1506</v>
      </c>
      <c r="M816" s="9" t="s">
        <v>1469</v>
      </c>
      <c r="N816" s="9" t="s">
        <v>826</v>
      </c>
      <c r="O816" s="41" t="str">
        <f>+"Número de empresas vigentes según año de inicio de actividades y tipo de contribuyente en "&amp;I816&amp;", "&amp;Agencia[[#This Row],[temporalidad]]</f>
        <v>Número de empresas vigentes según año de inicio de actividades y tipo de contribuyente en Chile, Periodo 1993-2019</v>
      </c>
      <c r="P816" s="112" t="s">
        <v>5762</v>
      </c>
      <c r="Q816" s="11" t="s">
        <v>784</v>
      </c>
      <c r="R816" s="20" t="str">
        <f>Agencia[[#This Row],[territorio]]&amp;",evolución,anual,cantidad,número,empresas,tipo,contribuyente,SII,regional,activas,año,tributario,fiscal,inicio,actividades,"&amp;Agencia[[#This Row],[coleccion]]&amp;","&amp;Agencia[[#This Row],[sector]]&amp;","&amp;Agencia[[#This Row],[tema]]&amp;","&amp;Agencia[[#This Row],[contenido]]</f>
        <v>Chile,evolución,anual,cantidad,número,empresas,tipo,contribuyente,SII,regional,activas,año,tributario,fiscal,inicio,actividades,Agencia Información,Economía,Empresas vigentes,Empresas</v>
      </c>
      <c r="S816" s="37" t="s">
        <v>1507</v>
      </c>
      <c r="T816" s="108" t="s">
        <v>957</v>
      </c>
      <c r="U816" s="46" t="str">
        <f t="shared" si="344"/>
        <v>#1774B9</v>
      </c>
      <c r="V816" s="93" t="str">
        <f>+Agencia[[#This Row],[idcoleccion]]&amp;"-"&amp;Agencia[[#This Row],[id]]</f>
        <v>990-0805</v>
      </c>
      <c r="W816" s="93">
        <f>+VLOOKUP(Agencia[[#This Row],[Filtro URL]],Estructura!$X$4:$Y$500,2,0)</f>
        <v>99100000</v>
      </c>
      <c r="X816" s="93" t="str">
        <f>+VLOOKUP(Agencia[[#This Row],[tema]],Estructura!$A$4:$C$500,3,0)</f>
        <v>T-1015</v>
      </c>
      <c r="Y816" s="93" t="str">
        <f>+VLOOKUP(Agencia[[#This Row],[contenido]],Estructura!$E$4:$G$500,3,0)</f>
        <v>C-993</v>
      </c>
      <c r="Z816" s="93" t="str">
        <f>+VLOOKUP(Agencia[[#This Row],[Filtro Integrado]],Estructura!$I$4:$K$500,3,0)</f>
        <v>FI-994</v>
      </c>
      <c r="AA816" s="93" t="str">
        <f>+VLOOKUP(Agencia[[#This Row],[Muestra]],Estructura!$M$4:$O$500,3,0)</f>
        <v>M-1075</v>
      </c>
    </row>
    <row r="817" spans="1:27" ht="61.2" x14ac:dyDescent="0.3">
      <c r="A817" s="21" t="s">
        <v>1321</v>
      </c>
      <c r="B817" s="23">
        <f t="shared" si="331"/>
        <v>990</v>
      </c>
      <c r="C817" s="24" t="str">
        <f t="shared" si="332"/>
        <v>Agencia Información</v>
      </c>
      <c r="D817" s="72" t="str">
        <f t="shared" ref="D817:D832" si="345">+D816</f>
        <v>Economía</v>
      </c>
      <c r="E817" s="19">
        <v>1</v>
      </c>
      <c r="F817" s="18" t="s">
        <v>1508</v>
      </c>
      <c r="G817" s="18" t="s">
        <v>1470</v>
      </c>
      <c r="H817" s="33" t="s">
        <v>16</v>
      </c>
      <c r="I817" s="34" t="s">
        <v>368</v>
      </c>
      <c r="J817" s="9" t="s">
        <v>18</v>
      </c>
      <c r="K817" s="142" t="str">
        <f t="shared" ref="K817:K832" si="346">+K816</f>
        <v>Empresas vigentes</v>
      </c>
      <c r="L817" s="36" t="str">
        <f t="shared" ref="L817:L832" si="347">+L816</f>
        <v>Periodo 1993-2019</v>
      </c>
      <c r="M817" s="9" t="str">
        <f t="shared" ref="M817:M832" si="348">+M816</f>
        <v>Número de empresas</v>
      </c>
      <c r="N817" s="9" t="str">
        <f t="shared" ref="N817:N832" si="349">+N816</f>
        <v>Servicio de Impuestos Internos (SII)</v>
      </c>
      <c r="O817" s="41" t="str">
        <f>+"Número de empresas vigentes según año de inicio de actividades y tipo de contribuyente en la "&amp;I817&amp;", "&amp;Agencia[[#This Row],[temporalidad]]</f>
        <v>Número de empresas vigentes según año de inicio de actividades y tipo de contribuyente en la Región de Tarapacá, Periodo 1993-2019</v>
      </c>
      <c r="P817" s="112" t="s">
        <v>5797</v>
      </c>
      <c r="Q817" s="11" t="str">
        <f t="shared" ref="Q817:Q880" si="350">+Q816</f>
        <v>Gráfico de Evolución</v>
      </c>
      <c r="R817" s="20" t="str">
        <f>Agencia[[#This Row],[territorio]]&amp;",evolución,anual,cantidad,número,empresas,tipo,contribuyente,SII,regional,activas,año,tributario,fiscal,inicio,actividades,"&amp;Agencia[[#This Row],[coleccion]]&amp;","&amp;Agencia[[#This Row],[sector]]&amp;","&amp;Agencia[[#This Row],[tema]]&amp;","&amp;Agencia[[#This Row],[contenido]]</f>
        <v>Región de Tarapacá,evolución,anual,cantidad,número,empresas,tipo,contribuyente,SII,regional,activas,año,tributario,fiscal,inicio,actividades,Agencia Información,Economía,Empresas vigentes,Empresas</v>
      </c>
      <c r="S817" s="37" t="str">
        <f>HYPERLINK("https://analytics.zoho.com/open-view/2395394000008062255?ZOHO_CRITERIA=%22Directorio_Todo%22.%22Cod_Regi%C3%B3n%22%3D"&amp;Agencia[[#This Row],[Filtro URL]])</f>
        <v>https://analytics.zoho.com/open-view/2395394000008062255?ZOHO_CRITERIA=%22Directorio_Todo%22.%22Cod_Regi%C3%B3n%22%3D1</v>
      </c>
      <c r="T817" s="111" t="str">
        <f>"100-C-"&amp;Agencia[[#This Row],[Filtro URL]]</f>
        <v>100-C-1</v>
      </c>
      <c r="U817" s="46" t="str">
        <f t="shared" si="344"/>
        <v>#1774B9</v>
      </c>
      <c r="V817" s="93" t="str">
        <f>+Agencia[[#This Row],[idcoleccion]]&amp;"-"&amp;Agencia[[#This Row],[id]]</f>
        <v>990-0806</v>
      </c>
      <c r="W817" s="93">
        <f>+VLOOKUP(Agencia[[#This Row],[Filtro URL]],Estructura!$X$4:$Y$500,2,0)</f>
        <v>99200001</v>
      </c>
      <c r="X817" s="93" t="str">
        <f>+VLOOKUP(Agencia[[#This Row],[tema]],Estructura!$A$4:$C$500,3,0)</f>
        <v>T-1015</v>
      </c>
      <c r="Y817" s="93" t="str">
        <f>+VLOOKUP(Agencia[[#This Row],[contenido]],Estructura!$E$4:$G$500,3,0)</f>
        <v>C-993</v>
      </c>
      <c r="Z817" s="93" t="str">
        <f>+VLOOKUP(Agencia[[#This Row],[Filtro Integrado]],Estructura!$I$4:$K$500,3,0)</f>
        <v>FI-991</v>
      </c>
      <c r="AA817" s="93" t="str">
        <f>+VLOOKUP(Agencia[[#This Row],[Muestra]],Estructura!$M$4:$O$500,3,0)</f>
        <v>M-1075</v>
      </c>
    </row>
    <row r="818" spans="1:27" ht="61.2" x14ac:dyDescent="0.3">
      <c r="A818" s="21" t="s">
        <v>1322</v>
      </c>
      <c r="B818" s="23">
        <f t="shared" si="331"/>
        <v>990</v>
      </c>
      <c r="C818" s="24" t="str">
        <f t="shared" si="332"/>
        <v>Agencia Información</v>
      </c>
      <c r="D818" s="72" t="str">
        <f t="shared" si="345"/>
        <v>Economía</v>
      </c>
      <c r="E818" s="19">
        <v>2</v>
      </c>
      <c r="F818" s="18" t="s">
        <v>1508</v>
      </c>
      <c r="G818" s="18" t="s">
        <v>1470</v>
      </c>
      <c r="H818" s="33" t="s">
        <v>16</v>
      </c>
      <c r="I818" s="34" t="s">
        <v>369</v>
      </c>
      <c r="J818" s="9" t="str">
        <f t="shared" ref="J818:J832" si="351">+J817</f>
        <v>Comuna</v>
      </c>
      <c r="K818" s="9" t="str">
        <f t="shared" si="346"/>
        <v>Empresas vigentes</v>
      </c>
      <c r="L818" s="36" t="str">
        <f t="shared" si="347"/>
        <v>Periodo 1993-2019</v>
      </c>
      <c r="M818" s="9" t="str">
        <f t="shared" si="348"/>
        <v>Número de empresas</v>
      </c>
      <c r="N818" s="9" t="str">
        <f t="shared" si="349"/>
        <v>Servicio de Impuestos Internos (SII)</v>
      </c>
      <c r="O818" s="41" t="str">
        <f>+"Número de empresas vigentes según año de inicio de actividades y tipo de contribuyente en la "&amp;I818&amp;", "&amp;Agencia[[#This Row],[temporalidad]]</f>
        <v>Número de empresas vigentes según año de inicio de actividades y tipo de contribuyente en la Región de Antofagasta, Periodo 1993-2019</v>
      </c>
      <c r="P818" s="112" t="s">
        <v>5798</v>
      </c>
      <c r="Q818" s="11" t="str">
        <f t="shared" si="350"/>
        <v>Gráfico de Evolución</v>
      </c>
      <c r="R818" s="148" t="str">
        <f>Agencia[[#This Row],[territorio]]&amp;",evolución,anual,cantidad,número,empresas,tipo,contribuyente,SII,regional,activas,año,tributario,fiscal,inicio,actividades,"&amp;Agencia[[#This Row],[coleccion]]&amp;","&amp;Agencia[[#This Row],[sector]]&amp;","&amp;Agencia[[#This Row],[tema]]&amp;","&amp;Agencia[[#This Row],[contenido]]</f>
        <v>Región de Antofagasta,evolución,anual,cantidad,número,empresas,tipo,contribuyente,SII,regional,activas,año,tributario,fiscal,inicio,actividades,Agencia Información,Economía,Empresas vigentes,Empresas</v>
      </c>
      <c r="S818" s="37" t="str">
        <f>HYPERLINK("https://analytics.zoho.com/open-view/2395394000008062255?ZOHO_CRITERIA=%22Directorio_Todo%22.%22Cod_Regi%C3%B3n%22%3D"&amp;Agencia[[#This Row],[Filtro URL]])</f>
        <v>https://analytics.zoho.com/open-view/2395394000008062255?ZOHO_CRITERIA=%22Directorio_Todo%22.%22Cod_Regi%C3%B3n%22%3D2</v>
      </c>
      <c r="T818" s="111" t="str">
        <f>"100-C-"&amp;Agencia[[#This Row],[Filtro URL]]</f>
        <v>100-C-2</v>
      </c>
      <c r="U818" s="46" t="str">
        <f t="shared" si="344"/>
        <v>#1774B9</v>
      </c>
      <c r="V818" s="93" t="str">
        <f>+Agencia[[#This Row],[idcoleccion]]&amp;"-"&amp;Agencia[[#This Row],[id]]</f>
        <v>990-0807</v>
      </c>
      <c r="W818" s="93">
        <f>+VLOOKUP(Agencia[[#This Row],[Filtro URL]],Estructura!$X$4:$Y$500,2,0)</f>
        <v>99200002</v>
      </c>
      <c r="X818" s="93" t="str">
        <f>+VLOOKUP(Agencia[[#This Row],[tema]],Estructura!$A$4:$C$500,3,0)</f>
        <v>T-1015</v>
      </c>
      <c r="Y818" s="93" t="str">
        <f>+VLOOKUP(Agencia[[#This Row],[contenido]],Estructura!$E$4:$G$500,3,0)</f>
        <v>C-993</v>
      </c>
      <c r="Z818" s="93" t="str">
        <f>+VLOOKUP(Agencia[[#This Row],[Filtro Integrado]],Estructura!$I$4:$K$500,3,0)</f>
        <v>FI-991</v>
      </c>
      <c r="AA818" s="93" t="str">
        <f>+VLOOKUP(Agencia[[#This Row],[Muestra]],Estructura!$M$4:$O$500,3,0)</f>
        <v>M-1075</v>
      </c>
    </row>
    <row r="819" spans="1:27" ht="61.2" x14ac:dyDescent="0.3">
      <c r="A819" s="21" t="s">
        <v>1323</v>
      </c>
      <c r="B819" s="23">
        <f t="shared" si="331"/>
        <v>990</v>
      </c>
      <c r="C819" s="24" t="str">
        <f t="shared" si="332"/>
        <v>Agencia Información</v>
      </c>
      <c r="D819" s="72" t="str">
        <f t="shared" si="345"/>
        <v>Economía</v>
      </c>
      <c r="E819" s="19">
        <v>3</v>
      </c>
      <c r="F819" s="18" t="s">
        <v>1508</v>
      </c>
      <c r="G819" s="18" t="s">
        <v>1470</v>
      </c>
      <c r="H819" s="33" t="s">
        <v>16</v>
      </c>
      <c r="I819" s="34" t="s">
        <v>370</v>
      </c>
      <c r="J819" s="9" t="str">
        <f t="shared" si="351"/>
        <v>Comuna</v>
      </c>
      <c r="K819" s="9" t="str">
        <f t="shared" si="346"/>
        <v>Empresas vigentes</v>
      </c>
      <c r="L819" s="36" t="str">
        <f t="shared" si="347"/>
        <v>Periodo 1993-2019</v>
      </c>
      <c r="M819" s="9" t="str">
        <f t="shared" si="348"/>
        <v>Número de empresas</v>
      </c>
      <c r="N819" s="9" t="str">
        <f t="shared" si="349"/>
        <v>Servicio de Impuestos Internos (SII)</v>
      </c>
      <c r="O819" s="41" t="str">
        <f>+"Número de empresas vigentes según año de inicio de actividades y tipo de contribuyente en la "&amp;I819&amp;", "&amp;Agencia[[#This Row],[temporalidad]]</f>
        <v>Número de empresas vigentes según año de inicio de actividades y tipo de contribuyente en la Región de Atacama, Periodo 1993-2019</v>
      </c>
      <c r="P819" s="112" t="s">
        <v>5799</v>
      </c>
      <c r="Q819" s="11" t="str">
        <f t="shared" si="350"/>
        <v>Gráfico de Evolución</v>
      </c>
      <c r="R819" s="148" t="str">
        <f>Agencia[[#This Row],[territorio]]&amp;",evolución,anual,cantidad,número,empresas,tipo,contribuyente,SII,regional,activas,año,tributario,fiscal,inicio,actividades,"&amp;Agencia[[#This Row],[coleccion]]&amp;","&amp;Agencia[[#This Row],[sector]]&amp;","&amp;Agencia[[#This Row],[tema]]&amp;","&amp;Agencia[[#This Row],[contenido]]</f>
        <v>Región de Atacama,evolución,anual,cantidad,número,empresas,tipo,contribuyente,SII,regional,activas,año,tributario,fiscal,inicio,actividades,Agencia Información,Economía,Empresas vigentes,Empresas</v>
      </c>
      <c r="S819" s="37" t="str">
        <f>HYPERLINK("https://analytics.zoho.com/open-view/2395394000008062255?ZOHO_CRITERIA=%22Directorio_Todo%22.%22Cod_Regi%C3%B3n%22%3D"&amp;Agencia[[#This Row],[Filtro URL]])</f>
        <v>https://analytics.zoho.com/open-view/2395394000008062255?ZOHO_CRITERIA=%22Directorio_Todo%22.%22Cod_Regi%C3%B3n%22%3D3</v>
      </c>
      <c r="T819" s="111" t="str">
        <f>"100-C-"&amp;Agencia[[#This Row],[Filtro URL]]</f>
        <v>100-C-3</v>
      </c>
      <c r="U819" s="46" t="str">
        <f t="shared" si="344"/>
        <v>#1774B9</v>
      </c>
      <c r="V819" s="93" t="str">
        <f>+Agencia[[#This Row],[idcoleccion]]&amp;"-"&amp;Agencia[[#This Row],[id]]</f>
        <v>990-0808</v>
      </c>
      <c r="W819" s="93">
        <f>+VLOOKUP(Agencia[[#This Row],[Filtro URL]],Estructura!$X$4:$Y$500,2,0)</f>
        <v>99200003</v>
      </c>
      <c r="X819" s="93" t="str">
        <f>+VLOOKUP(Agencia[[#This Row],[tema]],Estructura!$A$4:$C$500,3,0)</f>
        <v>T-1015</v>
      </c>
      <c r="Y819" s="93" t="str">
        <f>+VLOOKUP(Agencia[[#This Row],[contenido]],Estructura!$E$4:$G$500,3,0)</f>
        <v>C-993</v>
      </c>
      <c r="Z819" s="93" t="str">
        <f>+VLOOKUP(Agencia[[#This Row],[Filtro Integrado]],Estructura!$I$4:$K$500,3,0)</f>
        <v>FI-991</v>
      </c>
      <c r="AA819" s="93" t="str">
        <f>+VLOOKUP(Agencia[[#This Row],[Muestra]],Estructura!$M$4:$O$500,3,0)</f>
        <v>M-1075</v>
      </c>
    </row>
    <row r="820" spans="1:27" ht="61.2" x14ac:dyDescent="0.3">
      <c r="A820" s="21" t="s">
        <v>1324</v>
      </c>
      <c r="B820" s="23">
        <f t="shared" si="331"/>
        <v>990</v>
      </c>
      <c r="C820" s="24" t="str">
        <f t="shared" si="332"/>
        <v>Agencia Información</v>
      </c>
      <c r="D820" s="72" t="str">
        <f t="shared" si="345"/>
        <v>Economía</v>
      </c>
      <c r="E820" s="19">
        <v>4</v>
      </c>
      <c r="F820" s="18" t="s">
        <v>1508</v>
      </c>
      <c r="G820" s="18" t="s">
        <v>1470</v>
      </c>
      <c r="H820" s="33" t="s">
        <v>16</v>
      </c>
      <c r="I820" s="34" t="s">
        <v>371</v>
      </c>
      <c r="J820" s="9" t="str">
        <f t="shared" si="351"/>
        <v>Comuna</v>
      </c>
      <c r="K820" s="9" t="str">
        <f t="shared" si="346"/>
        <v>Empresas vigentes</v>
      </c>
      <c r="L820" s="36" t="str">
        <f t="shared" si="347"/>
        <v>Periodo 1993-2019</v>
      </c>
      <c r="M820" s="9" t="str">
        <f t="shared" si="348"/>
        <v>Número de empresas</v>
      </c>
      <c r="N820" s="9" t="str">
        <f t="shared" si="349"/>
        <v>Servicio de Impuestos Internos (SII)</v>
      </c>
      <c r="O820" s="41" t="str">
        <f>+"Número de empresas vigentes según año de inicio de actividades y tipo de contribuyente en la "&amp;I820&amp;", "&amp;Agencia[[#This Row],[temporalidad]]</f>
        <v>Número de empresas vigentes según año de inicio de actividades y tipo de contribuyente en la Región de Coquimbo, Periodo 1993-2019</v>
      </c>
      <c r="P820" s="112" t="s">
        <v>5800</v>
      </c>
      <c r="Q820" s="11" t="str">
        <f t="shared" si="350"/>
        <v>Gráfico de Evolución</v>
      </c>
      <c r="R820" s="148" t="str">
        <f>Agencia[[#This Row],[territorio]]&amp;",evolución,anual,cantidad,número,empresas,tipo,contribuyente,SII,regional,activas,año,tributario,fiscal,inicio,actividades,"&amp;Agencia[[#This Row],[coleccion]]&amp;","&amp;Agencia[[#This Row],[sector]]&amp;","&amp;Agencia[[#This Row],[tema]]&amp;","&amp;Agencia[[#This Row],[contenido]]</f>
        <v>Región de Coquimbo,evolución,anual,cantidad,número,empresas,tipo,contribuyente,SII,regional,activas,año,tributario,fiscal,inicio,actividades,Agencia Información,Economía,Empresas vigentes,Empresas</v>
      </c>
      <c r="S820" s="37" t="str">
        <f>HYPERLINK("https://analytics.zoho.com/open-view/2395394000008062255?ZOHO_CRITERIA=%22Directorio_Todo%22.%22Cod_Regi%C3%B3n%22%3D"&amp;Agencia[[#This Row],[Filtro URL]])</f>
        <v>https://analytics.zoho.com/open-view/2395394000008062255?ZOHO_CRITERIA=%22Directorio_Todo%22.%22Cod_Regi%C3%B3n%22%3D4</v>
      </c>
      <c r="T820" s="111" t="str">
        <f>"100-C-"&amp;Agencia[[#This Row],[Filtro URL]]</f>
        <v>100-C-4</v>
      </c>
      <c r="U820" s="46" t="str">
        <f t="shared" si="344"/>
        <v>#1774B9</v>
      </c>
      <c r="V820" s="93" t="str">
        <f>+Agencia[[#This Row],[idcoleccion]]&amp;"-"&amp;Agencia[[#This Row],[id]]</f>
        <v>990-0809</v>
      </c>
      <c r="W820" s="93">
        <f>+VLOOKUP(Agencia[[#This Row],[Filtro URL]],Estructura!$X$4:$Y$500,2,0)</f>
        <v>99200004</v>
      </c>
      <c r="X820" s="93" t="str">
        <f>+VLOOKUP(Agencia[[#This Row],[tema]],Estructura!$A$4:$C$500,3,0)</f>
        <v>T-1015</v>
      </c>
      <c r="Y820" s="93" t="str">
        <f>+VLOOKUP(Agencia[[#This Row],[contenido]],Estructura!$E$4:$G$500,3,0)</f>
        <v>C-993</v>
      </c>
      <c r="Z820" s="93" t="str">
        <f>+VLOOKUP(Agencia[[#This Row],[Filtro Integrado]],Estructura!$I$4:$K$500,3,0)</f>
        <v>FI-991</v>
      </c>
      <c r="AA820" s="93" t="str">
        <f>+VLOOKUP(Agencia[[#This Row],[Muestra]],Estructura!$M$4:$O$500,3,0)</f>
        <v>M-1075</v>
      </c>
    </row>
    <row r="821" spans="1:27" ht="61.2" x14ac:dyDescent="0.3">
      <c r="A821" s="21" t="s">
        <v>1325</v>
      </c>
      <c r="B821" s="23">
        <f t="shared" si="331"/>
        <v>990</v>
      </c>
      <c r="C821" s="24" t="str">
        <f t="shared" si="332"/>
        <v>Agencia Información</v>
      </c>
      <c r="D821" s="72" t="str">
        <f t="shared" si="345"/>
        <v>Economía</v>
      </c>
      <c r="E821" s="19">
        <v>5</v>
      </c>
      <c r="F821" s="18" t="s">
        <v>1508</v>
      </c>
      <c r="G821" s="18" t="s">
        <v>1470</v>
      </c>
      <c r="H821" s="33" t="s">
        <v>16</v>
      </c>
      <c r="I821" s="34" t="s">
        <v>372</v>
      </c>
      <c r="J821" s="9" t="str">
        <f t="shared" si="351"/>
        <v>Comuna</v>
      </c>
      <c r="K821" s="9" t="str">
        <f t="shared" si="346"/>
        <v>Empresas vigentes</v>
      </c>
      <c r="L821" s="36" t="str">
        <f t="shared" si="347"/>
        <v>Periodo 1993-2019</v>
      </c>
      <c r="M821" s="9" t="str">
        <f t="shared" si="348"/>
        <v>Número de empresas</v>
      </c>
      <c r="N821" s="9" t="str">
        <f t="shared" si="349"/>
        <v>Servicio de Impuestos Internos (SII)</v>
      </c>
      <c r="O821" s="41" t="str">
        <f>+"Número de empresas vigentes según año de inicio de actividades y tipo de contribuyente en la "&amp;I821&amp;", "&amp;Agencia[[#This Row],[temporalidad]]</f>
        <v>Número de empresas vigentes según año de inicio de actividades y tipo de contribuyente en la Región de Valparaíso, Periodo 1993-2019</v>
      </c>
      <c r="P821" s="112" t="s">
        <v>5801</v>
      </c>
      <c r="Q821" s="11" t="str">
        <f t="shared" si="350"/>
        <v>Gráfico de Evolución</v>
      </c>
      <c r="R821" s="148" t="str">
        <f>Agencia[[#This Row],[territorio]]&amp;",evolución,anual,cantidad,número,empresas,tipo,contribuyente,SII,regional,activas,año,tributario,fiscal,inicio,actividades,"&amp;Agencia[[#This Row],[coleccion]]&amp;","&amp;Agencia[[#This Row],[sector]]&amp;","&amp;Agencia[[#This Row],[tema]]&amp;","&amp;Agencia[[#This Row],[contenido]]</f>
        <v>Región de Valparaíso,evolución,anual,cantidad,número,empresas,tipo,contribuyente,SII,regional,activas,año,tributario,fiscal,inicio,actividades,Agencia Información,Economía,Empresas vigentes,Empresas</v>
      </c>
      <c r="S821" s="37" t="str">
        <f>HYPERLINK("https://analytics.zoho.com/open-view/2395394000008062255?ZOHO_CRITERIA=%22Directorio_Todo%22.%22Cod_Regi%C3%B3n%22%3D"&amp;Agencia[[#This Row],[Filtro URL]])</f>
        <v>https://analytics.zoho.com/open-view/2395394000008062255?ZOHO_CRITERIA=%22Directorio_Todo%22.%22Cod_Regi%C3%B3n%22%3D5</v>
      </c>
      <c r="T821" s="111" t="str">
        <f>"100-C-"&amp;Agencia[[#This Row],[Filtro URL]]</f>
        <v>100-C-5</v>
      </c>
      <c r="U821" s="46" t="str">
        <f t="shared" si="344"/>
        <v>#1774B9</v>
      </c>
      <c r="V821" s="93" t="str">
        <f>+Agencia[[#This Row],[idcoleccion]]&amp;"-"&amp;Agencia[[#This Row],[id]]</f>
        <v>990-0810</v>
      </c>
      <c r="W821" s="93">
        <f>+VLOOKUP(Agencia[[#This Row],[Filtro URL]],Estructura!$X$4:$Y$500,2,0)</f>
        <v>99200005</v>
      </c>
      <c r="X821" s="93" t="str">
        <f>+VLOOKUP(Agencia[[#This Row],[tema]],Estructura!$A$4:$C$500,3,0)</f>
        <v>T-1015</v>
      </c>
      <c r="Y821" s="93" t="str">
        <f>+VLOOKUP(Agencia[[#This Row],[contenido]],Estructura!$E$4:$G$500,3,0)</f>
        <v>C-993</v>
      </c>
      <c r="Z821" s="93" t="str">
        <f>+VLOOKUP(Agencia[[#This Row],[Filtro Integrado]],Estructura!$I$4:$K$500,3,0)</f>
        <v>FI-991</v>
      </c>
      <c r="AA821" s="93" t="str">
        <f>+VLOOKUP(Agencia[[#This Row],[Muestra]],Estructura!$M$4:$O$500,3,0)</f>
        <v>M-1075</v>
      </c>
    </row>
    <row r="822" spans="1:27" ht="61.2" x14ac:dyDescent="0.3">
      <c r="A822" s="21" t="s">
        <v>1326</v>
      </c>
      <c r="B822" s="23">
        <f t="shared" si="331"/>
        <v>990</v>
      </c>
      <c r="C822" s="24" t="str">
        <f t="shared" si="332"/>
        <v>Agencia Información</v>
      </c>
      <c r="D822" s="72" t="str">
        <f t="shared" si="345"/>
        <v>Economía</v>
      </c>
      <c r="E822" s="19">
        <v>6</v>
      </c>
      <c r="F822" s="18" t="s">
        <v>1508</v>
      </c>
      <c r="G822" s="18" t="s">
        <v>1470</v>
      </c>
      <c r="H822" s="33" t="s">
        <v>16</v>
      </c>
      <c r="I822" s="34" t="s">
        <v>373</v>
      </c>
      <c r="J822" s="9" t="str">
        <f t="shared" si="351"/>
        <v>Comuna</v>
      </c>
      <c r="K822" s="9" t="str">
        <f t="shared" si="346"/>
        <v>Empresas vigentes</v>
      </c>
      <c r="L822" s="36" t="str">
        <f t="shared" si="347"/>
        <v>Periodo 1993-2019</v>
      </c>
      <c r="M822" s="9" t="str">
        <f t="shared" si="348"/>
        <v>Número de empresas</v>
      </c>
      <c r="N822" s="9" t="str">
        <f t="shared" si="349"/>
        <v>Servicio de Impuestos Internos (SII)</v>
      </c>
      <c r="O822" s="41" t="str">
        <f>+"Número de empresas vigentes según año de inicio de actividades y tipo de contribuyente en la "&amp;I822&amp;", "&amp;Agencia[[#This Row],[temporalidad]]</f>
        <v>Número de empresas vigentes según año de inicio de actividades y tipo de contribuyente en la Región de O'Higgins, Periodo 1993-2019</v>
      </c>
      <c r="P822" s="112" t="s">
        <v>5802</v>
      </c>
      <c r="Q822" s="11" t="str">
        <f t="shared" si="350"/>
        <v>Gráfico de Evolución</v>
      </c>
      <c r="R822" s="148" t="str">
        <f>Agencia[[#This Row],[territorio]]&amp;",evolución,anual,cantidad,número,empresas,tipo,contribuyente,SII,regional,activas,año,tributario,fiscal,inicio,actividades,"&amp;Agencia[[#This Row],[coleccion]]&amp;","&amp;Agencia[[#This Row],[sector]]&amp;","&amp;Agencia[[#This Row],[tema]]&amp;","&amp;Agencia[[#This Row],[contenido]]</f>
        <v>Región de O'Higgins,evolución,anual,cantidad,número,empresas,tipo,contribuyente,SII,regional,activas,año,tributario,fiscal,inicio,actividades,Agencia Información,Economía,Empresas vigentes,Empresas</v>
      </c>
      <c r="S822" s="37" t="str">
        <f>HYPERLINK("https://analytics.zoho.com/open-view/2395394000008062255?ZOHO_CRITERIA=%22Directorio_Todo%22.%22Cod_Regi%C3%B3n%22%3D"&amp;Agencia[[#This Row],[Filtro URL]])</f>
        <v>https://analytics.zoho.com/open-view/2395394000008062255?ZOHO_CRITERIA=%22Directorio_Todo%22.%22Cod_Regi%C3%B3n%22%3D6</v>
      </c>
      <c r="T822" s="111" t="str">
        <f>"100-C-"&amp;Agencia[[#This Row],[Filtro URL]]</f>
        <v>100-C-6</v>
      </c>
      <c r="U822" s="46" t="str">
        <f t="shared" si="344"/>
        <v>#1774B9</v>
      </c>
      <c r="V822" s="93" t="str">
        <f>+Agencia[[#This Row],[idcoleccion]]&amp;"-"&amp;Agencia[[#This Row],[id]]</f>
        <v>990-0811</v>
      </c>
      <c r="W822" s="93">
        <f>+VLOOKUP(Agencia[[#This Row],[Filtro URL]],Estructura!$X$4:$Y$500,2,0)</f>
        <v>99200006</v>
      </c>
      <c r="X822" s="93" t="str">
        <f>+VLOOKUP(Agencia[[#This Row],[tema]],Estructura!$A$4:$C$500,3,0)</f>
        <v>T-1015</v>
      </c>
      <c r="Y822" s="93" t="str">
        <f>+VLOOKUP(Agencia[[#This Row],[contenido]],Estructura!$E$4:$G$500,3,0)</f>
        <v>C-993</v>
      </c>
      <c r="Z822" s="93" t="str">
        <f>+VLOOKUP(Agencia[[#This Row],[Filtro Integrado]],Estructura!$I$4:$K$500,3,0)</f>
        <v>FI-991</v>
      </c>
      <c r="AA822" s="93" t="str">
        <f>+VLOOKUP(Agencia[[#This Row],[Muestra]],Estructura!$M$4:$O$500,3,0)</f>
        <v>M-1075</v>
      </c>
    </row>
    <row r="823" spans="1:27" ht="61.2" x14ac:dyDescent="0.3">
      <c r="A823" s="21" t="s">
        <v>1327</v>
      </c>
      <c r="B823" s="23">
        <f t="shared" si="331"/>
        <v>990</v>
      </c>
      <c r="C823" s="24" t="str">
        <f t="shared" si="332"/>
        <v>Agencia Información</v>
      </c>
      <c r="D823" s="72" t="str">
        <f t="shared" si="345"/>
        <v>Economía</v>
      </c>
      <c r="E823" s="19">
        <v>7</v>
      </c>
      <c r="F823" s="18" t="s">
        <v>1508</v>
      </c>
      <c r="G823" s="18" t="s">
        <v>1470</v>
      </c>
      <c r="H823" s="33" t="s">
        <v>16</v>
      </c>
      <c r="I823" s="34" t="s">
        <v>374</v>
      </c>
      <c r="J823" s="9" t="str">
        <f t="shared" si="351"/>
        <v>Comuna</v>
      </c>
      <c r="K823" s="9" t="str">
        <f t="shared" si="346"/>
        <v>Empresas vigentes</v>
      </c>
      <c r="L823" s="36" t="str">
        <f t="shared" si="347"/>
        <v>Periodo 1993-2019</v>
      </c>
      <c r="M823" s="9" t="str">
        <f t="shared" si="348"/>
        <v>Número de empresas</v>
      </c>
      <c r="N823" s="9" t="str">
        <f t="shared" si="349"/>
        <v>Servicio de Impuestos Internos (SII)</v>
      </c>
      <c r="O823" s="41" t="str">
        <f>+"Número de empresas vigentes según año de inicio de actividades y tipo de contribuyente en la "&amp;I823&amp;", "&amp;Agencia[[#This Row],[temporalidad]]</f>
        <v>Número de empresas vigentes según año de inicio de actividades y tipo de contribuyente en la Región de Maule, Periodo 1993-2019</v>
      </c>
      <c r="P823" s="112" t="s">
        <v>5803</v>
      </c>
      <c r="Q823" s="11" t="str">
        <f t="shared" si="350"/>
        <v>Gráfico de Evolución</v>
      </c>
      <c r="R823" s="148" t="str">
        <f>Agencia[[#This Row],[territorio]]&amp;",evolución,anual,cantidad,número,empresas,tipo,contribuyente,SII,regional,activas,año,tributario,fiscal,inicio,actividades,"&amp;Agencia[[#This Row],[coleccion]]&amp;","&amp;Agencia[[#This Row],[sector]]&amp;","&amp;Agencia[[#This Row],[tema]]&amp;","&amp;Agencia[[#This Row],[contenido]]</f>
        <v>Región de Maule,evolución,anual,cantidad,número,empresas,tipo,contribuyente,SII,regional,activas,año,tributario,fiscal,inicio,actividades,Agencia Información,Economía,Empresas vigentes,Empresas</v>
      </c>
      <c r="S823" s="37" t="str">
        <f>HYPERLINK("https://analytics.zoho.com/open-view/2395394000008062255?ZOHO_CRITERIA=%22Directorio_Todo%22.%22Cod_Regi%C3%B3n%22%3D"&amp;Agencia[[#This Row],[Filtro URL]])</f>
        <v>https://analytics.zoho.com/open-view/2395394000008062255?ZOHO_CRITERIA=%22Directorio_Todo%22.%22Cod_Regi%C3%B3n%22%3D7</v>
      </c>
      <c r="T823" s="111" t="str">
        <f>"100-C-"&amp;Agencia[[#This Row],[Filtro URL]]</f>
        <v>100-C-7</v>
      </c>
      <c r="U823" s="46" t="str">
        <f t="shared" si="344"/>
        <v>#1774B9</v>
      </c>
      <c r="V823" s="93" t="str">
        <f>+Agencia[[#This Row],[idcoleccion]]&amp;"-"&amp;Agencia[[#This Row],[id]]</f>
        <v>990-0812</v>
      </c>
      <c r="W823" s="93">
        <f>+VLOOKUP(Agencia[[#This Row],[Filtro URL]],Estructura!$X$4:$Y$500,2,0)</f>
        <v>99200007</v>
      </c>
      <c r="X823" s="93" t="str">
        <f>+VLOOKUP(Agencia[[#This Row],[tema]],Estructura!$A$4:$C$500,3,0)</f>
        <v>T-1015</v>
      </c>
      <c r="Y823" s="93" t="str">
        <f>+VLOOKUP(Agencia[[#This Row],[contenido]],Estructura!$E$4:$G$500,3,0)</f>
        <v>C-993</v>
      </c>
      <c r="Z823" s="93" t="str">
        <f>+VLOOKUP(Agencia[[#This Row],[Filtro Integrado]],Estructura!$I$4:$K$500,3,0)</f>
        <v>FI-991</v>
      </c>
      <c r="AA823" s="93" t="str">
        <f>+VLOOKUP(Agencia[[#This Row],[Muestra]],Estructura!$M$4:$O$500,3,0)</f>
        <v>M-1075</v>
      </c>
    </row>
    <row r="824" spans="1:27" ht="61.2" x14ac:dyDescent="0.3">
      <c r="A824" s="21" t="s">
        <v>1328</v>
      </c>
      <c r="B824" s="23">
        <f t="shared" si="331"/>
        <v>990</v>
      </c>
      <c r="C824" s="24" t="str">
        <f t="shared" si="332"/>
        <v>Agencia Información</v>
      </c>
      <c r="D824" s="72" t="str">
        <f t="shared" si="345"/>
        <v>Economía</v>
      </c>
      <c r="E824" s="19">
        <v>8</v>
      </c>
      <c r="F824" s="18" t="s">
        <v>1508</v>
      </c>
      <c r="G824" s="18" t="s">
        <v>1470</v>
      </c>
      <c r="H824" s="33" t="s">
        <v>16</v>
      </c>
      <c r="I824" s="34" t="s">
        <v>375</v>
      </c>
      <c r="J824" s="9" t="str">
        <f t="shared" si="351"/>
        <v>Comuna</v>
      </c>
      <c r="K824" s="9" t="str">
        <f t="shared" si="346"/>
        <v>Empresas vigentes</v>
      </c>
      <c r="L824" s="36" t="str">
        <f t="shared" si="347"/>
        <v>Periodo 1993-2019</v>
      </c>
      <c r="M824" s="9" t="str">
        <f t="shared" si="348"/>
        <v>Número de empresas</v>
      </c>
      <c r="N824" s="9" t="str">
        <f t="shared" si="349"/>
        <v>Servicio de Impuestos Internos (SII)</v>
      </c>
      <c r="O824" s="41" t="str">
        <f>+"Número de empresas vigentes según año de inicio de actividades y tipo de contribuyente en la "&amp;I824&amp;", "&amp;Agencia[[#This Row],[temporalidad]]</f>
        <v>Número de empresas vigentes según año de inicio de actividades y tipo de contribuyente en la Región del Biobío, Periodo 1993-2019</v>
      </c>
      <c r="P824" s="112" t="s">
        <v>5804</v>
      </c>
      <c r="Q824" s="11" t="str">
        <f t="shared" si="350"/>
        <v>Gráfico de Evolución</v>
      </c>
      <c r="R824" s="148" t="str">
        <f>Agencia[[#This Row],[territorio]]&amp;",evolución,anual,cantidad,número,empresas,tipo,contribuyente,SII,regional,activas,año,tributario,fiscal,inicio,actividades,"&amp;Agencia[[#This Row],[coleccion]]&amp;","&amp;Agencia[[#This Row],[sector]]&amp;","&amp;Agencia[[#This Row],[tema]]&amp;","&amp;Agencia[[#This Row],[contenido]]</f>
        <v>Región del Biobío,evolución,anual,cantidad,número,empresas,tipo,contribuyente,SII,regional,activas,año,tributario,fiscal,inicio,actividades,Agencia Información,Economía,Empresas vigentes,Empresas</v>
      </c>
      <c r="S824" s="37" t="str">
        <f>HYPERLINK("https://analytics.zoho.com/open-view/2395394000008062255?ZOHO_CRITERIA=%22Directorio_Todo%22.%22Cod_Regi%C3%B3n%22%3D"&amp;Agencia[[#This Row],[Filtro URL]])</f>
        <v>https://analytics.zoho.com/open-view/2395394000008062255?ZOHO_CRITERIA=%22Directorio_Todo%22.%22Cod_Regi%C3%B3n%22%3D8</v>
      </c>
      <c r="T824" s="111" t="str">
        <f>"100-C-"&amp;Agencia[[#This Row],[Filtro URL]]</f>
        <v>100-C-8</v>
      </c>
      <c r="U824" s="46" t="str">
        <f t="shared" si="344"/>
        <v>#1774B9</v>
      </c>
      <c r="V824" s="93" t="str">
        <f>+Agencia[[#This Row],[idcoleccion]]&amp;"-"&amp;Agencia[[#This Row],[id]]</f>
        <v>990-0813</v>
      </c>
      <c r="W824" s="93">
        <f>+VLOOKUP(Agencia[[#This Row],[Filtro URL]],Estructura!$X$4:$Y$500,2,0)</f>
        <v>99200008</v>
      </c>
      <c r="X824" s="93" t="str">
        <f>+VLOOKUP(Agencia[[#This Row],[tema]],Estructura!$A$4:$C$500,3,0)</f>
        <v>T-1015</v>
      </c>
      <c r="Y824" s="93" t="str">
        <f>+VLOOKUP(Agencia[[#This Row],[contenido]],Estructura!$E$4:$G$500,3,0)</f>
        <v>C-993</v>
      </c>
      <c r="Z824" s="93" t="str">
        <f>+VLOOKUP(Agencia[[#This Row],[Filtro Integrado]],Estructura!$I$4:$K$500,3,0)</f>
        <v>FI-991</v>
      </c>
      <c r="AA824" s="93" t="str">
        <f>+VLOOKUP(Agencia[[#This Row],[Muestra]],Estructura!$M$4:$O$500,3,0)</f>
        <v>M-1075</v>
      </c>
    </row>
    <row r="825" spans="1:27" ht="61.2" x14ac:dyDescent="0.3">
      <c r="A825" s="21" t="s">
        <v>1329</v>
      </c>
      <c r="B825" s="23">
        <f t="shared" si="331"/>
        <v>990</v>
      </c>
      <c r="C825" s="24" t="str">
        <f t="shared" si="332"/>
        <v>Agencia Información</v>
      </c>
      <c r="D825" s="72" t="str">
        <f t="shared" si="345"/>
        <v>Economía</v>
      </c>
      <c r="E825" s="19">
        <v>9</v>
      </c>
      <c r="F825" s="18" t="s">
        <v>1508</v>
      </c>
      <c r="G825" s="18" t="s">
        <v>1470</v>
      </c>
      <c r="H825" s="33" t="s">
        <v>16</v>
      </c>
      <c r="I825" s="34" t="s">
        <v>376</v>
      </c>
      <c r="J825" s="9" t="str">
        <f t="shared" si="351"/>
        <v>Comuna</v>
      </c>
      <c r="K825" s="9" t="str">
        <f t="shared" si="346"/>
        <v>Empresas vigentes</v>
      </c>
      <c r="L825" s="36" t="str">
        <f t="shared" si="347"/>
        <v>Periodo 1993-2019</v>
      </c>
      <c r="M825" s="9" t="str">
        <f t="shared" si="348"/>
        <v>Número de empresas</v>
      </c>
      <c r="N825" s="9" t="str">
        <f t="shared" si="349"/>
        <v>Servicio de Impuestos Internos (SII)</v>
      </c>
      <c r="O825" s="41" t="str">
        <f>+"Número de empresas vigentes según año de inicio de actividades y tipo de contribuyente en la "&amp;I825&amp;", "&amp;Agencia[[#This Row],[temporalidad]]</f>
        <v>Número de empresas vigentes según año de inicio de actividades y tipo de contribuyente en la Región de La Araucanía, Periodo 1993-2019</v>
      </c>
      <c r="P825" s="112" t="s">
        <v>5805</v>
      </c>
      <c r="Q825" s="11" t="str">
        <f t="shared" si="350"/>
        <v>Gráfico de Evolución</v>
      </c>
      <c r="R825" s="148" t="str">
        <f>Agencia[[#This Row],[territorio]]&amp;",evolución,anual,cantidad,número,empresas,tipo,contribuyente,SII,regional,activas,año,tributario,fiscal,inicio,actividades,"&amp;Agencia[[#This Row],[coleccion]]&amp;","&amp;Agencia[[#This Row],[sector]]&amp;","&amp;Agencia[[#This Row],[tema]]&amp;","&amp;Agencia[[#This Row],[contenido]]</f>
        <v>Región de La Araucanía,evolución,anual,cantidad,número,empresas,tipo,contribuyente,SII,regional,activas,año,tributario,fiscal,inicio,actividades,Agencia Información,Economía,Empresas vigentes,Empresas</v>
      </c>
      <c r="S825" s="37" t="str">
        <f>HYPERLINK("https://analytics.zoho.com/open-view/2395394000008062255?ZOHO_CRITERIA=%22Directorio_Todo%22.%22Cod_Regi%C3%B3n%22%3D"&amp;Agencia[[#This Row],[Filtro URL]])</f>
        <v>https://analytics.zoho.com/open-view/2395394000008062255?ZOHO_CRITERIA=%22Directorio_Todo%22.%22Cod_Regi%C3%B3n%22%3D9</v>
      </c>
      <c r="T825" s="111" t="str">
        <f>"100-C-"&amp;Agencia[[#This Row],[Filtro URL]]</f>
        <v>100-C-9</v>
      </c>
      <c r="U825" s="46" t="str">
        <f t="shared" si="344"/>
        <v>#1774B9</v>
      </c>
      <c r="V825" s="93" t="str">
        <f>+Agencia[[#This Row],[idcoleccion]]&amp;"-"&amp;Agencia[[#This Row],[id]]</f>
        <v>990-0814</v>
      </c>
      <c r="W825" s="93">
        <f>+VLOOKUP(Agencia[[#This Row],[Filtro URL]],Estructura!$X$4:$Y$500,2,0)</f>
        <v>99200009</v>
      </c>
      <c r="X825" s="93" t="str">
        <f>+VLOOKUP(Agencia[[#This Row],[tema]],Estructura!$A$4:$C$500,3,0)</f>
        <v>T-1015</v>
      </c>
      <c r="Y825" s="93" t="str">
        <f>+VLOOKUP(Agencia[[#This Row],[contenido]],Estructura!$E$4:$G$500,3,0)</f>
        <v>C-993</v>
      </c>
      <c r="Z825" s="93" t="str">
        <f>+VLOOKUP(Agencia[[#This Row],[Filtro Integrado]],Estructura!$I$4:$K$500,3,0)</f>
        <v>FI-991</v>
      </c>
      <c r="AA825" s="93" t="str">
        <f>+VLOOKUP(Agencia[[#This Row],[Muestra]],Estructura!$M$4:$O$500,3,0)</f>
        <v>M-1075</v>
      </c>
    </row>
    <row r="826" spans="1:27" ht="61.2" x14ac:dyDescent="0.3">
      <c r="A826" s="21" t="s">
        <v>1330</v>
      </c>
      <c r="B826" s="23">
        <f t="shared" si="331"/>
        <v>990</v>
      </c>
      <c r="C826" s="24" t="str">
        <f t="shared" si="332"/>
        <v>Agencia Información</v>
      </c>
      <c r="D826" s="72" t="str">
        <f t="shared" si="345"/>
        <v>Economía</v>
      </c>
      <c r="E826" s="19">
        <v>10</v>
      </c>
      <c r="F826" s="18" t="s">
        <v>1508</v>
      </c>
      <c r="G826" s="18" t="s">
        <v>1470</v>
      </c>
      <c r="H826" s="33" t="s">
        <v>16</v>
      </c>
      <c r="I826" s="34" t="s">
        <v>377</v>
      </c>
      <c r="J826" s="9" t="str">
        <f t="shared" si="351"/>
        <v>Comuna</v>
      </c>
      <c r="K826" s="9" t="str">
        <f t="shared" si="346"/>
        <v>Empresas vigentes</v>
      </c>
      <c r="L826" s="36" t="str">
        <f t="shared" si="347"/>
        <v>Periodo 1993-2019</v>
      </c>
      <c r="M826" s="9" t="str">
        <f t="shared" si="348"/>
        <v>Número de empresas</v>
      </c>
      <c r="N826" s="9" t="str">
        <f t="shared" si="349"/>
        <v>Servicio de Impuestos Internos (SII)</v>
      </c>
      <c r="O826" s="41" t="str">
        <f>+"Número de empresas vigentes según año de inicio de actividades y tipo de contribuyente en la "&amp;I826&amp;", "&amp;Agencia[[#This Row],[temporalidad]]</f>
        <v>Número de empresas vigentes según año de inicio de actividades y tipo de contribuyente en la Región de Los Lagos, Periodo 1993-2019</v>
      </c>
      <c r="P826" s="112" t="s">
        <v>5806</v>
      </c>
      <c r="Q826" s="11" t="str">
        <f t="shared" si="350"/>
        <v>Gráfico de Evolución</v>
      </c>
      <c r="R826" s="148" t="str">
        <f>Agencia[[#This Row],[territorio]]&amp;",evolución,anual,cantidad,número,empresas,tipo,contribuyente,SII,regional,activas,año,tributario,fiscal,inicio,actividades,"&amp;Agencia[[#This Row],[coleccion]]&amp;","&amp;Agencia[[#This Row],[sector]]&amp;","&amp;Agencia[[#This Row],[tema]]&amp;","&amp;Agencia[[#This Row],[contenido]]</f>
        <v>Región de Los Lagos,evolución,anual,cantidad,número,empresas,tipo,contribuyente,SII,regional,activas,año,tributario,fiscal,inicio,actividades,Agencia Información,Economía,Empresas vigentes,Empresas</v>
      </c>
      <c r="S826" s="37" t="str">
        <f>HYPERLINK("https://analytics.zoho.com/open-view/2395394000008062255?ZOHO_CRITERIA=%22Directorio_Todo%22.%22Cod_Regi%C3%B3n%22%3D"&amp;Agencia[[#This Row],[Filtro URL]])</f>
        <v>https://analytics.zoho.com/open-view/2395394000008062255?ZOHO_CRITERIA=%22Directorio_Todo%22.%22Cod_Regi%C3%B3n%22%3D10</v>
      </c>
      <c r="T826" s="111" t="str">
        <f>"100-C-"&amp;Agencia[[#This Row],[Filtro URL]]</f>
        <v>100-C-10</v>
      </c>
      <c r="U826" s="46" t="str">
        <f t="shared" si="344"/>
        <v>#1774B9</v>
      </c>
      <c r="V826" s="93" t="str">
        <f>+Agencia[[#This Row],[idcoleccion]]&amp;"-"&amp;Agencia[[#This Row],[id]]</f>
        <v>990-0815</v>
      </c>
      <c r="W826" s="93">
        <f>+VLOOKUP(Agencia[[#This Row],[Filtro URL]],Estructura!$X$4:$Y$500,2,0)</f>
        <v>99200010</v>
      </c>
      <c r="X826" s="93" t="str">
        <f>+VLOOKUP(Agencia[[#This Row],[tema]],Estructura!$A$4:$C$500,3,0)</f>
        <v>T-1015</v>
      </c>
      <c r="Y826" s="93" t="str">
        <f>+VLOOKUP(Agencia[[#This Row],[contenido]],Estructura!$E$4:$G$500,3,0)</f>
        <v>C-993</v>
      </c>
      <c r="Z826" s="93" t="str">
        <f>+VLOOKUP(Agencia[[#This Row],[Filtro Integrado]],Estructura!$I$4:$K$500,3,0)</f>
        <v>FI-991</v>
      </c>
      <c r="AA826" s="93" t="str">
        <f>+VLOOKUP(Agencia[[#This Row],[Muestra]],Estructura!$M$4:$O$500,3,0)</f>
        <v>M-1075</v>
      </c>
    </row>
    <row r="827" spans="1:27" ht="61.2" x14ac:dyDescent="0.3">
      <c r="A827" s="21" t="s">
        <v>1331</v>
      </c>
      <c r="B827" s="23">
        <f t="shared" si="331"/>
        <v>990</v>
      </c>
      <c r="C827" s="24" t="str">
        <f t="shared" si="332"/>
        <v>Agencia Información</v>
      </c>
      <c r="D827" s="72" t="str">
        <f t="shared" si="345"/>
        <v>Economía</v>
      </c>
      <c r="E827" s="19">
        <v>11</v>
      </c>
      <c r="F827" s="18" t="s">
        <v>1508</v>
      </c>
      <c r="G827" s="18" t="s">
        <v>1470</v>
      </c>
      <c r="H827" s="33" t="s">
        <v>16</v>
      </c>
      <c r="I827" s="34" t="s">
        <v>378</v>
      </c>
      <c r="J827" s="9" t="str">
        <f t="shared" si="351"/>
        <v>Comuna</v>
      </c>
      <c r="K827" s="9" t="str">
        <f t="shared" si="346"/>
        <v>Empresas vigentes</v>
      </c>
      <c r="L827" s="36" t="str">
        <f t="shared" si="347"/>
        <v>Periodo 1993-2019</v>
      </c>
      <c r="M827" s="9" t="str">
        <f t="shared" si="348"/>
        <v>Número de empresas</v>
      </c>
      <c r="N827" s="9" t="str">
        <f t="shared" si="349"/>
        <v>Servicio de Impuestos Internos (SII)</v>
      </c>
      <c r="O827" s="41" t="str">
        <f>+"Número de empresas vigentes según año de inicio de actividades y tipo de contribuyente en la "&amp;I827&amp;", "&amp;Agencia[[#This Row],[temporalidad]]</f>
        <v>Número de empresas vigentes según año de inicio de actividades y tipo de contribuyente en la Región de Aysén, Periodo 1993-2019</v>
      </c>
      <c r="P827" s="112" t="s">
        <v>5807</v>
      </c>
      <c r="Q827" s="11" t="str">
        <f t="shared" si="350"/>
        <v>Gráfico de Evolución</v>
      </c>
      <c r="R827" s="148" t="str">
        <f>Agencia[[#This Row],[territorio]]&amp;",evolución,anual,cantidad,número,empresas,tipo,contribuyente,SII,regional,activas,año,tributario,fiscal,inicio,actividades,"&amp;Agencia[[#This Row],[coleccion]]&amp;","&amp;Agencia[[#This Row],[sector]]&amp;","&amp;Agencia[[#This Row],[tema]]&amp;","&amp;Agencia[[#This Row],[contenido]]</f>
        <v>Región de Aysén,evolución,anual,cantidad,número,empresas,tipo,contribuyente,SII,regional,activas,año,tributario,fiscal,inicio,actividades,Agencia Información,Economía,Empresas vigentes,Empresas</v>
      </c>
      <c r="S827" s="37" t="str">
        <f>HYPERLINK("https://analytics.zoho.com/open-view/2395394000008062255?ZOHO_CRITERIA=%22Directorio_Todo%22.%22Cod_Regi%C3%B3n%22%3D"&amp;Agencia[[#This Row],[Filtro URL]])</f>
        <v>https://analytics.zoho.com/open-view/2395394000008062255?ZOHO_CRITERIA=%22Directorio_Todo%22.%22Cod_Regi%C3%B3n%22%3D11</v>
      </c>
      <c r="T827" s="111" t="str">
        <f>"100-C-"&amp;Agencia[[#This Row],[Filtro URL]]</f>
        <v>100-C-11</v>
      </c>
      <c r="U827" s="46" t="str">
        <f t="shared" si="344"/>
        <v>#1774B9</v>
      </c>
      <c r="V827" s="93" t="str">
        <f>+Agencia[[#This Row],[idcoleccion]]&amp;"-"&amp;Agencia[[#This Row],[id]]</f>
        <v>990-0816</v>
      </c>
      <c r="W827" s="93">
        <f>+VLOOKUP(Agencia[[#This Row],[Filtro URL]],Estructura!$X$4:$Y$500,2,0)</f>
        <v>99200011</v>
      </c>
      <c r="X827" s="93" t="str">
        <f>+VLOOKUP(Agencia[[#This Row],[tema]],Estructura!$A$4:$C$500,3,0)</f>
        <v>T-1015</v>
      </c>
      <c r="Y827" s="93" t="str">
        <f>+VLOOKUP(Agencia[[#This Row],[contenido]],Estructura!$E$4:$G$500,3,0)</f>
        <v>C-993</v>
      </c>
      <c r="Z827" s="93" t="str">
        <f>+VLOOKUP(Agencia[[#This Row],[Filtro Integrado]],Estructura!$I$4:$K$500,3,0)</f>
        <v>FI-991</v>
      </c>
      <c r="AA827" s="93" t="str">
        <f>+VLOOKUP(Agencia[[#This Row],[Muestra]],Estructura!$M$4:$O$500,3,0)</f>
        <v>M-1075</v>
      </c>
    </row>
    <row r="828" spans="1:27" ht="61.2" x14ac:dyDescent="0.3">
      <c r="A828" s="21" t="s">
        <v>1332</v>
      </c>
      <c r="B828" s="23">
        <f t="shared" si="331"/>
        <v>990</v>
      </c>
      <c r="C828" s="24" t="str">
        <f t="shared" si="332"/>
        <v>Agencia Información</v>
      </c>
      <c r="D828" s="72" t="str">
        <f t="shared" si="345"/>
        <v>Economía</v>
      </c>
      <c r="E828" s="19">
        <v>12</v>
      </c>
      <c r="F828" s="18" t="s">
        <v>1508</v>
      </c>
      <c r="G828" s="18" t="s">
        <v>1470</v>
      </c>
      <c r="H828" s="33" t="s">
        <v>16</v>
      </c>
      <c r="I828" s="34" t="s">
        <v>379</v>
      </c>
      <c r="J828" s="9" t="str">
        <f t="shared" si="351"/>
        <v>Comuna</v>
      </c>
      <c r="K828" s="9" t="str">
        <f t="shared" si="346"/>
        <v>Empresas vigentes</v>
      </c>
      <c r="L828" s="36" t="str">
        <f t="shared" si="347"/>
        <v>Periodo 1993-2019</v>
      </c>
      <c r="M828" s="9" t="str">
        <f t="shared" si="348"/>
        <v>Número de empresas</v>
      </c>
      <c r="N828" s="9" t="str">
        <f t="shared" si="349"/>
        <v>Servicio de Impuestos Internos (SII)</v>
      </c>
      <c r="O828" s="41" t="str">
        <f>+"Número de empresas vigentes según año de inicio de actividades y tipo de contribuyente en la "&amp;I828&amp;", "&amp;Agencia[[#This Row],[temporalidad]]</f>
        <v>Número de empresas vigentes según año de inicio de actividades y tipo de contribuyente en la Región de Magallanes, Periodo 1993-2019</v>
      </c>
      <c r="P828" s="112" t="s">
        <v>5808</v>
      </c>
      <c r="Q828" s="11" t="str">
        <f t="shared" si="350"/>
        <v>Gráfico de Evolución</v>
      </c>
      <c r="R828" s="148" t="str">
        <f>Agencia[[#This Row],[territorio]]&amp;",evolución,anual,cantidad,número,empresas,tipo,contribuyente,SII,regional,activas,año,tributario,fiscal,inicio,actividades,"&amp;Agencia[[#This Row],[coleccion]]&amp;","&amp;Agencia[[#This Row],[sector]]&amp;","&amp;Agencia[[#This Row],[tema]]&amp;","&amp;Agencia[[#This Row],[contenido]]</f>
        <v>Región de Magallanes,evolución,anual,cantidad,número,empresas,tipo,contribuyente,SII,regional,activas,año,tributario,fiscal,inicio,actividades,Agencia Información,Economía,Empresas vigentes,Empresas</v>
      </c>
      <c r="S828" s="37" t="str">
        <f>HYPERLINK("https://analytics.zoho.com/open-view/2395394000008062255?ZOHO_CRITERIA=%22Directorio_Todo%22.%22Cod_Regi%C3%B3n%22%3D"&amp;Agencia[[#This Row],[Filtro URL]])</f>
        <v>https://analytics.zoho.com/open-view/2395394000008062255?ZOHO_CRITERIA=%22Directorio_Todo%22.%22Cod_Regi%C3%B3n%22%3D12</v>
      </c>
      <c r="T828" s="111" t="str">
        <f>"100-C-"&amp;Agencia[[#This Row],[Filtro URL]]</f>
        <v>100-C-12</v>
      </c>
      <c r="U828" s="46" t="str">
        <f t="shared" si="344"/>
        <v>#1774B9</v>
      </c>
      <c r="V828" s="93" t="str">
        <f>+Agencia[[#This Row],[idcoleccion]]&amp;"-"&amp;Agencia[[#This Row],[id]]</f>
        <v>990-0817</v>
      </c>
      <c r="W828" s="93">
        <f>+VLOOKUP(Agencia[[#This Row],[Filtro URL]],Estructura!$X$4:$Y$500,2,0)</f>
        <v>99200012</v>
      </c>
      <c r="X828" s="93" t="str">
        <f>+VLOOKUP(Agencia[[#This Row],[tema]],Estructura!$A$4:$C$500,3,0)</f>
        <v>T-1015</v>
      </c>
      <c r="Y828" s="93" t="str">
        <f>+VLOOKUP(Agencia[[#This Row],[contenido]],Estructura!$E$4:$G$500,3,0)</f>
        <v>C-993</v>
      </c>
      <c r="Z828" s="93" t="str">
        <f>+VLOOKUP(Agencia[[#This Row],[Filtro Integrado]],Estructura!$I$4:$K$500,3,0)</f>
        <v>FI-991</v>
      </c>
      <c r="AA828" s="93" t="str">
        <f>+VLOOKUP(Agencia[[#This Row],[Muestra]],Estructura!$M$4:$O$500,3,0)</f>
        <v>M-1075</v>
      </c>
    </row>
    <row r="829" spans="1:27" ht="61.2" x14ac:dyDescent="0.3">
      <c r="A829" s="21" t="s">
        <v>1333</v>
      </c>
      <c r="B829" s="23">
        <f t="shared" si="331"/>
        <v>990</v>
      </c>
      <c r="C829" s="24" t="str">
        <f t="shared" si="332"/>
        <v>Agencia Información</v>
      </c>
      <c r="D829" s="72" t="str">
        <f t="shared" si="345"/>
        <v>Economía</v>
      </c>
      <c r="E829" s="19">
        <v>13</v>
      </c>
      <c r="F829" s="18" t="s">
        <v>1508</v>
      </c>
      <c r="G829" s="18" t="s">
        <v>1470</v>
      </c>
      <c r="H829" s="33" t="s">
        <v>16</v>
      </c>
      <c r="I829" s="34" t="s">
        <v>380</v>
      </c>
      <c r="J829" s="9" t="str">
        <f t="shared" si="351"/>
        <v>Comuna</v>
      </c>
      <c r="K829" s="9" t="str">
        <f t="shared" si="346"/>
        <v>Empresas vigentes</v>
      </c>
      <c r="L829" s="36" t="str">
        <f t="shared" si="347"/>
        <v>Periodo 1993-2019</v>
      </c>
      <c r="M829" s="9" t="str">
        <f t="shared" si="348"/>
        <v>Número de empresas</v>
      </c>
      <c r="N829" s="9" t="str">
        <f t="shared" si="349"/>
        <v>Servicio de Impuestos Internos (SII)</v>
      </c>
      <c r="O829" s="41" t="str">
        <f>+"Número de empresas vigentes según año de inicio de actividades y tipo de contribuyente en la "&amp;I829&amp;", "&amp;Agencia[[#This Row],[temporalidad]]</f>
        <v>Número de empresas vigentes según año de inicio de actividades y tipo de contribuyente en la Región Metropolitana, Periodo 1993-2019</v>
      </c>
      <c r="P829" s="112" t="s">
        <v>5809</v>
      </c>
      <c r="Q829" s="11" t="str">
        <f t="shared" si="350"/>
        <v>Gráfico de Evolución</v>
      </c>
      <c r="R829" s="148" t="str">
        <f>Agencia[[#This Row],[territorio]]&amp;",evolución,anual,cantidad,número,empresas,tipo,contribuyente,SII,regional,activas,año,tributario,fiscal,inicio,actividades,"&amp;Agencia[[#This Row],[coleccion]]&amp;","&amp;Agencia[[#This Row],[sector]]&amp;","&amp;Agencia[[#This Row],[tema]]&amp;","&amp;Agencia[[#This Row],[contenido]]</f>
        <v>Región Metropolitana,evolución,anual,cantidad,número,empresas,tipo,contribuyente,SII,regional,activas,año,tributario,fiscal,inicio,actividades,Agencia Información,Economía,Empresas vigentes,Empresas</v>
      </c>
      <c r="S829" s="37" t="str">
        <f>HYPERLINK("https://analytics.zoho.com/open-view/2395394000008062255?ZOHO_CRITERIA=%22Directorio_Todo%22.%22Cod_Regi%C3%B3n%22%3D"&amp;Agencia[[#This Row],[Filtro URL]])</f>
        <v>https://analytics.zoho.com/open-view/2395394000008062255?ZOHO_CRITERIA=%22Directorio_Todo%22.%22Cod_Regi%C3%B3n%22%3D13</v>
      </c>
      <c r="T829" s="111" t="str">
        <f>"200-C-"&amp;Agencia[[#This Row],[Filtro URL]]</f>
        <v>200-C-13</v>
      </c>
      <c r="U829" s="46" t="str">
        <f t="shared" si="344"/>
        <v>#1774B9</v>
      </c>
      <c r="V829" s="93" t="str">
        <f>+Agencia[[#This Row],[idcoleccion]]&amp;"-"&amp;Agencia[[#This Row],[id]]</f>
        <v>990-0818</v>
      </c>
      <c r="W829" s="93">
        <f>+VLOOKUP(Agencia[[#This Row],[Filtro URL]],Estructura!$X$4:$Y$500,2,0)</f>
        <v>99200013</v>
      </c>
      <c r="X829" s="93" t="str">
        <f>+VLOOKUP(Agencia[[#This Row],[tema]],Estructura!$A$4:$C$500,3,0)</f>
        <v>T-1015</v>
      </c>
      <c r="Y829" s="93" t="str">
        <f>+VLOOKUP(Agencia[[#This Row],[contenido]],Estructura!$E$4:$G$500,3,0)</f>
        <v>C-993</v>
      </c>
      <c r="Z829" s="93" t="str">
        <f>+VLOOKUP(Agencia[[#This Row],[Filtro Integrado]],Estructura!$I$4:$K$500,3,0)</f>
        <v>FI-991</v>
      </c>
      <c r="AA829" s="93" t="str">
        <f>+VLOOKUP(Agencia[[#This Row],[Muestra]],Estructura!$M$4:$O$500,3,0)</f>
        <v>M-1075</v>
      </c>
    </row>
    <row r="830" spans="1:27" ht="61.2" x14ac:dyDescent="0.3">
      <c r="A830" s="21" t="s">
        <v>1334</v>
      </c>
      <c r="B830" s="23">
        <f t="shared" si="331"/>
        <v>990</v>
      </c>
      <c r="C830" s="24" t="str">
        <f t="shared" si="332"/>
        <v>Agencia Información</v>
      </c>
      <c r="D830" s="72" t="str">
        <f t="shared" si="345"/>
        <v>Economía</v>
      </c>
      <c r="E830" s="19">
        <v>14</v>
      </c>
      <c r="F830" s="18" t="s">
        <v>1508</v>
      </c>
      <c r="G830" s="18" t="s">
        <v>1470</v>
      </c>
      <c r="H830" s="33" t="s">
        <v>16</v>
      </c>
      <c r="I830" s="34" t="s">
        <v>381</v>
      </c>
      <c r="J830" s="9" t="str">
        <f t="shared" si="351"/>
        <v>Comuna</v>
      </c>
      <c r="K830" s="9" t="str">
        <f t="shared" si="346"/>
        <v>Empresas vigentes</v>
      </c>
      <c r="L830" s="36" t="str">
        <f t="shared" si="347"/>
        <v>Periodo 1993-2019</v>
      </c>
      <c r="M830" s="9" t="str">
        <f t="shared" si="348"/>
        <v>Número de empresas</v>
      </c>
      <c r="N830" s="9" t="str">
        <f t="shared" si="349"/>
        <v>Servicio de Impuestos Internos (SII)</v>
      </c>
      <c r="O830" s="41" t="str">
        <f>+"Número de empresas vigentes según año de inicio de actividades y tipo de contribuyente en la "&amp;I830&amp;", "&amp;Agencia[[#This Row],[temporalidad]]</f>
        <v>Número de empresas vigentes según año de inicio de actividades y tipo de contribuyente en la Región de Los Ríos, Periodo 1993-2019</v>
      </c>
      <c r="P830" s="112" t="s">
        <v>5810</v>
      </c>
      <c r="Q830" s="11" t="str">
        <f t="shared" si="350"/>
        <v>Gráfico de Evolución</v>
      </c>
      <c r="R830" s="148" t="str">
        <f>Agencia[[#This Row],[territorio]]&amp;",evolución,anual,cantidad,número,empresas,tipo,contribuyente,SII,regional,activas,año,tributario,fiscal,inicio,actividades,"&amp;Agencia[[#This Row],[coleccion]]&amp;","&amp;Agencia[[#This Row],[sector]]&amp;","&amp;Agencia[[#This Row],[tema]]&amp;","&amp;Agencia[[#This Row],[contenido]]</f>
        <v>Región de Los Ríos,evolución,anual,cantidad,número,empresas,tipo,contribuyente,SII,regional,activas,año,tributario,fiscal,inicio,actividades,Agencia Información,Economía,Empresas vigentes,Empresas</v>
      </c>
      <c r="S830" s="37" t="str">
        <f>HYPERLINK("https://analytics.zoho.com/open-view/2395394000008062255?ZOHO_CRITERIA=%22Directorio_Todo%22.%22Cod_Regi%C3%B3n%22%3D"&amp;Agencia[[#This Row],[Filtro URL]])</f>
        <v>https://analytics.zoho.com/open-view/2395394000008062255?ZOHO_CRITERIA=%22Directorio_Todo%22.%22Cod_Regi%C3%B3n%22%3D14</v>
      </c>
      <c r="T830" s="111" t="str">
        <f>"100-C-"&amp;Agencia[[#This Row],[Filtro URL]]</f>
        <v>100-C-14</v>
      </c>
      <c r="U830" s="46" t="str">
        <f t="shared" si="344"/>
        <v>#1774B9</v>
      </c>
      <c r="V830" s="93" t="str">
        <f>+Agencia[[#This Row],[idcoleccion]]&amp;"-"&amp;Agencia[[#This Row],[id]]</f>
        <v>990-0819</v>
      </c>
      <c r="W830" s="93">
        <f>+VLOOKUP(Agencia[[#This Row],[Filtro URL]],Estructura!$X$4:$Y$500,2,0)</f>
        <v>99200014</v>
      </c>
      <c r="X830" s="93" t="str">
        <f>+VLOOKUP(Agencia[[#This Row],[tema]],Estructura!$A$4:$C$500,3,0)</f>
        <v>T-1015</v>
      </c>
      <c r="Y830" s="93" t="str">
        <f>+VLOOKUP(Agencia[[#This Row],[contenido]],Estructura!$E$4:$G$500,3,0)</f>
        <v>C-993</v>
      </c>
      <c r="Z830" s="93" t="str">
        <f>+VLOOKUP(Agencia[[#This Row],[Filtro Integrado]],Estructura!$I$4:$K$500,3,0)</f>
        <v>FI-991</v>
      </c>
      <c r="AA830" s="93" t="str">
        <f>+VLOOKUP(Agencia[[#This Row],[Muestra]],Estructura!$M$4:$O$500,3,0)</f>
        <v>M-1075</v>
      </c>
    </row>
    <row r="831" spans="1:27" ht="61.2" x14ac:dyDescent="0.3">
      <c r="A831" s="21" t="s">
        <v>1335</v>
      </c>
      <c r="B831" s="23">
        <f t="shared" si="331"/>
        <v>990</v>
      </c>
      <c r="C831" s="24" t="str">
        <f t="shared" si="332"/>
        <v>Agencia Información</v>
      </c>
      <c r="D831" s="72" t="str">
        <f t="shared" si="345"/>
        <v>Economía</v>
      </c>
      <c r="E831" s="19">
        <v>15</v>
      </c>
      <c r="F831" s="18" t="s">
        <v>1508</v>
      </c>
      <c r="G831" s="18" t="s">
        <v>1470</v>
      </c>
      <c r="H831" s="33" t="s">
        <v>16</v>
      </c>
      <c r="I831" s="34" t="s">
        <v>382</v>
      </c>
      <c r="J831" s="9" t="str">
        <f t="shared" si="351"/>
        <v>Comuna</v>
      </c>
      <c r="K831" s="9" t="str">
        <f t="shared" si="346"/>
        <v>Empresas vigentes</v>
      </c>
      <c r="L831" s="36" t="str">
        <f t="shared" si="347"/>
        <v>Periodo 1993-2019</v>
      </c>
      <c r="M831" s="9" t="str">
        <f t="shared" si="348"/>
        <v>Número de empresas</v>
      </c>
      <c r="N831" s="9" t="str">
        <f t="shared" si="349"/>
        <v>Servicio de Impuestos Internos (SII)</v>
      </c>
      <c r="O831" s="41" t="str">
        <f>+"Número de empresas vigentes según año de inicio de actividades y tipo de contribuyente en la "&amp;I831&amp;", "&amp;Agencia[[#This Row],[temporalidad]]</f>
        <v>Número de empresas vigentes según año de inicio de actividades y tipo de contribuyente en la Región de Arica y Parinacota, Periodo 1993-2019</v>
      </c>
      <c r="P831" s="112" t="s">
        <v>5811</v>
      </c>
      <c r="Q831" s="11" t="str">
        <f t="shared" si="350"/>
        <v>Gráfico de Evolución</v>
      </c>
      <c r="R831" s="148" t="str">
        <f>Agencia[[#This Row],[territorio]]&amp;",evolución,anual,cantidad,número,empresas,tipo,contribuyente,SII,regional,activas,año,tributario,fiscal,inicio,actividades,"&amp;Agencia[[#This Row],[coleccion]]&amp;","&amp;Agencia[[#This Row],[sector]]&amp;","&amp;Agencia[[#This Row],[tema]]&amp;","&amp;Agencia[[#This Row],[contenido]]</f>
        <v>Región de Arica y Parinacota,evolución,anual,cantidad,número,empresas,tipo,contribuyente,SII,regional,activas,año,tributario,fiscal,inicio,actividades,Agencia Información,Economía,Empresas vigentes,Empresas</v>
      </c>
      <c r="S831" s="37" t="str">
        <f>HYPERLINK("https://analytics.zoho.com/open-view/2395394000008062255?ZOHO_CRITERIA=%22Directorio_Todo%22.%22Cod_Regi%C3%B3n%22%3D"&amp;Agencia[[#This Row],[Filtro URL]])</f>
        <v>https://analytics.zoho.com/open-view/2395394000008062255?ZOHO_CRITERIA=%22Directorio_Todo%22.%22Cod_Regi%C3%B3n%22%3D15</v>
      </c>
      <c r="T831" s="111" t="str">
        <f>"100-C-"&amp;Agencia[[#This Row],[Filtro URL]]</f>
        <v>100-C-15</v>
      </c>
      <c r="U831" s="46" t="str">
        <f t="shared" si="344"/>
        <v>#1774B9</v>
      </c>
      <c r="V831" s="93" t="str">
        <f>+Agencia[[#This Row],[idcoleccion]]&amp;"-"&amp;Agencia[[#This Row],[id]]</f>
        <v>990-0820</v>
      </c>
      <c r="W831" s="93">
        <f>+VLOOKUP(Agencia[[#This Row],[Filtro URL]],Estructura!$X$4:$Y$500,2,0)</f>
        <v>99200015</v>
      </c>
      <c r="X831" s="93" t="str">
        <f>+VLOOKUP(Agencia[[#This Row],[tema]],Estructura!$A$4:$C$500,3,0)</f>
        <v>T-1015</v>
      </c>
      <c r="Y831" s="93" t="str">
        <f>+VLOOKUP(Agencia[[#This Row],[contenido]],Estructura!$E$4:$G$500,3,0)</f>
        <v>C-993</v>
      </c>
      <c r="Z831" s="93" t="str">
        <f>+VLOOKUP(Agencia[[#This Row],[Filtro Integrado]],Estructura!$I$4:$K$500,3,0)</f>
        <v>FI-991</v>
      </c>
      <c r="AA831" s="93" t="str">
        <f>+VLOOKUP(Agencia[[#This Row],[Muestra]],Estructura!$M$4:$O$500,3,0)</f>
        <v>M-1075</v>
      </c>
    </row>
    <row r="832" spans="1:27" ht="61.2" x14ac:dyDescent="0.3">
      <c r="A832" s="21" t="s">
        <v>1336</v>
      </c>
      <c r="B832" s="23">
        <f t="shared" si="331"/>
        <v>990</v>
      </c>
      <c r="C832" s="24" t="str">
        <f t="shared" si="332"/>
        <v>Agencia Información</v>
      </c>
      <c r="D832" s="72" t="str">
        <f t="shared" si="345"/>
        <v>Economía</v>
      </c>
      <c r="E832" s="19">
        <v>16</v>
      </c>
      <c r="F832" s="18" t="s">
        <v>1508</v>
      </c>
      <c r="G832" s="18" t="s">
        <v>1470</v>
      </c>
      <c r="H832" s="33" t="s">
        <v>16</v>
      </c>
      <c r="I832" s="34" t="s">
        <v>383</v>
      </c>
      <c r="J832" s="9" t="str">
        <f t="shared" si="351"/>
        <v>Comuna</v>
      </c>
      <c r="K832" s="9" t="str">
        <f t="shared" si="346"/>
        <v>Empresas vigentes</v>
      </c>
      <c r="L832" s="36" t="str">
        <f t="shared" si="347"/>
        <v>Periodo 1993-2019</v>
      </c>
      <c r="M832" s="9" t="str">
        <f t="shared" si="348"/>
        <v>Número de empresas</v>
      </c>
      <c r="N832" s="9" t="str">
        <f t="shared" si="349"/>
        <v>Servicio de Impuestos Internos (SII)</v>
      </c>
      <c r="O832" s="41" t="str">
        <f>+"Número de empresas vigentes según año de inicio de actividades y tipo de contribuyente en la "&amp;I832&amp;", "&amp;Agencia[[#This Row],[temporalidad]]</f>
        <v>Número de empresas vigentes según año de inicio de actividades y tipo de contribuyente en la Región de Ñuble, Periodo 1993-2019</v>
      </c>
      <c r="P832" s="112" t="s">
        <v>5812</v>
      </c>
      <c r="Q832" s="11" t="str">
        <f t="shared" si="350"/>
        <v>Gráfico de Evolución</v>
      </c>
      <c r="R832" s="148" t="str">
        <f>Agencia[[#This Row],[territorio]]&amp;",evolución,anual,cantidad,número,empresas,tipo,contribuyente,SII,regional,activas,año,tributario,fiscal,inicio,actividades,"&amp;Agencia[[#This Row],[coleccion]]&amp;","&amp;Agencia[[#This Row],[sector]]&amp;","&amp;Agencia[[#This Row],[tema]]&amp;","&amp;Agencia[[#This Row],[contenido]]</f>
        <v>Región de Ñuble,evolución,anual,cantidad,número,empresas,tipo,contribuyente,SII,regional,activas,año,tributario,fiscal,inicio,actividades,Agencia Información,Economía,Empresas vigentes,Empresas</v>
      </c>
      <c r="S832" s="37" t="str">
        <f>HYPERLINK("https://analytics.zoho.com/open-view/2395394000008062255?ZOHO_CRITERIA=%22Directorio_Todo%22.%22Cod_Regi%C3%B3n%22%3D"&amp;Agencia[[#This Row],[Filtro URL]])</f>
        <v>https://analytics.zoho.com/open-view/2395394000008062255?ZOHO_CRITERIA=%22Directorio_Todo%22.%22Cod_Regi%C3%B3n%22%3D16</v>
      </c>
      <c r="T832" s="111" t="str">
        <f>"100-C-"&amp;Agencia[[#This Row],[Filtro URL]]</f>
        <v>100-C-16</v>
      </c>
      <c r="U832" s="46" t="str">
        <f t="shared" si="344"/>
        <v>#1774B9</v>
      </c>
      <c r="V832" s="93" t="str">
        <f>+Agencia[[#This Row],[idcoleccion]]&amp;"-"&amp;Agencia[[#This Row],[id]]</f>
        <v>990-0821</v>
      </c>
      <c r="W832" s="93">
        <f>+VLOOKUP(Agencia[[#This Row],[Filtro URL]],Estructura!$X$4:$Y$500,2,0)</f>
        <v>99200016</v>
      </c>
      <c r="X832" s="93" t="str">
        <f>+VLOOKUP(Agencia[[#This Row],[tema]],Estructura!$A$4:$C$500,3,0)</f>
        <v>T-1015</v>
      </c>
      <c r="Y832" s="93" t="str">
        <f>+VLOOKUP(Agencia[[#This Row],[contenido]],Estructura!$E$4:$G$500,3,0)</f>
        <v>C-993</v>
      </c>
      <c r="Z832" s="93" t="str">
        <f>+VLOOKUP(Agencia[[#This Row],[Filtro Integrado]],Estructura!$I$4:$K$500,3,0)</f>
        <v>FI-991</v>
      </c>
      <c r="AA832" s="93" t="str">
        <f>+VLOOKUP(Agencia[[#This Row],[Muestra]],Estructura!$M$4:$O$500,3,0)</f>
        <v>M-1075</v>
      </c>
    </row>
    <row r="833" spans="1:27" ht="61.2" x14ac:dyDescent="0.3">
      <c r="A833" s="21" t="s">
        <v>1337</v>
      </c>
      <c r="B833" s="23">
        <f t="shared" si="331"/>
        <v>990</v>
      </c>
      <c r="C833" s="24" t="str">
        <f t="shared" si="332"/>
        <v>Agencia Información</v>
      </c>
      <c r="D833" s="72" t="s">
        <v>823</v>
      </c>
      <c r="E833" s="14">
        <v>0</v>
      </c>
      <c r="F833" s="18" t="s">
        <v>1509</v>
      </c>
      <c r="G833" s="18" t="s">
        <v>1470</v>
      </c>
      <c r="H833" s="31" t="s">
        <v>20</v>
      </c>
      <c r="I833" s="32" t="s">
        <v>15</v>
      </c>
      <c r="J833" s="9" t="s">
        <v>956</v>
      </c>
      <c r="K833" s="9" t="s">
        <v>9279</v>
      </c>
      <c r="L833" s="36" t="s">
        <v>1506</v>
      </c>
      <c r="M833" s="9" t="s">
        <v>1510</v>
      </c>
      <c r="N833" s="9" t="s">
        <v>826</v>
      </c>
      <c r="O833" s="41" t="str">
        <f>+"Número de trabajadores de empresas vigentes, por año de inicio de actividades y tipo de contribuyentes en "&amp;I833&amp;", "&amp;Agencia[[#This Row],[temporalidad]]</f>
        <v>Número de trabajadores de empresas vigentes, por año de inicio de actividades y tipo de contribuyentes en Chile, Periodo 1993-2019</v>
      </c>
      <c r="P833" s="112" t="s">
        <v>5813</v>
      </c>
      <c r="Q833" s="11" t="s">
        <v>784</v>
      </c>
      <c r="R833" s="20" t="str">
        <f>Agencia[[#This Row],[territorio]]&amp;",evolución,anual,trabajadores,tipo,contribuyente,empresas,activas,vigente,SII,año,tributario,fiscal,"&amp;Agencia[[#This Row],[coleccion]]&amp;","&amp;Agencia[[#This Row],[sector]]&amp;","&amp;Agencia[[#This Row],[tema]]&amp;","&amp;Agencia[[#This Row],[contenido]]</f>
        <v>Chile,evolución,anual,trabajadores,tipo,contribuyente,empresas,activas,vigente,SII,año,tributario,fiscal,Agencia Información,Economía,Trabajadores ,Empresas</v>
      </c>
      <c r="S833" s="22" t="s">
        <v>1511</v>
      </c>
      <c r="T833" s="108" t="s">
        <v>957</v>
      </c>
      <c r="U833" s="46" t="str">
        <f t="shared" si="344"/>
        <v>#1774B9</v>
      </c>
      <c r="V833" s="93" t="str">
        <f>+Agencia[[#This Row],[idcoleccion]]&amp;"-"&amp;Agencia[[#This Row],[id]]</f>
        <v>990-0822</v>
      </c>
      <c r="W833" s="93">
        <f>+VLOOKUP(Agencia[[#This Row],[Filtro URL]],Estructura!$X$4:$Y$500,2,0)</f>
        <v>99100000</v>
      </c>
      <c r="X833" s="93" t="str">
        <f>+VLOOKUP(Agencia[[#This Row],[tema]],Estructura!$A$4:$C$500,3,0)</f>
        <v>T-1016</v>
      </c>
      <c r="Y833" s="93" t="str">
        <f>+VLOOKUP(Agencia[[#This Row],[contenido]],Estructura!$E$4:$G$500,3,0)</f>
        <v>C-993</v>
      </c>
      <c r="Z833" s="93" t="str">
        <f>+VLOOKUP(Agencia[[#This Row],[Filtro Integrado]],Estructura!$I$4:$K$500,3,0)</f>
        <v>FI-994</v>
      </c>
      <c r="AA833" s="93" t="str">
        <f>+VLOOKUP(Agencia[[#This Row],[Muestra]],Estructura!$M$4:$O$500,3,0)</f>
        <v>M-1076</v>
      </c>
    </row>
    <row r="834" spans="1:27" ht="57.6" x14ac:dyDescent="0.3">
      <c r="A834" s="21" t="s">
        <v>1338</v>
      </c>
      <c r="B834" s="23">
        <f t="shared" si="331"/>
        <v>990</v>
      </c>
      <c r="C834" s="24" t="str">
        <f t="shared" si="332"/>
        <v>Agencia Información</v>
      </c>
      <c r="D834" s="72" t="str">
        <f t="shared" ref="D834:D849" si="352">+D833</f>
        <v>Economía</v>
      </c>
      <c r="E834" s="19">
        <v>1</v>
      </c>
      <c r="F834" s="18" t="s">
        <v>1509</v>
      </c>
      <c r="G834" s="18" t="s">
        <v>1470</v>
      </c>
      <c r="H834" s="33" t="s">
        <v>16</v>
      </c>
      <c r="I834" s="34" t="s">
        <v>368</v>
      </c>
      <c r="J834" s="9" t="s">
        <v>18</v>
      </c>
      <c r="K834" s="142" t="s">
        <v>9279</v>
      </c>
      <c r="L834" s="36" t="str">
        <f t="shared" ref="L834:L849" si="353">+L833</f>
        <v>Periodo 1993-2019</v>
      </c>
      <c r="M834" s="9" t="str">
        <f t="shared" ref="M834:M849" si="354">+M833</f>
        <v>Número de trabajadores</v>
      </c>
      <c r="N834" s="9" t="str">
        <f t="shared" ref="N834:N849" si="355">+N833</f>
        <v>Servicio de Impuestos Internos (SII)</v>
      </c>
      <c r="O834" s="41" t="str">
        <f>+"Número de trabajadores de empresas vigentes, por año de inicio de actividades y tipo de contribuyentes en la "&amp;I834&amp;", "&amp;Agencia[[#This Row],[temporalidad]]</f>
        <v>Número de trabajadores de empresas vigentes, por año de inicio de actividades y tipo de contribuyentes en la Región de Tarapacá, Periodo 1993-2019</v>
      </c>
      <c r="P834" s="112" t="s">
        <v>5814</v>
      </c>
      <c r="Q834" s="11" t="str">
        <f t="shared" si="350"/>
        <v>Gráfico de Evolución</v>
      </c>
      <c r="R834" s="148" t="str">
        <f>Agencia[[#This Row],[territorio]]&amp;",evolución,anual,trabajadores,tipo,contribuyente,empresas,activas,vigente,SII,año,tributario,fiscal,"&amp;Agencia[[#This Row],[coleccion]]&amp;","&amp;Agencia[[#This Row],[sector]]&amp;","&amp;Agencia[[#This Row],[tema]]&amp;","&amp;Agencia[[#This Row],[contenido]]</f>
        <v>Región de Tarapacá,evolución,anual,trabajadores,tipo,contribuyente,empresas,activas,vigente,SII,año,tributario,fiscal,Agencia Información,Economía,Trabajadores ,Empresas</v>
      </c>
      <c r="S834" s="37" t="str">
        <f>HYPERLINK("https://analytics.zoho.com/open-view/2395394000008062434?ZOHO_CRITERIA=%22Directorio_Todo%22.%22Cod_Regi%C3%B3n%22%3D"&amp;Agencia[[#This Row],[Filtro URL]])</f>
        <v>https://analytics.zoho.com/open-view/2395394000008062434?ZOHO_CRITERIA=%22Directorio_Todo%22.%22Cod_Regi%C3%B3n%22%3D1</v>
      </c>
      <c r="T834" s="111" t="str">
        <f>"100-C-"&amp;Agencia[[#This Row],[Filtro URL]]</f>
        <v>100-C-1</v>
      </c>
      <c r="U834" s="46" t="str">
        <f t="shared" si="344"/>
        <v>#1774B9</v>
      </c>
      <c r="V834" s="93" t="str">
        <f>+Agencia[[#This Row],[idcoleccion]]&amp;"-"&amp;Agencia[[#This Row],[id]]</f>
        <v>990-0823</v>
      </c>
      <c r="W834" s="93">
        <f>+VLOOKUP(Agencia[[#This Row],[Filtro URL]],Estructura!$X$4:$Y$500,2,0)</f>
        <v>99200001</v>
      </c>
      <c r="X834" s="93" t="str">
        <f>+VLOOKUP(Agencia[[#This Row],[tema]],Estructura!$A$4:$C$500,3,0)</f>
        <v>T-1016</v>
      </c>
      <c r="Y834" s="93" t="str">
        <f>+VLOOKUP(Agencia[[#This Row],[contenido]],Estructura!$E$4:$G$500,3,0)</f>
        <v>C-993</v>
      </c>
      <c r="Z834" s="93" t="str">
        <f>+VLOOKUP(Agencia[[#This Row],[Filtro Integrado]],Estructura!$I$4:$K$500,3,0)</f>
        <v>FI-991</v>
      </c>
      <c r="AA834" s="93" t="str">
        <f>+VLOOKUP(Agencia[[#This Row],[Muestra]],Estructura!$M$4:$O$500,3,0)</f>
        <v>M-1076</v>
      </c>
    </row>
    <row r="835" spans="1:27" ht="61.2" x14ac:dyDescent="0.3">
      <c r="A835" s="21" t="s">
        <v>1339</v>
      </c>
      <c r="B835" s="23">
        <f t="shared" si="331"/>
        <v>990</v>
      </c>
      <c r="C835" s="24" t="str">
        <f t="shared" si="332"/>
        <v>Agencia Información</v>
      </c>
      <c r="D835" s="72" t="str">
        <f t="shared" si="352"/>
        <v>Economía</v>
      </c>
      <c r="E835" s="19">
        <v>2</v>
      </c>
      <c r="F835" s="18" t="s">
        <v>1509</v>
      </c>
      <c r="G835" s="18" t="s">
        <v>1470</v>
      </c>
      <c r="H835" s="33" t="s">
        <v>16</v>
      </c>
      <c r="I835" s="34" t="s">
        <v>369</v>
      </c>
      <c r="J835" s="9" t="str">
        <f t="shared" ref="J835:J849" si="356">+J834</f>
        <v>Comuna</v>
      </c>
      <c r="K835" s="142" t="s">
        <v>9279</v>
      </c>
      <c r="L835" s="36" t="str">
        <f t="shared" si="353"/>
        <v>Periodo 1993-2019</v>
      </c>
      <c r="M835" s="9" t="str">
        <f t="shared" si="354"/>
        <v>Número de trabajadores</v>
      </c>
      <c r="N835" s="9" t="str">
        <f t="shared" si="355"/>
        <v>Servicio de Impuestos Internos (SII)</v>
      </c>
      <c r="O835" s="41" t="str">
        <f>+"Número de trabajadores de empresas vigentes, por año de inicio de actividades y tipo de contribuyentes en la "&amp;I835&amp;", "&amp;Agencia[[#This Row],[temporalidad]]</f>
        <v>Número de trabajadores de empresas vigentes, por año de inicio de actividades y tipo de contribuyentes en la Región de Antofagasta, Periodo 1993-2019</v>
      </c>
      <c r="P835" s="112" t="s">
        <v>5763</v>
      </c>
      <c r="Q835" s="11" t="str">
        <f t="shared" si="350"/>
        <v>Gráfico de Evolución</v>
      </c>
      <c r="R835" s="148" t="str">
        <f>Agencia[[#This Row],[territorio]]&amp;",evolución,anual,trabajadores,tipo,contribuyente,empresas,activas,vigente,SII,año,tributario,fiscal,"&amp;Agencia[[#This Row],[coleccion]]&amp;","&amp;Agencia[[#This Row],[sector]]&amp;","&amp;Agencia[[#This Row],[tema]]&amp;","&amp;Agencia[[#This Row],[contenido]]</f>
        <v>Región de Antofagasta,evolución,anual,trabajadores,tipo,contribuyente,empresas,activas,vigente,SII,año,tributario,fiscal,Agencia Información,Economía,Trabajadores ,Empresas</v>
      </c>
      <c r="S835" s="37" t="str">
        <f>HYPERLINK("https://analytics.zoho.com/open-view/2395394000008062434?ZOHO_CRITERIA=%22Directorio_Todo%22.%22Cod_Regi%C3%B3n%22%3D"&amp;Agencia[[#This Row],[Filtro URL]])</f>
        <v>https://analytics.zoho.com/open-view/2395394000008062434?ZOHO_CRITERIA=%22Directorio_Todo%22.%22Cod_Regi%C3%B3n%22%3D2</v>
      </c>
      <c r="T835" s="111" t="str">
        <f>"100-C-"&amp;Agencia[[#This Row],[Filtro URL]]</f>
        <v>100-C-2</v>
      </c>
      <c r="U835" s="46" t="str">
        <f t="shared" si="344"/>
        <v>#1774B9</v>
      </c>
      <c r="V835" s="93" t="str">
        <f>+Agencia[[#This Row],[idcoleccion]]&amp;"-"&amp;Agencia[[#This Row],[id]]</f>
        <v>990-0824</v>
      </c>
      <c r="W835" s="93">
        <f>+VLOOKUP(Agencia[[#This Row],[Filtro URL]],Estructura!$X$4:$Y$500,2,0)</f>
        <v>99200002</v>
      </c>
      <c r="X835" s="93" t="str">
        <f>+VLOOKUP(Agencia[[#This Row],[tema]],Estructura!$A$4:$C$500,3,0)</f>
        <v>T-1016</v>
      </c>
      <c r="Y835" s="93" t="str">
        <f>+VLOOKUP(Agencia[[#This Row],[contenido]],Estructura!$E$4:$G$500,3,0)</f>
        <v>C-993</v>
      </c>
      <c r="Z835" s="93" t="str">
        <f>+VLOOKUP(Agencia[[#This Row],[Filtro Integrado]],Estructura!$I$4:$K$500,3,0)</f>
        <v>FI-991</v>
      </c>
      <c r="AA835" s="93" t="str">
        <f>+VLOOKUP(Agencia[[#This Row],[Muestra]],Estructura!$M$4:$O$500,3,0)</f>
        <v>M-1076</v>
      </c>
    </row>
    <row r="836" spans="1:27" ht="57.6" x14ac:dyDescent="0.3">
      <c r="A836" s="21" t="s">
        <v>1340</v>
      </c>
      <c r="B836" s="23">
        <f t="shared" si="331"/>
        <v>990</v>
      </c>
      <c r="C836" s="24" t="str">
        <f t="shared" si="332"/>
        <v>Agencia Información</v>
      </c>
      <c r="D836" s="72" t="str">
        <f t="shared" si="352"/>
        <v>Economía</v>
      </c>
      <c r="E836" s="19">
        <v>3</v>
      </c>
      <c r="F836" s="18" t="s">
        <v>1509</v>
      </c>
      <c r="G836" s="18" t="s">
        <v>1470</v>
      </c>
      <c r="H836" s="33" t="s">
        <v>16</v>
      </c>
      <c r="I836" s="34" t="s">
        <v>370</v>
      </c>
      <c r="J836" s="9" t="str">
        <f t="shared" si="356"/>
        <v>Comuna</v>
      </c>
      <c r="K836" s="142" t="s">
        <v>9279</v>
      </c>
      <c r="L836" s="36" t="str">
        <f t="shared" si="353"/>
        <v>Periodo 1993-2019</v>
      </c>
      <c r="M836" s="9" t="str">
        <f t="shared" si="354"/>
        <v>Número de trabajadores</v>
      </c>
      <c r="N836" s="9" t="str">
        <f t="shared" si="355"/>
        <v>Servicio de Impuestos Internos (SII)</v>
      </c>
      <c r="O836" s="41" t="str">
        <f>+"Número de trabajadores de empresas vigentes, por año de inicio de actividades y tipo de contribuyentes en la "&amp;I836&amp;", "&amp;Agencia[[#This Row],[temporalidad]]</f>
        <v>Número de trabajadores de empresas vigentes, por año de inicio de actividades y tipo de contribuyentes en la Región de Atacama, Periodo 1993-2019</v>
      </c>
      <c r="P836" s="112" t="s">
        <v>5815</v>
      </c>
      <c r="Q836" s="11" t="str">
        <f t="shared" si="350"/>
        <v>Gráfico de Evolución</v>
      </c>
      <c r="R836" s="148" t="str">
        <f>Agencia[[#This Row],[territorio]]&amp;",evolución,anual,trabajadores,tipo,contribuyente,empresas,activas,vigente,SII,año,tributario,fiscal,"&amp;Agencia[[#This Row],[coleccion]]&amp;","&amp;Agencia[[#This Row],[sector]]&amp;","&amp;Agencia[[#This Row],[tema]]&amp;","&amp;Agencia[[#This Row],[contenido]]</f>
        <v>Región de Atacama,evolución,anual,trabajadores,tipo,contribuyente,empresas,activas,vigente,SII,año,tributario,fiscal,Agencia Información,Economía,Trabajadores ,Empresas</v>
      </c>
      <c r="S836" s="37" t="str">
        <f>HYPERLINK("https://analytics.zoho.com/open-view/2395394000008062434?ZOHO_CRITERIA=%22Directorio_Todo%22.%22Cod_Regi%C3%B3n%22%3D"&amp;Agencia[[#This Row],[Filtro URL]])</f>
        <v>https://analytics.zoho.com/open-view/2395394000008062434?ZOHO_CRITERIA=%22Directorio_Todo%22.%22Cod_Regi%C3%B3n%22%3D3</v>
      </c>
      <c r="T836" s="111" t="str">
        <f>"100-C-"&amp;Agencia[[#This Row],[Filtro URL]]</f>
        <v>100-C-3</v>
      </c>
      <c r="U836" s="46" t="str">
        <f t="shared" si="344"/>
        <v>#1774B9</v>
      </c>
      <c r="V836" s="93" t="str">
        <f>+Agencia[[#This Row],[idcoleccion]]&amp;"-"&amp;Agencia[[#This Row],[id]]</f>
        <v>990-0825</v>
      </c>
      <c r="W836" s="93">
        <f>+VLOOKUP(Agencia[[#This Row],[Filtro URL]],Estructura!$X$4:$Y$500,2,0)</f>
        <v>99200003</v>
      </c>
      <c r="X836" s="93" t="str">
        <f>+VLOOKUP(Agencia[[#This Row],[tema]],Estructura!$A$4:$C$500,3,0)</f>
        <v>T-1016</v>
      </c>
      <c r="Y836" s="93" t="str">
        <f>+VLOOKUP(Agencia[[#This Row],[contenido]],Estructura!$E$4:$G$500,3,0)</f>
        <v>C-993</v>
      </c>
      <c r="Z836" s="93" t="str">
        <f>+VLOOKUP(Agencia[[#This Row],[Filtro Integrado]],Estructura!$I$4:$K$500,3,0)</f>
        <v>FI-991</v>
      </c>
      <c r="AA836" s="93" t="str">
        <f>+VLOOKUP(Agencia[[#This Row],[Muestra]],Estructura!$M$4:$O$500,3,0)</f>
        <v>M-1076</v>
      </c>
    </row>
    <row r="837" spans="1:27" ht="61.2" x14ac:dyDescent="0.3">
      <c r="A837" s="21" t="s">
        <v>1341</v>
      </c>
      <c r="B837" s="23">
        <f t="shared" si="331"/>
        <v>990</v>
      </c>
      <c r="C837" s="24" t="str">
        <f t="shared" si="332"/>
        <v>Agencia Información</v>
      </c>
      <c r="D837" s="72" t="str">
        <f t="shared" si="352"/>
        <v>Economía</v>
      </c>
      <c r="E837" s="19">
        <v>4</v>
      </c>
      <c r="F837" s="18" t="s">
        <v>1509</v>
      </c>
      <c r="G837" s="18" t="s">
        <v>1470</v>
      </c>
      <c r="H837" s="33" t="s">
        <v>16</v>
      </c>
      <c r="I837" s="34" t="s">
        <v>371</v>
      </c>
      <c r="J837" s="9" t="str">
        <f t="shared" si="356"/>
        <v>Comuna</v>
      </c>
      <c r="K837" s="142" t="s">
        <v>9279</v>
      </c>
      <c r="L837" s="36" t="str">
        <f t="shared" si="353"/>
        <v>Periodo 1993-2019</v>
      </c>
      <c r="M837" s="9" t="str">
        <f t="shared" si="354"/>
        <v>Número de trabajadores</v>
      </c>
      <c r="N837" s="9" t="str">
        <f t="shared" si="355"/>
        <v>Servicio de Impuestos Internos (SII)</v>
      </c>
      <c r="O837" s="41" t="str">
        <f>+"Número de trabajadores de empresas vigentes, por año de inicio de actividades y tipo de contribuyentes en la "&amp;I837&amp;", "&amp;Agencia[[#This Row],[temporalidad]]</f>
        <v>Número de trabajadores de empresas vigentes, por año de inicio de actividades y tipo de contribuyentes en la Región de Coquimbo, Periodo 1993-2019</v>
      </c>
      <c r="P837" s="112" t="s">
        <v>5764</v>
      </c>
      <c r="Q837" s="11" t="str">
        <f t="shared" si="350"/>
        <v>Gráfico de Evolución</v>
      </c>
      <c r="R837" s="148" t="str">
        <f>Agencia[[#This Row],[territorio]]&amp;",evolución,anual,trabajadores,tipo,contribuyente,empresas,activas,vigente,SII,año,tributario,fiscal,"&amp;Agencia[[#This Row],[coleccion]]&amp;","&amp;Agencia[[#This Row],[sector]]&amp;","&amp;Agencia[[#This Row],[tema]]&amp;","&amp;Agencia[[#This Row],[contenido]]</f>
        <v>Región de Coquimbo,evolución,anual,trabajadores,tipo,contribuyente,empresas,activas,vigente,SII,año,tributario,fiscal,Agencia Información,Economía,Trabajadores ,Empresas</v>
      </c>
      <c r="S837" s="37" t="str">
        <f>HYPERLINK("https://analytics.zoho.com/open-view/2395394000008062434?ZOHO_CRITERIA=%22Directorio_Todo%22.%22Cod_Regi%C3%B3n%22%3D"&amp;Agencia[[#This Row],[Filtro URL]])</f>
        <v>https://analytics.zoho.com/open-view/2395394000008062434?ZOHO_CRITERIA=%22Directorio_Todo%22.%22Cod_Regi%C3%B3n%22%3D4</v>
      </c>
      <c r="T837" s="111" t="str">
        <f>"100-C-"&amp;Agencia[[#This Row],[Filtro URL]]</f>
        <v>100-C-4</v>
      </c>
      <c r="U837" s="46" t="str">
        <f t="shared" si="344"/>
        <v>#1774B9</v>
      </c>
      <c r="V837" s="93" t="str">
        <f>+Agencia[[#This Row],[idcoleccion]]&amp;"-"&amp;Agencia[[#This Row],[id]]</f>
        <v>990-0826</v>
      </c>
      <c r="W837" s="93">
        <f>+VLOOKUP(Agencia[[#This Row],[Filtro URL]],Estructura!$X$4:$Y$500,2,0)</f>
        <v>99200004</v>
      </c>
      <c r="X837" s="93" t="str">
        <f>+VLOOKUP(Agencia[[#This Row],[tema]],Estructura!$A$4:$C$500,3,0)</f>
        <v>T-1016</v>
      </c>
      <c r="Y837" s="93" t="str">
        <f>+VLOOKUP(Agencia[[#This Row],[contenido]],Estructura!$E$4:$G$500,3,0)</f>
        <v>C-993</v>
      </c>
      <c r="Z837" s="93" t="str">
        <f>+VLOOKUP(Agencia[[#This Row],[Filtro Integrado]],Estructura!$I$4:$K$500,3,0)</f>
        <v>FI-991</v>
      </c>
      <c r="AA837" s="93" t="str">
        <f>+VLOOKUP(Agencia[[#This Row],[Muestra]],Estructura!$M$4:$O$500,3,0)</f>
        <v>M-1076</v>
      </c>
    </row>
    <row r="838" spans="1:27" ht="57.6" x14ac:dyDescent="0.3">
      <c r="A838" s="21" t="s">
        <v>1342</v>
      </c>
      <c r="B838" s="23">
        <f t="shared" si="331"/>
        <v>990</v>
      </c>
      <c r="C838" s="24" t="str">
        <f t="shared" si="332"/>
        <v>Agencia Información</v>
      </c>
      <c r="D838" s="72" t="str">
        <f t="shared" si="352"/>
        <v>Economía</v>
      </c>
      <c r="E838" s="19">
        <v>5</v>
      </c>
      <c r="F838" s="18" t="s">
        <v>1509</v>
      </c>
      <c r="G838" s="18" t="s">
        <v>1470</v>
      </c>
      <c r="H838" s="33" t="s">
        <v>16</v>
      </c>
      <c r="I838" s="34" t="s">
        <v>372</v>
      </c>
      <c r="J838" s="9" t="str">
        <f t="shared" si="356"/>
        <v>Comuna</v>
      </c>
      <c r="K838" s="142" t="s">
        <v>9279</v>
      </c>
      <c r="L838" s="36" t="str">
        <f t="shared" si="353"/>
        <v>Periodo 1993-2019</v>
      </c>
      <c r="M838" s="9" t="str">
        <f t="shared" si="354"/>
        <v>Número de trabajadores</v>
      </c>
      <c r="N838" s="9" t="str">
        <f t="shared" si="355"/>
        <v>Servicio de Impuestos Internos (SII)</v>
      </c>
      <c r="O838" s="41" t="str">
        <f>+"Número de trabajadores de empresas vigentes, por año de inicio de actividades y tipo de contribuyentes en la "&amp;I838&amp;", "&amp;Agencia[[#This Row],[temporalidad]]</f>
        <v>Número de trabajadores de empresas vigentes, por año de inicio de actividades y tipo de contribuyentes en la Región de Valparaíso, Periodo 1993-2019</v>
      </c>
      <c r="P838" s="112" t="s">
        <v>5816</v>
      </c>
      <c r="Q838" s="11" t="str">
        <f t="shared" si="350"/>
        <v>Gráfico de Evolución</v>
      </c>
      <c r="R838" s="148" t="str">
        <f>Agencia[[#This Row],[territorio]]&amp;",evolución,anual,trabajadores,tipo,contribuyente,empresas,activas,vigente,SII,año,tributario,fiscal,"&amp;Agencia[[#This Row],[coleccion]]&amp;","&amp;Agencia[[#This Row],[sector]]&amp;","&amp;Agencia[[#This Row],[tema]]&amp;","&amp;Agencia[[#This Row],[contenido]]</f>
        <v>Región de Valparaíso,evolución,anual,trabajadores,tipo,contribuyente,empresas,activas,vigente,SII,año,tributario,fiscal,Agencia Información,Economía,Trabajadores ,Empresas</v>
      </c>
      <c r="S838" s="37" t="str">
        <f>HYPERLINK("https://analytics.zoho.com/open-view/2395394000008062434?ZOHO_CRITERIA=%22Directorio_Todo%22.%22Cod_Regi%C3%B3n%22%3D"&amp;Agencia[[#This Row],[Filtro URL]])</f>
        <v>https://analytics.zoho.com/open-view/2395394000008062434?ZOHO_CRITERIA=%22Directorio_Todo%22.%22Cod_Regi%C3%B3n%22%3D5</v>
      </c>
      <c r="T838" s="111" t="str">
        <f>"100-C-"&amp;Agencia[[#This Row],[Filtro URL]]</f>
        <v>100-C-5</v>
      </c>
      <c r="U838" s="46" t="str">
        <f t="shared" si="344"/>
        <v>#1774B9</v>
      </c>
      <c r="V838" s="93" t="str">
        <f>+Agencia[[#This Row],[idcoleccion]]&amp;"-"&amp;Agencia[[#This Row],[id]]</f>
        <v>990-0827</v>
      </c>
      <c r="W838" s="93">
        <f>+VLOOKUP(Agencia[[#This Row],[Filtro URL]],Estructura!$X$4:$Y$500,2,0)</f>
        <v>99200005</v>
      </c>
      <c r="X838" s="93" t="str">
        <f>+VLOOKUP(Agencia[[#This Row],[tema]],Estructura!$A$4:$C$500,3,0)</f>
        <v>T-1016</v>
      </c>
      <c r="Y838" s="93" t="str">
        <f>+VLOOKUP(Agencia[[#This Row],[contenido]],Estructura!$E$4:$G$500,3,0)</f>
        <v>C-993</v>
      </c>
      <c r="Z838" s="93" t="str">
        <f>+VLOOKUP(Agencia[[#This Row],[Filtro Integrado]],Estructura!$I$4:$K$500,3,0)</f>
        <v>FI-991</v>
      </c>
      <c r="AA838" s="93" t="str">
        <f>+VLOOKUP(Agencia[[#This Row],[Muestra]],Estructura!$M$4:$O$500,3,0)</f>
        <v>M-1076</v>
      </c>
    </row>
    <row r="839" spans="1:27" ht="57.6" x14ac:dyDescent="0.3">
      <c r="A839" s="21" t="s">
        <v>1343</v>
      </c>
      <c r="B839" s="23">
        <f t="shared" si="331"/>
        <v>990</v>
      </c>
      <c r="C839" s="24" t="str">
        <f t="shared" si="332"/>
        <v>Agencia Información</v>
      </c>
      <c r="D839" s="72" t="str">
        <f t="shared" si="352"/>
        <v>Economía</v>
      </c>
      <c r="E839" s="19">
        <v>6</v>
      </c>
      <c r="F839" s="18" t="s">
        <v>1509</v>
      </c>
      <c r="G839" s="18" t="s">
        <v>1470</v>
      </c>
      <c r="H839" s="33" t="s">
        <v>16</v>
      </c>
      <c r="I839" s="34" t="s">
        <v>373</v>
      </c>
      <c r="J839" s="9" t="str">
        <f t="shared" si="356"/>
        <v>Comuna</v>
      </c>
      <c r="K839" s="142" t="s">
        <v>9279</v>
      </c>
      <c r="L839" s="36" t="str">
        <f t="shared" si="353"/>
        <v>Periodo 1993-2019</v>
      </c>
      <c r="M839" s="9" t="str">
        <f t="shared" si="354"/>
        <v>Número de trabajadores</v>
      </c>
      <c r="N839" s="9" t="str">
        <f t="shared" si="355"/>
        <v>Servicio de Impuestos Internos (SII)</v>
      </c>
      <c r="O839" s="41" t="str">
        <f>+"Número de trabajadores de empresas vigentes, por año de inicio de actividades y tipo de contribuyentes en la "&amp;I839&amp;", "&amp;Agencia[[#This Row],[temporalidad]]</f>
        <v>Número de trabajadores de empresas vigentes, por año de inicio de actividades y tipo de contribuyentes en la Región de O'Higgins, Periodo 1993-2019</v>
      </c>
      <c r="P839" s="112" t="s">
        <v>5817</v>
      </c>
      <c r="Q839" s="11" t="str">
        <f t="shared" si="350"/>
        <v>Gráfico de Evolución</v>
      </c>
      <c r="R839" s="148" t="str">
        <f>Agencia[[#This Row],[territorio]]&amp;",evolución,anual,trabajadores,tipo,contribuyente,empresas,activas,vigente,SII,año,tributario,fiscal,"&amp;Agencia[[#This Row],[coleccion]]&amp;","&amp;Agencia[[#This Row],[sector]]&amp;","&amp;Agencia[[#This Row],[tema]]&amp;","&amp;Agencia[[#This Row],[contenido]]</f>
        <v>Región de O'Higgins,evolución,anual,trabajadores,tipo,contribuyente,empresas,activas,vigente,SII,año,tributario,fiscal,Agencia Información,Economía,Trabajadores ,Empresas</v>
      </c>
      <c r="S839" s="37" t="str">
        <f>HYPERLINK("https://analytics.zoho.com/open-view/2395394000008062434?ZOHO_CRITERIA=%22Directorio_Todo%22.%22Cod_Regi%C3%B3n%22%3D"&amp;Agencia[[#This Row],[Filtro URL]])</f>
        <v>https://analytics.zoho.com/open-view/2395394000008062434?ZOHO_CRITERIA=%22Directorio_Todo%22.%22Cod_Regi%C3%B3n%22%3D6</v>
      </c>
      <c r="T839" s="111" t="str">
        <f>"100-C-"&amp;Agencia[[#This Row],[Filtro URL]]</f>
        <v>100-C-6</v>
      </c>
      <c r="U839" s="46" t="str">
        <f t="shared" si="344"/>
        <v>#1774B9</v>
      </c>
      <c r="V839" s="93" t="str">
        <f>+Agencia[[#This Row],[idcoleccion]]&amp;"-"&amp;Agencia[[#This Row],[id]]</f>
        <v>990-0828</v>
      </c>
      <c r="W839" s="93">
        <f>+VLOOKUP(Agencia[[#This Row],[Filtro URL]],Estructura!$X$4:$Y$500,2,0)</f>
        <v>99200006</v>
      </c>
      <c r="X839" s="93" t="str">
        <f>+VLOOKUP(Agencia[[#This Row],[tema]],Estructura!$A$4:$C$500,3,0)</f>
        <v>T-1016</v>
      </c>
      <c r="Y839" s="93" t="str">
        <f>+VLOOKUP(Agencia[[#This Row],[contenido]],Estructura!$E$4:$G$500,3,0)</f>
        <v>C-993</v>
      </c>
      <c r="Z839" s="93" t="str">
        <f>+VLOOKUP(Agencia[[#This Row],[Filtro Integrado]],Estructura!$I$4:$K$500,3,0)</f>
        <v>FI-991</v>
      </c>
      <c r="AA839" s="93" t="str">
        <f>+VLOOKUP(Agencia[[#This Row],[Muestra]],Estructura!$M$4:$O$500,3,0)</f>
        <v>M-1076</v>
      </c>
    </row>
    <row r="840" spans="1:27" ht="57.6" x14ac:dyDescent="0.3">
      <c r="A840" s="21" t="s">
        <v>1344</v>
      </c>
      <c r="B840" s="23">
        <f t="shared" si="331"/>
        <v>990</v>
      </c>
      <c r="C840" s="24" t="str">
        <f t="shared" si="332"/>
        <v>Agencia Información</v>
      </c>
      <c r="D840" s="72" t="str">
        <f t="shared" si="352"/>
        <v>Economía</v>
      </c>
      <c r="E840" s="19">
        <v>7</v>
      </c>
      <c r="F840" s="18" t="s">
        <v>1509</v>
      </c>
      <c r="G840" s="18" t="s">
        <v>1470</v>
      </c>
      <c r="H840" s="33" t="s">
        <v>16</v>
      </c>
      <c r="I840" s="34" t="s">
        <v>374</v>
      </c>
      <c r="J840" s="9" t="str">
        <f t="shared" si="356"/>
        <v>Comuna</v>
      </c>
      <c r="K840" s="142" t="s">
        <v>9279</v>
      </c>
      <c r="L840" s="36" t="str">
        <f t="shared" si="353"/>
        <v>Periodo 1993-2019</v>
      </c>
      <c r="M840" s="9" t="str">
        <f t="shared" si="354"/>
        <v>Número de trabajadores</v>
      </c>
      <c r="N840" s="9" t="str">
        <f t="shared" si="355"/>
        <v>Servicio de Impuestos Internos (SII)</v>
      </c>
      <c r="O840" s="41" t="str">
        <f>+"Número de trabajadores de empresas vigentes, por año de inicio de actividades y tipo de contribuyentes en la "&amp;I840&amp;", "&amp;Agencia[[#This Row],[temporalidad]]</f>
        <v>Número de trabajadores de empresas vigentes, por año de inicio de actividades y tipo de contribuyentes en la Región de Maule, Periodo 1993-2019</v>
      </c>
      <c r="P840" s="112" t="s">
        <v>5818</v>
      </c>
      <c r="Q840" s="11" t="str">
        <f t="shared" si="350"/>
        <v>Gráfico de Evolución</v>
      </c>
      <c r="R840" s="148" t="str">
        <f>Agencia[[#This Row],[territorio]]&amp;",evolución,anual,trabajadores,tipo,contribuyente,empresas,activas,vigente,SII,año,tributario,fiscal,"&amp;Agencia[[#This Row],[coleccion]]&amp;","&amp;Agencia[[#This Row],[sector]]&amp;","&amp;Agencia[[#This Row],[tema]]&amp;","&amp;Agencia[[#This Row],[contenido]]</f>
        <v>Región de Maule,evolución,anual,trabajadores,tipo,contribuyente,empresas,activas,vigente,SII,año,tributario,fiscal,Agencia Información,Economía,Trabajadores ,Empresas</v>
      </c>
      <c r="S840" s="37" t="str">
        <f>HYPERLINK("https://analytics.zoho.com/open-view/2395394000008062434?ZOHO_CRITERIA=%22Directorio_Todo%22.%22Cod_Regi%C3%B3n%22%3D"&amp;Agencia[[#This Row],[Filtro URL]])</f>
        <v>https://analytics.zoho.com/open-view/2395394000008062434?ZOHO_CRITERIA=%22Directorio_Todo%22.%22Cod_Regi%C3%B3n%22%3D7</v>
      </c>
      <c r="T840" s="111" t="str">
        <f>"100-C-"&amp;Agencia[[#This Row],[Filtro URL]]</f>
        <v>100-C-7</v>
      </c>
      <c r="U840" s="46" t="str">
        <f t="shared" si="344"/>
        <v>#1774B9</v>
      </c>
      <c r="V840" s="93" t="str">
        <f>+Agencia[[#This Row],[idcoleccion]]&amp;"-"&amp;Agencia[[#This Row],[id]]</f>
        <v>990-0829</v>
      </c>
      <c r="W840" s="93">
        <f>+VLOOKUP(Agencia[[#This Row],[Filtro URL]],Estructura!$X$4:$Y$500,2,0)</f>
        <v>99200007</v>
      </c>
      <c r="X840" s="93" t="str">
        <f>+VLOOKUP(Agencia[[#This Row],[tema]],Estructura!$A$4:$C$500,3,0)</f>
        <v>T-1016</v>
      </c>
      <c r="Y840" s="93" t="str">
        <f>+VLOOKUP(Agencia[[#This Row],[contenido]],Estructura!$E$4:$G$500,3,0)</f>
        <v>C-993</v>
      </c>
      <c r="Z840" s="93" t="str">
        <f>+VLOOKUP(Agencia[[#This Row],[Filtro Integrado]],Estructura!$I$4:$K$500,3,0)</f>
        <v>FI-991</v>
      </c>
      <c r="AA840" s="93" t="str">
        <f>+VLOOKUP(Agencia[[#This Row],[Muestra]],Estructura!$M$4:$O$500,3,0)</f>
        <v>M-1076</v>
      </c>
    </row>
    <row r="841" spans="1:27" ht="57.6" x14ac:dyDescent="0.3">
      <c r="A841" s="21" t="s">
        <v>1345</v>
      </c>
      <c r="B841" s="23">
        <f t="shared" si="331"/>
        <v>990</v>
      </c>
      <c r="C841" s="24" t="str">
        <f t="shared" si="332"/>
        <v>Agencia Información</v>
      </c>
      <c r="D841" s="72" t="str">
        <f t="shared" si="352"/>
        <v>Economía</v>
      </c>
      <c r="E841" s="19">
        <v>8</v>
      </c>
      <c r="F841" s="18" t="s">
        <v>1509</v>
      </c>
      <c r="G841" s="18" t="s">
        <v>1470</v>
      </c>
      <c r="H841" s="33" t="s">
        <v>16</v>
      </c>
      <c r="I841" s="34" t="s">
        <v>375</v>
      </c>
      <c r="J841" s="9" t="str">
        <f t="shared" si="356"/>
        <v>Comuna</v>
      </c>
      <c r="K841" s="142" t="s">
        <v>9279</v>
      </c>
      <c r="L841" s="36" t="str">
        <f t="shared" si="353"/>
        <v>Periodo 1993-2019</v>
      </c>
      <c r="M841" s="9" t="str">
        <f t="shared" si="354"/>
        <v>Número de trabajadores</v>
      </c>
      <c r="N841" s="9" t="str">
        <f t="shared" si="355"/>
        <v>Servicio de Impuestos Internos (SII)</v>
      </c>
      <c r="O841" s="41" t="str">
        <f>+"Número de trabajadores de empresas vigentes, por año de inicio de actividades y tipo de contribuyentes en la "&amp;I841&amp;", "&amp;Agencia[[#This Row],[temporalidad]]</f>
        <v>Número de trabajadores de empresas vigentes, por año de inicio de actividades y tipo de contribuyentes en la Región del Biobío, Periodo 1993-2019</v>
      </c>
      <c r="P841" s="112" t="s">
        <v>5819</v>
      </c>
      <c r="Q841" s="11" t="str">
        <f t="shared" si="350"/>
        <v>Gráfico de Evolución</v>
      </c>
      <c r="R841" s="148" t="str">
        <f>Agencia[[#This Row],[territorio]]&amp;",evolución,anual,trabajadores,tipo,contribuyente,empresas,activas,vigente,SII,año,tributario,fiscal,"&amp;Agencia[[#This Row],[coleccion]]&amp;","&amp;Agencia[[#This Row],[sector]]&amp;","&amp;Agencia[[#This Row],[tema]]&amp;","&amp;Agencia[[#This Row],[contenido]]</f>
        <v>Región del Biobío,evolución,anual,trabajadores,tipo,contribuyente,empresas,activas,vigente,SII,año,tributario,fiscal,Agencia Información,Economía,Trabajadores ,Empresas</v>
      </c>
      <c r="S841" s="37" t="str">
        <f>HYPERLINK("https://analytics.zoho.com/open-view/2395394000008062434?ZOHO_CRITERIA=%22Directorio_Todo%22.%22Cod_Regi%C3%B3n%22%3D"&amp;Agencia[[#This Row],[Filtro URL]])</f>
        <v>https://analytics.zoho.com/open-view/2395394000008062434?ZOHO_CRITERIA=%22Directorio_Todo%22.%22Cod_Regi%C3%B3n%22%3D8</v>
      </c>
      <c r="T841" s="111" t="str">
        <f>"100-C-"&amp;Agencia[[#This Row],[Filtro URL]]</f>
        <v>100-C-8</v>
      </c>
      <c r="U841" s="46" t="str">
        <f t="shared" si="344"/>
        <v>#1774B9</v>
      </c>
      <c r="V841" s="93" t="str">
        <f>+Agencia[[#This Row],[idcoleccion]]&amp;"-"&amp;Agencia[[#This Row],[id]]</f>
        <v>990-0830</v>
      </c>
      <c r="W841" s="93">
        <f>+VLOOKUP(Agencia[[#This Row],[Filtro URL]],Estructura!$X$4:$Y$500,2,0)</f>
        <v>99200008</v>
      </c>
      <c r="X841" s="93" t="str">
        <f>+VLOOKUP(Agencia[[#This Row],[tema]],Estructura!$A$4:$C$500,3,0)</f>
        <v>T-1016</v>
      </c>
      <c r="Y841" s="93" t="str">
        <f>+VLOOKUP(Agencia[[#This Row],[contenido]],Estructura!$E$4:$G$500,3,0)</f>
        <v>C-993</v>
      </c>
      <c r="Z841" s="93" t="str">
        <f>+VLOOKUP(Agencia[[#This Row],[Filtro Integrado]],Estructura!$I$4:$K$500,3,0)</f>
        <v>FI-991</v>
      </c>
      <c r="AA841" s="93" t="str">
        <f>+VLOOKUP(Agencia[[#This Row],[Muestra]],Estructura!$M$4:$O$500,3,0)</f>
        <v>M-1076</v>
      </c>
    </row>
    <row r="842" spans="1:27" ht="61.2" x14ac:dyDescent="0.3">
      <c r="A842" s="21" t="s">
        <v>1346</v>
      </c>
      <c r="B842" s="23">
        <f t="shared" ref="B842:B905" si="357">+B841</f>
        <v>990</v>
      </c>
      <c r="C842" s="24" t="str">
        <f t="shared" si="332"/>
        <v>Agencia Información</v>
      </c>
      <c r="D842" s="72" t="str">
        <f t="shared" si="352"/>
        <v>Economía</v>
      </c>
      <c r="E842" s="19">
        <v>9</v>
      </c>
      <c r="F842" s="18" t="s">
        <v>1509</v>
      </c>
      <c r="G842" s="18" t="s">
        <v>1470</v>
      </c>
      <c r="H842" s="33" t="s">
        <v>16</v>
      </c>
      <c r="I842" s="34" t="s">
        <v>376</v>
      </c>
      <c r="J842" s="9" t="str">
        <f t="shared" si="356"/>
        <v>Comuna</v>
      </c>
      <c r="K842" s="142" t="s">
        <v>9279</v>
      </c>
      <c r="L842" s="36" t="str">
        <f t="shared" si="353"/>
        <v>Periodo 1993-2019</v>
      </c>
      <c r="M842" s="9" t="str">
        <f t="shared" si="354"/>
        <v>Número de trabajadores</v>
      </c>
      <c r="N842" s="9" t="str">
        <f t="shared" si="355"/>
        <v>Servicio de Impuestos Internos (SII)</v>
      </c>
      <c r="O842" s="41" t="str">
        <f>+"Número de trabajadores de empresas vigentes, por año de inicio de actividades y tipo de contribuyentes en la "&amp;I842&amp;", "&amp;Agencia[[#This Row],[temporalidad]]</f>
        <v>Número de trabajadores de empresas vigentes, por año de inicio de actividades y tipo de contribuyentes en la Región de La Araucanía, Periodo 1993-2019</v>
      </c>
      <c r="P842" s="112" t="s">
        <v>5765</v>
      </c>
      <c r="Q842" s="11" t="str">
        <f t="shared" si="350"/>
        <v>Gráfico de Evolución</v>
      </c>
      <c r="R842" s="148" t="str">
        <f>Agencia[[#This Row],[territorio]]&amp;",evolución,anual,trabajadores,tipo,contribuyente,empresas,activas,vigente,SII,año,tributario,fiscal,"&amp;Agencia[[#This Row],[coleccion]]&amp;","&amp;Agencia[[#This Row],[sector]]&amp;","&amp;Agencia[[#This Row],[tema]]&amp;","&amp;Agencia[[#This Row],[contenido]]</f>
        <v>Región de La Araucanía,evolución,anual,trabajadores,tipo,contribuyente,empresas,activas,vigente,SII,año,tributario,fiscal,Agencia Información,Economía,Trabajadores ,Empresas</v>
      </c>
      <c r="S842" s="37" t="str">
        <f>HYPERLINK("https://analytics.zoho.com/open-view/2395394000008062434?ZOHO_CRITERIA=%22Directorio_Todo%22.%22Cod_Regi%C3%B3n%22%3D"&amp;Agencia[[#This Row],[Filtro URL]])</f>
        <v>https://analytics.zoho.com/open-view/2395394000008062434?ZOHO_CRITERIA=%22Directorio_Todo%22.%22Cod_Regi%C3%B3n%22%3D9</v>
      </c>
      <c r="T842" s="111" t="str">
        <f>"100-C-"&amp;Agencia[[#This Row],[Filtro URL]]</f>
        <v>100-C-9</v>
      </c>
      <c r="U842" s="46" t="str">
        <f t="shared" si="344"/>
        <v>#1774B9</v>
      </c>
      <c r="V842" s="93" t="str">
        <f>+Agencia[[#This Row],[idcoleccion]]&amp;"-"&amp;Agencia[[#This Row],[id]]</f>
        <v>990-0831</v>
      </c>
      <c r="W842" s="93">
        <f>+VLOOKUP(Agencia[[#This Row],[Filtro URL]],Estructura!$X$4:$Y$500,2,0)</f>
        <v>99200009</v>
      </c>
      <c r="X842" s="93" t="str">
        <f>+VLOOKUP(Agencia[[#This Row],[tema]],Estructura!$A$4:$C$500,3,0)</f>
        <v>T-1016</v>
      </c>
      <c r="Y842" s="93" t="str">
        <f>+VLOOKUP(Agencia[[#This Row],[contenido]],Estructura!$E$4:$G$500,3,0)</f>
        <v>C-993</v>
      </c>
      <c r="Z842" s="93" t="str">
        <f>+VLOOKUP(Agencia[[#This Row],[Filtro Integrado]],Estructura!$I$4:$K$500,3,0)</f>
        <v>FI-991</v>
      </c>
      <c r="AA842" s="93" t="str">
        <f>+VLOOKUP(Agencia[[#This Row],[Muestra]],Estructura!$M$4:$O$500,3,0)</f>
        <v>M-1076</v>
      </c>
    </row>
    <row r="843" spans="1:27" ht="57.6" x14ac:dyDescent="0.3">
      <c r="A843" s="21" t="s">
        <v>1347</v>
      </c>
      <c r="B843" s="23">
        <f t="shared" si="357"/>
        <v>990</v>
      </c>
      <c r="C843" s="24" t="str">
        <f t="shared" ref="C843:C906" si="358">+C842</f>
        <v>Agencia Información</v>
      </c>
      <c r="D843" s="72" t="str">
        <f t="shared" si="352"/>
        <v>Economía</v>
      </c>
      <c r="E843" s="19">
        <v>10</v>
      </c>
      <c r="F843" s="18" t="s">
        <v>1509</v>
      </c>
      <c r="G843" s="18" t="s">
        <v>1470</v>
      </c>
      <c r="H843" s="33" t="s">
        <v>16</v>
      </c>
      <c r="I843" s="34" t="s">
        <v>377</v>
      </c>
      <c r="J843" s="9" t="str">
        <f t="shared" si="356"/>
        <v>Comuna</v>
      </c>
      <c r="K843" s="142" t="s">
        <v>9279</v>
      </c>
      <c r="L843" s="36" t="str">
        <f t="shared" si="353"/>
        <v>Periodo 1993-2019</v>
      </c>
      <c r="M843" s="9" t="str">
        <f t="shared" si="354"/>
        <v>Número de trabajadores</v>
      </c>
      <c r="N843" s="9" t="str">
        <f t="shared" si="355"/>
        <v>Servicio de Impuestos Internos (SII)</v>
      </c>
      <c r="O843" s="41" t="str">
        <f>+"Número de trabajadores de empresas vigentes, por año de inicio de actividades y tipo de contribuyentes en la "&amp;I843&amp;", "&amp;Agencia[[#This Row],[temporalidad]]</f>
        <v>Número de trabajadores de empresas vigentes, por año de inicio de actividades y tipo de contribuyentes en la Región de Los Lagos, Periodo 1993-2019</v>
      </c>
      <c r="P843" s="112" t="s">
        <v>5820</v>
      </c>
      <c r="Q843" s="11" t="str">
        <f t="shared" si="350"/>
        <v>Gráfico de Evolución</v>
      </c>
      <c r="R843" s="148" t="str">
        <f>Agencia[[#This Row],[territorio]]&amp;",evolución,anual,trabajadores,tipo,contribuyente,empresas,activas,vigente,SII,año,tributario,fiscal,"&amp;Agencia[[#This Row],[coleccion]]&amp;","&amp;Agencia[[#This Row],[sector]]&amp;","&amp;Agencia[[#This Row],[tema]]&amp;","&amp;Agencia[[#This Row],[contenido]]</f>
        <v>Región de Los Lagos,evolución,anual,trabajadores,tipo,contribuyente,empresas,activas,vigente,SII,año,tributario,fiscal,Agencia Información,Economía,Trabajadores ,Empresas</v>
      </c>
      <c r="S843" s="37" t="str">
        <f>HYPERLINK("https://analytics.zoho.com/open-view/2395394000008062434?ZOHO_CRITERIA=%22Directorio_Todo%22.%22Cod_Regi%C3%B3n%22%3D"&amp;Agencia[[#This Row],[Filtro URL]])</f>
        <v>https://analytics.zoho.com/open-view/2395394000008062434?ZOHO_CRITERIA=%22Directorio_Todo%22.%22Cod_Regi%C3%B3n%22%3D10</v>
      </c>
      <c r="T843" s="111" t="str">
        <f>"100-C-"&amp;Agencia[[#This Row],[Filtro URL]]</f>
        <v>100-C-10</v>
      </c>
      <c r="U843" s="46" t="str">
        <f t="shared" si="344"/>
        <v>#1774B9</v>
      </c>
      <c r="V843" s="93" t="str">
        <f>+Agencia[[#This Row],[idcoleccion]]&amp;"-"&amp;Agencia[[#This Row],[id]]</f>
        <v>990-0832</v>
      </c>
      <c r="W843" s="93">
        <f>+VLOOKUP(Agencia[[#This Row],[Filtro URL]],Estructura!$X$4:$Y$500,2,0)</f>
        <v>99200010</v>
      </c>
      <c r="X843" s="93" t="str">
        <f>+VLOOKUP(Agencia[[#This Row],[tema]],Estructura!$A$4:$C$500,3,0)</f>
        <v>T-1016</v>
      </c>
      <c r="Y843" s="93" t="str">
        <f>+VLOOKUP(Agencia[[#This Row],[contenido]],Estructura!$E$4:$G$500,3,0)</f>
        <v>C-993</v>
      </c>
      <c r="Z843" s="93" t="str">
        <f>+VLOOKUP(Agencia[[#This Row],[Filtro Integrado]],Estructura!$I$4:$K$500,3,0)</f>
        <v>FI-991</v>
      </c>
      <c r="AA843" s="93" t="str">
        <f>+VLOOKUP(Agencia[[#This Row],[Muestra]],Estructura!$M$4:$O$500,3,0)</f>
        <v>M-1076</v>
      </c>
    </row>
    <row r="844" spans="1:27" ht="57.6" x14ac:dyDescent="0.3">
      <c r="A844" s="21" t="s">
        <v>1348</v>
      </c>
      <c r="B844" s="23">
        <f t="shared" si="357"/>
        <v>990</v>
      </c>
      <c r="C844" s="24" t="str">
        <f t="shared" si="358"/>
        <v>Agencia Información</v>
      </c>
      <c r="D844" s="72" t="str">
        <f t="shared" si="352"/>
        <v>Economía</v>
      </c>
      <c r="E844" s="19">
        <v>11</v>
      </c>
      <c r="F844" s="18" t="s">
        <v>1509</v>
      </c>
      <c r="G844" s="18" t="s">
        <v>1470</v>
      </c>
      <c r="H844" s="33" t="s">
        <v>16</v>
      </c>
      <c r="I844" s="34" t="s">
        <v>378</v>
      </c>
      <c r="J844" s="9" t="str">
        <f t="shared" si="356"/>
        <v>Comuna</v>
      </c>
      <c r="K844" s="142" t="s">
        <v>9279</v>
      </c>
      <c r="L844" s="36" t="str">
        <f t="shared" si="353"/>
        <v>Periodo 1993-2019</v>
      </c>
      <c r="M844" s="9" t="str">
        <f t="shared" si="354"/>
        <v>Número de trabajadores</v>
      </c>
      <c r="N844" s="9" t="str">
        <f t="shared" si="355"/>
        <v>Servicio de Impuestos Internos (SII)</v>
      </c>
      <c r="O844" s="41" t="str">
        <f>+"Número de trabajadores de empresas vigentes, por año de inicio de actividades y tipo de contribuyentes en la "&amp;I844&amp;", "&amp;Agencia[[#This Row],[temporalidad]]</f>
        <v>Número de trabajadores de empresas vigentes, por año de inicio de actividades y tipo de contribuyentes en la Región de Aysén, Periodo 1993-2019</v>
      </c>
      <c r="P844" s="112" t="s">
        <v>5821</v>
      </c>
      <c r="Q844" s="11" t="str">
        <f t="shared" si="350"/>
        <v>Gráfico de Evolución</v>
      </c>
      <c r="R844" s="148" t="str">
        <f>Agencia[[#This Row],[territorio]]&amp;",evolución,anual,trabajadores,tipo,contribuyente,empresas,activas,vigente,SII,año,tributario,fiscal,"&amp;Agencia[[#This Row],[coleccion]]&amp;","&amp;Agencia[[#This Row],[sector]]&amp;","&amp;Agencia[[#This Row],[tema]]&amp;","&amp;Agencia[[#This Row],[contenido]]</f>
        <v>Región de Aysén,evolución,anual,trabajadores,tipo,contribuyente,empresas,activas,vigente,SII,año,tributario,fiscal,Agencia Información,Economía,Trabajadores ,Empresas</v>
      </c>
      <c r="S844" s="37" t="str">
        <f>HYPERLINK("https://analytics.zoho.com/open-view/2395394000008062434?ZOHO_CRITERIA=%22Directorio_Todo%22.%22Cod_Regi%C3%B3n%22%3D"&amp;Agencia[[#This Row],[Filtro URL]])</f>
        <v>https://analytics.zoho.com/open-view/2395394000008062434?ZOHO_CRITERIA=%22Directorio_Todo%22.%22Cod_Regi%C3%B3n%22%3D11</v>
      </c>
      <c r="T844" s="111" t="str">
        <f>"100-C-"&amp;Agencia[[#This Row],[Filtro URL]]</f>
        <v>100-C-11</v>
      </c>
      <c r="U844" s="46" t="str">
        <f t="shared" si="344"/>
        <v>#1774B9</v>
      </c>
      <c r="V844" s="93" t="str">
        <f>+Agencia[[#This Row],[idcoleccion]]&amp;"-"&amp;Agencia[[#This Row],[id]]</f>
        <v>990-0833</v>
      </c>
      <c r="W844" s="93">
        <f>+VLOOKUP(Agencia[[#This Row],[Filtro URL]],Estructura!$X$4:$Y$500,2,0)</f>
        <v>99200011</v>
      </c>
      <c r="X844" s="93" t="str">
        <f>+VLOOKUP(Agencia[[#This Row],[tema]],Estructura!$A$4:$C$500,3,0)</f>
        <v>T-1016</v>
      </c>
      <c r="Y844" s="93" t="str">
        <f>+VLOOKUP(Agencia[[#This Row],[contenido]],Estructura!$E$4:$G$500,3,0)</f>
        <v>C-993</v>
      </c>
      <c r="Z844" s="93" t="str">
        <f>+VLOOKUP(Agencia[[#This Row],[Filtro Integrado]],Estructura!$I$4:$K$500,3,0)</f>
        <v>FI-991</v>
      </c>
      <c r="AA844" s="93" t="str">
        <f>+VLOOKUP(Agencia[[#This Row],[Muestra]],Estructura!$M$4:$O$500,3,0)</f>
        <v>M-1076</v>
      </c>
    </row>
    <row r="845" spans="1:27" ht="57.6" x14ac:dyDescent="0.3">
      <c r="A845" s="21" t="s">
        <v>1349</v>
      </c>
      <c r="B845" s="23">
        <f t="shared" si="357"/>
        <v>990</v>
      </c>
      <c r="C845" s="24" t="str">
        <f t="shared" si="358"/>
        <v>Agencia Información</v>
      </c>
      <c r="D845" s="72" t="str">
        <f t="shared" si="352"/>
        <v>Economía</v>
      </c>
      <c r="E845" s="19">
        <v>12</v>
      </c>
      <c r="F845" s="18" t="s">
        <v>1509</v>
      </c>
      <c r="G845" s="18" t="s">
        <v>1470</v>
      </c>
      <c r="H845" s="33" t="s">
        <v>16</v>
      </c>
      <c r="I845" s="34" t="s">
        <v>379</v>
      </c>
      <c r="J845" s="9" t="str">
        <f t="shared" si="356"/>
        <v>Comuna</v>
      </c>
      <c r="K845" s="142" t="s">
        <v>9279</v>
      </c>
      <c r="L845" s="36" t="str">
        <f t="shared" si="353"/>
        <v>Periodo 1993-2019</v>
      </c>
      <c r="M845" s="9" t="str">
        <f t="shared" si="354"/>
        <v>Número de trabajadores</v>
      </c>
      <c r="N845" s="9" t="str">
        <f t="shared" si="355"/>
        <v>Servicio de Impuestos Internos (SII)</v>
      </c>
      <c r="O845" s="41" t="str">
        <f>+"Número de trabajadores de empresas vigentes, por año de inicio de actividades y tipo de contribuyentes en la "&amp;I845&amp;", "&amp;Agencia[[#This Row],[temporalidad]]</f>
        <v>Número de trabajadores de empresas vigentes, por año de inicio de actividades y tipo de contribuyentes en la Región de Magallanes, Periodo 1993-2019</v>
      </c>
      <c r="P845" s="112" t="s">
        <v>5822</v>
      </c>
      <c r="Q845" s="11" t="str">
        <f t="shared" si="350"/>
        <v>Gráfico de Evolución</v>
      </c>
      <c r="R845" s="148" t="str">
        <f>Agencia[[#This Row],[territorio]]&amp;",evolución,anual,trabajadores,tipo,contribuyente,empresas,activas,vigente,SII,año,tributario,fiscal,"&amp;Agencia[[#This Row],[coleccion]]&amp;","&amp;Agencia[[#This Row],[sector]]&amp;","&amp;Agencia[[#This Row],[tema]]&amp;","&amp;Agencia[[#This Row],[contenido]]</f>
        <v>Región de Magallanes,evolución,anual,trabajadores,tipo,contribuyente,empresas,activas,vigente,SII,año,tributario,fiscal,Agencia Información,Economía,Trabajadores ,Empresas</v>
      </c>
      <c r="S845" s="37" t="str">
        <f>HYPERLINK("https://analytics.zoho.com/open-view/2395394000008062434?ZOHO_CRITERIA=%22Directorio_Todo%22.%22Cod_Regi%C3%B3n%22%3D"&amp;Agencia[[#This Row],[Filtro URL]])</f>
        <v>https://analytics.zoho.com/open-view/2395394000008062434?ZOHO_CRITERIA=%22Directorio_Todo%22.%22Cod_Regi%C3%B3n%22%3D12</v>
      </c>
      <c r="T845" s="111" t="str">
        <f>"100-C-"&amp;Agencia[[#This Row],[Filtro URL]]</f>
        <v>100-C-12</v>
      </c>
      <c r="U845" s="46" t="str">
        <f t="shared" si="344"/>
        <v>#1774B9</v>
      </c>
      <c r="V845" s="93" t="str">
        <f>+Agencia[[#This Row],[idcoleccion]]&amp;"-"&amp;Agencia[[#This Row],[id]]</f>
        <v>990-0834</v>
      </c>
      <c r="W845" s="93">
        <f>+VLOOKUP(Agencia[[#This Row],[Filtro URL]],Estructura!$X$4:$Y$500,2,0)</f>
        <v>99200012</v>
      </c>
      <c r="X845" s="93" t="str">
        <f>+VLOOKUP(Agencia[[#This Row],[tema]],Estructura!$A$4:$C$500,3,0)</f>
        <v>T-1016</v>
      </c>
      <c r="Y845" s="93" t="str">
        <f>+VLOOKUP(Agencia[[#This Row],[contenido]],Estructura!$E$4:$G$500,3,0)</f>
        <v>C-993</v>
      </c>
      <c r="Z845" s="93" t="str">
        <f>+VLOOKUP(Agencia[[#This Row],[Filtro Integrado]],Estructura!$I$4:$K$500,3,0)</f>
        <v>FI-991</v>
      </c>
      <c r="AA845" s="93" t="str">
        <f>+VLOOKUP(Agencia[[#This Row],[Muestra]],Estructura!$M$4:$O$500,3,0)</f>
        <v>M-1076</v>
      </c>
    </row>
    <row r="846" spans="1:27" ht="61.2" x14ac:dyDescent="0.3">
      <c r="A846" s="21" t="s">
        <v>1350</v>
      </c>
      <c r="B846" s="23">
        <f t="shared" si="357"/>
        <v>990</v>
      </c>
      <c r="C846" s="24" t="str">
        <f t="shared" si="358"/>
        <v>Agencia Información</v>
      </c>
      <c r="D846" s="72" t="str">
        <f t="shared" si="352"/>
        <v>Economía</v>
      </c>
      <c r="E846" s="19">
        <v>13</v>
      </c>
      <c r="F846" s="18" t="s">
        <v>1509</v>
      </c>
      <c r="G846" s="18" t="s">
        <v>1470</v>
      </c>
      <c r="H846" s="33" t="s">
        <v>16</v>
      </c>
      <c r="I846" s="34" t="s">
        <v>380</v>
      </c>
      <c r="J846" s="9" t="str">
        <f t="shared" si="356"/>
        <v>Comuna</v>
      </c>
      <c r="K846" s="142" t="s">
        <v>9279</v>
      </c>
      <c r="L846" s="36" t="str">
        <f t="shared" si="353"/>
        <v>Periodo 1993-2019</v>
      </c>
      <c r="M846" s="9" t="str">
        <f t="shared" si="354"/>
        <v>Número de trabajadores</v>
      </c>
      <c r="N846" s="9" t="str">
        <f t="shared" si="355"/>
        <v>Servicio de Impuestos Internos (SII)</v>
      </c>
      <c r="O846" s="41" t="str">
        <f>+"Número de trabajadores de empresas vigentes, por año de inicio de actividades y tipo de contribuyentes en la "&amp;I846&amp;", "&amp;Agencia[[#This Row],[temporalidad]]</f>
        <v>Número de trabajadores de empresas vigentes, por año de inicio de actividades y tipo de contribuyentes en la Región Metropolitana, Periodo 1993-2019</v>
      </c>
      <c r="P846" s="112" t="s">
        <v>5766</v>
      </c>
      <c r="Q846" s="11" t="str">
        <f t="shared" si="350"/>
        <v>Gráfico de Evolución</v>
      </c>
      <c r="R846" s="148" t="str">
        <f>Agencia[[#This Row],[territorio]]&amp;",evolución,anual,trabajadores,tipo,contribuyente,empresas,activas,vigente,SII,año,tributario,fiscal,"&amp;Agencia[[#This Row],[coleccion]]&amp;","&amp;Agencia[[#This Row],[sector]]&amp;","&amp;Agencia[[#This Row],[tema]]&amp;","&amp;Agencia[[#This Row],[contenido]]</f>
        <v>Región Metropolitana,evolución,anual,trabajadores,tipo,contribuyente,empresas,activas,vigente,SII,año,tributario,fiscal,Agencia Información,Economía,Trabajadores ,Empresas</v>
      </c>
      <c r="S846" s="37" t="str">
        <f>HYPERLINK("https://analytics.zoho.com/open-view/2395394000008062434?ZOHO_CRITERIA=%22Directorio_Todo%22.%22Cod_Regi%C3%B3n%22%3D"&amp;Agencia[[#This Row],[Filtro URL]])</f>
        <v>https://analytics.zoho.com/open-view/2395394000008062434?ZOHO_CRITERIA=%22Directorio_Todo%22.%22Cod_Regi%C3%B3n%22%3D13</v>
      </c>
      <c r="T846" s="111" t="str">
        <f>"200-C-"&amp;Agencia[[#This Row],[Filtro URL]]</f>
        <v>200-C-13</v>
      </c>
      <c r="U846" s="46" t="str">
        <f t="shared" si="344"/>
        <v>#1774B9</v>
      </c>
      <c r="V846" s="93" t="str">
        <f>+Agencia[[#This Row],[idcoleccion]]&amp;"-"&amp;Agencia[[#This Row],[id]]</f>
        <v>990-0835</v>
      </c>
      <c r="W846" s="93">
        <f>+VLOOKUP(Agencia[[#This Row],[Filtro URL]],Estructura!$X$4:$Y$500,2,0)</f>
        <v>99200013</v>
      </c>
      <c r="X846" s="93" t="str">
        <f>+VLOOKUP(Agencia[[#This Row],[tema]],Estructura!$A$4:$C$500,3,0)</f>
        <v>T-1016</v>
      </c>
      <c r="Y846" s="93" t="str">
        <f>+VLOOKUP(Agencia[[#This Row],[contenido]],Estructura!$E$4:$G$500,3,0)</f>
        <v>C-993</v>
      </c>
      <c r="Z846" s="93" t="str">
        <f>+VLOOKUP(Agencia[[#This Row],[Filtro Integrado]],Estructura!$I$4:$K$500,3,0)</f>
        <v>FI-991</v>
      </c>
      <c r="AA846" s="93" t="str">
        <f>+VLOOKUP(Agencia[[#This Row],[Muestra]],Estructura!$M$4:$O$500,3,0)</f>
        <v>M-1076</v>
      </c>
    </row>
    <row r="847" spans="1:27" ht="57.6" x14ac:dyDescent="0.3">
      <c r="A847" s="21" t="s">
        <v>1351</v>
      </c>
      <c r="B847" s="23">
        <f t="shared" si="357"/>
        <v>990</v>
      </c>
      <c r="C847" s="24" t="str">
        <f t="shared" si="358"/>
        <v>Agencia Información</v>
      </c>
      <c r="D847" s="72" t="str">
        <f t="shared" si="352"/>
        <v>Economía</v>
      </c>
      <c r="E847" s="19">
        <v>14</v>
      </c>
      <c r="F847" s="18" t="s">
        <v>1509</v>
      </c>
      <c r="G847" s="18" t="s">
        <v>1470</v>
      </c>
      <c r="H847" s="33" t="s">
        <v>16</v>
      </c>
      <c r="I847" s="34" t="s">
        <v>381</v>
      </c>
      <c r="J847" s="9" t="str">
        <f t="shared" si="356"/>
        <v>Comuna</v>
      </c>
      <c r="K847" s="142" t="s">
        <v>9279</v>
      </c>
      <c r="L847" s="36" t="str">
        <f t="shared" si="353"/>
        <v>Periodo 1993-2019</v>
      </c>
      <c r="M847" s="9" t="str">
        <f t="shared" si="354"/>
        <v>Número de trabajadores</v>
      </c>
      <c r="N847" s="9" t="str">
        <f t="shared" si="355"/>
        <v>Servicio de Impuestos Internos (SII)</v>
      </c>
      <c r="O847" s="41" t="str">
        <f>+"Número de trabajadores de empresas vigentes, por año de inicio de actividades y tipo de contribuyentes en la "&amp;I847&amp;", "&amp;Agencia[[#This Row],[temporalidad]]</f>
        <v>Número de trabajadores de empresas vigentes, por año de inicio de actividades y tipo de contribuyentes en la Región de Los Ríos, Periodo 1993-2019</v>
      </c>
      <c r="P847" s="112" t="s">
        <v>5823</v>
      </c>
      <c r="Q847" s="11" t="str">
        <f t="shared" si="350"/>
        <v>Gráfico de Evolución</v>
      </c>
      <c r="R847" s="148" t="str">
        <f>Agencia[[#This Row],[territorio]]&amp;",evolución,anual,trabajadores,tipo,contribuyente,empresas,activas,vigente,SII,año,tributario,fiscal,"&amp;Agencia[[#This Row],[coleccion]]&amp;","&amp;Agencia[[#This Row],[sector]]&amp;","&amp;Agencia[[#This Row],[tema]]&amp;","&amp;Agencia[[#This Row],[contenido]]</f>
        <v>Región de Los Ríos,evolución,anual,trabajadores,tipo,contribuyente,empresas,activas,vigente,SII,año,tributario,fiscal,Agencia Información,Economía,Trabajadores ,Empresas</v>
      </c>
      <c r="S847" s="37" t="str">
        <f>HYPERLINK("https://analytics.zoho.com/open-view/2395394000008062434?ZOHO_CRITERIA=%22Directorio_Todo%22.%22Cod_Regi%C3%B3n%22%3D"&amp;Agencia[[#This Row],[Filtro URL]])</f>
        <v>https://analytics.zoho.com/open-view/2395394000008062434?ZOHO_CRITERIA=%22Directorio_Todo%22.%22Cod_Regi%C3%B3n%22%3D14</v>
      </c>
      <c r="T847" s="111" t="str">
        <f>"100-C-"&amp;Agencia[[#This Row],[Filtro URL]]</f>
        <v>100-C-14</v>
      </c>
      <c r="U847" s="46" t="str">
        <f t="shared" si="344"/>
        <v>#1774B9</v>
      </c>
      <c r="V847" s="93" t="str">
        <f>+Agencia[[#This Row],[idcoleccion]]&amp;"-"&amp;Agencia[[#This Row],[id]]</f>
        <v>990-0836</v>
      </c>
      <c r="W847" s="93">
        <f>+VLOOKUP(Agencia[[#This Row],[Filtro URL]],Estructura!$X$4:$Y$500,2,0)</f>
        <v>99200014</v>
      </c>
      <c r="X847" s="93" t="str">
        <f>+VLOOKUP(Agencia[[#This Row],[tema]],Estructura!$A$4:$C$500,3,0)</f>
        <v>T-1016</v>
      </c>
      <c r="Y847" s="93" t="str">
        <f>+VLOOKUP(Agencia[[#This Row],[contenido]],Estructura!$E$4:$G$500,3,0)</f>
        <v>C-993</v>
      </c>
      <c r="Z847" s="93" t="str">
        <f>+VLOOKUP(Agencia[[#This Row],[Filtro Integrado]],Estructura!$I$4:$K$500,3,0)</f>
        <v>FI-991</v>
      </c>
      <c r="AA847" s="93" t="str">
        <f>+VLOOKUP(Agencia[[#This Row],[Muestra]],Estructura!$M$4:$O$500,3,0)</f>
        <v>M-1076</v>
      </c>
    </row>
    <row r="848" spans="1:27" ht="61.2" x14ac:dyDescent="0.3">
      <c r="A848" s="21" t="s">
        <v>1352</v>
      </c>
      <c r="B848" s="23">
        <f t="shared" si="357"/>
        <v>990</v>
      </c>
      <c r="C848" s="24" t="str">
        <f t="shared" si="358"/>
        <v>Agencia Información</v>
      </c>
      <c r="D848" s="72" t="str">
        <f t="shared" si="352"/>
        <v>Economía</v>
      </c>
      <c r="E848" s="19">
        <v>15</v>
      </c>
      <c r="F848" s="18" t="s">
        <v>1509</v>
      </c>
      <c r="G848" s="18" t="s">
        <v>1470</v>
      </c>
      <c r="H848" s="33" t="s">
        <v>16</v>
      </c>
      <c r="I848" s="34" t="s">
        <v>382</v>
      </c>
      <c r="J848" s="9" t="str">
        <f t="shared" si="356"/>
        <v>Comuna</v>
      </c>
      <c r="K848" s="142" t="s">
        <v>9279</v>
      </c>
      <c r="L848" s="36" t="str">
        <f t="shared" si="353"/>
        <v>Periodo 1993-2019</v>
      </c>
      <c r="M848" s="9" t="str">
        <f t="shared" si="354"/>
        <v>Número de trabajadores</v>
      </c>
      <c r="N848" s="9" t="str">
        <f t="shared" si="355"/>
        <v>Servicio de Impuestos Internos (SII)</v>
      </c>
      <c r="O848" s="41" t="str">
        <f>+"Número de trabajadores de empresas vigentes, por año de inicio de actividades y tipo de contribuyentes en la "&amp;I848&amp;", "&amp;Agencia[[#This Row],[temporalidad]]</f>
        <v>Número de trabajadores de empresas vigentes, por año de inicio de actividades y tipo de contribuyentes en la Región de Arica y Parinacota, Periodo 1993-2019</v>
      </c>
      <c r="P848" s="112" t="s">
        <v>5767</v>
      </c>
      <c r="Q848" s="11" t="str">
        <f t="shared" si="350"/>
        <v>Gráfico de Evolución</v>
      </c>
      <c r="R848" s="148" t="str">
        <f>Agencia[[#This Row],[territorio]]&amp;",evolución,anual,trabajadores,tipo,contribuyente,empresas,activas,vigente,SII,año,tributario,fiscal,"&amp;Agencia[[#This Row],[coleccion]]&amp;","&amp;Agencia[[#This Row],[sector]]&amp;","&amp;Agencia[[#This Row],[tema]]&amp;","&amp;Agencia[[#This Row],[contenido]]</f>
        <v>Región de Arica y Parinacota,evolución,anual,trabajadores,tipo,contribuyente,empresas,activas,vigente,SII,año,tributario,fiscal,Agencia Información,Economía,Trabajadores ,Empresas</v>
      </c>
      <c r="S848" s="37" t="str">
        <f>HYPERLINK("https://analytics.zoho.com/open-view/2395394000008062434?ZOHO_CRITERIA=%22Directorio_Todo%22.%22Cod_Regi%C3%B3n%22%3D"&amp;Agencia[[#This Row],[Filtro URL]])</f>
        <v>https://analytics.zoho.com/open-view/2395394000008062434?ZOHO_CRITERIA=%22Directorio_Todo%22.%22Cod_Regi%C3%B3n%22%3D15</v>
      </c>
      <c r="T848" s="111" t="str">
        <f>"100-C-"&amp;Agencia[[#This Row],[Filtro URL]]</f>
        <v>100-C-15</v>
      </c>
      <c r="U848" s="46" t="str">
        <f t="shared" si="344"/>
        <v>#1774B9</v>
      </c>
      <c r="V848" s="93" t="str">
        <f>+Agencia[[#This Row],[idcoleccion]]&amp;"-"&amp;Agencia[[#This Row],[id]]</f>
        <v>990-0837</v>
      </c>
      <c r="W848" s="93">
        <f>+VLOOKUP(Agencia[[#This Row],[Filtro URL]],Estructura!$X$4:$Y$500,2,0)</f>
        <v>99200015</v>
      </c>
      <c r="X848" s="93" t="str">
        <f>+VLOOKUP(Agencia[[#This Row],[tema]],Estructura!$A$4:$C$500,3,0)</f>
        <v>T-1016</v>
      </c>
      <c r="Y848" s="93" t="str">
        <f>+VLOOKUP(Agencia[[#This Row],[contenido]],Estructura!$E$4:$G$500,3,0)</f>
        <v>C-993</v>
      </c>
      <c r="Z848" s="93" t="str">
        <f>+VLOOKUP(Agencia[[#This Row],[Filtro Integrado]],Estructura!$I$4:$K$500,3,0)</f>
        <v>FI-991</v>
      </c>
      <c r="AA848" s="93" t="str">
        <f>+VLOOKUP(Agencia[[#This Row],[Muestra]],Estructura!$M$4:$O$500,3,0)</f>
        <v>M-1076</v>
      </c>
    </row>
    <row r="849" spans="1:27" ht="57.6" x14ac:dyDescent="0.3">
      <c r="A849" s="21" t="s">
        <v>1353</v>
      </c>
      <c r="B849" s="23">
        <f t="shared" si="357"/>
        <v>990</v>
      </c>
      <c r="C849" s="24" t="str">
        <f t="shared" si="358"/>
        <v>Agencia Información</v>
      </c>
      <c r="D849" s="72" t="str">
        <f t="shared" si="352"/>
        <v>Economía</v>
      </c>
      <c r="E849" s="19">
        <v>16</v>
      </c>
      <c r="F849" s="18" t="s">
        <v>1509</v>
      </c>
      <c r="G849" s="18" t="s">
        <v>1470</v>
      </c>
      <c r="H849" s="33" t="s">
        <v>16</v>
      </c>
      <c r="I849" s="34" t="s">
        <v>383</v>
      </c>
      <c r="J849" s="9" t="str">
        <f t="shared" si="356"/>
        <v>Comuna</v>
      </c>
      <c r="K849" s="142" t="s">
        <v>9279</v>
      </c>
      <c r="L849" s="36" t="str">
        <f t="shared" si="353"/>
        <v>Periodo 1993-2019</v>
      </c>
      <c r="M849" s="9" t="str">
        <f t="shared" si="354"/>
        <v>Número de trabajadores</v>
      </c>
      <c r="N849" s="9" t="str">
        <f t="shared" si="355"/>
        <v>Servicio de Impuestos Internos (SII)</v>
      </c>
      <c r="O849" s="41" t="str">
        <f>+"Número de trabajadores de empresas vigentes, por año de inicio de actividades y tipo de contribuyentes en la "&amp;I849&amp;", "&amp;Agencia[[#This Row],[temporalidad]]</f>
        <v>Número de trabajadores de empresas vigentes, por año de inicio de actividades y tipo de contribuyentes en la Región de Ñuble, Periodo 1993-2019</v>
      </c>
      <c r="P849" s="112" t="s">
        <v>5824</v>
      </c>
      <c r="Q849" s="11" t="str">
        <f t="shared" si="350"/>
        <v>Gráfico de Evolución</v>
      </c>
      <c r="R849" s="148" t="str">
        <f>Agencia[[#This Row],[territorio]]&amp;",evolución,anual,trabajadores,tipo,contribuyente,empresas,activas,vigente,SII,año,tributario,fiscal,"&amp;Agencia[[#This Row],[coleccion]]&amp;","&amp;Agencia[[#This Row],[sector]]&amp;","&amp;Agencia[[#This Row],[tema]]&amp;","&amp;Agencia[[#This Row],[contenido]]</f>
        <v>Región de Ñuble,evolución,anual,trabajadores,tipo,contribuyente,empresas,activas,vigente,SII,año,tributario,fiscal,Agencia Información,Economía,Trabajadores ,Empresas</v>
      </c>
      <c r="S849" s="37" t="str">
        <f>HYPERLINK("https://analytics.zoho.com/open-view/2395394000008062434?ZOHO_CRITERIA=%22Directorio_Todo%22.%22Cod_Regi%C3%B3n%22%3D"&amp;Agencia[[#This Row],[Filtro URL]])</f>
        <v>https://analytics.zoho.com/open-view/2395394000008062434?ZOHO_CRITERIA=%22Directorio_Todo%22.%22Cod_Regi%C3%B3n%22%3D16</v>
      </c>
      <c r="T849" s="111" t="str">
        <f>"100-C-"&amp;Agencia[[#This Row],[Filtro URL]]</f>
        <v>100-C-16</v>
      </c>
      <c r="U849" s="46" t="str">
        <f t="shared" si="344"/>
        <v>#1774B9</v>
      </c>
      <c r="V849" s="93" t="str">
        <f>+Agencia[[#This Row],[idcoleccion]]&amp;"-"&amp;Agencia[[#This Row],[id]]</f>
        <v>990-0838</v>
      </c>
      <c r="W849" s="93">
        <f>+VLOOKUP(Agencia[[#This Row],[Filtro URL]],Estructura!$X$4:$Y$500,2,0)</f>
        <v>99200016</v>
      </c>
      <c r="X849" s="93" t="str">
        <f>+VLOOKUP(Agencia[[#This Row],[tema]],Estructura!$A$4:$C$500,3,0)</f>
        <v>T-1016</v>
      </c>
      <c r="Y849" s="93" t="str">
        <f>+VLOOKUP(Agencia[[#This Row],[contenido]],Estructura!$E$4:$G$500,3,0)</f>
        <v>C-993</v>
      </c>
      <c r="Z849" s="93" t="str">
        <f>+VLOOKUP(Agencia[[#This Row],[Filtro Integrado]],Estructura!$I$4:$K$500,3,0)</f>
        <v>FI-991</v>
      </c>
      <c r="AA849" s="93" t="str">
        <f>+VLOOKUP(Agencia[[#This Row],[Muestra]],Estructura!$M$4:$O$500,3,0)</f>
        <v>M-1076</v>
      </c>
    </row>
    <row r="850" spans="1:27" ht="61.2" x14ac:dyDescent="0.3">
      <c r="A850" s="21" t="s">
        <v>1354</v>
      </c>
      <c r="B850" s="23">
        <f t="shared" si="357"/>
        <v>990</v>
      </c>
      <c r="C850" s="24" t="str">
        <f t="shared" si="358"/>
        <v>Agencia Información</v>
      </c>
      <c r="D850" s="72" t="s">
        <v>568</v>
      </c>
      <c r="E850" s="14">
        <v>0</v>
      </c>
      <c r="F850" s="18" t="s">
        <v>948</v>
      </c>
      <c r="G850" s="18" t="s">
        <v>1898</v>
      </c>
      <c r="H850" s="31" t="s">
        <v>20</v>
      </c>
      <c r="I850" s="32" t="s">
        <v>15</v>
      </c>
      <c r="J850" s="9" t="s">
        <v>2992</v>
      </c>
      <c r="K850" s="9" t="s">
        <v>9307</v>
      </c>
      <c r="L850" s="36" t="s">
        <v>1514</v>
      </c>
      <c r="M850" s="9" t="s">
        <v>582</v>
      </c>
      <c r="N850" s="9" t="s">
        <v>848</v>
      </c>
      <c r="O850" s="41" t="str">
        <f>+"Evolución de Población en el Programa de VIH/SIDA según Comuna en "&amp;I850&amp;", "&amp;Agencia[[#This Row],[temporalidad]]</f>
        <v>Evolución de Población en el Programa de VIH/SIDA según Comuna en Chile, Periodo 2012-2018</v>
      </c>
      <c r="P850" s="112" t="s">
        <v>1512</v>
      </c>
      <c r="Q850" s="11" t="s">
        <v>784</v>
      </c>
      <c r="R850" s="148" t="str">
        <f>Agencia[[#This Row],[territorio]]&amp;",VIH,SIDA,enfermedad,transmisión,sexual,casos,población,control,programa,servicio de salud,servicio nacional,comuna,comunal,"&amp;Agencia[[#This Row],[coleccion]]&amp;","&amp;Agencia[[#This Row],[sector]]&amp;","&amp;Agencia[[#This Row],[tema]]&amp;","&amp;Agencia[[#This Row],[contenido]]</f>
        <v>Chile,VIH,SIDA,enfermedad,transmisión,sexual,casos,población,control,programa,servicio de salud,servicio nacional,comuna,comunal,Agencia Información,Salud,Programa de VIH/SIDA,Programas de Salud</v>
      </c>
      <c r="S850" s="83" t="s">
        <v>1513</v>
      </c>
      <c r="T850" s="108" t="s">
        <v>957</v>
      </c>
      <c r="U850" s="46" t="str">
        <f t="shared" si="344"/>
        <v>#1774B9</v>
      </c>
      <c r="V850" s="93" t="str">
        <f>+Agencia[[#This Row],[idcoleccion]]&amp;"-"&amp;Agencia[[#This Row],[id]]</f>
        <v>990-0839</v>
      </c>
      <c r="W850" s="93">
        <f>+VLOOKUP(Agencia[[#This Row],[Filtro URL]],Estructura!$X$4:$Y$500,2,0)</f>
        <v>99100000</v>
      </c>
      <c r="X850" s="93" t="str">
        <f>+VLOOKUP(Agencia[[#This Row],[tema]],Estructura!$A$4:$C$500,3,0)</f>
        <v>T-999</v>
      </c>
      <c r="Y850" s="93" t="str">
        <f>+VLOOKUP(Agencia[[#This Row],[contenido]],Estructura!$E$4:$G$500,3,0)</f>
        <v>C-1010</v>
      </c>
      <c r="Z850" s="93" t="str">
        <f>+VLOOKUP(Agencia[[#This Row],[Filtro Integrado]],Estructura!$I$4:$K$500,3,0)</f>
        <v>FI-1005</v>
      </c>
      <c r="AA850" s="93" t="str">
        <f>+VLOOKUP(Agencia[[#This Row],[Muestra]],Estructura!$M$4:$O$500,3,0)</f>
        <v>M-1053</v>
      </c>
    </row>
    <row r="851" spans="1:27" ht="71.400000000000006" x14ac:dyDescent="0.3">
      <c r="A851" s="21" t="s">
        <v>1355</v>
      </c>
      <c r="B851" s="23">
        <f t="shared" si="357"/>
        <v>990</v>
      </c>
      <c r="C851" s="24" t="str">
        <f t="shared" si="358"/>
        <v>Agencia Información</v>
      </c>
      <c r="D851" s="72" t="str">
        <f t="shared" ref="D851:D866" si="359">+D850</f>
        <v>Salud</v>
      </c>
      <c r="E851" s="19">
        <v>1</v>
      </c>
      <c r="F851" s="18" t="s">
        <v>948</v>
      </c>
      <c r="G851" s="18" t="s">
        <v>1898</v>
      </c>
      <c r="H851" s="33" t="s">
        <v>16</v>
      </c>
      <c r="I851" s="34" t="s">
        <v>368</v>
      </c>
      <c r="J851" s="9" t="s">
        <v>1495</v>
      </c>
      <c r="K851" s="142" t="s">
        <v>9307</v>
      </c>
      <c r="L851" s="36" t="str">
        <f t="shared" ref="L851:L866" si="360">+L850</f>
        <v>Periodo 2012-2018</v>
      </c>
      <c r="M851" s="9" t="str">
        <f t="shared" ref="M851:M866" si="361">+M850</f>
        <v>Número de Casos</v>
      </c>
      <c r="N851" s="9" t="str">
        <f t="shared" ref="N851:N866" si="362">+N850</f>
        <v>Departamento de Estadísticas e Información de la Salud (DEIS) - Ministerio de Salud</v>
      </c>
      <c r="O851" s="41" t="str">
        <f>+"Evolución de Población en el Programa de VIH/SIDA según Comuna en la "&amp;I851&amp;", "&amp;Agencia[[#This Row],[temporalidad]]</f>
        <v>Evolución de Población en el Programa de VIH/SIDA según Comuna en la Región de Tarapacá, Periodo 2012-2018</v>
      </c>
      <c r="P851" s="112" t="s">
        <v>6634</v>
      </c>
      <c r="Q851" s="11" t="str">
        <f t="shared" si="350"/>
        <v>Gráfico de Evolución</v>
      </c>
      <c r="R851" s="148" t="str">
        <f>Agencia[[#This Row],[territorio]]&amp;",VIH,SIDA,enfermedad,transmisión,sexual,casos,población,control,programa,servicio de salud,servicio nacional,comuna,comunal,"&amp;Agencia[[#This Row],[coleccion]]&amp;","&amp;Agencia[[#This Row],[sector]]&amp;","&amp;Agencia[[#This Row],[tema]]&amp;","&amp;Agencia[[#This Row],[contenido]]</f>
        <v>Región de Tarapacá,VIH,SIDA,enfermedad,transmisión,sexual,casos,población,control,programa,servicio de salud,servicio nacional,comuna,comunal,Agencia Información,Salud,Programa de VIH/SIDA,Programas de Salud</v>
      </c>
      <c r="S851" s="37" t="str">
        <f>HYPERLINK("https://analytics.zoho.com/open-view/2395394000008389806?ZOHO_CRITERIA=%22Localiza%20CL%22.%22Codreg%22%20%3D%20"&amp;Agencia[[#This Row],[Filtro URL]])</f>
        <v>https://analytics.zoho.com/open-view/2395394000008389806?ZOHO_CRITERIA=%22Localiza%20CL%22.%22Codreg%22%20%3D%201</v>
      </c>
      <c r="T851" s="111" t="str">
        <f>"100-C-"&amp;Agencia[[#This Row],[Filtro URL]]</f>
        <v>100-C-1</v>
      </c>
      <c r="U851" s="46" t="str">
        <f t="shared" si="344"/>
        <v>#1774B9</v>
      </c>
      <c r="V851" s="93" t="str">
        <f>+Agencia[[#This Row],[idcoleccion]]&amp;"-"&amp;Agencia[[#This Row],[id]]</f>
        <v>990-0840</v>
      </c>
      <c r="W851" s="93">
        <f>+VLOOKUP(Agencia[[#This Row],[Filtro URL]],Estructura!$X$4:$Y$500,2,0)</f>
        <v>99200001</v>
      </c>
      <c r="X851" s="93" t="str">
        <f>+VLOOKUP(Agencia[[#This Row],[tema]],Estructura!$A$4:$C$500,3,0)</f>
        <v>T-999</v>
      </c>
      <c r="Y851" s="93" t="str">
        <f>+VLOOKUP(Agencia[[#This Row],[contenido]],Estructura!$E$4:$G$500,3,0)</f>
        <v>C-1010</v>
      </c>
      <c r="Z851" s="93" t="str">
        <f>+VLOOKUP(Agencia[[#This Row],[Filtro Integrado]],Estructura!$I$4:$K$500,3,0)</f>
        <v>FI-999</v>
      </c>
      <c r="AA851" s="93" t="str">
        <f>+VLOOKUP(Agencia[[#This Row],[Muestra]],Estructura!$M$4:$O$500,3,0)</f>
        <v>M-1053</v>
      </c>
    </row>
    <row r="852" spans="1:27" ht="71.400000000000006" x14ac:dyDescent="0.3">
      <c r="A852" s="21" t="s">
        <v>1356</v>
      </c>
      <c r="B852" s="23">
        <f t="shared" si="357"/>
        <v>990</v>
      </c>
      <c r="C852" s="24" t="str">
        <f t="shared" si="358"/>
        <v>Agencia Información</v>
      </c>
      <c r="D852" s="72" t="str">
        <f t="shared" si="359"/>
        <v>Salud</v>
      </c>
      <c r="E852" s="19">
        <v>2</v>
      </c>
      <c r="F852" s="18" t="s">
        <v>948</v>
      </c>
      <c r="G852" s="18" t="s">
        <v>1898</v>
      </c>
      <c r="H852" s="33" t="s">
        <v>16</v>
      </c>
      <c r="I852" s="34" t="s">
        <v>369</v>
      </c>
      <c r="J852" s="9" t="str">
        <f t="shared" ref="J852:J866" si="363">+J851</f>
        <v>Servicio de Salud</v>
      </c>
      <c r="K852" s="142" t="s">
        <v>9307</v>
      </c>
      <c r="L852" s="36" t="str">
        <f t="shared" si="360"/>
        <v>Periodo 2012-2018</v>
      </c>
      <c r="M852" s="9" t="str">
        <f t="shared" si="361"/>
        <v>Número de Casos</v>
      </c>
      <c r="N852" s="9" t="str">
        <f t="shared" si="362"/>
        <v>Departamento de Estadísticas e Información de la Salud (DEIS) - Ministerio de Salud</v>
      </c>
      <c r="O852" s="41" t="str">
        <f>+"Evolución de Población en el Programa de VIH/SIDA según Comuna en la "&amp;I852&amp;", "&amp;Agencia[[#This Row],[temporalidad]]</f>
        <v>Evolución de Población en el Programa de VIH/SIDA según Comuna en la Región de Antofagasta, Periodo 2012-2018</v>
      </c>
      <c r="P852" s="112" t="s">
        <v>6635</v>
      </c>
      <c r="Q852" s="11" t="str">
        <f t="shared" si="350"/>
        <v>Gráfico de Evolución</v>
      </c>
      <c r="R852" s="148" t="str">
        <f>Agencia[[#This Row],[territorio]]&amp;",VIH,SIDA,enfermedad,transmisión,sexual,casos,población,control,programa,servicio de salud,servicio nacional,comuna,comunal,"&amp;Agencia[[#This Row],[coleccion]]&amp;","&amp;Agencia[[#This Row],[sector]]&amp;","&amp;Agencia[[#This Row],[tema]]&amp;","&amp;Agencia[[#This Row],[contenido]]</f>
        <v>Región de Antofagasta,VIH,SIDA,enfermedad,transmisión,sexual,casos,población,control,programa,servicio de salud,servicio nacional,comuna,comunal,Agencia Información,Salud,Programa de VIH/SIDA,Programas de Salud</v>
      </c>
      <c r="S852" s="37" t="str">
        <f>HYPERLINK("https://analytics.zoho.com/open-view/2395394000008389806?ZOHO_CRITERIA=%22Localiza%20CL%22.%22Codreg%22%20%3D%20"&amp;Agencia[[#This Row],[Filtro URL]])</f>
        <v>https://analytics.zoho.com/open-view/2395394000008389806?ZOHO_CRITERIA=%22Localiza%20CL%22.%22Codreg%22%20%3D%202</v>
      </c>
      <c r="T852" s="111" t="str">
        <f>"100-C-"&amp;Agencia[[#This Row],[Filtro URL]]</f>
        <v>100-C-2</v>
      </c>
      <c r="U852" s="46" t="str">
        <f t="shared" si="344"/>
        <v>#1774B9</v>
      </c>
      <c r="V852" s="93" t="str">
        <f>+Agencia[[#This Row],[idcoleccion]]&amp;"-"&amp;Agencia[[#This Row],[id]]</f>
        <v>990-0841</v>
      </c>
      <c r="W852" s="93">
        <f>+VLOOKUP(Agencia[[#This Row],[Filtro URL]],Estructura!$X$4:$Y$500,2,0)</f>
        <v>99200002</v>
      </c>
      <c r="X852" s="93" t="str">
        <f>+VLOOKUP(Agencia[[#This Row],[tema]],Estructura!$A$4:$C$500,3,0)</f>
        <v>T-999</v>
      </c>
      <c r="Y852" s="93" t="str">
        <f>+VLOOKUP(Agencia[[#This Row],[contenido]],Estructura!$E$4:$G$500,3,0)</f>
        <v>C-1010</v>
      </c>
      <c r="Z852" s="93" t="str">
        <f>+VLOOKUP(Agencia[[#This Row],[Filtro Integrado]],Estructura!$I$4:$K$500,3,0)</f>
        <v>FI-999</v>
      </c>
      <c r="AA852" s="93" t="str">
        <f>+VLOOKUP(Agencia[[#This Row],[Muestra]],Estructura!$M$4:$O$500,3,0)</f>
        <v>M-1053</v>
      </c>
    </row>
    <row r="853" spans="1:27" ht="71.400000000000006" x14ac:dyDescent="0.3">
      <c r="A853" s="21" t="s">
        <v>1357</v>
      </c>
      <c r="B853" s="23">
        <f t="shared" si="357"/>
        <v>990</v>
      </c>
      <c r="C853" s="24" t="str">
        <f t="shared" si="358"/>
        <v>Agencia Información</v>
      </c>
      <c r="D853" s="72" t="str">
        <f t="shared" si="359"/>
        <v>Salud</v>
      </c>
      <c r="E853" s="19">
        <v>3</v>
      </c>
      <c r="F853" s="18" t="s">
        <v>948</v>
      </c>
      <c r="G853" s="18" t="s">
        <v>1898</v>
      </c>
      <c r="H853" s="33" t="s">
        <v>16</v>
      </c>
      <c r="I853" s="34" t="s">
        <v>370</v>
      </c>
      <c r="J853" s="9" t="str">
        <f t="shared" si="363"/>
        <v>Servicio de Salud</v>
      </c>
      <c r="K853" s="142" t="s">
        <v>9307</v>
      </c>
      <c r="L853" s="36" t="str">
        <f t="shared" si="360"/>
        <v>Periodo 2012-2018</v>
      </c>
      <c r="M853" s="9" t="str">
        <f t="shared" si="361"/>
        <v>Número de Casos</v>
      </c>
      <c r="N853" s="9" t="str">
        <f t="shared" si="362"/>
        <v>Departamento de Estadísticas e Información de la Salud (DEIS) - Ministerio de Salud</v>
      </c>
      <c r="O853" s="41" t="str">
        <f>+"Evolución de Población en el Programa de VIH/SIDA según Comuna en la "&amp;I853&amp;", "&amp;Agencia[[#This Row],[temporalidad]]</f>
        <v>Evolución de Población en el Programa de VIH/SIDA según Comuna en la Región de Atacama, Periodo 2012-2018</v>
      </c>
      <c r="P853" s="112" t="s">
        <v>6636</v>
      </c>
      <c r="Q853" s="11" t="str">
        <f t="shared" si="350"/>
        <v>Gráfico de Evolución</v>
      </c>
      <c r="R853" s="148" t="str">
        <f>Agencia[[#This Row],[territorio]]&amp;",VIH,SIDA,enfermedad,transmisión,sexual,casos,población,control,programa,servicio de salud,servicio nacional,comuna,comunal,"&amp;Agencia[[#This Row],[coleccion]]&amp;","&amp;Agencia[[#This Row],[sector]]&amp;","&amp;Agencia[[#This Row],[tema]]&amp;","&amp;Agencia[[#This Row],[contenido]]</f>
        <v>Región de Atacama,VIH,SIDA,enfermedad,transmisión,sexual,casos,población,control,programa,servicio de salud,servicio nacional,comuna,comunal,Agencia Información,Salud,Programa de VIH/SIDA,Programas de Salud</v>
      </c>
      <c r="S853" s="37" t="str">
        <f>HYPERLINK("https://analytics.zoho.com/open-view/2395394000008389806?ZOHO_CRITERIA=%22Localiza%20CL%22.%22Codreg%22%20%3D%20"&amp;Agencia[[#This Row],[Filtro URL]])</f>
        <v>https://analytics.zoho.com/open-view/2395394000008389806?ZOHO_CRITERIA=%22Localiza%20CL%22.%22Codreg%22%20%3D%203</v>
      </c>
      <c r="T853" s="111" t="str">
        <f>"100-C-"&amp;Agencia[[#This Row],[Filtro URL]]</f>
        <v>100-C-3</v>
      </c>
      <c r="U853" s="46" t="str">
        <f t="shared" si="344"/>
        <v>#1774B9</v>
      </c>
      <c r="V853" s="93" t="str">
        <f>+Agencia[[#This Row],[idcoleccion]]&amp;"-"&amp;Agencia[[#This Row],[id]]</f>
        <v>990-0842</v>
      </c>
      <c r="W853" s="93">
        <f>+VLOOKUP(Agencia[[#This Row],[Filtro URL]],Estructura!$X$4:$Y$500,2,0)</f>
        <v>99200003</v>
      </c>
      <c r="X853" s="93" t="str">
        <f>+VLOOKUP(Agencia[[#This Row],[tema]],Estructura!$A$4:$C$500,3,0)</f>
        <v>T-999</v>
      </c>
      <c r="Y853" s="93" t="str">
        <f>+VLOOKUP(Agencia[[#This Row],[contenido]],Estructura!$E$4:$G$500,3,0)</f>
        <v>C-1010</v>
      </c>
      <c r="Z853" s="93" t="str">
        <f>+VLOOKUP(Agencia[[#This Row],[Filtro Integrado]],Estructura!$I$4:$K$500,3,0)</f>
        <v>FI-999</v>
      </c>
      <c r="AA853" s="93" t="str">
        <f>+VLOOKUP(Agencia[[#This Row],[Muestra]],Estructura!$M$4:$O$500,3,0)</f>
        <v>M-1053</v>
      </c>
    </row>
    <row r="854" spans="1:27" ht="71.400000000000006" x14ac:dyDescent="0.3">
      <c r="A854" s="21" t="s">
        <v>1358</v>
      </c>
      <c r="B854" s="23">
        <f t="shared" si="357"/>
        <v>990</v>
      </c>
      <c r="C854" s="24" t="str">
        <f t="shared" si="358"/>
        <v>Agencia Información</v>
      </c>
      <c r="D854" s="72" t="str">
        <f t="shared" si="359"/>
        <v>Salud</v>
      </c>
      <c r="E854" s="19">
        <v>4</v>
      </c>
      <c r="F854" s="18" t="s">
        <v>948</v>
      </c>
      <c r="G854" s="18" t="s">
        <v>1898</v>
      </c>
      <c r="H854" s="33" t="s">
        <v>16</v>
      </c>
      <c r="I854" s="34" t="s">
        <v>371</v>
      </c>
      <c r="J854" s="9" t="str">
        <f t="shared" si="363"/>
        <v>Servicio de Salud</v>
      </c>
      <c r="K854" s="142" t="s">
        <v>9307</v>
      </c>
      <c r="L854" s="36" t="str">
        <f t="shared" si="360"/>
        <v>Periodo 2012-2018</v>
      </c>
      <c r="M854" s="9" t="str">
        <f t="shared" si="361"/>
        <v>Número de Casos</v>
      </c>
      <c r="N854" s="9" t="str">
        <f t="shared" si="362"/>
        <v>Departamento de Estadísticas e Información de la Salud (DEIS) - Ministerio de Salud</v>
      </c>
      <c r="O854" s="41" t="str">
        <f>+"Evolución de Población en el Programa de VIH/SIDA según Comuna en la "&amp;I854&amp;", "&amp;Agencia[[#This Row],[temporalidad]]</f>
        <v>Evolución de Población en el Programa de VIH/SIDA según Comuna en la Región de Coquimbo, Periodo 2012-2018</v>
      </c>
      <c r="P854" s="112" t="s">
        <v>6637</v>
      </c>
      <c r="Q854" s="11" t="str">
        <f t="shared" si="350"/>
        <v>Gráfico de Evolución</v>
      </c>
      <c r="R854" s="148" t="str">
        <f>Agencia[[#This Row],[territorio]]&amp;",VIH,SIDA,enfermedad,transmisión,sexual,casos,población,control,programa,servicio de salud,servicio nacional,comuna,comunal,"&amp;Agencia[[#This Row],[coleccion]]&amp;","&amp;Agencia[[#This Row],[sector]]&amp;","&amp;Agencia[[#This Row],[tema]]&amp;","&amp;Agencia[[#This Row],[contenido]]</f>
        <v>Región de Coquimbo,VIH,SIDA,enfermedad,transmisión,sexual,casos,población,control,programa,servicio de salud,servicio nacional,comuna,comunal,Agencia Información,Salud,Programa de VIH/SIDA,Programas de Salud</v>
      </c>
      <c r="S854" s="37" t="str">
        <f>HYPERLINK("https://analytics.zoho.com/open-view/2395394000008389806?ZOHO_CRITERIA=%22Localiza%20CL%22.%22Codreg%22%20%3D%20"&amp;Agencia[[#This Row],[Filtro URL]])</f>
        <v>https://analytics.zoho.com/open-view/2395394000008389806?ZOHO_CRITERIA=%22Localiza%20CL%22.%22Codreg%22%20%3D%204</v>
      </c>
      <c r="T854" s="111" t="str">
        <f>"100-C-"&amp;Agencia[[#This Row],[Filtro URL]]</f>
        <v>100-C-4</v>
      </c>
      <c r="U854" s="46" t="str">
        <f t="shared" si="344"/>
        <v>#1774B9</v>
      </c>
      <c r="V854" s="93" t="str">
        <f>+Agencia[[#This Row],[idcoleccion]]&amp;"-"&amp;Agencia[[#This Row],[id]]</f>
        <v>990-0843</v>
      </c>
      <c r="W854" s="93">
        <f>+VLOOKUP(Agencia[[#This Row],[Filtro URL]],Estructura!$X$4:$Y$500,2,0)</f>
        <v>99200004</v>
      </c>
      <c r="X854" s="93" t="str">
        <f>+VLOOKUP(Agencia[[#This Row],[tema]],Estructura!$A$4:$C$500,3,0)</f>
        <v>T-999</v>
      </c>
      <c r="Y854" s="93" t="str">
        <f>+VLOOKUP(Agencia[[#This Row],[contenido]],Estructura!$E$4:$G$500,3,0)</f>
        <v>C-1010</v>
      </c>
      <c r="Z854" s="93" t="str">
        <f>+VLOOKUP(Agencia[[#This Row],[Filtro Integrado]],Estructura!$I$4:$K$500,3,0)</f>
        <v>FI-999</v>
      </c>
      <c r="AA854" s="93" t="str">
        <f>+VLOOKUP(Agencia[[#This Row],[Muestra]],Estructura!$M$4:$O$500,3,0)</f>
        <v>M-1053</v>
      </c>
    </row>
    <row r="855" spans="1:27" ht="71.400000000000006" x14ac:dyDescent="0.3">
      <c r="A855" s="21" t="s">
        <v>1359</v>
      </c>
      <c r="B855" s="23">
        <f t="shared" si="357"/>
        <v>990</v>
      </c>
      <c r="C855" s="24" t="str">
        <f t="shared" si="358"/>
        <v>Agencia Información</v>
      </c>
      <c r="D855" s="72" t="str">
        <f t="shared" si="359"/>
        <v>Salud</v>
      </c>
      <c r="E855" s="19">
        <v>5</v>
      </c>
      <c r="F855" s="18" t="s">
        <v>948</v>
      </c>
      <c r="G855" s="18" t="s">
        <v>1898</v>
      </c>
      <c r="H855" s="33" t="s">
        <v>16</v>
      </c>
      <c r="I855" s="34" t="s">
        <v>372</v>
      </c>
      <c r="J855" s="9" t="str">
        <f t="shared" si="363"/>
        <v>Servicio de Salud</v>
      </c>
      <c r="K855" s="142" t="s">
        <v>9307</v>
      </c>
      <c r="L855" s="36" t="str">
        <f t="shared" si="360"/>
        <v>Periodo 2012-2018</v>
      </c>
      <c r="M855" s="9" t="str">
        <f t="shared" si="361"/>
        <v>Número de Casos</v>
      </c>
      <c r="N855" s="9" t="str">
        <f t="shared" si="362"/>
        <v>Departamento de Estadísticas e Información de la Salud (DEIS) - Ministerio de Salud</v>
      </c>
      <c r="O855" s="41" t="str">
        <f>+"Evolución de Población en el Programa de VIH/SIDA según Comuna en la "&amp;I855&amp;", "&amp;Agencia[[#This Row],[temporalidad]]</f>
        <v>Evolución de Población en el Programa de VIH/SIDA según Comuna en la Región de Valparaíso, Periodo 2012-2018</v>
      </c>
      <c r="P855" s="112" t="s">
        <v>6638</v>
      </c>
      <c r="Q855" s="11" t="str">
        <f t="shared" si="350"/>
        <v>Gráfico de Evolución</v>
      </c>
      <c r="R855" s="148" t="str">
        <f>Agencia[[#This Row],[territorio]]&amp;",VIH,SIDA,enfermedad,transmisión,sexual,casos,población,control,programa,servicio de salud,servicio nacional,comuna,comunal,"&amp;Agencia[[#This Row],[coleccion]]&amp;","&amp;Agencia[[#This Row],[sector]]&amp;","&amp;Agencia[[#This Row],[tema]]&amp;","&amp;Agencia[[#This Row],[contenido]]</f>
        <v>Región de Valparaíso,VIH,SIDA,enfermedad,transmisión,sexual,casos,población,control,programa,servicio de salud,servicio nacional,comuna,comunal,Agencia Información,Salud,Programa de VIH/SIDA,Programas de Salud</v>
      </c>
      <c r="S855" s="37" t="str">
        <f>HYPERLINK("https://analytics.zoho.com/open-view/2395394000008389806?ZOHO_CRITERIA=%22Localiza%20CL%22.%22Codreg%22%20%3D%20"&amp;Agencia[[#This Row],[Filtro URL]])</f>
        <v>https://analytics.zoho.com/open-view/2395394000008389806?ZOHO_CRITERIA=%22Localiza%20CL%22.%22Codreg%22%20%3D%205</v>
      </c>
      <c r="T855" s="111" t="str">
        <f>"100-C-"&amp;Agencia[[#This Row],[Filtro URL]]</f>
        <v>100-C-5</v>
      </c>
      <c r="U855" s="46" t="str">
        <f t="shared" si="344"/>
        <v>#1774B9</v>
      </c>
      <c r="V855" s="93" t="str">
        <f>+Agencia[[#This Row],[idcoleccion]]&amp;"-"&amp;Agencia[[#This Row],[id]]</f>
        <v>990-0844</v>
      </c>
      <c r="W855" s="93">
        <f>+VLOOKUP(Agencia[[#This Row],[Filtro URL]],Estructura!$X$4:$Y$500,2,0)</f>
        <v>99200005</v>
      </c>
      <c r="X855" s="93" t="str">
        <f>+VLOOKUP(Agencia[[#This Row],[tema]],Estructura!$A$4:$C$500,3,0)</f>
        <v>T-999</v>
      </c>
      <c r="Y855" s="93" t="str">
        <f>+VLOOKUP(Agencia[[#This Row],[contenido]],Estructura!$E$4:$G$500,3,0)</f>
        <v>C-1010</v>
      </c>
      <c r="Z855" s="93" t="str">
        <f>+VLOOKUP(Agencia[[#This Row],[Filtro Integrado]],Estructura!$I$4:$K$500,3,0)</f>
        <v>FI-999</v>
      </c>
      <c r="AA855" s="93" t="str">
        <f>+VLOOKUP(Agencia[[#This Row],[Muestra]],Estructura!$M$4:$O$500,3,0)</f>
        <v>M-1053</v>
      </c>
    </row>
    <row r="856" spans="1:27" ht="71.400000000000006" x14ac:dyDescent="0.3">
      <c r="A856" s="21" t="s">
        <v>1360</v>
      </c>
      <c r="B856" s="23">
        <f t="shared" si="357"/>
        <v>990</v>
      </c>
      <c r="C856" s="24" t="str">
        <f t="shared" si="358"/>
        <v>Agencia Información</v>
      </c>
      <c r="D856" s="72" t="str">
        <f t="shared" si="359"/>
        <v>Salud</v>
      </c>
      <c r="E856" s="19">
        <v>6</v>
      </c>
      <c r="F856" s="18" t="s">
        <v>948</v>
      </c>
      <c r="G856" s="18" t="s">
        <v>1898</v>
      </c>
      <c r="H856" s="33" t="s">
        <v>16</v>
      </c>
      <c r="I856" s="34" t="s">
        <v>373</v>
      </c>
      <c r="J856" s="9" t="str">
        <f t="shared" si="363"/>
        <v>Servicio de Salud</v>
      </c>
      <c r="K856" s="142" t="s">
        <v>9307</v>
      </c>
      <c r="L856" s="36" t="str">
        <f t="shared" si="360"/>
        <v>Periodo 2012-2018</v>
      </c>
      <c r="M856" s="9" t="str">
        <f t="shared" si="361"/>
        <v>Número de Casos</v>
      </c>
      <c r="N856" s="9" t="str">
        <f t="shared" si="362"/>
        <v>Departamento de Estadísticas e Información de la Salud (DEIS) - Ministerio de Salud</v>
      </c>
      <c r="O856" s="41" t="str">
        <f>+"Evolución de Población en el Programa de VIH/SIDA según Comuna en la "&amp;I856&amp;", "&amp;Agencia[[#This Row],[temporalidad]]</f>
        <v>Evolución de Población en el Programa de VIH/SIDA según Comuna en la Región de O'Higgins, Periodo 2012-2018</v>
      </c>
      <c r="P856" s="112" t="s">
        <v>6639</v>
      </c>
      <c r="Q856" s="11" t="str">
        <f t="shared" si="350"/>
        <v>Gráfico de Evolución</v>
      </c>
      <c r="R856" s="148" t="str">
        <f>Agencia[[#This Row],[territorio]]&amp;",VIH,SIDA,enfermedad,transmisión,sexual,casos,población,control,programa,servicio de salud,servicio nacional,comuna,comunal,"&amp;Agencia[[#This Row],[coleccion]]&amp;","&amp;Agencia[[#This Row],[sector]]&amp;","&amp;Agencia[[#This Row],[tema]]&amp;","&amp;Agencia[[#This Row],[contenido]]</f>
        <v>Región de O'Higgins,VIH,SIDA,enfermedad,transmisión,sexual,casos,población,control,programa,servicio de salud,servicio nacional,comuna,comunal,Agencia Información,Salud,Programa de VIH/SIDA,Programas de Salud</v>
      </c>
      <c r="S856" s="37" t="str">
        <f>HYPERLINK("https://analytics.zoho.com/open-view/2395394000008389806?ZOHO_CRITERIA=%22Localiza%20CL%22.%22Codreg%22%20%3D%20"&amp;Agencia[[#This Row],[Filtro URL]])</f>
        <v>https://analytics.zoho.com/open-view/2395394000008389806?ZOHO_CRITERIA=%22Localiza%20CL%22.%22Codreg%22%20%3D%206</v>
      </c>
      <c r="T856" s="111" t="str">
        <f>"100-C-"&amp;Agencia[[#This Row],[Filtro URL]]</f>
        <v>100-C-6</v>
      </c>
      <c r="U856" s="46" t="str">
        <f t="shared" si="344"/>
        <v>#1774B9</v>
      </c>
      <c r="V856" s="93" t="str">
        <f>+Agencia[[#This Row],[idcoleccion]]&amp;"-"&amp;Agencia[[#This Row],[id]]</f>
        <v>990-0845</v>
      </c>
      <c r="W856" s="93">
        <f>+VLOOKUP(Agencia[[#This Row],[Filtro URL]],Estructura!$X$4:$Y$500,2,0)</f>
        <v>99200006</v>
      </c>
      <c r="X856" s="93" t="str">
        <f>+VLOOKUP(Agencia[[#This Row],[tema]],Estructura!$A$4:$C$500,3,0)</f>
        <v>T-999</v>
      </c>
      <c r="Y856" s="93" t="str">
        <f>+VLOOKUP(Agencia[[#This Row],[contenido]],Estructura!$E$4:$G$500,3,0)</f>
        <v>C-1010</v>
      </c>
      <c r="Z856" s="93" t="str">
        <f>+VLOOKUP(Agencia[[#This Row],[Filtro Integrado]],Estructura!$I$4:$K$500,3,0)</f>
        <v>FI-999</v>
      </c>
      <c r="AA856" s="93" t="str">
        <f>+VLOOKUP(Agencia[[#This Row],[Muestra]],Estructura!$M$4:$O$500,3,0)</f>
        <v>M-1053</v>
      </c>
    </row>
    <row r="857" spans="1:27" ht="71.400000000000006" x14ac:dyDescent="0.3">
      <c r="A857" s="21" t="s">
        <v>1361</v>
      </c>
      <c r="B857" s="23">
        <f t="shared" si="357"/>
        <v>990</v>
      </c>
      <c r="C857" s="24" t="str">
        <f t="shared" si="358"/>
        <v>Agencia Información</v>
      </c>
      <c r="D857" s="72" t="str">
        <f t="shared" si="359"/>
        <v>Salud</v>
      </c>
      <c r="E857" s="19">
        <v>7</v>
      </c>
      <c r="F857" s="18" t="s">
        <v>948</v>
      </c>
      <c r="G857" s="18" t="s">
        <v>1898</v>
      </c>
      <c r="H857" s="33" t="s">
        <v>16</v>
      </c>
      <c r="I857" s="34" t="s">
        <v>374</v>
      </c>
      <c r="J857" s="9" t="str">
        <f t="shared" si="363"/>
        <v>Servicio de Salud</v>
      </c>
      <c r="K857" s="142" t="s">
        <v>9307</v>
      </c>
      <c r="L857" s="36" t="str">
        <f t="shared" si="360"/>
        <v>Periodo 2012-2018</v>
      </c>
      <c r="M857" s="9" t="str">
        <f t="shared" si="361"/>
        <v>Número de Casos</v>
      </c>
      <c r="N857" s="9" t="str">
        <f t="shared" si="362"/>
        <v>Departamento de Estadísticas e Información de la Salud (DEIS) - Ministerio de Salud</v>
      </c>
      <c r="O857" s="41" t="str">
        <f>+"Evolución de Población en el Programa de VIH/SIDA según Comuna en la "&amp;I857&amp;", "&amp;Agencia[[#This Row],[temporalidad]]</f>
        <v>Evolución de Población en el Programa de VIH/SIDA según Comuna en la Región de Maule, Periodo 2012-2018</v>
      </c>
      <c r="P857" s="112" t="s">
        <v>6640</v>
      </c>
      <c r="Q857" s="11" t="str">
        <f t="shared" si="350"/>
        <v>Gráfico de Evolución</v>
      </c>
      <c r="R857" s="148" t="str">
        <f>Agencia[[#This Row],[territorio]]&amp;",VIH,SIDA,enfermedad,transmisión,sexual,casos,población,control,programa,servicio de salud,servicio nacional,comuna,comunal,"&amp;Agencia[[#This Row],[coleccion]]&amp;","&amp;Agencia[[#This Row],[sector]]&amp;","&amp;Agencia[[#This Row],[tema]]&amp;","&amp;Agencia[[#This Row],[contenido]]</f>
        <v>Región de Maule,VIH,SIDA,enfermedad,transmisión,sexual,casos,población,control,programa,servicio de salud,servicio nacional,comuna,comunal,Agencia Información,Salud,Programa de VIH/SIDA,Programas de Salud</v>
      </c>
      <c r="S857" s="37" t="str">
        <f>HYPERLINK("https://analytics.zoho.com/open-view/2395394000008389806?ZOHO_CRITERIA=%22Localiza%20CL%22.%22Codreg%22%20%3D%20"&amp;Agencia[[#This Row],[Filtro URL]])</f>
        <v>https://analytics.zoho.com/open-view/2395394000008389806?ZOHO_CRITERIA=%22Localiza%20CL%22.%22Codreg%22%20%3D%207</v>
      </c>
      <c r="T857" s="111" t="str">
        <f>"100-C-"&amp;Agencia[[#This Row],[Filtro URL]]</f>
        <v>100-C-7</v>
      </c>
      <c r="U857" s="46" t="str">
        <f t="shared" si="344"/>
        <v>#1774B9</v>
      </c>
      <c r="V857" s="93" t="str">
        <f>+Agencia[[#This Row],[idcoleccion]]&amp;"-"&amp;Agencia[[#This Row],[id]]</f>
        <v>990-0846</v>
      </c>
      <c r="W857" s="93">
        <f>+VLOOKUP(Agencia[[#This Row],[Filtro URL]],Estructura!$X$4:$Y$500,2,0)</f>
        <v>99200007</v>
      </c>
      <c r="X857" s="93" t="str">
        <f>+VLOOKUP(Agencia[[#This Row],[tema]],Estructura!$A$4:$C$500,3,0)</f>
        <v>T-999</v>
      </c>
      <c r="Y857" s="93" t="str">
        <f>+VLOOKUP(Agencia[[#This Row],[contenido]],Estructura!$E$4:$G$500,3,0)</f>
        <v>C-1010</v>
      </c>
      <c r="Z857" s="93" t="str">
        <f>+VLOOKUP(Agencia[[#This Row],[Filtro Integrado]],Estructura!$I$4:$K$500,3,0)</f>
        <v>FI-999</v>
      </c>
      <c r="AA857" s="93" t="str">
        <f>+VLOOKUP(Agencia[[#This Row],[Muestra]],Estructura!$M$4:$O$500,3,0)</f>
        <v>M-1053</v>
      </c>
    </row>
    <row r="858" spans="1:27" ht="71.400000000000006" x14ac:dyDescent="0.3">
      <c r="A858" s="21" t="s">
        <v>1362</v>
      </c>
      <c r="B858" s="23">
        <f t="shared" si="357"/>
        <v>990</v>
      </c>
      <c r="C858" s="24" t="str">
        <f t="shared" si="358"/>
        <v>Agencia Información</v>
      </c>
      <c r="D858" s="72" t="str">
        <f t="shared" si="359"/>
        <v>Salud</v>
      </c>
      <c r="E858" s="19">
        <v>8</v>
      </c>
      <c r="F858" s="18" t="s">
        <v>948</v>
      </c>
      <c r="G858" s="18" t="s">
        <v>1898</v>
      </c>
      <c r="H858" s="33" t="s">
        <v>16</v>
      </c>
      <c r="I858" s="34" t="s">
        <v>375</v>
      </c>
      <c r="J858" s="9" t="str">
        <f t="shared" si="363"/>
        <v>Servicio de Salud</v>
      </c>
      <c r="K858" s="142" t="s">
        <v>9307</v>
      </c>
      <c r="L858" s="36" t="str">
        <f t="shared" si="360"/>
        <v>Periodo 2012-2018</v>
      </c>
      <c r="M858" s="9" t="str">
        <f t="shared" si="361"/>
        <v>Número de Casos</v>
      </c>
      <c r="N858" s="9" t="str">
        <f t="shared" si="362"/>
        <v>Departamento de Estadísticas e Información de la Salud (DEIS) - Ministerio de Salud</v>
      </c>
      <c r="O858" s="41" t="str">
        <f>+"Evolución de Población en el Programa de VIH/SIDA según Comuna en la "&amp;I858&amp;", "&amp;Agencia[[#This Row],[temporalidad]]</f>
        <v>Evolución de Población en el Programa de VIH/SIDA según Comuna en la Región del Biobío, Periodo 2012-2018</v>
      </c>
      <c r="P858" s="112" t="s">
        <v>6641</v>
      </c>
      <c r="Q858" s="11" t="str">
        <f t="shared" si="350"/>
        <v>Gráfico de Evolución</v>
      </c>
      <c r="R858" s="148" t="str">
        <f>Agencia[[#This Row],[territorio]]&amp;",VIH,SIDA,enfermedad,transmisión,sexual,casos,población,control,programa,servicio de salud,servicio nacional,comuna,comunal,"&amp;Agencia[[#This Row],[coleccion]]&amp;","&amp;Agencia[[#This Row],[sector]]&amp;","&amp;Agencia[[#This Row],[tema]]&amp;","&amp;Agencia[[#This Row],[contenido]]</f>
        <v>Región del Biobío,VIH,SIDA,enfermedad,transmisión,sexual,casos,población,control,programa,servicio de salud,servicio nacional,comuna,comunal,Agencia Información,Salud,Programa de VIH/SIDA,Programas de Salud</v>
      </c>
      <c r="S858" s="37" t="str">
        <f>HYPERLINK("https://analytics.zoho.com/open-view/2395394000008389806?ZOHO_CRITERIA=%22Localiza%20CL%22.%22Codreg%22%20%3D%20"&amp;Agencia[[#This Row],[Filtro URL]])</f>
        <v>https://analytics.zoho.com/open-view/2395394000008389806?ZOHO_CRITERIA=%22Localiza%20CL%22.%22Codreg%22%20%3D%208</v>
      </c>
      <c r="T858" s="111" t="str">
        <f>"100-C-"&amp;Agencia[[#This Row],[Filtro URL]]</f>
        <v>100-C-8</v>
      </c>
      <c r="U858" s="46" t="str">
        <f t="shared" si="344"/>
        <v>#1774B9</v>
      </c>
      <c r="V858" s="93" t="str">
        <f>+Agencia[[#This Row],[idcoleccion]]&amp;"-"&amp;Agencia[[#This Row],[id]]</f>
        <v>990-0847</v>
      </c>
      <c r="W858" s="93">
        <f>+VLOOKUP(Agencia[[#This Row],[Filtro URL]],Estructura!$X$4:$Y$500,2,0)</f>
        <v>99200008</v>
      </c>
      <c r="X858" s="93" t="str">
        <f>+VLOOKUP(Agencia[[#This Row],[tema]],Estructura!$A$4:$C$500,3,0)</f>
        <v>T-999</v>
      </c>
      <c r="Y858" s="93" t="str">
        <f>+VLOOKUP(Agencia[[#This Row],[contenido]],Estructura!$E$4:$G$500,3,0)</f>
        <v>C-1010</v>
      </c>
      <c r="Z858" s="93" t="str">
        <f>+VLOOKUP(Agencia[[#This Row],[Filtro Integrado]],Estructura!$I$4:$K$500,3,0)</f>
        <v>FI-999</v>
      </c>
      <c r="AA858" s="93" t="str">
        <f>+VLOOKUP(Agencia[[#This Row],[Muestra]],Estructura!$M$4:$O$500,3,0)</f>
        <v>M-1053</v>
      </c>
    </row>
    <row r="859" spans="1:27" ht="71.400000000000006" x14ac:dyDescent="0.3">
      <c r="A859" s="21" t="s">
        <v>1579</v>
      </c>
      <c r="B859" s="23">
        <f t="shared" si="357"/>
        <v>990</v>
      </c>
      <c r="C859" s="24" t="str">
        <f t="shared" si="358"/>
        <v>Agencia Información</v>
      </c>
      <c r="D859" s="72" t="str">
        <f t="shared" si="359"/>
        <v>Salud</v>
      </c>
      <c r="E859" s="19">
        <v>9</v>
      </c>
      <c r="F859" s="18" t="s">
        <v>948</v>
      </c>
      <c r="G859" s="18" t="s">
        <v>1898</v>
      </c>
      <c r="H859" s="33" t="s">
        <v>16</v>
      </c>
      <c r="I859" s="34" t="s">
        <v>376</v>
      </c>
      <c r="J859" s="9" t="str">
        <f t="shared" si="363"/>
        <v>Servicio de Salud</v>
      </c>
      <c r="K859" s="142" t="s">
        <v>9307</v>
      </c>
      <c r="L859" s="36" t="str">
        <f t="shared" si="360"/>
        <v>Periodo 2012-2018</v>
      </c>
      <c r="M859" s="9" t="str">
        <f t="shared" si="361"/>
        <v>Número de Casos</v>
      </c>
      <c r="N859" s="9" t="str">
        <f t="shared" si="362"/>
        <v>Departamento de Estadísticas e Información de la Salud (DEIS) - Ministerio de Salud</v>
      </c>
      <c r="O859" s="41" t="str">
        <f>+"Evolución de Población en el Programa de VIH/SIDA según Comuna en la "&amp;I859&amp;", "&amp;Agencia[[#This Row],[temporalidad]]</f>
        <v>Evolución de Población en el Programa de VIH/SIDA según Comuna en la Región de La Araucanía, Periodo 2012-2018</v>
      </c>
      <c r="P859" s="112" t="s">
        <v>6642</v>
      </c>
      <c r="Q859" s="11" t="str">
        <f t="shared" si="350"/>
        <v>Gráfico de Evolución</v>
      </c>
      <c r="R859" s="148" t="str">
        <f>Agencia[[#This Row],[territorio]]&amp;",VIH,SIDA,enfermedad,transmisión,sexual,casos,población,control,programa,servicio de salud,servicio nacional,comuna,comunal,"&amp;Agencia[[#This Row],[coleccion]]&amp;","&amp;Agencia[[#This Row],[sector]]&amp;","&amp;Agencia[[#This Row],[tema]]&amp;","&amp;Agencia[[#This Row],[contenido]]</f>
        <v>Región de La Araucanía,VIH,SIDA,enfermedad,transmisión,sexual,casos,población,control,programa,servicio de salud,servicio nacional,comuna,comunal,Agencia Información,Salud,Programa de VIH/SIDA,Programas de Salud</v>
      </c>
      <c r="S859" s="37" t="str">
        <f>HYPERLINK("https://analytics.zoho.com/open-view/2395394000008389806?ZOHO_CRITERIA=%22Localiza%20CL%22.%22Codreg%22%20%3D%20"&amp;Agencia[[#This Row],[Filtro URL]])</f>
        <v>https://analytics.zoho.com/open-view/2395394000008389806?ZOHO_CRITERIA=%22Localiza%20CL%22.%22Codreg%22%20%3D%209</v>
      </c>
      <c r="T859" s="111" t="str">
        <f>"100-C-"&amp;Agencia[[#This Row],[Filtro URL]]</f>
        <v>100-C-9</v>
      </c>
      <c r="U859" s="46" t="str">
        <f t="shared" si="344"/>
        <v>#1774B9</v>
      </c>
      <c r="V859" s="93" t="str">
        <f>+Agencia[[#This Row],[idcoleccion]]&amp;"-"&amp;Agencia[[#This Row],[id]]</f>
        <v>990-0848</v>
      </c>
      <c r="W859" s="93">
        <f>+VLOOKUP(Agencia[[#This Row],[Filtro URL]],Estructura!$X$4:$Y$500,2,0)</f>
        <v>99200009</v>
      </c>
      <c r="X859" s="93" t="str">
        <f>+VLOOKUP(Agencia[[#This Row],[tema]],Estructura!$A$4:$C$500,3,0)</f>
        <v>T-999</v>
      </c>
      <c r="Y859" s="93" t="str">
        <f>+VLOOKUP(Agencia[[#This Row],[contenido]],Estructura!$E$4:$G$500,3,0)</f>
        <v>C-1010</v>
      </c>
      <c r="Z859" s="93" t="str">
        <f>+VLOOKUP(Agencia[[#This Row],[Filtro Integrado]],Estructura!$I$4:$K$500,3,0)</f>
        <v>FI-999</v>
      </c>
      <c r="AA859" s="93" t="str">
        <f>+VLOOKUP(Agencia[[#This Row],[Muestra]],Estructura!$M$4:$O$500,3,0)</f>
        <v>M-1053</v>
      </c>
    </row>
    <row r="860" spans="1:27" ht="71.400000000000006" x14ac:dyDescent="0.3">
      <c r="A860" s="21" t="s">
        <v>1580</v>
      </c>
      <c r="B860" s="23">
        <f t="shared" si="357"/>
        <v>990</v>
      </c>
      <c r="C860" s="24" t="str">
        <f t="shared" si="358"/>
        <v>Agencia Información</v>
      </c>
      <c r="D860" s="72" t="str">
        <f t="shared" si="359"/>
        <v>Salud</v>
      </c>
      <c r="E860" s="19">
        <v>10</v>
      </c>
      <c r="F860" s="18" t="s">
        <v>948</v>
      </c>
      <c r="G860" s="18" t="s">
        <v>1898</v>
      </c>
      <c r="H860" s="33" t="s">
        <v>16</v>
      </c>
      <c r="I860" s="34" t="s">
        <v>377</v>
      </c>
      <c r="J860" s="9" t="str">
        <f t="shared" si="363"/>
        <v>Servicio de Salud</v>
      </c>
      <c r="K860" s="142" t="s">
        <v>9307</v>
      </c>
      <c r="L860" s="36" t="str">
        <f t="shared" si="360"/>
        <v>Periodo 2012-2018</v>
      </c>
      <c r="M860" s="9" t="str">
        <f t="shared" si="361"/>
        <v>Número de Casos</v>
      </c>
      <c r="N860" s="9" t="str">
        <f t="shared" si="362"/>
        <v>Departamento de Estadísticas e Información de la Salud (DEIS) - Ministerio de Salud</v>
      </c>
      <c r="O860" s="41" t="str">
        <f>+"Evolución de Población en el Programa de VIH/SIDA según Comuna en la "&amp;I860&amp;", "&amp;Agencia[[#This Row],[temporalidad]]</f>
        <v>Evolución de Población en el Programa de VIH/SIDA según Comuna en la Región de Los Lagos, Periodo 2012-2018</v>
      </c>
      <c r="P860" s="112" t="s">
        <v>6643</v>
      </c>
      <c r="Q860" s="11" t="str">
        <f t="shared" si="350"/>
        <v>Gráfico de Evolución</v>
      </c>
      <c r="R860" s="148" t="str">
        <f>Agencia[[#This Row],[territorio]]&amp;",VIH,SIDA,enfermedad,transmisión,sexual,casos,población,control,programa,servicio de salud,servicio nacional,comuna,comunal,"&amp;Agencia[[#This Row],[coleccion]]&amp;","&amp;Agencia[[#This Row],[sector]]&amp;","&amp;Agencia[[#This Row],[tema]]&amp;","&amp;Agencia[[#This Row],[contenido]]</f>
        <v>Región de Los Lagos,VIH,SIDA,enfermedad,transmisión,sexual,casos,población,control,programa,servicio de salud,servicio nacional,comuna,comunal,Agencia Información,Salud,Programa de VIH/SIDA,Programas de Salud</v>
      </c>
      <c r="S860" s="37" t="str">
        <f>HYPERLINK("https://analytics.zoho.com/open-view/2395394000008389806?ZOHO_CRITERIA=%22Localiza%20CL%22.%22Codreg%22%20%3D%20"&amp;Agencia[[#This Row],[Filtro URL]])</f>
        <v>https://analytics.zoho.com/open-view/2395394000008389806?ZOHO_CRITERIA=%22Localiza%20CL%22.%22Codreg%22%20%3D%2010</v>
      </c>
      <c r="T860" s="111" t="str">
        <f>"100-C-"&amp;Agencia[[#This Row],[Filtro URL]]</f>
        <v>100-C-10</v>
      </c>
      <c r="U860" s="46" t="str">
        <f t="shared" si="344"/>
        <v>#1774B9</v>
      </c>
      <c r="V860" s="93" t="str">
        <f>+Agencia[[#This Row],[idcoleccion]]&amp;"-"&amp;Agencia[[#This Row],[id]]</f>
        <v>990-0849</v>
      </c>
      <c r="W860" s="93">
        <f>+VLOOKUP(Agencia[[#This Row],[Filtro URL]],Estructura!$X$4:$Y$500,2,0)</f>
        <v>99200010</v>
      </c>
      <c r="X860" s="93" t="str">
        <f>+VLOOKUP(Agencia[[#This Row],[tema]],Estructura!$A$4:$C$500,3,0)</f>
        <v>T-999</v>
      </c>
      <c r="Y860" s="93" t="str">
        <f>+VLOOKUP(Agencia[[#This Row],[contenido]],Estructura!$E$4:$G$500,3,0)</f>
        <v>C-1010</v>
      </c>
      <c r="Z860" s="93" t="str">
        <f>+VLOOKUP(Agencia[[#This Row],[Filtro Integrado]],Estructura!$I$4:$K$500,3,0)</f>
        <v>FI-999</v>
      </c>
      <c r="AA860" s="93" t="str">
        <f>+VLOOKUP(Agencia[[#This Row],[Muestra]],Estructura!$M$4:$O$500,3,0)</f>
        <v>M-1053</v>
      </c>
    </row>
    <row r="861" spans="1:27" ht="71.400000000000006" x14ac:dyDescent="0.3">
      <c r="A861" s="21" t="s">
        <v>1581</v>
      </c>
      <c r="B861" s="23">
        <f t="shared" si="357"/>
        <v>990</v>
      </c>
      <c r="C861" s="24" t="str">
        <f t="shared" si="358"/>
        <v>Agencia Información</v>
      </c>
      <c r="D861" s="72" t="str">
        <f t="shared" si="359"/>
        <v>Salud</v>
      </c>
      <c r="E861" s="19">
        <v>11</v>
      </c>
      <c r="F861" s="18" t="s">
        <v>948</v>
      </c>
      <c r="G861" s="18" t="s">
        <v>1898</v>
      </c>
      <c r="H861" s="33" t="s">
        <v>16</v>
      </c>
      <c r="I861" s="34" t="s">
        <v>378</v>
      </c>
      <c r="J861" s="9" t="str">
        <f t="shared" si="363"/>
        <v>Servicio de Salud</v>
      </c>
      <c r="K861" s="142" t="s">
        <v>9307</v>
      </c>
      <c r="L861" s="36" t="str">
        <f t="shared" si="360"/>
        <v>Periodo 2012-2018</v>
      </c>
      <c r="M861" s="9" t="str">
        <f t="shared" si="361"/>
        <v>Número de Casos</v>
      </c>
      <c r="N861" s="9" t="str">
        <f t="shared" si="362"/>
        <v>Departamento de Estadísticas e Información de la Salud (DEIS) - Ministerio de Salud</v>
      </c>
      <c r="O861" s="41" t="str">
        <f>+"Evolución de Población en el Programa de VIH/SIDA según Comuna en la "&amp;I861&amp;", "&amp;Agencia[[#This Row],[temporalidad]]</f>
        <v>Evolución de Población en el Programa de VIH/SIDA según Comuna en la Región de Aysén, Periodo 2012-2018</v>
      </c>
      <c r="P861" s="112" t="s">
        <v>6644</v>
      </c>
      <c r="Q861" s="11" t="str">
        <f t="shared" si="350"/>
        <v>Gráfico de Evolución</v>
      </c>
      <c r="R861" s="148" t="str">
        <f>Agencia[[#This Row],[territorio]]&amp;",VIH,SIDA,enfermedad,transmisión,sexual,casos,población,control,programa,servicio de salud,servicio nacional,comuna,comunal,"&amp;Agencia[[#This Row],[coleccion]]&amp;","&amp;Agencia[[#This Row],[sector]]&amp;","&amp;Agencia[[#This Row],[tema]]&amp;","&amp;Agencia[[#This Row],[contenido]]</f>
        <v>Región de Aysén,VIH,SIDA,enfermedad,transmisión,sexual,casos,población,control,programa,servicio de salud,servicio nacional,comuna,comunal,Agencia Información,Salud,Programa de VIH/SIDA,Programas de Salud</v>
      </c>
      <c r="S861" s="37" t="str">
        <f>HYPERLINK("https://analytics.zoho.com/open-view/2395394000008389806?ZOHO_CRITERIA=%22Localiza%20CL%22.%22Codreg%22%20%3D%20"&amp;Agencia[[#This Row],[Filtro URL]])</f>
        <v>https://analytics.zoho.com/open-view/2395394000008389806?ZOHO_CRITERIA=%22Localiza%20CL%22.%22Codreg%22%20%3D%2011</v>
      </c>
      <c r="T861" s="111" t="str">
        <f>"100-C-"&amp;Agencia[[#This Row],[Filtro URL]]</f>
        <v>100-C-11</v>
      </c>
      <c r="U861" s="46" t="str">
        <f t="shared" si="344"/>
        <v>#1774B9</v>
      </c>
      <c r="V861" s="93" t="str">
        <f>+Agencia[[#This Row],[idcoleccion]]&amp;"-"&amp;Agencia[[#This Row],[id]]</f>
        <v>990-0850</v>
      </c>
      <c r="W861" s="93">
        <f>+VLOOKUP(Agencia[[#This Row],[Filtro URL]],Estructura!$X$4:$Y$500,2,0)</f>
        <v>99200011</v>
      </c>
      <c r="X861" s="93" t="str">
        <f>+VLOOKUP(Agencia[[#This Row],[tema]],Estructura!$A$4:$C$500,3,0)</f>
        <v>T-999</v>
      </c>
      <c r="Y861" s="93" t="str">
        <f>+VLOOKUP(Agencia[[#This Row],[contenido]],Estructura!$E$4:$G$500,3,0)</f>
        <v>C-1010</v>
      </c>
      <c r="Z861" s="93" t="str">
        <f>+VLOOKUP(Agencia[[#This Row],[Filtro Integrado]],Estructura!$I$4:$K$500,3,0)</f>
        <v>FI-999</v>
      </c>
      <c r="AA861" s="93" t="str">
        <f>+VLOOKUP(Agencia[[#This Row],[Muestra]],Estructura!$M$4:$O$500,3,0)</f>
        <v>M-1053</v>
      </c>
    </row>
    <row r="862" spans="1:27" ht="71.400000000000006" x14ac:dyDescent="0.3">
      <c r="A862" s="21" t="s">
        <v>1582</v>
      </c>
      <c r="B862" s="23">
        <f t="shared" si="357"/>
        <v>990</v>
      </c>
      <c r="C862" s="24" t="str">
        <f t="shared" si="358"/>
        <v>Agencia Información</v>
      </c>
      <c r="D862" s="72" t="str">
        <f t="shared" si="359"/>
        <v>Salud</v>
      </c>
      <c r="E862" s="19">
        <v>12</v>
      </c>
      <c r="F862" s="18" t="s">
        <v>948</v>
      </c>
      <c r="G862" s="18" t="s">
        <v>1898</v>
      </c>
      <c r="H862" s="33" t="s">
        <v>16</v>
      </c>
      <c r="I862" s="34" t="s">
        <v>379</v>
      </c>
      <c r="J862" s="9" t="str">
        <f t="shared" si="363"/>
        <v>Servicio de Salud</v>
      </c>
      <c r="K862" s="142" t="s">
        <v>9307</v>
      </c>
      <c r="L862" s="36" t="str">
        <f t="shared" si="360"/>
        <v>Periodo 2012-2018</v>
      </c>
      <c r="M862" s="9" t="str">
        <f t="shared" si="361"/>
        <v>Número de Casos</v>
      </c>
      <c r="N862" s="9" t="str">
        <f t="shared" si="362"/>
        <v>Departamento de Estadísticas e Información de la Salud (DEIS) - Ministerio de Salud</v>
      </c>
      <c r="O862" s="41" t="str">
        <f>+"Evolución de Población en el Programa de VIH/SIDA según Comuna en la "&amp;I862&amp;", "&amp;Agencia[[#This Row],[temporalidad]]</f>
        <v>Evolución de Población en el Programa de VIH/SIDA según Comuna en la Región de Magallanes, Periodo 2012-2018</v>
      </c>
      <c r="P862" s="112" t="s">
        <v>6645</v>
      </c>
      <c r="Q862" s="11" t="str">
        <f t="shared" si="350"/>
        <v>Gráfico de Evolución</v>
      </c>
      <c r="R862" s="148" t="str">
        <f>Agencia[[#This Row],[territorio]]&amp;",VIH,SIDA,enfermedad,transmisión,sexual,casos,población,control,programa,servicio de salud,servicio nacional,comuna,comunal,"&amp;Agencia[[#This Row],[coleccion]]&amp;","&amp;Agencia[[#This Row],[sector]]&amp;","&amp;Agencia[[#This Row],[tema]]&amp;","&amp;Agencia[[#This Row],[contenido]]</f>
        <v>Región de Magallanes,VIH,SIDA,enfermedad,transmisión,sexual,casos,población,control,programa,servicio de salud,servicio nacional,comuna,comunal,Agencia Información,Salud,Programa de VIH/SIDA,Programas de Salud</v>
      </c>
      <c r="S862" s="37" t="str">
        <f>HYPERLINK("https://analytics.zoho.com/open-view/2395394000008389806?ZOHO_CRITERIA=%22Localiza%20CL%22.%22Codreg%22%20%3D%20"&amp;Agencia[[#This Row],[Filtro URL]])</f>
        <v>https://analytics.zoho.com/open-view/2395394000008389806?ZOHO_CRITERIA=%22Localiza%20CL%22.%22Codreg%22%20%3D%2012</v>
      </c>
      <c r="T862" s="111" t="str">
        <f>"100-C-"&amp;Agencia[[#This Row],[Filtro URL]]</f>
        <v>100-C-12</v>
      </c>
      <c r="U862" s="46" t="str">
        <f t="shared" si="344"/>
        <v>#1774B9</v>
      </c>
      <c r="V862" s="93" t="str">
        <f>+Agencia[[#This Row],[idcoleccion]]&amp;"-"&amp;Agencia[[#This Row],[id]]</f>
        <v>990-0851</v>
      </c>
      <c r="W862" s="93">
        <f>+VLOOKUP(Agencia[[#This Row],[Filtro URL]],Estructura!$X$4:$Y$500,2,0)</f>
        <v>99200012</v>
      </c>
      <c r="X862" s="93" t="str">
        <f>+VLOOKUP(Agencia[[#This Row],[tema]],Estructura!$A$4:$C$500,3,0)</f>
        <v>T-999</v>
      </c>
      <c r="Y862" s="93" t="str">
        <f>+VLOOKUP(Agencia[[#This Row],[contenido]],Estructura!$E$4:$G$500,3,0)</f>
        <v>C-1010</v>
      </c>
      <c r="Z862" s="93" t="str">
        <f>+VLOOKUP(Agencia[[#This Row],[Filtro Integrado]],Estructura!$I$4:$K$500,3,0)</f>
        <v>FI-999</v>
      </c>
      <c r="AA862" s="93" t="str">
        <f>+VLOOKUP(Agencia[[#This Row],[Muestra]],Estructura!$M$4:$O$500,3,0)</f>
        <v>M-1053</v>
      </c>
    </row>
    <row r="863" spans="1:27" ht="71.400000000000006" x14ac:dyDescent="0.3">
      <c r="A863" s="21" t="s">
        <v>1583</v>
      </c>
      <c r="B863" s="23">
        <f t="shared" si="357"/>
        <v>990</v>
      </c>
      <c r="C863" s="24" t="str">
        <f t="shared" si="358"/>
        <v>Agencia Información</v>
      </c>
      <c r="D863" s="72" t="str">
        <f t="shared" si="359"/>
        <v>Salud</v>
      </c>
      <c r="E863" s="19">
        <v>13</v>
      </c>
      <c r="F863" s="18" t="s">
        <v>948</v>
      </c>
      <c r="G863" s="18" t="s">
        <v>1898</v>
      </c>
      <c r="H863" s="33" t="s">
        <v>16</v>
      </c>
      <c r="I863" s="34" t="s">
        <v>380</v>
      </c>
      <c r="J863" s="9" t="str">
        <f t="shared" si="363"/>
        <v>Servicio de Salud</v>
      </c>
      <c r="K863" s="142" t="s">
        <v>9307</v>
      </c>
      <c r="L863" s="36" t="str">
        <f t="shared" si="360"/>
        <v>Periodo 2012-2018</v>
      </c>
      <c r="M863" s="9" t="str">
        <f t="shared" si="361"/>
        <v>Número de Casos</v>
      </c>
      <c r="N863" s="9" t="str">
        <f t="shared" si="362"/>
        <v>Departamento de Estadísticas e Información de la Salud (DEIS) - Ministerio de Salud</v>
      </c>
      <c r="O863" s="41" t="str">
        <f>+"Evolución de Población en el Programa de VIH/SIDA según Comuna en la "&amp;I863&amp;", "&amp;Agencia[[#This Row],[temporalidad]]</f>
        <v>Evolución de Población en el Programa de VIH/SIDA según Comuna en la Región Metropolitana, Periodo 2012-2018</v>
      </c>
      <c r="P863" s="112" t="s">
        <v>6646</v>
      </c>
      <c r="Q863" s="11" t="str">
        <f t="shared" si="350"/>
        <v>Gráfico de Evolución</v>
      </c>
      <c r="R863" s="148" t="str">
        <f>Agencia[[#This Row],[territorio]]&amp;",VIH,SIDA,enfermedad,transmisión,sexual,casos,población,control,programa,servicio de salud,servicio nacional,comuna,comunal,"&amp;Agencia[[#This Row],[coleccion]]&amp;","&amp;Agencia[[#This Row],[sector]]&amp;","&amp;Agencia[[#This Row],[tema]]&amp;","&amp;Agencia[[#This Row],[contenido]]</f>
        <v>Región Metropolitana,VIH,SIDA,enfermedad,transmisión,sexual,casos,población,control,programa,servicio de salud,servicio nacional,comuna,comunal,Agencia Información,Salud,Programa de VIH/SIDA,Programas de Salud</v>
      </c>
      <c r="S863" s="37" t="str">
        <f>HYPERLINK("https://analytics.zoho.com/open-view/2395394000008389806?ZOHO_CRITERIA=%22Localiza%20CL%22.%22Codreg%22%20%3D%20"&amp;Agencia[[#This Row],[Filtro URL]])</f>
        <v>https://analytics.zoho.com/open-view/2395394000008389806?ZOHO_CRITERIA=%22Localiza%20CL%22.%22Codreg%22%20%3D%2013</v>
      </c>
      <c r="T863" s="111" t="str">
        <f>"200-C-"&amp;Agencia[[#This Row],[Filtro URL]]</f>
        <v>200-C-13</v>
      </c>
      <c r="U863" s="46" t="str">
        <f t="shared" si="344"/>
        <v>#1774B9</v>
      </c>
      <c r="V863" s="93" t="str">
        <f>+Agencia[[#This Row],[idcoleccion]]&amp;"-"&amp;Agencia[[#This Row],[id]]</f>
        <v>990-0852</v>
      </c>
      <c r="W863" s="93">
        <f>+VLOOKUP(Agencia[[#This Row],[Filtro URL]],Estructura!$X$4:$Y$500,2,0)</f>
        <v>99200013</v>
      </c>
      <c r="X863" s="93" t="str">
        <f>+VLOOKUP(Agencia[[#This Row],[tema]],Estructura!$A$4:$C$500,3,0)</f>
        <v>T-999</v>
      </c>
      <c r="Y863" s="93" t="str">
        <f>+VLOOKUP(Agencia[[#This Row],[contenido]],Estructura!$E$4:$G$500,3,0)</f>
        <v>C-1010</v>
      </c>
      <c r="Z863" s="93" t="str">
        <f>+VLOOKUP(Agencia[[#This Row],[Filtro Integrado]],Estructura!$I$4:$K$500,3,0)</f>
        <v>FI-999</v>
      </c>
      <c r="AA863" s="93" t="str">
        <f>+VLOOKUP(Agencia[[#This Row],[Muestra]],Estructura!$M$4:$O$500,3,0)</f>
        <v>M-1053</v>
      </c>
    </row>
    <row r="864" spans="1:27" ht="71.400000000000006" x14ac:dyDescent="0.3">
      <c r="A864" s="21" t="s">
        <v>1584</v>
      </c>
      <c r="B864" s="23">
        <f t="shared" si="357"/>
        <v>990</v>
      </c>
      <c r="C864" s="24" t="str">
        <f t="shared" si="358"/>
        <v>Agencia Información</v>
      </c>
      <c r="D864" s="72" t="str">
        <f t="shared" si="359"/>
        <v>Salud</v>
      </c>
      <c r="E864" s="19">
        <v>14</v>
      </c>
      <c r="F864" s="18" t="s">
        <v>948</v>
      </c>
      <c r="G864" s="18" t="s">
        <v>1898</v>
      </c>
      <c r="H864" s="33" t="s">
        <v>16</v>
      </c>
      <c r="I864" s="34" t="s">
        <v>381</v>
      </c>
      <c r="J864" s="9" t="str">
        <f t="shared" si="363"/>
        <v>Servicio de Salud</v>
      </c>
      <c r="K864" s="142" t="s">
        <v>9307</v>
      </c>
      <c r="L864" s="36" t="str">
        <f t="shared" si="360"/>
        <v>Periodo 2012-2018</v>
      </c>
      <c r="M864" s="9" t="str">
        <f t="shared" si="361"/>
        <v>Número de Casos</v>
      </c>
      <c r="N864" s="9" t="str">
        <f t="shared" si="362"/>
        <v>Departamento de Estadísticas e Información de la Salud (DEIS) - Ministerio de Salud</v>
      </c>
      <c r="O864" s="41" t="str">
        <f>+"Evolución de Población en el Programa de VIH/SIDA según Comuna en la "&amp;I864&amp;", "&amp;Agencia[[#This Row],[temporalidad]]</f>
        <v>Evolución de Población en el Programa de VIH/SIDA según Comuna en la Región de Los Ríos, Periodo 2012-2018</v>
      </c>
      <c r="P864" s="112" t="s">
        <v>6647</v>
      </c>
      <c r="Q864" s="11" t="str">
        <f t="shared" si="350"/>
        <v>Gráfico de Evolución</v>
      </c>
      <c r="R864" s="148" t="str">
        <f>Agencia[[#This Row],[territorio]]&amp;",VIH,SIDA,enfermedad,transmisión,sexual,casos,población,control,programa,servicio de salud,servicio nacional,comuna,comunal,"&amp;Agencia[[#This Row],[coleccion]]&amp;","&amp;Agencia[[#This Row],[sector]]&amp;","&amp;Agencia[[#This Row],[tema]]&amp;","&amp;Agencia[[#This Row],[contenido]]</f>
        <v>Región de Los Ríos,VIH,SIDA,enfermedad,transmisión,sexual,casos,población,control,programa,servicio de salud,servicio nacional,comuna,comunal,Agencia Información,Salud,Programa de VIH/SIDA,Programas de Salud</v>
      </c>
      <c r="S864" s="37" t="str">
        <f>HYPERLINK("https://analytics.zoho.com/open-view/2395394000008389806?ZOHO_CRITERIA=%22Localiza%20CL%22.%22Codreg%22%20%3D%20"&amp;Agencia[[#This Row],[Filtro URL]])</f>
        <v>https://analytics.zoho.com/open-view/2395394000008389806?ZOHO_CRITERIA=%22Localiza%20CL%22.%22Codreg%22%20%3D%2014</v>
      </c>
      <c r="T864" s="111" t="str">
        <f>"100-C-"&amp;Agencia[[#This Row],[Filtro URL]]</f>
        <v>100-C-14</v>
      </c>
      <c r="U864" s="46" t="str">
        <f t="shared" si="344"/>
        <v>#1774B9</v>
      </c>
      <c r="V864" s="93" t="str">
        <f>+Agencia[[#This Row],[idcoleccion]]&amp;"-"&amp;Agencia[[#This Row],[id]]</f>
        <v>990-0853</v>
      </c>
      <c r="W864" s="93">
        <f>+VLOOKUP(Agencia[[#This Row],[Filtro URL]],Estructura!$X$4:$Y$500,2,0)</f>
        <v>99200014</v>
      </c>
      <c r="X864" s="93" t="str">
        <f>+VLOOKUP(Agencia[[#This Row],[tema]],Estructura!$A$4:$C$500,3,0)</f>
        <v>T-999</v>
      </c>
      <c r="Y864" s="93" t="str">
        <f>+VLOOKUP(Agencia[[#This Row],[contenido]],Estructura!$E$4:$G$500,3,0)</f>
        <v>C-1010</v>
      </c>
      <c r="Z864" s="93" t="str">
        <f>+VLOOKUP(Agencia[[#This Row],[Filtro Integrado]],Estructura!$I$4:$K$500,3,0)</f>
        <v>FI-999</v>
      </c>
      <c r="AA864" s="93" t="str">
        <f>+VLOOKUP(Agencia[[#This Row],[Muestra]],Estructura!$M$4:$O$500,3,0)</f>
        <v>M-1053</v>
      </c>
    </row>
    <row r="865" spans="1:27" ht="71.400000000000006" x14ac:dyDescent="0.3">
      <c r="A865" s="21" t="s">
        <v>1585</v>
      </c>
      <c r="B865" s="23">
        <f t="shared" si="357"/>
        <v>990</v>
      </c>
      <c r="C865" s="24" t="str">
        <f t="shared" si="358"/>
        <v>Agencia Información</v>
      </c>
      <c r="D865" s="72" t="str">
        <f t="shared" si="359"/>
        <v>Salud</v>
      </c>
      <c r="E865" s="19">
        <v>15</v>
      </c>
      <c r="F865" s="18" t="s">
        <v>948</v>
      </c>
      <c r="G865" s="18" t="s">
        <v>1898</v>
      </c>
      <c r="H865" s="33" t="s">
        <v>16</v>
      </c>
      <c r="I865" s="34" t="s">
        <v>382</v>
      </c>
      <c r="J865" s="9" t="str">
        <f t="shared" si="363"/>
        <v>Servicio de Salud</v>
      </c>
      <c r="K865" s="142" t="s">
        <v>9307</v>
      </c>
      <c r="L865" s="36" t="str">
        <f t="shared" si="360"/>
        <v>Periodo 2012-2018</v>
      </c>
      <c r="M865" s="9" t="str">
        <f t="shared" si="361"/>
        <v>Número de Casos</v>
      </c>
      <c r="N865" s="9" t="str">
        <f t="shared" si="362"/>
        <v>Departamento de Estadísticas e Información de la Salud (DEIS) - Ministerio de Salud</v>
      </c>
      <c r="O865" s="41" t="str">
        <f>+"Evolución de Población en el Programa de VIH/SIDA según Comuna en la "&amp;I865&amp;", "&amp;Agencia[[#This Row],[temporalidad]]</f>
        <v>Evolución de Población en el Programa de VIH/SIDA según Comuna en la Región de Arica y Parinacota, Periodo 2012-2018</v>
      </c>
      <c r="P865" s="112" t="s">
        <v>6648</v>
      </c>
      <c r="Q865" s="11" t="str">
        <f t="shared" si="350"/>
        <v>Gráfico de Evolución</v>
      </c>
      <c r="R865" s="148" t="str">
        <f>Agencia[[#This Row],[territorio]]&amp;",VIH,SIDA,enfermedad,transmisión,sexual,casos,población,control,programa,servicio de salud,servicio nacional,comuna,comunal,"&amp;Agencia[[#This Row],[coleccion]]&amp;","&amp;Agencia[[#This Row],[sector]]&amp;","&amp;Agencia[[#This Row],[tema]]&amp;","&amp;Agencia[[#This Row],[contenido]]</f>
        <v>Región de Arica y Parinacota,VIH,SIDA,enfermedad,transmisión,sexual,casos,población,control,programa,servicio de salud,servicio nacional,comuna,comunal,Agencia Información,Salud,Programa de VIH/SIDA,Programas de Salud</v>
      </c>
      <c r="S865" s="37" t="str">
        <f>HYPERLINK("https://analytics.zoho.com/open-view/2395394000008389806?ZOHO_CRITERIA=%22Localiza%20CL%22.%22Codreg%22%20%3D%20"&amp;Agencia[[#This Row],[Filtro URL]])</f>
        <v>https://analytics.zoho.com/open-view/2395394000008389806?ZOHO_CRITERIA=%22Localiza%20CL%22.%22Codreg%22%20%3D%2015</v>
      </c>
      <c r="T865" s="111" t="str">
        <f>"100-C-"&amp;Agencia[[#This Row],[Filtro URL]]</f>
        <v>100-C-15</v>
      </c>
      <c r="U865" s="46" t="str">
        <f t="shared" si="344"/>
        <v>#1774B9</v>
      </c>
      <c r="V865" s="93" t="str">
        <f>+Agencia[[#This Row],[idcoleccion]]&amp;"-"&amp;Agencia[[#This Row],[id]]</f>
        <v>990-0854</v>
      </c>
      <c r="W865" s="93">
        <f>+VLOOKUP(Agencia[[#This Row],[Filtro URL]],Estructura!$X$4:$Y$500,2,0)</f>
        <v>99200015</v>
      </c>
      <c r="X865" s="93" t="str">
        <f>+VLOOKUP(Agencia[[#This Row],[tema]],Estructura!$A$4:$C$500,3,0)</f>
        <v>T-999</v>
      </c>
      <c r="Y865" s="93" t="str">
        <f>+VLOOKUP(Agencia[[#This Row],[contenido]],Estructura!$E$4:$G$500,3,0)</f>
        <v>C-1010</v>
      </c>
      <c r="Z865" s="93" t="str">
        <f>+VLOOKUP(Agencia[[#This Row],[Filtro Integrado]],Estructura!$I$4:$K$500,3,0)</f>
        <v>FI-999</v>
      </c>
      <c r="AA865" s="93" t="str">
        <f>+VLOOKUP(Agencia[[#This Row],[Muestra]],Estructura!$M$4:$O$500,3,0)</f>
        <v>M-1053</v>
      </c>
    </row>
    <row r="866" spans="1:27" ht="71.400000000000006" x14ac:dyDescent="0.3">
      <c r="A866" s="21" t="s">
        <v>1586</v>
      </c>
      <c r="B866" s="23">
        <f t="shared" si="357"/>
        <v>990</v>
      </c>
      <c r="C866" s="24" t="str">
        <f t="shared" si="358"/>
        <v>Agencia Información</v>
      </c>
      <c r="D866" s="72" t="str">
        <f t="shared" si="359"/>
        <v>Salud</v>
      </c>
      <c r="E866" s="19">
        <v>16</v>
      </c>
      <c r="F866" s="18" t="s">
        <v>948</v>
      </c>
      <c r="G866" s="18" t="s">
        <v>1898</v>
      </c>
      <c r="H866" s="33" t="s">
        <v>16</v>
      </c>
      <c r="I866" s="34" t="s">
        <v>383</v>
      </c>
      <c r="J866" s="9" t="str">
        <f t="shared" si="363"/>
        <v>Servicio de Salud</v>
      </c>
      <c r="K866" s="142" t="s">
        <v>9307</v>
      </c>
      <c r="L866" s="36" t="str">
        <f t="shared" si="360"/>
        <v>Periodo 2012-2018</v>
      </c>
      <c r="M866" s="9" t="str">
        <f t="shared" si="361"/>
        <v>Número de Casos</v>
      </c>
      <c r="N866" s="9" t="str">
        <f t="shared" si="362"/>
        <v>Departamento de Estadísticas e Información de la Salud (DEIS) - Ministerio de Salud</v>
      </c>
      <c r="O866" s="41" t="str">
        <f>+"Evolución de Población en el Programa de VIH/SIDA según Comuna en la "&amp;I866&amp;", "&amp;Agencia[[#This Row],[temporalidad]]</f>
        <v>Evolución de Población en el Programa de VIH/SIDA según Comuna en la Región de Ñuble, Periodo 2012-2018</v>
      </c>
      <c r="P866" s="112" t="s">
        <v>6649</v>
      </c>
      <c r="Q866" s="11" t="str">
        <f t="shared" si="350"/>
        <v>Gráfico de Evolución</v>
      </c>
      <c r="R866" s="148" t="str">
        <f>Agencia[[#This Row],[territorio]]&amp;",VIH,SIDA,enfermedad,transmisión,sexual,casos,población,control,programa,servicio de salud,servicio nacional,comuna,comunal,"&amp;Agencia[[#This Row],[coleccion]]&amp;","&amp;Agencia[[#This Row],[sector]]&amp;","&amp;Agencia[[#This Row],[tema]]&amp;","&amp;Agencia[[#This Row],[contenido]]</f>
        <v>Región de Ñuble,VIH,SIDA,enfermedad,transmisión,sexual,casos,población,control,programa,servicio de salud,servicio nacional,comuna,comunal,Agencia Información,Salud,Programa de VIH/SIDA,Programas de Salud</v>
      </c>
      <c r="S866" s="37" t="str">
        <f>HYPERLINK("https://analytics.zoho.com/open-view/2395394000008389806?ZOHO_CRITERIA=%22Localiza%20CL%22.%22Codreg%22%20%3D%20"&amp;Agencia[[#This Row],[Filtro URL]])</f>
        <v>https://analytics.zoho.com/open-view/2395394000008389806?ZOHO_CRITERIA=%22Localiza%20CL%22.%22Codreg%22%20%3D%2016</v>
      </c>
      <c r="T866" s="111" t="str">
        <f>"100-C-"&amp;Agencia[[#This Row],[Filtro URL]]</f>
        <v>100-C-16</v>
      </c>
      <c r="U866" s="46" t="str">
        <f t="shared" si="344"/>
        <v>#1774B9</v>
      </c>
      <c r="V866" s="93" t="str">
        <f>+Agencia[[#This Row],[idcoleccion]]&amp;"-"&amp;Agencia[[#This Row],[id]]</f>
        <v>990-0855</v>
      </c>
      <c r="W866" s="93">
        <f>+VLOOKUP(Agencia[[#This Row],[Filtro URL]],Estructura!$X$4:$Y$500,2,0)</f>
        <v>99200016</v>
      </c>
      <c r="X866" s="93" t="str">
        <f>+VLOOKUP(Agencia[[#This Row],[tema]],Estructura!$A$4:$C$500,3,0)</f>
        <v>T-999</v>
      </c>
      <c r="Y866" s="93" t="str">
        <f>+VLOOKUP(Agencia[[#This Row],[contenido]],Estructura!$E$4:$G$500,3,0)</f>
        <v>C-1010</v>
      </c>
      <c r="Z866" s="93" t="str">
        <f>+VLOOKUP(Agencia[[#This Row],[Filtro Integrado]],Estructura!$I$4:$K$500,3,0)</f>
        <v>FI-999</v>
      </c>
      <c r="AA866" s="93" t="str">
        <f>+VLOOKUP(Agencia[[#This Row],[Muestra]],Estructura!$M$4:$O$500,3,0)</f>
        <v>M-1053</v>
      </c>
    </row>
    <row r="867" spans="1:27" ht="51" x14ac:dyDescent="0.3">
      <c r="A867" s="21" t="s">
        <v>1587</v>
      </c>
      <c r="B867" s="23">
        <f t="shared" si="357"/>
        <v>990</v>
      </c>
      <c r="C867" s="24" t="str">
        <f t="shared" si="358"/>
        <v>Agencia Información</v>
      </c>
      <c r="D867" s="72" t="s">
        <v>568</v>
      </c>
      <c r="E867" s="14">
        <v>0</v>
      </c>
      <c r="F867" s="18" t="s">
        <v>948</v>
      </c>
      <c r="G867" s="18" t="s">
        <v>1898</v>
      </c>
      <c r="H867" s="31" t="s">
        <v>20</v>
      </c>
      <c r="I867" s="32" t="s">
        <v>15</v>
      </c>
      <c r="J867" s="9" t="s">
        <v>16</v>
      </c>
      <c r="K867" s="142" t="s">
        <v>9307</v>
      </c>
      <c r="L867" s="36" t="s">
        <v>1514</v>
      </c>
      <c r="M867" s="9" t="s">
        <v>1392</v>
      </c>
      <c r="N867" s="9" t="s">
        <v>848</v>
      </c>
      <c r="O867" s="41" t="str">
        <f>+"Evolución de Población en Control en el Programa de VIH/SIDA según Región en "&amp;I867&amp;", "&amp;Agencia[[#This Row],[temporalidad]]</f>
        <v>Evolución de Población en Control en el Programa de VIH/SIDA según Región en Chile, Periodo 2012-2018</v>
      </c>
      <c r="P867" s="112" t="s">
        <v>6650</v>
      </c>
      <c r="Q867" s="11" t="s">
        <v>784</v>
      </c>
      <c r="R867" s="148" t="str">
        <f>Agencia[[#This Row],[territorio]]&amp;",VIH,SIDA,enfermedad,transmisión,sexual,casos,personas,población,control,programa,región,regional,"&amp;Agencia[[#This Row],[coleccion]]&amp;","&amp;Agencia[[#This Row],[sector]]&amp;","&amp;Agencia[[#This Row],[tema]]&amp;","&amp;Agencia[[#This Row],[contenido]]</f>
        <v>Chile,VIH,SIDA,enfermedad,transmisión,sexual,casos,personas,población,control,programa,región,regional,Agencia Información,Salud,Programa de VIH/SIDA,Programas de Salud</v>
      </c>
      <c r="S867" s="37" t="s">
        <v>1515</v>
      </c>
      <c r="T867" s="108" t="s">
        <v>805</v>
      </c>
      <c r="U867" s="46" t="str">
        <f t="shared" si="344"/>
        <v>#1774B9</v>
      </c>
      <c r="V867" s="93" t="str">
        <f>+Agencia[[#This Row],[idcoleccion]]&amp;"-"&amp;Agencia[[#This Row],[id]]</f>
        <v>990-0856</v>
      </c>
      <c r="W867" s="93">
        <f>+VLOOKUP(Agencia[[#This Row],[Filtro URL]],Estructura!$X$4:$Y$500,2,0)</f>
        <v>99100000</v>
      </c>
      <c r="X867" s="93" t="str">
        <f>+VLOOKUP(Agencia[[#This Row],[tema]],Estructura!$A$4:$C$500,3,0)</f>
        <v>T-999</v>
      </c>
      <c r="Y867" s="93" t="str">
        <f>+VLOOKUP(Agencia[[#This Row],[contenido]],Estructura!$E$4:$G$500,3,0)</f>
        <v>C-1010</v>
      </c>
      <c r="Z867" s="93" t="str">
        <f>+VLOOKUP(Agencia[[#This Row],[Filtro Integrado]],Estructura!$I$4:$K$500,3,0)</f>
        <v>FI-992</v>
      </c>
      <c r="AA867" s="93" t="str">
        <f>+VLOOKUP(Agencia[[#This Row],[Muestra]],Estructura!$M$4:$O$500,3,0)</f>
        <v>M-1053</v>
      </c>
    </row>
    <row r="868" spans="1:27" ht="61.2" x14ac:dyDescent="0.3">
      <c r="A868" s="21" t="s">
        <v>1588</v>
      </c>
      <c r="B868" s="23">
        <f t="shared" si="357"/>
        <v>990</v>
      </c>
      <c r="C868" s="24" t="str">
        <f t="shared" si="358"/>
        <v>Agencia Información</v>
      </c>
      <c r="D868" s="72" t="str">
        <f t="shared" ref="D868:D883" si="364">+D867</f>
        <v>Salud</v>
      </c>
      <c r="E868" s="19">
        <v>1</v>
      </c>
      <c r="F868" s="18" t="s">
        <v>948</v>
      </c>
      <c r="G868" s="18" t="s">
        <v>1898</v>
      </c>
      <c r="H868" s="33" t="s">
        <v>16</v>
      </c>
      <c r="I868" s="34" t="s">
        <v>368</v>
      </c>
      <c r="J868" s="9" t="s">
        <v>403</v>
      </c>
      <c r="K868" s="142" t="s">
        <v>9307</v>
      </c>
      <c r="L868" s="36" t="str">
        <f t="shared" ref="L868:L883" si="365">+L867</f>
        <v>Periodo 2012-2018</v>
      </c>
      <c r="M868" s="9" t="str">
        <f t="shared" ref="M868:M883" si="366">+M867</f>
        <v>Personas</v>
      </c>
      <c r="N868" s="9" t="str">
        <f t="shared" ref="N868:N883" si="367">+N867</f>
        <v>Departamento de Estadísticas e Información de la Salud (DEIS) - Ministerio de Salud</v>
      </c>
      <c r="O868" s="41" t="str">
        <f>+"Evolución de Población en Control en el Programa de VIH/SIDA en la "&amp;I868&amp;", "&amp;Agencia[[#This Row],[temporalidad]]</f>
        <v>Evolución de Población en Control en el Programa de VIH/SIDA en la Región de Tarapacá, Periodo 2012-2018</v>
      </c>
      <c r="P868" s="112" t="s">
        <v>6651</v>
      </c>
      <c r="Q868" s="11" t="str">
        <f t="shared" si="350"/>
        <v>Gráfico de Evolución</v>
      </c>
      <c r="R868" s="148" t="str">
        <f>Agencia[[#This Row],[territorio]]&amp;",VIH,SIDA,enfermedad,transmisión,sexual,casos,personas,población,control,programa,región,regional,"&amp;Agencia[[#This Row],[coleccion]]&amp;","&amp;Agencia[[#This Row],[sector]]&amp;","&amp;Agencia[[#This Row],[tema]]&amp;","&amp;Agencia[[#This Row],[contenido]]</f>
        <v>Región de Tarapacá,VIH,SIDA,enfermedad,transmisión,sexual,casos,personas,población,control,programa,región,regional,Agencia Información,Salud,Programa de VIH/SIDA,Programas de Salud</v>
      </c>
      <c r="S868" s="37" t="str">
        <f>HYPERLINK("https://analytics.zoho.com/open-view/2395394000008049248?ZOHO_CRITERIA=%22Localiza%20CL%22.%22Codreg%22%20%3D%20"&amp;Agencia[[#This Row],[Filtro URL]])</f>
        <v>https://analytics.zoho.com/open-view/2395394000008049248?ZOHO_CRITERIA=%22Localiza%20CL%22.%22Codreg%22%20%3D%201</v>
      </c>
      <c r="T868" s="108" t="str">
        <f>"100-R-"&amp;Agencia[[#This Row],[Filtro URL]]</f>
        <v>100-R-1</v>
      </c>
      <c r="U868" s="46" t="str">
        <f t="shared" si="344"/>
        <v>#1774B9</v>
      </c>
      <c r="V868" s="93" t="str">
        <f>+Agencia[[#This Row],[idcoleccion]]&amp;"-"&amp;Agencia[[#This Row],[id]]</f>
        <v>990-0857</v>
      </c>
      <c r="W868" s="93">
        <f>+VLOOKUP(Agencia[[#This Row],[Filtro URL]],Estructura!$X$4:$Y$500,2,0)</f>
        <v>99200001</v>
      </c>
      <c r="X868" s="93" t="str">
        <f>+VLOOKUP(Agencia[[#This Row],[tema]],Estructura!$A$4:$C$500,3,0)</f>
        <v>T-999</v>
      </c>
      <c r="Y868" s="93" t="str">
        <f>+VLOOKUP(Agencia[[#This Row],[contenido]],Estructura!$E$4:$G$500,3,0)</f>
        <v>C-1010</v>
      </c>
      <c r="Z868" s="93" t="str">
        <f>+VLOOKUP(Agencia[[#This Row],[Filtro Integrado]],Estructura!$I$4:$K$500,3,0)</f>
        <v>FI-993</v>
      </c>
      <c r="AA868" s="93" t="str">
        <f>+VLOOKUP(Agencia[[#This Row],[Muestra]],Estructura!$M$4:$O$500,3,0)</f>
        <v>M-1053</v>
      </c>
    </row>
    <row r="869" spans="1:27" ht="61.2" x14ac:dyDescent="0.3">
      <c r="A869" s="21" t="s">
        <v>1589</v>
      </c>
      <c r="B869" s="23">
        <f t="shared" si="357"/>
        <v>990</v>
      </c>
      <c r="C869" s="24" t="str">
        <f t="shared" si="358"/>
        <v>Agencia Información</v>
      </c>
      <c r="D869" s="72" t="str">
        <f t="shared" si="364"/>
        <v>Salud</v>
      </c>
      <c r="E869" s="19">
        <v>2</v>
      </c>
      <c r="F869" s="18" t="s">
        <v>948</v>
      </c>
      <c r="G869" s="18" t="s">
        <v>1898</v>
      </c>
      <c r="H869" s="33" t="s">
        <v>16</v>
      </c>
      <c r="I869" s="34" t="s">
        <v>369</v>
      </c>
      <c r="J869" s="9" t="str">
        <f t="shared" ref="J869:J883" si="368">+J868</f>
        <v>Ninguno</v>
      </c>
      <c r="K869" s="142" t="s">
        <v>9307</v>
      </c>
      <c r="L869" s="36" t="str">
        <f t="shared" si="365"/>
        <v>Periodo 2012-2018</v>
      </c>
      <c r="M869" s="9" t="str">
        <f t="shared" si="366"/>
        <v>Personas</v>
      </c>
      <c r="N869" s="9" t="str">
        <f t="shared" si="367"/>
        <v>Departamento de Estadísticas e Información de la Salud (DEIS) - Ministerio de Salud</v>
      </c>
      <c r="O869" s="41" t="str">
        <f>+"Evolución de Población en Control en el Programa de VIH/SIDA en la "&amp;I869&amp;", "&amp;Agencia[[#This Row],[temporalidad]]</f>
        <v>Evolución de Población en Control en el Programa de VIH/SIDA en la Región de Antofagasta, Periodo 2012-2018</v>
      </c>
      <c r="P869" s="112" t="s">
        <v>6652</v>
      </c>
      <c r="Q869" s="11" t="str">
        <f t="shared" si="350"/>
        <v>Gráfico de Evolución</v>
      </c>
      <c r="R869" s="148" t="str">
        <f>Agencia[[#This Row],[territorio]]&amp;",VIH,SIDA,enfermedad,transmisión,sexual,casos,personas,población,control,programa,región,regional,"&amp;Agencia[[#This Row],[coleccion]]&amp;","&amp;Agencia[[#This Row],[sector]]&amp;","&amp;Agencia[[#This Row],[tema]]&amp;","&amp;Agencia[[#This Row],[contenido]]</f>
        <v>Región de Antofagasta,VIH,SIDA,enfermedad,transmisión,sexual,casos,personas,población,control,programa,región,regional,Agencia Información,Salud,Programa de VIH/SIDA,Programas de Salud</v>
      </c>
      <c r="S869" s="37" t="str">
        <f>HYPERLINK("https://analytics.zoho.com/open-view/2395394000008049248?ZOHO_CRITERIA=%22Localiza%20CL%22.%22Codreg%22%20%3D%20"&amp;Agencia[[#This Row],[Filtro URL]])</f>
        <v>https://analytics.zoho.com/open-view/2395394000008049248?ZOHO_CRITERIA=%22Localiza%20CL%22.%22Codreg%22%20%3D%202</v>
      </c>
      <c r="T869" s="108" t="str">
        <f>"100-R-"&amp;Agencia[[#This Row],[Filtro URL]]</f>
        <v>100-R-2</v>
      </c>
      <c r="U869" s="46" t="str">
        <f t="shared" si="344"/>
        <v>#1774B9</v>
      </c>
      <c r="V869" s="93" t="str">
        <f>+Agencia[[#This Row],[idcoleccion]]&amp;"-"&amp;Agencia[[#This Row],[id]]</f>
        <v>990-0858</v>
      </c>
      <c r="W869" s="93">
        <f>+VLOOKUP(Agencia[[#This Row],[Filtro URL]],Estructura!$X$4:$Y$500,2,0)</f>
        <v>99200002</v>
      </c>
      <c r="X869" s="93" t="str">
        <f>+VLOOKUP(Agencia[[#This Row],[tema]],Estructura!$A$4:$C$500,3,0)</f>
        <v>T-999</v>
      </c>
      <c r="Y869" s="93" t="str">
        <f>+VLOOKUP(Agencia[[#This Row],[contenido]],Estructura!$E$4:$G$500,3,0)</f>
        <v>C-1010</v>
      </c>
      <c r="Z869" s="93" t="str">
        <f>+VLOOKUP(Agencia[[#This Row],[Filtro Integrado]],Estructura!$I$4:$K$500,3,0)</f>
        <v>FI-993</v>
      </c>
      <c r="AA869" s="93" t="str">
        <f>+VLOOKUP(Agencia[[#This Row],[Muestra]],Estructura!$M$4:$O$500,3,0)</f>
        <v>M-1053</v>
      </c>
    </row>
    <row r="870" spans="1:27" ht="61.2" x14ac:dyDescent="0.3">
      <c r="A870" s="21" t="s">
        <v>1590</v>
      </c>
      <c r="B870" s="23">
        <f t="shared" si="357"/>
        <v>990</v>
      </c>
      <c r="C870" s="24" t="str">
        <f t="shared" si="358"/>
        <v>Agencia Información</v>
      </c>
      <c r="D870" s="72" t="str">
        <f t="shared" si="364"/>
        <v>Salud</v>
      </c>
      <c r="E870" s="19">
        <v>3</v>
      </c>
      <c r="F870" s="18" t="s">
        <v>948</v>
      </c>
      <c r="G870" s="18" t="s">
        <v>1898</v>
      </c>
      <c r="H870" s="33" t="s">
        <v>16</v>
      </c>
      <c r="I870" s="34" t="s">
        <v>370</v>
      </c>
      <c r="J870" s="9" t="str">
        <f t="shared" si="368"/>
        <v>Ninguno</v>
      </c>
      <c r="K870" s="142" t="s">
        <v>9307</v>
      </c>
      <c r="L870" s="36" t="str">
        <f t="shared" si="365"/>
        <v>Periodo 2012-2018</v>
      </c>
      <c r="M870" s="9" t="str">
        <f t="shared" si="366"/>
        <v>Personas</v>
      </c>
      <c r="N870" s="9" t="str">
        <f t="shared" si="367"/>
        <v>Departamento de Estadísticas e Información de la Salud (DEIS) - Ministerio de Salud</v>
      </c>
      <c r="O870" s="41" t="str">
        <f>+"Evolución de Población en Control en el Programa de VIH/SIDA en la "&amp;I870&amp;", "&amp;Agencia[[#This Row],[temporalidad]]</f>
        <v>Evolución de Población en Control en el Programa de VIH/SIDA en la Región de Atacama, Periodo 2012-2018</v>
      </c>
      <c r="P870" s="112" t="s">
        <v>6653</v>
      </c>
      <c r="Q870" s="11" t="str">
        <f t="shared" si="350"/>
        <v>Gráfico de Evolución</v>
      </c>
      <c r="R870" s="148" t="str">
        <f>Agencia[[#This Row],[territorio]]&amp;",VIH,SIDA,enfermedad,transmisión,sexual,casos,personas,población,control,programa,región,regional,"&amp;Agencia[[#This Row],[coleccion]]&amp;","&amp;Agencia[[#This Row],[sector]]&amp;","&amp;Agencia[[#This Row],[tema]]&amp;","&amp;Agencia[[#This Row],[contenido]]</f>
        <v>Región de Atacama,VIH,SIDA,enfermedad,transmisión,sexual,casos,personas,población,control,programa,región,regional,Agencia Información,Salud,Programa de VIH/SIDA,Programas de Salud</v>
      </c>
      <c r="S870" s="37" t="str">
        <f>HYPERLINK("https://analytics.zoho.com/open-view/2395394000008049248?ZOHO_CRITERIA=%22Localiza%20CL%22.%22Codreg%22%20%3D%20"&amp;Agencia[[#This Row],[Filtro URL]])</f>
        <v>https://analytics.zoho.com/open-view/2395394000008049248?ZOHO_CRITERIA=%22Localiza%20CL%22.%22Codreg%22%20%3D%203</v>
      </c>
      <c r="T870" s="108" t="str">
        <f>"100-R-"&amp;Agencia[[#This Row],[Filtro URL]]</f>
        <v>100-R-3</v>
      </c>
      <c r="U870" s="46" t="str">
        <f t="shared" si="344"/>
        <v>#1774B9</v>
      </c>
      <c r="V870" s="93" t="str">
        <f>+Agencia[[#This Row],[idcoleccion]]&amp;"-"&amp;Agencia[[#This Row],[id]]</f>
        <v>990-0859</v>
      </c>
      <c r="W870" s="93">
        <f>+VLOOKUP(Agencia[[#This Row],[Filtro URL]],Estructura!$X$4:$Y$500,2,0)</f>
        <v>99200003</v>
      </c>
      <c r="X870" s="93" t="str">
        <f>+VLOOKUP(Agencia[[#This Row],[tema]],Estructura!$A$4:$C$500,3,0)</f>
        <v>T-999</v>
      </c>
      <c r="Y870" s="93" t="str">
        <f>+VLOOKUP(Agencia[[#This Row],[contenido]],Estructura!$E$4:$G$500,3,0)</f>
        <v>C-1010</v>
      </c>
      <c r="Z870" s="93" t="str">
        <f>+VLOOKUP(Agencia[[#This Row],[Filtro Integrado]],Estructura!$I$4:$K$500,3,0)</f>
        <v>FI-993</v>
      </c>
      <c r="AA870" s="93" t="str">
        <f>+VLOOKUP(Agencia[[#This Row],[Muestra]],Estructura!$M$4:$O$500,3,0)</f>
        <v>M-1053</v>
      </c>
    </row>
    <row r="871" spans="1:27" ht="61.2" x14ac:dyDescent="0.3">
      <c r="A871" s="21" t="s">
        <v>1591</v>
      </c>
      <c r="B871" s="23">
        <f t="shared" si="357"/>
        <v>990</v>
      </c>
      <c r="C871" s="24" t="str">
        <f t="shared" si="358"/>
        <v>Agencia Información</v>
      </c>
      <c r="D871" s="72" t="str">
        <f t="shared" si="364"/>
        <v>Salud</v>
      </c>
      <c r="E871" s="19">
        <v>4</v>
      </c>
      <c r="F871" s="18" t="s">
        <v>948</v>
      </c>
      <c r="G871" s="18" t="s">
        <v>1898</v>
      </c>
      <c r="H871" s="33" t="s">
        <v>16</v>
      </c>
      <c r="I871" s="34" t="s">
        <v>371</v>
      </c>
      <c r="J871" s="9" t="str">
        <f t="shared" si="368"/>
        <v>Ninguno</v>
      </c>
      <c r="K871" s="142" t="s">
        <v>9307</v>
      </c>
      <c r="L871" s="36" t="str">
        <f t="shared" si="365"/>
        <v>Periodo 2012-2018</v>
      </c>
      <c r="M871" s="9" t="str">
        <f t="shared" si="366"/>
        <v>Personas</v>
      </c>
      <c r="N871" s="9" t="str">
        <f t="shared" si="367"/>
        <v>Departamento de Estadísticas e Información de la Salud (DEIS) - Ministerio de Salud</v>
      </c>
      <c r="O871" s="41" t="str">
        <f>+"Evolución de Población en Control en el Programa de VIH/SIDA en la "&amp;I871&amp;", "&amp;Agencia[[#This Row],[temporalidad]]</f>
        <v>Evolución de Población en Control en el Programa de VIH/SIDA en la Región de Coquimbo, Periodo 2012-2018</v>
      </c>
      <c r="P871" s="112" t="s">
        <v>6654</v>
      </c>
      <c r="Q871" s="11" t="str">
        <f t="shared" si="350"/>
        <v>Gráfico de Evolución</v>
      </c>
      <c r="R871" s="148" t="str">
        <f>Agencia[[#This Row],[territorio]]&amp;",VIH,SIDA,enfermedad,transmisión,sexual,casos,personas,población,control,programa,región,regional,"&amp;Agencia[[#This Row],[coleccion]]&amp;","&amp;Agencia[[#This Row],[sector]]&amp;","&amp;Agencia[[#This Row],[tema]]&amp;","&amp;Agencia[[#This Row],[contenido]]</f>
        <v>Región de Coquimbo,VIH,SIDA,enfermedad,transmisión,sexual,casos,personas,población,control,programa,región,regional,Agencia Información,Salud,Programa de VIH/SIDA,Programas de Salud</v>
      </c>
      <c r="S871" s="37" t="str">
        <f>HYPERLINK("https://analytics.zoho.com/open-view/2395394000008049248?ZOHO_CRITERIA=%22Localiza%20CL%22.%22Codreg%22%20%3D%20"&amp;Agencia[[#This Row],[Filtro URL]])</f>
        <v>https://analytics.zoho.com/open-view/2395394000008049248?ZOHO_CRITERIA=%22Localiza%20CL%22.%22Codreg%22%20%3D%204</v>
      </c>
      <c r="T871" s="108" t="str">
        <f>"100-R-"&amp;Agencia[[#This Row],[Filtro URL]]</f>
        <v>100-R-4</v>
      </c>
      <c r="U871" s="46" t="str">
        <f t="shared" si="344"/>
        <v>#1774B9</v>
      </c>
      <c r="V871" s="93" t="str">
        <f>+Agencia[[#This Row],[idcoleccion]]&amp;"-"&amp;Agencia[[#This Row],[id]]</f>
        <v>990-0860</v>
      </c>
      <c r="W871" s="93">
        <f>+VLOOKUP(Agencia[[#This Row],[Filtro URL]],Estructura!$X$4:$Y$500,2,0)</f>
        <v>99200004</v>
      </c>
      <c r="X871" s="93" t="str">
        <f>+VLOOKUP(Agencia[[#This Row],[tema]],Estructura!$A$4:$C$500,3,0)</f>
        <v>T-999</v>
      </c>
      <c r="Y871" s="93" t="str">
        <f>+VLOOKUP(Agencia[[#This Row],[contenido]],Estructura!$E$4:$G$500,3,0)</f>
        <v>C-1010</v>
      </c>
      <c r="Z871" s="93" t="str">
        <f>+VLOOKUP(Agencia[[#This Row],[Filtro Integrado]],Estructura!$I$4:$K$500,3,0)</f>
        <v>FI-993</v>
      </c>
      <c r="AA871" s="93" t="str">
        <f>+VLOOKUP(Agencia[[#This Row],[Muestra]],Estructura!$M$4:$O$500,3,0)</f>
        <v>M-1053</v>
      </c>
    </row>
    <row r="872" spans="1:27" ht="61.2" x14ac:dyDescent="0.3">
      <c r="A872" s="21" t="s">
        <v>1592</v>
      </c>
      <c r="B872" s="23">
        <f t="shared" si="357"/>
        <v>990</v>
      </c>
      <c r="C872" s="24" t="str">
        <f t="shared" si="358"/>
        <v>Agencia Información</v>
      </c>
      <c r="D872" s="72" t="str">
        <f t="shared" si="364"/>
        <v>Salud</v>
      </c>
      <c r="E872" s="19">
        <v>5</v>
      </c>
      <c r="F872" s="18" t="s">
        <v>948</v>
      </c>
      <c r="G872" s="18" t="s">
        <v>1898</v>
      </c>
      <c r="H872" s="33" t="s">
        <v>16</v>
      </c>
      <c r="I872" s="34" t="s">
        <v>372</v>
      </c>
      <c r="J872" s="9" t="str">
        <f t="shared" si="368"/>
        <v>Ninguno</v>
      </c>
      <c r="K872" s="142" t="s">
        <v>9307</v>
      </c>
      <c r="L872" s="36" t="str">
        <f t="shared" si="365"/>
        <v>Periodo 2012-2018</v>
      </c>
      <c r="M872" s="9" t="str">
        <f t="shared" si="366"/>
        <v>Personas</v>
      </c>
      <c r="N872" s="9" t="str">
        <f t="shared" si="367"/>
        <v>Departamento de Estadísticas e Información de la Salud (DEIS) - Ministerio de Salud</v>
      </c>
      <c r="O872" s="41" t="str">
        <f>+"Evolución de Población en Control en el Programa de VIH/SIDA en la "&amp;I872&amp;", "&amp;Agencia[[#This Row],[temporalidad]]</f>
        <v>Evolución de Población en Control en el Programa de VIH/SIDA en la Región de Valparaíso, Periodo 2012-2018</v>
      </c>
      <c r="P872" s="112" t="s">
        <v>6655</v>
      </c>
      <c r="Q872" s="11" t="str">
        <f t="shared" si="350"/>
        <v>Gráfico de Evolución</v>
      </c>
      <c r="R872" s="148" t="str">
        <f>Agencia[[#This Row],[territorio]]&amp;",VIH,SIDA,enfermedad,transmisión,sexual,casos,personas,población,control,programa,región,regional,"&amp;Agencia[[#This Row],[coleccion]]&amp;","&amp;Agencia[[#This Row],[sector]]&amp;","&amp;Agencia[[#This Row],[tema]]&amp;","&amp;Agencia[[#This Row],[contenido]]</f>
        <v>Región de Valparaíso,VIH,SIDA,enfermedad,transmisión,sexual,casos,personas,población,control,programa,región,regional,Agencia Información,Salud,Programa de VIH/SIDA,Programas de Salud</v>
      </c>
      <c r="S872" s="37" t="str">
        <f>HYPERLINK("https://analytics.zoho.com/open-view/2395394000008049248?ZOHO_CRITERIA=%22Localiza%20CL%22.%22Codreg%22%20%3D%20"&amp;Agencia[[#This Row],[Filtro URL]])</f>
        <v>https://analytics.zoho.com/open-view/2395394000008049248?ZOHO_CRITERIA=%22Localiza%20CL%22.%22Codreg%22%20%3D%205</v>
      </c>
      <c r="T872" s="108" t="str">
        <f>"100-R-"&amp;Agencia[[#This Row],[Filtro URL]]</f>
        <v>100-R-5</v>
      </c>
      <c r="U872" s="46" t="str">
        <f t="shared" si="344"/>
        <v>#1774B9</v>
      </c>
      <c r="V872" s="93" t="str">
        <f>+Agencia[[#This Row],[idcoleccion]]&amp;"-"&amp;Agencia[[#This Row],[id]]</f>
        <v>990-0861</v>
      </c>
      <c r="W872" s="93">
        <f>+VLOOKUP(Agencia[[#This Row],[Filtro URL]],Estructura!$X$4:$Y$500,2,0)</f>
        <v>99200005</v>
      </c>
      <c r="X872" s="93" t="str">
        <f>+VLOOKUP(Agencia[[#This Row],[tema]],Estructura!$A$4:$C$500,3,0)</f>
        <v>T-999</v>
      </c>
      <c r="Y872" s="93" t="str">
        <f>+VLOOKUP(Agencia[[#This Row],[contenido]],Estructura!$E$4:$G$500,3,0)</f>
        <v>C-1010</v>
      </c>
      <c r="Z872" s="93" t="str">
        <f>+VLOOKUP(Agencia[[#This Row],[Filtro Integrado]],Estructura!$I$4:$K$500,3,0)</f>
        <v>FI-993</v>
      </c>
      <c r="AA872" s="93" t="str">
        <f>+VLOOKUP(Agencia[[#This Row],[Muestra]],Estructura!$M$4:$O$500,3,0)</f>
        <v>M-1053</v>
      </c>
    </row>
    <row r="873" spans="1:27" ht="61.2" x14ac:dyDescent="0.3">
      <c r="A873" s="21" t="s">
        <v>1593</v>
      </c>
      <c r="B873" s="23">
        <f t="shared" si="357"/>
        <v>990</v>
      </c>
      <c r="C873" s="24" t="str">
        <f t="shared" si="358"/>
        <v>Agencia Información</v>
      </c>
      <c r="D873" s="72" t="str">
        <f t="shared" si="364"/>
        <v>Salud</v>
      </c>
      <c r="E873" s="19">
        <v>6</v>
      </c>
      <c r="F873" s="18" t="s">
        <v>948</v>
      </c>
      <c r="G873" s="18" t="s">
        <v>1898</v>
      </c>
      <c r="H873" s="33" t="s">
        <v>16</v>
      </c>
      <c r="I873" s="34" t="s">
        <v>373</v>
      </c>
      <c r="J873" s="9" t="str">
        <f t="shared" si="368"/>
        <v>Ninguno</v>
      </c>
      <c r="K873" s="142" t="s">
        <v>9307</v>
      </c>
      <c r="L873" s="36" t="str">
        <f t="shared" si="365"/>
        <v>Periodo 2012-2018</v>
      </c>
      <c r="M873" s="9" t="str">
        <f t="shared" si="366"/>
        <v>Personas</v>
      </c>
      <c r="N873" s="9" t="str">
        <f t="shared" si="367"/>
        <v>Departamento de Estadísticas e Información de la Salud (DEIS) - Ministerio de Salud</v>
      </c>
      <c r="O873" s="41" t="str">
        <f>+"Evolución de Población en Control en el Programa de VIH/SIDA en la "&amp;I873&amp;", "&amp;Agencia[[#This Row],[temporalidad]]</f>
        <v>Evolución de Población en Control en el Programa de VIH/SIDA en la Región de O'Higgins, Periodo 2012-2018</v>
      </c>
      <c r="P873" s="112" t="s">
        <v>6656</v>
      </c>
      <c r="Q873" s="11" t="str">
        <f t="shared" si="350"/>
        <v>Gráfico de Evolución</v>
      </c>
      <c r="R873" s="148" t="str">
        <f>Agencia[[#This Row],[territorio]]&amp;",VIH,SIDA,enfermedad,transmisión,sexual,casos,personas,población,control,programa,región,regional,"&amp;Agencia[[#This Row],[coleccion]]&amp;","&amp;Agencia[[#This Row],[sector]]&amp;","&amp;Agencia[[#This Row],[tema]]&amp;","&amp;Agencia[[#This Row],[contenido]]</f>
        <v>Región de O'Higgins,VIH,SIDA,enfermedad,transmisión,sexual,casos,personas,población,control,programa,región,regional,Agencia Información,Salud,Programa de VIH/SIDA,Programas de Salud</v>
      </c>
      <c r="S873" s="37" t="str">
        <f>HYPERLINK("https://analytics.zoho.com/open-view/2395394000008049248?ZOHO_CRITERIA=%22Localiza%20CL%22.%22Codreg%22%20%3D%20"&amp;Agencia[[#This Row],[Filtro URL]])</f>
        <v>https://analytics.zoho.com/open-view/2395394000008049248?ZOHO_CRITERIA=%22Localiza%20CL%22.%22Codreg%22%20%3D%206</v>
      </c>
      <c r="T873" s="108" t="str">
        <f>"100-R-"&amp;Agencia[[#This Row],[Filtro URL]]</f>
        <v>100-R-6</v>
      </c>
      <c r="U873" s="46" t="str">
        <f t="shared" si="344"/>
        <v>#1774B9</v>
      </c>
      <c r="V873" s="93" t="str">
        <f>+Agencia[[#This Row],[idcoleccion]]&amp;"-"&amp;Agencia[[#This Row],[id]]</f>
        <v>990-0862</v>
      </c>
      <c r="W873" s="93">
        <f>+VLOOKUP(Agencia[[#This Row],[Filtro URL]],Estructura!$X$4:$Y$500,2,0)</f>
        <v>99200006</v>
      </c>
      <c r="X873" s="93" t="str">
        <f>+VLOOKUP(Agencia[[#This Row],[tema]],Estructura!$A$4:$C$500,3,0)</f>
        <v>T-999</v>
      </c>
      <c r="Y873" s="93" t="str">
        <f>+VLOOKUP(Agencia[[#This Row],[contenido]],Estructura!$E$4:$G$500,3,0)</f>
        <v>C-1010</v>
      </c>
      <c r="Z873" s="93" t="str">
        <f>+VLOOKUP(Agencia[[#This Row],[Filtro Integrado]],Estructura!$I$4:$K$500,3,0)</f>
        <v>FI-993</v>
      </c>
      <c r="AA873" s="93" t="str">
        <f>+VLOOKUP(Agencia[[#This Row],[Muestra]],Estructura!$M$4:$O$500,3,0)</f>
        <v>M-1053</v>
      </c>
    </row>
    <row r="874" spans="1:27" ht="61.2" x14ac:dyDescent="0.3">
      <c r="A874" s="21" t="s">
        <v>1594</v>
      </c>
      <c r="B874" s="23">
        <f t="shared" si="357"/>
        <v>990</v>
      </c>
      <c r="C874" s="24" t="str">
        <f t="shared" si="358"/>
        <v>Agencia Información</v>
      </c>
      <c r="D874" s="72" t="str">
        <f t="shared" si="364"/>
        <v>Salud</v>
      </c>
      <c r="E874" s="19">
        <v>7</v>
      </c>
      <c r="F874" s="18" t="s">
        <v>948</v>
      </c>
      <c r="G874" s="18" t="s">
        <v>1898</v>
      </c>
      <c r="H874" s="33" t="s">
        <v>16</v>
      </c>
      <c r="I874" s="34" t="s">
        <v>374</v>
      </c>
      <c r="J874" s="9" t="str">
        <f t="shared" si="368"/>
        <v>Ninguno</v>
      </c>
      <c r="K874" s="142" t="s">
        <v>9307</v>
      </c>
      <c r="L874" s="36" t="str">
        <f t="shared" si="365"/>
        <v>Periodo 2012-2018</v>
      </c>
      <c r="M874" s="9" t="str">
        <f t="shared" si="366"/>
        <v>Personas</v>
      </c>
      <c r="N874" s="9" t="str">
        <f t="shared" si="367"/>
        <v>Departamento de Estadísticas e Información de la Salud (DEIS) - Ministerio de Salud</v>
      </c>
      <c r="O874" s="41" t="str">
        <f>+"Evolución de Población en Control en el Programa de VIH/SIDA en la "&amp;I874&amp;", "&amp;Agencia[[#This Row],[temporalidad]]</f>
        <v>Evolución de Población en Control en el Programa de VIH/SIDA en la Región de Maule, Periodo 2012-2018</v>
      </c>
      <c r="P874" s="112" t="s">
        <v>6657</v>
      </c>
      <c r="Q874" s="11" t="str">
        <f t="shared" si="350"/>
        <v>Gráfico de Evolución</v>
      </c>
      <c r="R874" s="148" t="str">
        <f>Agencia[[#This Row],[territorio]]&amp;",VIH,SIDA,enfermedad,transmisión,sexual,casos,personas,población,control,programa,región,regional,"&amp;Agencia[[#This Row],[coleccion]]&amp;","&amp;Agencia[[#This Row],[sector]]&amp;","&amp;Agencia[[#This Row],[tema]]&amp;","&amp;Agencia[[#This Row],[contenido]]</f>
        <v>Región de Maule,VIH,SIDA,enfermedad,transmisión,sexual,casos,personas,población,control,programa,región,regional,Agencia Información,Salud,Programa de VIH/SIDA,Programas de Salud</v>
      </c>
      <c r="S874" s="37" t="str">
        <f>HYPERLINK("https://analytics.zoho.com/open-view/2395394000008049248?ZOHO_CRITERIA=%22Localiza%20CL%22.%22Codreg%22%20%3D%20"&amp;Agencia[[#This Row],[Filtro URL]])</f>
        <v>https://analytics.zoho.com/open-view/2395394000008049248?ZOHO_CRITERIA=%22Localiza%20CL%22.%22Codreg%22%20%3D%207</v>
      </c>
      <c r="T874" s="108" t="str">
        <f>"100-R-"&amp;Agencia[[#This Row],[Filtro URL]]</f>
        <v>100-R-7</v>
      </c>
      <c r="U874" s="46" t="str">
        <f t="shared" ref="U874:U937" si="369">+U873</f>
        <v>#1774B9</v>
      </c>
      <c r="V874" s="93" t="str">
        <f>+Agencia[[#This Row],[idcoleccion]]&amp;"-"&amp;Agencia[[#This Row],[id]]</f>
        <v>990-0863</v>
      </c>
      <c r="W874" s="93">
        <f>+VLOOKUP(Agencia[[#This Row],[Filtro URL]],Estructura!$X$4:$Y$500,2,0)</f>
        <v>99200007</v>
      </c>
      <c r="X874" s="93" t="str">
        <f>+VLOOKUP(Agencia[[#This Row],[tema]],Estructura!$A$4:$C$500,3,0)</f>
        <v>T-999</v>
      </c>
      <c r="Y874" s="93" t="str">
        <f>+VLOOKUP(Agencia[[#This Row],[contenido]],Estructura!$E$4:$G$500,3,0)</f>
        <v>C-1010</v>
      </c>
      <c r="Z874" s="93" t="str">
        <f>+VLOOKUP(Agencia[[#This Row],[Filtro Integrado]],Estructura!$I$4:$K$500,3,0)</f>
        <v>FI-993</v>
      </c>
      <c r="AA874" s="93" t="str">
        <f>+VLOOKUP(Agencia[[#This Row],[Muestra]],Estructura!$M$4:$O$500,3,0)</f>
        <v>M-1053</v>
      </c>
    </row>
    <row r="875" spans="1:27" ht="61.2" x14ac:dyDescent="0.3">
      <c r="A875" s="21" t="s">
        <v>1595</v>
      </c>
      <c r="B875" s="23">
        <f t="shared" si="357"/>
        <v>990</v>
      </c>
      <c r="C875" s="24" t="str">
        <f t="shared" si="358"/>
        <v>Agencia Información</v>
      </c>
      <c r="D875" s="72" t="str">
        <f t="shared" si="364"/>
        <v>Salud</v>
      </c>
      <c r="E875" s="19">
        <v>8</v>
      </c>
      <c r="F875" s="18" t="s">
        <v>948</v>
      </c>
      <c r="G875" s="18" t="s">
        <v>1898</v>
      </c>
      <c r="H875" s="33" t="s">
        <v>16</v>
      </c>
      <c r="I875" s="34" t="s">
        <v>375</v>
      </c>
      <c r="J875" s="9" t="str">
        <f t="shared" si="368"/>
        <v>Ninguno</v>
      </c>
      <c r="K875" s="142" t="s">
        <v>9307</v>
      </c>
      <c r="L875" s="36" t="str">
        <f t="shared" si="365"/>
        <v>Periodo 2012-2018</v>
      </c>
      <c r="M875" s="9" t="str">
        <f t="shared" si="366"/>
        <v>Personas</v>
      </c>
      <c r="N875" s="9" t="str">
        <f t="shared" si="367"/>
        <v>Departamento de Estadísticas e Información de la Salud (DEIS) - Ministerio de Salud</v>
      </c>
      <c r="O875" s="41" t="str">
        <f>+"Evolución de Población en Control en el Programa de VIH/SIDA en la "&amp;I875&amp;", "&amp;Agencia[[#This Row],[temporalidad]]</f>
        <v>Evolución de Población en Control en el Programa de VIH/SIDA en la Región del Biobío, Periodo 2012-2018</v>
      </c>
      <c r="P875" s="112" t="s">
        <v>6733</v>
      </c>
      <c r="Q875" s="11" t="str">
        <f t="shared" si="350"/>
        <v>Gráfico de Evolución</v>
      </c>
      <c r="R875" s="148" t="str">
        <f>Agencia[[#This Row],[territorio]]&amp;",VIH,SIDA,enfermedad,transmisión,sexual,casos,personas,población,control,programa,región,regional,"&amp;Agencia[[#This Row],[coleccion]]&amp;","&amp;Agencia[[#This Row],[sector]]&amp;","&amp;Agencia[[#This Row],[tema]]&amp;","&amp;Agencia[[#This Row],[contenido]]</f>
        <v>Región del Biobío,VIH,SIDA,enfermedad,transmisión,sexual,casos,personas,población,control,programa,región,regional,Agencia Información,Salud,Programa de VIH/SIDA,Programas de Salud</v>
      </c>
      <c r="S875" s="37" t="str">
        <f>HYPERLINK("https://analytics.zoho.com/open-view/2395394000008049248?ZOHO_CRITERIA=%22Localiza%20CL%22.%22Codreg%22%20%3D%20"&amp;Agencia[[#This Row],[Filtro URL]])</f>
        <v>https://analytics.zoho.com/open-view/2395394000008049248?ZOHO_CRITERIA=%22Localiza%20CL%22.%22Codreg%22%20%3D%208</v>
      </c>
      <c r="T875" s="108" t="str">
        <f>"100-R-"&amp;Agencia[[#This Row],[Filtro URL]]</f>
        <v>100-R-8</v>
      </c>
      <c r="U875" s="46" t="str">
        <f t="shared" si="369"/>
        <v>#1774B9</v>
      </c>
      <c r="V875" s="93" t="str">
        <f>+Agencia[[#This Row],[idcoleccion]]&amp;"-"&amp;Agencia[[#This Row],[id]]</f>
        <v>990-0864</v>
      </c>
      <c r="W875" s="93">
        <f>+VLOOKUP(Agencia[[#This Row],[Filtro URL]],Estructura!$X$4:$Y$500,2,0)</f>
        <v>99200008</v>
      </c>
      <c r="X875" s="93" t="str">
        <f>+VLOOKUP(Agencia[[#This Row],[tema]],Estructura!$A$4:$C$500,3,0)</f>
        <v>T-999</v>
      </c>
      <c r="Y875" s="93" t="str">
        <f>+VLOOKUP(Agencia[[#This Row],[contenido]],Estructura!$E$4:$G$500,3,0)</f>
        <v>C-1010</v>
      </c>
      <c r="Z875" s="93" t="str">
        <f>+VLOOKUP(Agencia[[#This Row],[Filtro Integrado]],Estructura!$I$4:$K$500,3,0)</f>
        <v>FI-993</v>
      </c>
      <c r="AA875" s="93" t="str">
        <f>+VLOOKUP(Agencia[[#This Row],[Muestra]],Estructura!$M$4:$O$500,3,0)</f>
        <v>M-1053</v>
      </c>
    </row>
    <row r="876" spans="1:27" ht="61.2" x14ac:dyDescent="0.3">
      <c r="A876" s="21" t="s">
        <v>1596</v>
      </c>
      <c r="B876" s="23">
        <f t="shared" si="357"/>
        <v>990</v>
      </c>
      <c r="C876" s="24" t="str">
        <f t="shared" si="358"/>
        <v>Agencia Información</v>
      </c>
      <c r="D876" s="72" t="str">
        <f t="shared" si="364"/>
        <v>Salud</v>
      </c>
      <c r="E876" s="19">
        <v>9</v>
      </c>
      <c r="F876" s="18" t="s">
        <v>948</v>
      </c>
      <c r="G876" s="18" t="s">
        <v>1898</v>
      </c>
      <c r="H876" s="33" t="s">
        <v>16</v>
      </c>
      <c r="I876" s="34" t="s">
        <v>376</v>
      </c>
      <c r="J876" s="9" t="str">
        <f t="shared" si="368"/>
        <v>Ninguno</v>
      </c>
      <c r="K876" s="142" t="s">
        <v>9307</v>
      </c>
      <c r="L876" s="36" t="str">
        <f t="shared" si="365"/>
        <v>Periodo 2012-2018</v>
      </c>
      <c r="M876" s="9" t="str">
        <f t="shared" si="366"/>
        <v>Personas</v>
      </c>
      <c r="N876" s="9" t="str">
        <f t="shared" si="367"/>
        <v>Departamento de Estadísticas e Información de la Salud (DEIS) - Ministerio de Salud</v>
      </c>
      <c r="O876" s="41" t="str">
        <f>+"Evolución de Población en Control en el Programa de VIH/SIDA en la "&amp;I876&amp;", "&amp;Agencia[[#This Row],[temporalidad]]</f>
        <v>Evolución de Población en Control en el Programa de VIH/SIDA en la Región de La Araucanía, Periodo 2012-2018</v>
      </c>
      <c r="P876" s="112" t="s">
        <v>6658</v>
      </c>
      <c r="Q876" s="11" t="str">
        <f t="shared" si="350"/>
        <v>Gráfico de Evolución</v>
      </c>
      <c r="R876" s="148" t="str">
        <f>Agencia[[#This Row],[territorio]]&amp;",VIH,SIDA,enfermedad,transmisión,sexual,casos,personas,población,control,programa,región,regional,"&amp;Agencia[[#This Row],[coleccion]]&amp;","&amp;Agencia[[#This Row],[sector]]&amp;","&amp;Agencia[[#This Row],[tema]]&amp;","&amp;Agencia[[#This Row],[contenido]]</f>
        <v>Región de La Araucanía,VIH,SIDA,enfermedad,transmisión,sexual,casos,personas,población,control,programa,región,regional,Agencia Información,Salud,Programa de VIH/SIDA,Programas de Salud</v>
      </c>
      <c r="S876" s="37" t="str">
        <f>HYPERLINK("https://analytics.zoho.com/open-view/2395394000008049248?ZOHO_CRITERIA=%22Localiza%20CL%22.%22Codreg%22%20%3D%20"&amp;Agencia[[#This Row],[Filtro URL]])</f>
        <v>https://analytics.zoho.com/open-view/2395394000008049248?ZOHO_CRITERIA=%22Localiza%20CL%22.%22Codreg%22%20%3D%209</v>
      </c>
      <c r="T876" s="108" t="str">
        <f>"100-R-"&amp;Agencia[[#This Row],[Filtro URL]]</f>
        <v>100-R-9</v>
      </c>
      <c r="U876" s="46" t="str">
        <f t="shared" si="369"/>
        <v>#1774B9</v>
      </c>
      <c r="V876" s="93" t="str">
        <f>+Agencia[[#This Row],[idcoleccion]]&amp;"-"&amp;Agencia[[#This Row],[id]]</f>
        <v>990-0865</v>
      </c>
      <c r="W876" s="93">
        <f>+VLOOKUP(Agencia[[#This Row],[Filtro URL]],Estructura!$X$4:$Y$500,2,0)</f>
        <v>99200009</v>
      </c>
      <c r="X876" s="93" t="str">
        <f>+VLOOKUP(Agencia[[#This Row],[tema]],Estructura!$A$4:$C$500,3,0)</f>
        <v>T-999</v>
      </c>
      <c r="Y876" s="93" t="str">
        <f>+VLOOKUP(Agencia[[#This Row],[contenido]],Estructura!$E$4:$G$500,3,0)</f>
        <v>C-1010</v>
      </c>
      <c r="Z876" s="93" t="str">
        <f>+VLOOKUP(Agencia[[#This Row],[Filtro Integrado]],Estructura!$I$4:$K$500,3,0)</f>
        <v>FI-993</v>
      </c>
      <c r="AA876" s="93" t="str">
        <f>+VLOOKUP(Agencia[[#This Row],[Muestra]],Estructura!$M$4:$O$500,3,0)</f>
        <v>M-1053</v>
      </c>
    </row>
    <row r="877" spans="1:27" ht="61.2" x14ac:dyDescent="0.3">
      <c r="A877" s="21" t="s">
        <v>1597</v>
      </c>
      <c r="B877" s="23">
        <f t="shared" si="357"/>
        <v>990</v>
      </c>
      <c r="C877" s="24" t="str">
        <f t="shared" si="358"/>
        <v>Agencia Información</v>
      </c>
      <c r="D877" s="72" t="str">
        <f t="shared" si="364"/>
        <v>Salud</v>
      </c>
      <c r="E877" s="19">
        <v>10</v>
      </c>
      <c r="F877" s="18" t="s">
        <v>948</v>
      </c>
      <c r="G877" s="18" t="s">
        <v>1898</v>
      </c>
      <c r="H877" s="33" t="s">
        <v>16</v>
      </c>
      <c r="I877" s="34" t="s">
        <v>377</v>
      </c>
      <c r="J877" s="9" t="str">
        <f t="shared" si="368"/>
        <v>Ninguno</v>
      </c>
      <c r="K877" s="142" t="s">
        <v>9307</v>
      </c>
      <c r="L877" s="36" t="str">
        <f t="shared" si="365"/>
        <v>Periodo 2012-2018</v>
      </c>
      <c r="M877" s="9" t="str">
        <f t="shared" si="366"/>
        <v>Personas</v>
      </c>
      <c r="N877" s="9" t="str">
        <f t="shared" si="367"/>
        <v>Departamento de Estadísticas e Información de la Salud (DEIS) - Ministerio de Salud</v>
      </c>
      <c r="O877" s="41" t="str">
        <f>+"Evolución de Población en Control en el Programa de VIH/SIDA en la "&amp;I877&amp;", "&amp;Agencia[[#This Row],[temporalidad]]</f>
        <v>Evolución de Población en Control en el Programa de VIH/SIDA en la Región de Los Lagos, Periodo 2012-2018</v>
      </c>
      <c r="P877" s="112" t="s">
        <v>6659</v>
      </c>
      <c r="Q877" s="11" t="str">
        <f t="shared" si="350"/>
        <v>Gráfico de Evolución</v>
      </c>
      <c r="R877" s="148" t="str">
        <f>Agencia[[#This Row],[territorio]]&amp;",VIH,SIDA,enfermedad,transmisión,sexual,casos,personas,población,control,programa,región,regional,"&amp;Agencia[[#This Row],[coleccion]]&amp;","&amp;Agencia[[#This Row],[sector]]&amp;","&amp;Agencia[[#This Row],[tema]]&amp;","&amp;Agencia[[#This Row],[contenido]]</f>
        <v>Región de Los Lagos,VIH,SIDA,enfermedad,transmisión,sexual,casos,personas,población,control,programa,región,regional,Agencia Información,Salud,Programa de VIH/SIDA,Programas de Salud</v>
      </c>
      <c r="S877" s="37" t="str">
        <f>HYPERLINK("https://analytics.zoho.com/open-view/2395394000008049248?ZOHO_CRITERIA=%22Localiza%20CL%22.%22Codreg%22%20%3D%20"&amp;Agencia[[#This Row],[Filtro URL]])</f>
        <v>https://analytics.zoho.com/open-view/2395394000008049248?ZOHO_CRITERIA=%22Localiza%20CL%22.%22Codreg%22%20%3D%2010</v>
      </c>
      <c r="T877" s="108" t="str">
        <f>"100-R-"&amp;Agencia[[#This Row],[Filtro URL]]</f>
        <v>100-R-10</v>
      </c>
      <c r="U877" s="46" t="str">
        <f t="shared" si="369"/>
        <v>#1774B9</v>
      </c>
      <c r="V877" s="93" t="str">
        <f>+Agencia[[#This Row],[idcoleccion]]&amp;"-"&amp;Agencia[[#This Row],[id]]</f>
        <v>990-0866</v>
      </c>
      <c r="W877" s="93">
        <f>+VLOOKUP(Agencia[[#This Row],[Filtro URL]],Estructura!$X$4:$Y$500,2,0)</f>
        <v>99200010</v>
      </c>
      <c r="X877" s="93" t="str">
        <f>+VLOOKUP(Agencia[[#This Row],[tema]],Estructura!$A$4:$C$500,3,0)</f>
        <v>T-999</v>
      </c>
      <c r="Y877" s="93" t="str">
        <f>+VLOOKUP(Agencia[[#This Row],[contenido]],Estructura!$E$4:$G$500,3,0)</f>
        <v>C-1010</v>
      </c>
      <c r="Z877" s="93" t="str">
        <f>+VLOOKUP(Agencia[[#This Row],[Filtro Integrado]],Estructura!$I$4:$K$500,3,0)</f>
        <v>FI-993</v>
      </c>
      <c r="AA877" s="93" t="str">
        <f>+VLOOKUP(Agencia[[#This Row],[Muestra]],Estructura!$M$4:$O$500,3,0)</f>
        <v>M-1053</v>
      </c>
    </row>
    <row r="878" spans="1:27" ht="61.2" x14ac:dyDescent="0.3">
      <c r="A878" s="21" t="s">
        <v>1598</v>
      </c>
      <c r="B878" s="23">
        <f t="shared" si="357"/>
        <v>990</v>
      </c>
      <c r="C878" s="24" t="str">
        <f t="shared" si="358"/>
        <v>Agencia Información</v>
      </c>
      <c r="D878" s="72" t="str">
        <f t="shared" si="364"/>
        <v>Salud</v>
      </c>
      <c r="E878" s="19">
        <v>11</v>
      </c>
      <c r="F878" s="18" t="s">
        <v>948</v>
      </c>
      <c r="G878" s="18" t="s">
        <v>1898</v>
      </c>
      <c r="H878" s="33" t="s">
        <v>16</v>
      </c>
      <c r="I878" s="34" t="s">
        <v>378</v>
      </c>
      <c r="J878" s="9" t="str">
        <f t="shared" si="368"/>
        <v>Ninguno</v>
      </c>
      <c r="K878" s="142" t="s">
        <v>9307</v>
      </c>
      <c r="L878" s="36" t="str">
        <f t="shared" si="365"/>
        <v>Periodo 2012-2018</v>
      </c>
      <c r="M878" s="9" t="str">
        <f t="shared" si="366"/>
        <v>Personas</v>
      </c>
      <c r="N878" s="9" t="str">
        <f t="shared" si="367"/>
        <v>Departamento de Estadísticas e Información de la Salud (DEIS) - Ministerio de Salud</v>
      </c>
      <c r="O878" s="41" t="str">
        <f>+"Evolución de Población en Control en el Programa de VIH/SIDA en la "&amp;I878&amp;", "&amp;Agencia[[#This Row],[temporalidad]]</f>
        <v>Evolución de Población en Control en el Programa de VIH/SIDA en la Región de Aysén, Periodo 2012-2018</v>
      </c>
      <c r="P878" s="112" t="s">
        <v>6660</v>
      </c>
      <c r="Q878" s="11" t="str">
        <f t="shared" si="350"/>
        <v>Gráfico de Evolución</v>
      </c>
      <c r="R878" s="148" t="str">
        <f>Agencia[[#This Row],[territorio]]&amp;",VIH,SIDA,enfermedad,transmisión,sexual,casos,personas,población,control,programa,región,regional,"&amp;Agencia[[#This Row],[coleccion]]&amp;","&amp;Agencia[[#This Row],[sector]]&amp;","&amp;Agencia[[#This Row],[tema]]&amp;","&amp;Agencia[[#This Row],[contenido]]</f>
        <v>Región de Aysén,VIH,SIDA,enfermedad,transmisión,sexual,casos,personas,población,control,programa,región,regional,Agencia Información,Salud,Programa de VIH/SIDA,Programas de Salud</v>
      </c>
      <c r="S878" s="37" t="str">
        <f>HYPERLINK("https://analytics.zoho.com/open-view/2395394000008049248?ZOHO_CRITERIA=%22Localiza%20CL%22.%22Codreg%22%20%3D%20"&amp;Agencia[[#This Row],[Filtro URL]])</f>
        <v>https://analytics.zoho.com/open-view/2395394000008049248?ZOHO_CRITERIA=%22Localiza%20CL%22.%22Codreg%22%20%3D%2011</v>
      </c>
      <c r="T878" s="108" t="str">
        <f>"100-R-"&amp;Agencia[[#This Row],[Filtro URL]]</f>
        <v>100-R-11</v>
      </c>
      <c r="U878" s="46" t="str">
        <f t="shared" si="369"/>
        <v>#1774B9</v>
      </c>
      <c r="V878" s="93" t="str">
        <f>+Agencia[[#This Row],[idcoleccion]]&amp;"-"&amp;Agencia[[#This Row],[id]]</f>
        <v>990-0867</v>
      </c>
      <c r="W878" s="93">
        <f>+VLOOKUP(Agencia[[#This Row],[Filtro URL]],Estructura!$X$4:$Y$500,2,0)</f>
        <v>99200011</v>
      </c>
      <c r="X878" s="93" t="str">
        <f>+VLOOKUP(Agencia[[#This Row],[tema]],Estructura!$A$4:$C$500,3,0)</f>
        <v>T-999</v>
      </c>
      <c r="Y878" s="93" t="str">
        <f>+VLOOKUP(Agencia[[#This Row],[contenido]],Estructura!$E$4:$G$500,3,0)</f>
        <v>C-1010</v>
      </c>
      <c r="Z878" s="93" t="str">
        <f>+VLOOKUP(Agencia[[#This Row],[Filtro Integrado]],Estructura!$I$4:$K$500,3,0)</f>
        <v>FI-993</v>
      </c>
      <c r="AA878" s="93" t="str">
        <f>+VLOOKUP(Agencia[[#This Row],[Muestra]],Estructura!$M$4:$O$500,3,0)</f>
        <v>M-1053</v>
      </c>
    </row>
    <row r="879" spans="1:27" ht="61.2" x14ac:dyDescent="0.3">
      <c r="A879" s="21" t="s">
        <v>1599</v>
      </c>
      <c r="B879" s="23">
        <f t="shared" si="357"/>
        <v>990</v>
      </c>
      <c r="C879" s="24" t="str">
        <f t="shared" si="358"/>
        <v>Agencia Información</v>
      </c>
      <c r="D879" s="72" t="str">
        <f t="shared" si="364"/>
        <v>Salud</v>
      </c>
      <c r="E879" s="19">
        <v>12</v>
      </c>
      <c r="F879" s="18" t="s">
        <v>948</v>
      </c>
      <c r="G879" s="18" t="s">
        <v>1898</v>
      </c>
      <c r="H879" s="33" t="s">
        <v>16</v>
      </c>
      <c r="I879" s="34" t="s">
        <v>379</v>
      </c>
      <c r="J879" s="9" t="str">
        <f t="shared" si="368"/>
        <v>Ninguno</v>
      </c>
      <c r="K879" s="142" t="s">
        <v>9307</v>
      </c>
      <c r="L879" s="36" t="str">
        <f t="shared" si="365"/>
        <v>Periodo 2012-2018</v>
      </c>
      <c r="M879" s="9" t="str">
        <f t="shared" si="366"/>
        <v>Personas</v>
      </c>
      <c r="N879" s="9" t="str">
        <f t="shared" si="367"/>
        <v>Departamento de Estadísticas e Información de la Salud (DEIS) - Ministerio de Salud</v>
      </c>
      <c r="O879" s="41" t="str">
        <f>+"Evolución de Población en Control en el Programa de VIH/SIDA en la "&amp;I879&amp;", "&amp;Agencia[[#This Row],[temporalidad]]</f>
        <v>Evolución de Población en Control en el Programa de VIH/SIDA en la Región de Magallanes, Periodo 2012-2018</v>
      </c>
      <c r="P879" s="112" t="s">
        <v>6661</v>
      </c>
      <c r="Q879" s="11" t="str">
        <f t="shared" si="350"/>
        <v>Gráfico de Evolución</v>
      </c>
      <c r="R879" s="148" t="str">
        <f>Agencia[[#This Row],[territorio]]&amp;",VIH,SIDA,enfermedad,transmisión,sexual,casos,personas,población,control,programa,región,regional,"&amp;Agencia[[#This Row],[coleccion]]&amp;","&amp;Agencia[[#This Row],[sector]]&amp;","&amp;Agencia[[#This Row],[tema]]&amp;","&amp;Agencia[[#This Row],[contenido]]</f>
        <v>Región de Magallanes,VIH,SIDA,enfermedad,transmisión,sexual,casos,personas,población,control,programa,región,regional,Agencia Información,Salud,Programa de VIH/SIDA,Programas de Salud</v>
      </c>
      <c r="S879" s="37" t="str">
        <f>HYPERLINK("https://analytics.zoho.com/open-view/2395394000008049248?ZOHO_CRITERIA=%22Localiza%20CL%22.%22Codreg%22%20%3D%20"&amp;Agencia[[#This Row],[Filtro URL]])</f>
        <v>https://analytics.zoho.com/open-view/2395394000008049248?ZOHO_CRITERIA=%22Localiza%20CL%22.%22Codreg%22%20%3D%2012</v>
      </c>
      <c r="T879" s="108" t="str">
        <f>"100-R-"&amp;Agencia[[#This Row],[Filtro URL]]</f>
        <v>100-R-12</v>
      </c>
      <c r="U879" s="46" t="str">
        <f t="shared" si="369"/>
        <v>#1774B9</v>
      </c>
      <c r="V879" s="93" t="str">
        <f>+Agencia[[#This Row],[idcoleccion]]&amp;"-"&amp;Agencia[[#This Row],[id]]</f>
        <v>990-0868</v>
      </c>
      <c r="W879" s="93">
        <f>+VLOOKUP(Agencia[[#This Row],[Filtro URL]],Estructura!$X$4:$Y$500,2,0)</f>
        <v>99200012</v>
      </c>
      <c r="X879" s="93" t="str">
        <f>+VLOOKUP(Agencia[[#This Row],[tema]],Estructura!$A$4:$C$500,3,0)</f>
        <v>T-999</v>
      </c>
      <c r="Y879" s="93" t="str">
        <f>+VLOOKUP(Agencia[[#This Row],[contenido]],Estructura!$E$4:$G$500,3,0)</f>
        <v>C-1010</v>
      </c>
      <c r="Z879" s="93" t="str">
        <f>+VLOOKUP(Agencia[[#This Row],[Filtro Integrado]],Estructura!$I$4:$K$500,3,0)</f>
        <v>FI-993</v>
      </c>
      <c r="AA879" s="93" t="str">
        <f>+VLOOKUP(Agencia[[#This Row],[Muestra]],Estructura!$M$4:$O$500,3,0)</f>
        <v>M-1053</v>
      </c>
    </row>
    <row r="880" spans="1:27" ht="61.2" x14ac:dyDescent="0.3">
      <c r="A880" s="21" t="s">
        <v>1600</v>
      </c>
      <c r="B880" s="23">
        <f t="shared" si="357"/>
        <v>990</v>
      </c>
      <c r="C880" s="24" t="str">
        <f t="shared" si="358"/>
        <v>Agencia Información</v>
      </c>
      <c r="D880" s="72" t="str">
        <f t="shared" si="364"/>
        <v>Salud</v>
      </c>
      <c r="E880" s="19">
        <v>13</v>
      </c>
      <c r="F880" s="18" t="s">
        <v>948</v>
      </c>
      <c r="G880" s="18" t="s">
        <v>1898</v>
      </c>
      <c r="H880" s="33" t="s">
        <v>16</v>
      </c>
      <c r="I880" s="34" t="s">
        <v>380</v>
      </c>
      <c r="J880" s="9" t="str">
        <f t="shared" si="368"/>
        <v>Ninguno</v>
      </c>
      <c r="K880" s="142" t="s">
        <v>9307</v>
      </c>
      <c r="L880" s="36" t="str">
        <f t="shared" si="365"/>
        <v>Periodo 2012-2018</v>
      </c>
      <c r="M880" s="9" t="str">
        <f t="shared" si="366"/>
        <v>Personas</v>
      </c>
      <c r="N880" s="9" t="str">
        <f t="shared" si="367"/>
        <v>Departamento de Estadísticas e Información de la Salud (DEIS) - Ministerio de Salud</v>
      </c>
      <c r="O880" s="41" t="str">
        <f>+"Evolución de Población en Control en el Programa de VIH/SIDA en la "&amp;I880&amp;", "&amp;Agencia[[#This Row],[temporalidad]]</f>
        <v>Evolución de Población en Control en el Programa de VIH/SIDA en la Región Metropolitana, Periodo 2012-2018</v>
      </c>
      <c r="P880" s="112" t="s">
        <v>6662</v>
      </c>
      <c r="Q880" s="11" t="str">
        <f t="shared" si="350"/>
        <v>Gráfico de Evolución</v>
      </c>
      <c r="R880" s="148" t="str">
        <f>Agencia[[#This Row],[territorio]]&amp;",VIH,SIDA,enfermedad,transmisión,sexual,casos,personas,población,control,programa,región,regional,"&amp;Agencia[[#This Row],[coleccion]]&amp;","&amp;Agencia[[#This Row],[sector]]&amp;","&amp;Agencia[[#This Row],[tema]]&amp;","&amp;Agencia[[#This Row],[contenido]]</f>
        <v>Región Metropolitana,VIH,SIDA,enfermedad,transmisión,sexual,casos,personas,población,control,programa,región,regional,Agencia Información,Salud,Programa de VIH/SIDA,Programas de Salud</v>
      </c>
      <c r="S880" s="37" t="str">
        <f>HYPERLINK("https://analytics.zoho.com/open-view/2395394000008049248?ZOHO_CRITERIA=%22Localiza%20CL%22.%22Codreg%22%20%3D%20"&amp;Agencia[[#This Row],[Filtro URL]])</f>
        <v>https://analytics.zoho.com/open-view/2395394000008049248?ZOHO_CRITERIA=%22Localiza%20CL%22.%22Codreg%22%20%3D%2013</v>
      </c>
      <c r="T880" s="108" t="str">
        <f>"200-R-"&amp;Agencia[[#This Row],[Filtro URL]]</f>
        <v>200-R-13</v>
      </c>
      <c r="U880" s="46" t="str">
        <f t="shared" si="369"/>
        <v>#1774B9</v>
      </c>
      <c r="V880" s="93" t="str">
        <f>+Agencia[[#This Row],[idcoleccion]]&amp;"-"&amp;Agencia[[#This Row],[id]]</f>
        <v>990-0869</v>
      </c>
      <c r="W880" s="93">
        <f>+VLOOKUP(Agencia[[#This Row],[Filtro URL]],Estructura!$X$4:$Y$500,2,0)</f>
        <v>99200013</v>
      </c>
      <c r="X880" s="93" t="str">
        <f>+VLOOKUP(Agencia[[#This Row],[tema]],Estructura!$A$4:$C$500,3,0)</f>
        <v>T-999</v>
      </c>
      <c r="Y880" s="93" t="str">
        <f>+VLOOKUP(Agencia[[#This Row],[contenido]],Estructura!$E$4:$G$500,3,0)</f>
        <v>C-1010</v>
      </c>
      <c r="Z880" s="93" t="str">
        <f>+VLOOKUP(Agencia[[#This Row],[Filtro Integrado]],Estructura!$I$4:$K$500,3,0)</f>
        <v>FI-993</v>
      </c>
      <c r="AA880" s="93" t="str">
        <f>+VLOOKUP(Agencia[[#This Row],[Muestra]],Estructura!$M$4:$O$500,3,0)</f>
        <v>M-1053</v>
      </c>
    </row>
    <row r="881" spans="1:27" ht="57.6" x14ac:dyDescent="0.3">
      <c r="A881" s="21" t="s">
        <v>1601</v>
      </c>
      <c r="B881" s="23">
        <f t="shared" si="357"/>
        <v>990</v>
      </c>
      <c r="C881" s="24" t="str">
        <f t="shared" si="358"/>
        <v>Agencia Información</v>
      </c>
      <c r="D881" s="72" t="str">
        <f t="shared" si="364"/>
        <v>Salud</v>
      </c>
      <c r="E881" s="19">
        <v>14</v>
      </c>
      <c r="F881" s="18" t="s">
        <v>948</v>
      </c>
      <c r="G881" s="18" t="s">
        <v>1898</v>
      </c>
      <c r="H881" s="33" t="s">
        <v>16</v>
      </c>
      <c r="I881" s="34" t="s">
        <v>381</v>
      </c>
      <c r="J881" s="9" t="str">
        <f t="shared" si="368"/>
        <v>Ninguno</v>
      </c>
      <c r="K881" s="142" t="s">
        <v>9307</v>
      </c>
      <c r="L881" s="36" t="str">
        <f t="shared" si="365"/>
        <v>Periodo 2012-2018</v>
      </c>
      <c r="M881" s="9" t="str">
        <f t="shared" si="366"/>
        <v>Personas</v>
      </c>
      <c r="N881" s="9" t="str">
        <f t="shared" si="367"/>
        <v>Departamento de Estadísticas e Información de la Salud (DEIS) - Ministerio de Salud</v>
      </c>
      <c r="O881" s="41" t="str">
        <f>+"Evolución de Población en Control en el Programa de VIH/SIDA en la "&amp;I881&amp;", "&amp;Agencia[[#This Row],[temporalidad]]</f>
        <v>Evolución de Población en Control en el Programa de VIH/SIDA en la Región de Los Ríos, Periodo 2012-2018</v>
      </c>
      <c r="P881" s="112" t="s">
        <v>6663</v>
      </c>
      <c r="Q881" s="11" t="str">
        <f>+Q880</f>
        <v>Gráfico de Evolución</v>
      </c>
      <c r="R881" s="148" t="str">
        <f>Agencia[[#This Row],[territorio]]&amp;",VIH,SIDA,enfermedad,transmisión,sexual,casos,personas,población,control,programa,región,regional,"&amp;Agencia[[#This Row],[coleccion]]&amp;","&amp;Agencia[[#This Row],[sector]]&amp;","&amp;Agencia[[#This Row],[tema]]&amp;","&amp;Agencia[[#This Row],[contenido]]</f>
        <v>Región de Los Ríos,VIH,SIDA,enfermedad,transmisión,sexual,casos,personas,población,control,programa,región,regional,Agencia Información,Salud,Programa de VIH/SIDA,Programas de Salud</v>
      </c>
      <c r="S881" s="37" t="str">
        <f>HYPERLINK("https://analytics.zoho.com/open-view/2395394000008049248?ZOHO_CRITERIA=%22Localiza%20CL%22.%22Codreg%22%20%3D%20"&amp;Agencia[[#This Row],[Filtro URL]])</f>
        <v>https://analytics.zoho.com/open-view/2395394000008049248?ZOHO_CRITERIA=%22Localiza%20CL%22.%22Codreg%22%20%3D%2014</v>
      </c>
      <c r="T881" s="108" t="str">
        <f>"100-R-"&amp;Agencia[[#This Row],[Filtro URL]]</f>
        <v>100-R-14</v>
      </c>
      <c r="U881" s="46" t="str">
        <f t="shared" si="369"/>
        <v>#1774B9</v>
      </c>
      <c r="V881" s="93" t="str">
        <f>+Agencia[[#This Row],[idcoleccion]]&amp;"-"&amp;Agencia[[#This Row],[id]]</f>
        <v>990-0870</v>
      </c>
      <c r="W881" s="93">
        <f>+VLOOKUP(Agencia[[#This Row],[Filtro URL]],Estructura!$X$4:$Y$500,2,0)</f>
        <v>99200014</v>
      </c>
      <c r="X881" s="93" t="str">
        <f>+VLOOKUP(Agencia[[#This Row],[tema]],Estructura!$A$4:$C$500,3,0)</f>
        <v>T-999</v>
      </c>
      <c r="Y881" s="93" t="str">
        <f>+VLOOKUP(Agencia[[#This Row],[contenido]],Estructura!$E$4:$G$500,3,0)</f>
        <v>C-1010</v>
      </c>
      <c r="Z881" s="93" t="str">
        <f>+VLOOKUP(Agencia[[#This Row],[Filtro Integrado]],Estructura!$I$4:$K$500,3,0)</f>
        <v>FI-993</v>
      </c>
      <c r="AA881" s="93" t="str">
        <f>+VLOOKUP(Agencia[[#This Row],[Muestra]],Estructura!$M$4:$O$500,3,0)</f>
        <v>M-1053</v>
      </c>
    </row>
    <row r="882" spans="1:27" ht="61.2" x14ac:dyDescent="0.3">
      <c r="A882" s="21" t="s">
        <v>1602</v>
      </c>
      <c r="B882" s="23">
        <f t="shared" si="357"/>
        <v>990</v>
      </c>
      <c r="C882" s="24" t="str">
        <f t="shared" si="358"/>
        <v>Agencia Información</v>
      </c>
      <c r="D882" s="72" t="str">
        <f t="shared" si="364"/>
        <v>Salud</v>
      </c>
      <c r="E882" s="19">
        <v>15</v>
      </c>
      <c r="F882" s="18" t="s">
        <v>948</v>
      </c>
      <c r="G882" s="18" t="s">
        <v>1898</v>
      </c>
      <c r="H882" s="33" t="s">
        <v>16</v>
      </c>
      <c r="I882" s="34" t="s">
        <v>382</v>
      </c>
      <c r="J882" s="9" t="str">
        <f t="shared" si="368"/>
        <v>Ninguno</v>
      </c>
      <c r="K882" s="142" t="s">
        <v>9307</v>
      </c>
      <c r="L882" s="36" t="str">
        <f t="shared" si="365"/>
        <v>Periodo 2012-2018</v>
      </c>
      <c r="M882" s="9" t="str">
        <f t="shared" si="366"/>
        <v>Personas</v>
      </c>
      <c r="N882" s="9" t="str">
        <f t="shared" si="367"/>
        <v>Departamento de Estadísticas e Información de la Salud (DEIS) - Ministerio de Salud</v>
      </c>
      <c r="O882" s="41" t="str">
        <f>+"Evolución de Población en Control en el Programa de VIH/SIDA en la "&amp;I882&amp;", "&amp;Agencia[[#This Row],[temporalidad]]</f>
        <v>Evolución de Población en Control en el Programa de VIH/SIDA en la Región de Arica y Parinacota, Periodo 2012-2018</v>
      </c>
      <c r="P882" s="112" t="s">
        <v>6664</v>
      </c>
      <c r="Q882" s="11" t="str">
        <f>+Q881</f>
        <v>Gráfico de Evolución</v>
      </c>
      <c r="R882" s="148" t="str">
        <f>Agencia[[#This Row],[territorio]]&amp;",VIH,SIDA,enfermedad,transmisión,sexual,casos,personas,población,control,programa,región,regional,"&amp;Agencia[[#This Row],[coleccion]]&amp;","&amp;Agencia[[#This Row],[sector]]&amp;","&amp;Agencia[[#This Row],[tema]]&amp;","&amp;Agencia[[#This Row],[contenido]]</f>
        <v>Región de Arica y Parinacota,VIH,SIDA,enfermedad,transmisión,sexual,casos,personas,población,control,programa,región,regional,Agencia Información,Salud,Programa de VIH/SIDA,Programas de Salud</v>
      </c>
      <c r="S882" s="37" t="str">
        <f>HYPERLINK("https://analytics.zoho.com/open-view/2395394000008049248?ZOHO_CRITERIA=%22Localiza%20CL%22.%22Codreg%22%20%3D%20"&amp;Agencia[[#This Row],[Filtro URL]])</f>
        <v>https://analytics.zoho.com/open-view/2395394000008049248?ZOHO_CRITERIA=%22Localiza%20CL%22.%22Codreg%22%20%3D%2015</v>
      </c>
      <c r="T882" s="108" t="str">
        <f>"100-R-"&amp;Agencia[[#This Row],[Filtro URL]]</f>
        <v>100-R-15</v>
      </c>
      <c r="U882" s="46" t="str">
        <f t="shared" si="369"/>
        <v>#1774B9</v>
      </c>
      <c r="V882" s="93" t="str">
        <f>+Agencia[[#This Row],[idcoleccion]]&amp;"-"&amp;Agencia[[#This Row],[id]]</f>
        <v>990-0871</v>
      </c>
      <c r="W882" s="93">
        <f>+VLOOKUP(Agencia[[#This Row],[Filtro URL]],Estructura!$X$4:$Y$500,2,0)</f>
        <v>99200015</v>
      </c>
      <c r="X882" s="93" t="str">
        <f>+VLOOKUP(Agencia[[#This Row],[tema]],Estructura!$A$4:$C$500,3,0)</f>
        <v>T-999</v>
      </c>
      <c r="Y882" s="93" t="str">
        <f>+VLOOKUP(Agencia[[#This Row],[contenido]],Estructura!$E$4:$G$500,3,0)</f>
        <v>C-1010</v>
      </c>
      <c r="Z882" s="93" t="str">
        <f>+VLOOKUP(Agencia[[#This Row],[Filtro Integrado]],Estructura!$I$4:$K$500,3,0)</f>
        <v>FI-993</v>
      </c>
      <c r="AA882" s="93" t="str">
        <f>+VLOOKUP(Agencia[[#This Row],[Muestra]],Estructura!$M$4:$O$500,3,0)</f>
        <v>M-1053</v>
      </c>
    </row>
    <row r="883" spans="1:27" ht="61.2" x14ac:dyDescent="0.3">
      <c r="A883" s="21" t="s">
        <v>1603</v>
      </c>
      <c r="B883" s="23">
        <f t="shared" si="357"/>
        <v>990</v>
      </c>
      <c r="C883" s="24" t="str">
        <f t="shared" si="358"/>
        <v>Agencia Información</v>
      </c>
      <c r="D883" s="72" t="str">
        <f t="shared" si="364"/>
        <v>Salud</v>
      </c>
      <c r="E883" s="19">
        <v>16</v>
      </c>
      <c r="F883" s="18" t="s">
        <v>948</v>
      </c>
      <c r="G883" s="18" t="s">
        <v>1898</v>
      </c>
      <c r="H883" s="33" t="s">
        <v>16</v>
      </c>
      <c r="I883" s="34" t="s">
        <v>383</v>
      </c>
      <c r="J883" s="9" t="str">
        <f t="shared" si="368"/>
        <v>Ninguno</v>
      </c>
      <c r="K883" s="142" t="s">
        <v>9307</v>
      </c>
      <c r="L883" s="36" t="str">
        <f t="shared" si="365"/>
        <v>Periodo 2012-2018</v>
      </c>
      <c r="M883" s="9" t="str">
        <f t="shared" si="366"/>
        <v>Personas</v>
      </c>
      <c r="N883" s="9" t="str">
        <f t="shared" si="367"/>
        <v>Departamento de Estadísticas e Información de la Salud (DEIS) - Ministerio de Salud</v>
      </c>
      <c r="O883" s="41" t="str">
        <f>+"Evolución de Población en Control en el Programa de VIH/SIDA en la "&amp;I883&amp;", "&amp;Agencia[[#This Row],[temporalidad]]</f>
        <v>Evolución de Población en Control en el Programa de VIH/SIDA en la Región de Ñuble, Periodo 2012-2018</v>
      </c>
      <c r="P883" s="112" t="s">
        <v>6665</v>
      </c>
      <c r="Q883" s="11" t="str">
        <f>+Q882</f>
        <v>Gráfico de Evolución</v>
      </c>
      <c r="R883" s="148" t="str">
        <f>Agencia[[#This Row],[territorio]]&amp;",VIH,SIDA,enfermedad,transmisión,sexual,casos,personas,población,control,programa,región,regional,"&amp;Agencia[[#This Row],[coleccion]]&amp;","&amp;Agencia[[#This Row],[sector]]&amp;","&amp;Agencia[[#This Row],[tema]]&amp;","&amp;Agencia[[#This Row],[contenido]]</f>
        <v>Región de Ñuble,VIH,SIDA,enfermedad,transmisión,sexual,casos,personas,población,control,programa,región,regional,Agencia Información,Salud,Programa de VIH/SIDA,Programas de Salud</v>
      </c>
      <c r="S883" s="37" t="str">
        <f>HYPERLINK("https://analytics.zoho.com/open-view/2395394000008049248?ZOHO_CRITERIA=%22Localiza%20CL%22.%22Codreg%22%20%3D%20"&amp;Agencia[[#This Row],[Filtro URL]])</f>
        <v>https://analytics.zoho.com/open-view/2395394000008049248?ZOHO_CRITERIA=%22Localiza%20CL%22.%22Codreg%22%20%3D%2016</v>
      </c>
      <c r="T883" s="108" t="str">
        <f>"100-R-"&amp;Agencia[[#This Row],[Filtro URL]]</f>
        <v>100-R-16</v>
      </c>
      <c r="U883" s="46" t="str">
        <f t="shared" si="369"/>
        <v>#1774B9</v>
      </c>
      <c r="V883" s="93" t="str">
        <f>+Agencia[[#This Row],[idcoleccion]]&amp;"-"&amp;Agencia[[#This Row],[id]]</f>
        <v>990-0872</v>
      </c>
      <c r="W883" s="93">
        <f>+VLOOKUP(Agencia[[#This Row],[Filtro URL]],Estructura!$X$4:$Y$500,2,0)</f>
        <v>99200016</v>
      </c>
      <c r="X883" s="93" t="str">
        <f>+VLOOKUP(Agencia[[#This Row],[tema]],Estructura!$A$4:$C$500,3,0)</f>
        <v>T-999</v>
      </c>
      <c r="Y883" s="93" t="str">
        <f>+VLOOKUP(Agencia[[#This Row],[contenido]],Estructura!$E$4:$G$500,3,0)</f>
        <v>C-1010</v>
      </c>
      <c r="Z883" s="93" t="str">
        <f>+VLOOKUP(Agencia[[#This Row],[Filtro Integrado]],Estructura!$I$4:$K$500,3,0)</f>
        <v>FI-993</v>
      </c>
      <c r="AA883" s="93" t="str">
        <f>+VLOOKUP(Agencia[[#This Row],[Muestra]],Estructura!$M$4:$O$500,3,0)</f>
        <v>M-1053</v>
      </c>
    </row>
    <row r="884" spans="1:27" ht="51" x14ac:dyDescent="0.3">
      <c r="A884" s="21" t="s">
        <v>1604</v>
      </c>
      <c r="B884" s="23">
        <f t="shared" si="357"/>
        <v>990</v>
      </c>
      <c r="C884" s="24" t="str">
        <f t="shared" si="358"/>
        <v>Agencia Información</v>
      </c>
      <c r="D884" s="72" t="s">
        <v>568</v>
      </c>
      <c r="E884" s="14">
        <v>0</v>
      </c>
      <c r="F884" s="18" t="s">
        <v>948</v>
      </c>
      <c r="G884" s="18" t="s">
        <v>1898</v>
      </c>
      <c r="H884" s="31" t="s">
        <v>20</v>
      </c>
      <c r="I884" s="32" t="s">
        <v>15</v>
      </c>
      <c r="J884" s="9" t="s">
        <v>16</v>
      </c>
      <c r="K884" s="142" t="s">
        <v>9307</v>
      </c>
      <c r="L884" s="36" t="s">
        <v>1514</v>
      </c>
      <c r="M884" s="9" t="s">
        <v>1392</v>
      </c>
      <c r="N884" s="9" t="s">
        <v>848</v>
      </c>
      <c r="O884" s="41" t="str">
        <f>+"Evolución de Población en Control en el Programa de VIH/SIDA según Rango Etario en "&amp;I884&amp;", "&amp;Agencia[[#This Row],[temporalidad]]</f>
        <v>Evolución de Población en Control en el Programa de VIH/SIDA según Rango Etario en Chile, Periodo 2012-2018</v>
      </c>
      <c r="P884" s="112" t="s">
        <v>6666</v>
      </c>
      <c r="Q884" s="11" t="s">
        <v>784</v>
      </c>
      <c r="R884" s="20" t="str">
        <f>Agencia[[#This Row],[territorio]]&amp;",VIH,SIDA,enfermedad,transmisión,sexual,casos,personas,población,programa,edad,rango etario,"&amp;Agencia[[#This Row],[coleccion]]&amp;","&amp;Agencia[[#This Row],[sector]]&amp;","&amp;Agencia[[#This Row],[tema]]&amp;","&amp;Agencia[[#This Row],[contenido]]</f>
        <v>Chile,VIH,SIDA,enfermedad,transmisión,sexual,casos,personas,población,programa,edad,rango etario,Agencia Información,Salud,Programa de VIH/SIDA,Programas de Salud</v>
      </c>
      <c r="S884" s="37" t="s">
        <v>1516</v>
      </c>
      <c r="T884" s="108" t="s">
        <v>805</v>
      </c>
      <c r="U884" s="46" t="str">
        <f t="shared" si="369"/>
        <v>#1774B9</v>
      </c>
      <c r="V884" s="93" t="str">
        <f>+Agencia[[#This Row],[idcoleccion]]&amp;"-"&amp;Agencia[[#This Row],[id]]</f>
        <v>990-0873</v>
      </c>
      <c r="W884" s="93">
        <f>+VLOOKUP(Agencia[[#This Row],[Filtro URL]],Estructura!$X$4:$Y$500,2,0)</f>
        <v>99100000</v>
      </c>
      <c r="X884" s="93" t="str">
        <f>+VLOOKUP(Agencia[[#This Row],[tema]],Estructura!$A$4:$C$500,3,0)</f>
        <v>T-999</v>
      </c>
      <c r="Y884" s="93" t="str">
        <f>+VLOOKUP(Agencia[[#This Row],[contenido]],Estructura!$E$4:$G$500,3,0)</f>
        <v>C-1010</v>
      </c>
      <c r="Z884" s="93" t="str">
        <f>+VLOOKUP(Agencia[[#This Row],[Filtro Integrado]],Estructura!$I$4:$K$500,3,0)</f>
        <v>FI-992</v>
      </c>
      <c r="AA884" s="93" t="str">
        <f>+VLOOKUP(Agencia[[#This Row],[Muestra]],Estructura!$M$4:$O$500,3,0)</f>
        <v>M-1053</v>
      </c>
    </row>
    <row r="885" spans="1:27" ht="57.6" x14ac:dyDescent="0.3">
      <c r="A885" s="21" t="s">
        <v>1605</v>
      </c>
      <c r="B885" s="23">
        <f t="shared" si="357"/>
        <v>990</v>
      </c>
      <c r="C885" s="24" t="str">
        <f t="shared" si="358"/>
        <v>Agencia Información</v>
      </c>
      <c r="D885" s="72" t="str">
        <f t="shared" ref="D885:D900" si="370">+D884</f>
        <v>Salud</v>
      </c>
      <c r="E885" s="19">
        <v>1</v>
      </c>
      <c r="F885" s="18" t="s">
        <v>948</v>
      </c>
      <c r="G885" s="18" t="s">
        <v>1898</v>
      </c>
      <c r="H885" s="33" t="s">
        <v>16</v>
      </c>
      <c r="I885" s="34" t="s">
        <v>368</v>
      </c>
      <c r="J885" s="9" t="s">
        <v>403</v>
      </c>
      <c r="K885" s="142" t="s">
        <v>9307</v>
      </c>
      <c r="L885" s="36" t="str">
        <f t="shared" ref="L885:L900" si="371">+L884</f>
        <v>Periodo 2012-2018</v>
      </c>
      <c r="M885" s="9" t="str">
        <f t="shared" ref="M885:M900" si="372">+M884</f>
        <v>Personas</v>
      </c>
      <c r="N885" s="9" t="str">
        <f t="shared" ref="N885:N900" si="373">+N884</f>
        <v>Departamento de Estadísticas e Información de la Salud (DEIS) - Ministerio de Salud</v>
      </c>
      <c r="O885" s="41" t="str">
        <f>+"Evolución de Población en Control en el Programa de VIH/SIDA según Rango Etario en la "&amp;I885&amp;", "&amp;Agencia[[#This Row],[temporalidad]]</f>
        <v>Evolución de Población en Control en el Programa de VIH/SIDA según Rango Etario en la Región de Tarapacá, Periodo 2012-2018</v>
      </c>
      <c r="P885" s="112" t="s">
        <v>6667</v>
      </c>
      <c r="Q885" s="11" t="str">
        <f t="shared" ref="Q885:Q948" si="374">+Q884</f>
        <v>Gráfico de Evolución</v>
      </c>
      <c r="R885" s="148" t="str">
        <f>Agencia[[#This Row],[territorio]]&amp;",VIH,SIDA,enfermedad,transmisión,sexual,casos,personas,población,programa,edad,rango etario,"&amp;Agencia[[#This Row],[coleccion]]&amp;","&amp;Agencia[[#This Row],[sector]]&amp;","&amp;Agencia[[#This Row],[tema]]&amp;","&amp;Agencia[[#This Row],[contenido]]</f>
        <v>Región de Tarapacá,VIH,SIDA,enfermedad,transmisión,sexual,casos,personas,población,programa,edad,rango etario,Agencia Información,Salud,Programa de VIH/SIDA,Programas de Salud</v>
      </c>
      <c r="S885" s="37" t="str">
        <f>HYPERLINK("https://analytics.zoho.com/open-view/2395394000008463151?ZOHO_CRITERIA=%22Localiza%20CL%22.%22Codreg%22%20%3D%20"&amp;Agencia[[#This Row],[Filtro URL]])</f>
        <v>https://analytics.zoho.com/open-view/2395394000008463151?ZOHO_CRITERIA=%22Localiza%20CL%22.%22Codreg%22%20%3D%201</v>
      </c>
      <c r="T885" s="108" t="str">
        <f>"100-R-"&amp;Agencia[[#This Row],[Filtro URL]]</f>
        <v>100-R-1</v>
      </c>
      <c r="U885" s="46" t="str">
        <f t="shared" si="369"/>
        <v>#1774B9</v>
      </c>
      <c r="V885" s="93" t="str">
        <f>+Agencia[[#This Row],[idcoleccion]]&amp;"-"&amp;Agencia[[#This Row],[id]]</f>
        <v>990-0874</v>
      </c>
      <c r="W885" s="93">
        <f>+VLOOKUP(Agencia[[#This Row],[Filtro URL]],Estructura!$X$4:$Y$500,2,0)</f>
        <v>99200001</v>
      </c>
      <c r="X885" s="93" t="str">
        <f>+VLOOKUP(Agencia[[#This Row],[tema]],Estructura!$A$4:$C$500,3,0)</f>
        <v>T-999</v>
      </c>
      <c r="Y885" s="93" t="str">
        <f>+VLOOKUP(Agencia[[#This Row],[contenido]],Estructura!$E$4:$G$500,3,0)</f>
        <v>C-1010</v>
      </c>
      <c r="Z885" s="93" t="str">
        <f>+VLOOKUP(Agencia[[#This Row],[Filtro Integrado]],Estructura!$I$4:$K$500,3,0)</f>
        <v>FI-993</v>
      </c>
      <c r="AA885" s="93" t="str">
        <f>+VLOOKUP(Agencia[[#This Row],[Muestra]],Estructura!$M$4:$O$500,3,0)</f>
        <v>M-1053</v>
      </c>
    </row>
    <row r="886" spans="1:27" ht="61.2" x14ac:dyDescent="0.3">
      <c r="A886" s="21" t="s">
        <v>1606</v>
      </c>
      <c r="B886" s="23">
        <f t="shared" si="357"/>
        <v>990</v>
      </c>
      <c r="C886" s="24" t="str">
        <f t="shared" si="358"/>
        <v>Agencia Información</v>
      </c>
      <c r="D886" s="72" t="str">
        <f t="shared" si="370"/>
        <v>Salud</v>
      </c>
      <c r="E886" s="19">
        <v>2</v>
      </c>
      <c r="F886" s="18" t="s">
        <v>948</v>
      </c>
      <c r="G886" s="18" t="s">
        <v>1898</v>
      </c>
      <c r="H886" s="33" t="s">
        <v>16</v>
      </c>
      <c r="I886" s="34" t="s">
        <v>369</v>
      </c>
      <c r="J886" s="9" t="str">
        <f t="shared" ref="J886:J900" si="375">+J885</f>
        <v>Ninguno</v>
      </c>
      <c r="K886" s="142" t="s">
        <v>9307</v>
      </c>
      <c r="L886" s="36" t="str">
        <f t="shared" si="371"/>
        <v>Periodo 2012-2018</v>
      </c>
      <c r="M886" s="9" t="str">
        <f t="shared" si="372"/>
        <v>Personas</v>
      </c>
      <c r="N886" s="9" t="str">
        <f t="shared" si="373"/>
        <v>Departamento de Estadísticas e Información de la Salud (DEIS) - Ministerio de Salud</v>
      </c>
      <c r="O886" s="41" t="str">
        <f>+"Evolución de Población en Control en el Programa de VIH/SIDA según Rango Etario en la "&amp;I886&amp;", "&amp;Agencia[[#This Row],[temporalidad]]</f>
        <v>Evolución de Población en Control en el Programa de VIH/SIDA según Rango Etario en la Región de Antofagasta, Periodo 2012-2018</v>
      </c>
      <c r="P886" s="112" t="s">
        <v>6668</v>
      </c>
      <c r="Q886" s="11" t="str">
        <f t="shared" si="374"/>
        <v>Gráfico de Evolución</v>
      </c>
      <c r="R886" s="148" t="str">
        <f>Agencia[[#This Row],[territorio]]&amp;",VIH,SIDA,enfermedad,transmisión,sexual,casos,personas,población,programa,edad,rango etario,"&amp;Agencia[[#This Row],[coleccion]]&amp;","&amp;Agencia[[#This Row],[sector]]&amp;","&amp;Agencia[[#This Row],[tema]]&amp;","&amp;Agencia[[#This Row],[contenido]]</f>
        <v>Región de Antofagasta,VIH,SIDA,enfermedad,transmisión,sexual,casos,personas,población,programa,edad,rango etario,Agencia Información,Salud,Programa de VIH/SIDA,Programas de Salud</v>
      </c>
      <c r="S886" s="37" t="str">
        <f>HYPERLINK("https://analytics.zoho.com/open-view/2395394000008463151?ZOHO_CRITERIA=%22Localiza%20CL%22.%22Codreg%22%20%3D%20"&amp;Agencia[[#This Row],[Filtro URL]])</f>
        <v>https://analytics.zoho.com/open-view/2395394000008463151?ZOHO_CRITERIA=%22Localiza%20CL%22.%22Codreg%22%20%3D%202</v>
      </c>
      <c r="T886" s="108" t="str">
        <f>"100-R-"&amp;Agencia[[#This Row],[Filtro URL]]</f>
        <v>100-R-2</v>
      </c>
      <c r="U886" s="46" t="str">
        <f t="shared" si="369"/>
        <v>#1774B9</v>
      </c>
      <c r="V886" s="93" t="str">
        <f>+Agencia[[#This Row],[idcoleccion]]&amp;"-"&amp;Agencia[[#This Row],[id]]</f>
        <v>990-0875</v>
      </c>
      <c r="W886" s="93">
        <f>+VLOOKUP(Agencia[[#This Row],[Filtro URL]],Estructura!$X$4:$Y$500,2,0)</f>
        <v>99200002</v>
      </c>
      <c r="X886" s="93" t="str">
        <f>+VLOOKUP(Agencia[[#This Row],[tema]],Estructura!$A$4:$C$500,3,0)</f>
        <v>T-999</v>
      </c>
      <c r="Y886" s="93" t="str">
        <f>+VLOOKUP(Agencia[[#This Row],[contenido]],Estructura!$E$4:$G$500,3,0)</f>
        <v>C-1010</v>
      </c>
      <c r="Z886" s="93" t="str">
        <f>+VLOOKUP(Agencia[[#This Row],[Filtro Integrado]],Estructura!$I$4:$K$500,3,0)</f>
        <v>FI-993</v>
      </c>
      <c r="AA886" s="93" t="str">
        <f>+VLOOKUP(Agencia[[#This Row],[Muestra]],Estructura!$M$4:$O$500,3,0)</f>
        <v>M-1053</v>
      </c>
    </row>
    <row r="887" spans="1:27" ht="57.6" x14ac:dyDescent="0.3">
      <c r="A887" s="21" t="s">
        <v>1607</v>
      </c>
      <c r="B887" s="23">
        <f t="shared" si="357"/>
        <v>990</v>
      </c>
      <c r="C887" s="24" t="str">
        <f t="shared" si="358"/>
        <v>Agencia Información</v>
      </c>
      <c r="D887" s="72" t="str">
        <f t="shared" si="370"/>
        <v>Salud</v>
      </c>
      <c r="E887" s="19">
        <v>3</v>
      </c>
      <c r="F887" s="18" t="s">
        <v>948</v>
      </c>
      <c r="G887" s="18" t="s">
        <v>1898</v>
      </c>
      <c r="H887" s="33" t="s">
        <v>16</v>
      </c>
      <c r="I887" s="34" t="s">
        <v>370</v>
      </c>
      <c r="J887" s="9" t="str">
        <f t="shared" si="375"/>
        <v>Ninguno</v>
      </c>
      <c r="K887" s="142" t="s">
        <v>9307</v>
      </c>
      <c r="L887" s="36" t="str">
        <f t="shared" si="371"/>
        <v>Periodo 2012-2018</v>
      </c>
      <c r="M887" s="9" t="str">
        <f t="shared" si="372"/>
        <v>Personas</v>
      </c>
      <c r="N887" s="9" t="str">
        <f t="shared" si="373"/>
        <v>Departamento de Estadísticas e Información de la Salud (DEIS) - Ministerio de Salud</v>
      </c>
      <c r="O887" s="41" t="str">
        <f>+"Evolución de Población en Control en el Programa de VIH/SIDA según Rango Etario en la "&amp;I887&amp;", "&amp;Agencia[[#This Row],[temporalidad]]</f>
        <v>Evolución de Población en Control en el Programa de VIH/SIDA según Rango Etario en la Región de Atacama, Periodo 2012-2018</v>
      </c>
      <c r="P887" s="112" t="s">
        <v>6669</v>
      </c>
      <c r="Q887" s="11" t="str">
        <f t="shared" si="374"/>
        <v>Gráfico de Evolución</v>
      </c>
      <c r="R887" s="148" t="str">
        <f>Agencia[[#This Row],[territorio]]&amp;",VIH,SIDA,enfermedad,transmisión,sexual,casos,personas,población,programa,edad,rango etario,"&amp;Agencia[[#This Row],[coleccion]]&amp;","&amp;Agencia[[#This Row],[sector]]&amp;","&amp;Agencia[[#This Row],[tema]]&amp;","&amp;Agencia[[#This Row],[contenido]]</f>
        <v>Región de Atacama,VIH,SIDA,enfermedad,transmisión,sexual,casos,personas,población,programa,edad,rango etario,Agencia Información,Salud,Programa de VIH/SIDA,Programas de Salud</v>
      </c>
      <c r="S887" s="37" t="str">
        <f>HYPERLINK("https://analytics.zoho.com/open-view/2395394000008463151?ZOHO_CRITERIA=%22Localiza%20CL%22.%22Codreg%22%20%3D%20"&amp;Agencia[[#This Row],[Filtro URL]])</f>
        <v>https://analytics.zoho.com/open-view/2395394000008463151?ZOHO_CRITERIA=%22Localiza%20CL%22.%22Codreg%22%20%3D%203</v>
      </c>
      <c r="T887" s="108" t="str">
        <f>"100-R-"&amp;Agencia[[#This Row],[Filtro URL]]</f>
        <v>100-R-3</v>
      </c>
      <c r="U887" s="46" t="str">
        <f t="shared" si="369"/>
        <v>#1774B9</v>
      </c>
      <c r="V887" s="93" t="str">
        <f>+Agencia[[#This Row],[idcoleccion]]&amp;"-"&amp;Agencia[[#This Row],[id]]</f>
        <v>990-0876</v>
      </c>
      <c r="W887" s="93">
        <f>+VLOOKUP(Agencia[[#This Row],[Filtro URL]],Estructura!$X$4:$Y$500,2,0)</f>
        <v>99200003</v>
      </c>
      <c r="X887" s="93" t="str">
        <f>+VLOOKUP(Agencia[[#This Row],[tema]],Estructura!$A$4:$C$500,3,0)</f>
        <v>T-999</v>
      </c>
      <c r="Y887" s="93" t="str">
        <f>+VLOOKUP(Agencia[[#This Row],[contenido]],Estructura!$E$4:$G$500,3,0)</f>
        <v>C-1010</v>
      </c>
      <c r="Z887" s="93" t="str">
        <f>+VLOOKUP(Agencia[[#This Row],[Filtro Integrado]],Estructura!$I$4:$K$500,3,0)</f>
        <v>FI-993</v>
      </c>
      <c r="AA887" s="93" t="str">
        <f>+VLOOKUP(Agencia[[#This Row],[Muestra]],Estructura!$M$4:$O$500,3,0)</f>
        <v>M-1053</v>
      </c>
    </row>
    <row r="888" spans="1:27" ht="57.6" x14ac:dyDescent="0.3">
      <c r="A888" s="21" t="s">
        <v>1608</v>
      </c>
      <c r="B888" s="23">
        <f t="shared" si="357"/>
        <v>990</v>
      </c>
      <c r="C888" s="24" t="str">
        <f t="shared" si="358"/>
        <v>Agencia Información</v>
      </c>
      <c r="D888" s="72" t="str">
        <f t="shared" si="370"/>
        <v>Salud</v>
      </c>
      <c r="E888" s="19">
        <v>4</v>
      </c>
      <c r="F888" s="18" t="s">
        <v>948</v>
      </c>
      <c r="G888" s="18" t="s">
        <v>1898</v>
      </c>
      <c r="H888" s="33" t="s">
        <v>16</v>
      </c>
      <c r="I888" s="34" t="s">
        <v>371</v>
      </c>
      <c r="J888" s="9" t="str">
        <f t="shared" si="375"/>
        <v>Ninguno</v>
      </c>
      <c r="K888" s="142" t="s">
        <v>9307</v>
      </c>
      <c r="L888" s="36" t="str">
        <f t="shared" si="371"/>
        <v>Periodo 2012-2018</v>
      </c>
      <c r="M888" s="9" t="str">
        <f t="shared" si="372"/>
        <v>Personas</v>
      </c>
      <c r="N888" s="9" t="str">
        <f t="shared" si="373"/>
        <v>Departamento de Estadísticas e Información de la Salud (DEIS) - Ministerio de Salud</v>
      </c>
      <c r="O888" s="41" t="str">
        <f>+"Evolución de Población en Control en el Programa de VIH/SIDA según Rango Etario en la "&amp;I888&amp;", "&amp;Agencia[[#This Row],[temporalidad]]</f>
        <v>Evolución de Población en Control en el Programa de VIH/SIDA según Rango Etario en la Región de Coquimbo, Periodo 2012-2018</v>
      </c>
      <c r="P888" s="112" t="s">
        <v>6670</v>
      </c>
      <c r="Q888" s="11" t="str">
        <f t="shared" si="374"/>
        <v>Gráfico de Evolución</v>
      </c>
      <c r="R888" s="148" t="str">
        <f>Agencia[[#This Row],[territorio]]&amp;",VIH,SIDA,enfermedad,transmisión,sexual,casos,personas,población,programa,edad,rango etario,"&amp;Agencia[[#This Row],[coleccion]]&amp;","&amp;Agencia[[#This Row],[sector]]&amp;","&amp;Agencia[[#This Row],[tema]]&amp;","&amp;Agencia[[#This Row],[contenido]]</f>
        <v>Región de Coquimbo,VIH,SIDA,enfermedad,transmisión,sexual,casos,personas,población,programa,edad,rango etario,Agencia Información,Salud,Programa de VIH/SIDA,Programas de Salud</v>
      </c>
      <c r="S888" s="37" t="str">
        <f>HYPERLINK("https://analytics.zoho.com/open-view/2395394000008463151?ZOHO_CRITERIA=%22Localiza%20CL%22.%22Codreg%22%20%3D%20"&amp;Agencia[[#This Row],[Filtro URL]])</f>
        <v>https://analytics.zoho.com/open-view/2395394000008463151?ZOHO_CRITERIA=%22Localiza%20CL%22.%22Codreg%22%20%3D%204</v>
      </c>
      <c r="T888" s="108" t="str">
        <f>"100-R-"&amp;Agencia[[#This Row],[Filtro URL]]</f>
        <v>100-R-4</v>
      </c>
      <c r="U888" s="46" t="str">
        <f t="shared" si="369"/>
        <v>#1774B9</v>
      </c>
      <c r="V888" s="93" t="str">
        <f>+Agencia[[#This Row],[idcoleccion]]&amp;"-"&amp;Agencia[[#This Row],[id]]</f>
        <v>990-0877</v>
      </c>
      <c r="W888" s="93">
        <f>+VLOOKUP(Agencia[[#This Row],[Filtro URL]],Estructura!$X$4:$Y$500,2,0)</f>
        <v>99200004</v>
      </c>
      <c r="X888" s="93" t="str">
        <f>+VLOOKUP(Agencia[[#This Row],[tema]],Estructura!$A$4:$C$500,3,0)</f>
        <v>T-999</v>
      </c>
      <c r="Y888" s="93" t="str">
        <f>+VLOOKUP(Agencia[[#This Row],[contenido]],Estructura!$E$4:$G$500,3,0)</f>
        <v>C-1010</v>
      </c>
      <c r="Z888" s="93" t="str">
        <f>+VLOOKUP(Agencia[[#This Row],[Filtro Integrado]],Estructura!$I$4:$K$500,3,0)</f>
        <v>FI-993</v>
      </c>
      <c r="AA888" s="93" t="str">
        <f>+VLOOKUP(Agencia[[#This Row],[Muestra]],Estructura!$M$4:$O$500,3,0)</f>
        <v>M-1053</v>
      </c>
    </row>
    <row r="889" spans="1:27" ht="57.6" x14ac:dyDescent="0.3">
      <c r="A889" s="21" t="s">
        <v>1609</v>
      </c>
      <c r="B889" s="23">
        <f t="shared" si="357"/>
        <v>990</v>
      </c>
      <c r="C889" s="24" t="str">
        <f t="shared" si="358"/>
        <v>Agencia Información</v>
      </c>
      <c r="D889" s="72" t="str">
        <f t="shared" si="370"/>
        <v>Salud</v>
      </c>
      <c r="E889" s="19">
        <v>5</v>
      </c>
      <c r="F889" s="18" t="s">
        <v>948</v>
      </c>
      <c r="G889" s="18" t="s">
        <v>1898</v>
      </c>
      <c r="H889" s="33" t="s">
        <v>16</v>
      </c>
      <c r="I889" s="34" t="s">
        <v>372</v>
      </c>
      <c r="J889" s="9" t="str">
        <f t="shared" si="375"/>
        <v>Ninguno</v>
      </c>
      <c r="K889" s="142" t="s">
        <v>9307</v>
      </c>
      <c r="L889" s="36" t="str">
        <f t="shared" si="371"/>
        <v>Periodo 2012-2018</v>
      </c>
      <c r="M889" s="9" t="str">
        <f t="shared" si="372"/>
        <v>Personas</v>
      </c>
      <c r="N889" s="9" t="str">
        <f t="shared" si="373"/>
        <v>Departamento de Estadísticas e Información de la Salud (DEIS) - Ministerio de Salud</v>
      </c>
      <c r="O889" s="41" t="str">
        <f>+"Evolución de Población en Control en el Programa de VIH/SIDA según Rango Etario en la "&amp;I889&amp;", "&amp;Agencia[[#This Row],[temporalidad]]</f>
        <v>Evolución de Población en Control en el Programa de VIH/SIDA según Rango Etario en la Región de Valparaíso, Periodo 2012-2018</v>
      </c>
      <c r="P889" s="112" t="s">
        <v>6671</v>
      </c>
      <c r="Q889" s="11" t="str">
        <f t="shared" si="374"/>
        <v>Gráfico de Evolución</v>
      </c>
      <c r="R889" s="148" t="str">
        <f>Agencia[[#This Row],[territorio]]&amp;",VIH,SIDA,enfermedad,transmisión,sexual,casos,personas,población,programa,edad,rango etario,"&amp;Agencia[[#This Row],[coleccion]]&amp;","&amp;Agencia[[#This Row],[sector]]&amp;","&amp;Agencia[[#This Row],[tema]]&amp;","&amp;Agencia[[#This Row],[contenido]]</f>
        <v>Región de Valparaíso,VIH,SIDA,enfermedad,transmisión,sexual,casos,personas,población,programa,edad,rango etario,Agencia Información,Salud,Programa de VIH/SIDA,Programas de Salud</v>
      </c>
      <c r="S889" s="37" t="str">
        <f>HYPERLINK("https://analytics.zoho.com/open-view/2395394000008463151?ZOHO_CRITERIA=%22Localiza%20CL%22.%22Codreg%22%20%3D%20"&amp;Agencia[[#This Row],[Filtro URL]])</f>
        <v>https://analytics.zoho.com/open-view/2395394000008463151?ZOHO_CRITERIA=%22Localiza%20CL%22.%22Codreg%22%20%3D%205</v>
      </c>
      <c r="T889" s="108" t="str">
        <f>"100-R-"&amp;Agencia[[#This Row],[Filtro URL]]</f>
        <v>100-R-5</v>
      </c>
      <c r="U889" s="46" t="str">
        <f t="shared" si="369"/>
        <v>#1774B9</v>
      </c>
      <c r="V889" s="93" t="str">
        <f>+Agencia[[#This Row],[idcoleccion]]&amp;"-"&amp;Agencia[[#This Row],[id]]</f>
        <v>990-0878</v>
      </c>
      <c r="W889" s="93">
        <f>+VLOOKUP(Agencia[[#This Row],[Filtro URL]],Estructura!$X$4:$Y$500,2,0)</f>
        <v>99200005</v>
      </c>
      <c r="X889" s="93" t="str">
        <f>+VLOOKUP(Agencia[[#This Row],[tema]],Estructura!$A$4:$C$500,3,0)</f>
        <v>T-999</v>
      </c>
      <c r="Y889" s="93" t="str">
        <f>+VLOOKUP(Agencia[[#This Row],[contenido]],Estructura!$E$4:$G$500,3,0)</f>
        <v>C-1010</v>
      </c>
      <c r="Z889" s="93" t="str">
        <f>+VLOOKUP(Agencia[[#This Row],[Filtro Integrado]],Estructura!$I$4:$K$500,3,0)</f>
        <v>FI-993</v>
      </c>
      <c r="AA889" s="93" t="str">
        <f>+VLOOKUP(Agencia[[#This Row],[Muestra]],Estructura!$M$4:$O$500,3,0)</f>
        <v>M-1053</v>
      </c>
    </row>
    <row r="890" spans="1:27" ht="57.6" x14ac:dyDescent="0.3">
      <c r="A890" s="21" t="s">
        <v>1610</v>
      </c>
      <c r="B890" s="23">
        <f t="shared" si="357"/>
        <v>990</v>
      </c>
      <c r="C890" s="24" t="str">
        <f t="shared" si="358"/>
        <v>Agencia Información</v>
      </c>
      <c r="D890" s="72" t="str">
        <f t="shared" si="370"/>
        <v>Salud</v>
      </c>
      <c r="E890" s="19">
        <v>6</v>
      </c>
      <c r="F890" s="18" t="s">
        <v>948</v>
      </c>
      <c r="G890" s="18" t="s">
        <v>1898</v>
      </c>
      <c r="H890" s="33" t="s">
        <v>16</v>
      </c>
      <c r="I890" s="34" t="s">
        <v>373</v>
      </c>
      <c r="J890" s="9" t="str">
        <f t="shared" si="375"/>
        <v>Ninguno</v>
      </c>
      <c r="K890" s="142" t="s">
        <v>9307</v>
      </c>
      <c r="L890" s="36" t="str">
        <f t="shared" si="371"/>
        <v>Periodo 2012-2018</v>
      </c>
      <c r="M890" s="9" t="str">
        <f t="shared" si="372"/>
        <v>Personas</v>
      </c>
      <c r="N890" s="9" t="str">
        <f t="shared" si="373"/>
        <v>Departamento de Estadísticas e Información de la Salud (DEIS) - Ministerio de Salud</v>
      </c>
      <c r="O890" s="41" t="str">
        <f>+"Evolución de Población en Control en el Programa de VIH/SIDA según Rango Etario en la "&amp;I890&amp;", "&amp;Agencia[[#This Row],[temporalidad]]</f>
        <v>Evolución de Población en Control en el Programa de VIH/SIDA según Rango Etario en la Región de O'Higgins, Periodo 2012-2018</v>
      </c>
      <c r="P890" s="112" t="s">
        <v>6672</v>
      </c>
      <c r="Q890" s="11" t="str">
        <f t="shared" si="374"/>
        <v>Gráfico de Evolución</v>
      </c>
      <c r="R890" s="148" t="str">
        <f>Agencia[[#This Row],[territorio]]&amp;",VIH,SIDA,enfermedad,transmisión,sexual,casos,personas,población,programa,edad,rango etario,"&amp;Agencia[[#This Row],[coleccion]]&amp;","&amp;Agencia[[#This Row],[sector]]&amp;","&amp;Agencia[[#This Row],[tema]]&amp;","&amp;Agencia[[#This Row],[contenido]]</f>
        <v>Región de O'Higgins,VIH,SIDA,enfermedad,transmisión,sexual,casos,personas,población,programa,edad,rango etario,Agencia Información,Salud,Programa de VIH/SIDA,Programas de Salud</v>
      </c>
      <c r="S890" s="37" t="str">
        <f>HYPERLINK("https://analytics.zoho.com/open-view/2395394000008463151?ZOHO_CRITERIA=%22Localiza%20CL%22.%22Codreg%22%20%3D%20"&amp;Agencia[[#This Row],[Filtro URL]])</f>
        <v>https://analytics.zoho.com/open-view/2395394000008463151?ZOHO_CRITERIA=%22Localiza%20CL%22.%22Codreg%22%20%3D%206</v>
      </c>
      <c r="T890" s="108" t="str">
        <f>"100-R-"&amp;Agencia[[#This Row],[Filtro URL]]</f>
        <v>100-R-6</v>
      </c>
      <c r="U890" s="46" t="str">
        <f t="shared" si="369"/>
        <v>#1774B9</v>
      </c>
      <c r="V890" s="93" t="str">
        <f>+Agencia[[#This Row],[idcoleccion]]&amp;"-"&amp;Agencia[[#This Row],[id]]</f>
        <v>990-0879</v>
      </c>
      <c r="W890" s="93">
        <f>+VLOOKUP(Agencia[[#This Row],[Filtro URL]],Estructura!$X$4:$Y$500,2,0)</f>
        <v>99200006</v>
      </c>
      <c r="X890" s="93" t="str">
        <f>+VLOOKUP(Agencia[[#This Row],[tema]],Estructura!$A$4:$C$500,3,0)</f>
        <v>T-999</v>
      </c>
      <c r="Y890" s="93" t="str">
        <f>+VLOOKUP(Agencia[[#This Row],[contenido]],Estructura!$E$4:$G$500,3,0)</f>
        <v>C-1010</v>
      </c>
      <c r="Z890" s="93" t="str">
        <f>+VLOOKUP(Agencia[[#This Row],[Filtro Integrado]],Estructura!$I$4:$K$500,3,0)</f>
        <v>FI-993</v>
      </c>
      <c r="AA890" s="93" t="str">
        <f>+VLOOKUP(Agencia[[#This Row],[Muestra]],Estructura!$M$4:$O$500,3,0)</f>
        <v>M-1053</v>
      </c>
    </row>
    <row r="891" spans="1:27" ht="57.6" x14ac:dyDescent="0.3">
      <c r="A891" s="21" t="s">
        <v>1611</v>
      </c>
      <c r="B891" s="23">
        <f t="shared" si="357"/>
        <v>990</v>
      </c>
      <c r="C891" s="24" t="str">
        <f t="shared" si="358"/>
        <v>Agencia Información</v>
      </c>
      <c r="D891" s="72" t="str">
        <f t="shared" si="370"/>
        <v>Salud</v>
      </c>
      <c r="E891" s="19">
        <v>7</v>
      </c>
      <c r="F891" s="18" t="s">
        <v>948</v>
      </c>
      <c r="G891" s="18" t="s">
        <v>1898</v>
      </c>
      <c r="H891" s="33" t="s">
        <v>16</v>
      </c>
      <c r="I891" s="34" t="s">
        <v>374</v>
      </c>
      <c r="J891" s="9" t="str">
        <f t="shared" si="375"/>
        <v>Ninguno</v>
      </c>
      <c r="K891" s="142" t="s">
        <v>9307</v>
      </c>
      <c r="L891" s="36" t="str">
        <f t="shared" si="371"/>
        <v>Periodo 2012-2018</v>
      </c>
      <c r="M891" s="9" t="str">
        <f t="shared" si="372"/>
        <v>Personas</v>
      </c>
      <c r="N891" s="9" t="str">
        <f t="shared" si="373"/>
        <v>Departamento de Estadísticas e Información de la Salud (DEIS) - Ministerio de Salud</v>
      </c>
      <c r="O891" s="41" t="str">
        <f>+"Evolución de Población en Control en el Programa de VIH/SIDA según Rango Etario en la "&amp;I891&amp;", "&amp;Agencia[[#This Row],[temporalidad]]</f>
        <v>Evolución de Población en Control en el Programa de VIH/SIDA según Rango Etario en la Región de Maule, Periodo 2012-2018</v>
      </c>
      <c r="P891" s="112" t="s">
        <v>6673</v>
      </c>
      <c r="Q891" s="11" t="str">
        <f t="shared" si="374"/>
        <v>Gráfico de Evolución</v>
      </c>
      <c r="R891" s="148" t="str">
        <f>Agencia[[#This Row],[territorio]]&amp;",VIH,SIDA,enfermedad,transmisión,sexual,casos,personas,población,programa,edad,rango etario,"&amp;Agencia[[#This Row],[coleccion]]&amp;","&amp;Agencia[[#This Row],[sector]]&amp;","&amp;Agencia[[#This Row],[tema]]&amp;","&amp;Agencia[[#This Row],[contenido]]</f>
        <v>Región de Maule,VIH,SIDA,enfermedad,transmisión,sexual,casos,personas,población,programa,edad,rango etario,Agencia Información,Salud,Programa de VIH/SIDA,Programas de Salud</v>
      </c>
      <c r="S891" s="37" t="str">
        <f>HYPERLINK("https://analytics.zoho.com/open-view/2395394000008463151?ZOHO_CRITERIA=%22Localiza%20CL%22.%22Codreg%22%20%3D%20"&amp;Agencia[[#This Row],[Filtro URL]])</f>
        <v>https://analytics.zoho.com/open-view/2395394000008463151?ZOHO_CRITERIA=%22Localiza%20CL%22.%22Codreg%22%20%3D%207</v>
      </c>
      <c r="T891" s="108" t="str">
        <f>"100-R-"&amp;Agencia[[#This Row],[Filtro URL]]</f>
        <v>100-R-7</v>
      </c>
      <c r="U891" s="46" t="str">
        <f t="shared" si="369"/>
        <v>#1774B9</v>
      </c>
      <c r="V891" s="93" t="str">
        <f>+Agencia[[#This Row],[idcoleccion]]&amp;"-"&amp;Agencia[[#This Row],[id]]</f>
        <v>990-0880</v>
      </c>
      <c r="W891" s="93">
        <f>+VLOOKUP(Agencia[[#This Row],[Filtro URL]],Estructura!$X$4:$Y$500,2,0)</f>
        <v>99200007</v>
      </c>
      <c r="X891" s="93" t="str">
        <f>+VLOOKUP(Agencia[[#This Row],[tema]],Estructura!$A$4:$C$500,3,0)</f>
        <v>T-999</v>
      </c>
      <c r="Y891" s="93" t="str">
        <f>+VLOOKUP(Agencia[[#This Row],[contenido]],Estructura!$E$4:$G$500,3,0)</f>
        <v>C-1010</v>
      </c>
      <c r="Z891" s="93" t="str">
        <f>+VLOOKUP(Agencia[[#This Row],[Filtro Integrado]],Estructura!$I$4:$K$500,3,0)</f>
        <v>FI-993</v>
      </c>
      <c r="AA891" s="93" t="str">
        <f>+VLOOKUP(Agencia[[#This Row],[Muestra]],Estructura!$M$4:$O$500,3,0)</f>
        <v>M-1053</v>
      </c>
    </row>
    <row r="892" spans="1:27" ht="57.6" x14ac:dyDescent="0.3">
      <c r="A892" s="21" t="s">
        <v>1612</v>
      </c>
      <c r="B892" s="23">
        <f t="shared" si="357"/>
        <v>990</v>
      </c>
      <c r="C892" s="24" t="str">
        <f t="shared" si="358"/>
        <v>Agencia Información</v>
      </c>
      <c r="D892" s="72" t="str">
        <f t="shared" si="370"/>
        <v>Salud</v>
      </c>
      <c r="E892" s="19">
        <v>8</v>
      </c>
      <c r="F892" s="18" t="s">
        <v>948</v>
      </c>
      <c r="G892" s="18" t="s">
        <v>1898</v>
      </c>
      <c r="H892" s="33" t="s">
        <v>16</v>
      </c>
      <c r="I892" s="34" t="s">
        <v>375</v>
      </c>
      <c r="J892" s="9" t="str">
        <f t="shared" si="375"/>
        <v>Ninguno</v>
      </c>
      <c r="K892" s="142" t="s">
        <v>9307</v>
      </c>
      <c r="L892" s="36" t="str">
        <f t="shared" si="371"/>
        <v>Periodo 2012-2018</v>
      </c>
      <c r="M892" s="9" t="str">
        <f t="shared" si="372"/>
        <v>Personas</v>
      </c>
      <c r="N892" s="9" t="str">
        <f t="shared" si="373"/>
        <v>Departamento de Estadísticas e Información de la Salud (DEIS) - Ministerio de Salud</v>
      </c>
      <c r="O892" s="41" t="str">
        <f>+"Evolución de Población en Control en el Programa de VIH/SIDA según Rango Etario en la "&amp;I892&amp;", "&amp;Agencia[[#This Row],[temporalidad]]</f>
        <v>Evolución de Población en Control en el Programa de VIH/SIDA según Rango Etario en la Región del Biobío, Periodo 2012-2018</v>
      </c>
      <c r="P892" s="112" t="s">
        <v>6732</v>
      </c>
      <c r="Q892" s="11" t="str">
        <f t="shared" si="374"/>
        <v>Gráfico de Evolución</v>
      </c>
      <c r="R892" s="148" t="str">
        <f>Agencia[[#This Row],[territorio]]&amp;",VIH,SIDA,enfermedad,transmisión,sexual,casos,personas,población,programa,edad,rango etario,"&amp;Agencia[[#This Row],[coleccion]]&amp;","&amp;Agencia[[#This Row],[sector]]&amp;","&amp;Agencia[[#This Row],[tema]]&amp;","&amp;Agencia[[#This Row],[contenido]]</f>
        <v>Región del Biobío,VIH,SIDA,enfermedad,transmisión,sexual,casos,personas,población,programa,edad,rango etario,Agencia Información,Salud,Programa de VIH/SIDA,Programas de Salud</v>
      </c>
      <c r="S892" s="37" t="str">
        <f>HYPERLINK("https://analytics.zoho.com/open-view/2395394000008463151?ZOHO_CRITERIA=%22Localiza%20CL%22.%22Codreg%22%20%3D%20"&amp;Agencia[[#This Row],[Filtro URL]])</f>
        <v>https://analytics.zoho.com/open-view/2395394000008463151?ZOHO_CRITERIA=%22Localiza%20CL%22.%22Codreg%22%20%3D%208</v>
      </c>
      <c r="T892" s="108" t="str">
        <f>"100-R-"&amp;Agencia[[#This Row],[Filtro URL]]</f>
        <v>100-R-8</v>
      </c>
      <c r="U892" s="46" t="str">
        <f t="shared" si="369"/>
        <v>#1774B9</v>
      </c>
      <c r="V892" s="93" t="str">
        <f>+Agencia[[#This Row],[idcoleccion]]&amp;"-"&amp;Agencia[[#This Row],[id]]</f>
        <v>990-0881</v>
      </c>
      <c r="W892" s="93">
        <f>+VLOOKUP(Agencia[[#This Row],[Filtro URL]],Estructura!$X$4:$Y$500,2,0)</f>
        <v>99200008</v>
      </c>
      <c r="X892" s="93" t="str">
        <f>+VLOOKUP(Agencia[[#This Row],[tema]],Estructura!$A$4:$C$500,3,0)</f>
        <v>T-999</v>
      </c>
      <c r="Y892" s="93" t="str">
        <f>+VLOOKUP(Agencia[[#This Row],[contenido]],Estructura!$E$4:$G$500,3,0)</f>
        <v>C-1010</v>
      </c>
      <c r="Z892" s="93" t="str">
        <f>+VLOOKUP(Agencia[[#This Row],[Filtro Integrado]],Estructura!$I$4:$K$500,3,0)</f>
        <v>FI-993</v>
      </c>
      <c r="AA892" s="93" t="str">
        <f>+VLOOKUP(Agencia[[#This Row],[Muestra]],Estructura!$M$4:$O$500,3,0)</f>
        <v>M-1053</v>
      </c>
    </row>
    <row r="893" spans="1:27" ht="57.6" x14ac:dyDescent="0.3">
      <c r="A893" s="21" t="s">
        <v>1613</v>
      </c>
      <c r="B893" s="23">
        <f t="shared" si="357"/>
        <v>990</v>
      </c>
      <c r="C893" s="24" t="str">
        <f t="shared" si="358"/>
        <v>Agencia Información</v>
      </c>
      <c r="D893" s="72" t="str">
        <f t="shared" si="370"/>
        <v>Salud</v>
      </c>
      <c r="E893" s="19">
        <v>9</v>
      </c>
      <c r="F893" s="18" t="s">
        <v>948</v>
      </c>
      <c r="G893" s="18" t="s">
        <v>1898</v>
      </c>
      <c r="H893" s="33" t="s">
        <v>16</v>
      </c>
      <c r="I893" s="34" t="s">
        <v>376</v>
      </c>
      <c r="J893" s="9" t="str">
        <f t="shared" si="375"/>
        <v>Ninguno</v>
      </c>
      <c r="K893" s="142" t="s">
        <v>9307</v>
      </c>
      <c r="L893" s="36" t="str">
        <f t="shared" si="371"/>
        <v>Periodo 2012-2018</v>
      </c>
      <c r="M893" s="9" t="str">
        <f t="shared" si="372"/>
        <v>Personas</v>
      </c>
      <c r="N893" s="9" t="str">
        <f t="shared" si="373"/>
        <v>Departamento de Estadísticas e Información de la Salud (DEIS) - Ministerio de Salud</v>
      </c>
      <c r="O893" s="41" t="str">
        <f>+"Evolución de Población en Control en el Programa de VIH/SIDA según Rango Etario en la "&amp;I893&amp;", "&amp;Agencia[[#This Row],[temporalidad]]</f>
        <v>Evolución de Población en Control en el Programa de VIH/SIDA según Rango Etario en la Región de La Araucanía, Periodo 2012-2018</v>
      </c>
      <c r="P893" s="112" t="s">
        <v>6674</v>
      </c>
      <c r="Q893" s="11" t="str">
        <f t="shared" si="374"/>
        <v>Gráfico de Evolución</v>
      </c>
      <c r="R893" s="148" t="str">
        <f>Agencia[[#This Row],[territorio]]&amp;",VIH,SIDA,enfermedad,transmisión,sexual,casos,personas,población,programa,edad,rango etario,"&amp;Agencia[[#This Row],[coleccion]]&amp;","&amp;Agencia[[#This Row],[sector]]&amp;","&amp;Agencia[[#This Row],[tema]]&amp;","&amp;Agencia[[#This Row],[contenido]]</f>
        <v>Región de La Araucanía,VIH,SIDA,enfermedad,transmisión,sexual,casos,personas,población,programa,edad,rango etario,Agencia Información,Salud,Programa de VIH/SIDA,Programas de Salud</v>
      </c>
      <c r="S893" s="37" t="str">
        <f>HYPERLINK("https://analytics.zoho.com/open-view/2395394000008463151?ZOHO_CRITERIA=%22Localiza%20CL%22.%22Codreg%22%20%3D%20"&amp;Agencia[[#This Row],[Filtro URL]])</f>
        <v>https://analytics.zoho.com/open-view/2395394000008463151?ZOHO_CRITERIA=%22Localiza%20CL%22.%22Codreg%22%20%3D%209</v>
      </c>
      <c r="T893" s="108" t="str">
        <f>"100-R-"&amp;Agencia[[#This Row],[Filtro URL]]</f>
        <v>100-R-9</v>
      </c>
      <c r="U893" s="46" t="str">
        <f t="shared" si="369"/>
        <v>#1774B9</v>
      </c>
      <c r="V893" s="93" t="str">
        <f>+Agencia[[#This Row],[idcoleccion]]&amp;"-"&amp;Agencia[[#This Row],[id]]</f>
        <v>990-0882</v>
      </c>
      <c r="W893" s="93">
        <f>+VLOOKUP(Agencia[[#This Row],[Filtro URL]],Estructura!$X$4:$Y$500,2,0)</f>
        <v>99200009</v>
      </c>
      <c r="X893" s="93" t="str">
        <f>+VLOOKUP(Agencia[[#This Row],[tema]],Estructura!$A$4:$C$500,3,0)</f>
        <v>T-999</v>
      </c>
      <c r="Y893" s="93" t="str">
        <f>+VLOOKUP(Agencia[[#This Row],[contenido]],Estructura!$E$4:$G$500,3,0)</f>
        <v>C-1010</v>
      </c>
      <c r="Z893" s="93" t="str">
        <f>+VLOOKUP(Agencia[[#This Row],[Filtro Integrado]],Estructura!$I$4:$K$500,3,0)</f>
        <v>FI-993</v>
      </c>
      <c r="AA893" s="93" t="str">
        <f>+VLOOKUP(Agencia[[#This Row],[Muestra]],Estructura!$M$4:$O$500,3,0)</f>
        <v>M-1053</v>
      </c>
    </row>
    <row r="894" spans="1:27" ht="57.6" x14ac:dyDescent="0.3">
      <c r="A894" s="21" t="s">
        <v>1614</v>
      </c>
      <c r="B894" s="23">
        <f t="shared" si="357"/>
        <v>990</v>
      </c>
      <c r="C894" s="24" t="str">
        <f t="shared" si="358"/>
        <v>Agencia Información</v>
      </c>
      <c r="D894" s="72" t="str">
        <f t="shared" si="370"/>
        <v>Salud</v>
      </c>
      <c r="E894" s="19">
        <v>10</v>
      </c>
      <c r="F894" s="18" t="s">
        <v>948</v>
      </c>
      <c r="G894" s="18" t="s">
        <v>1898</v>
      </c>
      <c r="H894" s="33" t="s">
        <v>16</v>
      </c>
      <c r="I894" s="34" t="s">
        <v>377</v>
      </c>
      <c r="J894" s="9" t="str">
        <f t="shared" si="375"/>
        <v>Ninguno</v>
      </c>
      <c r="K894" s="142" t="s">
        <v>9307</v>
      </c>
      <c r="L894" s="36" t="str">
        <f t="shared" si="371"/>
        <v>Periodo 2012-2018</v>
      </c>
      <c r="M894" s="9" t="str">
        <f t="shared" si="372"/>
        <v>Personas</v>
      </c>
      <c r="N894" s="9" t="str">
        <f t="shared" si="373"/>
        <v>Departamento de Estadísticas e Información de la Salud (DEIS) - Ministerio de Salud</v>
      </c>
      <c r="O894" s="41" t="str">
        <f>+"Evolución de Población en Control en el Programa de VIH/SIDA según Rango Etario en la "&amp;I894&amp;", "&amp;Agencia[[#This Row],[temporalidad]]</f>
        <v>Evolución de Población en Control en el Programa de VIH/SIDA según Rango Etario en la Región de Los Lagos, Periodo 2012-2018</v>
      </c>
      <c r="P894" s="112" t="s">
        <v>6675</v>
      </c>
      <c r="Q894" s="11" t="str">
        <f t="shared" si="374"/>
        <v>Gráfico de Evolución</v>
      </c>
      <c r="R894" s="148" t="str">
        <f>Agencia[[#This Row],[territorio]]&amp;",VIH,SIDA,enfermedad,transmisión,sexual,casos,personas,población,programa,edad,rango etario,"&amp;Agencia[[#This Row],[coleccion]]&amp;","&amp;Agencia[[#This Row],[sector]]&amp;","&amp;Agencia[[#This Row],[tema]]&amp;","&amp;Agencia[[#This Row],[contenido]]</f>
        <v>Región de Los Lagos,VIH,SIDA,enfermedad,transmisión,sexual,casos,personas,población,programa,edad,rango etario,Agencia Información,Salud,Programa de VIH/SIDA,Programas de Salud</v>
      </c>
      <c r="S894" s="37" t="str">
        <f>HYPERLINK("https://analytics.zoho.com/open-view/2395394000008463151?ZOHO_CRITERIA=%22Localiza%20CL%22.%22Codreg%22%20%3D%20"&amp;Agencia[[#This Row],[Filtro URL]])</f>
        <v>https://analytics.zoho.com/open-view/2395394000008463151?ZOHO_CRITERIA=%22Localiza%20CL%22.%22Codreg%22%20%3D%2010</v>
      </c>
      <c r="T894" s="108" t="str">
        <f>"100-R-"&amp;Agencia[[#This Row],[Filtro URL]]</f>
        <v>100-R-10</v>
      </c>
      <c r="U894" s="46" t="str">
        <f t="shared" si="369"/>
        <v>#1774B9</v>
      </c>
      <c r="V894" s="93" t="str">
        <f>+Agencia[[#This Row],[idcoleccion]]&amp;"-"&amp;Agencia[[#This Row],[id]]</f>
        <v>990-0883</v>
      </c>
      <c r="W894" s="93">
        <f>+VLOOKUP(Agencia[[#This Row],[Filtro URL]],Estructura!$X$4:$Y$500,2,0)</f>
        <v>99200010</v>
      </c>
      <c r="X894" s="93" t="str">
        <f>+VLOOKUP(Agencia[[#This Row],[tema]],Estructura!$A$4:$C$500,3,0)</f>
        <v>T-999</v>
      </c>
      <c r="Y894" s="93" t="str">
        <f>+VLOOKUP(Agencia[[#This Row],[contenido]],Estructura!$E$4:$G$500,3,0)</f>
        <v>C-1010</v>
      </c>
      <c r="Z894" s="93" t="str">
        <f>+VLOOKUP(Agencia[[#This Row],[Filtro Integrado]],Estructura!$I$4:$K$500,3,0)</f>
        <v>FI-993</v>
      </c>
      <c r="AA894" s="93" t="str">
        <f>+VLOOKUP(Agencia[[#This Row],[Muestra]],Estructura!$M$4:$O$500,3,0)</f>
        <v>M-1053</v>
      </c>
    </row>
    <row r="895" spans="1:27" ht="57.6" x14ac:dyDescent="0.3">
      <c r="A895" s="21" t="s">
        <v>1615</v>
      </c>
      <c r="B895" s="23">
        <f t="shared" si="357"/>
        <v>990</v>
      </c>
      <c r="C895" s="24" t="str">
        <f t="shared" si="358"/>
        <v>Agencia Información</v>
      </c>
      <c r="D895" s="72" t="str">
        <f t="shared" si="370"/>
        <v>Salud</v>
      </c>
      <c r="E895" s="19">
        <v>11</v>
      </c>
      <c r="F895" s="18" t="s">
        <v>948</v>
      </c>
      <c r="G895" s="18" t="s">
        <v>1898</v>
      </c>
      <c r="H895" s="33" t="s">
        <v>16</v>
      </c>
      <c r="I895" s="34" t="s">
        <v>378</v>
      </c>
      <c r="J895" s="9" t="str">
        <f t="shared" si="375"/>
        <v>Ninguno</v>
      </c>
      <c r="K895" s="142" t="s">
        <v>9307</v>
      </c>
      <c r="L895" s="36" t="str">
        <f t="shared" si="371"/>
        <v>Periodo 2012-2018</v>
      </c>
      <c r="M895" s="9" t="str">
        <f t="shared" si="372"/>
        <v>Personas</v>
      </c>
      <c r="N895" s="9" t="str">
        <f t="shared" si="373"/>
        <v>Departamento de Estadísticas e Información de la Salud (DEIS) - Ministerio de Salud</v>
      </c>
      <c r="O895" s="41" t="str">
        <f>+"Evolución de Población en Control en el Programa de VIH/SIDA según Rango Etario en la "&amp;I895&amp;", "&amp;Agencia[[#This Row],[temporalidad]]</f>
        <v>Evolución de Población en Control en el Programa de VIH/SIDA según Rango Etario en la Región de Aysén, Periodo 2012-2018</v>
      </c>
      <c r="P895" s="112" t="s">
        <v>6676</v>
      </c>
      <c r="Q895" s="11" t="str">
        <f t="shared" si="374"/>
        <v>Gráfico de Evolución</v>
      </c>
      <c r="R895" s="148" t="str">
        <f>Agencia[[#This Row],[territorio]]&amp;",VIH,SIDA,enfermedad,transmisión,sexual,casos,personas,población,programa,edad,rango etario,"&amp;Agencia[[#This Row],[coleccion]]&amp;","&amp;Agencia[[#This Row],[sector]]&amp;","&amp;Agencia[[#This Row],[tema]]&amp;","&amp;Agencia[[#This Row],[contenido]]</f>
        <v>Región de Aysén,VIH,SIDA,enfermedad,transmisión,sexual,casos,personas,población,programa,edad,rango etario,Agencia Información,Salud,Programa de VIH/SIDA,Programas de Salud</v>
      </c>
      <c r="S895" s="37" t="str">
        <f>HYPERLINK("https://analytics.zoho.com/open-view/2395394000008463151?ZOHO_CRITERIA=%22Localiza%20CL%22.%22Codreg%22%20%3D%20"&amp;Agencia[[#This Row],[Filtro URL]])</f>
        <v>https://analytics.zoho.com/open-view/2395394000008463151?ZOHO_CRITERIA=%22Localiza%20CL%22.%22Codreg%22%20%3D%2011</v>
      </c>
      <c r="T895" s="108" t="str">
        <f>"100-R-"&amp;Agencia[[#This Row],[Filtro URL]]</f>
        <v>100-R-11</v>
      </c>
      <c r="U895" s="46" t="str">
        <f t="shared" si="369"/>
        <v>#1774B9</v>
      </c>
      <c r="V895" s="93" t="str">
        <f>+Agencia[[#This Row],[idcoleccion]]&amp;"-"&amp;Agencia[[#This Row],[id]]</f>
        <v>990-0884</v>
      </c>
      <c r="W895" s="93">
        <f>+VLOOKUP(Agencia[[#This Row],[Filtro URL]],Estructura!$X$4:$Y$500,2,0)</f>
        <v>99200011</v>
      </c>
      <c r="X895" s="93" t="str">
        <f>+VLOOKUP(Agencia[[#This Row],[tema]],Estructura!$A$4:$C$500,3,0)</f>
        <v>T-999</v>
      </c>
      <c r="Y895" s="93" t="str">
        <f>+VLOOKUP(Agencia[[#This Row],[contenido]],Estructura!$E$4:$G$500,3,0)</f>
        <v>C-1010</v>
      </c>
      <c r="Z895" s="93" t="str">
        <f>+VLOOKUP(Agencia[[#This Row],[Filtro Integrado]],Estructura!$I$4:$K$500,3,0)</f>
        <v>FI-993</v>
      </c>
      <c r="AA895" s="93" t="str">
        <f>+VLOOKUP(Agencia[[#This Row],[Muestra]],Estructura!$M$4:$O$500,3,0)</f>
        <v>M-1053</v>
      </c>
    </row>
    <row r="896" spans="1:27" ht="61.2" x14ac:dyDescent="0.3">
      <c r="A896" s="21" t="s">
        <v>1616</v>
      </c>
      <c r="B896" s="23">
        <f t="shared" si="357"/>
        <v>990</v>
      </c>
      <c r="C896" s="24" t="str">
        <f t="shared" si="358"/>
        <v>Agencia Información</v>
      </c>
      <c r="D896" s="72" t="str">
        <f t="shared" si="370"/>
        <v>Salud</v>
      </c>
      <c r="E896" s="19">
        <v>12</v>
      </c>
      <c r="F896" s="18" t="s">
        <v>948</v>
      </c>
      <c r="G896" s="18" t="s">
        <v>1898</v>
      </c>
      <c r="H896" s="33" t="s">
        <v>16</v>
      </c>
      <c r="I896" s="34" t="s">
        <v>379</v>
      </c>
      <c r="J896" s="9" t="str">
        <f t="shared" si="375"/>
        <v>Ninguno</v>
      </c>
      <c r="K896" s="142" t="s">
        <v>9307</v>
      </c>
      <c r="L896" s="36" t="str">
        <f t="shared" si="371"/>
        <v>Periodo 2012-2018</v>
      </c>
      <c r="M896" s="9" t="str">
        <f t="shared" si="372"/>
        <v>Personas</v>
      </c>
      <c r="N896" s="9" t="str">
        <f t="shared" si="373"/>
        <v>Departamento de Estadísticas e Información de la Salud (DEIS) - Ministerio de Salud</v>
      </c>
      <c r="O896" s="41" t="str">
        <f>+"Evolución de Población en Control en el Programa de VIH/SIDA según Rango Etario en la "&amp;I896&amp;", "&amp;Agencia[[#This Row],[temporalidad]]</f>
        <v>Evolución de Población en Control en el Programa de VIH/SIDA según Rango Etario en la Región de Magallanes, Periodo 2012-2018</v>
      </c>
      <c r="P896" s="112" t="s">
        <v>6677</v>
      </c>
      <c r="Q896" s="11" t="str">
        <f t="shared" si="374"/>
        <v>Gráfico de Evolución</v>
      </c>
      <c r="R896" s="148" t="str">
        <f>Agencia[[#This Row],[territorio]]&amp;",VIH,SIDA,enfermedad,transmisión,sexual,casos,personas,población,programa,edad,rango etario,"&amp;Agencia[[#This Row],[coleccion]]&amp;","&amp;Agencia[[#This Row],[sector]]&amp;","&amp;Agencia[[#This Row],[tema]]&amp;","&amp;Agencia[[#This Row],[contenido]]</f>
        <v>Región de Magallanes,VIH,SIDA,enfermedad,transmisión,sexual,casos,personas,población,programa,edad,rango etario,Agencia Información,Salud,Programa de VIH/SIDA,Programas de Salud</v>
      </c>
      <c r="S896" s="37" t="str">
        <f>HYPERLINK("https://analytics.zoho.com/open-view/2395394000008463151?ZOHO_CRITERIA=%22Localiza%20CL%22.%22Codreg%22%20%3D%20"&amp;Agencia[[#This Row],[Filtro URL]])</f>
        <v>https://analytics.zoho.com/open-view/2395394000008463151?ZOHO_CRITERIA=%22Localiza%20CL%22.%22Codreg%22%20%3D%2012</v>
      </c>
      <c r="T896" s="108" t="str">
        <f>"100-R-"&amp;Agencia[[#This Row],[Filtro URL]]</f>
        <v>100-R-12</v>
      </c>
      <c r="U896" s="46" t="str">
        <f t="shared" si="369"/>
        <v>#1774B9</v>
      </c>
      <c r="V896" s="93" t="str">
        <f>+Agencia[[#This Row],[idcoleccion]]&amp;"-"&amp;Agencia[[#This Row],[id]]</f>
        <v>990-0885</v>
      </c>
      <c r="W896" s="93">
        <f>+VLOOKUP(Agencia[[#This Row],[Filtro URL]],Estructura!$X$4:$Y$500,2,0)</f>
        <v>99200012</v>
      </c>
      <c r="X896" s="93" t="str">
        <f>+VLOOKUP(Agencia[[#This Row],[tema]],Estructura!$A$4:$C$500,3,0)</f>
        <v>T-999</v>
      </c>
      <c r="Y896" s="93" t="str">
        <f>+VLOOKUP(Agencia[[#This Row],[contenido]],Estructura!$E$4:$G$500,3,0)</f>
        <v>C-1010</v>
      </c>
      <c r="Z896" s="93" t="str">
        <f>+VLOOKUP(Agencia[[#This Row],[Filtro Integrado]],Estructura!$I$4:$K$500,3,0)</f>
        <v>FI-993</v>
      </c>
      <c r="AA896" s="93" t="str">
        <f>+VLOOKUP(Agencia[[#This Row],[Muestra]],Estructura!$M$4:$O$500,3,0)</f>
        <v>M-1053</v>
      </c>
    </row>
    <row r="897" spans="1:27" ht="61.2" x14ac:dyDescent="0.3">
      <c r="A897" s="21" t="s">
        <v>1617</v>
      </c>
      <c r="B897" s="23">
        <f t="shared" si="357"/>
        <v>990</v>
      </c>
      <c r="C897" s="24" t="str">
        <f t="shared" si="358"/>
        <v>Agencia Información</v>
      </c>
      <c r="D897" s="72" t="str">
        <f t="shared" si="370"/>
        <v>Salud</v>
      </c>
      <c r="E897" s="19">
        <v>13</v>
      </c>
      <c r="F897" s="18" t="s">
        <v>948</v>
      </c>
      <c r="G897" s="18" t="s">
        <v>1898</v>
      </c>
      <c r="H897" s="33" t="s">
        <v>16</v>
      </c>
      <c r="I897" s="34" t="s">
        <v>380</v>
      </c>
      <c r="J897" s="9" t="str">
        <f t="shared" si="375"/>
        <v>Ninguno</v>
      </c>
      <c r="K897" s="142" t="s">
        <v>9307</v>
      </c>
      <c r="L897" s="36" t="str">
        <f t="shared" si="371"/>
        <v>Periodo 2012-2018</v>
      </c>
      <c r="M897" s="9" t="str">
        <f t="shared" si="372"/>
        <v>Personas</v>
      </c>
      <c r="N897" s="9" t="str">
        <f t="shared" si="373"/>
        <v>Departamento de Estadísticas e Información de la Salud (DEIS) - Ministerio de Salud</v>
      </c>
      <c r="O897" s="41" t="str">
        <f>+"Evolución de Población en Control en el Programa de VIH/SIDA según Rango Etario en la "&amp;I897&amp;", "&amp;Agencia[[#This Row],[temporalidad]]</f>
        <v>Evolución de Población en Control en el Programa de VIH/SIDA según Rango Etario en la Región Metropolitana, Periodo 2012-2018</v>
      </c>
      <c r="P897" s="112" t="s">
        <v>6678</v>
      </c>
      <c r="Q897" s="11" t="str">
        <f t="shared" si="374"/>
        <v>Gráfico de Evolución</v>
      </c>
      <c r="R897" s="148" t="str">
        <f>Agencia[[#This Row],[territorio]]&amp;",VIH,SIDA,enfermedad,transmisión,sexual,casos,personas,población,programa,edad,rango etario,"&amp;Agencia[[#This Row],[coleccion]]&amp;","&amp;Agencia[[#This Row],[sector]]&amp;","&amp;Agencia[[#This Row],[tema]]&amp;","&amp;Agencia[[#This Row],[contenido]]</f>
        <v>Región Metropolitana,VIH,SIDA,enfermedad,transmisión,sexual,casos,personas,población,programa,edad,rango etario,Agencia Información,Salud,Programa de VIH/SIDA,Programas de Salud</v>
      </c>
      <c r="S897" s="37" t="str">
        <f>HYPERLINK("https://analytics.zoho.com/open-view/2395394000008463151?ZOHO_CRITERIA=%22Localiza%20CL%22.%22Codreg%22%20%3D%20"&amp;Agencia[[#This Row],[Filtro URL]])</f>
        <v>https://analytics.zoho.com/open-view/2395394000008463151?ZOHO_CRITERIA=%22Localiza%20CL%22.%22Codreg%22%20%3D%2013</v>
      </c>
      <c r="T897" s="108" t="str">
        <f>"200-R-"&amp;Agencia[[#This Row],[Filtro URL]]</f>
        <v>200-R-13</v>
      </c>
      <c r="U897" s="46" t="str">
        <f t="shared" si="369"/>
        <v>#1774B9</v>
      </c>
      <c r="V897" s="93" t="str">
        <f>+Agencia[[#This Row],[idcoleccion]]&amp;"-"&amp;Agencia[[#This Row],[id]]</f>
        <v>990-0886</v>
      </c>
      <c r="W897" s="93">
        <f>+VLOOKUP(Agencia[[#This Row],[Filtro URL]],Estructura!$X$4:$Y$500,2,0)</f>
        <v>99200013</v>
      </c>
      <c r="X897" s="93" t="str">
        <f>+VLOOKUP(Agencia[[#This Row],[tema]],Estructura!$A$4:$C$500,3,0)</f>
        <v>T-999</v>
      </c>
      <c r="Y897" s="93" t="str">
        <f>+VLOOKUP(Agencia[[#This Row],[contenido]],Estructura!$E$4:$G$500,3,0)</f>
        <v>C-1010</v>
      </c>
      <c r="Z897" s="93" t="str">
        <f>+VLOOKUP(Agencia[[#This Row],[Filtro Integrado]],Estructura!$I$4:$K$500,3,0)</f>
        <v>FI-993</v>
      </c>
      <c r="AA897" s="93" t="str">
        <f>+VLOOKUP(Agencia[[#This Row],[Muestra]],Estructura!$M$4:$O$500,3,0)</f>
        <v>M-1053</v>
      </c>
    </row>
    <row r="898" spans="1:27" ht="57.6" x14ac:dyDescent="0.3">
      <c r="A898" s="21" t="s">
        <v>1618</v>
      </c>
      <c r="B898" s="23">
        <f t="shared" si="357"/>
        <v>990</v>
      </c>
      <c r="C898" s="24" t="str">
        <f t="shared" si="358"/>
        <v>Agencia Información</v>
      </c>
      <c r="D898" s="72" t="str">
        <f t="shared" si="370"/>
        <v>Salud</v>
      </c>
      <c r="E898" s="19">
        <v>14</v>
      </c>
      <c r="F898" s="18" t="s">
        <v>948</v>
      </c>
      <c r="G898" s="18" t="s">
        <v>1898</v>
      </c>
      <c r="H898" s="33" t="s">
        <v>16</v>
      </c>
      <c r="I898" s="34" t="s">
        <v>381</v>
      </c>
      <c r="J898" s="9" t="str">
        <f t="shared" si="375"/>
        <v>Ninguno</v>
      </c>
      <c r="K898" s="142" t="s">
        <v>9307</v>
      </c>
      <c r="L898" s="36" t="str">
        <f t="shared" si="371"/>
        <v>Periodo 2012-2018</v>
      </c>
      <c r="M898" s="9" t="str">
        <f t="shared" si="372"/>
        <v>Personas</v>
      </c>
      <c r="N898" s="9" t="str">
        <f t="shared" si="373"/>
        <v>Departamento de Estadísticas e Información de la Salud (DEIS) - Ministerio de Salud</v>
      </c>
      <c r="O898" s="41" t="str">
        <f>+"Evolución de Población en Control en el Programa de VIH/SIDA según Rango Etario en la "&amp;I898&amp;", "&amp;Agencia[[#This Row],[temporalidad]]</f>
        <v>Evolución de Población en Control en el Programa de VIH/SIDA según Rango Etario en la Región de Los Ríos, Periodo 2012-2018</v>
      </c>
      <c r="P898" s="112" t="s">
        <v>6679</v>
      </c>
      <c r="Q898" s="11" t="str">
        <f t="shared" si="374"/>
        <v>Gráfico de Evolución</v>
      </c>
      <c r="R898" s="148" t="str">
        <f>Agencia[[#This Row],[territorio]]&amp;",VIH,SIDA,enfermedad,transmisión,sexual,casos,personas,población,programa,edad,rango etario,"&amp;Agencia[[#This Row],[coleccion]]&amp;","&amp;Agencia[[#This Row],[sector]]&amp;","&amp;Agencia[[#This Row],[tema]]&amp;","&amp;Agencia[[#This Row],[contenido]]</f>
        <v>Región de Los Ríos,VIH,SIDA,enfermedad,transmisión,sexual,casos,personas,población,programa,edad,rango etario,Agencia Información,Salud,Programa de VIH/SIDA,Programas de Salud</v>
      </c>
      <c r="S898" s="37" t="str">
        <f>HYPERLINK("https://analytics.zoho.com/open-view/2395394000008463151?ZOHO_CRITERIA=%22Localiza%20CL%22.%22Codreg%22%20%3D%20"&amp;Agencia[[#This Row],[Filtro URL]])</f>
        <v>https://analytics.zoho.com/open-view/2395394000008463151?ZOHO_CRITERIA=%22Localiza%20CL%22.%22Codreg%22%20%3D%2014</v>
      </c>
      <c r="T898" s="108" t="str">
        <f>"100-R-"&amp;Agencia[[#This Row],[Filtro URL]]</f>
        <v>100-R-14</v>
      </c>
      <c r="U898" s="46" t="str">
        <f t="shared" si="369"/>
        <v>#1774B9</v>
      </c>
      <c r="V898" s="93" t="str">
        <f>+Agencia[[#This Row],[idcoleccion]]&amp;"-"&amp;Agencia[[#This Row],[id]]</f>
        <v>990-0887</v>
      </c>
      <c r="W898" s="93">
        <f>+VLOOKUP(Agencia[[#This Row],[Filtro URL]],Estructura!$X$4:$Y$500,2,0)</f>
        <v>99200014</v>
      </c>
      <c r="X898" s="93" t="str">
        <f>+VLOOKUP(Agencia[[#This Row],[tema]],Estructura!$A$4:$C$500,3,0)</f>
        <v>T-999</v>
      </c>
      <c r="Y898" s="93" t="str">
        <f>+VLOOKUP(Agencia[[#This Row],[contenido]],Estructura!$E$4:$G$500,3,0)</f>
        <v>C-1010</v>
      </c>
      <c r="Z898" s="93" t="str">
        <f>+VLOOKUP(Agencia[[#This Row],[Filtro Integrado]],Estructura!$I$4:$K$500,3,0)</f>
        <v>FI-993</v>
      </c>
      <c r="AA898" s="93" t="str">
        <f>+VLOOKUP(Agencia[[#This Row],[Muestra]],Estructura!$M$4:$O$500,3,0)</f>
        <v>M-1053</v>
      </c>
    </row>
    <row r="899" spans="1:27" ht="61.2" x14ac:dyDescent="0.3">
      <c r="A899" s="21" t="s">
        <v>1619</v>
      </c>
      <c r="B899" s="23">
        <f t="shared" si="357"/>
        <v>990</v>
      </c>
      <c r="C899" s="24" t="str">
        <f t="shared" si="358"/>
        <v>Agencia Información</v>
      </c>
      <c r="D899" s="72" t="str">
        <f t="shared" si="370"/>
        <v>Salud</v>
      </c>
      <c r="E899" s="19">
        <v>15</v>
      </c>
      <c r="F899" s="18" t="s">
        <v>948</v>
      </c>
      <c r="G899" s="18" t="s">
        <v>1898</v>
      </c>
      <c r="H899" s="33" t="s">
        <v>16</v>
      </c>
      <c r="I899" s="34" t="s">
        <v>382</v>
      </c>
      <c r="J899" s="9" t="str">
        <f t="shared" si="375"/>
        <v>Ninguno</v>
      </c>
      <c r="K899" s="142" t="s">
        <v>9307</v>
      </c>
      <c r="L899" s="36" t="str">
        <f t="shared" si="371"/>
        <v>Periodo 2012-2018</v>
      </c>
      <c r="M899" s="9" t="str">
        <f t="shared" si="372"/>
        <v>Personas</v>
      </c>
      <c r="N899" s="9" t="str">
        <f t="shared" si="373"/>
        <v>Departamento de Estadísticas e Información de la Salud (DEIS) - Ministerio de Salud</v>
      </c>
      <c r="O899" s="41" t="str">
        <f>+"Evolución de Población en Control en el Programa de VIH/SIDA según Rango Etario en la "&amp;I899&amp;", "&amp;Agencia[[#This Row],[temporalidad]]</f>
        <v>Evolución de Población en Control en el Programa de VIH/SIDA según Rango Etario en la Región de Arica y Parinacota, Periodo 2012-2018</v>
      </c>
      <c r="P899" s="112" t="s">
        <v>6680</v>
      </c>
      <c r="Q899" s="11" t="str">
        <f t="shared" si="374"/>
        <v>Gráfico de Evolución</v>
      </c>
      <c r="R899" s="148" t="str">
        <f>Agencia[[#This Row],[territorio]]&amp;",VIH,SIDA,enfermedad,transmisión,sexual,casos,personas,población,programa,edad,rango etario,"&amp;Agencia[[#This Row],[coleccion]]&amp;","&amp;Agencia[[#This Row],[sector]]&amp;","&amp;Agencia[[#This Row],[tema]]&amp;","&amp;Agencia[[#This Row],[contenido]]</f>
        <v>Región de Arica y Parinacota,VIH,SIDA,enfermedad,transmisión,sexual,casos,personas,población,programa,edad,rango etario,Agencia Información,Salud,Programa de VIH/SIDA,Programas de Salud</v>
      </c>
      <c r="S899" s="37" t="str">
        <f>HYPERLINK("https://analytics.zoho.com/open-view/2395394000008463151?ZOHO_CRITERIA=%22Localiza%20CL%22.%22Codreg%22%20%3D%20"&amp;Agencia[[#This Row],[Filtro URL]])</f>
        <v>https://analytics.zoho.com/open-view/2395394000008463151?ZOHO_CRITERIA=%22Localiza%20CL%22.%22Codreg%22%20%3D%2015</v>
      </c>
      <c r="T899" s="108" t="str">
        <f>"100-R-"&amp;Agencia[[#This Row],[Filtro URL]]</f>
        <v>100-R-15</v>
      </c>
      <c r="U899" s="46" t="str">
        <f t="shared" si="369"/>
        <v>#1774B9</v>
      </c>
      <c r="V899" s="93" t="str">
        <f>+Agencia[[#This Row],[idcoleccion]]&amp;"-"&amp;Agencia[[#This Row],[id]]</f>
        <v>990-0888</v>
      </c>
      <c r="W899" s="93">
        <f>+VLOOKUP(Agencia[[#This Row],[Filtro URL]],Estructura!$X$4:$Y$500,2,0)</f>
        <v>99200015</v>
      </c>
      <c r="X899" s="93" t="str">
        <f>+VLOOKUP(Agencia[[#This Row],[tema]],Estructura!$A$4:$C$500,3,0)</f>
        <v>T-999</v>
      </c>
      <c r="Y899" s="93" t="str">
        <f>+VLOOKUP(Agencia[[#This Row],[contenido]],Estructura!$E$4:$G$500,3,0)</f>
        <v>C-1010</v>
      </c>
      <c r="Z899" s="93" t="str">
        <f>+VLOOKUP(Agencia[[#This Row],[Filtro Integrado]],Estructura!$I$4:$K$500,3,0)</f>
        <v>FI-993</v>
      </c>
      <c r="AA899" s="93" t="str">
        <f>+VLOOKUP(Agencia[[#This Row],[Muestra]],Estructura!$M$4:$O$500,3,0)</f>
        <v>M-1053</v>
      </c>
    </row>
    <row r="900" spans="1:27" ht="57.6" x14ac:dyDescent="0.3">
      <c r="A900" s="21" t="s">
        <v>1620</v>
      </c>
      <c r="B900" s="23">
        <f t="shared" si="357"/>
        <v>990</v>
      </c>
      <c r="C900" s="24" t="str">
        <f t="shared" si="358"/>
        <v>Agencia Información</v>
      </c>
      <c r="D900" s="72" t="str">
        <f t="shared" si="370"/>
        <v>Salud</v>
      </c>
      <c r="E900" s="19">
        <v>16</v>
      </c>
      <c r="F900" s="18" t="s">
        <v>948</v>
      </c>
      <c r="G900" s="18" t="s">
        <v>1898</v>
      </c>
      <c r="H900" s="33" t="s">
        <v>16</v>
      </c>
      <c r="I900" s="34" t="s">
        <v>383</v>
      </c>
      <c r="J900" s="9" t="str">
        <f t="shared" si="375"/>
        <v>Ninguno</v>
      </c>
      <c r="K900" s="142" t="s">
        <v>9307</v>
      </c>
      <c r="L900" s="36" t="str">
        <f t="shared" si="371"/>
        <v>Periodo 2012-2018</v>
      </c>
      <c r="M900" s="9" t="str">
        <f t="shared" si="372"/>
        <v>Personas</v>
      </c>
      <c r="N900" s="9" t="str">
        <f t="shared" si="373"/>
        <v>Departamento de Estadísticas e Información de la Salud (DEIS) - Ministerio de Salud</v>
      </c>
      <c r="O900" s="41" t="str">
        <f>+"Evolución de Población en Control en el Programa de VIH/SIDA según Rango Etario en la "&amp;I900&amp;", "&amp;Agencia[[#This Row],[temporalidad]]</f>
        <v>Evolución de Población en Control en el Programa de VIH/SIDA según Rango Etario en la Región de Ñuble, Periodo 2012-2018</v>
      </c>
      <c r="P900" s="112" t="s">
        <v>6681</v>
      </c>
      <c r="Q900" s="11" t="str">
        <f t="shared" si="374"/>
        <v>Gráfico de Evolución</v>
      </c>
      <c r="R900" s="148" t="str">
        <f>Agencia[[#This Row],[territorio]]&amp;",VIH,SIDA,enfermedad,transmisión,sexual,casos,personas,población,programa,edad,rango etario,"&amp;Agencia[[#This Row],[coleccion]]&amp;","&amp;Agencia[[#This Row],[sector]]&amp;","&amp;Agencia[[#This Row],[tema]]&amp;","&amp;Agencia[[#This Row],[contenido]]</f>
        <v>Región de Ñuble,VIH,SIDA,enfermedad,transmisión,sexual,casos,personas,población,programa,edad,rango etario,Agencia Información,Salud,Programa de VIH/SIDA,Programas de Salud</v>
      </c>
      <c r="S900" s="37" t="str">
        <f>HYPERLINK("https://analytics.zoho.com/open-view/2395394000008463151?ZOHO_CRITERIA=%22Localiza%20CL%22.%22Codreg%22%20%3D%20"&amp;Agencia[[#This Row],[Filtro URL]])</f>
        <v>https://analytics.zoho.com/open-view/2395394000008463151?ZOHO_CRITERIA=%22Localiza%20CL%22.%22Codreg%22%20%3D%2016</v>
      </c>
      <c r="T900" s="108" t="str">
        <f>"100-R-"&amp;Agencia[[#This Row],[Filtro URL]]</f>
        <v>100-R-16</v>
      </c>
      <c r="U900" s="46" t="str">
        <f t="shared" si="369"/>
        <v>#1774B9</v>
      </c>
      <c r="V900" s="93" t="str">
        <f>+Agencia[[#This Row],[idcoleccion]]&amp;"-"&amp;Agencia[[#This Row],[id]]</f>
        <v>990-0889</v>
      </c>
      <c r="W900" s="93">
        <f>+VLOOKUP(Agencia[[#This Row],[Filtro URL]],Estructura!$X$4:$Y$500,2,0)</f>
        <v>99200016</v>
      </c>
      <c r="X900" s="93" t="str">
        <f>+VLOOKUP(Agencia[[#This Row],[tema]],Estructura!$A$4:$C$500,3,0)</f>
        <v>T-999</v>
      </c>
      <c r="Y900" s="93" t="str">
        <f>+VLOOKUP(Agencia[[#This Row],[contenido]],Estructura!$E$4:$G$500,3,0)</f>
        <v>C-1010</v>
      </c>
      <c r="Z900" s="93" t="str">
        <f>+VLOOKUP(Agencia[[#This Row],[Filtro Integrado]],Estructura!$I$4:$K$500,3,0)</f>
        <v>FI-993</v>
      </c>
      <c r="AA900" s="93" t="str">
        <f>+VLOOKUP(Agencia[[#This Row],[Muestra]],Estructura!$M$4:$O$500,3,0)</f>
        <v>M-1053</v>
      </c>
    </row>
    <row r="901" spans="1:27" ht="30.6" x14ac:dyDescent="0.3">
      <c r="A901" s="21" t="s">
        <v>1621</v>
      </c>
      <c r="B901" s="23">
        <f t="shared" si="357"/>
        <v>990</v>
      </c>
      <c r="C901" s="24" t="str">
        <f t="shared" si="358"/>
        <v>Agencia Información</v>
      </c>
      <c r="D901" s="72" t="s">
        <v>603</v>
      </c>
      <c r="E901" s="14">
        <v>0</v>
      </c>
      <c r="F901" s="18" t="s">
        <v>1517</v>
      </c>
      <c r="G901" s="18" t="s">
        <v>1896</v>
      </c>
      <c r="H901" s="31" t="s">
        <v>20</v>
      </c>
      <c r="I901" s="32" t="s">
        <v>15</v>
      </c>
      <c r="J901" s="9" t="s">
        <v>16</v>
      </c>
      <c r="K901" s="9" t="s">
        <v>1517</v>
      </c>
      <c r="L901" s="36" t="s">
        <v>596</v>
      </c>
      <c r="M901" s="9" t="s">
        <v>606</v>
      </c>
      <c r="N901" s="9" t="s">
        <v>607</v>
      </c>
      <c r="O901" s="41" t="str">
        <f>+"Mapa de la Cantidad de Espacios Culturales por Comuna en "&amp;I901&amp;", "&amp;Agencia[[#This Row],[temporalidad]]</f>
        <v>Mapa de la Cantidad de Espacios Culturales por Comuna en Chile, Año 2021</v>
      </c>
      <c r="P901" s="112" t="s">
        <v>1518</v>
      </c>
      <c r="Q901" s="11" t="s">
        <v>794</v>
      </c>
      <c r="R901" s="20" t="str">
        <f>Agencia[[#This Row],[territorio]]&amp;",espacio,cultural,infraestructura,número,cantidad,"&amp;Agencia[[#This Row],[coleccion]]&amp;","&amp;Agencia[[#This Row],[sector]]&amp;","&amp;Agencia[[#This Row],[tema]]&amp;","&amp;Agencia[[#This Row],[contenido]]</f>
        <v>Chile,espacio,cultural,infraestructura,número,cantidad,Agencia Información,Arte y cultura,Espacios culturales,Cultura</v>
      </c>
      <c r="S901" s="37" t="s">
        <v>1519</v>
      </c>
      <c r="T901" s="108" t="s">
        <v>957</v>
      </c>
      <c r="U901" s="46" t="str">
        <f t="shared" si="369"/>
        <v>#1774B9</v>
      </c>
      <c r="V901" s="93" t="str">
        <f>+Agencia[[#This Row],[idcoleccion]]&amp;"-"&amp;Agencia[[#This Row],[id]]</f>
        <v>990-0890</v>
      </c>
      <c r="W901" s="93">
        <f>+VLOOKUP(Agencia[[#This Row],[Filtro URL]],Estructura!$X$4:$Y$500,2,0)</f>
        <v>99100000</v>
      </c>
      <c r="X901" s="93" t="str">
        <f>+VLOOKUP(Agencia[[#This Row],[tema]],Estructura!$A$4:$C$500,3,0)</f>
        <v>T-1017</v>
      </c>
      <c r="Y901" s="93" t="str">
        <f>+VLOOKUP(Agencia[[#This Row],[contenido]],Estructura!$E$4:$G$500,3,0)</f>
        <v>C-1008</v>
      </c>
      <c r="Z901" s="93" t="str">
        <f>+VLOOKUP(Agencia[[#This Row],[Filtro Integrado]],Estructura!$I$4:$K$500,3,0)</f>
        <v>FI-992</v>
      </c>
      <c r="AA901" s="93" t="str">
        <f>+VLOOKUP(Agencia[[#This Row],[Muestra]],Estructura!$M$4:$O$500,3,0)</f>
        <v>M-1041</v>
      </c>
    </row>
    <row r="902" spans="1:27" ht="72" x14ac:dyDescent="0.3">
      <c r="A902" s="21" t="s">
        <v>1622</v>
      </c>
      <c r="B902" s="23">
        <f t="shared" si="357"/>
        <v>990</v>
      </c>
      <c r="C902" s="24" t="str">
        <f t="shared" si="358"/>
        <v>Agencia Información</v>
      </c>
      <c r="D902" s="72" t="str">
        <f t="shared" ref="D902:D917" si="376">+D901</f>
        <v>Arte y cultura</v>
      </c>
      <c r="E902" s="19">
        <v>1</v>
      </c>
      <c r="F902" s="18" t="s">
        <v>1517</v>
      </c>
      <c r="G902" s="18" t="s">
        <v>1896</v>
      </c>
      <c r="H902" s="33" t="s">
        <v>16</v>
      </c>
      <c r="I902" s="34" t="s">
        <v>368</v>
      </c>
      <c r="J902" s="9" t="s">
        <v>403</v>
      </c>
      <c r="K902" s="142" t="s">
        <v>1517</v>
      </c>
      <c r="L902" s="36" t="str">
        <f t="shared" ref="L902:L917" si="377">+L901</f>
        <v>Año 2021</v>
      </c>
      <c r="M902" s="9" t="str">
        <f t="shared" ref="M902:M917" si="378">+M901</f>
        <v>Número de espacios culturales</v>
      </c>
      <c r="N902" s="9" t="str">
        <f t="shared" ref="N902:N917" si="379">+N901</f>
        <v>Observatorio Cultural</v>
      </c>
      <c r="O902" s="41" t="str">
        <f>+"Mapa de la Cantidad de Espacios Culturales por Comuna en la "&amp;I902&amp;", "&amp;Agencia[[#This Row],[temporalidad]]</f>
        <v>Mapa de la Cantidad de Espacios Culturales por Comuna en la Región de Tarapacá, Año 2021</v>
      </c>
      <c r="P902" s="112" t="s">
        <v>5584</v>
      </c>
      <c r="Q902" s="11" t="str">
        <f t="shared" si="374"/>
        <v>Mapa de calor</v>
      </c>
      <c r="R902" s="148" t="str">
        <f>Agencia[[#This Row],[territorio]]&amp;",espacio,cultural,infraestructura,número,cantidad,"&amp;Agencia[[#This Row],[coleccion]]&amp;","&amp;Agencia[[#This Row],[sector]]&amp;","&amp;Agencia[[#This Row],[tema]]&amp;","&amp;Agencia[[#This Row],[contenido]]</f>
        <v>Región de Tarapacá,espacio,cultural,infraestructura,número,cantidad,Agencia Información,Arte y cultura,Espacios culturales,Cultura</v>
      </c>
      <c r="S90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v>
      </c>
      <c r="T902" s="111" t="str">
        <f>"100-C-"&amp;Agencia[[#This Row],[Filtro URL]]</f>
        <v>100-C-1</v>
      </c>
      <c r="U902" s="46" t="str">
        <f t="shared" si="369"/>
        <v>#1774B9</v>
      </c>
      <c r="V902" s="93" t="str">
        <f>+Agencia[[#This Row],[idcoleccion]]&amp;"-"&amp;Agencia[[#This Row],[id]]</f>
        <v>990-0891</v>
      </c>
      <c r="W902" s="93">
        <f>+VLOOKUP(Agencia[[#This Row],[Filtro URL]],Estructura!$X$4:$Y$500,2,0)</f>
        <v>99200001</v>
      </c>
      <c r="X902" s="93" t="str">
        <f>+VLOOKUP(Agencia[[#This Row],[tema]],Estructura!$A$4:$C$500,3,0)</f>
        <v>T-1017</v>
      </c>
      <c r="Y902" s="93" t="str">
        <f>+VLOOKUP(Agencia[[#This Row],[contenido]],Estructura!$E$4:$G$500,3,0)</f>
        <v>C-1008</v>
      </c>
      <c r="Z902" s="93" t="str">
        <f>+VLOOKUP(Agencia[[#This Row],[Filtro Integrado]],Estructura!$I$4:$K$500,3,0)</f>
        <v>FI-993</v>
      </c>
      <c r="AA902" s="93" t="str">
        <f>+VLOOKUP(Agencia[[#This Row],[Muestra]],Estructura!$M$4:$O$500,3,0)</f>
        <v>M-1041</v>
      </c>
    </row>
    <row r="903" spans="1:27" ht="72" x14ac:dyDescent="0.3">
      <c r="A903" s="21" t="s">
        <v>1623</v>
      </c>
      <c r="B903" s="23">
        <f t="shared" si="357"/>
        <v>990</v>
      </c>
      <c r="C903" s="24" t="str">
        <f t="shared" si="358"/>
        <v>Agencia Información</v>
      </c>
      <c r="D903" s="72" t="str">
        <f t="shared" si="376"/>
        <v>Arte y cultura</v>
      </c>
      <c r="E903" s="19">
        <v>2</v>
      </c>
      <c r="F903" s="18" t="s">
        <v>1517</v>
      </c>
      <c r="G903" s="18" t="s">
        <v>1896</v>
      </c>
      <c r="H903" s="33" t="s">
        <v>16</v>
      </c>
      <c r="I903" s="34" t="s">
        <v>369</v>
      </c>
      <c r="J903" s="9" t="str">
        <f t="shared" ref="J903:J917" si="380">+J902</f>
        <v>Ninguno</v>
      </c>
      <c r="K903" s="142" t="s">
        <v>1517</v>
      </c>
      <c r="L903" s="36" t="str">
        <f t="shared" si="377"/>
        <v>Año 2021</v>
      </c>
      <c r="M903" s="9" t="str">
        <f t="shared" si="378"/>
        <v>Número de espacios culturales</v>
      </c>
      <c r="N903" s="9" t="str">
        <f t="shared" si="379"/>
        <v>Observatorio Cultural</v>
      </c>
      <c r="O903" s="41" t="str">
        <f>+"Mapa de la Cantidad de Espacios Culturales por Comuna en la "&amp;I903&amp;", "&amp;Agencia[[#This Row],[temporalidad]]</f>
        <v>Mapa de la Cantidad de Espacios Culturales por Comuna en la Región de Antofagasta, Año 2021</v>
      </c>
      <c r="P903" s="112" t="s">
        <v>5585</v>
      </c>
      <c r="Q903" s="11" t="str">
        <f t="shared" si="374"/>
        <v>Mapa de calor</v>
      </c>
      <c r="R903" s="148" t="str">
        <f>Agencia[[#This Row],[territorio]]&amp;",espacio,cultural,infraestructura,número,cantidad,"&amp;Agencia[[#This Row],[coleccion]]&amp;","&amp;Agencia[[#This Row],[sector]]&amp;","&amp;Agencia[[#This Row],[tema]]&amp;","&amp;Agencia[[#This Row],[contenido]]</f>
        <v>Región de Antofagasta,espacio,cultural,infraestructura,número,cantidad,Agencia Información,Arte y cultura,Espacios culturales,Cultura</v>
      </c>
      <c r="S90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https://analytics.zoho.com/open-view/2395394000008464012?ZOHO_CRITERIA=%22Espacios_Culturales_Completo%201%22.%22C%C3%B3digo_Regi%C3%B3n%22%20%3D%202</v>
      </c>
      <c r="T903" s="111" t="str">
        <f>"100-C-"&amp;Agencia[[#This Row],[Filtro URL]]</f>
        <v>100-C-2</v>
      </c>
      <c r="U903" s="46" t="str">
        <f t="shared" si="369"/>
        <v>#1774B9</v>
      </c>
      <c r="V903" s="93" t="str">
        <f>+Agencia[[#This Row],[idcoleccion]]&amp;"-"&amp;Agencia[[#This Row],[id]]</f>
        <v>990-0892</v>
      </c>
      <c r="W903" s="93">
        <f>+VLOOKUP(Agencia[[#This Row],[Filtro URL]],Estructura!$X$4:$Y$500,2,0)</f>
        <v>99200002</v>
      </c>
      <c r="X903" s="93" t="str">
        <f>+VLOOKUP(Agencia[[#This Row],[tema]],Estructura!$A$4:$C$500,3,0)</f>
        <v>T-1017</v>
      </c>
      <c r="Y903" s="93" t="str">
        <f>+VLOOKUP(Agencia[[#This Row],[contenido]],Estructura!$E$4:$G$500,3,0)</f>
        <v>C-1008</v>
      </c>
      <c r="Z903" s="93" t="str">
        <f>+VLOOKUP(Agencia[[#This Row],[Filtro Integrado]],Estructura!$I$4:$K$500,3,0)</f>
        <v>FI-993</v>
      </c>
      <c r="AA903" s="93" t="str">
        <f>+VLOOKUP(Agencia[[#This Row],[Muestra]],Estructura!$M$4:$O$500,3,0)</f>
        <v>M-1041</v>
      </c>
    </row>
    <row r="904" spans="1:27" ht="72" x14ac:dyDescent="0.3">
      <c r="A904" s="21" t="s">
        <v>1624</v>
      </c>
      <c r="B904" s="23">
        <f t="shared" si="357"/>
        <v>990</v>
      </c>
      <c r="C904" s="24" t="str">
        <f t="shared" si="358"/>
        <v>Agencia Información</v>
      </c>
      <c r="D904" s="72" t="str">
        <f t="shared" si="376"/>
        <v>Arte y cultura</v>
      </c>
      <c r="E904" s="19">
        <v>3</v>
      </c>
      <c r="F904" s="18" t="s">
        <v>1517</v>
      </c>
      <c r="G904" s="18" t="s">
        <v>1896</v>
      </c>
      <c r="H904" s="33" t="s">
        <v>16</v>
      </c>
      <c r="I904" s="34" t="s">
        <v>370</v>
      </c>
      <c r="J904" s="9" t="str">
        <f t="shared" si="380"/>
        <v>Ninguno</v>
      </c>
      <c r="K904" s="142" t="s">
        <v>1517</v>
      </c>
      <c r="L904" s="36" t="str">
        <f t="shared" si="377"/>
        <v>Año 2021</v>
      </c>
      <c r="M904" s="9" t="str">
        <f t="shared" si="378"/>
        <v>Número de espacios culturales</v>
      </c>
      <c r="N904" s="9" t="str">
        <f t="shared" si="379"/>
        <v>Observatorio Cultural</v>
      </c>
      <c r="O904" s="41" t="str">
        <f>+"Mapa de la Cantidad de Espacios Culturales por Comuna en la "&amp;I904&amp;", "&amp;Agencia[[#This Row],[temporalidad]]</f>
        <v>Mapa de la Cantidad de Espacios Culturales por Comuna en la Región de Atacama, Año 2021</v>
      </c>
      <c r="P904" s="112" t="s">
        <v>5586</v>
      </c>
      <c r="Q904" s="11" t="str">
        <f t="shared" si="374"/>
        <v>Mapa de calor</v>
      </c>
      <c r="R904" s="148" t="str">
        <f>Agencia[[#This Row],[territorio]]&amp;",espacio,cultural,infraestructura,número,cantidad,"&amp;Agencia[[#This Row],[coleccion]]&amp;","&amp;Agencia[[#This Row],[sector]]&amp;","&amp;Agencia[[#This Row],[tema]]&amp;","&amp;Agencia[[#This Row],[contenido]]</f>
        <v>Región de Atacama,espacio,cultural,infraestructura,número,cantidad,Agencia Información,Arte y cultura,Espacios culturales,Cultura</v>
      </c>
      <c r="S90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https://analytics.zoho.com/open-view/2395394000008464012?ZOHO_CRITERIA=%22Espacios_Culturales_Completo%201%22.%22C%C3%B3digo_Regi%C3%B3n%22%20%3D%203</v>
      </c>
      <c r="T904" s="111" t="str">
        <f>"100-C-"&amp;Agencia[[#This Row],[Filtro URL]]</f>
        <v>100-C-3</v>
      </c>
      <c r="U904" s="46" t="str">
        <f t="shared" si="369"/>
        <v>#1774B9</v>
      </c>
      <c r="V904" s="93" t="str">
        <f>+Agencia[[#This Row],[idcoleccion]]&amp;"-"&amp;Agencia[[#This Row],[id]]</f>
        <v>990-0893</v>
      </c>
      <c r="W904" s="93">
        <f>+VLOOKUP(Agencia[[#This Row],[Filtro URL]],Estructura!$X$4:$Y$500,2,0)</f>
        <v>99200003</v>
      </c>
      <c r="X904" s="93" t="str">
        <f>+VLOOKUP(Agencia[[#This Row],[tema]],Estructura!$A$4:$C$500,3,0)</f>
        <v>T-1017</v>
      </c>
      <c r="Y904" s="93" t="str">
        <f>+VLOOKUP(Agencia[[#This Row],[contenido]],Estructura!$E$4:$G$500,3,0)</f>
        <v>C-1008</v>
      </c>
      <c r="Z904" s="93" t="str">
        <f>+VLOOKUP(Agencia[[#This Row],[Filtro Integrado]],Estructura!$I$4:$K$500,3,0)</f>
        <v>FI-993</v>
      </c>
      <c r="AA904" s="93" t="str">
        <f>+VLOOKUP(Agencia[[#This Row],[Muestra]],Estructura!$M$4:$O$500,3,0)</f>
        <v>M-1041</v>
      </c>
    </row>
    <row r="905" spans="1:27" ht="72" x14ac:dyDescent="0.3">
      <c r="A905" s="21" t="s">
        <v>1625</v>
      </c>
      <c r="B905" s="23">
        <f t="shared" si="357"/>
        <v>990</v>
      </c>
      <c r="C905" s="24" t="str">
        <f t="shared" si="358"/>
        <v>Agencia Información</v>
      </c>
      <c r="D905" s="72" t="str">
        <f t="shared" si="376"/>
        <v>Arte y cultura</v>
      </c>
      <c r="E905" s="19">
        <v>4</v>
      </c>
      <c r="F905" s="18" t="s">
        <v>1517</v>
      </c>
      <c r="G905" s="18" t="s">
        <v>1896</v>
      </c>
      <c r="H905" s="33" t="s">
        <v>16</v>
      </c>
      <c r="I905" s="34" t="s">
        <v>371</v>
      </c>
      <c r="J905" s="9" t="str">
        <f t="shared" si="380"/>
        <v>Ninguno</v>
      </c>
      <c r="K905" s="142" t="s">
        <v>1517</v>
      </c>
      <c r="L905" s="36" t="str">
        <f t="shared" si="377"/>
        <v>Año 2021</v>
      </c>
      <c r="M905" s="9" t="str">
        <f t="shared" si="378"/>
        <v>Número de espacios culturales</v>
      </c>
      <c r="N905" s="9" t="str">
        <f t="shared" si="379"/>
        <v>Observatorio Cultural</v>
      </c>
      <c r="O905" s="41" t="str">
        <f>+"Mapa de la Cantidad de Espacios Culturales por Comuna en la "&amp;I905&amp;", "&amp;Agencia[[#This Row],[temporalidad]]</f>
        <v>Mapa de la Cantidad de Espacios Culturales por Comuna en la Región de Coquimbo, Año 2021</v>
      </c>
      <c r="P905" s="112" t="s">
        <v>5587</v>
      </c>
      <c r="Q905" s="11" t="str">
        <f t="shared" si="374"/>
        <v>Mapa de calor</v>
      </c>
      <c r="R905" s="148" t="str">
        <f>Agencia[[#This Row],[territorio]]&amp;",espacio,cultural,infraestructura,número,cantidad,"&amp;Agencia[[#This Row],[coleccion]]&amp;","&amp;Agencia[[#This Row],[sector]]&amp;","&amp;Agencia[[#This Row],[tema]]&amp;","&amp;Agencia[[#This Row],[contenido]]</f>
        <v>Región de Coquimbo,espacio,cultural,infraestructura,número,cantidad,Agencia Información,Arte y cultura,Espacios culturales,Cultura</v>
      </c>
      <c r="S90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https://analytics.zoho.com/open-view/2395394000008464012?ZOHO_CRITERIA=%22Espacios_Culturales_Completo%201%22.%22C%C3%B3digo_Regi%C3%B3n%22%20%3D%204</v>
      </c>
      <c r="T905" s="111" t="str">
        <f>"100-C-"&amp;Agencia[[#This Row],[Filtro URL]]</f>
        <v>100-C-4</v>
      </c>
      <c r="U905" s="46" t="str">
        <f t="shared" si="369"/>
        <v>#1774B9</v>
      </c>
      <c r="V905" s="93" t="str">
        <f>+Agencia[[#This Row],[idcoleccion]]&amp;"-"&amp;Agencia[[#This Row],[id]]</f>
        <v>990-0894</v>
      </c>
      <c r="W905" s="93">
        <f>+VLOOKUP(Agencia[[#This Row],[Filtro URL]],Estructura!$X$4:$Y$500,2,0)</f>
        <v>99200004</v>
      </c>
      <c r="X905" s="93" t="str">
        <f>+VLOOKUP(Agencia[[#This Row],[tema]],Estructura!$A$4:$C$500,3,0)</f>
        <v>T-1017</v>
      </c>
      <c r="Y905" s="93" t="str">
        <f>+VLOOKUP(Agencia[[#This Row],[contenido]],Estructura!$E$4:$G$500,3,0)</f>
        <v>C-1008</v>
      </c>
      <c r="Z905" s="93" t="str">
        <f>+VLOOKUP(Agencia[[#This Row],[Filtro Integrado]],Estructura!$I$4:$K$500,3,0)</f>
        <v>FI-993</v>
      </c>
      <c r="AA905" s="93" t="str">
        <f>+VLOOKUP(Agencia[[#This Row],[Muestra]],Estructura!$M$4:$O$500,3,0)</f>
        <v>M-1041</v>
      </c>
    </row>
    <row r="906" spans="1:27" ht="72" x14ac:dyDescent="0.3">
      <c r="A906" s="21" t="s">
        <v>1626</v>
      </c>
      <c r="B906" s="23">
        <f t="shared" ref="B906:B969" si="381">+B905</f>
        <v>990</v>
      </c>
      <c r="C906" s="24" t="str">
        <f t="shared" si="358"/>
        <v>Agencia Información</v>
      </c>
      <c r="D906" s="72" t="str">
        <f t="shared" si="376"/>
        <v>Arte y cultura</v>
      </c>
      <c r="E906" s="19">
        <v>5</v>
      </c>
      <c r="F906" s="18" t="s">
        <v>1517</v>
      </c>
      <c r="G906" s="18" t="s">
        <v>1896</v>
      </c>
      <c r="H906" s="33" t="s">
        <v>16</v>
      </c>
      <c r="I906" s="34" t="s">
        <v>372</v>
      </c>
      <c r="J906" s="9" t="str">
        <f t="shared" si="380"/>
        <v>Ninguno</v>
      </c>
      <c r="K906" s="142" t="s">
        <v>1517</v>
      </c>
      <c r="L906" s="36" t="str">
        <f t="shared" si="377"/>
        <v>Año 2021</v>
      </c>
      <c r="M906" s="9" t="str">
        <f t="shared" si="378"/>
        <v>Número de espacios culturales</v>
      </c>
      <c r="N906" s="9" t="str">
        <f t="shared" si="379"/>
        <v>Observatorio Cultural</v>
      </c>
      <c r="O906" s="41" t="str">
        <f>+"Mapa de la Cantidad de Espacios Culturales por Comuna en la "&amp;I906&amp;", "&amp;Agencia[[#This Row],[temporalidad]]</f>
        <v>Mapa de la Cantidad de Espacios Culturales por Comuna en la Región de Valparaíso, Año 2021</v>
      </c>
      <c r="P906" s="112" t="s">
        <v>5588</v>
      </c>
      <c r="Q906" s="11" t="str">
        <f t="shared" si="374"/>
        <v>Mapa de calor</v>
      </c>
      <c r="R906" s="148" t="str">
        <f>Agencia[[#This Row],[territorio]]&amp;",espacio,cultural,infraestructura,número,cantidad,"&amp;Agencia[[#This Row],[coleccion]]&amp;","&amp;Agencia[[#This Row],[sector]]&amp;","&amp;Agencia[[#This Row],[tema]]&amp;","&amp;Agencia[[#This Row],[contenido]]</f>
        <v>Región de Valparaíso,espacio,cultural,infraestructura,número,cantidad,Agencia Información,Arte y cultura,Espacios culturales,Cultura</v>
      </c>
      <c r="S90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https://analytics.zoho.com/open-view/2395394000008464012?ZOHO_CRITERIA=%22Espacios_Culturales_Completo%201%22.%22C%C3%B3digo_Regi%C3%B3n%22%20%3D%205</v>
      </c>
      <c r="T906" s="111" t="str">
        <f>"100-C-"&amp;Agencia[[#This Row],[Filtro URL]]</f>
        <v>100-C-5</v>
      </c>
      <c r="U906" s="46" t="str">
        <f t="shared" si="369"/>
        <v>#1774B9</v>
      </c>
      <c r="V906" s="93" t="str">
        <f>+Agencia[[#This Row],[idcoleccion]]&amp;"-"&amp;Agencia[[#This Row],[id]]</f>
        <v>990-0895</v>
      </c>
      <c r="W906" s="93">
        <f>+VLOOKUP(Agencia[[#This Row],[Filtro URL]],Estructura!$X$4:$Y$500,2,0)</f>
        <v>99200005</v>
      </c>
      <c r="X906" s="93" t="str">
        <f>+VLOOKUP(Agencia[[#This Row],[tema]],Estructura!$A$4:$C$500,3,0)</f>
        <v>T-1017</v>
      </c>
      <c r="Y906" s="93" t="str">
        <f>+VLOOKUP(Agencia[[#This Row],[contenido]],Estructura!$E$4:$G$500,3,0)</f>
        <v>C-1008</v>
      </c>
      <c r="Z906" s="93" t="str">
        <f>+VLOOKUP(Agencia[[#This Row],[Filtro Integrado]],Estructura!$I$4:$K$500,3,0)</f>
        <v>FI-993</v>
      </c>
      <c r="AA906" s="93" t="str">
        <f>+VLOOKUP(Agencia[[#This Row],[Muestra]],Estructura!$M$4:$O$500,3,0)</f>
        <v>M-1041</v>
      </c>
    </row>
    <row r="907" spans="1:27" ht="72" x14ac:dyDescent="0.3">
      <c r="A907" s="21" t="s">
        <v>1627</v>
      </c>
      <c r="B907" s="23">
        <f t="shared" si="381"/>
        <v>990</v>
      </c>
      <c r="C907" s="24" t="str">
        <f t="shared" ref="C907:C970" si="382">+C906</f>
        <v>Agencia Información</v>
      </c>
      <c r="D907" s="72" t="str">
        <f t="shared" si="376"/>
        <v>Arte y cultura</v>
      </c>
      <c r="E907" s="19">
        <v>6</v>
      </c>
      <c r="F907" s="18" t="s">
        <v>1517</v>
      </c>
      <c r="G907" s="18" t="s">
        <v>1896</v>
      </c>
      <c r="H907" s="33" t="s">
        <v>16</v>
      </c>
      <c r="I907" s="34" t="s">
        <v>373</v>
      </c>
      <c r="J907" s="9" t="str">
        <f t="shared" si="380"/>
        <v>Ninguno</v>
      </c>
      <c r="K907" s="142" t="s">
        <v>1517</v>
      </c>
      <c r="L907" s="36" t="str">
        <f t="shared" si="377"/>
        <v>Año 2021</v>
      </c>
      <c r="M907" s="9" t="str">
        <f t="shared" si="378"/>
        <v>Número de espacios culturales</v>
      </c>
      <c r="N907" s="9" t="str">
        <f t="shared" si="379"/>
        <v>Observatorio Cultural</v>
      </c>
      <c r="O907" s="41" t="str">
        <f>+"Mapa de la Cantidad de Espacios Culturales por Comuna en la "&amp;I907&amp;", "&amp;Agencia[[#This Row],[temporalidad]]</f>
        <v>Mapa de la Cantidad de Espacios Culturales por Comuna en la Región de O'Higgins, Año 2021</v>
      </c>
      <c r="P907" s="112" t="s">
        <v>5589</v>
      </c>
      <c r="Q907" s="11" t="str">
        <f t="shared" si="374"/>
        <v>Mapa de calor</v>
      </c>
      <c r="R907" s="148" t="str">
        <f>Agencia[[#This Row],[territorio]]&amp;",espacio,cultural,infraestructura,número,cantidad,"&amp;Agencia[[#This Row],[coleccion]]&amp;","&amp;Agencia[[#This Row],[sector]]&amp;","&amp;Agencia[[#This Row],[tema]]&amp;","&amp;Agencia[[#This Row],[contenido]]</f>
        <v>Región de O'Higgins,espacio,cultural,infraestructura,número,cantidad,Agencia Información,Arte y cultura,Espacios culturales,Cultura</v>
      </c>
      <c r="S90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https://analytics.zoho.com/open-view/2395394000008464012?ZOHO_CRITERIA=%22Espacios_Culturales_Completo%201%22.%22C%C3%B3digo_Regi%C3%B3n%22%20%3D%206</v>
      </c>
      <c r="T907" s="111" t="str">
        <f>"100-C-"&amp;Agencia[[#This Row],[Filtro URL]]</f>
        <v>100-C-6</v>
      </c>
      <c r="U907" s="46" t="str">
        <f t="shared" si="369"/>
        <v>#1774B9</v>
      </c>
      <c r="V907" s="93" t="str">
        <f>+Agencia[[#This Row],[idcoleccion]]&amp;"-"&amp;Agencia[[#This Row],[id]]</f>
        <v>990-0896</v>
      </c>
      <c r="W907" s="93">
        <f>+VLOOKUP(Agencia[[#This Row],[Filtro URL]],Estructura!$X$4:$Y$500,2,0)</f>
        <v>99200006</v>
      </c>
      <c r="X907" s="93" t="str">
        <f>+VLOOKUP(Agencia[[#This Row],[tema]],Estructura!$A$4:$C$500,3,0)</f>
        <v>T-1017</v>
      </c>
      <c r="Y907" s="93" t="str">
        <f>+VLOOKUP(Agencia[[#This Row],[contenido]],Estructura!$E$4:$G$500,3,0)</f>
        <v>C-1008</v>
      </c>
      <c r="Z907" s="93" t="str">
        <f>+VLOOKUP(Agencia[[#This Row],[Filtro Integrado]],Estructura!$I$4:$K$500,3,0)</f>
        <v>FI-993</v>
      </c>
      <c r="AA907" s="93" t="str">
        <f>+VLOOKUP(Agencia[[#This Row],[Muestra]],Estructura!$M$4:$O$500,3,0)</f>
        <v>M-1041</v>
      </c>
    </row>
    <row r="908" spans="1:27" ht="72" x14ac:dyDescent="0.3">
      <c r="A908" s="21" t="s">
        <v>1628</v>
      </c>
      <c r="B908" s="23">
        <f t="shared" si="381"/>
        <v>990</v>
      </c>
      <c r="C908" s="24" t="str">
        <f t="shared" si="382"/>
        <v>Agencia Información</v>
      </c>
      <c r="D908" s="72" t="str">
        <f t="shared" si="376"/>
        <v>Arte y cultura</v>
      </c>
      <c r="E908" s="19">
        <v>7</v>
      </c>
      <c r="F908" s="18" t="s">
        <v>1517</v>
      </c>
      <c r="G908" s="18" t="s">
        <v>1896</v>
      </c>
      <c r="H908" s="33" t="s">
        <v>16</v>
      </c>
      <c r="I908" s="34" t="s">
        <v>374</v>
      </c>
      <c r="J908" s="9" t="str">
        <f t="shared" si="380"/>
        <v>Ninguno</v>
      </c>
      <c r="K908" s="142" t="s">
        <v>1517</v>
      </c>
      <c r="L908" s="36" t="str">
        <f t="shared" si="377"/>
        <v>Año 2021</v>
      </c>
      <c r="M908" s="9" t="str">
        <f t="shared" si="378"/>
        <v>Número de espacios culturales</v>
      </c>
      <c r="N908" s="9" t="str">
        <f t="shared" si="379"/>
        <v>Observatorio Cultural</v>
      </c>
      <c r="O908" s="41" t="str">
        <f>+"Mapa de la Cantidad de Espacios Culturales por Comuna en la "&amp;I908&amp;", "&amp;Agencia[[#This Row],[temporalidad]]</f>
        <v>Mapa de la Cantidad de Espacios Culturales por Comuna en la Región de Maule, Año 2021</v>
      </c>
      <c r="P908" s="112" t="s">
        <v>5590</v>
      </c>
      <c r="Q908" s="11" t="str">
        <f t="shared" si="374"/>
        <v>Mapa de calor</v>
      </c>
      <c r="R908" s="148" t="str">
        <f>Agencia[[#This Row],[territorio]]&amp;",espacio,cultural,infraestructura,número,cantidad,"&amp;Agencia[[#This Row],[coleccion]]&amp;","&amp;Agencia[[#This Row],[sector]]&amp;","&amp;Agencia[[#This Row],[tema]]&amp;","&amp;Agencia[[#This Row],[contenido]]</f>
        <v>Región de Maule,espacio,cultural,infraestructura,número,cantidad,Agencia Información,Arte y cultura,Espacios culturales,Cultura</v>
      </c>
      <c r="S908"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https://analytics.zoho.com/open-view/2395394000008464012?ZOHO_CRITERIA=%22Espacios_Culturales_Completo%201%22.%22C%C3%B3digo_Regi%C3%B3n%22%20%3D%207</v>
      </c>
      <c r="T908" s="111" t="str">
        <f>"100-C-"&amp;Agencia[[#This Row],[Filtro URL]]</f>
        <v>100-C-7</v>
      </c>
      <c r="U908" s="46" t="str">
        <f t="shared" si="369"/>
        <v>#1774B9</v>
      </c>
      <c r="V908" s="93" t="str">
        <f>+Agencia[[#This Row],[idcoleccion]]&amp;"-"&amp;Agencia[[#This Row],[id]]</f>
        <v>990-0897</v>
      </c>
      <c r="W908" s="93">
        <f>+VLOOKUP(Agencia[[#This Row],[Filtro URL]],Estructura!$X$4:$Y$500,2,0)</f>
        <v>99200007</v>
      </c>
      <c r="X908" s="93" t="str">
        <f>+VLOOKUP(Agencia[[#This Row],[tema]],Estructura!$A$4:$C$500,3,0)</f>
        <v>T-1017</v>
      </c>
      <c r="Y908" s="93" t="str">
        <f>+VLOOKUP(Agencia[[#This Row],[contenido]],Estructura!$E$4:$G$500,3,0)</f>
        <v>C-1008</v>
      </c>
      <c r="Z908" s="93" t="str">
        <f>+VLOOKUP(Agencia[[#This Row],[Filtro Integrado]],Estructura!$I$4:$K$500,3,0)</f>
        <v>FI-993</v>
      </c>
      <c r="AA908" s="93" t="str">
        <f>+VLOOKUP(Agencia[[#This Row],[Muestra]],Estructura!$M$4:$O$500,3,0)</f>
        <v>M-1041</v>
      </c>
    </row>
    <row r="909" spans="1:27" ht="72" x14ac:dyDescent="0.3">
      <c r="A909" s="21" t="s">
        <v>1629</v>
      </c>
      <c r="B909" s="23">
        <f t="shared" si="381"/>
        <v>990</v>
      </c>
      <c r="C909" s="24" t="str">
        <f t="shared" si="382"/>
        <v>Agencia Información</v>
      </c>
      <c r="D909" s="72" t="str">
        <f t="shared" si="376"/>
        <v>Arte y cultura</v>
      </c>
      <c r="E909" s="19">
        <v>8</v>
      </c>
      <c r="F909" s="18" t="s">
        <v>1517</v>
      </c>
      <c r="G909" s="18" t="s">
        <v>1896</v>
      </c>
      <c r="H909" s="33" t="s">
        <v>16</v>
      </c>
      <c r="I909" s="34" t="s">
        <v>375</v>
      </c>
      <c r="J909" s="9" t="str">
        <f t="shared" si="380"/>
        <v>Ninguno</v>
      </c>
      <c r="K909" s="142" t="s">
        <v>1517</v>
      </c>
      <c r="L909" s="36" t="str">
        <f t="shared" si="377"/>
        <v>Año 2021</v>
      </c>
      <c r="M909" s="9" t="str">
        <f t="shared" si="378"/>
        <v>Número de espacios culturales</v>
      </c>
      <c r="N909" s="9" t="str">
        <f t="shared" si="379"/>
        <v>Observatorio Cultural</v>
      </c>
      <c r="O909" s="41" t="str">
        <f>+"Mapa de la Cantidad de Espacios Culturales por Comuna en la "&amp;I909&amp;", "&amp;Agencia[[#This Row],[temporalidad]]</f>
        <v>Mapa de la Cantidad de Espacios Culturales por Comuna en la Región del Biobío, Año 2021</v>
      </c>
      <c r="P909" s="112" t="s">
        <v>5591</v>
      </c>
      <c r="Q909" s="11" t="str">
        <f t="shared" si="374"/>
        <v>Mapa de calor</v>
      </c>
      <c r="R909" s="148" t="str">
        <f>Agencia[[#This Row],[territorio]]&amp;",espacio,cultural,infraestructura,número,cantidad,"&amp;Agencia[[#This Row],[coleccion]]&amp;","&amp;Agencia[[#This Row],[sector]]&amp;","&amp;Agencia[[#This Row],[tema]]&amp;","&amp;Agencia[[#This Row],[contenido]]</f>
        <v>Región del Biobío,espacio,cultural,infraestructura,número,cantidad,Agencia Información,Arte y cultura,Espacios culturales,Cultura</v>
      </c>
      <c r="S909"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https://analytics.zoho.com/open-view/2395394000008464012?ZOHO_CRITERIA=%22Espacios_Culturales_Completo%201%22.%22C%C3%B3digo_Regi%C3%B3n%22%20%3D%208</v>
      </c>
      <c r="T909" s="111" t="str">
        <f>"100-C-"&amp;Agencia[[#This Row],[Filtro URL]]</f>
        <v>100-C-8</v>
      </c>
      <c r="U909" s="46" t="str">
        <f t="shared" si="369"/>
        <v>#1774B9</v>
      </c>
      <c r="V909" s="93" t="str">
        <f>+Agencia[[#This Row],[idcoleccion]]&amp;"-"&amp;Agencia[[#This Row],[id]]</f>
        <v>990-0898</v>
      </c>
      <c r="W909" s="93">
        <f>+VLOOKUP(Agencia[[#This Row],[Filtro URL]],Estructura!$X$4:$Y$500,2,0)</f>
        <v>99200008</v>
      </c>
      <c r="X909" s="93" t="str">
        <f>+VLOOKUP(Agencia[[#This Row],[tema]],Estructura!$A$4:$C$500,3,0)</f>
        <v>T-1017</v>
      </c>
      <c r="Y909" s="93" t="str">
        <f>+VLOOKUP(Agencia[[#This Row],[contenido]],Estructura!$E$4:$G$500,3,0)</f>
        <v>C-1008</v>
      </c>
      <c r="Z909" s="93" t="str">
        <f>+VLOOKUP(Agencia[[#This Row],[Filtro Integrado]],Estructura!$I$4:$K$500,3,0)</f>
        <v>FI-993</v>
      </c>
      <c r="AA909" s="93" t="str">
        <f>+VLOOKUP(Agencia[[#This Row],[Muestra]],Estructura!$M$4:$O$500,3,0)</f>
        <v>M-1041</v>
      </c>
    </row>
    <row r="910" spans="1:27" ht="72" x14ac:dyDescent="0.3">
      <c r="A910" s="21" t="s">
        <v>1630</v>
      </c>
      <c r="B910" s="23">
        <f t="shared" si="381"/>
        <v>990</v>
      </c>
      <c r="C910" s="24" t="str">
        <f t="shared" si="382"/>
        <v>Agencia Información</v>
      </c>
      <c r="D910" s="72" t="str">
        <f t="shared" si="376"/>
        <v>Arte y cultura</v>
      </c>
      <c r="E910" s="19">
        <v>9</v>
      </c>
      <c r="F910" s="18" t="s">
        <v>1517</v>
      </c>
      <c r="G910" s="18" t="s">
        <v>1896</v>
      </c>
      <c r="H910" s="33" t="s">
        <v>16</v>
      </c>
      <c r="I910" s="34" t="s">
        <v>376</v>
      </c>
      <c r="J910" s="9" t="str">
        <f t="shared" si="380"/>
        <v>Ninguno</v>
      </c>
      <c r="K910" s="142" t="s">
        <v>1517</v>
      </c>
      <c r="L910" s="36" t="str">
        <f t="shared" si="377"/>
        <v>Año 2021</v>
      </c>
      <c r="M910" s="9" t="str">
        <f t="shared" si="378"/>
        <v>Número de espacios culturales</v>
      </c>
      <c r="N910" s="9" t="str">
        <f t="shared" si="379"/>
        <v>Observatorio Cultural</v>
      </c>
      <c r="O910" s="41" t="str">
        <f>+"Mapa de la Cantidad de Espacios Culturales por Comuna en la "&amp;I910&amp;", "&amp;Agencia[[#This Row],[temporalidad]]</f>
        <v>Mapa de la Cantidad de Espacios Culturales por Comuna en la Región de La Araucanía, Año 2021</v>
      </c>
      <c r="P910" s="112" t="s">
        <v>5592</v>
      </c>
      <c r="Q910" s="11" t="str">
        <f t="shared" si="374"/>
        <v>Mapa de calor</v>
      </c>
      <c r="R910" s="148" t="str">
        <f>Agencia[[#This Row],[territorio]]&amp;",espacio,cultural,infraestructura,número,cantidad,"&amp;Agencia[[#This Row],[coleccion]]&amp;","&amp;Agencia[[#This Row],[sector]]&amp;","&amp;Agencia[[#This Row],[tema]]&amp;","&amp;Agencia[[#This Row],[contenido]]</f>
        <v>Región de La Araucanía,espacio,cultural,infraestructura,número,cantidad,Agencia Información,Arte y cultura,Espacios culturales,Cultura</v>
      </c>
      <c r="S910"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https://analytics.zoho.com/open-view/2395394000008464012?ZOHO_CRITERIA=%22Espacios_Culturales_Completo%201%22.%22C%C3%B3digo_Regi%C3%B3n%22%20%3D%209</v>
      </c>
      <c r="T910" s="111" t="str">
        <f>"100-C-"&amp;Agencia[[#This Row],[Filtro URL]]</f>
        <v>100-C-9</v>
      </c>
      <c r="U910" s="46" t="str">
        <f t="shared" si="369"/>
        <v>#1774B9</v>
      </c>
      <c r="V910" s="93" t="str">
        <f>+Agencia[[#This Row],[idcoleccion]]&amp;"-"&amp;Agencia[[#This Row],[id]]</f>
        <v>990-0899</v>
      </c>
      <c r="W910" s="93">
        <f>+VLOOKUP(Agencia[[#This Row],[Filtro URL]],Estructura!$X$4:$Y$500,2,0)</f>
        <v>99200009</v>
      </c>
      <c r="X910" s="93" t="str">
        <f>+VLOOKUP(Agencia[[#This Row],[tema]],Estructura!$A$4:$C$500,3,0)</f>
        <v>T-1017</v>
      </c>
      <c r="Y910" s="93" t="str">
        <f>+VLOOKUP(Agencia[[#This Row],[contenido]],Estructura!$E$4:$G$500,3,0)</f>
        <v>C-1008</v>
      </c>
      <c r="Z910" s="93" t="str">
        <f>+VLOOKUP(Agencia[[#This Row],[Filtro Integrado]],Estructura!$I$4:$K$500,3,0)</f>
        <v>FI-993</v>
      </c>
      <c r="AA910" s="93" t="str">
        <f>+VLOOKUP(Agencia[[#This Row],[Muestra]],Estructura!$M$4:$O$500,3,0)</f>
        <v>M-1041</v>
      </c>
    </row>
    <row r="911" spans="1:27" ht="72" x14ac:dyDescent="0.3">
      <c r="A911" s="21" t="s">
        <v>1631</v>
      </c>
      <c r="B911" s="23">
        <f t="shared" si="381"/>
        <v>990</v>
      </c>
      <c r="C911" s="24" t="str">
        <f t="shared" si="382"/>
        <v>Agencia Información</v>
      </c>
      <c r="D911" s="72" t="str">
        <f t="shared" si="376"/>
        <v>Arte y cultura</v>
      </c>
      <c r="E911" s="19">
        <v>10</v>
      </c>
      <c r="F911" s="18" t="s">
        <v>1517</v>
      </c>
      <c r="G911" s="18" t="s">
        <v>1896</v>
      </c>
      <c r="H911" s="33" t="s">
        <v>16</v>
      </c>
      <c r="I911" s="34" t="s">
        <v>377</v>
      </c>
      <c r="J911" s="9" t="str">
        <f t="shared" si="380"/>
        <v>Ninguno</v>
      </c>
      <c r="K911" s="142" t="s">
        <v>1517</v>
      </c>
      <c r="L911" s="36" t="str">
        <f t="shared" si="377"/>
        <v>Año 2021</v>
      </c>
      <c r="M911" s="9" t="str">
        <f t="shared" si="378"/>
        <v>Número de espacios culturales</v>
      </c>
      <c r="N911" s="9" t="str">
        <f t="shared" si="379"/>
        <v>Observatorio Cultural</v>
      </c>
      <c r="O911" s="41" t="str">
        <f>+"Mapa de la Cantidad de Espacios Culturales por Comuna en la "&amp;I911&amp;", "&amp;Agencia[[#This Row],[temporalidad]]</f>
        <v>Mapa de la Cantidad de Espacios Culturales por Comuna en la Región de Los Lagos, Año 2021</v>
      </c>
      <c r="P911" s="112" t="s">
        <v>5593</v>
      </c>
      <c r="Q911" s="11" t="str">
        <f t="shared" si="374"/>
        <v>Mapa de calor</v>
      </c>
      <c r="R911" s="148" t="str">
        <f>Agencia[[#This Row],[territorio]]&amp;",espacio,cultural,infraestructura,número,cantidad,"&amp;Agencia[[#This Row],[coleccion]]&amp;","&amp;Agencia[[#This Row],[sector]]&amp;","&amp;Agencia[[#This Row],[tema]]&amp;","&amp;Agencia[[#This Row],[contenido]]</f>
        <v>Región de Los Lagos,espacio,cultural,infraestructura,número,cantidad,Agencia Información,Arte y cultura,Espacios culturales,Cultura</v>
      </c>
      <c r="S911"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https://analytics.zoho.com/open-view/2395394000008464012?ZOHO_CRITERIA=%22Espacios_Culturales_Completo%201%22.%22C%C3%B3digo_Regi%C3%B3n%22%20%3D%2010</v>
      </c>
      <c r="T911" s="111" t="str">
        <f>"100-C-"&amp;Agencia[[#This Row],[Filtro URL]]</f>
        <v>100-C-10</v>
      </c>
      <c r="U911" s="46" t="str">
        <f t="shared" si="369"/>
        <v>#1774B9</v>
      </c>
      <c r="V911" s="93" t="str">
        <f>+Agencia[[#This Row],[idcoleccion]]&amp;"-"&amp;Agencia[[#This Row],[id]]</f>
        <v>990-0900</v>
      </c>
      <c r="W911" s="93">
        <f>+VLOOKUP(Agencia[[#This Row],[Filtro URL]],Estructura!$X$4:$Y$500,2,0)</f>
        <v>99200010</v>
      </c>
      <c r="X911" s="93" t="str">
        <f>+VLOOKUP(Agencia[[#This Row],[tema]],Estructura!$A$4:$C$500,3,0)</f>
        <v>T-1017</v>
      </c>
      <c r="Y911" s="93" t="str">
        <f>+VLOOKUP(Agencia[[#This Row],[contenido]],Estructura!$E$4:$G$500,3,0)</f>
        <v>C-1008</v>
      </c>
      <c r="Z911" s="93" t="str">
        <f>+VLOOKUP(Agencia[[#This Row],[Filtro Integrado]],Estructura!$I$4:$K$500,3,0)</f>
        <v>FI-993</v>
      </c>
      <c r="AA911" s="93" t="str">
        <f>+VLOOKUP(Agencia[[#This Row],[Muestra]],Estructura!$M$4:$O$500,3,0)</f>
        <v>M-1041</v>
      </c>
    </row>
    <row r="912" spans="1:27" ht="72" x14ac:dyDescent="0.3">
      <c r="A912" s="21" t="s">
        <v>1632</v>
      </c>
      <c r="B912" s="23">
        <f t="shared" si="381"/>
        <v>990</v>
      </c>
      <c r="C912" s="24" t="str">
        <f t="shared" si="382"/>
        <v>Agencia Información</v>
      </c>
      <c r="D912" s="72" t="str">
        <f t="shared" si="376"/>
        <v>Arte y cultura</v>
      </c>
      <c r="E912" s="19">
        <v>11</v>
      </c>
      <c r="F912" s="18" t="s">
        <v>1517</v>
      </c>
      <c r="G912" s="18" t="s">
        <v>1896</v>
      </c>
      <c r="H912" s="33" t="s">
        <v>16</v>
      </c>
      <c r="I912" s="34" t="s">
        <v>378</v>
      </c>
      <c r="J912" s="9" t="str">
        <f t="shared" si="380"/>
        <v>Ninguno</v>
      </c>
      <c r="K912" s="142" t="s">
        <v>1517</v>
      </c>
      <c r="L912" s="36" t="str">
        <f t="shared" si="377"/>
        <v>Año 2021</v>
      </c>
      <c r="M912" s="9" t="str">
        <f t="shared" si="378"/>
        <v>Número de espacios culturales</v>
      </c>
      <c r="N912" s="9" t="str">
        <f t="shared" si="379"/>
        <v>Observatorio Cultural</v>
      </c>
      <c r="O912" s="41" t="str">
        <f>+"Mapa de la Cantidad de Espacios Culturales por Comuna en la "&amp;I912&amp;", "&amp;Agencia[[#This Row],[temporalidad]]</f>
        <v>Mapa de la Cantidad de Espacios Culturales por Comuna en la Región de Aysén, Año 2021</v>
      </c>
      <c r="P912" s="112" t="s">
        <v>5594</v>
      </c>
      <c r="Q912" s="11" t="str">
        <f t="shared" si="374"/>
        <v>Mapa de calor</v>
      </c>
      <c r="R912" s="148" t="str">
        <f>Agencia[[#This Row],[territorio]]&amp;",espacio,cultural,infraestructura,número,cantidad,"&amp;Agencia[[#This Row],[coleccion]]&amp;","&amp;Agencia[[#This Row],[sector]]&amp;","&amp;Agencia[[#This Row],[tema]]&amp;","&amp;Agencia[[#This Row],[contenido]]</f>
        <v>Región de Aysén,espacio,cultural,infraestructura,número,cantidad,Agencia Información,Arte y cultura,Espacios culturales,Cultura</v>
      </c>
      <c r="S91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https://analytics.zoho.com/open-view/2395394000008464012?ZOHO_CRITERIA=%22Espacios_Culturales_Completo%201%22.%22C%C3%B3digo_Regi%C3%B3n%22%20%3D%2011</v>
      </c>
      <c r="T912" s="111" t="str">
        <f>"100-C-"&amp;Agencia[[#This Row],[Filtro URL]]</f>
        <v>100-C-11</v>
      </c>
      <c r="U912" s="46" t="str">
        <f t="shared" si="369"/>
        <v>#1774B9</v>
      </c>
      <c r="V912" s="93" t="str">
        <f>+Agencia[[#This Row],[idcoleccion]]&amp;"-"&amp;Agencia[[#This Row],[id]]</f>
        <v>990-0901</v>
      </c>
      <c r="W912" s="93">
        <f>+VLOOKUP(Agencia[[#This Row],[Filtro URL]],Estructura!$X$4:$Y$500,2,0)</f>
        <v>99200011</v>
      </c>
      <c r="X912" s="93" t="str">
        <f>+VLOOKUP(Agencia[[#This Row],[tema]],Estructura!$A$4:$C$500,3,0)</f>
        <v>T-1017</v>
      </c>
      <c r="Y912" s="93" t="str">
        <f>+VLOOKUP(Agencia[[#This Row],[contenido]],Estructura!$E$4:$G$500,3,0)</f>
        <v>C-1008</v>
      </c>
      <c r="Z912" s="93" t="str">
        <f>+VLOOKUP(Agencia[[#This Row],[Filtro Integrado]],Estructura!$I$4:$K$500,3,0)</f>
        <v>FI-993</v>
      </c>
      <c r="AA912" s="93" t="str">
        <f>+VLOOKUP(Agencia[[#This Row],[Muestra]],Estructura!$M$4:$O$500,3,0)</f>
        <v>M-1041</v>
      </c>
    </row>
    <row r="913" spans="1:27" ht="72" x14ac:dyDescent="0.3">
      <c r="A913" s="21" t="s">
        <v>1633</v>
      </c>
      <c r="B913" s="23">
        <f t="shared" si="381"/>
        <v>990</v>
      </c>
      <c r="C913" s="24" t="str">
        <f t="shared" si="382"/>
        <v>Agencia Información</v>
      </c>
      <c r="D913" s="72" t="str">
        <f t="shared" si="376"/>
        <v>Arte y cultura</v>
      </c>
      <c r="E913" s="19">
        <v>12</v>
      </c>
      <c r="F913" s="18" t="s">
        <v>1517</v>
      </c>
      <c r="G913" s="18" t="s">
        <v>1896</v>
      </c>
      <c r="H913" s="33" t="s">
        <v>16</v>
      </c>
      <c r="I913" s="34" t="s">
        <v>379</v>
      </c>
      <c r="J913" s="9" t="str">
        <f t="shared" si="380"/>
        <v>Ninguno</v>
      </c>
      <c r="K913" s="142" t="s">
        <v>1517</v>
      </c>
      <c r="L913" s="36" t="str">
        <f t="shared" si="377"/>
        <v>Año 2021</v>
      </c>
      <c r="M913" s="9" t="str">
        <f t="shared" si="378"/>
        <v>Número de espacios culturales</v>
      </c>
      <c r="N913" s="9" t="str">
        <f t="shared" si="379"/>
        <v>Observatorio Cultural</v>
      </c>
      <c r="O913" s="41" t="str">
        <f>+"Mapa de la Cantidad de Espacios Culturales por Comuna en la "&amp;I913&amp;", "&amp;Agencia[[#This Row],[temporalidad]]</f>
        <v>Mapa de la Cantidad de Espacios Culturales por Comuna en la Región de Magallanes, Año 2021</v>
      </c>
      <c r="P913" s="112" t="s">
        <v>5547</v>
      </c>
      <c r="Q913" s="11" t="str">
        <f t="shared" si="374"/>
        <v>Mapa de calor</v>
      </c>
      <c r="R913" s="148" t="str">
        <f>Agencia[[#This Row],[territorio]]&amp;",espacio,cultural,infraestructura,número,cantidad,"&amp;Agencia[[#This Row],[coleccion]]&amp;","&amp;Agencia[[#This Row],[sector]]&amp;","&amp;Agencia[[#This Row],[tema]]&amp;","&amp;Agencia[[#This Row],[contenido]]</f>
        <v>Región de Magallanes,espacio,cultural,infraestructura,número,cantidad,Agencia Información,Arte y cultura,Espacios culturales,Cultura</v>
      </c>
      <c r="S91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https://analytics.zoho.com/open-view/2395394000008464012?ZOHO_CRITERIA=%22Espacios_Culturales_Completo%201%22.%22C%C3%B3digo_Regi%C3%B3n%22%20%3D%2012</v>
      </c>
      <c r="T913" s="111" t="str">
        <f>"100-C-"&amp;Agencia[[#This Row],[Filtro URL]]</f>
        <v>100-C-12</v>
      </c>
      <c r="U913" s="46" t="str">
        <f t="shared" si="369"/>
        <v>#1774B9</v>
      </c>
      <c r="V913" s="93" t="str">
        <f>+Agencia[[#This Row],[idcoleccion]]&amp;"-"&amp;Agencia[[#This Row],[id]]</f>
        <v>990-0902</v>
      </c>
      <c r="W913" s="93">
        <f>+VLOOKUP(Agencia[[#This Row],[Filtro URL]],Estructura!$X$4:$Y$500,2,0)</f>
        <v>99200012</v>
      </c>
      <c r="X913" s="93" t="str">
        <f>+VLOOKUP(Agencia[[#This Row],[tema]],Estructura!$A$4:$C$500,3,0)</f>
        <v>T-1017</v>
      </c>
      <c r="Y913" s="93" t="str">
        <f>+VLOOKUP(Agencia[[#This Row],[contenido]],Estructura!$E$4:$G$500,3,0)</f>
        <v>C-1008</v>
      </c>
      <c r="Z913" s="93" t="str">
        <f>+VLOOKUP(Agencia[[#This Row],[Filtro Integrado]],Estructura!$I$4:$K$500,3,0)</f>
        <v>FI-993</v>
      </c>
      <c r="AA913" s="93" t="str">
        <f>+VLOOKUP(Agencia[[#This Row],[Muestra]],Estructura!$M$4:$O$500,3,0)</f>
        <v>M-1041</v>
      </c>
    </row>
    <row r="914" spans="1:27" ht="72" x14ac:dyDescent="0.3">
      <c r="A914" s="21" t="s">
        <v>1634</v>
      </c>
      <c r="B914" s="23">
        <f t="shared" si="381"/>
        <v>990</v>
      </c>
      <c r="C914" s="24" t="str">
        <f t="shared" si="382"/>
        <v>Agencia Información</v>
      </c>
      <c r="D914" s="72" t="str">
        <f t="shared" si="376"/>
        <v>Arte y cultura</v>
      </c>
      <c r="E914" s="19">
        <v>13</v>
      </c>
      <c r="F914" s="18" t="s">
        <v>1517</v>
      </c>
      <c r="G914" s="18" t="s">
        <v>1896</v>
      </c>
      <c r="H914" s="33" t="s">
        <v>16</v>
      </c>
      <c r="I914" s="34" t="s">
        <v>380</v>
      </c>
      <c r="J914" s="9" t="str">
        <f t="shared" si="380"/>
        <v>Ninguno</v>
      </c>
      <c r="K914" s="142" t="s">
        <v>1517</v>
      </c>
      <c r="L914" s="36" t="str">
        <f t="shared" si="377"/>
        <v>Año 2021</v>
      </c>
      <c r="M914" s="9" t="str">
        <f t="shared" si="378"/>
        <v>Número de espacios culturales</v>
      </c>
      <c r="N914" s="9" t="str">
        <f t="shared" si="379"/>
        <v>Observatorio Cultural</v>
      </c>
      <c r="O914" s="41" t="str">
        <f>+"Mapa de la Cantidad de Espacios Culturales por Comuna en la "&amp;I914&amp;", "&amp;Agencia[[#This Row],[temporalidad]]</f>
        <v>Mapa de la Cantidad de Espacios Culturales por Comuna en la Región Metropolitana, Año 2021</v>
      </c>
      <c r="P914" s="112" t="s">
        <v>5548</v>
      </c>
      <c r="Q914" s="11" t="str">
        <f t="shared" si="374"/>
        <v>Mapa de calor</v>
      </c>
      <c r="R914" s="148" t="str">
        <f>Agencia[[#This Row],[territorio]]&amp;",espacio,cultural,infraestructura,número,cantidad,"&amp;Agencia[[#This Row],[coleccion]]&amp;","&amp;Agencia[[#This Row],[sector]]&amp;","&amp;Agencia[[#This Row],[tema]]&amp;","&amp;Agencia[[#This Row],[contenido]]</f>
        <v>Región Metropolitana,espacio,cultural,infraestructura,número,cantidad,Agencia Información,Arte y cultura,Espacios culturales,Cultura</v>
      </c>
      <c r="S91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https://analytics.zoho.com/open-view/2395394000008464012?ZOHO_CRITERIA=%22Espacios_Culturales_Completo%201%22.%22C%C3%B3digo_Regi%C3%B3n%22%20%3D%2013</v>
      </c>
      <c r="T914" s="111" t="str">
        <f>"200-C-"&amp;Agencia[[#This Row],[Filtro URL]]</f>
        <v>200-C-13</v>
      </c>
      <c r="U914" s="46" t="str">
        <f t="shared" si="369"/>
        <v>#1774B9</v>
      </c>
      <c r="V914" s="93" t="str">
        <f>+Agencia[[#This Row],[idcoleccion]]&amp;"-"&amp;Agencia[[#This Row],[id]]</f>
        <v>990-0903</v>
      </c>
      <c r="W914" s="93">
        <f>+VLOOKUP(Agencia[[#This Row],[Filtro URL]],Estructura!$X$4:$Y$500,2,0)</f>
        <v>99200013</v>
      </c>
      <c r="X914" s="93" t="str">
        <f>+VLOOKUP(Agencia[[#This Row],[tema]],Estructura!$A$4:$C$500,3,0)</f>
        <v>T-1017</v>
      </c>
      <c r="Y914" s="93" t="str">
        <f>+VLOOKUP(Agencia[[#This Row],[contenido]],Estructura!$E$4:$G$500,3,0)</f>
        <v>C-1008</v>
      </c>
      <c r="Z914" s="93" t="str">
        <f>+VLOOKUP(Agencia[[#This Row],[Filtro Integrado]],Estructura!$I$4:$K$500,3,0)</f>
        <v>FI-993</v>
      </c>
      <c r="AA914" s="93" t="str">
        <f>+VLOOKUP(Agencia[[#This Row],[Muestra]],Estructura!$M$4:$O$500,3,0)</f>
        <v>M-1041</v>
      </c>
    </row>
    <row r="915" spans="1:27" ht="72" x14ac:dyDescent="0.3">
      <c r="A915" s="21" t="s">
        <v>1635</v>
      </c>
      <c r="B915" s="23">
        <f t="shared" si="381"/>
        <v>990</v>
      </c>
      <c r="C915" s="24" t="str">
        <f t="shared" si="382"/>
        <v>Agencia Información</v>
      </c>
      <c r="D915" s="72" t="str">
        <f t="shared" si="376"/>
        <v>Arte y cultura</v>
      </c>
      <c r="E915" s="19">
        <v>14</v>
      </c>
      <c r="F915" s="18" t="s">
        <v>1517</v>
      </c>
      <c r="G915" s="18" t="s">
        <v>1896</v>
      </c>
      <c r="H915" s="33" t="s">
        <v>16</v>
      </c>
      <c r="I915" s="34" t="s">
        <v>381</v>
      </c>
      <c r="J915" s="9" t="str">
        <f t="shared" si="380"/>
        <v>Ninguno</v>
      </c>
      <c r="K915" s="142" t="s">
        <v>1517</v>
      </c>
      <c r="L915" s="36" t="str">
        <f t="shared" si="377"/>
        <v>Año 2021</v>
      </c>
      <c r="M915" s="9" t="str">
        <f t="shared" si="378"/>
        <v>Número de espacios culturales</v>
      </c>
      <c r="N915" s="9" t="str">
        <f t="shared" si="379"/>
        <v>Observatorio Cultural</v>
      </c>
      <c r="O915" s="41" t="str">
        <f>+"Mapa de la Cantidad de Espacios Culturales por Comuna en la "&amp;I915&amp;", "&amp;Agencia[[#This Row],[temporalidad]]</f>
        <v>Mapa de la Cantidad de Espacios Culturales por Comuna en la Región de Los Ríos, Año 2021</v>
      </c>
      <c r="P915" s="112" t="s">
        <v>5549</v>
      </c>
      <c r="Q915" s="11" t="str">
        <f t="shared" si="374"/>
        <v>Mapa de calor</v>
      </c>
      <c r="R915" s="148" t="str">
        <f>Agencia[[#This Row],[territorio]]&amp;",espacio,cultural,infraestructura,número,cantidad,"&amp;Agencia[[#This Row],[coleccion]]&amp;","&amp;Agencia[[#This Row],[sector]]&amp;","&amp;Agencia[[#This Row],[tema]]&amp;","&amp;Agencia[[#This Row],[contenido]]</f>
        <v>Región de Los Ríos,espacio,cultural,infraestructura,número,cantidad,Agencia Información,Arte y cultura,Espacios culturales,Cultura</v>
      </c>
      <c r="S91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https://analytics.zoho.com/open-view/2395394000008464012?ZOHO_CRITERIA=%22Espacios_Culturales_Completo%201%22.%22C%C3%B3digo_Regi%C3%B3n%22%20%3D%2014</v>
      </c>
      <c r="T915" s="111" t="str">
        <f>"100-C-"&amp;Agencia[[#This Row],[Filtro URL]]</f>
        <v>100-C-14</v>
      </c>
      <c r="U915" s="46" t="str">
        <f t="shared" si="369"/>
        <v>#1774B9</v>
      </c>
      <c r="V915" s="93" t="str">
        <f>+Agencia[[#This Row],[idcoleccion]]&amp;"-"&amp;Agencia[[#This Row],[id]]</f>
        <v>990-0904</v>
      </c>
      <c r="W915" s="93">
        <f>+VLOOKUP(Agencia[[#This Row],[Filtro URL]],Estructura!$X$4:$Y$500,2,0)</f>
        <v>99200014</v>
      </c>
      <c r="X915" s="93" t="str">
        <f>+VLOOKUP(Agencia[[#This Row],[tema]],Estructura!$A$4:$C$500,3,0)</f>
        <v>T-1017</v>
      </c>
      <c r="Y915" s="93" t="str">
        <f>+VLOOKUP(Agencia[[#This Row],[contenido]],Estructura!$E$4:$G$500,3,0)</f>
        <v>C-1008</v>
      </c>
      <c r="Z915" s="93" t="str">
        <f>+VLOOKUP(Agencia[[#This Row],[Filtro Integrado]],Estructura!$I$4:$K$500,3,0)</f>
        <v>FI-993</v>
      </c>
      <c r="AA915" s="93" t="str">
        <f>+VLOOKUP(Agencia[[#This Row],[Muestra]],Estructura!$M$4:$O$500,3,0)</f>
        <v>M-1041</v>
      </c>
    </row>
    <row r="916" spans="1:27" ht="72" x14ac:dyDescent="0.3">
      <c r="A916" s="21" t="s">
        <v>1636</v>
      </c>
      <c r="B916" s="23">
        <f t="shared" si="381"/>
        <v>990</v>
      </c>
      <c r="C916" s="24" t="str">
        <f t="shared" si="382"/>
        <v>Agencia Información</v>
      </c>
      <c r="D916" s="72" t="str">
        <f t="shared" si="376"/>
        <v>Arte y cultura</v>
      </c>
      <c r="E916" s="19">
        <v>15</v>
      </c>
      <c r="F916" s="18" t="s">
        <v>1517</v>
      </c>
      <c r="G916" s="18" t="s">
        <v>1896</v>
      </c>
      <c r="H916" s="33" t="s">
        <v>16</v>
      </c>
      <c r="I916" s="34" t="s">
        <v>382</v>
      </c>
      <c r="J916" s="9" t="str">
        <f t="shared" si="380"/>
        <v>Ninguno</v>
      </c>
      <c r="K916" s="142" t="s">
        <v>1517</v>
      </c>
      <c r="L916" s="36" t="str">
        <f t="shared" si="377"/>
        <v>Año 2021</v>
      </c>
      <c r="M916" s="9" t="str">
        <f t="shared" si="378"/>
        <v>Número de espacios culturales</v>
      </c>
      <c r="N916" s="9" t="str">
        <f t="shared" si="379"/>
        <v>Observatorio Cultural</v>
      </c>
      <c r="O916" s="41" t="str">
        <f>+"Mapa de la Cantidad de Espacios Culturales por Comuna en la "&amp;I916&amp;", "&amp;Agencia[[#This Row],[temporalidad]]</f>
        <v>Mapa de la Cantidad de Espacios Culturales por Comuna en la Región de Arica y Parinacota, Año 2021</v>
      </c>
      <c r="P916" s="112" t="s">
        <v>5550</v>
      </c>
      <c r="Q916" s="11" t="str">
        <f t="shared" si="374"/>
        <v>Mapa de calor</v>
      </c>
      <c r="R916" s="148" t="str">
        <f>Agencia[[#This Row],[territorio]]&amp;",espacio,cultural,infraestructura,número,cantidad,"&amp;Agencia[[#This Row],[coleccion]]&amp;","&amp;Agencia[[#This Row],[sector]]&amp;","&amp;Agencia[[#This Row],[tema]]&amp;","&amp;Agencia[[#This Row],[contenido]]</f>
        <v>Región de Arica y Parinacota,espacio,cultural,infraestructura,número,cantidad,Agencia Información,Arte y cultura,Espacios culturales,Cultura</v>
      </c>
      <c r="S91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https://analytics.zoho.com/open-view/2395394000008464012?ZOHO_CRITERIA=%22Espacios_Culturales_Completo%201%22.%22C%C3%B3digo_Regi%C3%B3n%22%20%3D%2015</v>
      </c>
      <c r="T916" s="111" t="str">
        <f>"100-C-"&amp;Agencia[[#This Row],[Filtro URL]]</f>
        <v>100-C-15</v>
      </c>
      <c r="U916" s="46" t="str">
        <f t="shared" si="369"/>
        <v>#1774B9</v>
      </c>
      <c r="V916" s="93" t="str">
        <f>+Agencia[[#This Row],[idcoleccion]]&amp;"-"&amp;Agencia[[#This Row],[id]]</f>
        <v>990-0905</v>
      </c>
      <c r="W916" s="93">
        <f>+VLOOKUP(Agencia[[#This Row],[Filtro URL]],Estructura!$X$4:$Y$500,2,0)</f>
        <v>99200015</v>
      </c>
      <c r="X916" s="93" t="str">
        <f>+VLOOKUP(Agencia[[#This Row],[tema]],Estructura!$A$4:$C$500,3,0)</f>
        <v>T-1017</v>
      </c>
      <c r="Y916" s="93" t="str">
        <f>+VLOOKUP(Agencia[[#This Row],[contenido]],Estructura!$E$4:$G$500,3,0)</f>
        <v>C-1008</v>
      </c>
      <c r="Z916" s="93" t="str">
        <f>+VLOOKUP(Agencia[[#This Row],[Filtro Integrado]],Estructura!$I$4:$K$500,3,0)</f>
        <v>FI-993</v>
      </c>
      <c r="AA916" s="93" t="str">
        <f>+VLOOKUP(Agencia[[#This Row],[Muestra]],Estructura!$M$4:$O$500,3,0)</f>
        <v>M-1041</v>
      </c>
    </row>
    <row r="917" spans="1:27" ht="72" x14ac:dyDescent="0.3">
      <c r="A917" s="21" t="s">
        <v>1637</v>
      </c>
      <c r="B917" s="23">
        <f t="shared" si="381"/>
        <v>990</v>
      </c>
      <c r="C917" s="24" t="str">
        <f t="shared" si="382"/>
        <v>Agencia Información</v>
      </c>
      <c r="D917" s="72" t="str">
        <f t="shared" si="376"/>
        <v>Arte y cultura</v>
      </c>
      <c r="E917" s="19">
        <v>16</v>
      </c>
      <c r="F917" s="18" t="s">
        <v>1517</v>
      </c>
      <c r="G917" s="18" t="s">
        <v>1896</v>
      </c>
      <c r="H917" s="33" t="s">
        <v>16</v>
      </c>
      <c r="I917" s="34" t="s">
        <v>383</v>
      </c>
      <c r="J917" s="9" t="str">
        <f t="shared" si="380"/>
        <v>Ninguno</v>
      </c>
      <c r="K917" s="142" t="s">
        <v>1517</v>
      </c>
      <c r="L917" s="36" t="str">
        <f t="shared" si="377"/>
        <v>Año 2021</v>
      </c>
      <c r="M917" s="9" t="str">
        <f t="shared" si="378"/>
        <v>Número de espacios culturales</v>
      </c>
      <c r="N917" s="9" t="str">
        <f t="shared" si="379"/>
        <v>Observatorio Cultural</v>
      </c>
      <c r="O917" s="41" t="str">
        <f>+"Mapa de la Cantidad de Espacios Culturales por Comuna en la "&amp;I917&amp;", "&amp;Agencia[[#This Row],[temporalidad]]</f>
        <v>Mapa de la Cantidad de Espacios Culturales por Comuna en la Región de Ñuble, Año 2021</v>
      </c>
      <c r="P917" s="112" t="s">
        <v>5595</v>
      </c>
      <c r="Q917" s="11" t="str">
        <f t="shared" si="374"/>
        <v>Mapa de calor</v>
      </c>
      <c r="R917" s="148" t="str">
        <f>Agencia[[#This Row],[territorio]]&amp;",espacio,cultural,infraestructura,número,cantidad,"&amp;Agencia[[#This Row],[coleccion]]&amp;","&amp;Agencia[[#This Row],[sector]]&amp;","&amp;Agencia[[#This Row],[tema]]&amp;","&amp;Agencia[[#This Row],[contenido]]</f>
        <v>Región de Ñuble,espacio,cultural,infraestructura,número,cantidad,Agencia Información,Arte y cultura,Espacios culturales,Cultura</v>
      </c>
      <c r="S91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https://analytics.zoho.com/open-view/2395394000008464012?ZOHO_CRITERIA=%22Espacios_Culturales_Completo%201%22.%22C%C3%B3digo_Regi%C3%B3n%22%20%3D%2016</v>
      </c>
      <c r="T917" s="111" t="str">
        <f>"100-C-"&amp;Agencia[[#This Row],[Filtro URL]]</f>
        <v>100-C-16</v>
      </c>
      <c r="U917" s="46" t="str">
        <f t="shared" si="369"/>
        <v>#1774B9</v>
      </c>
      <c r="V917" s="93" t="str">
        <f>+Agencia[[#This Row],[idcoleccion]]&amp;"-"&amp;Agencia[[#This Row],[id]]</f>
        <v>990-0906</v>
      </c>
      <c r="W917" s="93">
        <f>+VLOOKUP(Agencia[[#This Row],[Filtro URL]],Estructura!$X$4:$Y$500,2,0)</f>
        <v>99200016</v>
      </c>
      <c r="X917" s="93" t="str">
        <f>+VLOOKUP(Agencia[[#This Row],[tema]],Estructura!$A$4:$C$500,3,0)</f>
        <v>T-1017</v>
      </c>
      <c r="Y917" s="93" t="str">
        <f>+VLOOKUP(Agencia[[#This Row],[contenido]],Estructura!$E$4:$G$500,3,0)</f>
        <v>C-1008</v>
      </c>
      <c r="Z917" s="93" t="str">
        <f>+VLOOKUP(Agencia[[#This Row],[Filtro Integrado]],Estructura!$I$4:$K$500,3,0)</f>
        <v>FI-993</v>
      </c>
      <c r="AA917" s="93" t="str">
        <f>+VLOOKUP(Agencia[[#This Row],[Muestra]],Estructura!$M$4:$O$500,3,0)</f>
        <v>M-1041</v>
      </c>
    </row>
    <row r="918" spans="1:27" ht="40.799999999999997" x14ac:dyDescent="0.3">
      <c r="A918" s="21" t="s">
        <v>1638</v>
      </c>
      <c r="B918" s="23">
        <f t="shared" si="381"/>
        <v>990</v>
      </c>
      <c r="C918" s="24" t="str">
        <f t="shared" si="382"/>
        <v>Agencia Información</v>
      </c>
      <c r="D918" s="72" t="s">
        <v>603</v>
      </c>
      <c r="E918" s="14">
        <v>0</v>
      </c>
      <c r="F918" s="18" t="s">
        <v>5157</v>
      </c>
      <c r="G918" s="18" t="s">
        <v>1896</v>
      </c>
      <c r="H918" s="31" t="s">
        <v>20</v>
      </c>
      <c r="I918" s="32" t="s">
        <v>15</v>
      </c>
      <c r="J918" s="9" t="s">
        <v>18</v>
      </c>
      <c r="K918" s="142" t="s">
        <v>1517</v>
      </c>
      <c r="L918" s="36" t="s">
        <v>596</v>
      </c>
      <c r="M918" s="9" t="s">
        <v>606</v>
      </c>
      <c r="N918" s="9" t="s">
        <v>607</v>
      </c>
      <c r="O918" s="41" t="str">
        <f>+"Cantidad de Espacios Culturales por Fuente de Financiamiento y Región en "&amp;I918&amp;", "&amp;Agencia[[#This Row],[temporalidad]]</f>
        <v>Cantidad de Espacios Culturales por Fuente de Financiamiento y Región en Chile, Año 2021</v>
      </c>
      <c r="P918" s="112" t="s">
        <v>5633</v>
      </c>
      <c r="Q918" s="11" t="s">
        <v>576</v>
      </c>
      <c r="R918" s="20" t="str">
        <f>Agencia[[#This Row],[territorio]]&amp;",espacio,cultural,infraestructura,fuente,financiamiento,pública,privada,mixta,"&amp;Agencia[[#This Row],[coleccion]]&amp;","&amp;Agencia[[#This Row],[sector]]&amp;","&amp;Agencia[[#This Row],[tema]]&amp;","&amp;Agencia[[#This Row],[contenido]]</f>
        <v>Chile,espacio,cultural,infraestructura,fuente,financiamiento,pública,privada,mixta,Agencia Información,Arte y cultura,Financiamiento de espacios culturales,Cultura</v>
      </c>
      <c r="S918" s="37" t="s">
        <v>1520</v>
      </c>
      <c r="T918" s="108" t="s">
        <v>957</v>
      </c>
      <c r="U918" s="46" t="str">
        <f t="shared" si="369"/>
        <v>#1774B9</v>
      </c>
      <c r="V918" s="93" t="str">
        <f>+Agencia[[#This Row],[idcoleccion]]&amp;"-"&amp;Agencia[[#This Row],[id]]</f>
        <v>990-0907</v>
      </c>
      <c r="W918" s="93">
        <f>+VLOOKUP(Agencia[[#This Row],[Filtro URL]],Estructura!$X$4:$Y$500,2,0)</f>
        <v>99100000</v>
      </c>
      <c r="X918" s="93" t="str">
        <f>+VLOOKUP(Agencia[[#This Row],[tema]],Estructura!$A$4:$C$500,3,0)</f>
        <v>T-1085</v>
      </c>
      <c r="Y918" s="93" t="str">
        <f>+VLOOKUP(Agencia[[#This Row],[contenido]],Estructura!$E$4:$G$500,3,0)</f>
        <v>C-1008</v>
      </c>
      <c r="Z918" s="93" t="str">
        <f>+VLOOKUP(Agencia[[#This Row],[Filtro Integrado]],Estructura!$I$4:$K$500,3,0)</f>
        <v>FI-991</v>
      </c>
      <c r="AA918" s="93" t="str">
        <f>+VLOOKUP(Agencia[[#This Row],[Muestra]],Estructura!$M$4:$O$500,3,0)</f>
        <v>M-1041</v>
      </c>
    </row>
    <row r="919" spans="1:27" ht="72" x14ac:dyDescent="0.3">
      <c r="A919" s="21" t="s">
        <v>1639</v>
      </c>
      <c r="B919" s="23">
        <f t="shared" si="381"/>
        <v>990</v>
      </c>
      <c r="C919" s="24" t="str">
        <f t="shared" si="382"/>
        <v>Agencia Información</v>
      </c>
      <c r="D919" s="72" t="str">
        <f t="shared" ref="D919:D934" si="383">+D918</f>
        <v>Arte y cultura</v>
      </c>
      <c r="E919" s="19">
        <v>1</v>
      </c>
      <c r="F919" s="69" t="s">
        <v>5157</v>
      </c>
      <c r="G919" s="18" t="s">
        <v>1896</v>
      </c>
      <c r="H919" s="33" t="s">
        <v>16</v>
      </c>
      <c r="I919" s="34" t="s">
        <v>368</v>
      </c>
      <c r="J919" s="9" t="s">
        <v>18</v>
      </c>
      <c r="K919" s="142" t="s">
        <v>1517</v>
      </c>
      <c r="L919" s="36" t="str">
        <f t="shared" ref="L919:L934" si="384">+L918</f>
        <v>Año 2021</v>
      </c>
      <c r="M919" s="9" t="str">
        <f t="shared" ref="M919:M934" si="385">+M918</f>
        <v>Número de espacios culturales</v>
      </c>
      <c r="N919" s="9" t="str">
        <f t="shared" ref="N919:N934" si="386">+N918</f>
        <v>Observatorio Cultural</v>
      </c>
      <c r="O919" s="41" t="str">
        <f>+"Cantidad de Espacios Culturales por Fuente de Financiamiento en la "&amp;I919&amp;", "&amp;Agencia[[#This Row],[temporalidad]]</f>
        <v>Cantidad de Espacios Culturales por Fuente de Financiamiento en la Región de Tarapacá, Año 2021</v>
      </c>
      <c r="P919" s="112" t="s">
        <v>5596</v>
      </c>
      <c r="Q919" s="11" t="str">
        <f t="shared" si="374"/>
        <v>Gráfico</v>
      </c>
      <c r="R919" s="148" t="str">
        <f>Agencia[[#This Row],[territorio]]&amp;",espacio,cultural,infraestructura,fuente,financiamiento,pública,privada,mixta,"&amp;Agencia[[#This Row],[coleccion]]&amp;","&amp;Agencia[[#This Row],[sector]]&amp;","&amp;Agencia[[#This Row],[tema]]&amp;","&amp;Agencia[[#This Row],[contenido]]</f>
        <v>Región de Tarapacá,espacio,cultural,infraestructura,fuente,financiamiento,pública,privada,mixta,Agencia Información,Arte y cultura,Financiamiento de espacios culturales,Cultura</v>
      </c>
      <c r="S91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v>
      </c>
      <c r="T919" s="111" t="str">
        <f>"100-C-"&amp;Agencia[[#This Row],[Filtro URL]]</f>
        <v>100-C-1</v>
      </c>
      <c r="U919" s="46" t="str">
        <f t="shared" si="369"/>
        <v>#1774B9</v>
      </c>
      <c r="V919" s="93" t="str">
        <f>+Agencia[[#This Row],[idcoleccion]]&amp;"-"&amp;Agencia[[#This Row],[id]]</f>
        <v>990-0908</v>
      </c>
      <c r="W919" s="93">
        <f>+VLOOKUP(Agencia[[#This Row],[Filtro URL]],Estructura!$X$4:$Y$500,2,0)</f>
        <v>99200001</v>
      </c>
      <c r="X919" s="93" t="str">
        <f>+VLOOKUP(Agencia[[#This Row],[tema]],Estructura!$A$4:$C$500,3,0)</f>
        <v>T-1085</v>
      </c>
      <c r="Y919" s="93" t="str">
        <f>+VLOOKUP(Agencia[[#This Row],[contenido]],Estructura!$E$4:$G$500,3,0)</f>
        <v>C-1008</v>
      </c>
      <c r="Z919" s="93" t="str">
        <f>+VLOOKUP(Agencia[[#This Row],[Filtro Integrado]],Estructura!$I$4:$K$500,3,0)</f>
        <v>FI-991</v>
      </c>
      <c r="AA919" s="93" t="str">
        <f>+VLOOKUP(Agencia[[#This Row],[Muestra]],Estructura!$M$4:$O$500,3,0)</f>
        <v>M-1041</v>
      </c>
    </row>
    <row r="920" spans="1:27" ht="72" x14ac:dyDescent="0.3">
      <c r="A920" s="21" t="s">
        <v>1640</v>
      </c>
      <c r="B920" s="23">
        <f t="shared" si="381"/>
        <v>990</v>
      </c>
      <c r="C920" s="24" t="str">
        <f t="shared" si="382"/>
        <v>Agencia Información</v>
      </c>
      <c r="D920" s="72" t="str">
        <f t="shared" si="383"/>
        <v>Arte y cultura</v>
      </c>
      <c r="E920" s="19">
        <v>2</v>
      </c>
      <c r="F920" s="69" t="s">
        <v>5157</v>
      </c>
      <c r="G920" s="18" t="s">
        <v>1896</v>
      </c>
      <c r="H920" s="33" t="s">
        <v>16</v>
      </c>
      <c r="I920" s="34" t="s">
        <v>369</v>
      </c>
      <c r="J920" s="9" t="str">
        <f t="shared" ref="J920:J934" si="387">+J919</f>
        <v>Comuna</v>
      </c>
      <c r="K920" s="142" t="s">
        <v>1517</v>
      </c>
      <c r="L920" s="36" t="str">
        <f t="shared" si="384"/>
        <v>Año 2021</v>
      </c>
      <c r="M920" s="9" t="str">
        <f t="shared" si="385"/>
        <v>Número de espacios culturales</v>
      </c>
      <c r="N920" s="9" t="str">
        <f t="shared" si="386"/>
        <v>Observatorio Cultural</v>
      </c>
      <c r="O920" s="41" t="str">
        <f>+"Cantidad de Espacios Culturales por Fuente de Financiamiento en la "&amp;I920&amp;", "&amp;Agencia[[#This Row],[temporalidad]]</f>
        <v>Cantidad de Espacios Culturales por Fuente de Financiamiento en la Región de Antofagasta, Año 2021</v>
      </c>
      <c r="P920" s="112" t="s">
        <v>5634</v>
      </c>
      <c r="Q920" s="11" t="str">
        <f t="shared" si="374"/>
        <v>Gráfico</v>
      </c>
      <c r="R920" s="148" t="str">
        <f>Agencia[[#This Row],[territorio]]&amp;",espacio,cultural,infraestructura,fuente,financiamiento,pública,privada,mixta,"&amp;Agencia[[#This Row],[coleccion]]&amp;","&amp;Agencia[[#This Row],[sector]]&amp;","&amp;Agencia[[#This Row],[tema]]&amp;","&amp;Agencia[[#This Row],[contenido]]</f>
        <v>Región de Antofagasta,espacio,cultural,infraestructura,fuente,financiamiento,pública,privada,mixta,Agencia Información,Arte y cultura,Financiamiento de espacios culturales,Cultura</v>
      </c>
      <c r="S92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https://analytics.zoho.com/open-view/2395394000008464140?ZOHO_CRITERIA=%22Espacios_Culturales_Completo%201%22.%22C%C3%B3digo_Regi%C3%B3n%22%20%3D%202</v>
      </c>
      <c r="T920" s="111" t="str">
        <f>"100-C-"&amp;Agencia[[#This Row],[Filtro URL]]</f>
        <v>100-C-2</v>
      </c>
      <c r="U920" s="46" t="str">
        <f t="shared" si="369"/>
        <v>#1774B9</v>
      </c>
      <c r="V920" s="93" t="str">
        <f>+Agencia[[#This Row],[idcoleccion]]&amp;"-"&amp;Agencia[[#This Row],[id]]</f>
        <v>990-0909</v>
      </c>
      <c r="W920" s="93">
        <f>+VLOOKUP(Agencia[[#This Row],[Filtro URL]],Estructura!$X$4:$Y$500,2,0)</f>
        <v>99200002</v>
      </c>
      <c r="X920" s="93" t="str">
        <f>+VLOOKUP(Agencia[[#This Row],[tema]],Estructura!$A$4:$C$500,3,0)</f>
        <v>T-1085</v>
      </c>
      <c r="Y920" s="93" t="str">
        <f>+VLOOKUP(Agencia[[#This Row],[contenido]],Estructura!$E$4:$G$500,3,0)</f>
        <v>C-1008</v>
      </c>
      <c r="Z920" s="93" t="str">
        <f>+VLOOKUP(Agencia[[#This Row],[Filtro Integrado]],Estructura!$I$4:$K$500,3,0)</f>
        <v>FI-991</v>
      </c>
      <c r="AA920" s="93" t="str">
        <f>+VLOOKUP(Agencia[[#This Row],[Muestra]],Estructura!$M$4:$O$500,3,0)</f>
        <v>M-1041</v>
      </c>
    </row>
    <row r="921" spans="1:27" ht="72" x14ac:dyDescent="0.3">
      <c r="A921" s="21" t="s">
        <v>1641</v>
      </c>
      <c r="B921" s="23">
        <f t="shared" si="381"/>
        <v>990</v>
      </c>
      <c r="C921" s="24" t="str">
        <f t="shared" si="382"/>
        <v>Agencia Información</v>
      </c>
      <c r="D921" s="72" t="str">
        <f t="shared" si="383"/>
        <v>Arte y cultura</v>
      </c>
      <c r="E921" s="19">
        <v>3</v>
      </c>
      <c r="F921" s="69" t="s">
        <v>5157</v>
      </c>
      <c r="G921" s="18" t="s">
        <v>1896</v>
      </c>
      <c r="H921" s="33" t="s">
        <v>16</v>
      </c>
      <c r="I921" s="34" t="s">
        <v>370</v>
      </c>
      <c r="J921" s="9" t="str">
        <f t="shared" si="387"/>
        <v>Comuna</v>
      </c>
      <c r="K921" s="142" t="s">
        <v>1517</v>
      </c>
      <c r="L921" s="36" t="str">
        <f t="shared" si="384"/>
        <v>Año 2021</v>
      </c>
      <c r="M921" s="9" t="str">
        <f t="shared" si="385"/>
        <v>Número de espacios culturales</v>
      </c>
      <c r="N921" s="9" t="str">
        <f t="shared" si="386"/>
        <v>Observatorio Cultural</v>
      </c>
      <c r="O921" s="41" t="str">
        <f>+"Cantidad de Espacios Culturales por Fuente de Financiamiento en la "&amp;I921&amp;", "&amp;Agencia[[#This Row],[temporalidad]]</f>
        <v>Cantidad de Espacios Culturales por Fuente de Financiamiento en la Región de Atacama, Año 2021</v>
      </c>
      <c r="P921" s="112" t="s">
        <v>5597</v>
      </c>
      <c r="Q921" s="11" t="str">
        <f t="shared" si="374"/>
        <v>Gráfico</v>
      </c>
      <c r="R921" s="148" t="str">
        <f>Agencia[[#This Row],[territorio]]&amp;",espacio,cultural,infraestructura,fuente,financiamiento,pública,privada,mixta,"&amp;Agencia[[#This Row],[coleccion]]&amp;","&amp;Agencia[[#This Row],[sector]]&amp;","&amp;Agencia[[#This Row],[tema]]&amp;","&amp;Agencia[[#This Row],[contenido]]</f>
        <v>Región de Atacama,espacio,cultural,infraestructura,fuente,financiamiento,pública,privada,mixta,Agencia Información,Arte y cultura,Financiamiento de espacios culturales,Cultura</v>
      </c>
      <c r="S92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https://analytics.zoho.com/open-view/2395394000008464140?ZOHO_CRITERIA=%22Espacios_Culturales_Completo%201%22.%22C%C3%B3digo_Regi%C3%B3n%22%20%3D%203</v>
      </c>
      <c r="T921" s="111" t="str">
        <f>"100-C-"&amp;Agencia[[#This Row],[Filtro URL]]</f>
        <v>100-C-3</v>
      </c>
      <c r="U921" s="46" t="str">
        <f t="shared" si="369"/>
        <v>#1774B9</v>
      </c>
      <c r="V921" s="93" t="str">
        <f>+Agencia[[#This Row],[idcoleccion]]&amp;"-"&amp;Agencia[[#This Row],[id]]</f>
        <v>990-0910</v>
      </c>
      <c r="W921" s="93">
        <f>+VLOOKUP(Agencia[[#This Row],[Filtro URL]],Estructura!$X$4:$Y$500,2,0)</f>
        <v>99200003</v>
      </c>
      <c r="X921" s="93" t="str">
        <f>+VLOOKUP(Agencia[[#This Row],[tema]],Estructura!$A$4:$C$500,3,0)</f>
        <v>T-1085</v>
      </c>
      <c r="Y921" s="93" t="str">
        <f>+VLOOKUP(Agencia[[#This Row],[contenido]],Estructura!$E$4:$G$500,3,0)</f>
        <v>C-1008</v>
      </c>
      <c r="Z921" s="93" t="str">
        <f>+VLOOKUP(Agencia[[#This Row],[Filtro Integrado]],Estructura!$I$4:$K$500,3,0)</f>
        <v>FI-991</v>
      </c>
      <c r="AA921" s="93" t="str">
        <f>+VLOOKUP(Agencia[[#This Row],[Muestra]],Estructura!$M$4:$O$500,3,0)</f>
        <v>M-1041</v>
      </c>
    </row>
    <row r="922" spans="1:27" ht="72" x14ac:dyDescent="0.3">
      <c r="A922" s="21" t="s">
        <v>1642</v>
      </c>
      <c r="B922" s="23">
        <f t="shared" si="381"/>
        <v>990</v>
      </c>
      <c r="C922" s="24" t="str">
        <f t="shared" si="382"/>
        <v>Agencia Información</v>
      </c>
      <c r="D922" s="72" t="str">
        <f t="shared" si="383"/>
        <v>Arte y cultura</v>
      </c>
      <c r="E922" s="19">
        <v>4</v>
      </c>
      <c r="F922" s="69" t="s">
        <v>5157</v>
      </c>
      <c r="G922" s="18" t="s">
        <v>1896</v>
      </c>
      <c r="H922" s="33" t="s">
        <v>16</v>
      </c>
      <c r="I922" s="34" t="s">
        <v>371</v>
      </c>
      <c r="J922" s="9" t="str">
        <f t="shared" si="387"/>
        <v>Comuna</v>
      </c>
      <c r="K922" s="142" t="s">
        <v>1517</v>
      </c>
      <c r="L922" s="36" t="str">
        <f t="shared" si="384"/>
        <v>Año 2021</v>
      </c>
      <c r="M922" s="9" t="str">
        <f t="shared" si="385"/>
        <v>Número de espacios culturales</v>
      </c>
      <c r="N922" s="9" t="str">
        <f t="shared" si="386"/>
        <v>Observatorio Cultural</v>
      </c>
      <c r="O922" s="41" t="str">
        <f>+"Cantidad de Espacios Culturales por Fuente de Financiamiento en la "&amp;I922&amp;", "&amp;Agencia[[#This Row],[temporalidad]]</f>
        <v>Cantidad de Espacios Culturales por Fuente de Financiamiento en la Región de Coquimbo, Año 2021</v>
      </c>
      <c r="P922" s="112" t="s">
        <v>5635</v>
      </c>
      <c r="Q922" s="11" t="str">
        <f t="shared" si="374"/>
        <v>Gráfico</v>
      </c>
      <c r="R922" s="148" t="str">
        <f>Agencia[[#This Row],[territorio]]&amp;",espacio,cultural,infraestructura,fuente,financiamiento,pública,privada,mixta,"&amp;Agencia[[#This Row],[coleccion]]&amp;","&amp;Agencia[[#This Row],[sector]]&amp;","&amp;Agencia[[#This Row],[tema]]&amp;","&amp;Agencia[[#This Row],[contenido]]</f>
        <v>Región de Coquimbo,espacio,cultural,infraestructura,fuente,financiamiento,pública,privada,mixta,Agencia Información,Arte y cultura,Financiamiento de espacios culturales,Cultura</v>
      </c>
      <c r="S92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https://analytics.zoho.com/open-view/2395394000008464140?ZOHO_CRITERIA=%22Espacios_Culturales_Completo%201%22.%22C%C3%B3digo_Regi%C3%B3n%22%20%3D%204</v>
      </c>
      <c r="T922" s="111" t="str">
        <f>"100-C-"&amp;Agencia[[#This Row],[Filtro URL]]</f>
        <v>100-C-4</v>
      </c>
      <c r="U922" s="46" t="str">
        <f t="shared" si="369"/>
        <v>#1774B9</v>
      </c>
      <c r="V922" s="93" t="str">
        <f>+Agencia[[#This Row],[idcoleccion]]&amp;"-"&amp;Agencia[[#This Row],[id]]</f>
        <v>990-0911</v>
      </c>
      <c r="W922" s="93">
        <f>+VLOOKUP(Agencia[[#This Row],[Filtro URL]],Estructura!$X$4:$Y$500,2,0)</f>
        <v>99200004</v>
      </c>
      <c r="X922" s="93" t="str">
        <f>+VLOOKUP(Agencia[[#This Row],[tema]],Estructura!$A$4:$C$500,3,0)</f>
        <v>T-1085</v>
      </c>
      <c r="Y922" s="93" t="str">
        <f>+VLOOKUP(Agencia[[#This Row],[contenido]],Estructura!$E$4:$G$500,3,0)</f>
        <v>C-1008</v>
      </c>
      <c r="Z922" s="93" t="str">
        <f>+VLOOKUP(Agencia[[#This Row],[Filtro Integrado]],Estructura!$I$4:$K$500,3,0)</f>
        <v>FI-991</v>
      </c>
      <c r="AA922" s="93" t="str">
        <f>+VLOOKUP(Agencia[[#This Row],[Muestra]],Estructura!$M$4:$O$500,3,0)</f>
        <v>M-1041</v>
      </c>
    </row>
    <row r="923" spans="1:27" ht="72" x14ac:dyDescent="0.3">
      <c r="A923" s="21" t="s">
        <v>1643</v>
      </c>
      <c r="B923" s="23">
        <f t="shared" si="381"/>
        <v>990</v>
      </c>
      <c r="C923" s="24" t="str">
        <f t="shared" si="382"/>
        <v>Agencia Información</v>
      </c>
      <c r="D923" s="72" t="str">
        <f t="shared" si="383"/>
        <v>Arte y cultura</v>
      </c>
      <c r="E923" s="19">
        <v>5</v>
      </c>
      <c r="F923" s="69" t="s">
        <v>5157</v>
      </c>
      <c r="G923" s="18" t="s">
        <v>1896</v>
      </c>
      <c r="H923" s="33" t="s">
        <v>16</v>
      </c>
      <c r="I923" s="34" t="s">
        <v>372</v>
      </c>
      <c r="J923" s="9" t="str">
        <f t="shared" si="387"/>
        <v>Comuna</v>
      </c>
      <c r="K923" s="142" t="s">
        <v>1517</v>
      </c>
      <c r="L923" s="36" t="str">
        <f t="shared" si="384"/>
        <v>Año 2021</v>
      </c>
      <c r="M923" s="9" t="str">
        <f t="shared" si="385"/>
        <v>Número de espacios culturales</v>
      </c>
      <c r="N923" s="9" t="str">
        <f t="shared" si="386"/>
        <v>Observatorio Cultural</v>
      </c>
      <c r="O923" s="41" t="str">
        <f>+"Cantidad de Espacios Culturales por Fuente de Financiamiento en la "&amp;I923&amp;", "&amp;Agencia[[#This Row],[temporalidad]]</f>
        <v>Cantidad de Espacios Culturales por Fuente de Financiamiento en la Región de Valparaíso, Año 2021</v>
      </c>
      <c r="P923" s="112" t="s">
        <v>5636</v>
      </c>
      <c r="Q923" s="11" t="str">
        <f t="shared" si="374"/>
        <v>Gráfico</v>
      </c>
      <c r="R923" s="148" t="str">
        <f>Agencia[[#This Row],[territorio]]&amp;",espacio,cultural,infraestructura,fuente,financiamiento,pública,privada,mixta,"&amp;Agencia[[#This Row],[coleccion]]&amp;","&amp;Agencia[[#This Row],[sector]]&amp;","&amp;Agencia[[#This Row],[tema]]&amp;","&amp;Agencia[[#This Row],[contenido]]</f>
        <v>Región de Valparaíso,espacio,cultural,infraestructura,fuente,financiamiento,pública,privada,mixta,Agencia Información,Arte y cultura,Financiamiento de espacios culturales,Cultura</v>
      </c>
      <c r="S92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https://analytics.zoho.com/open-view/2395394000008464140?ZOHO_CRITERIA=%22Espacios_Culturales_Completo%201%22.%22C%C3%B3digo_Regi%C3%B3n%22%20%3D%205</v>
      </c>
      <c r="T923" s="111" t="str">
        <f>"100-C-"&amp;Agencia[[#This Row],[Filtro URL]]</f>
        <v>100-C-5</v>
      </c>
      <c r="U923" s="46" t="str">
        <f t="shared" si="369"/>
        <v>#1774B9</v>
      </c>
      <c r="V923" s="93" t="str">
        <f>+Agencia[[#This Row],[idcoleccion]]&amp;"-"&amp;Agencia[[#This Row],[id]]</f>
        <v>990-0912</v>
      </c>
      <c r="W923" s="93">
        <f>+VLOOKUP(Agencia[[#This Row],[Filtro URL]],Estructura!$X$4:$Y$500,2,0)</f>
        <v>99200005</v>
      </c>
      <c r="X923" s="93" t="str">
        <f>+VLOOKUP(Agencia[[#This Row],[tema]],Estructura!$A$4:$C$500,3,0)</f>
        <v>T-1085</v>
      </c>
      <c r="Y923" s="93" t="str">
        <f>+VLOOKUP(Agencia[[#This Row],[contenido]],Estructura!$E$4:$G$500,3,0)</f>
        <v>C-1008</v>
      </c>
      <c r="Z923" s="93" t="str">
        <f>+VLOOKUP(Agencia[[#This Row],[Filtro Integrado]],Estructura!$I$4:$K$500,3,0)</f>
        <v>FI-991</v>
      </c>
      <c r="AA923" s="93" t="str">
        <f>+VLOOKUP(Agencia[[#This Row],[Muestra]],Estructura!$M$4:$O$500,3,0)</f>
        <v>M-1041</v>
      </c>
    </row>
    <row r="924" spans="1:27" ht="72" x14ac:dyDescent="0.3">
      <c r="A924" s="21" t="s">
        <v>1644</v>
      </c>
      <c r="B924" s="23">
        <f t="shared" si="381"/>
        <v>990</v>
      </c>
      <c r="C924" s="24" t="str">
        <f t="shared" si="382"/>
        <v>Agencia Información</v>
      </c>
      <c r="D924" s="72" t="str">
        <f t="shared" si="383"/>
        <v>Arte y cultura</v>
      </c>
      <c r="E924" s="19">
        <v>6</v>
      </c>
      <c r="F924" s="69" t="s">
        <v>5157</v>
      </c>
      <c r="G924" s="18" t="s">
        <v>1896</v>
      </c>
      <c r="H924" s="33" t="s">
        <v>16</v>
      </c>
      <c r="I924" s="34" t="s">
        <v>373</v>
      </c>
      <c r="J924" s="9" t="str">
        <f t="shared" si="387"/>
        <v>Comuna</v>
      </c>
      <c r="K924" s="142" t="s">
        <v>1517</v>
      </c>
      <c r="L924" s="36" t="str">
        <f t="shared" si="384"/>
        <v>Año 2021</v>
      </c>
      <c r="M924" s="9" t="str">
        <f t="shared" si="385"/>
        <v>Número de espacios culturales</v>
      </c>
      <c r="N924" s="9" t="str">
        <f t="shared" si="386"/>
        <v>Observatorio Cultural</v>
      </c>
      <c r="O924" s="41" t="str">
        <f>+"Cantidad de Espacios Culturales por Fuente de Financiamiento en la "&amp;I924&amp;", "&amp;Agencia[[#This Row],[temporalidad]]</f>
        <v>Cantidad de Espacios Culturales por Fuente de Financiamiento en la Región de O'Higgins, Año 2021</v>
      </c>
      <c r="P924" s="112" t="s">
        <v>5637</v>
      </c>
      <c r="Q924" s="11" t="str">
        <f t="shared" si="374"/>
        <v>Gráfico</v>
      </c>
      <c r="R924" s="148" t="str">
        <f>Agencia[[#This Row],[territorio]]&amp;",espacio,cultural,infraestructura,fuente,financiamiento,pública,privada,mixta,"&amp;Agencia[[#This Row],[coleccion]]&amp;","&amp;Agencia[[#This Row],[sector]]&amp;","&amp;Agencia[[#This Row],[tema]]&amp;","&amp;Agencia[[#This Row],[contenido]]</f>
        <v>Región de O'Higgins,espacio,cultural,infraestructura,fuente,financiamiento,pública,privada,mixta,Agencia Información,Arte y cultura,Financiamiento de espacios culturales,Cultura</v>
      </c>
      <c r="S92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https://analytics.zoho.com/open-view/2395394000008464140?ZOHO_CRITERIA=%22Espacios_Culturales_Completo%201%22.%22C%C3%B3digo_Regi%C3%B3n%22%20%3D%206</v>
      </c>
      <c r="T924" s="111" t="str">
        <f>"100-C-"&amp;Agencia[[#This Row],[Filtro URL]]</f>
        <v>100-C-6</v>
      </c>
      <c r="U924" s="46" t="str">
        <f t="shared" si="369"/>
        <v>#1774B9</v>
      </c>
      <c r="V924" s="93" t="str">
        <f>+Agencia[[#This Row],[idcoleccion]]&amp;"-"&amp;Agencia[[#This Row],[id]]</f>
        <v>990-0913</v>
      </c>
      <c r="W924" s="93">
        <f>+VLOOKUP(Agencia[[#This Row],[Filtro URL]],Estructura!$X$4:$Y$500,2,0)</f>
        <v>99200006</v>
      </c>
      <c r="X924" s="93" t="str">
        <f>+VLOOKUP(Agencia[[#This Row],[tema]],Estructura!$A$4:$C$500,3,0)</f>
        <v>T-1085</v>
      </c>
      <c r="Y924" s="93" t="str">
        <f>+VLOOKUP(Agencia[[#This Row],[contenido]],Estructura!$E$4:$G$500,3,0)</f>
        <v>C-1008</v>
      </c>
      <c r="Z924" s="93" t="str">
        <f>+VLOOKUP(Agencia[[#This Row],[Filtro Integrado]],Estructura!$I$4:$K$500,3,0)</f>
        <v>FI-991</v>
      </c>
      <c r="AA924" s="93" t="str">
        <f>+VLOOKUP(Agencia[[#This Row],[Muestra]],Estructura!$M$4:$O$500,3,0)</f>
        <v>M-1041</v>
      </c>
    </row>
    <row r="925" spans="1:27" ht="72" x14ac:dyDescent="0.3">
      <c r="A925" s="21" t="s">
        <v>1645</v>
      </c>
      <c r="B925" s="23">
        <f t="shared" si="381"/>
        <v>990</v>
      </c>
      <c r="C925" s="24" t="str">
        <f t="shared" si="382"/>
        <v>Agencia Información</v>
      </c>
      <c r="D925" s="72" t="str">
        <f t="shared" si="383"/>
        <v>Arte y cultura</v>
      </c>
      <c r="E925" s="19">
        <v>7</v>
      </c>
      <c r="F925" s="69" t="s">
        <v>5157</v>
      </c>
      <c r="G925" s="18" t="s">
        <v>1896</v>
      </c>
      <c r="H925" s="33" t="s">
        <v>16</v>
      </c>
      <c r="I925" s="34" t="s">
        <v>374</v>
      </c>
      <c r="J925" s="9" t="str">
        <f t="shared" si="387"/>
        <v>Comuna</v>
      </c>
      <c r="K925" s="142" t="s">
        <v>1517</v>
      </c>
      <c r="L925" s="36" t="str">
        <f t="shared" si="384"/>
        <v>Año 2021</v>
      </c>
      <c r="M925" s="9" t="str">
        <f t="shared" si="385"/>
        <v>Número de espacios culturales</v>
      </c>
      <c r="N925" s="9" t="str">
        <f t="shared" si="386"/>
        <v>Observatorio Cultural</v>
      </c>
      <c r="O925" s="41" t="str">
        <f>+"Cantidad de Espacios Culturales por Fuente de Financiamiento en la "&amp;I925&amp;", "&amp;Agencia[[#This Row],[temporalidad]]</f>
        <v>Cantidad de Espacios Culturales por Fuente de Financiamiento en la Región de Maule, Año 2021</v>
      </c>
      <c r="P925" s="112" t="s">
        <v>5638</v>
      </c>
      <c r="Q925" s="11" t="str">
        <f t="shared" si="374"/>
        <v>Gráfico</v>
      </c>
      <c r="R925" s="148" t="str">
        <f>Agencia[[#This Row],[territorio]]&amp;",espacio,cultural,infraestructura,fuente,financiamiento,pública,privada,mixta,"&amp;Agencia[[#This Row],[coleccion]]&amp;","&amp;Agencia[[#This Row],[sector]]&amp;","&amp;Agencia[[#This Row],[tema]]&amp;","&amp;Agencia[[#This Row],[contenido]]</f>
        <v>Región de Maule,espacio,cultural,infraestructura,fuente,financiamiento,pública,privada,mixta,Agencia Información,Arte y cultura,Financiamiento de espacios culturales,Cultura</v>
      </c>
      <c r="S925"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https://analytics.zoho.com/open-view/2395394000008464140?ZOHO_CRITERIA=%22Espacios_Culturales_Completo%201%22.%22C%C3%B3digo_Regi%C3%B3n%22%20%3D%207</v>
      </c>
      <c r="T925" s="111" t="str">
        <f>"100-C-"&amp;Agencia[[#This Row],[Filtro URL]]</f>
        <v>100-C-7</v>
      </c>
      <c r="U925" s="46" t="str">
        <f t="shared" si="369"/>
        <v>#1774B9</v>
      </c>
      <c r="V925" s="93" t="str">
        <f>+Agencia[[#This Row],[idcoleccion]]&amp;"-"&amp;Agencia[[#This Row],[id]]</f>
        <v>990-0914</v>
      </c>
      <c r="W925" s="93">
        <f>+VLOOKUP(Agencia[[#This Row],[Filtro URL]],Estructura!$X$4:$Y$500,2,0)</f>
        <v>99200007</v>
      </c>
      <c r="X925" s="93" t="str">
        <f>+VLOOKUP(Agencia[[#This Row],[tema]],Estructura!$A$4:$C$500,3,0)</f>
        <v>T-1085</v>
      </c>
      <c r="Y925" s="93" t="str">
        <f>+VLOOKUP(Agencia[[#This Row],[contenido]],Estructura!$E$4:$G$500,3,0)</f>
        <v>C-1008</v>
      </c>
      <c r="Z925" s="93" t="str">
        <f>+VLOOKUP(Agencia[[#This Row],[Filtro Integrado]],Estructura!$I$4:$K$500,3,0)</f>
        <v>FI-991</v>
      </c>
      <c r="AA925" s="93" t="str">
        <f>+VLOOKUP(Agencia[[#This Row],[Muestra]],Estructura!$M$4:$O$500,3,0)</f>
        <v>M-1041</v>
      </c>
    </row>
    <row r="926" spans="1:27" ht="72" x14ac:dyDescent="0.3">
      <c r="A926" s="21" t="s">
        <v>1646</v>
      </c>
      <c r="B926" s="23">
        <f t="shared" si="381"/>
        <v>990</v>
      </c>
      <c r="C926" s="24" t="str">
        <f t="shared" si="382"/>
        <v>Agencia Información</v>
      </c>
      <c r="D926" s="72" t="str">
        <f t="shared" si="383"/>
        <v>Arte y cultura</v>
      </c>
      <c r="E926" s="19">
        <v>8</v>
      </c>
      <c r="F926" s="69" t="s">
        <v>5157</v>
      </c>
      <c r="G926" s="18" t="s">
        <v>1896</v>
      </c>
      <c r="H926" s="33" t="s">
        <v>16</v>
      </c>
      <c r="I926" s="34" t="s">
        <v>375</v>
      </c>
      <c r="J926" s="9" t="str">
        <f t="shared" si="387"/>
        <v>Comuna</v>
      </c>
      <c r="K926" s="142" t="s">
        <v>1517</v>
      </c>
      <c r="L926" s="36" t="str">
        <f t="shared" si="384"/>
        <v>Año 2021</v>
      </c>
      <c r="M926" s="9" t="str">
        <f t="shared" si="385"/>
        <v>Número de espacios culturales</v>
      </c>
      <c r="N926" s="9" t="str">
        <f t="shared" si="386"/>
        <v>Observatorio Cultural</v>
      </c>
      <c r="O926" s="41" t="str">
        <f>+"Cantidad de Espacios Culturales por Fuente de Financiamiento en la "&amp;I926&amp;", "&amp;Agencia[[#This Row],[temporalidad]]</f>
        <v>Cantidad de Espacios Culturales por Fuente de Financiamiento en la Región del Biobío, Año 2021</v>
      </c>
      <c r="P926" s="112" t="s">
        <v>5639</v>
      </c>
      <c r="Q926" s="11" t="str">
        <f t="shared" si="374"/>
        <v>Gráfico</v>
      </c>
      <c r="R926" s="148" t="str">
        <f>Agencia[[#This Row],[territorio]]&amp;",espacio,cultural,infraestructura,fuente,financiamiento,pública,privada,mixta,"&amp;Agencia[[#This Row],[coleccion]]&amp;","&amp;Agencia[[#This Row],[sector]]&amp;","&amp;Agencia[[#This Row],[tema]]&amp;","&amp;Agencia[[#This Row],[contenido]]</f>
        <v>Región del Biobío,espacio,cultural,infraestructura,fuente,financiamiento,pública,privada,mixta,Agencia Información,Arte y cultura,Financiamiento de espacios culturales,Cultura</v>
      </c>
      <c r="S926"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https://analytics.zoho.com/open-view/2395394000008464140?ZOHO_CRITERIA=%22Espacios_Culturales_Completo%201%22.%22C%C3%B3digo_Regi%C3%B3n%22%20%3D%208</v>
      </c>
      <c r="T926" s="111" t="str">
        <f>"100-C-"&amp;Agencia[[#This Row],[Filtro URL]]</f>
        <v>100-C-8</v>
      </c>
      <c r="U926" s="46" t="str">
        <f t="shared" si="369"/>
        <v>#1774B9</v>
      </c>
      <c r="V926" s="93" t="str">
        <f>+Agencia[[#This Row],[idcoleccion]]&amp;"-"&amp;Agencia[[#This Row],[id]]</f>
        <v>990-0915</v>
      </c>
      <c r="W926" s="93">
        <f>+VLOOKUP(Agencia[[#This Row],[Filtro URL]],Estructura!$X$4:$Y$500,2,0)</f>
        <v>99200008</v>
      </c>
      <c r="X926" s="93" t="str">
        <f>+VLOOKUP(Agencia[[#This Row],[tema]],Estructura!$A$4:$C$500,3,0)</f>
        <v>T-1085</v>
      </c>
      <c r="Y926" s="93" t="str">
        <f>+VLOOKUP(Agencia[[#This Row],[contenido]],Estructura!$E$4:$G$500,3,0)</f>
        <v>C-1008</v>
      </c>
      <c r="Z926" s="93" t="str">
        <f>+VLOOKUP(Agencia[[#This Row],[Filtro Integrado]],Estructura!$I$4:$K$500,3,0)</f>
        <v>FI-991</v>
      </c>
      <c r="AA926" s="93" t="str">
        <f>+VLOOKUP(Agencia[[#This Row],[Muestra]],Estructura!$M$4:$O$500,3,0)</f>
        <v>M-1041</v>
      </c>
    </row>
    <row r="927" spans="1:27" ht="72" x14ac:dyDescent="0.3">
      <c r="A927" s="21" t="s">
        <v>1647</v>
      </c>
      <c r="B927" s="23">
        <f t="shared" si="381"/>
        <v>990</v>
      </c>
      <c r="C927" s="24" t="str">
        <f t="shared" si="382"/>
        <v>Agencia Información</v>
      </c>
      <c r="D927" s="72" t="str">
        <f t="shared" si="383"/>
        <v>Arte y cultura</v>
      </c>
      <c r="E927" s="19">
        <v>9</v>
      </c>
      <c r="F927" s="69" t="s">
        <v>5157</v>
      </c>
      <c r="G927" s="18" t="s">
        <v>1896</v>
      </c>
      <c r="H927" s="33" t="s">
        <v>16</v>
      </c>
      <c r="I927" s="34" t="s">
        <v>376</v>
      </c>
      <c r="J927" s="9" t="str">
        <f t="shared" si="387"/>
        <v>Comuna</v>
      </c>
      <c r="K927" s="142" t="s">
        <v>1517</v>
      </c>
      <c r="L927" s="36" t="str">
        <f t="shared" si="384"/>
        <v>Año 2021</v>
      </c>
      <c r="M927" s="9" t="str">
        <f t="shared" si="385"/>
        <v>Número de espacios culturales</v>
      </c>
      <c r="N927" s="9" t="str">
        <f t="shared" si="386"/>
        <v>Observatorio Cultural</v>
      </c>
      <c r="O927" s="41" t="str">
        <f>+"Cantidad de Espacios Culturales por Fuente de Financiamiento en la "&amp;I927&amp;", "&amp;Agencia[[#This Row],[temporalidad]]</f>
        <v>Cantidad de Espacios Culturales por Fuente de Financiamiento en la Región de La Araucanía, Año 2021</v>
      </c>
      <c r="P927" s="112" t="s">
        <v>5640</v>
      </c>
      <c r="Q927" s="11" t="str">
        <f t="shared" si="374"/>
        <v>Gráfico</v>
      </c>
      <c r="R927" s="148" t="str">
        <f>Agencia[[#This Row],[territorio]]&amp;",espacio,cultural,infraestructura,fuente,financiamiento,pública,privada,mixta,"&amp;Agencia[[#This Row],[coleccion]]&amp;","&amp;Agencia[[#This Row],[sector]]&amp;","&amp;Agencia[[#This Row],[tema]]&amp;","&amp;Agencia[[#This Row],[contenido]]</f>
        <v>Región de La Araucanía,espacio,cultural,infraestructura,fuente,financiamiento,pública,privada,mixta,Agencia Información,Arte y cultura,Financiamiento de espacios culturales,Cultura</v>
      </c>
      <c r="S927"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https://analytics.zoho.com/open-view/2395394000008464140?ZOHO_CRITERIA=%22Espacios_Culturales_Completo%201%22.%22C%C3%B3digo_Regi%C3%B3n%22%20%3D%209</v>
      </c>
      <c r="T927" s="111" t="str">
        <f>"100-C-"&amp;Agencia[[#This Row],[Filtro URL]]</f>
        <v>100-C-9</v>
      </c>
      <c r="U927" s="46" t="str">
        <f t="shared" si="369"/>
        <v>#1774B9</v>
      </c>
      <c r="V927" s="93" t="str">
        <f>+Agencia[[#This Row],[idcoleccion]]&amp;"-"&amp;Agencia[[#This Row],[id]]</f>
        <v>990-0916</v>
      </c>
      <c r="W927" s="93">
        <f>+VLOOKUP(Agencia[[#This Row],[Filtro URL]],Estructura!$X$4:$Y$500,2,0)</f>
        <v>99200009</v>
      </c>
      <c r="X927" s="93" t="str">
        <f>+VLOOKUP(Agencia[[#This Row],[tema]],Estructura!$A$4:$C$500,3,0)</f>
        <v>T-1085</v>
      </c>
      <c r="Y927" s="93" t="str">
        <f>+VLOOKUP(Agencia[[#This Row],[contenido]],Estructura!$E$4:$G$500,3,0)</f>
        <v>C-1008</v>
      </c>
      <c r="Z927" s="93" t="str">
        <f>+VLOOKUP(Agencia[[#This Row],[Filtro Integrado]],Estructura!$I$4:$K$500,3,0)</f>
        <v>FI-991</v>
      </c>
      <c r="AA927" s="93" t="str">
        <f>+VLOOKUP(Agencia[[#This Row],[Muestra]],Estructura!$M$4:$O$500,3,0)</f>
        <v>M-1041</v>
      </c>
    </row>
    <row r="928" spans="1:27" ht="72" x14ac:dyDescent="0.3">
      <c r="A928" s="21" t="s">
        <v>1648</v>
      </c>
      <c r="B928" s="23">
        <f t="shared" si="381"/>
        <v>990</v>
      </c>
      <c r="C928" s="24" t="str">
        <f t="shared" si="382"/>
        <v>Agencia Información</v>
      </c>
      <c r="D928" s="72" t="str">
        <f t="shared" si="383"/>
        <v>Arte y cultura</v>
      </c>
      <c r="E928" s="19">
        <v>10</v>
      </c>
      <c r="F928" s="69" t="s">
        <v>5157</v>
      </c>
      <c r="G928" s="18" t="s">
        <v>1896</v>
      </c>
      <c r="H928" s="33" t="s">
        <v>16</v>
      </c>
      <c r="I928" s="34" t="s">
        <v>377</v>
      </c>
      <c r="J928" s="9" t="str">
        <f t="shared" si="387"/>
        <v>Comuna</v>
      </c>
      <c r="K928" s="142" t="s">
        <v>1517</v>
      </c>
      <c r="L928" s="36" t="str">
        <f t="shared" si="384"/>
        <v>Año 2021</v>
      </c>
      <c r="M928" s="9" t="str">
        <f t="shared" si="385"/>
        <v>Número de espacios culturales</v>
      </c>
      <c r="N928" s="9" t="str">
        <f t="shared" si="386"/>
        <v>Observatorio Cultural</v>
      </c>
      <c r="O928" s="41" t="str">
        <f>+"Cantidad de Espacios Culturales por Fuente de Financiamiento en la "&amp;I928&amp;", "&amp;Agencia[[#This Row],[temporalidad]]</f>
        <v>Cantidad de Espacios Culturales por Fuente de Financiamiento en la Región de Los Lagos, Año 2021</v>
      </c>
      <c r="P928" s="112" t="s">
        <v>5641</v>
      </c>
      <c r="Q928" s="11" t="str">
        <f t="shared" si="374"/>
        <v>Gráfico</v>
      </c>
      <c r="R928" s="148" t="str">
        <f>Agencia[[#This Row],[territorio]]&amp;",espacio,cultural,infraestructura,fuente,financiamiento,pública,privada,mixta,"&amp;Agencia[[#This Row],[coleccion]]&amp;","&amp;Agencia[[#This Row],[sector]]&amp;","&amp;Agencia[[#This Row],[tema]]&amp;","&amp;Agencia[[#This Row],[contenido]]</f>
        <v>Región de Los Lagos,espacio,cultural,infraestructura,fuente,financiamiento,pública,privada,mixta,Agencia Información,Arte y cultura,Financiamiento de espacios culturales,Cultura</v>
      </c>
      <c r="S928"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https://analytics.zoho.com/open-view/2395394000008464140?ZOHO_CRITERIA=%22Espacios_Culturales_Completo%201%22.%22C%C3%B3digo_Regi%C3%B3n%22%20%3D%2010</v>
      </c>
      <c r="T928" s="111" t="str">
        <f>"100-C-"&amp;Agencia[[#This Row],[Filtro URL]]</f>
        <v>100-C-10</v>
      </c>
      <c r="U928" s="46" t="str">
        <f t="shared" si="369"/>
        <v>#1774B9</v>
      </c>
      <c r="V928" s="93" t="str">
        <f>+Agencia[[#This Row],[idcoleccion]]&amp;"-"&amp;Agencia[[#This Row],[id]]</f>
        <v>990-0917</v>
      </c>
      <c r="W928" s="93">
        <f>+VLOOKUP(Agencia[[#This Row],[Filtro URL]],Estructura!$X$4:$Y$500,2,0)</f>
        <v>99200010</v>
      </c>
      <c r="X928" s="93" t="str">
        <f>+VLOOKUP(Agencia[[#This Row],[tema]],Estructura!$A$4:$C$500,3,0)</f>
        <v>T-1085</v>
      </c>
      <c r="Y928" s="93" t="str">
        <f>+VLOOKUP(Agencia[[#This Row],[contenido]],Estructura!$E$4:$G$500,3,0)</f>
        <v>C-1008</v>
      </c>
      <c r="Z928" s="93" t="str">
        <f>+VLOOKUP(Agencia[[#This Row],[Filtro Integrado]],Estructura!$I$4:$K$500,3,0)</f>
        <v>FI-991</v>
      </c>
      <c r="AA928" s="93" t="str">
        <f>+VLOOKUP(Agencia[[#This Row],[Muestra]],Estructura!$M$4:$O$500,3,0)</f>
        <v>M-1041</v>
      </c>
    </row>
    <row r="929" spans="1:27" ht="72" x14ac:dyDescent="0.3">
      <c r="A929" s="21" t="s">
        <v>1649</v>
      </c>
      <c r="B929" s="23">
        <f t="shared" si="381"/>
        <v>990</v>
      </c>
      <c r="C929" s="24" t="str">
        <f t="shared" si="382"/>
        <v>Agencia Información</v>
      </c>
      <c r="D929" s="72" t="str">
        <f t="shared" si="383"/>
        <v>Arte y cultura</v>
      </c>
      <c r="E929" s="19">
        <v>11</v>
      </c>
      <c r="F929" s="69" t="s">
        <v>5157</v>
      </c>
      <c r="G929" s="18" t="s">
        <v>1896</v>
      </c>
      <c r="H929" s="33" t="s">
        <v>16</v>
      </c>
      <c r="I929" s="34" t="s">
        <v>378</v>
      </c>
      <c r="J929" s="9" t="str">
        <f t="shared" si="387"/>
        <v>Comuna</v>
      </c>
      <c r="K929" s="142" t="s">
        <v>1517</v>
      </c>
      <c r="L929" s="36" t="str">
        <f t="shared" si="384"/>
        <v>Año 2021</v>
      </c>
      <c r="M929" s="9" t="str">
        <f t="shared" si="385"/>
        <v>Número de espacios culturales</v>
      </c>
      <c r="N929" s="9" t="str">
        <f t="shared" si="386"/>
        <v>Observatorio Cultural</v>
      </c>
      <c r="O929" s="41" t="str">
        <f>+"Cantidad de Espacios Culturales por Fuente de Financiamiento en la "&amp;I929&amp;", "&amp;Agencia[[#This Row],[temporalidad]]</f>
        <v>Cantidad de Espacios Culturales por Fuente de Financiamiento en la Región de Aysén, Año 2021</v>
      </c>
      <c r="P929" s="112" t="s">
        <v>5642</v>
      </c>
      <c r="Q929" s="11" t="str">
        <f t="shared" si="374"/>
        <v>Gráfico</v>
      </c>
      <c r="R929" s="148" t="str">
        <f>Agencia[[#This Row],[territorio]]&amp;",espacio,cultural,infraestructura,fuente,financiamiento,pública,privada,mixta,"&amp;Agencia[[#This Row],[coleccion]]&amp;","&amp;Agencia[[#This Row],[sector]]&amp;","&amp;Agencia[[#This Row],[tema]]&amp;","&amp;Agencia[[#This Row],[contenido]]</f>
        <v>Región de Aysén,espacio,cultural,infraestructura,fuente,financiamiento,pública,privada,mixta,Agencia Información,Arte y cultura,Financiamiento de espacios culturales,Cultura</v>
      </c>
      <c r="S92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https://analytics.zoho.com/open-view/2395394000008464140?ZOHO_CRITERIA=%22Espacios_Culturales_Completo%201%22.%22C%C3%B3digo_Regi%C3%B3n%22%20%3D%2011</v>
      </c>
      <c r="T929" s="111" t="str">
        <f>"100-C-"&amp;Agencia[[#This Row],[Filtro URL]]</f>
        <v>100-C-11</v>
      </c>
      <c r="U929" s="46" t="str">
        <f t="shared" si="369"/>
        <v>#1774B9</v>
      </c>
      <c r="V929" s="93" t="str">
        <f>+Agencia[[#This Row],[idcoleccion]]&amp;"-"&amp;Agencia[[#This Row],[id]]</f>
        <v>990-0918</v>
      </c>
      <c r="W929" s="93">
        <f>+VLOOKUP(Agencia[[#This Row],[Filtro URL]],Estructura!$X$4:$Y$500,2,0)</f>
        <v>99200011</v>
      </c>
      <c r="X929" s="93" t="str">
        <f>+VLOOKUP(Agencia[[#This Row],[tema]],Estructura!$A$4:$C$500,3,0)</f>
        <v>T-1085</v>
      </c>
      <c r="Y929" s="93" t="str">
        <f>+VLOOKUP(Agencia[[#This Row],[contenido]],Estructura!$E$4:$G$500,3,0)</f>
        <v>C-1008</v>
      </c>
      <c r="Z929" s="93" t="str">
        <f>+VLOOKUP(Agencia[[#This Row],[Filtro Integrado]],Estructura!$I$4:$K$500,3,0)</f>
        <v>FI-991</v>
      </c>
      <c r="AA929" s="93" t="str">
        <f>+VLOOKUP(Agencia[[#This Row],[Muestra]],Estructura!$M$4:$O$500,3,0)</f>
        <v>M-1041</v>
      </c>
    </row>
    <row r="930" spans="1:27" ht="72" x14ac:dyDescent="0.3">
      <c r="A930" s="21" t="s">
        <v>1650</v>
      </c>
      <c r="B930" s="23">
        <f t="shared" si="381"/>
        <v>990</v>
      </c>
      <c r="C930" s="24" t="str">
        <f t="shared" si="382"/>
        <v>Agencia Información</v>
      </c>
      <c r="D930" s="72" t="str">
        <f t="shared" si="383"/>
        <v>Arte y cultura</v>
      </c>
      <c r="E930" s="19">
        <v>12</v>
      </c>
      <c r="F930" s="69" t="s">
        <v>5157</v>
      </c>
      <c r="G930" s="18" t="s">
        <v>1896</v>
      </c>
      <c r="H930" s="33" t="s">
        <v>16</v>
      </c>
      <c r="I930" s="34" t="s">
        <v>379</v>
      </c>
      <c r="J930" s="9" t="str">
        <f t="shared" si="387"/>
        <v>Comuna</v>
      </c>
      <c r="K930" s="142" t="s">
        <v>1517</v>
      </c>
      <c r="L930" s="36" t="str">
        <f t="shared" si="384"/>
        <v>Año 2021</v>
      </c>
      <c r="M930" s="9" t="str">
        <f t="shared" si="385"/>
        <v>Número de espacios culturales</v>
      </c>
      <c r="N930" s="9" t="str">
        <f t="shared" si="386"/>
        <v>Observatorio Cultural</v>
      </c>
      <c r="O930" s="41" t="str">
        <f>+"Cantidad de Espacios Culturales por Fuente de Financiamiento en la "&amp;I930&amp;", "&amp;Agencia[[#This Row],[temporalidad]]</f>
        <v>Cantidad de Espacios Culturales por Fuente de Financiamiento en la Región de Magallanes, Año 2021</v>
      </c>
      <c r="P930" s="112" t="s">
        <v>5643</v>
      </c>
      <c r="Q930" s="11" t="str">
        <f t="shared" si="374"/>
        <v>Gráfico</v>
      </c>
      <c r="R930" s="148" t="str">
        <f>Agencia[[#This Row],[territorio]]&amp;",espacio,cultural,infraestructura,fuente,financiamiento,pública,privada,mixta,"&amp;Agencia[[#This Row],[coleccion]]&amp;","&amp;Agencia[[#This Row],[sector]]&amp;","&amp;Agencia[[#This Row],[tema]]&amp;","&amp;Agencia[[#This Row],[contenido]]</f>
        <v>Región de Magallanes,espacio,cultural,infraestructura,fuente,financiamiento,pública,privada,mixta,Agencia Información,Arte y cultura,Financiamiento de espacios culturales,Cultura</v>
      </c>
      <c r="S93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https://analytics.zoho.com/open-view/2395394000008464140?ZOHO_CRITERIA=%22Espacios_Culturales_Completo%201%22.%22C%C3%B3digo_Regi%C3%B3n%22%20%3D%2012</v>
      </c>
      <c r="T930" s="111" t="str">
        <f>"100-C-"&amp;Agencia[[#This Row],[Filtro URL]]</f>
        <v>100-C-12</v>
      </c>
      <c r="U930" s="46" t="str">
        <f t="shared" si="369"/>
        <v>#1774B9</v>
      </c>
      <c r="V930" s="93" t="str">
        <f>+Agencia[[#This Row],[idcoleccion]]&amp;"-"&amp;Agencia[[#This Row],[id]]</f>
        <v>990-0919</v>
      </c>
      <c r="W930" s="93">
        <f>+VLOOKUP(Agencia[[#This Row],[Filtro URL]],Estructura!$X$4:$Y$500,2,0)</f>
        <v>99200012</v>
      </c>
      <c r="X930" s="93" t="str">
        <f>+VLOOKUP(Agencia[[#This Row],[tema]],Estructura!$A$4:$C$500,3,0)</f>
        <v>T-1085</v>
      </c>
      <c r="Y930" s="93" t="str">
        <f>+VLOOKUP(Agencia[[#This Row],[contenido]],Estructura!$E$4:$G$500,3,0)</f>
        <v>C-1008</v>
      </c>
      <c r="Z930" s="93" t="str">
        <f>+VLOOKUP(Agencia[[#This Row],[Filtro Integrado]],Estructura!$I$4:$K$500,3,0)</f>
        <v>FI-991</v>
      </c>
      <c r="AA930" s="93" t="str">
        <f>+VLOOKUP(Agencia[[#This Row],[Muestra]],Estructura!$M$4:$O$500,3,0)</f>
        <v>M-1041</v>
      </c>
    </row>
    <row r="931" spans="1:27" ht="72" x14ac:dyDescent="0.3">
      <c r="A931" s="21" t="s">
        <v>1651</v>
      </c>
      <c r="B931" s="23">
        <f t="shared" si="381"/>
        <v>990</v>
      </c>
      <c r="C931" s="24" t="str">
        <f t="shared" si="382"/>
        <v>Agencia Información</v>
      </c>
      <c r="D931" s="72" t="str">
        <f t="shared" si="383"/>
        <v>Arte y cultura</v>
      </c>
      <c r="E931" s="19">
        <v>13</v>
      </c>
      <c r="F931" s="69" t="s">
        <v>5157</v>
      </c>
      <c r="G931" s="18" t="s">
        <v>1896</v>
      </c>
      <c r="H931" s="33" t="s">
        <v>16</v>
      </c>
      <c r="I931" s="34" t="s">
        <v>380</v>
      </c>
      <c r="J931" s="9" t="str">
        <f t="shared" si="387"/>
        <v>Comuna</v>
      </c>
      <c r="K931" s="142" t="s">
        <v>1517</v>
      </c>
      <c r="L931" s="36" t="str">
        <f t="shared" si="384"/>
        <v>Año 2021</v>
      </c>
      <c r="M931" s="9" t="str">
        <f t="shared" si="385"/>
        <v>Número de espacios culturales</v>
      </c>
      <c r="N931" s="9" t="str">
        <f t="shared" si="386"/>
        <v>Observatorio Cultural</v>
      </c>
      <c r="O931" s="41" t="str">
        <f>+"Cantidad de Espacios Culturales por Fuente de Financiamiento en la "&amp;I931&amp;", "&amp;Agencia[[#This Row],[temporalidad]]</f>
        <v>Cantidad de Espacios Culturales por Fuente de Financiamiento en la Región Metropolitana, Año 2021</v>
      </c>
      <c r="P931" s="112" t="s">
        <v>5644</v>
      </c>
      <c r="Q931" s="11" t="str">
        <f t="shared" si="374"/>
        <v>Gráfico</v>
      </c>
      <c r="R931" s="148" t="str">
        <f>Agencia[[#This Row],[territorio]]&amp;",espacio,cultural,infraestructura,fuente,financiamiento,pública,privada,mixta,"&amp;Agencia[[#This Row],[coleccion]]&amp;","&amp;Agencia[[#This Row],[sector]]&amp;","&amp;Agencia[[#This Row],[tema]]&amp;","&amp;Agencia[[#This Row],[contenido]]</f>
        <v>Región Metropolitana,espacio,cultural,infraestructura,fuente,financiamiento,pública,privada,mixta,Agencia Información,Arte y cultura,Financiamiento de espacios culturales,Cultura</v>
      </c>
      <c r="S93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https://analytics.zoho.com/open-view/2395394000008464140?ZOHO_CRITERIA=%22Espacios_Culturales_Completo%201%22.%22C%C3%B3digo_Regi%C3%B3n%22%20%3D%2013</v>
      </c>
      <c r="T931" s="111" t="str">
        <f>"200-C-"&amp;Agencia[[#This Row],[Filtro URL]]</f>
        <v>200-C-13</v>
      </c>
      <c r="U931" s="46" t="str">
        <f t="shared" si="369"/>
        <v>#1774B9</v>
      </c>
      <c r="V931" s="93" t="str">
        <f>+Agencia[[#This Row],[idcoleccion]]&amp;"-"&amp;Agencia[[#This Row],[id]]</f>
        <v>990-0920</v>
      </c>
      <c r="W931" s="93">
        <f>+VLOOKUP(Agencia[[#This Row],[Filtro URL]],Estructura!$X$4:$Y$500,2,0)</f>
        <v>99200013</v>
      </c>
      <c r="X931" s="93" t="str">
        <f>+VLOOKUP(Agencia[[#This Row],[tema]],Estructura!$A$4:$C$500,3,0)</f>
        <v>T-1085</v>
      </c>
      <c r="Y931" s="93" t="str">
        <f>+VLOOKUP(Agencia[[#This Row],[contenido]],Estructura!$E$4:$G$500,3,0)</f>
        <v>C-1008</v>
      </c>
      <c r="Z931" s="93" t="str">
        <f>+VLOOKUP(Agencia[[#This Row],[Filtro Integrado]],Estructura!$I$4:$K$500,3,0)</f>
        <v>FI-991</v>
      </c>
      <c r="AA931" s="93" t="str">
        <f>+VLOOKUP(Agencia[[#This Row],[Muestra]],Estructura!$M$4:$O$500,3,0)</f>
        <v>M-1041</v>
      </c>
    </row>
    <row r="932" spans="1:27" ht="72" x14ac:dyDescent="0.3">
      <c r="A932" s="21" t="s">
        <v>1652</v>
      </c>
      <c r="B932" s="23">
        <f t="shared" si="381"/>
        <v>990</v>
      </c>
      <c r="C932" s="24" t="str">
        <f t="shared" si="382"/>
        <v>Agencia Información</v>
      </c>
      <c r="D932" s="72" t="str">
        <f t="shared" si="383"/>
        <v>Arte y cultura</v>
      </c>
      <c r="E932" s="19">
        <v>14</v>
      </c>
      <c r="F932" s="69" t="s">
        <v>5157</v>
      </c>
      <c r="G932" s="18" t="s">
        <v>1896</v>
      </c>
      <c r="H932" s="33" t="s">
        <v>16</v>
      </c>
      <c r="I932" s="34" t="s">
        <v>381</v>
      </c>
      <c r="J932" s="9" t="str">
        <f t="shared" si="387"/>
        <v>Comuna</v>
      </c>
      <c r="K932" s="142" t="s">
        <v>1517</v>
      </c>
      <c r="L932" s="36" t="str">
        <f t="shared" si="384"/>
        <v>Año 2021</v>
      </c>
      <c r="M932" s="9" t="str">
        <f t="shared" si="385"/>
        <v>Número de espacios culturales</v>
      </c>
      <c r="N932" s="9" t="str">
        <f t="shared" si="386"/>
        <v>Observatorio Cultural</v>
      </c>
      <c r="O932" s="41" t="str">
        <f>+"Cantidad de Espacios Culturales por Fuente de Financiamiento en la "&amp;I932&amp;", "&amp;Agencia[[#This Row],[temporalidad]]</f>
        <v>Cantidad de Espacios Culturales por Fuente de Financiamiento en la Región de Los Ríos, Año 2021</v>
      </c>
      <c r="P932" s="112" t="s">
        <v>5645</v>
      </c>
      <c r="Q932" s="11" t="str">
        <f t="shared" si="374"/>
        <v>Gráfico</v>
      </c>
      <c r="R932" s="148" t="str">
        <f>Agencia[[#This Row],[territorio]]&amp;",espacio,cultural,infraestructura,fuente,financiamiento,pública,privada,mixta,"&amp;Agencia[[#This Row],[coleccion]]&amp;","&amp;Agencia[[#This Row],[sector]]&amp;","&amp;Agencia[[#This Row],[tema]]&amp;","&amp;Agencia[[#This Row],[contenido]]</f>
        <v>Región de Los Ríos,espacio,cultural,infraestructura,fuente,financiamiento,pública,privada,mixta,Agencia Información,Arte y cultura,Financiamiento de espacios culturales,Cultura</v>
      </c>
      <c r="S93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https://analytics.zoho.com/open-view/2395394000008464140?ZOHO_CRITERIA=%22Espacios_Culturales_Completo%201%22.%22C%C3%B3digo_Regi%C3%B3n%22%20%3D%2014</v>
      </c>
      <c r="T932" s="111" t="str">
        <f>"100-C-"&amp;Agencia[[#This Row],[Filtro URL]]</f>
        <v>100-C-14</v>
      </c>
      <c r="U932" s="46" t="str">
        <f t="shared" si="369"/>
        <v>#1774B9</v>
      </c>
      <c r="V932" s="93" t="str">
        <f>+Agencia[[#This Row],[idcoleccion]]&amp;"-"&amp;Agencia[[#This Row],[id]]</f>
        <v>990-0921</v>
      </c>
      <c r="W932" s="93">
        <f>+VLOOKUP(Agencia[[#This Row],[Filtro URL]],Estructura!$X$4:$Y$500,2,0)</f>
        <v>99200014</v>
      </c>
      <c r="X932" s="93" t="str">
        <f>+VLOOKUP(Agencia[[#This Row],[tema]],Estructura!$A$4:$C$500,3,0)</f>
        <v>T-1085</v>
      </c>
      <c r="Y932" s="93" t="str">
        <f>+VLOOKUP(Agencia[[#This Row],[contenido]],Estructura!$E$4:$G$500,3,0)</f>
        <v>C-1008</v>
      </c>
      <c r="Z932" s="93" t="str">
        <f>+VLOOKUP(Agencia[[#This Row],[Filtro Integrado]],Estructura!$I$4:$K$500,3,0)</f>
        <v>FI-991</v>
      </c>
      <c r="AA932" s="93" t="str">
        <f>+VLOOKUP(Agencia[[#This Row],[Muestra]],Estructura!$M$4:$O$500,3,0)</f>
        <v>M-1041</v>
      </c>
    </row>
    <row r="933" spans="1:27" ht="72" x14ac:dyDescent="0.3">
      <c r="A933" s="21" t="s">
        <v>1653</v>
      </c>
      <c r="B933" s="23">
        <f t="shared" si="381"/>
        <v>990</v>
      </c>
      <c r="C933" s="24" t="str">
        <f t="shared" si="382"/>
        <v>Agencia Información</v>
      </c>
      <c r="D933" s="72" t="str">
        <f t="shared" si="383"/>
        <v>Arte y cultura</v>
      </c>
      <c r="E933" s="19">
        <v>15</v>
      </c>
      <c r="F933" s="69" t="s">
        <v>5157</v>
      </c>
      <c r="G933" s="18" t="s">
        <v>1896</v>
      </c>
      <c r="H933" s="33" t="s">
        <v>16</v>
      </c>
      <c r="I933" s="34" t="s">
        <v>382</v>
      </c>
      <c r="J933" s="9" t="str">
        <f t="shared" si="387"/>
        <v>Comuna</v>
      </c>
      <c r="K933" s="142" t="s">
        <v>1517</v>
      </c>
      <c r="L933" s="36" t="str">
        <f t="shared" si="384"/>
        <v>Año 2021</v>
      </c>
      <c r="M933" s="9" t="str">
        <f t="shared" si="385"/>
        <v>Número de espacios culturales</v>
      </c>
      <c r="N933" s="9" t="str">
        <f t="shared" si="386"/>
        <v>Observatorio Cultural</v>
      </c>
      <c r="O933" s="41" t="str">
        <f>+"Cantidad de Espacios Culturales por Fuente de Financiamiento en la "&amp;I933&amp;", "&amp;Agencia[[#This Row],[temporalidad]]</f>
        <v>Cantidad de Espacios Culturales por Fuente de Financiamiento en la Región de Arica y Parinacota, Año 2021</v>
      </c>
      <c r="P933" s="112" t="s">
        <v>5646</v>
      </c>
      <c r="Q933" s="11" t="str">
        <f t="shared" si="374"/>
        <v>Gráfico</v>
      </c>
      <c r="R933" s="148" t="str">
        <f>Agencia[[#This Row],[territorio]]&amp;",espacio,cultural,infraestructura,fuente,financiamiento,pública,privada,mixta,"&amp;Agencia[[#This Row],[coleccion]]&amp;","&amp;Agencia[[#This Row],[sector]]&amp;","&amp;Agencia[[#This Row],[tema]]&amp;","&amp;Agencia[[#This Row],[contenido]]</f>
        <v>Región de Arica y Parinacota,espacio,cultural,infraestructura,fuente,financiamiento,pública,privada,mixta,Agencia Información,Arte y cultura,Financiamiento de espacios culturales,Cultura</v>
      </c>
      <c r="S93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https://analytics.zoho.com/open-view/2395394000008464140?ZOHO_CRITERIA=%22Espacios_Culturales_Completo%201%22.%22C%C3%B3digo_Regi%C3%B3n%22%20%3D%2015</v>
      </c>
      <c r="T933" s="111" t="str">
        <f>"100-C-"&amp;Agencia[[#This Row],[Filtro URL]]</f>
        <v>100-C-15</v>
      </c>
      <c r="U933" s="46" t="str">
        <f t="shared" si="369"/>
        <v>#1774B9</v>
      </c>
      <c r="V933" s="93" t="str">
        <f>+Agencia[[#This Row],[idcoleccion]]&amp;"-"&amp;Agencia[[#This Row],[id]]</f>
        <v>990-0922</v>
      </c>
      <c r="W933" s="93">
        <f>+VLOOKUP(Agencia[[#This Row],[Filtro URL]],Estructura!$X$4:$Y$500,2,0)</f>
        <v>99200015</v>
      </c>
      <c r="X933" s="93" t="str">
        <f>+VLOOKUP(Agencia[[#This Row],[tema]],Estructura!$A$4:$C$500,3,0)</f>
        <v>T-1085</v>
      </c>
      <c r="Y933" s="93" t="str">
        <f>+VLOOKUP(Agencia[[#This Row],[contenido]],Estructura!$E$4:$G$500,3,0)</f>
        <v>C-1008</v>
      </c>
      <c r="Z933" s="93" t="str">
        <f>+VLOOKUP(Agencia[[#This Row],[Filtro Integrado]],Estructura!$I$4:$K$500,3,0)</f>
        <v>FI-991</v>
      </c>
      <c r="AA933" s="93" t="str">
        <f>+VLOOKUP(Agencia[[#This Row],[Muestra]],Estructura!$M$4:$O$500,3,0)</f>
        <v>M-1041</v>
      </c>
    </row>
    <row r="934" spans="1:27" ht="72" x14ac:dyDescent="0.3">
      <c r="A934" s="21" t="s">
        <v>1654</v>
      </c>
      <c r="B934" s="23">
        <f t="shared" si="381"/>
        <v>990</v>
      </c>
      <c r="C934" s="24" t="str">
        <f t="shared" si="382"/>
        <v>Agencia Información</v>
      </c>
      <c r="D934" s="72" t="str">
        <f t="shared" si="383"/>
        <v>Arte y cultura</v>
      </c>
      <c r="E934" s="19">
        <v>16</v>
      </c>
      <c r="F934" s="69" t="s">
        <v>5157</v>
      </c>
      <c r="G934" s="18" t="s">
        <v>1896</v>
      </c>
      <c r="H934" s="33" t="s">
        <v>16</v>
      </c>
      <c r="I934" s="34" t="s">
        <v>383</v>
      </c>
      <c r="J934" s="9" t="str">
        <f t="shared" si="387"/>
        <v>Comuna</v>
      </c>
      <c r="K934" s="142" t="s">
        <v>1517</v>
      </c>
      <c r="L934" s="36" t="str">
        <f t="shared" si="384"/>
        <v>Año 2021</v>
      </c>
      <c r="M934" s="9" t="str">
        <f t="shared" si="385"/>
        <v>Número de espacios culturales</v>
      </c>
      <c r="N934" s="9" t="str">
        <f t="shared" si="386"/>
        <v>Observatorio Cultural</v>
      </c>
      <c r="O934" s="41" t="str">
        <f>+"Cantidad de Espacios Culturales por Fuente de Financiamiento en la "&amp;I934&amp;", "&amp;Agencia[[#This Row],[temporalidad]]</f>
        <v>Cantidad de Espacios Culturales por Fuente de Financiamiento en la Región de Ñuble, Año 2021</v>
      </c>
      <c r="P934" s="112" t="s">
        <v>5647</v>
      </c>
      <c r="Q934" s="11" t="str">
        <f t="shared" si="374"/>
        <v>Gráfico</v>
      </c>
      <c r="R934" s="148" t="str">
        <f>Agencia[[#This Row],[territorio]]&amp;",espacio,cultural,infraestructura,fuente,financiamiento,pública,privada,mixta,"&amp;Agencia[[#This Row],[coleccion]]&amp;","&amp;Agencia[[#This Row],[sector]]&amp;","&amp;Agencia[[#This Row],[tema]]&amp;","&amp;Agencia[[#This Row],[contenido]]</f>
        <v>Región de Ñuble,espacio,cultural,infraestructura,fuente,financiamiento,pública,privada,mixta,Agencia Información,Arte y cultura,Financiamiento de espacios culturales,Cultura</v>
      </c>
      <c r="S93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https://analytics.zoho.com/open-view/2395394000008464140?ZOHO_CRITERIA=%22Espacios_Culturales_Completo%201%22.%22C%C3%B3digo_Regi%C3%B3n%22%20%3D%2016</v>
      </c>
      <c r="T934" s="111" t="str">
        <f>"100-C-"&amp;Agencia[[#This Row],[Filtro URL]]</f>
        <v>100-C-16</v>
      </c>
      <c r="U934" s="46" t="str">
        <f t="shared" si="369"/>
        <v>#1774B9</v>
      </c>
      <c r="V934" s="93" t="str">
        <f>+Agencia[[#This Row],[idcoleccion]]&amp;"-"&amp;Agencia[[#This Row],[id]]</f>
        <v>990-0923</v>
      </c>
      <c r="W934" s="93">
        <f>+VLOOKUP(Agencia[[#This Row],[Filtro URL]],Estructura!$X$4:$Y$500,2,0)</f>
        <v>99200016</v>
      </c>
      <c r="X934" s="93" t="str">
        <f>+VLOOKUP(Agencia[[#This Row],[tema]],Estructura!$A$4:$C$500,3,0)</f>
        <v>T-1085</v>
      </c>
      <c r="Y934" s="93" t="str">
        <f>+VLOOKUP(Agencia[[#This Row],[contenido]],Estructura!$E$4:$G$500,3,0)</f>
        <v>C-1008</v>
      </c>
      <c r="Z934" s="93" t="str">
        <f>+VLOOKUP(Agencia[[#This Row],[Filtro Integrado]],Estructura!$I$4:$K$500,3,0)</f>
        <v>FI-991</v>
      </c>
      <c r="AA934" s="93" t="str">
        <f>+VLOOKUP(Agencia[[#This Row],[Muestra]],Estructura!$M$4:$O$500,3,0)</f>
        <v>M-1041</v>
      </c>
    </row>
    <row r="935" spans="1:27" ht="61.2" x14ac:dyDescent="0.3">
      <c r="A935" s="21" t="s">
        <v>1655</v>
      </c>
      <c r="B935" s="23">
        <f t="shared" si="381"/>
        <v>990</v>
      </c>
      <c r="C935" s="24" t="str">
        <f t="shared" si="382"/>
        <v>Agencia Información</v>
      </c>
      <c r="D935" s="72" t="s">
        <v>603</v>
      </c>
      <c r="E935" s="14">
        <v>0</v>
      </c>
      <c r="F935" s="18" t="s">
        <v>1517</v>
      </c>
      <c r="G935" s="18" t="s">
        <v>1896</v>
      </c>
      <c r="H935" s="31" t="s">
        <v>20</v>
      </c>
      <c r="I935" s="32" t="s">
        <v>15</v>
      </c>
      <c r="J935" s="9" t="s">
        <v>18</v>
      </c>
      <c r="K935" s="142" t="s">
        <v>1517</v>
      </c>
      <c r="L935" s="36" t="s">
        <v>596</v>
      </c>
      <c r="M935" s="9" t="s">
        <v>606</v>
      </c>
      <c r="N935" s="9" t="s">
        <v>607</v>
      </c>
      <c r="O935" s="41" t="str">
        <f>+"Cantidad de Espacios Culturales por Categoría y Región en "&amp;I935&amp;", "&amp;Agencia[[#This Row],[temporalidad]]</f>
        <v>Cantidad de Espacios Culturales por Categoría y Región en Chile, Año 2021</v>
      </c>
      <c r="P935" s="112" t="s">
        <v>1521</v>
      </c>
      <c r="Q935" s="11" t="s">
        <v>576</v>
      </c>
      <c r="R935" s="20"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Chile,espacio,cultural,infraestructura,cantidad,número,categoría,tipo,biblioteca,museo,archivo,centro cultural,sala de exposición,galería de arte,cine,casa de la cultura,Agencia Información,Arte y cultura,Espacios culturales,Cultura</v>
      </c>
      <c r="S935" s="83" t="s">
        <v>5168</v>
      </c>
      <c r="T935" s="108" t="s">
        <v>957</v>
      </c>
      <c r="U935" s="46" t="str">
        <f t="shared" si="369"/>
        <v>#1774B9</v>
      </c>
      <c r="V935" s="93" t="str">
        <f>+Agencia[[#This Row],[idcoleccion]]&amp;"-"&amp;Agencia[[#This Row],[id]]</f>
        <v>990-0924</v>
      </c>
      <c r="W935" s="93">
        <f>+VLOOKUP(Agencia[[#This Row],[Filtro URL]],Estructura!$X$4:$Y$500,2,0)</f>
        <v>99100000</v>
      </c>
      <c r="X935" s="93" t="str">
        <f>+VLOOKUP(Agencia[[#This Row],[tema]],Estructura!$A$4:$C$500,3,0)</f>
        <v>T-1017</v>
      </c>
      <c r="Y935" s="93" t="str">
        <f>+VLOOKUP(Agencia[[#This Row],[contenido]],Estructura!$E$4:$G$500,3,0)</f>
        <v>C-1008</v>
      </c>
      <c r="Z935" s="93" t="str">
        <f>+VLOOKUP(Agencia[[#This Row],[Filtro Integrado]],Estructura!$I$4:$K$500,3,0)</f>
        <v>FI-991</v>
      </c>
      <c r="AA935" s="93" t="str">
        <f>+VLOOKUP(Agencia[[#This Row],[Muestra]],Estructura!$M$4:$O$500,3,0)</f>
        <v>M-1041</v>
      </c>
    </row>
    <row r="936" spans="1:27" ht="72" x14ac:dyDescent="0.3">
      <c r="A936" s="21" t="s">
        <v>1656</v>
      </c>
      <c r="B936" s="23">
        <f t="shared" si="381"/>
        <v>990</v>
      </c>
      <c r="C936" s="24" t="str">
        <f t="shared" si="382"/>
        <v>Agencia Información</v>
      </c>
      <c r="D936" s="72" t="str">
        <f t="shared" ref="D936:D951" si="388">+D935</f>
        <v>Arte y cultura</v>
      </c>
      <c r="E936" s="19">
        <v>1</v>
      </c>
      <c r="F936" s="18" t="s">
        <v>1517</v>
      </c>
      <c r="G936" s="18" t="s">
        <v>1896</v>
      </c>
      <c r="H936" s="33" t="s">
        <v>16</v>
      </c>
      <c r="I936" s="34" t="s">
        <v>368</v>
      </c>
      <c r="J936" s="9" t="s">
        <v>18</v>
      </c>
      <c r="K936" s="142" t="s">
        <v>1517</v>
      </c>
      <c r="L936" s="36" t="str">
        <f t="shared" ref="L936:L951" si="389">+L935</f>
        <v>Año 2021</v>
      </c>
      <c r="M936" s="9" t="str">
        <f t="shared" ref="M936:M951" si="390">+M935</f>
        <v>Número de espacios culturales</v>
      </c>
      <c r="N936" s="9" t="str">
        <f t="shared" ref="N936:N951" si="391">+N935</f>
        <v>Observatorio Cultural</v>
      </c>
      <c r="O936" s="41" t="str">
        <f>+"Cantidad de Espacios Culturales por Categoría en la "&amp;I936&amp;", "&amp;Agencia[[#This Row],[temporalidad]]</f>
        <v>Cantidad de Espacios Culturales por Categoría en la Región de Tarapacá, Año 2021</v>
      </c>
      <c r="P936" s="112" t="s">
        <v>5648</v>
      </c>
      <c r="Q936" s="11" t="str">
        <f t="shared" si="374"/>
        <v>Gráfico</v>
      </c>
      <c r="R936"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Tarapacá,espacio,cultural,infraestructura,cantidad,número,categoría,tipo,biblioteca,museo,archivo,centro cultural,sala de exposición,galería de arte,cine,casa de la cultura,Agencia Información,Arte y cultura,Espacios culturales,Cultura</v>
      </c>
      <c r="S93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v>
      </c>
      <c r="T936" s="111" t="str">
        <f>"100-C-"&amp;Agencia[[#This Row],[Filtro URL]]</f>
        <v>100-C-1</v>
      </c>
      <c r="U936" s="46" t="str">
        <f t="shared" si="369"/>
        <v>#1774B9</v>
      </c>
      <c r="V936" s="93" t="str">
        <f>+Agencia[[#This Row],[idcoleccion]]&amp;"-"&amp;Agencia[[#This Row],[id]]</f>
        <v>990-0925</v>
      </c>
      <c r="W936" s="93">
        <f>+VLOOKUP(Agencia[[#This Row],[Filtro URL]],Estructura!$X$4:$Y$500,2,0)</f>
        <v>99200001</v>
      </c>
      <c r="X936" s="93" t="str">
        <f>+VLOOKUP(Agencia[[#This Row],[tema]],Estructura!$A$4:$C$500,3,0)</f>
        <v>T-1017</v>
      </c>
      <c r="Y936" s="93" t="str">
        <f>+VLOOKUP(Agencia[[#This Row],[contenido]],Estructura!$E$4:$G$500,3,0)</f>
        <v>C-1008</v>
      </c>
      <c r="Z936" s="93" t="str">
        <f>+VLOOKUP(Agencia[[#This Row],[Filtro Integrado]],Estructura!$I$4:$K$500,3,0)</f>
        <v>FI-991</v>
      </c>
      <c r="AA936" s="93" t="str">
        <f>+VLOOKUP(Agencia[[#This Row],[Muestra]],Estructura!$M$4:$O$500,3,0)</f>
        <v>M-1041</v>
      </c>
    </row>
    <row r="937" spans="1:27" ht="72" x14ac:dyDescent="0.3">
      <c r="A937" s="21" t="s">
        <v>1657</v>
      </c>
      <c r="B937" s="23">
        <f t="shared" si="381"/>
        <v>990</v>
      </c>
      <c r="C937" s="24" t="str">
        <f t="shared" si="382"/>
        <v>Agencia Información</v>
      </c>
      <c r="D937" s="72" t="str">
        <f t="shared" si="388"/>
        <v>Arte y cultura</v>
      </c>
      <c r="E937" s="19">
        <v>2</v>
      </c>
      <c r="F937" s="18" t="s">
        <v>1517</v>
      </c>
      <c r="G937" s="18" t="s">
        <v>1896</v>
      </c>
      <c r="H937" s="33" t="s">
        <v>16</v>
      </c>
      <c r="I937" s="34" t="s">
        <v>369</v>
      </c>
      <c r="J937" s="9" t="str">
        <f t="shared" ref="J937:J951" si="392">+J936</f>
        <v>Comuna</v>
      </c>
      <c r="K937" s="142" t="s">
        <v>1517</v>
      </c>
      <c r="L937" s="36" t="str">
        <f t="shared" si="389"/>
        <v>Año 2021</v>
      </c>
      <c r="M937" s="9" t="str">
        <f t="shared" si="390"/>
        <v>Número de espacios culturales</v>
      </c>
      <c r="N937" s="9" t="str">
        <f t="shared" si="391"/>
        <v>Observatorio Cultural</v>
      </c>
      <c r="O937" s="41" t="str">
        <f>+"Cantidad de Espacios Culturales por Categoría en la "&amp;I937&amp;", "&amp;Agencia[[#This Row],[temporalidad]]</f>
        <v>Cantidad de Espacios Culturales por Categoría en la Región de Antofagasta, Año 2021</v>
      </c>
      <c r="P937" s="112" t="s">
        <v>5649</v>
      </c>
      <c r="Q937" s="11" t="str">
        <f t="shared" si="374"/>
        <v>Gráfico</v>
      </c>
      <c r="R937"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Antofagasta,espacio,cultural,infraestructura,cantidad,número,categoría,tipo,biblioteca,museo,archivo,centro cultural,sala de exposición,galería de arte,cine,casa de la cultura,Agencia Información,Arte y cultura,Espacios culturales,Cultura</v>
      </c>
      <c r="S93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https://analytics.zoho.com/open-view/2395394000008464179?ZOHO_CRITERIA=%22Espacios_Culturales_Completo%201%22.%22C%C3%B3digo_Regi%C3%B3n%22%20%3D%202</v>
      </c>
      <c r="T937" s="111" t="str">
        <f>"100-C-"&amp;Agencia[[#This Row],[Filtro URL]]</f>
        <v>100-C-2</v>
      </c>
      <c r="U937" s="46" t="str">
        <f t="shared" si="369"/>
        <v>#1774B9</v>
      </c>
      <c r="V937" s="93" t="str">
        <f>+Agencia[[#This Row],[idcoleccion]]&amp;"-"&amp;Agencia[[#This Row],[id]]</f>
        <v>990-0926</v>
      </c>
      <c r="W937" s="93">
        <f>+VLOOKUP(Agencia[[#This Row],[Filtro URL]],Estructura!$X$4:$Y$500,2,0)</f>
        <v>99200002</v>
      </c>
      <c r="X937" s="93" t="str">
        <f>+VLOOKUP(Agencia[[#This Row],[tema]],Estructura!$A$4:$C$500,3,0)</f>
        <v>T-1017</v>
      </c>
      <c r="Y937" s="93" t="str">
        <f>+VLOOKUP(Agencia[[#This Row],[contenido]],Estructura!$E$4:$G$500,3,0)</f>
        <v>C-1008</v>
      </c>
      <c r="Z937" s="93" t="str">
        <f>+VLOOKUP(Agencia[[#This Row],[Filtro Integrado]],Estructura!$I$4:$K$500,3,0)</f>
        <v>FI-991</v>
      </c>
      <c r="AA937" s="93" t="str">
        <f>+VLOOKUP(Agencia[[#This Row],[Muestra]],Estructura!$M$4:$O$500,3,0)</f>
        <v>M-1041</v>
      </c>
    </row>
    <row r="938" spans="1:27" ht="72" x14ac:dyDescent="0.3">
      <c r="A938" s="21" t="s">
        <v>1658</v>
      </c>
      <c r="B938" s="23">
        <f t="shared" si="381"/>
        <v>990</v>
      </c>
      <c r="C938" s="24" t="str">
        <f t="shared" si="382"/>
        <v>Agencia Información</v>
      </c>
      <c r="D938" s="72" t="str">
        <f t="shared" si="388"/>
        <v>Arte y cultura</v>
      </c>
      <c r="E938" s="19">
        <v>3</v>
      </c>
      <c r="F938" s="18" t="s">
        <v>1517</v>
      </c>
      <c r="G938" s="18" t="s">
        <v>1896</v>
      </c>
      <c r="H938" s="33" t="s">
        <v>16</v>
      </c>
      <c r="I938" s="34" t="s">
        <v>370</v>
      </c>
      <c r="J938" s="9" t="str">
        <f t="shared" si="392"/>
        <v>Comuna</v>
      </c>
      <c r="K938" s="142" t="s">
        <v>1517</v>
      </c>
      <c r="L938" s="36" t="str">
        <f t="shared" si="389"/>
        <v>Año 2021</v>
      </c>
      <c r="M938" s="9" t="str">
        <f t="shared" si="390"/>
        <v>Número de espacios culturales</v>
      </c>
      <c r="N938" s="9" t="str">
        <f t="shared" si="391"/>
        <v>Observatorio Cultural</v>
      </c>
      <c r="O938" s="41" t="str">
        <f>+"Cantidad de Espacios Culturales por Categoría en la "&amp;I938&amp;", "&amp;Agencia[[#This Row],[temporalidad]]</f>
        <v>Cantidad de Espacios Culturales por Categoría en la Región de Atacama, Año 2021</v>
      </c>
      <c r="P938" s="112" t="s">
        <v>5650</v>
      </c>
      <c r="Q938" s="11" t="str">
        <f t="shared" si="374"/>
        <v>Gráfico</v>
      </c>
      <c r="R938"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Atacama,espacio,cultural,infraestructura,cantidad,número,categoría,tipo,biblioteca,museo,archivo,centro cultural,sala de exposición,galería de arte,cine,casa de la cultura,Agencia Información,Arte y cultura,Espacios culturales,Cultura</v>
      </c>
      <c r="S93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https://analytics.zoho.com/open-view/2395394000008464179?ZOHO_CRITERIA=%22Espacios_Culturales_Completo%201%22.%22C%C3%B3digo_Regi%C3%B3n%22%20%3D%203</v>
      </c>
      <c r="T938" s="111" t="str">
        <f>"100-C-"&amp;Agencia[[#This Row],[Filtro URL]]</f>
        <v>100-C-3</v>
      </c>
      <c r="U938" s="46" t="str">
        <f t="shared" ref="U938:U1003" si="393">+U937</f>
        <v>#1774B9</v>
      </c>
      <c r="V938" s="93" t="str">
        <f>+Agencia[[#This Row],[idcoleccion]]&amp;"-"&amp;Agencia[[#This Row],[id]]</f>
        <v>990-0927</v>
      </c>
      <c r="W938" s="93">
        <f>+VLOOKUP(Agencia[[#This Row],[Filtro URL]],Estructura!$X$4:$Y$500,2,0)</f>
        <v>99200003</v>
      </c>
      <c r="X938" s="93" t="str">
        <f>+VLOOKUP(Agencia[[#This Row],[tema]],Estructura!$A$4:$C$500,3,0)</f>
        <v>T-1017</v>
      </c>
      <c r="Y938" s="93" t="str">
        <f>+VLOOKUP(Agencia[[#This Row],[contenido]],Estructura!$E$4:$G$500,3,0)</f>
        <v>C-1008</v>
      </c>
      <c r="Z938" s="93" t="str">
        <f>+VLOOKUP(Agencia[[#This Row],[Filtro Integrado]],Estructura!$I$4:$K$500,3,0)</f>
        <v>FI-991</v>
      </c>
      <c r="AA938" s="93" t="str">
        <f>+VLOOKUP(Agencia[[#This Row],[Muestra]],Estructura!$M$4:$O$500,3,0)</f>
        <v>M-1041</v>
      </c>
    </row>
    <row r="939" spans="1:27" ht="72" x14ac:dyDescent="0.3">
      <c r="A939" s="21" t="s">
        <v>1659</v>
      </c>
      <c r="B939" s="23">
        <f t="shared" si="381"/>
        <v>990</v>
      </c>
      <c r="C939" s="24" t="str">
        <f t="shared" si="382"/>
        <v>Agencia Información</v>
      </c>
      <c r="D939" s="72" t="str">
        <f t="shared" si="388"/>
        <v>Arte y cultura</v>
      </c>
      <c r="E939" s="19">
        <v>4</v>
      </c>
      <c r="F939" s="18" t="s">
        <v>1517</v>
      </c>
      <c r="G939" s="18" t="s">
        <v>1896</v>
      </c>
      <c r="H939" s="33" t="s">
        <v>16</v>
      </c>
      <c r="I939" s="34" t="s">
        <v>371</v>
      </c>
      <c r="J939" s="9" t="str">
        <f t="shared" si="392"/>
        <v>Comuna</v>
      </c>
      <c r="K939" s="142" t="s">
        <v>1517</v>
      </c>
      <c r="L939" s="36" t="str">
        <f t="shared" si="389"/>
        <v>Año 2021</v>
      </c>
      <c r="M939" s="9" t="str">
        <f t="shared" si="390"/>
        <v>Número de espacios culturales</v>
      </c>
      <c r="N939" s="9" t="str">
        <f t="shared" si="391"/>
        <v>Observatorio Cultural</v>
      </c>
      <c r="O939" s="41" t="str">
        <f>+"Cantidad de Espacios Culturales por Categoría en la "&amp;I939&amp;", "&amp;Agencia[[#This Row],[temporalidad]]</f>
        <v>Cantidad de Espacios Culturales por Categoría en la Región de Coquimbo, Año 2021</v>
      </c>
      <c r="P939" s="112" t="s">
        <v>5651</v>
      </c>
      <c r="Q939" s="11" t="str">
        <f t="shared" si="374"/>
        <v>Gráfico</v>
      </c>
      <c r="R939"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Coquimbo,espacio,cultural,infraestructura,cantidad,número,categoría,tipo,biblioteca,museo,archivo,centro cultural,sala de exposición,galería de arte,cine,casa de la cultura,Agencia Información,Arte y cultura,Espacios culturales,Cultura</v>
      </c>
      <c r="S93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https://analytics.zoho.com/open-view/2395394000008464179?ZOHO_CRITERIA=%22Espacios_Culturales_Completo%201%22.%22C%C3%B3digo_Regi%C3%B3n%22%20%3D%204</v>
      </c>
      <c r="T939" s="111" t="str">
        <f>"100-C-"&amp;Agencia[[#This Row],[Filtro URL]]</f>
        <v>100-C-4</v>
      </c>
      <c r="U939" s="46" t="str">
        <f t="shared" si="393"/>
        <v>#1774B9</v>
      </c>
      <c r="V939" s="93" t="str">
        <f>+Agencia[[#This Row],[idcoleccion]]&amp;"-"&amp;Agencia[[#This Row],[id]]</f>
        <v>990-0928</v>
      </c>
      <c r="W939" s="93">
        <f>+VLOOKUP(Agencia[[#This Row],[Filtro URL]],Estructura!$X$4:$Y$500,2,0)</f>
        <v>99200004</v>
      </c>
      <c r="X939" s="93" t="str">
        <f>+VLOOKUP(Agencia[[#This Row],[tema]],Estructura!$A$4:$C$500,3,0)</f>
        <v>T-1017</v>
      </c>
      <c r="Y939" s="93" t="str">
        <f>+VLOOKUP(Agencia[[#This Row],[contenido]],Estructura!$E$4:$G$500,3,0)</f>
        <v>C-1008</v>
      </c>
      <c r="Z939" s="93" t="str">
        <f>+VLOOKUP(Agencia[[#This Row],[Filtro Integrado]],Estructura!$I$4:$K$500,3,0)</f>
        <v>FI-991</v>
      </c>
      <c r="AA939" s="93" t="str">
        <f>+VLOOKUP(Agencia[[#This Row],[Muestra]],Estructura!$M$4:$O$500,3,0)</f>
        <v>M-1041</v>
      </c>
    </row>
    <row r="940" spans="1:27" ht="72" x14ac:dyDescent="0.3">
      <c r="A940" s="21" t="s">
        <v>1660</v>
      </c>
      <c r="B940" s="23">
        <f t="shared" si="381"/>
        <v>990</v>
      </c>
      <c r="C940" s="24" t="str">
        <f t="shared" si="382"/>
        <v>Agencia Información</v>
      </c>
      <c r="D940" s="72" t="str">
        <f t="shared" si="388"/>
        <v>Arte y cultura</v>
      </c>
      <c r="E940" s="19">
        <v>5</v>
      </c>
      <c r="F940" s="18" t="s">
        <v>1517</v>
      </c>
      <c r="G940" s="18" t="s">
        <v>1896</v>
      </c>
      <c r="H940" s="33" t="s">
        <v>16</v>
      </c>
      <c r="I940" s="34" t="s">
        <v>372</v>
      </c>
      <c r="J940" s="9" t="str">
        <f t="shared" si="392"/>
        <v>Comuna</v>
      </c>
      <c r="K940" s="142" t="s">
        <v>1517</v>
      </c>
      <c r="L940" s="36" t="str">
        <f t="shared" si="389"/>
        <v>Año 2021</v>
      </c>
      <c r="M940" s="9" t="str">
        <f t="shared" si="390"/>
        <v>Número de espacios culturales</v>
      </c>
      <c r="N940" s="9" t="str">
        <f t="shared" si="391"/>
        <v>Observatorio Cultural</v>
      </c>
      <c r="O940" s="41" t="str">
        <f>+"Cantidad de Espacios Culturales por Categoría en la "&amp;I940&amp;", "&amp;Agencia[[#This Row],[temporalidad]]</f>
        <v>Cantidad de Espacios Culturales por Categoría en la Región de Valparaíso, Año 2021</v>
      </c>
      <c r="P940" s="112" t="s">
        <v>5598</v>
      </c>
      <c r="Q940" s="11" t="str">
        <f t="shared" si="374"/>
        <v>Gráfico</v>
      </c>
      <c r="R940"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Valparaíso,espacio,cultural,infraestructura,cantidad,número,categoría,tipo,biblioteca,museo,archivo,centro cultural,sala de exposición,galería de arte,cine,casa de la cultura,Agencia Información,Arte y cultura,Espacios culturales,Cultura</v>
      </c>
      <c r="S94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https://analytics.zoho.com/open-view/2395394000008464179?ZOHO_CRITERIA=%22Espacios_Culturales_Completo%201%22.%22C%C3%B3digo_Regi%C3%B3n%22%20%3D%205</v>
      </c>
      <c r="T940" s="111" t="str">
        <f>"100-C-"&amp;Agencia[[#This Row],[Filtro URL]]</f>
        <v>100-C-5</v>
      </c>
      <c r="U940" s="46" t="str">
        <f t="shared" si="393"/>
        <v>#1774B9</v>
      </c>
      <c r="V940" s="93" t="str">
        <f>+Agencia[[#This Row],[idcoleccion]]&amp;"-"&amp;Agencia[[#This Row],[id]]</f>
        <v>990-0929</v>
      </c>
      <c r="W940" s="93">
        <f>+VLOOKUP(Agencia[[#This Row],[Filtro URL]],Estructura!$X$4:$Y$500,2,0)</f>
        <v>99200005</v>
      </c>
      <c r="X940" s="93" t="str">
        <f>+VLOOKUP(Agencia[[#This Row],[tema]],Estructura!$A$4:$C$500,3,0)</f>
        <v>T-1017</v>
      </c>
      <c r="Y940" s="93" t="str">
        <f>+VLOOKUP(Agencia[[#This Row],[contenido]],Estructura!$E$4:$G$500,3,0)</f>
        <v>C-1008</v>
      </c>
      <c r="Z940" s="93" t="str">
        <f>+VLOOKUP(Agencia[[#This Row],[Filtro Integrado]],Estructura!$I$4:$K$500,3,0)</f>
        <v>FI-991</v>
      </c>
      <c r="AA940" s="93" t="str">
        <f>+VLOOKUP(Agencia[[#This Row],[Muestra]],Estructura!$M$4:$O$500,3,0)</f>
        <v>M-1041</v>
      </c>
    </row>
    <row r="941" spans="1:27" ht="72" x14ac:dyDescent="0.3">
      <c r="A941" s="21" t="s">
        <v>1661</v>
      </c>
      <c r="B941" s="23">
        <f t="shared" si="381"/>
        <v>990</v>
      </c>
      <c r="C941" s="24" t="str">
        <f t="shared" si="382"/>
        <v>Agencia Información</v>
      </c>
      <c r="D941" s="72" t="str">
        <f t="shared" si="388"/>
        <v>Arte y cultura</v>
      </c>
      <c r="E941" s="19">
        <v>6</v>
      </c>
      <c r="F941" s="18" t="s">
        <v>1517</v>
      </c>
      <c r="G941" s="18" t="s">
        <v>1896</v>
      </c>
      <c r="H941" s="33" t="s">
        <v>16</v>
      </c>
      <c r="I941" s="34" t="s">
        <v>373</v>
      </c>
      <c r="J941" s="9" t="str">
        <f t="shared" si="392"/>
        <v>Comuna</v>
      </c>
      <c r="K941" s="142" t="s">
        <v>1517</v>
      </c>
      <c r="L941" s="36" t="str">
        <f t="shared" si="389"/>
        <v>Año 2021</v>
      </c>
      <c r="M941" s="9" t="str">
        <f t="shared" si="390"/>
        <v>Número de espacios culturales</v>
      </c>
      <c r="N941" s="9" t="str">
        <f t="shared" si="391"/>
        <v>Observatorio Cultural</v>
      </c>
      <c r="O941" s="41" t="str">
        <f>+"Cantidad de Espacios Culturales por Categoría en la "&amp;I941&amp;", "&amp;Agencia[[#This Row],[temporalidad]]</f>
        <v>Cantidad de Espacios Culturales por Categoría en la Región de O'Higgins, Año 2021</v>
      </c>
      <c r="P941" s="112" t="s">
        <v>5652</v>
      </c>
      <c r="Q941" s="11" t="str">
        <f t="shared" si="374"/>
        <v>Gráfico</v>
      </c>
      <c r="R941"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O'Higgins,espacio,cultural,infraestructura,cantidad,número,categoría,tipo,biblioteca,museo,archivo,centro cultural,sala de exposición,galería de arte,cine,casa de la cultura,Agencia Información,Arte y cultura,Espacios culturales,Cultura</v>
      </c>
      <c r="S94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https://analytics.zoho.com/open-view/2395394000008464179?ZOHO_CRITERIA=%22Espacios_Culturales_Completo%201%22.%22C%C3%B3digo_Regi%C3%B3n%22%20%3D%206</v>
      </c>
      <c r="T941" s="111" t="str">
        <f>"100-C-"&amp;Agencia[[#This Row],[Filtro URL]]</f>
        <v>100-C-6</v>
      </c>
      <c r="U941" s="46" t="str">
        <f t="shared" si="393"/>
        <v>#1774B9</v>
      </c>
      <c r="V941" s="93" t="str">
        <f>+Agencia[[#This Row],[idcoleccion]]&amp;"-"&amp;Agencia[[#This Row],[id]]</f>
        <v>990-0930</v>
      </c>
      <c r="W941" s="93">
        <f>+VLOOKUP(Agencia[[#This Row],[Filtro URL]],Estructura!$X$4:$Y$500,2,0)</f>
        <v>99200006</v>
      </c>
      <c r="X941" s="93" t="str">
        <f>+VLOOKUP(Agencia[[#This Row],[tema]],Estructura!$A$4:$C$500,3,0)</f>
        <v>T-1017</v>
      </c>
      <c r="Y941" s="93" t="str">
        <f>+VLOOKUP(Agencia[[#This Row],[contenido]],Estructura!$E$4:$G$500,3,0)</f>
        <v>C-1008</v>
      </c>
      <c r="Z941" s="93" t="str">
        <f>+VLOOKUP(Agencia[[#This Row],[Filtro Integrado]],Estructura!$I$4:$K$500,3,0)</f>
        <v>FI-991</v>
      </c>
      <c r="AA941" s="93" t="str">
        <f>+VLOOKUP(Agencia[[#This Row],[Muestra]],Estructura!$M$4:$O$500,3,0)</f>
        <v>M-1041</v>
      </c>
    </row>
    <row r="942" spans="1:27" ht="72" x14ac:dyDescent="0.3">
      <c r="A942" s="21" t="s">
        <v>1662</v>
      </c>
      <c r="B942" s="23">
        <f t="shared" si="381"/>
        <v>990</v>
      </c>
      <c r="C942" s="24" t="str">
        <f t="shared" si="382"/>
        <v>Agencia Información</v>
      </c>
      <c r="D942" s="72" t="str">
        <f t="shared" si="388"/>
        <v>Arte y cultura</v>
      </c>
      <c r="E942" s="19">
        <v>7</v>
      </c>
      <c r="F942" s="18" t="s">
        <v>1517</v>
      </c>
      <c r="G942" s="18" t="s">
        <v>1896</v>
      </c>
      <c r="H942" s="33" t="s">
        <v>16</v>
      </c>
      <c r="I942" s="34" t="s">
        <v>374</v>
      </c>
      <c r="J942" s="9" t="str">
        <f t="shared" si="392"/>
        <v>Comuna</v>
      </c>
      <c r="K942" s="142" t="s">
        <v>1517</v>
      </c>
      <c r="L942" s="36" t="str">
        <f t="shared" si="389"/>
        <v>Año 2021</v>
      </c>
      <c r="M942" s="9" t="str">
        <f t="shared" si="390"/>
        <v>Número de espacios culturales</v>
      </c>
      <c r="N942" s="9" t="str">
        <f t="shared" si="391"/>
        <v>Observatorio Cultural</v>
      </c>
      <c r="O942" s="41" t="str">
        <f>+"Cantidad de Espacios Culturales por Categoría en la "&amp;I942&amp;", "&amp;Agencia[[#This Row],[temporalidad]]</f>
        <v>Cantidad de Espacios Culturales por Categoría en la Región de Maule, Año 2021</v>
      </c>
      <c r="P942" s="112" t="s">
        <v>5599</v>
      </c>
      <c r="Q942" s="11" t="str">
        <f t="shared" si="374"/>
        <v>Gráfico</v>
      </c>
      <c r="R942"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Maule,espacio,cultural,infraestructura,cantidad,número,categoría,tipo,biblioteca,museo,archivo,centro cultural,sala de exposición,galería de arte,cine,casa de la cultura,Agencia Información,Arte y cultura,Espacios culturales,Cultura</v>
      </c>
      <c r="S942"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https://analytics.zoho.com/open-view/2395394000008464179?ZOHO_CRITERIA=%22Espacios_Culturales_Completo%201%22.%22C%C3%B3digo_Regi%C3%B3n%22%20%3D%207</v>
      </c>
      <c r="T942" s="111" t="str">
        <f>"100-C-"&amp;Agencia[[#This Row],[Filtro URL]]</f>
        <v>100-C-7</v>
      </c>
      <c r="U942" s="46" t="str">
        <f t="shared" si="393"/>
        <v>#1774B9</v>
      </c>
      <c r="V942" s="93" t="str">
        <f>+Agencia[[#This Row],[idcoleccion]]&amp;"-"&amp;Agencia[[#This Row],[id]]</f>
        <v>990-0931</v>
      </c>
      <c r="W942" s="93">
        <f>+VLOOKUP(Agencia[[#This Row],[Filtro URL]],Estructura!$X$4:$Y$500,2,0)</f>
        <v>99200007</v>
      </c>
      <c r="X942" s="93" t="str">
        <f>+VLOOKUP(Agencia[[#This Row],[tema]],Estructura!$A$4:$C$500,3,0)</f>
        <v>T-1017</v>
      </c>
      <c r="Y942" s="93" t="str">
        <f>+VLOOKUP(Agencia[[#This Row],[contenido]],Estructura!$E$4:$G$500,3,0)</f>
        <v>C-1008</v>
      </c>
      <c r="Z942" s="93" t="str">
        <f>+VLOOKUP(Agencia[[#This Row],[Filtro Integrado]],Estructura!$I$4:$K$500,3,0)</f>
        <v>FI-991</v>
      </c>
      <c r="AA942" s="93" t="str">
        <f>+VLOOKUP(Agencia[[#This Row],[Muestra]],Estructura!$M$4:$O$500,3,0)</f>
        <v>M-1041</v>
      </c>
    </row>
    <row r="943" spans="1:27" ht="72" x14ac:dyDescent="0.3">
      <c r="A943" s="21" t="s">
        <v>1663</v>
      </c>
      <c r="B943" s="23">
        <f t="shared" si="381"/>
        <v>990</v>
      </c>
      <c r="C943" s="24" t="str">
        <f t="shared" si="382"/>
        <v>Agencia Información</v>
      </c>
      <c r="D943" s="72" t="str">
        <f t="shared" si="388"/>
        <v>Arte y cultura</v>
      </c>
      <c r="E943" s="19">
        <v>8</v>
      </c>
      <c r="F943" s="18" t="s">
        <v>1517</v>
      </c>
      <c r="G943" s="18" t="s">
        <v>1896</v>
      </c>
      <c r="H943" s="33" t="s">
        <v>16</v>
      </c>
      <c r="I943" s="34" t="s">
        <v>375</v>
      </c>
      <c r="J943" s="9" t="str">
        <f t="shared" si="392"/>
        <v>Comuna</v>
      </c>
      <c r="K943" s="142" t="s">
        <v>1517</v>
      </c>
      <c r="L943" s="36" t="str">
        <f t="shared" si="389"/>
        <v>Año 2021</v>
      </c>
      <c r="M943" s="9" t="str">
        <f t="shared" si="390"/>
        <v>Número de espacios culturales</v>
      </c>
      <c r="N943" s="9" t="str">
        <f t="shared" si="391"/>
        <v>Observatorio Cultural</v>
      </c>
      <c r="O943" s="41" t="str">
        <f>+"Cantidad de Espacios Culturales por Categoría en la "&amp;I943&amp;", "&amp;Agencia[[#This Row],[temporalidad]]</f>
        <v>Cantidad de Espacios Culturales por Categoría en la Región del Biobío, Año 2021</v>
      </c>
      <c r="P943" s="112" t="s">
        <v>5653</v>
      </c>
      <c r="Q943" s="11" t="str">
        <f t="shared" si="374"/>
        <v>Gráfico</v>
      </c>
      <c r="R943"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del Biobío,espacio,cultural,infraestructura,cantidad,número,categoría,tipo,biblioteca,museo,archivo,centro cultural,sala de exposición,galería de arte,cine,casa de la cultura,Agencia Información,Arte y cultura,Espacios culturales,Cultura</v>
      </c>
      <c r="S943"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https://analytics.zoho.com/open-view/2395394000008464179?ZOHO_CRITERIA=%22Espacios_Culturales_Completo%201%22.%22C%C3%B3digo_Regi%C3%B3n%22%20%3D%208</v>
      </c>
      <c r="T943" s="111" t="str">
        <f>"100-C-"&amp;Agencia[[#This Row],[Filtro URL]]</f>
        <v>100-C-8</v>
      </c>
      <c r="U943" s="46" t="str">
        <f t="shared" si="393"/>
        <v>#1774B9</v>
      </c>
      <c r="V943" s="93" t="str">
        <f>+Agencia[[#This Row],[idcoleccion]]&amp;"-"&amp;Agencia[[#This Row],[id]]</f>
        <v>990-0932</v>
      </c>
      <c r="W943" s="93">
        <f>+VLOOKUP(Agencia[[#This Row],[Filtro URL]],Estructura!$X$4:$Y$500,2,0)</f>
        <v>99200008</v>
      </c>
      <c r="X943" s="93" t="str">
        <f>+VLOOKUP(Agencia[[#This Row],[tema]],Estructura!$A$4:$C$500,3,0)</f>
        <v>T-1017</v>
      </c>
      <c r="Y943" s="93" t="str">
        <f>+VLOOKUP(Agencia[[#This Row],[contenido]],Estructura!$E$4:$G$500,3,0)</f>
        <v>C-1008</v>
      </c>
      <c r="Z943" s="93" t="str">
        <f>+VLOOKUP(Agencia[[#This Row],[Filtro Integrado]],Estructura!$I$4:$K$500,3,0)</f>
        <v>FI-991</v>
      </c>
      <c r="AA943" s="93" t="str">
        <f>+VLOOKUP(Agencia[[#This Row],[Muestra]],Estructura!$M$4:$O$500,3,0)</f>
        <v>M-1041</v>
      </c>
    </row>
    <row r="944" spans="1:27" ht="72" x14ac:dyDescent="0.3">
      <c r="A944" s="21" t="s">
        <v>1664</v>
      </c>
      <c r="B944" s="23">
        <f t="shared" si="381"/>
        <v>990</v>
      </c>
      <c r="C944" s="24" t="str">
        <f t="shared" si="382"/>
        <v>Agencia Información</v>
      </c>
      <c r="D944" s="72" t="str">
        <f t="shared" si="388"/>
        <v>Arte y cultura</v>
      </c>
      <c r="E944" s="19">
        <v>9</v>
      </c>
      <c r="F944" s="18" t="s">
        <v>1517</v>
      </c>
      <c r="G944" s="18" t="s">
        <v>1896</v>
      </c>
      <c r="H944" s="33" t="s">
        <v>16</v>
      </c>
      <c r="I944" s="34" t="s">
        <v>376</v>
      </c>
      <c r="J944" s="9" t="str">
        <f t="shared" si="392"/>
        <v>Comuna</v>
      </c>
      <c r="K944" s="142" t="s">
        <v>1517</v>
      </c>
      <c r="L944" s="36" t="str">
        <f t="shared" si="389"/>
        <v>Año 2021</v>
      </c>
      <c r="M944" s="9" t="str">
        <f t="shared" si="390"/>
        <v>Número de espacios culturales</v>
      </c>
      <c r="N944" s="9" t="str">
        <f t="shared" si="391"/>
        <v>Observatorio Cultural</v>
      </c>
      <c r="O944" s="41" t="str">
        <f>+"Cantidad de Espacios Culturales por Categoría en la "&amp;I944&amp;", "&amp;Agencia[[#This Row],[temporalidad]]</f>
        <v>Cantidad de Espacios Culturales por Categoría en la Región de La Araucanía, Año 2021</v>
      </c>
      <c r="P944" s="112" t="s">
        <v>5600</v>
      </c>
      <c r="Q944" s="11" t="str">
        <f t="shared" si="374"/>
        <v>Gráfico</v>
      </c>
      <c r="R944"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La Araucanía,espacio,cultural,infraestructura,cantidad,número,categoría,tipo,biblioteca,museo,archivo,centro cultural,sala de exposición,galería de arte,cine,casa de la cultura,Agencia Información,Arte y cultura,Espacios culturales,Cultura</v>
      </c>
      <c r="S944"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https://analytics.zoho.com/open-view/2395394000008464179?ZOHO_CRITERIA=%22Espacios_Culturales_Completo%201%22.%22C%C3%B3digo_Regi%C3%B3n%22%20%3D%209</v>
      </c>
      <c r="T944" s="111" t="str">
        <f>"100-C-"&amp;Agencia[[#This Row],[Filtro URL]]</f>
        <v>100-C-9</v>
      </c>
      <c r="U944" s="46" t="str">
        <f t="shared" si="393"/>
        <v>#1774B9</v>
      </c>
      <c r="V944" s="93" t="str">
        <f>+Agencia[[#This Row],[idcoleccion]]&amp;"-"&amp;Agencia[[#This Row],[id]]</f>
        <v>990-0933</v>
      </c>
      <c r="W944" s="93">
        <f>+VLOOKUP(Agencia[[#This Row],[Filtro URL]],Estructura!$X$4:$Y$500,2,0)</f>
        <v>99200009</v>
      </c>
      <c r="X944" s="93" t="str">
        <f>+VLOOKUP(Agencia[[#This Row],[tema]],Estructura!$A$4:$C$500,3,0)</f>
        <v>T-1017</v>
      </c>
      <c r="Y944" s="93" t="str">
        <f>+VLOOKUP(Agencia[[#This Row],[contenido]],Estructura!$E$4:$G$500,3,0)</f>
        <v>C-1008</v>
      </c>
      <c r="Z944" s="93" t="str">
        <f>+VLOOKUP(Agencia[[#This Row],[Filtro Integrado]],Estructura!$I$4:$K$500,3,0)</f>
        <v>FI-991</v>
      </c>
      <c r="AA944" s="93" t="str">
        <f>+VLOOKUP(Agencia[[#This Row],[Muestra]],Estructura!$M$4:$O$500,3,0)</f>
        <v>M-1041</v>
      </c>
    </row>
    <row r="945" spans="1:27" ht="72" x14ac:dyDescent="0.3">
      <c r="A945" s="21" t="s">
        <v>1665</v>
      </c>
      <c r="B945" s="23">
        <f t="shared" si="381"/>
        <v>990</v>
      </c>
      <c r="C945" s="24" t="str">
        <f t="shared" si="382"/>
        <v>Agencia Información</v>
      </c>
      <c r="D945" s="72" t="str">
        <f t="shared" si="388"/>
        <v>Arte y cultura</v>
      </c>
      <c r="E945" s="19">
        <v>10</v>
      </c>
      <c r="F945" s="18" t="s">
        <v>1517</v>
      </c>
      <c r="G945" s="18" t="s">
        <v>1896</v>
      </c>
      <c r="H945" s="33" t="s">
        <v>16</v>
      </c>
      <c r="I945" s="34" t="s">
        <v>377</v>
      </c>
      <c r="J945" s="9" t="str">
        <f t="shared" si="392"/>
        <v>Comuna</v>
      </c>
      <c r="K945" s="142" t="s">
        <v>1517</v>
      </c>
      <c r="L945" s="36" t="str">
        <f t="shared" si="389"/>
        <v>Año 2021</v>
      </c>
      <c r="M945" s="9" t="str">
        <f t="shared" si="390"/>
        <v>Número de espacios culturales</v>
      </c>
      <c r="N945" s="9" t="str">
        <f t="shared" si="391"/>
        <v>Observatorio Cultural</v>
      </c>
      <c r="O945" s="41" t="str">
        <f>+"Cantidad de Espacios Culturales por Categoría en la "&amp;I945&amp;", "&amp;Agencia[[#This Row],[temporalidad]]</f>
        <v>Cantidad de Espacios Culturales por Categoría en la Región de Los Lagos, Año 2021</v>
      </c>
      <c r="P945" s="112" t="s">
        <v>5654</v>
      </c>
      <c r="Q945" s="11" t="str">
        <f t="shared" si="374"/>
        <v>Gráfico</v>
      </c>
      <c r="R945"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Los Lagos,espacio,cultural,infraestructura,cantidad,número,categoría,tipo,biblioteca,museo,archivo,centro cultural,sala de exposición,galería de arte,cine,casa de la cultura,Agencia Información,Arte y cultura,Espacios culturales,Cultura</v>
      </c>
      <c r="S945"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https://analytics.zoho.com/open-view/2395394000008464179?ZOHO_CRITERIA=%22Espacios_Culturales_Completo%201%22.%22C%C3%B3digo_Regi%C3%B3n%22%20%3D%2010</v>
      </c>
      <c r="T945" s="111" t="str">
        <f>"100-C-"&amp;Agencia[[#This Row],[Filtro URL]]</f>
        <v>100-C-10</v>
      </c>
      <c r="U945" s="46" t="str">
        <f t="shared" si="393"/>
        <v>#1774B9</v>
      </c>
      <c r="V945" s="93" t="str">
        <f>+Agencia[[#This Row],[idcoleccion]]&amp;"-"&amp;Agencia[[#This Row],[id]]</f>
        <v>990-0934</v>
      </c>
      <c r="W945" s="93">
        <f>+VLOOKUP(Agencia[[#This Row],[Filtro URL]],Estructura!$X$4:$Y$500,2,0)</f>
        <v>99200010</v>
      </c>
      <c r="X945" s="93" t="str">
        <f>+VLOOKUP(Agencia[[#This Row],[tema]],Estructura!$A$4:$C$500,3,0)</f>
        <v>T-1017</v>
      </c>
      <c r="Y945" s="93" t="str">
        <f>+VLOOKUP(Agencia[[#This Row],[contenido]],Estructura!$E$4:$G$500,3,0)</f>
        <v>C-1008</v>
      </c>
      <c r="Z945" s="93" t="str">
        <f>+VLOOKUP(Agencia[[#This Row],[Filtro Integrado]],Estructura!$I$4:$K$500,3,0)</f>
        <v>FI-991</v>
      </c>
      <c r="AA945" s="93" t="str">
        <f>+VLOOKUP(Agencia[[#This Row],[Muestra]],Estructura!$M$4:$O$500,3,0)</f>
        <v>M-1041</v>
      </c>
    </row>
    <row r="946" spans="1:27" ht="72" x14ac:dyDescent="0.3">
      <c r="A946" s="21" t="s">
        <v>1666</v>
      </c>
      <c r="B946" s="23">
        <f t="shared" si="381"/>
        <v>990</v>
      </c>
      <c r="C946" s="24" t="str">
        <f t="shared" si="382"/>
        <v>Agencia Información</v>
      </c>
      <c r="D946" s="72" t="str">
        <f t="shared" si="388"/>
        <v>Arte y cultura</v>
      </c>
      <c r="E946" s="19">
        <v>11</v>
      </c>
      <c r="F946" s="18" t="s">
        <v>1517</v>
      </c>
      <c r="G946" s="18" t="s">
        <v>1896</v>
      </c>
      <c r="H946" s="33" t="s">
        <v>16</v>
      </c>
      <c r="I946" s="34" t="s">
        <v>378</v>
      </c>
      <c r="J946" s="9" t="str">
        <f t="shared" si="392"/>
        <v>Comuna</v>
      </c>
      <c r="K946" s="142" t="s">
        <v>1517</v>
      </c>
      <c r="L946" s="36" t="str">
        <f t="shared" si="389"/>
        <v>Año 2021</v>
      </c>
      <c r="M946" s="9" t="str">
        <f t="shared" si="390"/>
        <v>Número de espacios culturales</v>
      </c>
      <c r="N946" s="9" t="str">
        <f t="shared" si="391"/>
        <v>Observatorio Cultural</v>
      </c>
      <c r="O946" s="41" t="str">
        <f>+"Cantidad de Espacios Culturales por Categoría en la "&amp;I946&amp;", "&amp;Agencia[[#This Row],[temporalidad]]</f>
        <v>Cantidad de Espacios Culturales por Categoría en la Región de Aysén, Año 2021</v>
      </c>
      <c r="P946" s="112" t="s">
        <v>5655</v>
      </c>
      <c r="Q946" s="11" t="str">
        <f t="shared" si="374"/>
        <v>Gráfico</v>
      </c>
      <c r="R946"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Aysén,espacio,cultural,infraestructura,cantidad,número,categoría,tipo,biblioteca,museo,archivo,centro cultural,sala de exposición,galería de arte,cine,casa de la cultura,Agencia Información,Arte y cultura,Espacios culturales,Cultura</v>
      </c>
      <c r="S94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https://analytics.zoho.com/open-view/2395394000008464179?ZOHO_CRITERIA=%22Espacios_Culturales_Completo%201%22.%22C%C3%B3digo_Regi%C3%B3n%22%20%3D%2011</v>
      </c>
      <c r="T946" s="111" t="str">
        <f>"100-C-"&amp;Agencia[[#This Row],[Filtro URL]]</f>
        <v>100-C-11</v>
      </c>
      <c r="U946" s="46" t="str">
        <f t="shared" si="393"/>
        <v>#1774B9</v>
      </c>
      <c r="V946" s="93" t="str">
        <f>+Agencia[[#This Row],[idcoleccion]]&amp;"-"&amp;Agencia[[#This Row],[id]]</f>
        <v>990-0935</v>
      </c>
      <c r="W946" s="93">
        <f>+VLOOKUP(Agencia[[#This Row],[Filtro URL]],Estructura!$X$4:$Y$500,2,0)</f>
        <v>99200011</v>
      </c>
      <c r="X946" s="93" t="str">
        <f>+VLOOKUP(Agencia[[#This Row],[tema]],Estructura!$A$4:$C$500,3,0)</f>
        <v>T-1017</v>
      </c>
      <c r="Y946" s="93" t="str">
        <f>+VLOOKUP(Agencia[[#This Row],[contenido]],Estructura!$E$4:$G$500,3,0)</f>
        <v>C-1008</v>
      </c>
      <c r="Z946" s="93" t="str">
        <f>+VLOOKUP(Agencia[[#This Row],[Filtro Integrado]],Estructura!$I$4:$K$500,3,0)</f>
        <v>FI-991</v>
      </c>
      <c r="AA946" s="93" t="str">
        <f>+VLOOKUP(Agencia[[#This Row],[Muestra]],Estructura!$M$4:$O$500,3,0)</f>
        <v>M-1041</v>
      </c>
    </row>
    <row r="947" spans="1:27" ht="72" x14ac:dyDescent="0.3">
      <c r="A947" s="21" t="s">
        <v>1667</v>
      </c>
      <c r="B947" s="23">
        <f t="shared" si="381"/>
        <v>990</v>
      </c>
      <c r="C947" s="24" t="str">
        <f t="shared" si="382"/>
        <v>Agencia Información</v>
      </c>
      <c r="D947" s="72" t="str">
        <f t="shared" si="388"/>
        <v>Arte y cultura</v>
      </c>
      <c r="E947" s="19">
        <v>12</v>
      </c>
      <c r="F947" s="18" t="s">
        <v>1517</v>
      </c>
      <c r="G947" s="18" t="s">
        <v>1896</v>
      </c>
      <c r="H947" s="33" t="s">
        <v>16</v>
      </c>
      <c r="I947" s="34" t="s">
        <v>379</v>
      </c>
      <c r="J947" s="9" t="str">
        <f t="shared" si="392"/>
        <v>Comuna</v>
      </c>
      <c r="K947" s="142" t="s">
        <v>1517</v>
      </c>
      <c r="L947" s="36" t="str">
        <f t="shared" si="389"/>
        <v>Año 2021</v>
      </c>
      <c r="M947" s="9" t="str">
        <f t="shared" si="390"/>
        <v>Número de espacios culturales</v>
      </c>
      <c r="N947" s="9" t="str">
        <f t="shared" si="391"/>
        <v>Observatorio Cultural</v>
      </c>
      <c r="O947" s="41" t="str">
        <f>+"Cantidad de Espacios Culturales por Categoría en la "&amp;I947&amp;", "&amp;Agencia[[#This Row],[temporalidad]]</f>
        <v>Cantidad de Espacios Culturales por Categoría en la Región de Magallanes, Año 2021</v>
      </c>
      <c r="P947" s="112" t="s">
        <v>5601</v>
      </c>
      <c r="Q947" s="11" t="str">
        <f t="shared" si="374"/>
        <v>Gráfico</v>
      </c>
      <c r="R947"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Magallanes,espacio,cultural,infraestructura,cantidad,número,categoría,tipo,biblioteca,museo,archivo,centro cultural,sala de exposición,galería de arte,cine,casa de la cultura,Agencia Información,Arte y cultura,Espacios culturales,Cultura</v>
      </c>
      <c r="S94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https://analytics.zoho.com/open-view/2395394000008464179?ZOHO_CRITERIA=%22Espacios_Culturales_Completo%201%22.%22C%C3%B3digo_Regi%C3%B3n%22%20%3D%2012</v>
      </c>
      <c r="T947" s="111" t="str">
        <f>"100-C-"&amp;Agencia[[#This Row],[Filtro URL]]</f>
        <v>100-C-12</v>
      </c>
      <c r="U947" s="46" t="str">
        <f t="shared" si="393"/>
        <v>#1774B9</v>
      </c>
      <c r="V947" s="93" t="str">
        <f>+Agencia[[#This Row],[idcoleccion]]&amp;"-"&amp;Agencia[[#This Row],[id]]</f>
        <v>990-0936</v>
      </c>
      <c r="W947" s="93">
        <f>+VLOOKUP(Agencia[[#This Row],[Filtro URL]],Estructura!$X$4:$Y$500,2,0)</f>
        <v>99200012</v>
      </c>
      <c r="X947" s="93" t="str">
        <f>+VLOOKUP(Agencia[[#This Row],[tema]],Estructura!$A$4:$C$500,3,0)</f>
        <v>T-1017</v>
      </c>
      <c r="Y947" s="93" t="str">
        <f>+VLOOKUP(Agencia[[#This Row],[contenido]],Estructura!$E$4:$G$500,3,0)</f>
        <v>C-1008</v>
      </c>
      <c r="Z947" s="93" t="str">
        <f>+VLOOKUP(Agencia[[#This Row],[Filtro Integrado]],Estructura!$I$4:$K$500,3,0)</f>
        <v>FI-991</v>
      </c>
      <c r="AA947" s="93" t="str">
        <f>+VLOOKUP(Agencia[[#This Row],[Muestra]],Estructura!$M$4:$O$500,3,0)</f>
        <v>M-1041</v>
      </c>
    </row>
    <row r="948" spans="1:27" ht="72" x14ac:dyDescent="0.3">
      <c r="A948" s="21" t="s">
        <v>1668</v>
      </c>
      <c r="B948" s="23">
        <f t="shared" si="381"/>
        <v>990</v>
      </c>
      <c r="C948" s="24" t="str">
        <f t="shared" si="382"/>
        <v>Agencia Información</v>
      </c>
      <c r="D948" s="72" t="str">
        <f t="shared" si="388"/>
        <v>Arte y cultura</v>
      </c>
      <c r="E948" s="19">
        <v>13</v>
      </c>
      <c r="F948" s="18" t="s">
        <v>1517</v>
      </c>
      <c r="G948" s="18" t="s">
        <v>1896</v>
      </c>
      <c r="H948" s="33" t="s">
        <v>16</v>
      </c>
      <c r="I948" s="34" t="s">
        <v>380</v>
      </c>
      <c r="J948" s="9" t="str">
        <f t="shared" si="392"/>
        <v>Comuna</v>
      </c>
      <c r="K948" s="142" t="s">
        <v>1517</v>
      </c>
      <c r="L948" s="36" t="str">
        <f t="shared" si="389"/>
        <v>Año 2021</v>
      </c>
      <c r="M948" s="9" t="str">
        <f t="shared" si="390"/>
        <v>Número de espacios culturales</v>
      </c>
      <c r="N948" s="9" t="str">
        <f t="shared" si="391"/>
        <v>Observatorio Cultural</v>
      </c>
      <c r="O948" s="41" t="str">
        <f>+"Cantidad de Espacios Culturales por Categoría en la "&amp;I948&amp;", "&amp;Agencia[[#This Row],[temporalidad]]</f>
        <v>Cantidad de Espacios Culturales por Categoría en la Región Metropolitana, Año 2021</v>
      </c>
      <c r="P948" s="112" t="s">
        <v>5656</v>
      </c>
      <c r="Q948" s="11" t="str">
        <f t="shared" si="374"/>
        <v>Gráfico</v>
      </c>
      <c r="R948"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Metropolitana,espacio,cultural,infraestructura,cantidad,número,categoría,tipo,biblioteca,museo,archivo,centro cultural,sala de exposición,galería de arte,cine,casa de la cultura,Agencia Información,Arte y cultura,Espacios culturales,Cultura</v>
      </c>
      <c r="S94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https://analytics.zoho.com/open-view/2395394000008464179?ZOHO_CRITERIA=%22Espacios_Culturales_Completo%201%22.%22C%C3%B3digo_Regi%C3%B3n%22%20%3D%2013</v>
      </c>
      <c r="T948" s="111" t="str">
        <f>"200-C-"&amp;Agencia[[#This Row],[Filtro URL]]</f>
        <v>200-C-13</v>
      </c>
      <c r="U948" s="46" t="str">
        <f t="shared" si="393"/>
        <v>#1774B9</v>
      </c>
      <c r="V948" s="93" t="str">
        <f>+Agencia[[#This Row],[idcoleccion]]&amp;"-"&amp;Agencia[[#This Row],[id]]</f>
        <v>990-0937</v>
      </c>
      <c r="W948" s="93">
        <f>+VLOOKUP(Agencia[[#This Row],[Filtro URL]],Estructura!$X$4:$Y$500,2,0)</f>
        <v>99200013</v>
      </c>
      <c r="X948" s="93" t="str">
        <f>+VLOOKUP(Agencia[[#This Row],[tema]],Estructura!$A$4:$C$500,3,0)</f>
        <v>T-1017</v>
      </c>
      <c r="Y948" s="93" t="str">
        <f>+VLOOKUP(Agencia[[#This Row],[contenido]],Estructura!$E$4:$G$500,3,0)</f>
        <v>C-1008</v>
      </c>
      <c r="Z948" s="93" t="str">
        <f>+VLOOKUP(Agencia[[#This Row],[Filtro Integrado]],Estructura!$I$4:$K$500,3,0)</f>
        <v>FI-991</v>
      </c>
      <c r="AA948" s="93" t="str">
        <f>+VLOOKUP(Agencia[[#This Row],[Muestra]],Estructura!$M$4:$O$500,3,0)</f>
        <v>M-1041</v>
      </c>
    </row>
    <row r="949" spans="1:27" ht="72" x14ac:dyDescent="0.3">
      <c r="A949" s="21" t="s">
        <v>1669</v>
      </c>
      <c r="B949" s="23">
        <f t="shared" si="381"/>
        <v>990</v>
      </c>
      <c r="C949" s="24" t="str">
        <f t="shared" si="382"/>
        <v>Agencia Información</v>
      </c>
      <c r="D949" s="72" t="str">
        <f t="shared" si="388"/>
        <v>Arte y cultura</v>
      </c>
      <c r="E949" s="19">
        <v>14</v>
      </c>
      <c r="F949" s="18" t="s">
        <v>1517</v>
      </c>
      <c r="G949" s="18" t="s">
        <v>1896</v>
      </c>
      <c r="H949" s="33" t="s">
        <v>16</v>
      </c>
      <c r="I949" s="34" t="s">
        <v>381</v>
      </c>
      <c r="J949" s="9" t="str">
        <f t="shared" si="392"/>
        <v>Comuna</v>
      </c>
      <c r="K949" s="142" t="s">
        <v>1517</v>
      </c>
      <c r="L949" s="36" t="str">
        <f t="shared" si="389"/>
        <v>Año 2021</v>
      </c>
      <c r="M949" s="9" t="str">
        <f t="shared" si="390"/>
        <v>Número de espacios culturales</v>
      </c>
      <c r="N949" s="9" t="str">
        <f t="shared" si="391"/>
        <v>Observatorio Cultural</v>
      </c>
      <c r="O949" s="41" t="str">
        <f>+"Cantidad de Espacios Culturales por Categoría en la "&amp;I949&amp;", "&amp;Agencia[[#This Row],[temporalidad]]</f>
        <v>Cantidad de Espacios Culturales por Categoría en la Región de Los Ríos, Año 2021</v>
      </c>
      <c r="P949" s="112" t="s">
        <v>5657</v>
      </c>
      <c r="Q949" s="11" t="str">
        <f>+Q948</f>
        <v>Gráfico</v>
      </c>
      <c r="R949"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Los Ríos,espacio,cultural,infraestructura,cantidad,número,categoría,tipo,biblioteca,museo,archivo,centro cultural,sala de exposición,galería de arte,cine,casa de la cultura,Agencia Información,Arte y cultura,Espacios culturales,Cultura</v>
      </c>
      <c r="S94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https://analytics.zoho.com/open-view/2395394000008464179?ZOHO_CRITERIA=%22Espacios_Culturales_Completo%201%22.%22C%C3%B3digo_Regi%C3%B3n%22%20%3D%2014</v>
      </c>
      <c r="T949" s="111" t="str">
        <f>"100-C-"&amp;Agencia[[#This Row],[Filtro URL]]</f>
        <v>100-C-14</v>
      </c>
      <c r="U949" s="46" t="str">
        <f t="shared" si="393"/>
        <v>#1774B9</v>
      </c>
      <c r="V949" s="93" t="str">
        <f>+Agencia[[#This Row],[idcoleccion]]&amp;"-"&amp;Agencia[[#This Row],[id]]</f>
        <v>990-0938</v>
      </c>
      <c r="W949" s="93">
        <f>+VLOOKUP(Agencia[[#This Row],[Filtro URL]],Estructura!$X$4:$Y$500,2,0)</f>
        <v>99200014</v>
      </c>
      <c r="X949" s="93" t="str">
        <f>+VLOOKUP(Agencia[[#This Row],[tema]],Estructura!$A$4:$C$500,3,0)</f>
        <v>T-1017</v>
      </c>
      <c r="Y949" s="93" t="str">
        <f>+VLOOKUP(Agencia[[#This Row],[contenido]],Estructura!$E$4:$G$500,3,0)</f>
        <v>C-1008</v>
      </c>
      <c r="Z949" s="93" t="str">
        <f>+VLOOKUP(Agencia[[#This Row],[Filtro Integrado]],Estructura!$I$4:$K$500,3,0)</f>
        <v>FI-991</v>
      </c>
      <c r="AA949" s="93" t="str">
        <f>+VLOOKUP(Agencia[[#This Row],[Muestra]],Estructura!$M$4:$O$500,3,0)</f>
        <v>M-1041</v>
      </c>
    </row>
    <row r="950" spans="1:27" ht="72" x14ac:dyDescent="0.3">
      <c r="A950" s="21" t="s">
        <v>1670</v>
      </c>
      <c r="B950" s="23">
        <f t="shared" si="381"/>
        <v>990</v>
      </c>
      <c r="C950" s="24" t="str">
        <f t="shared" si="382"/>
        <v>Agencia Información</v>
      </c>
      <c r="D950" s="72" t="str">
        <f t="shared" si="388"/>
        <v>Arte y cultura</v>
      </c>
      <c r="E950" s="19">
        <v>15</v>
      </c>
      <c r="F950" s="18" t="s">
        <v>1517</v>
      </c>
      <c r="G950" s="18" t="s">
        <v>1896</v>
      </c>
      <c r="H950" s="33" t="s">
        <v>16</v>
      </c>
      <c r="I950" s="34" t="s">
        <v>382</v>
      </c>
      <c r="J950" s="9" t="str">
        <f t="shared" si="392"/>
        <v>Comuna</v>
      </c>
      <c r="K950" s="142" t="s">
        <v>1517</v>
      </c>
      <c r="L950" s="36" t="str">
        <f t="shared" si="389"/>
        <v>Año 2021</v>
      </c>
      <c r="M950" s="9" t="str">
        <f t="shared" si="390"/>
        <v>Número de espacios culturales</v>
      </c>
      <c r="N950" s="9" t="str">
        <f t="shared" si="391"/>
        <v>Observatorio Cultural</v>
      </c>
      <c r="O950" s="41" t="str">
        <f>+"Cantidad de Espacios Culturales por Categoría en la "&amp;I950&amp;", "&amp;Agencia[[#This Row],[temporalidad]]</f>
        <v>Cantidad de Espacios Culturales por Categoría en la Región de Arica y Parinacota, Año 2021</v>
      </c>
      <c r="P950" s="112" t="s">
        <v>5658</v>
      </c>
      <c r="Q950" s="11" t="str">
        <f>+Q949</f>
        <v>Gráfico</v>
      </c>
      <c r="R950"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Arica y Parinacota,espacio,cultural,infraestructura,cantidad,número,categoría,tipo,biblioteca,museo,archivo,centro cultural,sala de exposición,galería de arte,cine,casa de la cultura,Agencia Información,Arte y cultura,Espacios culturales,Cultura</v>
      </c>
      <c r="S95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https://analytics.zoho.com/open-view/2395394000008464179?ZOHO_CRITERIA=%22Espacios_Culturales_Completo%201%22.%22C%C3%B3digo_Regi%C3%B3n%22%20%3D%2015</v>
      </c>
      <c r="T950" s="111" t="str">
        <f>"100-C-"&amp;Agencia[[#This Row],[Filtro URL]]</f>
        <v>100-C-15</v>
      </c>
      <c r="U950" s="46" t="str">
        <f t="shared" si="393"/>
        <v>#1774B9</v>
      </c>
      <c r="V950" s="93" t="str">
        <f>+Agencia[[#This Row],[idcoleccion]]&amp;"-"&amp;Agencia[[#This Row],[id]]</f>
        <v>990-0939</v>
      </c>
      <c r="W950" s="93">
        <f>+VLOOKUP(Agencia[[#This Row],[Filtro URL]],Estructura!$X$4:$Y$500,2,0)</f>
        <v>99200015</v>
      </c>
      <c r="X950" s="93" t="str">
        <f>+VLOOKUP(Agencia[[#This Row],[tema]],Estructura!$A$4:$C$500,3,0)</f>
        <v>T-1017</v>
      </c>
      <c r="Y950" s="93" t="str">
        <f>+VLOOKUP(Agencia[[#This Row],[contenido]],Estructura!$E$4:$G$500,3,0)</f>
        <v>C-1008</v>
      </c>
      <c r="Z950" s="93" t="str">
        <f>+VLOOKUP(Agencia[[#This Row],[Filtro Integrado]],Estructura!$I$4:$K$500,3,0)</f>
        <v>FI-991</v>
      </c>
      <c r="AA950" s="93" t="str">
        <f>+VLOOKUP(Agencia[[#This Row],[Muestra]],Estructura!$M$4:$O$500,3,0)</f>
        <v>M-1041</v>
      </c>
    </row>
    <row r="951" spans="1:27" ht="72" x14ac:dyDescent="0.3">
      <c r="A951" s="21" t="s">
        <v>1671</v>
      </c>
      <c r="B951" s="23">
        <f t="shared" si="381"/>
        <v>990</v>
      </c>
      <c r="C951" s="24" t="str">
        <f t="shared" si="382"/>
        <v>Agencia Información</v>
      </c>
      <c r="D951" s="72" t="str">
        <f t="shared" si="388"/>
        <v>Arte y cultura</v>
      </c>
      <c r="E951" s="19">
        <v>16</v>
      </c>
      <c r="F951" s="18" t="s">
        <v>1517</v>
      </c>
      <c r="G951" s="18" t="s">
        <v>1896</v>
      </c>
      <c r="H951" s="33" t="s">
        <v>16</v>
      </c>
      <c r="I951" s="34" t="s">
        <v>383</v>
      </c>
      <c r="J951" s="9" t="str">
        <f t="shared" si="392"/>
        <v>Comuna</v>
      </c>
      <c r="K951" s="142" t="s">
        <v>1517</v>
      </c>
      <c r="L951" s="36" t="str">
        <f t="shared" si="389"/>
        <v>Año 2021</v>
      </c>
      <c r="M951" s="9" t="str">
        <f t="shared" si="390"/>
        <v>Número de espacios culturales</v>
      </c>
      <c r="N951" s="9" t="str">
        <f t="shared" si="391"/>
        <v>Observatorio Cultural</v>
      </c>
      <c r="O951" s="41" t="str">
        <f>+"Cantidad de Espacios Culturales por Categoría en la "&amp;I951&amp;", "&amp;Agencia[[#This Row],[temporalidad]]</f>
        <v>Cantidad de Espacios Culturales por Categoría en la Región de Ñuble, Año 2021</v>
      </c>
      <c r="P951" s="112" t="s">
        <v>5659</v>
      </c>
      <c r="Q951" s="11" t="str">
        <f>+Q950</f>
        <v>Gráfico</v>
      </c>
      <c r="R951" s="148" t="str">
        <f>Agencia[[#This Row],[territorio]]&amp;",espacio,cultural,infraestructura,cantidad,número,categoría,tipo,biblioteca,museo,archivo,centro cultural,sala de exposición,galería de arte,cine,casa de la cultura,"&amp;Agencia[[#This Row],[coleccion]]&amp;","&amp;Agencia[[#This Row],[sector]]&amp;","&amp;Agencia[[#This Row],[tema]]&amp;","&amp;Agencia[[#This Row],[contenido]]</f>
        <v>Región de Ñuble,espacio,cultural,infraestructura,cantidad,número,categoría,tipo,biblioteca,museo,archivo,centro cultural,sala de exposición,galería de arte,cine,casa de la cultura,Agencia Información,Arte y cultura,Espacios culturales,Cultura</v>
      </c>
      <c r="S95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https://analytics.zoho.com/open-view/2395394000008464179?ZOHO_CRITERIA=%22Espacios_Culturales_Completo%201%22.%22C%C3%B3digo_Regi%C3%B3n%22%20%3D%2016</v>
      </c>
      <c r="T951" s="111" t="str">
        <f>"100-C-"&amp;Agencia[[#This Row],[Filtro URL]]</f>
        <v>100-C-16</v>
      </c>
      <c r="U951" s="46" t="str">
        <f t="shared" si="393"/>
        <v>#1774B9</v>
      </c>
      <c r="V951" s="93" t="str">
        <f>+Agencia[[#This Row],[idcoleccion]]&amp;"-"&amp;Agencia[[#This Row],[id]]</f>
        <v>990-0940</v>
      </c>
      <c r="W951" s="93">
        <f>+VLOOKUP(Agencia[[#This Row],[Filtro URL]],Estructura!$X$4:$Y$500,2,0)</f>
        <v>99200016</v>
      </c>
      <c r="X951" s="93" t="str">
        <f>+VLOOKUP(Agencia[[#This Row],[tema]],Estructura!$A$4:$C$500,3,0)</f>
        <v>T-1017</v>
      </c>
      <c r="Y951" s="93" t="str">
        <f>+VLOOKUP(Agencia[[#This Row],[contenido]],Estructura!$E$4:$G$500,3,0)</f>
        <v>C-1008</v>
      </c>
      <c r="Z951" s="93" t="str">
        <f>+VLOOKUP(Agencia[[#This Row],[Filtro Integrado]],Estructura!$I$4:$K$500,3,0)</f>
        <v>FI-991</v>
      </c>
      <c r="AA951" s="93" t="str">
        <f>+VLOOKUP(Agencia[[#This Row],[Muestra]],Estructura!$M$4:$O$500,3,0)</f>
        <v>M-1041</v>
      </c>
    </row>
    <row r="952" spans="1:27" ht="51" x14ac:dyDescent="0.3">
      <c r="A952" s="21" t="s">
        <v>1672</v>
      </c>
      <c r="B952" s="23">
        <f t="shared" si="381"/>
        <v>990</v>
      </c>
      <c r="C952" s="24" t="str">
        <f t="shared" si="382"/>
        <v>Agencia Información</v>
      </c>
      <c r="D952" s="72" t="s">
        <v>603</v>
      </c>
      <c r="E952" s="14">
        <v>0</v>
      </c>
      <c r="F952" s="18" t="s">
        <v>5155</v>
      </c>
      <c r="G952" s="18" t="s">
        <v>1896</v>
      </c>
      <c r="H952" s="31" t="s">
        <v>20</v>
      </c>
      <c r="I952" s="32" t="s">
        <v>15</v>
      </c>
      <c r="J952" s="9" t="s">
        <v>18</v>
      </c>
      <c r="K952" s="142" t="s">
        <v>1517</v>
      </c>
      <c r="L952" s="36" t="s">
        <v>596</v>
      </c>
      <c r="M952" s="9" t="s">
        <v>606</v>
      </c>
      <c r="N952" s="9" t="s">
        <v>607</v>
      </c>
      <c r="O952" s="41" t="str">
        <f>+"Cantidad de Espacios Culturales por Estado de Mantención y Región en "&amp;I952&amp;", "&amp;Agencia[[#This Row],[temporalidad]]</f>
        <v>Cantidad de Espacios Culturales por Estado de Mantención y Región en Chile, Año 2021</v>
      </c>
      <c r="P952" s="112" t="s">
        <v>5551</v>
      </c>
      <c r="Q952" s="11" t="s">
        <v>576</v>
      </c>
      <c r="R952" s="20" t="str">
        <f>Agencia[[#This Row],[territorio]]&amp;",espacio,cultural,infraestructura,estado,mantención,bueno,regular,malo,cantidad,"&amp;Agencia[[#This Row],[coleccion]]&amp;","&amp;Agencia[[#This Row],[sector]]&amp;","&amp;Agencia[[#This Row],[tema]]&amp;","&amp;Agencia[[#This Row],[contenido]]</f>
        <v>Chile,espacio,cultural,infraestructura,estado,mantención,bueno,regular,malo,cantidad,Agencia Información,Arte y cultura,Estado de mantención de espacios culturales,Cultura</v>
      </c>
      <c r="S952" s="37" t="s">
        <v>1522</v>
      </c>
      <c r="T952" s="108" t="s">
        <v>957</v>
      </c>
      <c r="U952" s="46" t="str">
        <f t="shared" si="393"/>
        <v>#1774B9</v>
      </c>
      <c r="V952" s="93" t="str">
        <f>+Agencia[[#This Row],[idcoleccion]]&amp;"-"&amp;Agencia[[#This Row],[id]]</f>
        <v>990-0941</v>
      </c>
      <c r="W952" s="93">
        <f>+VLOOKUP(Agencia[[#This Row],[Filtro URL]],Estructura!$X$4:$Y$500,2,0)</f>
        <v>99100000</v>
      </c>
      <c r="X952" s="93" t="str">
        <f>+VLOOKUP(Agencia[[#This Row],[tema]],Estructura!$A$4:$C$500,3,0)</f>
        <v>T-1086</v>
      </c>
      <c r="Y952" s="93" t="str">
        <f>+VLOOKUP(Agencia[[#This Row],[contenido]],Estructura!$E$4:$G$500,3,0)</f>
        <v>C-1008</v>
      </c>
      <c r="Z952" s="93" t="str">
        <f>+VLOOKUP(Agencia[[#This Row],[Filtro Integrado]],Estructura!$I$4:$K$500,3,0)</f>
        <v>FI-991</v>
      </c>
      <c r="AA952" s="93" t="str">
        <f>+VLOOKUP(Agencia[[#This Row],[Muestra]],Estructura!$M$4:$O$500,3,0)</f>
        <v>M-1041</v>
      </c>
    </row>
    <row r="953" spans="1:27" ht="72" x14ac:dyDescent="0.3">
      <c r="A953" s="21" t="s">
        <v>1673</v>
      </c>
      <c r="B953" s="23">
        <f t="shared" si="381"/>
        <v>990</v>
      </c>
      <c r="C953" s="24" t="str">
        <f t="shared" si="382"/>
        <v>Agencia Información</v>
      </c>
      <c r="D953" s="72" t="str">
        <f t="shared" ref="D953:D968" si="394">+D952</f>
        <v>Arte y cultura</v>
      </c>
      <c r="E953" s="19">
        <v>1</v>
      </c>
      <c r="F953" s="69" t="s">
        <v>5155</v>
      </c>
      <c r="G953" s="18" t="s">
        <v>1896</v>
      </c>
      <c r="H953" s="33" t="s">
        <v>16</v>
      </c>
      <c r="I953" s="34" t="s">
        <v>368</v>
      </c>
      <c r="J953" s="9" t="s">
        <v>18</v>
      </c>
      <c r="K953" s="142" t="s">
        <v>1517</v>
      </c>
      <c r="L953" s="36" t="str">
        <f t="shared" ref="L953:L968" si="395">+L952</f>
        <v>Año 2021</v>
      </c>
      <c r="M953" s="9" t="str">
        <f t="shared" ref="M953:M968" si="396">+M952</f>
        <v>Número de espacios culturales</v>
      </c>
      <c r="N953" s="9" t="str">
        <f t="shared" ref="N953:N968" si="397">+N952</f>
        <v>Observatorio Cultural</v>
      </c>
      <c r="O953" s="41" t="str">
        <f>+"Cantidad de Espacios Culturales por Estado de Mantención en la "&amp;I953&amp;", "&amp;Agencia[[#This Row],[temporalidad]]</f>
        <v>Cantidad de Espacios Culturales por Estado de Mantención en la Región de Tarapacá, Año 2021</v>
      </c>
      <c r="P953" s="112" t="s">
        <v>5602</v>
      </c>
      <c r="Q953" s="11" t="str">
        <f t="shared" ref="Q953:Q968" si="398">+Q952</f>
        <v>Gráfico</v>
      </c>
      <c r="R953" s="148" t="str">
        <f>Agencia[[#This Row],[territorio]]&amp;",espacio,cultural,infraestructura,estado,mantención,bueno,regular,malo,cantidad,"&amp;Agencia[[#This Row],[coleccion]]&amp;","&amp;Agencia[[#This Row],[sector]]&amp;","&amp;Agencia[[#This Row],[tema]]&amp;","&amp;Agencia[[#This Row],[contenido]]</f>
        <v>Región de Tarapacá,espacio,cultural,infraestructura,estado,mantención,bueno,regular,malo,cantidad,Agencia Información,Arte y cultura,Estado de mantención de espacios culturales,Cultura</v>
      </c>
      <c r="S95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v>
      </c>
      <c r="T953" s="111" t="str">
        <f>"100-C-"&amp;Agencia[[#This Row],[Filtro URL]]</f>
        <v>100-C-1</v>
      </c>
      <c r="U953" s="46" t="str">
        <f t="shared" si="393"/>
        <v>#1774B9</v>
      </c>
      <c r="V953" s="93" t="str">
        <f>+Agencia[[#This Row],[idcoleccion]]&amp;"-"&amp;Agencia[[#This Row],[id]]</f>
        <v>990-0942</v>
      </c>
      <c r="W953" s="93">
        <f>+VLOOKUP(Agencia[[#This Row],[Filtro URL]],Estructura!$X$4:$Y$500,2,0)</f>
        <v>99200001</v>
      </c>
      <c r="X953" s="93" t="str">
        <f>+VLOOKUP(Agencia[[#This Row],[tema]],Estructura!$A$4:$C$500,3,0)</f>
        <v>T-1086</v>
      </c>
      <c r="Y953" s="93" t="str">
        <f>+VLOOKUP(Agencia[[#This Row],[contenido]],Estructura!$E$4:$G$500,3,0)</f>
        <v>C-1008</v>
      </c>
      <c r="Z953" s="93" t="str">
        <f>+VLOOKUP(Agencia[[#This Row],[Filtro Integrado]],Estructura!$I$4:$K$500,3,0)</f>
        <v>FI-991</v>
      </c>
      <c r="AA953" s="93" t="str">
        <f>+VLOOKUP(Agencia[[#This Row],[Muestra]],Estructura!$M$4:$O$500,3,0)</f>
        <v>M-1041</v>
      </c>
    </row>
    <row r="954" spans="1:27" ht="72" x14ac:dyDescent="0.3">
      <c r="A954" s="21" t="s">
        <v>1674</v>
      </c>
      <c r="B954" s="23">
        <f t="shared" si="381"/>
        <v>990</v>
      </c>
      <c r="C954" s="24" t="str">
        <f t="shared" si="382"/>
        <v>Agencia Información</v>
      </c>
      <c r="D954" s="72" t="str">
        <f t="shared" si="394"/>
        <v>Arte y cultura</v>
      </c>
      <c r="E954" s="19">
        <v>2</v>
      </c>
      <c r="F954" s="69" t="s">
        <v>5155</v>
      </c>
      <c r="G954" s="18" t="s">
        <v>1896</v>
      </c>
      <c r="H954" s="33" t="s">
        <v>16</v>
      </c>
      <c r="I954" s="34" t="s">
        <v>369</v>
      </c>
      <c r="J954" s="9" t="str">
        <f t="shared" ref="J954:J968" si="399">+J953</f>
        <v>Comuna</v>
      </c>
      <c r="K954" s="142" t="s">
        <v>1517</v>
      </c>
      <c r="L954" s="36" t="str">
        <f t="shared" si="395"/>
        <v>Año 2021</v>
      </c>
      <c r="M954" s="9" t="str">
        <f t="shared" si="396"/>
        <v>Número de espacios culturales</v>
      </c>
      <c r="N954" s="9" t="str">
        <f t="shared" si="397"/>
        <v>Observatorio Cultural</v>
      </c>
      <c r="O954" s="41" t="str">
        <f>+"Cantidad de Espacios Culturales por Estado de Mantención en la "&amp;I954&amp;", "&amp;Agencia[[#This Row],[temporalidad]]</f>
        <v>Cantidad de Espacios Culturales por Estado de Mantención en la Región de Antofagasta, Año 2021</v>
      </c>
      <c r="P954" s="112" t="s">
        <v>5603</v>
      </c>
      <c r="Q954" s="11" t="str">
        <f t="shared" si="398"/>
        <v>Gráfico</v>
      </c>
      <c r="R954" s="148" t="str">
        <f>Agencia[[#This Row],[territorio]]&amp;",espacio,cultural,infraestructura,estado,mantención,bueno,regular,malo,cantidad,"&amp;Agencia[[#This Row],[coleccion]]&amp;","&amp;Agencia[[#This Row],[sector]]&amp;","&amp;Agencia[[#This Row],[tema]]&amp;","&amp;Agencia[[#This Row],[contenido]]</f>
        <v>Región de Antofagasta,espacio,cultural,infraestructura,estado,mantención,bueno,regular,malo,cantidad,Agencia Información,Arte y cultura,Estado de mantención de espacios culturales,Cultura</v>
      </c>
      <c r="S95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https://analytics.zoho.com/open-view/2395394000008464286?ZOHO_CRITERIA=%22Espacios_Culturales_Completo%201%22.%22C%C3%B3digo_Regi%C3%B3n%22%20%3D%202</v>
      </c>
      <c r="T954" s="111" t="str">
        <f>"100-C-"&amp;Agencia[[#This Row],[Filtro URL]]</f>
        <v>100-C-2</v>
      </c>
      <c r="U954" s="46" t="str">
        <f t="shared" si="393"/>
        <v>#1774B9</v>
      </c>
      <c r="V954" s="93" t="str">
        <f>+Agencia[[#This Row],[idcoleccion]]&amp;"-"&amp;Agencia[[#This Row],[id]]</f>
        <v>990-0943</v>
      </c>
      <c r="W954" s="93">
        <f>+VLOOKUP(Agencia[[#This Row],[Filtro URL]],Estructura!$X$4:$Y$500,2,0)</f>
        <v>99200002</v>
      </c>
      <c r="X954" s="93" t="str">
        <f>+VLOOKUP(Agencia[[#This Row],[tema]],Estructura!$A$4:$C$500,3,0)</f>
        <v>T-1086</v>
      </c>
      <c r="Y954" s="93" t="str">
        <f>+VLOOKUP(Agencia[[#This Row],[contenido]],Estructura!$E$4:$G$500,3,0)</f>
        <v>C-1008</v>
      </c>
      <c r="Z954" s="93" t="str">
        <f>+VLOOKUP(Agencia[[#This Row],[Filtro Integrado]],Estructura!$I$4:$K$500,3,0)</f>
        <v>FI-991</v>
      </c>
      <c r="AA954" s="93" t="str">
        <f>+VLOOKUP(Agencia[[#This Row],[Muestra]],Estructura!$M$4:$O$500,3,0)</f>
        <v>M-1041</v>
      </c>
    </row>
    <row r="955" spans="1:27" ht="72" x14ac:dyDescent="0.3">
      <c r="A955" s="21" t="s">
        <v>1675</v>
      </c>
      <c r="B955" s="23">
        <f t="shared" si="381"/>
        <v>990</v>
      </c>
      <c r="C955" s="24" t="str">
        <f t="shared" si="382"/>
        <v>Agencia Información</v>
      </c>
      <c r="D955" s="72" t="str">
        <f t="shared" si="394"/>
        <v>Arte y cultura</v>
      </c>
      <c r="E955" s="19">
        <v>3</v>
      </c>
      <c r="F955" s="69" t="s">
        <v>5155</v>
      </c>
      <c r="G955" s="18" t="s">
        <v>1896</v>
      </c>
      <c r="H955" s="33" t="s">
        <v>16</v>
      </c>
      <c r="I955" s="34" t="s">
        <v>370</v>
      </c>
      <c r="J955" s="9" t="str">
        <f t="shared" si="399"/>
        <v>Comuna</v>
      </c>
      <c r="K955" s="142" t="s">
        <v>1517</v>
      </c>
      <c r="L955" s="36" t="str">
        <f t="shared" si="395"/>
        <v>Año 2021</v>
      </c>
      <c r="M955" s="9" t="str">
        <f t="shared" si="396"/>
        <v>Número de espacios culturales</v>
      </c>
      <c r="N955" s="9" t="str">
        <f t="shared" si="397"/>
        <v>Observatorio Cultural</v>
      </c>
      <c r="O955" s="41" t="str">
        <f>+"Cantidad de Espacios Culturales por Estado de Mantención en la "&amp;I955&amp;", "&amp;Agencia[[#This Row],[temporalidad]]</f>
        <v>Cantidad de Espacios Culturales por Estado de Mantención en la Región de Atacama, Año 2021</v>
      </c>
      <c r="P955" s="112" t="s">
        <v>5604</v>
      </c>
      <c r="Q955" s="11" t="str">
        <f t="shared" si="398"/>
        <v>Gráfico</v>
      </c>
      <c r="R955" s="148" t="str">
        <f>Agencia[[#This Row],[territorio]]&amp;",espacio,cultural,infraestructura,estado,mantención,bueno,regular,malo,cantidad,"&amp;Agencia[[#This Row],[coleccion]]&amp;","&amp;Agencia[[#This Row],[sector]]&amp;","&amp;Agencia[[#This Row],[tema]]&amp;","&amp;Agencia[[#This Row],[contenido]]</f>
        <v>Región de Atacama,espacio,cultural,infraestructura,estado,mantención,bueno,regular,malo,cantidad,Agencia Información,Arte y cultura,Estado de mantención de espacios culturales,Cultura</v>
      </c>
      <c r="S95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https://analytics.zoho.com/open-view/2395394000008464286?ZOHO_CRITERIA=%22Espacios_Culturales_Completo%201%22.%22C%C3%B3digo_Regi%C3%B3n%22%20%3D%203</v>
      </c>
      <c r="T955" s="111" t="str">
        <f>"100-C-"&amp;Agencia[[#This Row],[Filtro URL]]</f>
        <v>100-C-3</v>
      </c>
      <c r="U955" s="46" t="str">
        <f t="shared" si="393"/>
        <v>#1774B9</v>
      </c>
      <c r="V955" s="93" t="str">
        <f>+Agencia[[#This Row],[idcoleccion]]&amp;"-"&amp;Agencia[[#This Row],[id]]</f>
        <v>990-0944</v>
      </c>
      <c r="W955" s="93">
        <f>+VLOOKUP(Agencia[[#This Row],[Filtro URL]],Estructura!$X$4:$Y$500,2,0)</f>
        <v>99200003</v>
      </c>
      <c r="X955" s="93" t="str">
        <f>+VLOOKUP(Agencia[[#This Row],[tema]],Estructura!$A$4:$C$500,3,0)</f>
        <v>T-1086</v>
      </c>
      <c r="Y955" s="93" t="str">
        <f>+VLOOKUP(Agencia[[#This Row],[contenido]],Estructura!$E$4:$G$500,3,0)</f>
        <v>C-1008</v>
      </c>
      <c r="Z955" s="93" t="str">
        <f>+VLOOKUP(Agencia[[#This Row],[Filtro Integrado]],Estructura!$I$4:$K$500,3,0)</f>
        <v>FI-991</v>
      </c>
      <c r="AA955" s="93" t="str">
        <f>+VLOOKUP(Agencia[[#This Row],[Muestra]],Estructura!$M$4:$O$500,3,0)</f>
        <v>M-1041</v>
      </c>
    </row>
    <row r="956" spans="1:27" ht="72" x14ac:dyDescent="0.3">
      <c r="A956" s="21" t="s">
        <v>1676</v>
      </c>
      <c r="B956" s="23">
        <f t="shared" si="381"/>
        <v>990</v>
      </c>
      <c r="C956" s="24" t="str">
        <f t="shared" si="382"/>
        <v>Agencia Información</v>
      </c>
      <c r="D956" s="72" t="str">
        <f t="shared" si="394"/>
        <v>Arte y cultura</v>
      </c>
      <c r="E956" s="19">
        <v>4</v>
      </c>
      <c r="F956" s="69" t="s">
        <v>5155</v>
      </c>
      <c r="G956" s="18" t="s">
        <v>1896</v>
      </c>
      <c r="H956" s="33" t="s">
        <v>16</v>
      </c>
      <c r="I956" s="34" t="s">
        <v>371</v>
      </c>
      <c r="J956" s="9" t="str">
        <f t="shared" si="399"/>
        <v>Comuna</v>
      </c>
      <c r="K956" s="142" t="s">
        <v>1517</v>
      </c>
      <c r="L956" s="36" t="str">
        <f t="shared" si="395"/>
        <v>Año 2021</v>
      </c>
      <c r="M956" s="9" t="str">
        <f t="shared" si="396"/>
        <v>Número de espacios culturales</v>
      </c>
      <c r="N956" s="9" t="str">
        <f t="shared" si="397"/>
        <v>Observatorio Cultural</v>
      </c>
      <c r="O956" s="41" t="str">
        <f>+"Cantidad de Espacios Culturales por Estado de Mantención en la "&amp;I956&amp;", "&amp;Agencia[[#This Row],[temporalidad]]</f>
        <v>Cantidad de Espacios Culturales por Estado de Mantención en la Región de Coquimbo, Año 2021</v>
      </c>
      <c r="P956" s="112" t="s">
        <v>5605</v>
      </c>
      <c r="Q956" s="11" t="str">
        <f t="shared" si="398"/>
        <v>Gráfico</v>
      </c>
      <c r="R956" s="148" t="str">
        <f>Agencia[[#This Row],[territorio]]&amp;",espacio,cultural,infraestructura,estado,mantención,bueno,regular,malo,cantidad,"&amp;Agencia[[#This Row],[coleccion]]&amp;","&amp;Agencia[[#This Row],[sector]]&amp;","&amp;Agencia[[#This Row],[tema]]&amp;","&amp;Agencia[[#This Row],[contenido]]</f>
        <v>Región de Coquimbo,espacio,cultural,infraestructura,estado,mantención,bueno,regular,malo,cantidad,Agencia Información,Arte y cultura,Estado de mantención de espacios culturales,Cultura</v>
      </c>
      <c r="S95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https://analytics.zoho.com/open-view/2395394000008464286?ZOHO_CRITERIA=%22Espacios_Culturales_Completo%201%22.%22C%C3%B3digo_Regi%C3%B3n%22%20%3D%204</v>
      </c>
      <c r="T956" s="111" t="str">
        <f>"100-C-"&amp;Agencia[[#This Row],[Filtro URL]]</f>
        <v>100-C-4</v>
      </c>
      <c r="U956" s="46" t="str">
        <f t="shared" si="393"/>
        <v>#1774B9</v>
      </c>
      <c r="V956" s="93" t="str">
        <f>+Agencia[[#This Row],[idcoleccion]]&amp;"-"&amp;Agencia[[#This Row],[id]]</f>
        <v>990-0945</v>
      </c>
      <c r="W956" s="93">
        <f>+VLOOKUP(Agencia[[#This Row],[Filtro URL]],Estructura!$X$4:$Y$500,2,0)</f>
        <v>99200004</v>
      </c>
      <c r="X956" s="93" t="str">
        <f>+VLOOKUP(Agencia[[#This Row],[tema]],Estructura!$A$4:$C$500,3,0)</f>
        <v>T-1086</v>
      </c>
      <c r="Y956" s="93" t="str">
        <f>+VLOOKUP(Agencia[[#This Row],[contenido]],Estructura!$E$4:$G$500,3,0)</f>
        <v>C-1008</v>
      </c>
      <c r="Z956" s="93" t="str">
        <f>+VLOOKUP(Agencia[[#This Row],[Filtro Integrado]],Estructura!$I$4:$K$500,3,0)</f>
        <v>FI-991</v>
      </c>
      <c r="AA956" s="93" t="str">
        <f>+VLOOKUP(Agencia[[#This Row],[Muestra]],Estructura!$M$4:$O$500,3,0)</f>
        <v>M-1041</v>
      </c>
    </row>
    <row r="957" spans="1:27" ht="72" x14ac:dyDescent="0.3">
      <c r="A957" s="21" t="s">
        <v>1677</v>
      </c>
      <c r="B957" s="23">
        <f t="shared" si="381"/>
        <v>990</v>
      </c>
      <c r="C957" s="24" t="str">
        <f t="shared" si="382"/>
        <v>Agencia Información</v>
      </c>
      <c r="D957" s="72" t="str">
        <f t="shared" si="394"/>
        <v>Arte y cultura</v>
      </c>
      <c r="E957" s="19">
        <v>5</v>
      </c>
      <c r="F957" s="69" t="s">
        <v>5155</v>
      </c>
      <c r="G957" s="18" t="s">
        <v>1896</v>
      </c>
      <c r="H957" s="33" t="s">
        <v>16</v>
      </c>
      <c r="I957" s="34" t="s">
        <v>372</v>
      </c>
      <c r="J957" s="9" t="str">
        <f t="shared" si="399"/>
        <v>Comuna</v>
      </c>
      <c r="K957" s="142" t="s">
        <v>1517</v>
      </c>
      <c r="L957" s="36" t="str">
        <f t="shared" si="395"/>
        <v>Año 2021</v>
      </c>
      <c r="M957" s="9" t="str">
        <f t="shared" si="396"/>
        <v>Número de espacios culturales</v>
      </c>
      <c r="N957" s="9" t="str">
        <f t="shared" si="397"/>
        <v>Observatorio Cultural</v>
      </c>
      <c r="O957" s="41" t="str">
        <f>+"Cantidad de Espacios Culturales por Estado de Mantención en la "&amp;I957&amp;", "&amp;Agencia[[#This Row],[temporalidad]]</f>
        <v>Cantidad de Espacios Culturales por Estado de Mantención en la Región de Valparaíso, Año 2021</v>
      </c>
      <c r="P957" s="112" t="s">
        <v>5606</v>
      </c>
      <c r="Q957" s="11" t="str">
        <f t="shared" si="398"/>
        <v>Gráfico</v>
      </c>
      <c r="R957" s="148" t="str">
        <f>Agencia[[#This Row],[territorio]]&amp;",espacio,cultural,infraestructura,estado,mantención,bueno,regular,malo,cantidad,"&amp;Agencia[[#This Row],[coleccion]]&amp;","&amp;Agencia[[#This Row],[sector]]&amp;","&amp;Agencia[[#This Row],[tema]]&amp;","&amp;Agencia[[#This Row],[contenido]]</f>
        <v>Región de Valparaíso,espacio,cultural,infraestructura,estado,mantención,bueno,regular,malo,cantidad,Agencia Información,Arte y cultura,Estado de mantención de espacios culturales,Cultura</v>
      </c>
      <c r="S95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https://analytics.zoho.com/open-view/2395394000008464286?ZOHO_CRITERIA=%22Espacios_Culturales_Completo%201%22.%22C%C3%B3digo_Regi%C3%B3n%22%20%3D%205</v>
      </c>
      <c r="T957" s="111" t="str">
        <f>"100-C-"&amp;Agencia[[#This Row],[Filtro URL]]</f>
        <v>100-C-5</v>
      </c>
      <c r="U957" s="46" t="str">
        <f t="shared" si="393"/>
        <v>#1774B9</v>
      </c>
      <c r="V957" s="93" t="str">
        <f>+Agencia[[#This Row],[idcoleccion]]&amp;"-"&amp;Agencia[[#This Row],[id]]</f>
        <v>990-0946</v>
      </c>
      <c r="W957" s="93">
        <f>+VLOOKUP(Agencia[[#This Row],[Filtro URL]],Estructura!$X$4:$Y$500,2,0)</f>
        <v>99200005</v>
      </c>
      <c r="X957" s="93" t="str">
        <f>+VLOOKUP(Agencia[[#This Row],[tema]],Estructura!$A$4:$C$500,3,0)</f>
        <v>T-1086</v>
      </c>
      <c r="Y957" s="93" t="str">
        <f>+VLOOKUP(Agencia[[#This Row],[contenido]],Estructura!$E$4:$G$500,3,0)</f>
        <v>C-1008</v>
      </c>
      <c r="Z957" s="93" t="str">
        <f>+VLOOKUP(Agencia[[#This Row],[Filtro Integrado]],Estructura!$I$4:$K$500,3,0)</f>
        <v>FI-991</v>
      </c>
      <c r="AA957" s="93" t="str">
        <f>+VLOOKUP(Agencia[[#This Row],[Muestra]],Estructura!$M$4:$O$500,3,0)</f>
        <v>M-1041</v>
      </c>
    </row>
    <row r="958" spans="1:27" ht="72" x14ac:dyDescent="0.3">
      <c r="A958" s="21" t="s">
        <v>1678</v>
      </c>
      <c r="B958" s="23">
        <f t="shared" si="381"/>
        <v>990</v>
      </c>
      <c r="C958" s="24" t="str">
        <f t="shared" si="382"/>
        <v>Agencia Información</v>
      </c>
      <c r="D958" s="72" t="str">
        <f t="shared" si="394"/>
        <v>Arte y cultura</v>
      </c>
      <c r="E958" s="19">
        <v>6</v>
      </c>
      <c r="F958" s="69" t="s">
        <v>5155</v>
      </c>
      <c r="G958" s="18" t="s">
        <v>1896</v>
      </c>
      <c r="H958" s="33" t="s">
        <v>16</v>
      </c>
      <c r="I958" s="34" t="s">
        <v>373</v>
      </c>
      <c r="J958" s="9" t="str">
        <f t="shared" si="399"/>
        <v>Comuna</v>
      </c>
      <c r="K958" s="142" t="s">
        <v>1517</v>
      </c>
      <c r="L958" s="36" t="str">
        <f t="shared" si="395"/>
        <v>Año 2021</v>
      </c>
      <c r="M958" s="9" t="str">
        <f t="shared" si="396"/>
        <v>Número de espacios culturales</v>
      </c>
      <c r="N958" s="9" t="str">
        <f t="shared" si="397"/>
        <v>Observatorio Cultural</v>
      </c>
      <c r="O958" s="41" t="str">
        <f>+"Cantidad de Espacios Culturales por Estado de Mantención en la "&amp;I958&amp;", "&amp;Agencia[[#This Row],[temporalidad]]</f>
        <v>Cantidad de Espacios Culturales por Estado de Mantención en la Región de O'Higgins, Año 2021</v>
      </c>
      <c r="P958" s="112" t="s">
        <v>5607</v>
      </c>
      <c r="Q958" s="11" t="str">
        <f t="shared" si="398"/>
        <v>Gráfico</v>
      </c>
      <c r="R958" s="148" t="str">
        <f>Agencia[[#This Row],[territorio]]&amp;",espacio,cultural,infraestructura,estado,mantención,bueno,regular,malo,cantidad,"&amp;Agencia[[#This Row],[coleccion]]&amp;","&amp;Agencia[[#This Row],[sector]]&amp;","&amp;Agencia[[#This Row],[tema]]&amp;","&amp;Agencia[[#This Row],[contenido]]</f>
        <v>Región de O'Higgins,espacio,cultural,infraestructura,estado,mantención,bueno,regular,malo,cantidad,Agencia Información,Arte y cultura,Estado de mantención de espacios culturales,Cultura</v>
      </c>
      <c r="S95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https://analytics.zoho.com/open-view/2395394000008464286?ZOHO_CRITERIA=%22Espacios_Culturales_Completo%201%22.%22C%C3%B3digo_Regi%C3%B3n%22%20%3D%206</v>
      </c>
      <c r="T958" s="111" t="str">
        <f>"100-C-"&amp;Agencia[[#This Row],[Filtro URL]]</f>
        <v>100-C-6</v>
      </c>
      <c r="U958" s="46" t="str">
        <f t="shared" si="393"/>
        <v>#1774B9</v>
      </c>
      <c r="V958" s="93" t="str">
        <f>+Agencia[[#This Row],[idcoleccion]]&amp;"-"&amp;Agencia[[#This Row],[id]]</f>
        <v>990-0947</v>
      </c>
      <c r="W958" s="93">
        <f>+VLOOKUP(Agencia[[#This Row],[Filtro URL]],Estructura!$X$4:$Y$500,2,0)</f>
        <v>99200006</v>
      </c>
      <c r="X958" s="93" t="str">
        <f>+VLOOKUP(Agencia[[#This Row],[tema]],Estructura!$A$4:$C$500,3,0)</f>
        <v>T-1086</v>
      </c>
      <c r="Y958" s="93" t="str">
        <f>+VLOOKUP(Agencia[[#This Row],[contenido]],Estructura!$E$4:$G$500,3,0)</f>
        <v>C-1008</v>
      </c>
      <c r="Z958" s="93" t="str">
        <f>+VLOOKUP(Agencia[[#This Row],[Filtro Integrado]],Estructura!$I$4:$K$500,3,0)</f>
        <v>FI-991</v>
      </c>
      <c r="AA958" s="93" t="str">
        <f>+VLOOKUP(Agencia[[#This Row],[Muestra]],Estructura!$M$4:$O$500,3,0)</f>
        <v>M-1041</v>
      </c>
    </row>
    <row r="959" spans="1:27" ht="72" x14ac:dyDescent="0.3">
      <c r="A959" s="21" t="s">
        <v>1679</v>
      </c>
      <c r="B959" s="23">
        <f t="shared" si="381"/>
        <v>990</v>
      </c>
      <c r="C959" s="24" t="str">
        <f t="shared" si="382"/>
        <v>Agencia Información</v>
      </c>
      <c r="D959" s="72" t="str">
        <f t="shared" si="394"/>
        <v>Arte y cultura</v>
      </c>
      <c r="E959" s="19">
        <v>7</v>
      </c>
      <c r="F959" s="69" t="s">
        <v>5155</v>
      </c>
      <c r="G959" s="18" t="s">
        <v>1896</v>
      </c>
      <c r="H959" s="33" t="s">
        <v>16</v>
      </c>
      <c r="I959" s="34" t="s">
        <v>374</v>
      </c>
      <c r="J959" s="9" t="str">
        <f t="shared" si="399"/>
        <v>Comuna</v>
      </c>
      <c r="K959" s="142" t="s">
        <v>1517</v>
      </c>
      <c r="L959" s="36" t="str">
        <f t="shared" si="395"/>
        <v>Año 2021</v>
      </c>
      <c r="M959" s="9" t="str">
        <f t="shared" si="396"/>
        <v>Número de espacios culturales</v>
      </c>
      <c r="N959" s="9" t="str">
        <f t="shared" si="397"/>
        <v>Observatorio Cultural</v>
      </c>
      <c r="O959" s="41" t="str">
        <f>+"Cantidad de Espacios Culturales por Estado de Mantención en la "&amp;I959&amp;", "&amp;Agencia[[#This Row],[temporalidad]]</f>
        <v>Cantidad de Espacios Culturales por Estado de Mantención en la Región de Maule, Año 2021</v>
      </c>
      <c r="P959" s="112" t="s">
        <v>5608</v>
      </c>
      <c r="Q959" s="11" t="str">
        <f t="shared" si="398"/>
        <v>Gráfico</v>
      </c>
      <c r="R959" s="148" t="str">
        <f>Agencia[[#This Row],[territorio]]&amp;",espacio,cultural,infraestructura,estado,mantención,bueno,regular,malo,cantidad,"&amp;Agencia[[#This Row],[coleccion]]&amp;","&amp;Agencia[[#This Row],[sector]]&amp;","&amp;Agencia[[#This Row],[tema]]&amp;","&amp;Agencia[[#This Row],[contenido]]</f>
        <v>Región de Maule,espacio,cultural,infraestructura,estado,mantención,bueno,regular,malo,cantidad,Agencia Información,Arte y cultura,Estado de mantención de espacios culturales,Cultura</v>
      </c>
      <c r="S959"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https://analytics.zoho.com/open-view/2395394000008464286?ZOHO_CRITERIA=%22Espacios_Culturales_Completo%201%22.%22C%C3%B3digo_Regi%C3%B3n%22%20%3D%207</v>
      </c>
      <c r="T959" s="111" t="str">
        <f>"100-C-"&amp;Agencia[[#This Row],[Filtro URL]]</f>
        <v>100-C-7</v>
      </c>
      <c r="U959" s="46" t="str">
        <f t="shared" si="393"/>
        <v>#1774B9</v>
      </c>
      <c r="V959" s="93" t="str">
        <f>+Agencia[[#This Row],[idcoleccion]]&amp;"-"&amp;Agencia[[#This Row],[id]]</f>
        <v>990-0948</v>
      </c>
      <c r="W959" s="93">
        <f>+VLOOKUP(Agencia[[#This Row],[Filtro URL]],Estructura!$X$4:$Y$500,2,0)</f>
        <v>99200007</v>
      </c>
      <c r="X959" s="93" t="str">
        <f>+VLOOKUP(Agencia[[#This Row],[tema]],Estructura!$A$4:$C$500,3,0)</f>
        <v>T-1086</v>
      </c>
      <c r="Y959" s="93" t="str">
        <f>+VLOOKUP(Agencia[[#This Row],[contenido]],Estructura!$E$4:$G$500,3,0)</f>
        <v>C-1008</v>
      </c>
      <c r="Z959" s="93" t="str">
        <f>+VLOOKUP(Agencia[[#This Row],[Filtro Integrado]],Estructura!$I$4:$K$500,3,0)</f>
        <v>FI-991</v>
      </c>
      <c r="AA959" s="93" t="str">
        <f>+VLOOKUP(Agencia[[#This Row],[Muestra]],Estructura!$M$4:$O$500,3,0)</f>
        <v>M-1041</v>
      </c>
    </row>
    <row r="960" spans="1:27" ht="72" x14ac:dyDescent="0.3">
      <c r="A960" s="21" t="s">
        <v>1680</v>
      </c>
      <c r="B960" s="23">
        <f t="shared" si="381"/>
        <v>990</v>
      </c>
      <c r="C960" s="24" t="str">
        <f t="shared" si="382"/>
        <v>Agencia Información</v>
      </c>
      <c r="D960" s="72" t="str">
        <f t="shared" si="394"/>
        <v>Arte y cultura</v>
      </c>
      <c r="E960" s="19">
        <v>8</v>
      </c>
      <c r="F960" s="69" t="s">
        <v>5155</v>
      </c>
      <c r="G960" s="18" t="s">
        <v>1896</v>
      </c>
      <c r="H960" s="33" t="s">
        <v>16</v>
      </c>
      <c r="I960" s="34" t="s">
        <v>375</v>
      </c>
      <c r="J960" s="9" t="str">
        <f t="shared" si="399"/>
        <v>Comuna</v>
      </c>
      <c r="K960" s="142" t="s">
        <v>1517</v>
      </c>
      <c r="L960" s="36" t="str">
        <f t="shared" si="395"/>
        <v>Año 2021</v>
      </c>
      <c r="M960" s="9" t="str">
        <f t="shared" si="396"/>
        <v>Número de espacios culturales</v>
      </c>
      <c r="N960" s="9" t="str">
        <f t="shared" si="397"/>
        <v>Observatorio Cultural</v>
      </c>
      <c r="O960" s="41" t="str">
        <f>+"Cantidad de Espacios Culturales por Estado de Mantención en la "&amp;I960&amp;", "&amp;Agencia[[#This Row],[temporalidad]]</f>
        <v>Cantidad de Espacios Culturales por Estado de Mantención en la Región del Biobío, Año 2021</v>
      </c>
      <c r="P960" s="112" t="s">
        <v>5609</v>
      </c>
      <c r="Q960" s="11" t="str">
        <f t="shared" si="398"/>
        <v>Gráfico</v>
      </c>
      <c r="R960" s="148" t="str">
        <f>Agencia[[#This Row],[territorio]]&amp;",espacio,cultural,infraestructura,estado,mantención,bueno,regular,malo,cantidad,"&amp;Agencia[[#This Row],[coleccion]]&amp;","&amp;Agencia[[#This Row],[sector]]&amp;","&amp;Agencia[[#This Row],[tema]]&amp;","&amp;Agencia[[#This Row],[contenido]]</f>
        <v>Región del Biobío,espacio,cultural,infraestructura,estado,mantención,bueno,regular,malo,cantidad,Agencia Información,Arte y cultura,Estado de mantención de espacios culturales,Cultura</v>
      </c>
      <c r="S960"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https://analytics.zoho.com/open-view/2395394000008464286?ZOHO_CRITERIA=%22Espacios_Culturales_Completo%201%22.%22C%C3%B3digo_Regi%C3%B3n%22%20%3D%208</v>
      </c>
      <c r="T960" s="111" t="str">
        <f>"100-C-"&amp;Agencia[[#This Row],[Filtro URL]]</f>
        <v>100-C-8</v>
      </c>
      <c r="U960" s="46" t="str">
        <f t="shared" si="393"/>
        <v>#1774B9</v>
      </c>
      <c r="V960" s="93" t="str">
        <f>+Agencia[[#This Row],[idcoleccion]]&amp;"-"&amp;Agencia[[#This Row],[id]]</f>
        <v>990-0949</v>
      </c>
      <c r="W960" s="93">
        <f>+VLOOKUP(Agencia[[#This Row],[Filtro URL]],Estructura!$X$4:$Y$500,2,0)</f>
        <v>99200008</v>
      </c>
      <c r="X960" s="93" t="str">
        <f>+VLOOKUP(Agencia[[#This Row],[tema]],Estructura!$A$4:$C$500,3,0)</f>
        <v>T-1086</v>
      </c>
      <c r="Y960" s="93" t="str">
        <f>+VLOOKUP(Agencia[[#This Row],[contenido]],Estructura!$E$4:$G$500,3,0)</f>
        <v>C-1008</v>
      </c>
      <c r="Z960" s="93" t="str">
        <f>+VLOOKUP(Agencia[[#This Row],[Filtro Integrado]],Estructura!$I$4:$K$500,3,0)</f>
        <v>FI-991</v>
      </c>
      <c r="AA960" s="93" t="str">
        <f>+VLOOKUP(Agencia[[#This Row],[Muestra]],Estructura!$M$4:$O$500,3,0)</f>
        <v>M-1041</v>
      </c>
    </row>
    <row r="961" spans="1:27" ht="72" x14ac:dyDescent="0.3">
      <c r="A961" s="21" t="s">
        <v>1681</v>
      </c>
      <c r="B961" s="23">
        <f t="shared" si="381"/>
        <v>990</v>
      </c>
      <c r="C961" s="24" t="str">
        <f t="shared" si="382"/>
        <v>Agencia Información</v>
      </c>
      <c r="D961" s="72" t="str">
        <f t="shared" si="394"/>
        <v>Arte y cultura</v>
      </c>
      <c r="E961" s="19">
        <v>9</v>
      </c>
      <c r="F961" s="69" t="s">
        <v>5155</v>
      </c>
      <c r="G961" s="18" t="s">
        <v>1896</v>
      </c>
      <c r="H961" s="33" t="s">
        <v>16</v>
      </c>
      <c r="I961" s="34" t="s">
        <v>376</v>
      </c>
      <c r="J961" s="9" t="str">
        <f t="shared" si="399"/>
        <v>Comuna</v>
      </c>
      <c r="K961" s="142" t="s">
        <v>1517</v>
      </c>
      <c r="L961" s="36" t="str">
        <f t="shared" si="395"/>
        <v>Año 2021</v>
      </c>
      <c r="M961" s="9" t="str">
        <f t="shared" si="396"/>
        <v>Número de espacios culturales</v>
      </c>
      <c r="N961" s="9" t="str">
        <f t="shared" si="397"/>
        <v>Observatorio Cultural</v>
      </c>
      <c r="O961" s="41" t="str">
        <f>+"Cantidad de Espacios Culturales por Estado de Mantención en la "&amp;I961&amp;", "&amp;Agencia[[#This Row],[temporalidad]]</f>
        <v>Cantidad de Espacios Culturales por Estado de Mantención en la Región de La Araucanía, Año 2021</v>
      </c>
      <c r="P961" s="112" t="s">
        <v>5610</v>
      </c>
      <c r="Q961" s="11" t="str">
        <f t="shared" si="398"/>
        <v>Gráfico</v>
      </c>
      <c r="R961" s="148" t="str">
        <f>Agencia[[#This Row],[territorio]]&amp;",espacio,cultural,infraestructura,estado,mantención,bueno,regular,malo,cantidad,"&amp;Agencia[[#This Row],[coleccion]]&amp;","&amp;Agencia[[#This Row],[sector]]&amp;","&amp;Agencia[[#This Row],[tema]]&amp;","&amp;Agencia[[#This Row],[contenido]]</f>
        <v>Región de La Araucanía,espacio,cultural,infraestructura,estado,mantención,bueno,regular,malo,cantidad,Agencia Información,Arte y cultura,Estado de mantención de espacios culturales,Cultura</v>
      </c>
      <c r="S961"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https://analytics.zoho.com/open-view/2395394000008464286?ZOHO_CRITERIA=%22Espacios_Culturales_Completo%201%22.%22C%C3%B3digo_Regi%C3%B3n%22%20%3D%209</v>
      </c>
      <c r="T961" s="111" t="str">
        <f>"100-C-"&amp;Agencia[[#This Row],[Filtro URL]]</f>
        <v>100-C-9</v>
      </c>
      <c r="U961" s="46" t="str">
        <f t="shared" si="393"/>
        <v>#1774B9</v>
      </c>
      <c r="V961" s="93" t="str">
        <f>+Agencia[[#This Row],[idcoleccion]]&amp;"-"&amp;Agencia[[#This Row],[id]]</f>
        <v>990-0950</v>
      </c>
      <c r="W961" s="93">
        <f>+VLOOKUP(Agencia[[#This Row],[Filtro URL]],Estructura!$X$4:$Y$500,2,0)</f>
        <v>99200009</v>
      </c>
      <c r="X961" s="93" t="str">
        <f>+VLOOKUP(Agencia[[#This Row],[tema]],Estructura!$A$4:$C$500,3,0)</f>
        <v>T-1086</v>
      </c>
      <c r="Y961" s="93" t="str">
        <f>+VLOOKUP(Agencia[[#This Row],[contenido]],Estructura!$E$4:$G$500,3,0)</f>
        <v>C-1008</v>
      </c>
      <c r="Z961" s="93" t="str">
        <f>+VLOOKUP(Agencia[[#This Row],[Filtro Integrado]],Estructura!$I$4:$K$500,3,0)</f>
        <v>FI-991</v>
      </c>
      <c r="AA961" s="93" t="str">
        <f>+VLOOKUP(Agencia[[#This Row],[Muestra]],Estructura!$M$4:$O$500,3,0)</f>
        <v>M-1041</v>
      </c>
    </row>
    <row r="962" spans="1:27" ht="72" x14ac:dyDescent="0.3">
      <c r="A962" s="21" t="s">
        <v>1682</v>
      </c>
      <c r="B962" s="23">
        <f t="shared" si="381"/>
        <v>990</v>
      </c>
      <c r="C962" s="24" t="str">
        <f t="shared" si="382"/>
        <v>Agencia Información</v>
      </c>
      <c r="D962" s="72" t="str">
        <f t="shared" si="394"/>
        <v>Arte y cultura</v>
      </c>
      <c r="E962" s="19">
        <v>10</v>
      </c>
      <c r="F962" s="69" t="s">
        <v>5155</v>
      </c>
      <c r="G962" s="18" t="s">
        <v>1896</v>
      </c>
      <c r="H962" s="33" t="s">
        <v>16</v>
      </c>
      <c r="I962" s="34" t="s">
        <v>377</v>
      </c>
      <c r="J962" s="9" t="str">
        <f t="shared" si="399"/>
        <v>Comuna</v>
      </c>
      <c r="K962" s="142" t="s">
        <v>1517</v>
      </c>
      <c r="L962" s="36" t="str">
        <f t="shared" si="395"/>
        <v>Año 2021</v>
      </c>
      <c r="M962" s="9" t="str">
        <f t="shared" si="396"/>
        <v>Número de espacios culturales</v>
      </c>
      <c r="N962" s="9" t="str">
        <f t="shared" si="397"/>
        <v>Observatorio Cultural</v>
      </c>
      <c r="O962" s="41" t="str">
        <f>+"Cantidad de Espacios Culturales por Estado de Mantención en la "&amp;I962&amp;", "&amp;Agencia[[#This Row],[temporalidad]]</f>
        <v>Cantidad de Espacios Culturales por Estado de Mantención en la Región de Los Lagos, Año 2021</v>
      </c>
      <c r="P962" s="112" t="s">
        <v>5611</v>
      </c>
      <c r="Q962" s="11" t="str">
        <f t="shared" si="398"/>
        <v>Gráfico</v>
      </c>
      <c r="R962" s="148" t="str">
        <f>Agencia[[#This Row],[territorio]]&amp;",espacio,cultural,infraestructura,estado,mantención,bueno,regular,malo,cantidad,"&amp;Agencia[[#This Row],[coleccion]]&amp;","&amp;Agencia[[#This Row],[sector]]&amp;","&amp;Agencia[[#This Row],[tema]]&amp;","&amp;Agencia[[#This Row],[contenido]]</f>
        <v>Región de Los Lagos,espacio,cultural,infraestructura,estado,mantención,bueno,regular,malo,cantidad,Agencia Información,Arte y cultura,Estado de mantención de espacios culturales,Cultura</v>
      </c>
      <c r="S962"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https://analytics.zoho.com/open-view/2395394000008464286?ZOHO_CRITERIA=%22Espacios_Culturales_Completo%201%22.%22C%C3%B3digo_Regi%C3%B3n%22%20%3D%2010</v>
      </c>
      <c r="T962" s="111" t="str">
        <f>"100-C-"&amp;Agencia[[#This Row],[Filtro URL]]</f>
        <v>100-C-10</v>
      </c>
      <c r="U962" s="46" t="str">
        <f t="shared" si="393"/>
        <v>#1774B9</v>
      </c>
      <c r="V962" s="93" t="str">
        <f>+Agencia[[#This Row],[idcoleccion]]&amp;"-"&amp;Agencia[[#This Row],[id]]</f>
        <v>990-0951</v>
      </c>
      <c r="W962" s="93">
        <f>+VLOOKUP(Agencia[[#This Row],[Filtro URL]],Estructura!$X$4:$Y$500,2,0)</f>
        <v>99200010</v>
      </c>
      <c r="X962" s="93" t="str">
        <f>+VLOOKUP(Agencia[[#This Row],[tema]],Estructura!$A$4:$C$500,3,0)</f>
        <v>T-1086</v>
      </c>
      <c r="Y962" s="93" t="str">
        <f>+VLOOKUP(Agencia[[#This Row],[contenido]],Estructura!$E$4:$G$500,3,0)</f>
        <v>C-1008</v>
      </c>
      <c r="Z962" s="93" t="str">
        <f>+VLOOKUP(Agencia[[#This Row],[Filtro Integrado]],Estructura!$I$4:$K$500,3,0)</f>
        <v>FI-991</v>
      </c>
      <c r="AA962" s="93" t="str">
        <f>+VLOOKUP(Agencia[[#This Row],[Muestra]],Estructura!$M$4:$O$500,3,0)</f>
        <v>M-1041</v>
      </c>
    </row>
    <row r="963" spans="1:27" ht="72" x14ac:dyDescent="0.3">
      <c r="A963" s="21" t="s">
        <v>1683</v>
      </c>
      <c r="B963" s="23">
        <f t="shared" si="381"/>
        <v>990</v>
      </c>
      <c r="C963" s="24" t="str">
        <f t="shared" si="382"/>
        <v>Agencia Información</v>
      </c>
      <c r="D963" s="72" t="str">
        <f t="shared" si="394"/>
        <v>Arte y cultura</v>
      </c>
      <c r="E963" s="19">
        <v>11</v>
      </c>
      <c r="F963" s="69" t="s">
        <v>5155</v>
      </c>
      <c r="G963" s="18" t="s">
        <v>1896</v>
      </c>
      <c r="H963" s="33" t="s">
        <v>16</v>
      </c>
      <c r="I963" s="34" t="s">
        <v>378</v>
      </c>
      <c r="J963" s="9" t="str">
        <f t="shared" si="399"/>
        <v>Comuna</v>
      </c>
      <c r="K963" s="142" t="s">
        <v>1517</v>
      </c>
      <c r="L963" s="36" t="str">
        <f t="shared" si="395"/>
        <v>Año 2021</v>
      </c>
      <c r="M963" s="9" t="str">
        <f t="shared" si="396"/>
        <v>Número de espacios culturales</v>
      </c>
      <c r="N963" s="9" t="str">
        <f t="shared" si="397"/>
        <v>Observatorio Cultural</v>
      </c>
      <c r="O963" s="41" t="str">
        <f>+"Cantidad de Espacios Culturales por Estado de Mantención en la "&amp;I963&amp;", "&amp;Agencia[[#This Row],[temporalidad]]</f>
        <v>Cantidad de Espacios Culturales por Estado de Mantención en la Región de Aysén, Año 2021</v>
      </c>
      <c r="P963" s="112" t="s">
        <v>5612</v>
      </c>
      <c r="Q963" s="11" t="str">
        <f t="shared" si="398"/>
        <v>Gráfico</v>
      </c>
      <c r="R963" s="148" t="str">
        <f>Agencia[[#This Row],[territorio]]&amp;",espacio,cultural,infraestructura,estado,mantención,bueno,regular,malo,cantidad,"&amp;Agencia[[#This Row],[coleccion]]&amp;","&amp;Agencia[[#This Row],[sector]]&amp;","&amp;Agencia[[#This Row],[tema]]&amp;","&amp;Agencia[[#This Row],[contenido]]</f>
        <v>Región de Aysén,espacio,cultural,infraestructura,estado,mantención,bueno,regular,malo,cantidad,Agencia Información,Arte y cultura,Estado de mantención de espacios culturales,Cultura</v>
      </c>
      <c r="S96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https://analytics.zoho.com/open-view/2395394000008464286?ZOHO_CRITERIA=%22Espacios_Culturales_Completo%201%22.%22C%C3%B3digo_Regi%C3%B3n%22%20%3D%2011</v>
      </c>
      <c r="T963" s="111" t="str">
        <f>"100-C-"&amp;Agencia[[#This Row],[Filtro URL]]</f>
        <v>100-C-11</v>
      </c>
      <c r="U963" s="46" t="str">
        <f t="shared" si="393"/>
        <v>#1774B9</v>
      </c>
      <c r="V963" s="93" t="str">
        <f>+Agencia[[#This Row],[idcoleccion]]&amp;"-"&amp;Agencia[[#This Row],[id]]</f>
        <v>990-0952</v>
      </c>
      <c r="W963" s="93">
        <f>+VLOOKUP(Agencia[[#This Row],[Filtro URL]],Estructura!$X$4:$Y$500,2,0)</f>
        <v>99200011</v>
      </c>
      <c r="X963" s="93" t="str">
        <f>+VLOOKUP(Agencia[[#This Row],[tema]],Estructura!$A$4:$C$500,3,0)</f>
        <v>T-1086</v>
      </c>
      <c r="Y963" s="93" t="str">
        <f>+VLOOKUP(Agencia[[#This Row],[contenido]],Estructura!$E$4:$G$500,3,0)</f>
        <v>C-1008</v>
      </c>
      <c r="Z963" s="93" t="str">
        <f>+VLOOKUP(Agencia[[#This Row],[Filtro Integrado]],Estructura!$I$4:$K$500,3,0)</f>
        <v>FI-991</v>
      </c>
      <c r="AA963" s="93" t="str">
        <f>+VLOOKUP(Agencia[[#This Row],[Muestra]],Estructura!$M$4:$O$500,3,0)</f>
        <v>M-1041</v>
      </c>
    </row>
    <row r="964" spans="1:27" ht="72" x14ac:dyDescent="0.3">
      <c r="A964" s="21" t="s">
        <v>1684</v>
      </c>
      <c r="B964" s="23">
        <f t="shared" si="381"/>
        <v>990</v>
      </c>
      <c r="C964" s="24" t="str">
        <f t="shared" si="382"/>
        <v>Agencia Información</v>
      </c>
      <c r="D964" s="72" t="str">
        <f t="shared" si="394"/>
        <v>Arte y cultura</v>
      </c>
      <c r="E964" s="19">
        <v>12</v>
      </c>
      <c r="F964" s="69" t="s">
        <v>5155</v>
      </c>
      <c r="G964" s="18" t="s">
        <v>1896</v>
      </c>
      <c r="H964" s="33" t="s">
        <v>16</v>
      </c>
      <c r="I964" s="34" t="s">
        <v>379</v>
      </c>
      <c r="J964" s="9" t="str">
        <f t="shared" si="399"/>
        <v>Comuna</v>
      </c>
      <c r="K964" s="142" t="s">
        <v>1517</v>
      </c>
      <c r="L964" s="36" t="str">
        <f t="shared" si="395"/>
        <v>Año 2021</v>
      </c>
      <c r="M964" s="9" t="str">
        <f t="shared" si="396"/>
        <v>Número de espacios culturales</v>
      </c>
      <c r="N964" s="9" t="str">
        <f t="shared" si="397"/>
        <v>Observatorio Cultural</v>
      </c>
      <c r="O964" s="41" t="str">
        <f>+"Cantidad de Espacios Culturales por Estado de Mantención en la "&amp;I964&amp;", "&amp;Agencia[[#This Row],[temporalidad]]</f>
        <v>Cantidad de Espacios Culturales por Estado de Mantención en la Región de Magallanes, Año 2021</v>
      </c>
      <c r="P964" s="112" t="s">
        <v>5613</v>
      </c>
      <c r="Q964" s="11" t="str">
        <f t="shared" si="398"/>
        <v>Gráfico</v>
      </c>
      <c r="R964" s="148" t="str">
        <f>Agencia[[#This Row],[territorio]]&amp;",espacio,cultural,infraestructura,estado,mantención,bueno,regular,malo,cantidad,"&amp;Agencia[[#This Row],[coleccion]]&amp;","&amp;Agencia[[#This Row],[sector]]&amp;","&amp;Agencia[[#This Row],[tema]]&amp;","&amp;Agencia[[#This Row],[contenido]]</f>
        <v>Región de Magallanes,espacio,cultural,infraestructura,estado,mantención,bueno,regular,malo,cantidad,Agencia Información,Arte y cultura,Estado de mantención de espacios culturales,Cultura</v>
      </c>
      <c r="S96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https://analytics.zoho.com/open-view/2395394000008464286?ZOHO_CRITERIA=%22Espacios_Culturales_Completo%201%22.%22C%C3%B3digo_Regi%C3%B3n%22%20%3D%2012</v>
      </c>
      <c r="T964" s="111" t="str">
        <f>"100-C-"&amp;Agencia[[#This Row],[Filtro URL]]</f>
        <v>100-C-12</v>
      </c>
      <c r="U964" s="46" t="str">
        <f t="shared" si="393"/>
        <v>#1774B9</v>
      </c>
      <c r="V964" s="93" t="str">
        <f>+Agencia[[#This Row],[idcoleccion]]&amp;"-"&amp;Agencia[[#This Row],[id]]</f>
        <v>990-0953</v>
      </c>
      <c r="W964" s="93">
        <f>+VLOOKUP(Agencia[[#This Row],[Filtro URL]],Estructura!$X$4:$Y$500,2,0)</f>
        <v>99200012</v>
      </c>
      <c r="X964" s="93" t="str">
        <f>+VLOOKUP(Agencia[[#This Row],[tema]],Estructura!$A$4:$C$500,3,0)</f>
        <v>T-1086</v>
      </c>
      <c r="Y964" s="93" t="str">
        <f>+VLOOKUP(Agencia[[#This Row],[contenido]],Estructura!$E$4:$G$500,3,0)</f>
        <v>C-1008</v>
      </c>
      <c r="Z964" s="93" t="str">
        <f>+VLOOKUP(Agencia[[#This Row],[Filtro Integrado]],Estructura!$I$4:$K$500,3,0)</f>
        <v>FI-991</v>
      </c>
      <c r="AA964" s="93" t="str">
        <f>+VLOOKUP(Agencia[[#This Row],[Muestra]],Estructura!$M$4:$O$500,3,0)</f>
        <v>M-1041</v>
      </c>
    </row>
    <row r="965" spans="1:27" ht="72" x14ac:dyDescent="0.3">
      <c r="A965" s="21" t="s">
        <v>1685</v>
      </c>
      <c r="B965" s="23">
        <f t="shared" si="381"/>
        <v>990</v>
      </c>
      <c r="C965" s="24" t="str">
        <f t="shared" si="382"/>
        <v>Agencia Información</v>
      </c>
      <c r="D965" s="72" t="str">
        <f t="shared" si="394"/>
        <v>Arte y cultura</v>
      </c>
      <c r="E965" s="19">
        <v>13</v>
      </c>
      <c r="F965" s="69" t="s">
        <v>5155</v>
      </c>
      <c r="G965" s="18" t="s">
        <v>1896</v>
      </c>
      <c r="H965" s="33" t="s">
        <v>16</v>
      </c>
      <c r="I965" s="34" t="s">
        <v>380</v>
      </c>
      <c r="J965" s="9" t="str">
        <f t="shared" si="399"/>
        <v>Comuna</v>
      </c>
      <c r="K965" s="142" t="s">
        <v>1517</v>
      </c>
      <c r="L965" s="36" t="str">
        <f t="shared" si="395"/>
        <v>Año 2021</v>
      </c>
      <c r="M965" s="9" t="str">
        <f t="shared" si="396"/>
        <v>Número de espacios culturales</v>
      </c>
      <c r="N965" s="9" t="str">
        <f t="shared" si="397"/>
        <v>Observatorio Cultural</v>
      </c>
      <c r="O965" s="41" t="str">
        <f>+"Cantidad de Espacios Culturales por Estado de Mantención en la "&amp;I965&amp;", "&amp;Agencia[[#This Row],[temporalidad]]</f>
        <v>Cantidad de Espacios Culturales por Estado de Mantención en la Región Metropolitana, Año 2021</v>
      </c>
      <c r="P965" s="112" t="s">
        <v>5553</v>
      </c>
      <c r="Q965" s="11" t="str">
        <f t="shared" si="398"/>
        <v>Gráfico</v>
      </c>
      <c r="R965" s="148" t="str">
        <f>Agencia[[#This Row],[territorio]]&amp;",espacio,cultural,infraestructura,estado,mantención,bueno,regular,malo,cantidad,"&amp;Agencia[[#This Row],[coleccion]]&amp;","&amp;Agencia[[#This Row],[sector]]&amp;","&amp;Agencia[[#This Row],[tema]]&amp;","&amp;Agencia[[#This Row],[contenido]]</f>
        <v>Región Metropolitana,espacio,cultural,infraestructura,estado,mantención,bueno,regular,malo,cantidad,Agencia Información,Arte y cultura,Estado de mantención de espacios culturales,Cultura</v>
      </c>
      <c r="S96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https://analytics.zoho.com/open-view/2395394000008464286?ZOHO_CRITERIA=%22Espacios_Culturales_Completo%201%22.%22C%C3%B3digo_Regi%C3%B3n%22%20%3D%2013</v>
      </c>
      <c r="T965" s="111" t="str">
        <f>"200-C-"&amp;Agencia[[#This Row],[Filtro URL]]</f>
        <v>200-C-13</v>
      </c>
      <c r="U965" s="46" t="str">
        <f t="shared" si="393"/>
        <v>#1774B9</v>
      </c>
      <c r="V965" s="93" t="str">
        <f>+Agencia[[#This Row],[idcoleccion]]&amp;"-"&amp;Agencia[[#This Row],[id]]</f>
        <v>990-0954</v>
      </c>
      <c r="W965" s="93">
        <f>+VLOOKUP(Agencia[[#This Row],[Filtro URL]],Estructura!$X$4:$Y$500,2,0)</f>
        <v>99200013</v>
      </c>
      <c r="X965" s="93" t="str">
        <f>+VLOOKUP(Agencia[[#This Row],[tema]],Estructura!$A$4:$C$500,3,0)</f>
        <v>T-1086</v>
      </c>
      <c r="Y965" s="93" t="str">
        <f>+VLOOKUP(Agencia[[#This Row],[contenido]],Estructura!$E$4:$G$500,3,0)</f>
        <v>C-1008</v>
      </c>
      <c r="Z965" s="93" t="str">
        <f>+VLOOKUP(Agencia[[#This Row],[Filtro Integrado]],Estructura!$I$4:$K$500,3,0)</f>
        <v>FI-991</v>
      </c>
      <c r="AA965" s="93" t="str">
        <f>+VLOOKUP(Agencia[[#This Row],[Muestra]],Estructura!$M$4:$O$500,3,0)</f>
        <v>M-1041</v>
      </c>
    </row>
    <row r="966" spans="1:27" ht="72" x14ac:dyDescent="0.3">
      <c r="A966" s="21" t="s">
        <v>1686</v>
      </c>
      <c r="B966" s="23">
        <f t="shared" si="381"/>
        <v>990</v>
      </c>
      <c r="C966" s="24" t="str">
        <f t="shared" si="382"/>
        <v>Agencia Información</v>
      </c>
      <c r="D966" s="72" t="str">
        <f t="shared" si="394"/>
        <v>Arte y cultura</v>
      </c>
      <c r="E966" s="19">
        <v>14</v>
      </c>
      <c r="F966" s="69" t="s">
        <v>5155</v>
      </c>
      <c r="G966" s="18" t="s">
        <v>1896</v>
      </c>
      <c r="H966" s="33" t="s">
        <v>16</v>
      </c>
      <c r="I966" s="34" t="s">
        <v>381</v>
      </c>
      <c r="J966" s="9" t="str">
        <f t="shared" si="399"/>
        <v>Comuna</v>
      </c>
      <c r="K966" s="142" t="s">
        <v>1517</v>
      </c>
      <c r="L966" s="36" t="str">
        <f t="shared" si="395"/>
        <v>Año 2021</v>
      </c>
      <c r="M966" s="9" t="str">
        <f t="shared" si="396"/>
        <v>Número de espacios culturales</v>
      </c>
      <c r="N966" s="9" t="str">
        <f t="shared" si="397"/>
        <v>Observatorio Cultural</v>
      </c>
      <c r="O966" s="41" t="str">
        <f>+"Cantidad de Espacios Culturales por Estado de Mantención en la "&amp;I966&amp;", "&amp;Agencia[[#This Row],[temporalidad]]</f>
        <v>Cantidad de Espacios Culturales por Estado de Mantención en la Región de Los Ríos, Año 2021</v>
      </c>
      <c r="P966" s="112" t="s">
        <v>5614</v>
      </c>
      <c r="Q966" s="11" t="str">
        <f t="shared" si="398"/>
        <v>Gráfico</v>
      </c>
      <c r="R966" s="148" t="str">
        <f>Agencia[[#This Row],[territorio]]&amp;",espacio,cultural,infraestructura,estado,mantención,bueno,regular,malo,cantidad,"&amp;Agencia[[#This Row],[coleccion]]&amp;","&amp;Agencia[[#This Row],[sector]]&amp;","&amp;Agencia[[#This Row],[tema]]&amp;","&amp;Agencia[[#This Row],[contenido]]</f>
        <v>Región de Los Ríos,espacio,cultural,infraestructura,estado,mantención,bueno,regular,malo,cantidad,Agencia Información,Arte y cultura,Estado de mantención de espacios culturales,Cultura</v>
      </c>
      <c r="S96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https://analytics.zoho.com/open-view/2395394000008464286?ZOHO_CRITERIA=%22Espacios_Culturales_Completo%201%22.%22C%C3%B3digo_Regi%C3%B3n%22%20%3D%2014</v>
      </c>
      <c r="T966" s="111" t="str">
        <f>"100-C-"&amp;Agencia[[#This Row],[Filtro URL]]</f>
        <v>100-C-14</v>
      </c>
      <c r="U966" s="46" t="str">
        <f t="shared" si="393"/>
        <v>#1774B9</v>
      </c>
      <c r="V966" s="93" t="str">
        <f>+Agencia[[#This Row],[idcoleccion]]&amp;"-"&amp;Agencia[[#This Row],[id]]</f>
        <v>990-0955</v>
      </c>
      <c r="W966" s="93">
        <f>+VLOOKUP(Agencia[[#This Row],[Filtro URL]],Estructura!$X$4:$Y$500,2,0)</f>
        <v>99200014</v>
      </c>
      <c r="X966" s="93" t="str">
        <f>+VLOOKUP(Agencia[[#This Row],[tema]],Estructura!$A$4:$C$500,3,0)</f>
        <v>T-1086</v>
      </c>
      <c r="Y966" s="93" t="str">
        <f>+VLOOKUP(Agencia[[#This Row],[contenido]],Estructura!$E$4:$G$500,3,0)</f>
        <v>C-1008</v>
      </c>
      <c r="Z966" s="93" t="str">
        <f>+VLOOKUP(Agencia[[#This Row],[Filtro Integrado]],Estructura!$I$4:$K$500,3,0)</f>
        <v>FI-991</v>
      </c>
      <c r="AA966" s="93" t="str">
        <f>+VLOOKUP(Agencia[[#This Row],[Muestra]],Estructura!$M$4:$O$500,3,0)</f>
        <v>M-1041</v>
      </c>
    </row>
    <row r="967" spans="1:27" ht="72" x14ac:dyDescent="0.3">
      <c r="A967" s="21" t="s">
        <v>1687</v>
      </c>
      <c r="B967" s="23">
        <f t="shared" si="381"/>
        <v>990</v>
      </c>
      <c r="C967" s="24" t="str">
        <f t="shared" si="382"/>
        <v>Agencia Información</v>
      </c>
      <c r="D967" s="72" t="str">
        <f t="shared" si="394"/>
        <v>Arte y cultura</v>
      </c>
      <c r="E967" s="19">
        <v>15</v>
      </c>
      <c r="F967" s="69" t="s">
        <v>5155</v>
      </c>
      <c r="G967" s="18" t="s">
        <v>1896</v>
      </c>
      <c r="H967" s="33" t="s">
        <v>16</v>
      </c>
      <c r="I967" s="34" t="s">
        <v>382</v>
      </c>
      <c r="J967" s="9" t="str">
        <f t="shared" si="399"/>
        <v>Comuna</v>
      </c>
      <c r="K967" s="142" t="s">
        <v>1517</v>
      </c>
      <c r="L967" s="36" t="str">
        <f t="shared" si="395"/>
        <v>Año 2021</v>
      </c>
      <c r="M967" s="9" t="str">
        <f t="shared" si="396"/>
        <v>Número de espacios culturales</v>
      </c>
      <c r="N967" s="9" t="str">
        <f t="shared" si="397"/>
        <v>Observatorio Cultural</v>
      </c>
      <c r="O967" s="41" t="str">
        <f>+"Cantidad de Espacios Culturales por Estado de Mantención en la "&amp;I967&amp;", "&amp;Agencia[[#This Row],[temporalidad]]</f>
        <v>Cantidad de Espacios Culturales por Estado de Mantención en la Región de Arica y Parinacota, Año 2021</v>
      </c>
      <c r="P967" s="112" t="s">
        <v>5615</v>
      </c>
      <c r="Q967" s="11" t="str">
        <f t="shared" si="398"/>
        <v>Gráfico</v>
      </c>
      <c r="R967" s="148" t="str">
        <f>Agencia[[#This Row],[territorio]]&amp;",espacio,cultural,infraestructura,estado,mantención,bueno,regular,malo,cantidad,"&amp;Agencia[[#This Row],[coleccion]]&amp;","&amp;Agencia[[#This Row],[sector]]&amp;","&amp;Agencia[[#This Row],[tema]]&amp;","&amp;Agencia[[#This Row],[contenido]]</f>
        <v>Región de Arica y Parinacota,espacio,cultural,infraestructura,estado,mantención,bueno,regular,malo,cantidad,Agencia Información,Arte y cultura,Estado de mantención de espacios culturales,Cultura</v>
      </c>
      <c r="S96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https://analytics.zoho.com/open-view/2395394000008464286?ZOHO_CRITERIA=%22Espacios_Culturales_Completo%201%22.%22C%C3%B3digo_Regi%C3%B3n%22%20%3D%2015</v>
      </c>
      <c r="T967" s="111" t="str">
        <f>"100-C-"&amp;Agencia[[#This Row],[Filtro URL]]</f>
        <v>100-C-15</v>
      </c>
      <c r="U967" s="46" t="str">
        <f t="shared" si="393"/>
        <v>#1774B9</v>
      </c>
      <c r="V967" s="93" t="str">
        <f>+Agencia[[#This Row],[idcoleccion]]&amp;"-"&amp;Agencia[[#This Row],[id]]</f>
        <v>990-0956</v>
      </c>
      <c r="W967" s="93">
        <f>+VLOOKUP(Agencia[[#This Row],[Filtro URL]],Estructura!$X$4:$Y$500,2,0)</f>
        <v>99200015</v>
      </c>
      <c r="X967" s="93" t="str">
        <f>+VLOOKUP(Agencia[[#This Row],[tema]],Estructura!$A$4:$C$500,3,0)</f>
        <v>T-1086</v>
      </c>
      <c r="Y967" s="93" t="str">
        <f>+VLOOKUP(Agencia[[#This Row],[contenido]],Estructura!$E$4:$G$500,3,0)</f>
        <v>C-1008</v>
      </c>
      <c r="Z967" s="93" t="str">
        <f>+VLOOKUP(Agencia[[#This Row],[Filtro Integrado]],Estructura!$I$4:$K$500,3,0)</f>
        <v>FI-991</v>
      </c>
      <c r="AA967" s="93" t="str">
        <f>+VLOOKUP(Agencia[[#This Row],[Muestra]],Estructura!$M$4:$O$500,3,0)</f>
        <v>M-1041</v>
      </c>
    </row>
    <row r="968" spans="1:27" ht="72" x14ac:dyDescent="0.3">
      <c r="A968" s="21" t="s">
        <v>1688</v>
      </c>
      <c r="B968" s="23">
        <f t="shared" si="381"/>
        <v>990</v>
      </c>
      <c r="C968" s="24" t="str">
        <f t="shared" si="382"/>
        <v>Agencia Información</v>
      </c>
      <c r="D968" s="72" t="str">
        <f t="shared" si="394"/>
        <v>Arte y cultura</v>
      </c>
      <c r="E968" s="19">
        <v>16</v>
      </c>
      <c r="F968" s="69" t="s">
        <v>5155</v>
      </c>
      <c r="G968" s="18" t="s">
        <v>1896</v>
      </c>
      <c r="H968" s="33" t="s">
        <v>16</v>
      </c>
      <c r="I968" s="34" t="s">
        <v>383</v>
      </c>
      <c r="J968" s="9" t="str">
        <f t="shared" si="399"/>
        <v>Comuna</v>
      </c>
      <c r="K968" s="142" t="s">
        <v>1517</v>
      </c>
      <c r="L968" s="36" t="str">
        <f t="shared" si="395"/>
        <v>Año 2021</v>
      </c>
      <c r="M968" s="9" t="str">
        <f t="shared" si="396"/>
        <v>Número de espacios culturales</v>
      </c>
      <c r="N968" s="9" t="str">
        <f t="shared" si="397"/>
        <v>Observatorio Cultural</v>
      </c>
      <c r="O968" s="41" t="str">
        <f>+"Cantidad de Espacios Culturales por Estado de Mantención en la "&amp;I968&amp;", "&amp;Agencia[[#This Row],[temporalidad]]</f>
        <v>Cantidad de Espacios Culturales por Estado de Mantención en la Región de Ñuble, Año 2021</v>
      </c>
      <c r="P968" s="112" t="s">
        <v>5616</v>
      </c>
      <c r="Q968" s="11" t="str">
        <f t="shared" si="398"/>
        <v>Gráfico</v>
      </c>
      <c r="R968" s="148" t="str">
        <f>Agencia[[#This Row],[territorio]]&amp;",espacio,cultural,infraestructura,estado,mantención,bueno,regular,malo,cantidad,"&amp;Agencia[[#This Row],[coleccion]]&amp;","&amp;Agencia[[#This Row],[sector]]&amp;","&amp;Agencia[[#This Row],[tema]]&amp;","&amp;Agencia[[#This Row],[contenido]]</f>
        <v>Región de Ñuble,espacio,cultural,infraestructura,estado,mantención,bueno,regular,malo,cantidad,Agencia Información,Arte y cultura,Estado de mantención de espacios culturales,Cultura</v>
      </c>
      <c r="S96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https://analytics.zoho.com/open-view/2395394000008464286?ZOHO_CRITERIA=%22Espacios_Culturales_Completo%201%22.%22C%C3%B3digo_Regi%C3%B3n%22%20%3D%2016</v>
      </c>
      <c r="T968" s="111" t="str">
        <f>"100-C-"&amp;Agencia[[#This Row],[Filtro URL]]</f>
        <v>100-C-16</v>
      </c>
      <c r="U968" s="46" t="str">
        <f t="shared" si="393"/>
        <v>#1774B9</v>
      </c>
      <c r="V968" s="93" t="str">
        <f>+Agencia[[#This Row],[idcoleccion]]&amp;"-"&amp;Agencia[[#This Row],[id]]</f>
        <v>990-0957</v>
      </c>
      <c r="W968" s="93">
        <f>+VLOOKUP(Agencia[[#This Row],[Filtro URL]],Estructura!$X$4:$Y$500,2,0)</f>
        <v>99200016</v>
      </c>
      <c r="X968" s="93" t="str">
        <f>+VLOOKUP(Agencia[[#This Row],[tema]],Estructura!$A$4:$C$500,3,0)</f>
        <v>T-1086</v>
      </c>
      <c r="Y968" s="93" t="str">
        <f>+VLOOKUP(Agencia[[#This Row],[contenido]],Estructura!$E$4:$G$500,3,0)</f>
        <v>C-1008</v>
      </c>
      <c r="Z968" s="93" t="str">
        <f>+VLOOKUP(Agencia[[#This Row],[Filtro Integrado]],Estructura!$I$4:$K$500,3,0)</f>
        <v>FI-991</v>
      </c>
      <c r="AA968" s="93" t="str">
        <f>+VLOOKUP(Agencia[[#This Row],[Muestra]],Estructura!$M$4:$O$500,3,0)</f>
        <v>M-1041</v>
      </c>
    </row>
    <row r="969" spans="1:27" ht="61.2" x14ac:dyDescent="0.3">
      <c r="A969" s="21" t="s">
        <v>1689</v>
      </c>
      <c r="B969" s="23">
        <f t="shared" si="381"/>
        <v>990</v>
      </c>
      <c r="C969" s="24" t="str">
        <f t="shared" si="382"/>
        <v>Agencia Información</v>
      </c>
      <c r="D969" s="72" t="s">
        <v>603</v>
      </c>
      <c r="E969" s="14">
        <v>0</v>
      </c>
      <c r="F969" s="18" t="s">
        <v>5158</v>
      </c>
      <c r="G969" s="18" t="s">
        <v>1896</v>
      </c>
      <c r="H969" s="31" t="s">
        <v>20</v>
      </c>
      <c r="I969" s="32" t="s">
        <v>15</v>
      </c>
      <c r="J969" s="9" t="s">
        <v>956</v>
      </c>
      <c r="K969" s="9" t="s">
        <v>1523</v>
      </c>
      <c r="L969" s="36" t="s">
        <v>596</v>
      </c>
      <c r="M969" s="9" t="s">
        <v>1524</v>
      </c>
      <c r="N969" s="9" t="s">
        <v>607</v>
      </c>
      <c r="O969" s="41" t="str">
        <f>+"Mapa de Espacios Culturales en "&amp;I969&amp;", "&amp;Agencia[[#This Row],[temporalidad]]</f>
        <v>Mapa de Espacios Culturales en Chile, Año 2021</v>
      </c>
      <c r="P969" s="112" t="s">
        <v>5617</v>
      </c>
      <c r="Q969" s="11" t="s">
        <v>1525</v>
      </c>
      <c r="R969" s="20"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Chile,espacio,cultural,infraestructura,ubicación,latitud,longitud,biblioteca,museo,archivo,centro cultural,sala de exposición,galería de arte,cine,casa de la cultura,Agencia Información,Arte y cultura,Ubicación de espacios culturales,Cultura</v>
      </c>
      <c r="S969" s="37" t="s">
        <v>3608</v>
      </c>
      <c r="T969" s="108" t="s">
        <v>957</v>
      </c>
      <c r="U969" s="46" t="str">
        <f t="shared" si="393"/>
        <v>#1774B9</v>
      </c>
      <c r="V969" s="93" t="str">
        <f>+Agencia[[#This Row],[idcoleccion]]&amp;"-"&amp;Agencia[[#This Row],[id]]</f>
        <v>990-0958</v>
      </c>
      <c r="W969" s="93">
        <f>+VLOOKUP(Agencia[[#This Row],[Filtro URL]],Estructura!$X$4:$Y$500,2,0)</f>
        <v>99100000</v>
      </c>
      <c r="X969" s="93" t="str">
        <f>+VLOOKUP(Agencia[[#This Row],[tema]],Estructura!$A$4:$C$500,3,0)</f>
        <v>T-1087</v>
      </c>
      <c r="Y969" s="93" t="str">
        <f>+VLOOKUP(Agencia[[#This Row],[contenido]],Estructura!$E$4:$G$500,3,0)</f>
        <v>C-1008</v>
      </c>
      <c r="Z969" s="93" t="str">
        <f>+VLOOKUP(Agencia[[#This Row],[Filtro Integrado]],Estructura!$I$4:$K$500,3,0)</f>
        <v>FI-994</v>
      </c>
      <c r="AA969" s="93" t="str">
        <f>+VLOOKUP(Agencia[[#This Row],[Muestra]],Estructura!$M$4:$O$500,3,0)</f>
        <v>M-1077</v>
      </c>
    </row>
    <row r="970" spans="1:27" ht="72" x14ac:dyDescent="0.3">
      <c r="A970" s="21" t="s">
        <v>1690</v>
      </c>
      <c r="B970" s="23">
        <f t="shared" ref="B970:B1033" si="400">+B969</f>
        <v>990</v>
      </c>
      <c r="C970" s="24" t="str">
        <f t="shared" si="382"/>
        <v>Agencia Información</v>
      </c>
      <c r="D970" s="72" t="str">
        <f t="shared" ref="D970:D985" si="401">+D969</f>
        <v>Arte y cultura</v>
      </c>
      <c r="E970" s="19">
        <v>1</v>
      </c>
      <c r="F970" s="69" t="s">
        <v>5158</v>
      </c>
      <c r="G970" s="18" t="s">
        <v>1896</v>
      </c>
      <c r="H970" s="33" t="s">
        <v>16</v>
      </c>
      <c r="I970" s="34" t="s">
        <v>368</v>
      </c>
      <c r="J970" s="9" t="s">
        <v>18</v>
      </c>
      <c r="K970" s="142" t="s">
        <v>1523</v>
      </c>
      <c r="L970" s="36" t="str">
        <f t="shared" ref="L970:L985" si="402">+L969</f>
        <v>Año 2021</v>
      </c>
      <c r="M970" s="9" t="str">
        <f t="shared" ref="M970:M985" si="403">+M969</f>
        <v>Lat-Long</v>
      </c>
      <c r="N970" s="9" t="str">
        <f t="shared" ref="N970:N985" si="404">+N969</f>
        <v>Observatorio Cultural</v>
      </c>
      <c r="O970" s="41" t="str">
        <f>+"Mapa de Espacios Culturales en la "&amp;I970&amp;", "&amp;Agencia[[#This Row],[temporalidad]]</f>
        <v>Mapa de Espacios Culturales en la Región de Tarapacá, Año 2021</v>
      </c>
      <c r="P970" s="112" t="s">
        <v>5618</v>
      </c>
      <c r="Q970" s="11" t="str">
        <f t="shared" ref="Q970:Q1033" si="405">+Q969</f>
        <v xml:space="preserve">Mapa </v>
      </c>
      <c r="R970"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Tarapacá,espacio,cultural,infraestructura,ubicación,latitud,longitud,biblioteca,museo,archivo,centro cultural,sala de exposición,galería de arte,cine,casa de la cultura,Agencia Información,Arte y cultura,Ubicación de espacios culturales,Cultura</v>
      </c>
      <c r="S97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v>
      </c>
      <c r="T970" s="108" t="str">
        <f>"100-C-"&amp;Agencia[[#This Row],[Filtro URL]]</f>
        <v>100-C-1</v>
      </c>
      <c r="U970" s="46" t="str">
        <f t="shared" si="393"/>
        <v>#1774B9</v>
      </c>
      <c r="V970" s="93" t="str">
        <f>+Agencia[[#This Row],[idcoleccion]]&amp;"-"&amp;Agencia[[#This Row],[id]]</f>
        <v>990-0959</v>
      </c>
      <c r="W970" s="93">
        <f>+VLOOKUP(Agencia[[#This Row],[Filtro URL]],Estructura!$X$4:$Y$500,2,0)</f>
        <v>99200001</v>
      </c>
      <c r="X970" s="93" t="str">
        <f>+VLOOKUP(Agencia[[#This Row],[tema]],Estructura!$A$4:$C$500,3,0)</f>
        <v>T-1087</v>
      </c>
      <c r="Y970" s="93" t="str">
        <f>+VLOOKUP(Agencia[[#This Row],[contenido]],Estructura!$E$4:$G$500,3,0)</f>
        <v>C-1008</v>
      </c>
      <c r="Z970" s="93" t="str">
        <f>+VLOOKUP(Agencia[[#This Row],[Filtro Integrado]],Estructura!$I$4:$K$500,3,0)</f>
        <v>FI-991</v>
      </c>
      <c r="AA970" s="93" t="str">
        <f>+VLOOKUP(Agencia[[#This Row],[Muestra]],Estructura!$M$4:$O$500,3,0)</f>
        <v>M-1077</v>
      </c>
    </row>
    <row r="971" spans="1:27" ht="72" x14ac:dyDescent="0.3">
      <c r="A971" s="21" t="s">
        <v>1691</v>
      </c>
      <c r="B971" s="23">
        <f t="shared" si="400"/>
        <v>990</v>
      </c>
      <c r="C971" s="24" t="str">
        <f t="shared" ref="C971:C1034" si="406">+C970</f>
        <v>Agencia Información</v>
      </c>
      <c r="D971" s="72" t="str">
        <f t="shared" si="401"/>
        <v>Arte y cultura</v>
      </c>
      <c r="E971" s="19">
        <v>2</v>
      </c>
      <c r="F971" s="69" t="s">
        <v>5158</v>
      </c>
      <c r="G971" s="18" t="s">
        <v>1896</v>
      </c>
      <c r="H971" s="33" t="s">
        <v>16</v>
      </c>
      <c r="I971" s="34" t="s">
        <v>369</v>
      </c>
      <c r="J971" s="9" t="str">
        <f t="shared" ref="J971:J985" si="407">+J970</f>
        <v>Comuna</v>
      </c>
      <c r="K971" s="142" t="s">
        <v>1523</v>
      </c>
      <c r="L971" s="36" t="str">
        <f t="shared" si="402"/>
        <v>Año 2021</v>
      </c>
      <c r="M971" s="9" t="str">
        <f t="shared" si="403"/>
        <v>Lat-Long</v>
      </c>
      <c r="N971" s="9" t="str">
        <f t="shared" si="404"/>
        <v>Observatorio Cultural</v>
      </c>
      <c r="O971" s="41" t="str">
        <f>+"Mapa de Espacios Culturales en la "&amp;I971&amp;", "&amp;Agencia[[#This Row],[temporalidad]]</f>
        <v>Mapa de Espacios Culturales en la Región de Antofagasta, Año 2021</v>
      </c>
      <c r="P971" s="112" t="s">
        <v>5619</v>
      </c>
      <c r="Q971" s="11" t="str">
        <f t="shared" si="405"/>
        <v xml:space="preserve">Mapa </v>
      </c>
      <c r="R971"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Antofagasta,espacio,cultural,infraestructura,ubicación,latitud,longitud,biblioteca,museo,archivo,centro cultural,sala de exposición,galería de arte,cine,casa de la cultura,Agencia Información,Arte y cultura,Ubicación de espacios culturales,Cultura</v>
      </c>
      <c r="S97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https://analytics.zoho.com/open-view/2395394000008464353?ZOHO_CRITERIA=%22Espacios_Culturales_Completo%201%22.%22C%C3%B3digo_Regi%C3%B3n%22%20%3D%202</v>
      </c>
      <c r="T971" s="108" t="str">
        <f>"100-C-"&amp;Agencia[[#This Row],[Filtro URL]]</f>
        <v>100-C-2</v>
      </c>
      <c r="U971" s="46" t="str">
        <f t="shared" si="393"/>
        <v>#1774B9</v>
      </c>
      <c r="V971" s="93" t="str">
        <f>+Agencia[[#This Row],[idcoleccion]]&amp;"-"&amp;Agencia[[#This Row],[id]]</f>
        <v>990-0960</v>
      </c>
      <c r="W971" s="93">
        <f>+VLOOKUP(Agencia[[#This Row],[Filtro URL]],Estructura!$X$4:$Y$500,2,0)</f>
        <v>99200002</v>
      </c>
      <c r="X971" s="93" t="str">
        <f>+VLOOKUP(Agencia[[#This Row],[tema]],Estructura!$A$4:$C$500,3,0)</f>
        <v>T-1087</v>
      </c>
      <c r="Y971" s="93" t="str">
        <f>+VLOOKUP(Agencia[[#This Row],[contenido]],Estructura!$E$4:$G$500,3,0)</f>
        <v>C-1008</v>
      </c>
      <c r="Z971" s="93" t="str">
        <f>+VLOOKUP(Agencia[[#This Row],[Filtro Integrado]],Estructura!$I$4:$K$500,3,0)</f>
        <v>FI-991</v>
      </c>
      <c r="AA971" s="93" t="str">
        <f>+VLOOKUP(Agencia[[#This Row],[Muestra]],Estructura!$M$4:$O$500,3,0)</f>
        <v>M-1077</v>
      </c>
    </row>
    <row r="972" spans="1:27" ht="72" x14ac:dyDescent="0.3">
      <c r="A972" s="21" t="s">
        <v>1692</v>
      </c>
      <c r="B972" s="23">
        <f t="shared" si="400"/>
        <v>990</v>
      </c>
      <c r="C972" s="24" t="str">
        <f t="shared" si="406"/>
        <v>Agencia Información</v>
      </c>
      <c r="D972" s="72" t="str">
        <f t="shared" si="401"/>
        <v>Arte y cultura</v>
      </c>
      <c r="E972" s="19">
        <v>3</v>
      </c>
      <c r="F972" s="69" t="s">
        <v>5158</v>
      </c>
      <c r="G972" s="18" t="s">
        <v>1896</v>
      </c>
      <c r="H972" s="33" t="s">
        <v>16</v>
      </c>
      <c r="I972" s="34" t="s">
        <v>370</v>
      </c>
      <c r="J972" s="9" t="str">
        <f t="shared" si="407"/>
        <v>Comuna</v>
      </c>
      <c r="K972" s="142" t="s">
        <v>1523</v>
      </c>
      <c r="L972" s="36" t="str">
        <f t="shared" si="402"/>
        <v>Año 2021</v>
      </c>
      <c r="M972" s="9" t="str">
        <f t="shared" si="403"/>
        <v>Lat-Long</v>
      </c>
      <c r="N972" s="9" t="str">
        <f t="shared" si="404"/>
        <v>Observatorio Cultural</v>
      </c>
      <c r="O972" s="41" t="str">
        <f>+"Mapa de Espacios Culturales en la "&amp;I972&amp;", "&amp;Agencia[[#This Row],[temporalidad]]</f>
        <v>Mapa de Espacios Culturales en la Región de Atacama, Año 2021</v>
      </c>
      <c r="P972" s="112" t="s">
        <v>5620</v>
      </c>
      <c r="Q972" s="11" t="str">
        <f t="shared" si="405"/>
        <v xml:space="preserve">Mapa </v>
      </c>
      <c r="R972"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Atacama,espacio,cultural,infraestructura,ubicación,latitud,longitud,biblioteca,museo,archivo,centro cultural,sala de exposición,galería de arte,cine,casa de la cultura,Agencia Información,Arte y cultura,Ubicación de espacios culturales,Cultura</v>
      </c>
      <c r="S97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https://analytics.zoho.com/open-view/2395394000008464353?ZOHO_CRITERIA=%22Espacios_Culturales_Completo%201%22.%22C%C3%B3digo_Regi%C3%B3n%22%20%3D%203</v>
      </c>
      <c r="T972" s="108" t="str">
        <f>"100-C-"&amp;Agencia[[#This Row],[Filtro URL]]</f>
        <v>100-C-3</v>
      </c>
      <c r="U972" s="46" t="str">
        <f t="shared" si="393"/>
        <v>#1774B9</v>
      </c>
      <c r="V972" s="93" t="str">
        <f>+Agencia[[#This Row],[idcoleccion]]&amp;"-"&amp;Agencia[[#This Row],[id]]</f>
        <v>990-0961</v>
      </c>
      <c r="W972" s="93">
        <f>+VLOOKUP(Agencia[[#This Row],[Filtro URL]],Estructura!$X$4:$Y$500,2,0)</f>
        <v>99200003</v>
      </c>
      <c r="X972" s="93" t="str">
        <f>+VLOOKUP(Agencia[[#This Row],[tema]],Estructura!$A$4:$C$500,3,0)</f>
        <v>T-1087</v>
      </c>
      <c r="Y972" s="93" t="str">
        <f>+VLOOKUP(Agencia[[#This Row],[contenido]],Estructura!$E$4:$G$500,3,0)</f>
        <v>C-1008</v>
      </c>
      <c r="Z972" s="93" t="str">
        <f>+VLOOKUP(Agencia[[#This Row],[Filtro Integrado]],Estructura!$I$4:$K$500,3,0)</f>
        <v>FI-991</v>
      </c>
      <c r="AA972" s="93" t="str">
        <f>+VLOOKUP(Agencia[[#This Row],[Muestra]],Estructura!$M$4:$O$500,3,0)</f>
        <v>M-1077</v>
      </c>
    </row>
    <row r="973" spans="1:27" ht="72" x14ac:dyDescent="0.3">
      <c r="A973" s="21" t="s">
        <v>1693</v>
      </c>
      <c r="B973" s="23">
        <f t="shared" si="400"/>
        <v>990</v>
      </c>
      <c r="C973" s="24" t="str">
        <f t="shared" si="406"/>
        <v>Agencia Información</v>
      </c>
      <c r="D973" s="72" t="str">
        <f t="shared" si="401"/>
        <v>Arte y cultura</v>
      </c>
      <c r="E973" s="19">
        <v>4</v>
      </c>
      <c r="F973" s="69" t="s">
        <v>5158</v>
      </c>
      <c r="G973" s="18" t="s">
        <v>1896</v>
      </c>
      <c r="H973" s="33" t="s">
        <v>16</v>
      </c>
      <c r="I973" s="34" t="s">
        <v>371</v>
      </c>
      <c r="J973" s="9" t="str">
        <f t="shared" si="407"/>
        <v>Comuna</v>
      </c>
      <c r="K973" s="142" t="s">
        <v>1523</v>
      </c>
      <c r="L973" s="36" t="str">
        <f t="shared" si="402"/>
        <v>Año 2021</v>
      </c>
      <c r="M973" s="9" t="str">
        <f t="shared" si="403"/>
        <v>Lat-Long</v>
      </c>
      <c r="N973" s="9" t="str">
        <f t="shared" si="404"/>
        <v>Observatorio Cultural</v>
      </c>
      <c r="O973" s="41" t="str">
        <f>+"Mapa de Espacios Culturales en la "&amp;I973&amp;", "&amp;Agencia[[#This Row],[temporalidad]]</f>
        <v>Mapa de Espacios Culturales en la Región de Coquimbo, Año 2021</v>
      </c>
      <c r="P973" s="112" t="s">
        <v>5621</v>
      </c>
      <c r="Q973" s="11" t="str">
        <f t="shared" si="405"/>
        <v xml:space="preserve">Mapa </v>
      </c>
      <c r="R973"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Coquimbo,espacio,cultural,infraestructura,ubicación,latitud,longitud,biblioteca,museo,archivo,centro cultural,sala de exposición,galería de arte,cine,casa de la cultura,Agencia Información,Arte y cultura,Ubicación de espacios culturales,Cultura</v>
      </c>
      <c r="S97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https://analytics.zoho.com/open-view/2395394000008464353?ZOHO_CRITERIA=%22Espacios_Culturales_Completo%201%22.%22C%C3%B3digo_Regi%C3%B3n%22%20%3D%204</v>
      </c>
      <c r="T973" s="108" t="str">
        <f>"100-C-"&amp;Agencia[[#This Row],[Filtro URL]]</f>
        <v>100-C-4</v>
      </c>
      <c r="U973" s="46" t="str">
        <f t="shared" si="393"/>
        <v>#1774B9</v>
      </c>
      <c r="V973" s="93" t="str">
        <f>+Agencia[[#This Row],[idcoleccion]]&amp;"-"&amp;Agencia[[#This Row],[id]]</f>
        <v>990-0962</v>
      </c>
      <c r="W973" s="93">
        <f>+VLOOKUP(Agencia[[#This Row],[Filtro URL]],Estructura!$X$4:$Y$500,2,0)</f>
        <v>99200004</v>
      </c>
      <c r="X973" s="93" t="str">
        <f>+VLOOKUP(Agencia[[#This Row],[tema]],Estructura!$A$4:$C$500,3,0)</f>
        <v>T-1087</v>
      </c>
      <c r="Y973" s="93" t="str">
        <f>+VLOOKUP(Agencia[[#This Row],[contenido]],Estructura!$E$4:$G$500,3,0)</f>
        <v>C-1008</v>
      </c>
      <c r="Z973" s="93" t="str">
        <f>+VLOOKUP(Agencia[[#This Row],[Filtro Integrado]],Estructura!$I$4:$K$500,3,0)</f>
        <v>FI-991</v>
      </c>
      <c r="AA973" s="93" t="str">
        <f>+VLOOKUP(Agencia[[#This Row],[Muestra]],Estructura!$M$4:$O$500,3,0)</f>
        <v>M-1077</v>
      </c>
    </row>
    <row r="974" spans="1:27" ht="72" x14ac:dyDescent="0.3">
      <c r="A974" s="21" t="s">
        <v>1694</v>
      </c>
      <c r="B974" s="23">
        <f t="shared" si="400"/>
        <v>990</v>
      </c>
      <c r="C974" s="24" t="str">
        <f t="shared" si="406"/>
        <v>Agencia Información</v>
      </c>
      <c r="D974" s="72" t="str">
        <f t="shared" si="401"/>
        <v>Arte y cultura</v>
      </c>
      <c r="E974" s="19">
        <v>5</v>
      </c>
      <c r="F974" s="69" t="s">
        <v>5158</v>
      </c>
      <c r="G974" s="18" t="s">
        <v>1896</v>
      </c>
      <c r="H974" s="33" t="s">
        <v>16</v>
      </c>
      <c r="I974" s="34" t="s">
        <v>372</v>
      </c>
      <c r="J974" s="9" t="str">
        <f t="shared" si="407"/>
        <v>Comuna</v>
      </c>
      <c r="K974" s="142" t="s">
        <v>1523</v>
      </c>
      <c r="L974" s="36" t="str">
        <f t="shared" si="402"/>
        <v>Año 2021</v>
      </c>
      <c r="M974" s="9" t="str">
        <f t="shared" si="403"/>
        <v>Lat-Long</v>
      </c>
      <c r="N974" s="9" t="str">
        <f t="shared" si="404"/>
        <v>Observatorio Cultural</v>
      </c>
      <c r="O974" s="41" t="str">
        <f>+"Mapa de Espacios Culturales en la "&amp;I974&amp;", "&amp;Agencia[[#This Row],[temporalidad]]</f>
        <v>Mapa de Espacios Culturales en la Región de Valparaíso, Año 2021</v>
      </c>
      <c r="P974" s="112" t="s">
        <v>5622</v>
      </c>
      <c r="Q974" s="11" t="str">
        <f t="shared" si="405"/>
        <v xml:space="preserve">Mapa </v>
      </c>
      <c r="R974"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Valparaíso,espacio,cultural,infraestructura,ubicación,latitud,longitud,biblioteca,museo,archivo,centro cultural,sala de exposición,galería de arte,cine,casa de la cultura,Agencia Información,Arte y cultura,Ubicación de espacios culturales,Cultura</v>
      </c>
      <c r="S97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https://analytics.zoho.com/open-view/2395394000008464353?ZOHO_CRITERIA=%22Espacios_Culturales_Completo%201%22.%22C%C3%B3digo_Regi%C3%B3n%22%20%3D%205</v>
      </c>
      <c r="T974" s="108" t="str">
        <f>"100-C-"&amp;Agencia[[#This Row],[Filtro URL]]</f>
        <v>100-C-5</v>
      </c>
      <c r="U974" s="46" t="str">
        <f t="shared" si="393"/>
        <v>#1774B9</v>
      </c>
      <c r="V974" s="93" t="str">
        <f>+Agencia[[#This Row],[idcoleccion]]&amp;"-"&amp;Agencia[[#This Row],[id]]</f>
        <v>990-0963</v>
      </c>
      <c r="W974" s="93">
        <f>+VLOOKUP(Agencia[[#This Row],[Filtro URL]],Estructura!$X$4:$Y$500,2,0)</f>
        <v>99200005</v>
      </c>
      <c r="X974" s="93" t="str">
        <f>+VLOOKUP(Agencia[[#This Row],[tema]],Estructura!$A$4:$C$500,3,0)</f>
        <v>T-1087</v>
      </c>
      <c r="Y974" s="93" t="str">
        <f>+VLOOKUP(Agencia[[#This Row],[contenido]],Estructura!$E$4:$G$500,3,0)</f>
        <v>C-1008</v>
      </c>
      <c r="Z974" s="93" t="str">
        <f>+VLOOKUP(Agencia[[#This Row],[Filtro Integrado]],Estructura!$I$4:$K$500,3,0)</f>
        <v>FI-991</v>
      </c>
      <c r="AA974" s="93" t="str">
        <f>+VLOOKUP(Agencia[[#This Row],[Muestra]],Estructura!$M$4:$O$500,3,0)</f>
        <v>M-1077</v>
      </c>
    </row>
    <row r="975" spans="1:27" ht="72" x14ac:dyDescent="0.3">
      <c r="A975" s="21" t="s">
        <v>1695</v>
      </c>
      <c r="B975" s="23">
        <f t="shared" si="400"/>
        <v>990</v>
      </c>
      <c r="C975" s="24" t="str">
        <f t="shared" si="406"/>
        <v>Agencia Información</v>
      </c>
      <c r="D975" s="72" t="str">
        <f t="shared" si="401"/>
        <v>Arte y cultura</v>
      </c>
      <c r="E975" s="19">
        <v>6</v>
      </c>
      <c r="F975" s="69" t="s">
        <v>5158</v>
      </c>
      <c r="G975" s="18" t="s">
        <v>1896</v>
      </c>
      <c r="H975" s="33" t="s">
        <v>16</v>
      </c>
      <c r="I975" s="34" t="s">
        <v>373</v>
      </c>
      <c r="J975" s="9" t="str">
        <f t="shared" si="407"/>
        <v>Comuna</v>
      </c>
      <c r="K975" s="142" t="s">
        <v>1523</v>
      </c>
      <c r="L975" s="36" t="str">
        <f t="shared" si="402"/>
        <v>Año 2021</v>
      </c>
      <c r="M975" s="9" t="str">
        <f t="shared" si="403"/>
        <v>Lat-Long</v>
      </c>
      <c r="N975" s="9" t="str">
        <f t="shared" si="404"/>
        <v>Observatorio Cultural</v>
      </c>
      <c r="O975" s="41" t="str">
        <f>+"Mapa de Espacios Culturales en la "&amp;I975&amp;", "&amp;Agencia[[#This Row],[temporalidad]]</f>
        <v>Mapa de Espacios Culturales en la Región de O'Higgins, Año 2021</v>
      </c>
      <c r="P975" s="112" t="s">
        <v>5623</v>
      </c>
      <c r="Q975" s="11" t="str">
        <f t="shared" si="405"/>
        <v xml:space="preserve">Mapa </v>
      </c>
      <c r="R975"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O'Higgins,espacio,cultural,infraestructura,ubicación,latitud,longitud,biblioteca,museo,archivo,centro cultural,sala de exposición,galería de arte,cine,casa de la cultura,Agencia Información,Arte y cultura,Ubicación de espacios culturales,Cultura</v>
      </c>
      <c r="S97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https://analytics.zoho.com/open-view/2395394000008464353?ZOHO_CRITERIA=%22Espacios_Culturales_Completo%201%22.%22C%C3%B3digo_Regi%C3%B3n%22%20%3D%206</v>
      </c>
      <c r="T975" s="108" t="str">
        <f>"100-C-"&amp;Agencia[[#This Row],[Filtro URL]]</f>
        <v>100-C-6</v>
      </c>
      <c r="U975" s="46" t="str">
        <f t="shared" si="393"/>
        <v>#1774B9</v>
      </c>
      <c r="V975" s="93" t="str">
        <f>+Agencia[[#This Row],[idcoleccion]]&amp;"-"&amp;Agencia[[#This Row],[id]]</f>
        <v>990-0964</v>
      </c>
      <c r="W975" s="93">
        <f>+VLOOKUP(Agencia[[#This Row],[Filtro URL]],Estructura!$X$4:$Y$500,2,0)</f>
        <v>99200006</v>
      </c>
      <c r="X975" s="93" t="str">
        <f>+VLOOKUP(Agencia[[#This Row],[tema]],Estructura!$A$4:$C$500,3,0)</f>
        <v>T-1087</v>
      </c>
      <c r="Y975" s="93" t="str">
        <f>+VLOOKUP(Agencia[[#This Row],[contenido]],Estructura!$E$4:$G$500,3,0)</f>
        <v>C-1008</v>
      </c>
      <c r="Z975" s="93" t="str">
        <f>+VLOOKUP(Agencia[[#This Row],[Filtro Integrado]],Estructura!$I$4:$K$500,3,0)</f>
        <v>FI-991</v>
      </c>
      <c r="AA975" s="93" t="str">
        <f>+VLOOKUP(Agencia[[#This Row],[Muestra]],Estructura!$M$4:$O$500,3,0)</f>
        <v>M-1077</v>
      </c>
    </row>
    <row r="976" spans="1:27" ht="72" x14ac:dyDescent="0.3">
      <c r="A976" s="21" t="s">
        <v>1696</v>
      </c>
      <c r="B976" s="23">
        <f t="shared" si="400"/>
        <v>990</v>
      </c>
      <c r="C976" s="24" t="str">
        <f t="shared" si="406"/>
        <v>Agencia Información</v>
      </c>
      <c r="D976" s="72" t="str">
        <f t="shared" si="401"/>
        <v>Arte y cultura</v>
      </c>
      <c r="E976" s="19">
        <v>7</v>
      </c>
      <c r="F976" s="69" t="s">
        <v>5158</v>
      </c>
      <c r="G976" s="18" t="s">
        <v>1896</v>
      </c>
      <c r="H976" s="33" t="s">
        <v>16</v>
      </c>
      <c r="I976" s="34" t="s">
        <v>374</v>
      </c>
      <c r="J976" s="9" t="str">
        <f t="shared" si="407"/>
        <v>Comuna</v>
      </c>
      <c r="K976" s="142" t="s">
        <v>1523</v>
      </c>
      <c r="L976" s="36" t="str">
        <f t="shared" si="402"/>
        <v>Año 2021</v>
      </c>
      <c r="M976" s="9" t="str">
        <f t="shared" si="403"/>
        <v>Lat-Long</v>
      </c>
      <c r="N976" s="9" t="str">
        <f t="shared" si="404"/>
        <v>Observatorio Cultural</v>
      </c>
      <c r="O976" s="41" t="str">
        <f>+"Mapa de Espacios Culturales en la "&amp;I976&amp;", "&amp;Agencia[[#This Row],[temporalidad]]</f>
        <v>Mapa de Espacios Culturales en la Región de Maule, Año 2021</v>
      </c>
      <c r="P976" s="112" t="s">
        <v>5624</v>
      </c>
      <c r="Q976" s="11" t="str">
        <f t="shared" si="405"/>
        <v xml:space="preserve">Mapa </v>
      </c>
      <c r="R976"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Maule,espacio,cultural,infraestructura,ubicación,latitud,longitud,biblioteca,museo,archivo,centro cultural,sala de exposición,galería de arte,cine,casa de la cultura,Agencia Información,Arte y cultura,Ubicación de espacios culturales,Cultura</v>
      </c>
      <c r="S976"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https://analytics.zoho.com/open-view/2395394000008464353?ZOHO_CRITERIA=%22Espacios_Culturales_Completo%201%22.%22C%C3%B3digo_Regi%C3%B3n%22%20%3D%207</v>
      </c>
      <c r="T976" s="108" t="str">
        <f>"100-C-"&amp;Agencia[[#This Row],[Filtro URL]]</f>
        <v>100-C-7</v>
      </c>
      <c r="U976" s="46" t="str">
        <f t="shared" si="393"/>
        <v>#1774B9</v>
      </c>
      <c r="V976" s="93" t="str">
        <f>+Agencia[[#This Row],[idcoleccion]]&amp;"-"&amp;Agencia[[#This Row],[id]]</f>
        <v>990-0965</v>
      </c>
      <c r="W976" s="93">
        <f>+VLOOKUP(Agencia[[#This Row],[Filtro URL]],Estructura!$X$4:$Y$500,2,0)</f>
        <v>99200007</v>
      </c>
      <c r="X976" s="93" t="str">
        <f>+VLOOKUP(Agencia[[#This Row],[tema]],Estructura!$A$4:$C$500,3,0)</f>
        <v>T-1087</v>
      </c>
      <c r="Y976" s="93" t="str">
        <f>+VLOOKUP(Agencia[[#This Row],[contenido]],Estructura!$E$4:$G$500,3,0)</f>
        <v>C-1008</v>
      </c>
      <c r="Z976" s="93" t="str">
        <f>+VLOOKUP(Agencia[[#This Row],[Filtro Integrado]],Estructura!$I$4:$K$500,3,0)</f>
        <v>FI-991</v>
      </c>
      <c r="AA976" s="93" t="str">
        <f>+VLOOKUP(Agencia[[#This Row],[Muestra]],Estructura!$M$4:$O$500,3,0)</f>
        <v>M-1077</v>
      </c>
    </row>
    <row r="977" spans="1:27" ht="72" x14ac:dyDescent="0.3">
      <c r="A977" s="21" t="s">
        <v>1697</v>
      </c>
      <c r="B977" s="23">
        <f t="shared" si="400"/>
        <v>990</v>
      </c>
      <c r="C977" s="24" t="str">
        <f t="shared" si="406"/>
        <v>Agencia Información</v>
      </c>
      <c r="D977" s="72" t="str">
        <f t="shared" si="401"/>
        <v>Arte y cultura</v>
      </c>
      <c r="E977" s="19">
        <v>8</v>
      </c>
      <c r="F977" s="69" t="s">
        <v>5158</v>
      </c>
      <c r="G977" s="18" t="s">
        <v>1896</v>
      </c>
      <c r="H977" s="33" t="s">
        <v>16</v>
      </c>
      <c r="I977" s="34" t="s">
        <v>375</v>
      </c>
      <c r="J977" s="9" t="str">
        <f t="shared" si="407"/>
        <v>Comuna</v>
      </c>
      <c r="K977" s="142" t="s">
        <v>1523</v>
      </c>
      <c r="L977" s="36" t="str">
        <f t="shared" si="402"/>
        <v>Año 2021</v>
      </c>
      <c r="M977" s="9" t="str">
        <f t="shared" si="403"/>
        <v>Lat-Long</v>
      </c>
      <c r="N977" s="9" t="str">
        <f t="shared" si="404"/>
        <v>Observatorio Cultural</v>
      </c>
      <c r="O977" s="41" t="str">
        <f>+"Mapa de Espacios Culturales en la "&amp;I977&amp;", "&amp;Agencia[[#This Row],[temporalidad]]</f>
        <v>Mapa de Espacios Culturales en la Región del Biobío, Año 2021</v>
      </c>
      <c r="P977" s="112" t="s">
        <v>5625</v>
      </c>
      <c r="Q977" s="11" t="str">
        <f t="shared" si="405"/>
        <v xml:space="preserve">Mapa </v>
      </c>
      <c r="R977"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del Biobío,espacio,cultural,infraestructura,ubicación,latitud,longitud,biblioteca,museo,archivo,centro cultural,sala de exposición,galería de arte,cine,casa de la cultura,Agencia Información,Arte y cultura,Ubicación de espacios culturales,Cultura</v>
      </c>
      <c r="S977"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https://analytics.zoho.com/open-view/2395394000008464353?ZOHO_CRITERIA=%22Espacios_Culturales_Completo%201%22.%22C%C3%B3digo_Regi%C3%B3n%22%20%3D%208</v>
      </c>
      <c r="T977" s="108" t="str">
        <f>"100-C-"&amp;Agencia[[#This Row],[Filtro URL]]</f>
        <v>100-C-8</v>
      </c>
      <c r="U977" s="46" t="str">
        <f t="shared" si="393"/>
        <v>#1774B9</v>
      </c>
      <c r="V977" s="93" t="str">
        <f>+Agencia[[#This Row],[idcoleccion]]&amp;"-"&amp;Agencia[[#This Row],[id]]</f>
        <v>990-0966</v>
      </c>
      <c r="W977" s="93">
        <f>+VLOOKUP(Agencia[[#This Row],[Filtro URL]],Estructura!$X$4:$Y$500,2,0)</f>
        <v>99200008</v>
      </c>
      <c r="X977" s="93" t="str">
        <f>+VLOOKUP(Agencia[[#This Row],[tema]],Estructura!$A$4:$C$500,3,0)</f>
        <v>T-1087</v>
      </c>
      <c r="Y977" s="93" t="str">
        <f>+VLOOKUP(Agencia[[#This Row],[contenido]],Estructura!$E$4:$G$500,3,0)</f>
        <v>C-1008</v>
      </c>
      <c r="Z977" s="93" t="str">
        <f>+VLOOKUP(Agencia[[#This Row],[Filtro Integrado]],Estructura!$I$4:$K$500,3,0)</f>
        <v>FI-991</v>
      </c>
      <c r="AA977" s="93" t="str">
        <f>+VLOOKUP(Agencia[[#This Row],[Muestra]],Estructura!$M$4:$O$500,3,0)</f>
        <v>M-1077</v>
      </c>
    </row>
    <row r="978" spans="1:27" ht="72" x14ac:dyDescent="0.3">
      <c r="A978" s="21" t="s">
        <v>1698</v>
      </c>
      <c r="B978" s="23">
        <f t="shared" si="400"/>
        <v>990</v>
      </c>
      <c r="C978" s="24" t="str">
        <f t="shared" si="406"/>
        <v>Agencia Información</v>
      </c>
      <c r="D978" s="72" t="str">
        <f t="shared" si="401"/>
        <v>Arte y cultura</v>
      </c>
      <c r="E978" s="19">
        <v>9</v>
      </c>
      <c r="F978" s="69" t="s">
        <v>5158</v>
      </c>
      <c r="G978" s="18" t="s">
        <v>1896</v>
      </c>
      <c r="H978" s="33" t="s">
        <v>16</v>
      </c>
      <c r="I978" s="34" t="s">
        <v>376</v>
      </c>
      <c r="J978" s="9" t="str">
        <f t="shared" si="407"/>
        <v>Comuna</v>
      </c>
      <c r="K978" s="142" t="s">
        <v>1523</v>
      </c>
      <c r="L978" s="36" t="str">
        <f t="shared" si="402"/>
        <v>Año 2021</v>
      </c>
      <c r="M978" s="9" t="str">
        <f t="shared" si="403"/>
        <v>Lat-Long</v>
      </c>
      <c r="N978" s="9" t="str">
        <f t="shared" si="404"/>
        <v>Observatorio Cultural</v>
      </c>
      <c r="O978" s="41" t="str">
        <f>+"Mapa de Espacios Culturales en la "&amp;I978&amp;", "&amp;Agencia[[#This Row],[temporalidad]]</f>
        <v>Mapa de Espacios Culturales en la Región de La Araucanía, Año 2021</v>
      </c>
      <c r="P978" s="112" t="s">
        <v>5626</v>
      </c>
      <c r="Q978" s="11" t="str">
        <f t="shared" si="405"/>
        <v xml:space="preserve">Mapa </v>
      </c>
      <c r="R978"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La Araucanía,espacio,cultural,infraestructura,ubicación,latitud,longitud,biblioteca,museo,archivo,centro cultural,sala de exposición,galería de arte,cine,casa de la cultura,Agencia Información,Arte y cultura,Ubicación de espacios culturales,Cultura</v>
      </c>
      <c r="S978"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https://analytics.zoho.com/open-view/2395394000008464353?ZOHO_CRITERIA=%22Espacios_Culturales_Completo%201%22.%22C%C3%B3digo_Regi%C3%B3n%22%20%3D%209</v>
      </c>
      <c r="T978" s="108" t="str">
        <f>"100-C-"&amp;Agencia[[#This Row],[Filtro URL]]</f>
        <v>100-C-9</v>
      </c>
      <c r="U978" s="46" t="str">
        <f t="shared" si="393"/>
        <v>#1774B9</v>
      </c>
      <c r="V978" s="93" t="str">
        <f>+Agencia[[#This Row],[idcoleccion]]&amp;"-"&amp;Agencia[[#This Row],[id]]</f>
        <v>990-0967</v>
      </c>
      <c r="W978" s="93">
        <f>+VLOOKUP(Agencia[[#This Row],[Filtro URL]],Estructura!$X$4:$Y$500,2,0)</f>
        <v>99200009</v>
      </c>
      <c r="X978" s="93" t="str">
        <f>+VLOOKUP(Agencia[[#This Row],[tema]],Estructura!$A$4:$C$500,3,0)</f>
        <v>T-1087</v>
      </c>
      <c r="Y978" s="93" t="str">
        <f>+VLOOKUP(Agencia[[#This Row],[contenido]],Estructura!$E$4:$G$500,3,0)</f>
        <v>C-1008</v>
      </c>
      <c r="Z978" s="93" t="str">
        <f>+VLOOKUP(Agencia[[#This Row],[Filtro Integrado]],Estructura!$I$4:$K$500,3,0)</f>
        <v>FI-991</v>
      </c>
      <c r="AA978" s="93" t="str">
        <f>+VLOOKUP(Agencia[[#This Row],[Muestra]],Estructura!$M$4:$O$500,3,0)</f>
        <v>M-1077</v>
      </c>
    </row>
    <row r="979" spans="1:27" ht="72" x14ac:dyDescent="0.3">
      <c r="A979" s="21" t="s">
        <v>1699</v>
      </c>
      <c r="B979" s="23">
        <f t="shared" si="400"/>
        <v>990</v>
      </c>
      <c r="C979" s="24" t="str">
        <f t="shared" si="406"/>
        <v>Agencia Información</v>
      </c>
      <c r="D979" s="72" t="str">
        <f t="shared" si="401"/>
        <v>Arte y cultura</v>
      </c>
      <c r="E979" s="19">
        <v>10</v>
      </c>
      <c r="F979" s="69" t="s">
        <v>5158</v>
      </c>
      <c r="G979" s="18" t="s">
        <v>1896</v>
      </c>
      <c r="H979" s="33" t="s">
        <v>16</v>
      </c>
      <c r="I979" s="34" t="s">
        <v>377</v>
      </c>
      <c r="J979" s="9" t="str">
        <f t="shared" si="407"/>
        <v>Comuna</v>
      </c>
      <c r="K979" s="142" t="s">
        <v>1523</v>
      </c>
      <c r="L979" s="36" t="str">
        <f t="shared" si="402"/>
        <v>Año 2021</v>
      </c>
      <c r="M979" s="9" t="str">
        <f t="shared" si="403"/>
        <v>Lat-Long</v>
      </c>
      <c r="N979" s="9" t="str">
        <f t="shared" si="404"/>
        <v>Observatorio Cultural</v>
      </c>
      <c r="O979" s="41" t="str">
        <f>+"Mapa de Espacios Culturales en la "&amp;I979&amp;", "&amp;Agencia[[#This Row],[temporalidad]]</f>
        <v>Mapa de Espacios Culturales en la Región de Los Lagos, Año 2021</v>
      </c>
      <c r="P979" s="112" t="s">
        <v>5627</v>
      </c>
      <c r="Q979" s="11" t="str">
        <f t="shared" si="405"/>
        <v xml:space="preserve">Mapa </v>
      </c>
      <c r="R979"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Los Lagos,espacio,cultural,infraestructura,ubicación,latitud,longitud,biblioteca,museo,archivo,centro cultural,sala de exposición,galería de arte,cine,casa de la cultura,Agencia Información,Arte y cultura,Ubicación de espacios culturales,Cultura</v>
      </c>
      <c r="S979"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https://analytics.zoho.com/open-view/2395394000008464353?ZOHO_CRITERIA=%22Espacios_Culturales_Completo%201%22.%22C%C3%B3digo_Regi%C3%B3n%22%20%3D%2010</v>
      </c>
      <c r="T979" s="108" t="str">
        <f>"100-C-"&amp;Agencia[[#This Row],[Filtro URL]]</f>
        <v>100-C-10</v>
      </c>
      <c r="U979" s="46" t="str">
        <f t="shared" si="393"/>
        <v>#1774B9</v>
      </c>
      <c r="V979" s="93" t="str">
        <f>+Agencia[[#This Row],[idcoleccion]]&amp;"-"&amp;Agencia[[#This Row],[id]]</f>
        <v>990-0968</v>
      </c>
      <c r="W979" s="93">
        <f>+VLOOKUP(Agencia[[#This Row],[Filtro URL]],Estructura!$X$4:$Y$500,2,0)</f>
        <v>99200010</v>
      </c>
      <c r="X979" s="93" t="str">
        <f>+VLOOKUP(Agencia[[#This Row],[tema]],Estructura!$A$4:$C$500,3,0)</f>
        <v>T-1087</v>
      </c>
      <c r="Y979" s="93" t="str">
        <f>+VLOOKUP(Agencia[[#This Row],[contenido]],Estructura!$E$4:$G$500,3,0)</f>
        <v>C-1008</v>
      </c>
      <c r="Z979" s="93" t="str">
        <f>+VLOOKUP(Agencia[[#This Row],[Filtro Integrado]],Estructura!$I$4:$K$500,3,0)</f>
        <v>FI-991</v>
      </c>
      <c r="AA979" s="93" t="str">
        <f>+VLOOKUP(Agencia[[#This Row],[Muestra]],Estructura!$M$4:$O$500,3,0)</f>
        <v>M-1077</v>
      </c>
    </row>
    <row r="980" spans="1:27" ht="72" x14ac:dyDescent="0.3">
      <c r="A980" s="21" t="s">
        <v>1700</v>
      </c>
      <c r="B980" s="23">
        <f t="shared" si="400"/>
        <v>990</v>
      </c>
      <c r="C980" s="24" t="str">
        <f t="shared" si="406"/>
        <v>Agencia Información</v>
      </c>
      <c r="D980" s="72" t="str">
        <f t="shared" si="401"/>
        <v>Arte y cultura</v>
      </c>
      <c r="E980" s="19">
        <v>11</v>
      </c>
      <c r="F980" s="69" t="s">
        <v>5158</v>
      </c>
      <c r="G980" s="18" t="s">
        <v>1896</v>
      </c>
      <c r="H980" s="33" t="s">
        <v>16</v>
      </c>
      <c r="I980" s="34" t="s">
        <v>378</v>
      </c>
      <c r="J980" s="9" t="str">
        <f t="shared" si="407"/>
        <v>Comuna</v>
      </c>
      <c r="K980" s="142" t="s">
        <v>1523</v>
      </c>
      <c r="L980" s="36" t="str">
        <f t="shared" si="402"/>
        <v>Año 2021</v>
      </c>
      <c r="M980" s="9" t="str">
        <f t="shared" si="403"/>
        <v>Lat-Long</v>
      </c>
      <c r="N980" s="9" t="str">
        <f t="shared" si="404"/>
        <v>Observatorio Cultural</v>
      </c>
      <c r="O980" s="41" t="str">
        <f>+"Mapa de Espacios Culturales en la "&amp;I980&amp;", "&amp;Agencia[[#This Row],[temporalidad]]</f>
        <v>Mapa de Espacios Culturales en la Región de Aysén, Año 2021</v>
      </c>
      <c r="P980" s="112" t="s">
        <v>5628</v>
      </c>
      <c r="Q980" s="11" t="str">
        <f t="shared" si="405"/>
        <v xml:space="preserve">Mapa </v>
      </c>
      <c r="R980"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Aysén,espacio,cultural,infraestructura,ubicación,latitud,longitud,biblioteca,museo,archivo,centro cultural,sala de exposición,galería de arte,cine,casa de la cultura,Agencia Información,Arte y cultura,Ubicación de espacios culturales,Cultura</v>
      </c>
      <c r="S98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https://analytics.zoho.com/open-view/2395394000008464353?ZOHO_CRITERIA=%22Espacios_Culturales_Completo%201%22.%22C%C3%B3digo_Regi%C3%B3n%22%20%3D%2011</v>
      </c>
      <c r="T980" s="108" t="str">
        <f>"100-C-"&amp;Agencia[[#This Row],[Filtro URL]]</f>
        <v>100-C-11</v>
      </c>
      <c r="U980" s="46" t="str">
        <f t="shared" si="393"/>
        <v>#1774B9</v>
      </c>
      <c r="V980" s="93" t="str">
        <f>+Agencia[[#This Row],[idcoleccion]]&amp;"-"&amp;Agencia[[#This Row],[id]]</f>
        <v>990-0969</v>
      </c>
      <c r="W980" s="93">
        <f>+VLOOKUP(Agencia[[#This Row],[Filtro URL]],Estructura!$X$4:$Y$500,2,0)</f>
        <v>99200011</v>
      </c>
      <c r="X980" s="93" t="str">
        <f>+VLOOKUP(Agencia[[#This Row],[tema]],Estructura!$A$4:$C$500,3,0)</f>
        <v>T-1087</v>
      </c>
      <c r="Y980" s="93" t="str">
        <f>+VLOOKUP(Agencia[[#This Row],[contenido]],Estructura!$E$4:$G$500,3,0)</f>
        <v>C-1008</v>
      </c>
      <c r="Z980" s="93" t="str">
        <f>+VLOOKUP(Agencia[[#This Row],[Filtro Integrado]],Estructura!$I$4:$K$500,3,0)</f>
        <v>FI-991</v>
      </c>
      <c r="AA980" s="93" t="str">
        <f>+VLOOKUP(Agencia[[#This Row],[Muestra]],Estructura!$M$4:$O$500,3,0)</f>
        <v>M-1077</v>
      </c>
    </row>
    <row r="981" spans="1:27" ht="72" x14ac:dyDescent="0.3">
      <c r="A981" s="21" t="s">
        <v>1701</v>
      </c>
      <c r="B981" s="23">
        <f t="shared" si="400"/>
        <v>990</v>
      </c>
      <c r="C981" s="24" t="str">
        <f t="shared" si="406"/>
        <v>Agencia Información</v>
      </c>
      <c r="D981" s="72" t="str">
        <f t="shared" si="401"/>
        <v>Arte y cultura</v>
      </c>
      <c r="E981" s="19">
        <v>12</v>
      </c>
      <c r="F981" s="69" t="s">
        <v>5158</v>
      </c>
      <c r="G981" s="18" t="s">
        <v>1896</v>
      </c>
      <c r="H981" s="33" t="s">
        <v>16</v>
      </c>
      <c r="I981" s="34" t="s">
        <v>379</v>
      </c>
      <c r="J981" s="9" t="str">
        <f t="shared" si="407"/>
        <v>Comuna</v>
      </c>
      <c r="K981" s="142" t="s">
        <v>1523</v>
      </c>
      <c r="L981" s="36" t="str">
        <f t="shared" si="402"/>
        <v>Año 2021</v>
      </c>
      <c r="M981" s="9" t="str">
        <f t="shared" si="403"/>
        <v>Lat-Long</v>
      </c>
      <c r="N981" s="9" t="str">
        <f t="shared" si="404"/>
        <v>Observatorio Cultural</v>
      </c>
      <c r="O981" s="41" t="str">
        <f>+"Mapa de Espacios Culturales en la "&amp;I981&amp;", "&amp;Agencia[[#This Row],[temporalidad]]</f>
        <v>Mapa de Espacios Culturales en la Región de Magallanes, Año 2021</v>
      </c>
      <c r="P981" s="112" t="s">
        <v>5629</v>
      </c>
      <c r="Q981" s="11" t="str">
        <f t="shared" si="405"/>
        <v xml:space="preserve">Mapa </v>
      </c>
      <c r="R981"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Magallanes,espacio,cultural,infraestructura,ubicación,latitud,longitud,biblioteca,museo,archivo,centro cultural,sala de exposición,galería de arte,cine,casa de la cultura,Agencia Información,Arte y cultura,Ubicación de espacios culturales,Cultura</v>
      </c>
      <c r="S98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https://analytics.zoho.com/open-view/2395394000008464353?ZOHO_CRITERIA=%22Espacios_Culturales_Completo%201%22.%22C%C3%B3digo_Regi%C3%B3n%22%20%3D%2012</v>
      </c>
      <c r="T981" s="108" t="str">
        <f>"100-C-"&amp;Agencia[[#This Row],[Filtro URL]]</f>
        <v>100-C-12</v>
      </c>
      <c r="U981" s="46" t="str">
        <f t="shared" si="393"/>
        <v>#1774B9</v>
      </c>
      <c r="V981" s="93" t="str">
        <f>+Agencia[[#This Row],[idcoleccion]]&amp;"-"&amp;Agencia[[#This Row],[id]]</f>
        <v>990-0970</v>
      </c>
      <c r="W981" s="93">
        <f>+VLOOKUP(Agencia[[#This Row],[Filtro URL]],Estructura!$X$4:$Y$500,2,0)</f>
        <v>99200012</v>
      </c>
      <c r="X981" s="93" t="str">
        <f>+VLOOKUP(Agencia[[#This Row],[tema]],Estructura!$A$4:$C$500,3,0)</f>
        <v>T-1087</v>
      </c>
      <c r="Y981" s="93" t="str">
        <f>+VLOOKUP(Agencia[[#This Row],[contenido]],Estructura!$E$4:$G$500,3,0)</f>
        <v>C-1008</v>
      </c>
      <c r="Z981" s="93" t="str">
        <f>+VLOOKUP(Agencia[[#This Row],[Filtro Integrado]],Estructura!$I$4:$K$500,3,0)</f>
        <v>FI-991</v>
      </c>
      <c r="AA981" s="93" t="str">
        <f>+VLOOKUP(Agencia[[#This Row],[Muestra]],Estructura!$M$4:$O$500,3,0)</f>
        <v>M-1077</v>
      </c>
    </row>
    <row r="982" spans="1:27" ht="72" x14ac:dyDescent="0.3">
      <c r="A982" s="21" t="s">
        <v>1702</v>
      </c>
      <c r="B982" s="23">
        <f t="shared" si="400"/>
        <v>990</v>
      </c>
      <c r="C982" s="24" t="str">
        <f t="shared" si="406"/>
        <v>Agencia Información</v>
      </c>
      <c r="D982" s="72" t="str">
        <f t="shared" si="401"/>
        <v>Arte y cultura</v>
      </c>
      <c r="E982" s="19">
        <v>13</v>
      </c>
      <c r="F982" s="69" t="s">
        <v>5158</v>
      </c>
      <c r="G982" s="18" t="s">
        <v>1896</v>
      </c>
      <c r="H982" s="33" t="s">
        <v>16</v>
      </c>
      <c r="I982" s="34" t="s">
        <v>380</v>
      </c>
      <c r="J982" s="9" t="str">
        <f t="shared" si="407"/>
        <v>Comuna</v>
      </c>
      <c r="K982" s="142" t="s">
        <v>1523</v>
      </c>
      <c r="L982" s="36" t="str">
        <f t="shared" si="402"/>
        <v>Año 2021</v>
      </c>
      <c r="M982" s="9" t="str">
        <f t="shared" si="403"/>
        <v>Lat-Long</v>
      </c>
      <c r="N982" s="9" t="str">
        <f t="shared" si="404"/>
        <v>Observatorio Cultural</v>
      </c>
      <c r="O982" s="41" t="str">
        <f>+"Mapa de Espacios Culturales en la "&amp;I982&amp;", "&amp;Agencia[[#This Row],[temporalidad]]</f>
        <v>Mapa de Espacios Culturales en la Región Metropolitana, Año 2021</v>
      </c>
      <c r="P982" s="112" t="s">
        <v>5552</v>
      </c>
      <c r="Q982" s="11" t="str">
        <f t="shared" si="405"/>
        <v xml:space="preserve">Mapa </v>
      </c>
      <c r="R982"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Metropolitana,espacio,cultural,infraestructura,ubicación,latitud,longitud,biblioteca,museo,archivo,centro cultural,sala de exposición,galería de arte,cine,casa de la cultura,Agencia Información,Arte y cultura,Ubicación de espacios culturales,Cultura</v>
      </c>
      <c r="S98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https://analytics.zoho.com/open-view/2395394000008464353?ZOHO_CRITERIA=%22Espacios_Culturales_Completo%201%22.%22C%C3%B3digo_Regi%C3%B3n%22%20%3D%2013</v>
      </c>
      <c r="T982" s="108" t="str">
        <f>"200-C-"&amp;Agencia[[#This Row],[Filtro URL]]</f>
        <v>200-C-13</v>
      </c>
      <c r="U982" s="46" t="str">
        <f t="shared" si="393"/>
        <v>#1774B9</v>
      </c>
      <c r="V982" s="93" t="str">
        <f>+Agencia[[#This Row],[idcoleccion]]&amp;"-"&amp;Agencia[[#This Row],[id]]</f>
        <v>990-0971</v>
      </c>
      <c r="W982" s="93">
        <f>+VLOOKUP(Agencia[[#This Row],[Filtro URL]],Estructura!$X$4:$Y$500,2,0)</f>
        <v>99200013</v>
      </c>
      <c r="X982" s="93" t="str">
        <f>+VLOOKUP(Agencia[[#This Row],[tema]],Estructura!$A$4:$C$500,3,0)</f>
        <v>T-1087</v>
      </c>
      <c r="Y982" s="93" t="str">
        <f>+VLOOKUP(Agencia[[#This Row],[contenido]],Estructura!$E$4:$G$500,3,0)</f>
        <v>C-1008</v>
      </c>
      <c r="Z982" s="93" t="str">
        <f>+VLOOKUP(Agencia[[#This Row],[Filtro Integrado]],Estructura!$I$4:$K$500,3,0)</f>
        <v>FI-991</v>
      </c>
      <c r="AA982" s="93" t="str">
        <f>+VLOOKUP(Agencia[[#This Row],[Muestra]],Estructura!$M$4:$O$500,3,0)</f>
        <v>M-1077</v>
      </c>
    </row>
    <row r="983" spans="1:27" ht="72" x14ac:dyDescent="0.3">
      <c r="A983" s="21" t="s">
        <v>1703</v>
      </c>
      <c r="B983" s="23">
        <f t="shared" si="400"/>
        <v>990</v>
      </c>
      <c r="C983" s="24" t="str">
        <f t="shared" si="406"/>
        <v>Agencia Información</v>
      </c>
      <c r="D983" s="72" t="str">
        <f t="shared" si="401"/>
        <v>Arte y cultura</v>
      </c>
      <c r="E983" s="19">
        <v>14</v>
      </c>
      <c r="F983" s="69" t="s">
        <v>5158</v>
      </c>
      <c r="G983" s="18" t="s">
        <v>1896</v>
      </c>
      <c r="H983" s="33" t="s">
        <v>16</v>
      </c>
      <c r="I983" s="34" t="s">
        <v>381</v>
      </c>
      <c r="J983" s="9" t="str">
        <f t="shared" si="407"/>
        <v>Comuna</v>
      </c>
      <c r="K983" s="142" t="s">
        <v>1523</v>
      </c>
      <c r="L983" s="36" t="str">
        <f t="shared" si="402"/>
        <v>Año 2021</v>
      </c>
      <c r="M983" s="9" t="str">
        <f t="shared" si="403"/>
        <v>Lat-Long</v>
      </c>
      <c r="N983" s="9" t="str">
        <f t="shared" si="404"/>
        <v>Observatorio Cultural</v>
      </c>
      <c r="O983" s="41" t="str">
        <f>+"Mapa de Espacios Culturales en la "&amp;I983&amp;", "&amp;Agencia[[#This Row],[temporalidad]]</f>
        <v>Mapa de Espacios Culturales en la Región de Los Ríos, Año 2021</v>
      </c>
      <c r="P983" s="112" t="s">
        <v>5630</v>
      </c>
      <c r="Q983" s="11" t="str">
        <f t="shared" si="405"/>
        <v xml:space="preserve">Mapa </v>
      </c>
      <c r="R983"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Los Ríos,espacio,cultural,infraestructura,ubicación,latitud,longitud,biblioteca,museo,archivo,centro cultural,sala de exposición,galería de arte,cine,casa de la cultura,Agencia Información,Arte y cultura,Ubicación de espacios culturales,Cultura</v>
      </c>
      <c r="S98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https://analytics.zoho.com/open-view/2395394000008464353?ZOHO_CRITERIA=%22Espacios_Culturales_Completo%201%22.%22C%C3%B3digo_Regi%C3%B3n%22%20%3D%2014</v>
      </c>
      <c r="T983" s="108" t="str">
        <f>"100-C-"&amp;Agencia[[#This Row],[Filtro URL]]</f>
        <v>100-C-14</v>
      </c>
      <c r="U983" s="46" t="str">
        <f t="shared" si="393"/>
        <v>#1774B9</v>
      </c>
      <c r="V983" s="93" t="str">
        <f>+Agencia[[#This Row],[idcoleccion]]&amp;"-"&amp;Agencia[[#This Row],[id]]</f>
        <v>990-0972</v>
      </c>
      <c r="W983" s="93">
        <f>+VLOOKUP(Agencia[[#This Row],[Filtro URL]],Estructura!$X$4:$Y$500,2,0)</f>
        <v>99200014</v>
      </c>
      <c r="X983" s="93" t="str">
        <f>+VLOOKUP(Agencia[[#This Row],[tema]],Estructura!$A$4:$C$500,3,0)</f>
        <v>T-1087</v>
      </c>
      <c r="Y983" s="93" t="str">
        <f>+VLOOKUP(Agencia[[#This Row],[contenido]],Estructura!$E$4:$G$500,3,0)</f>
        <v>C-1008</v>
      </c>
      <c r="Z983" s="93" t="str">
        <f>+VLOOKUP(Agencia[[#This Row],[Filtro Integrado]],Estructura!$I$4:$K$500,3,0)</f>
        <v>FI-991</v>
      </c>
      <c r="AA983" s="93" t="str">
        <f>+VLOOKUP(Agencia[[#This Row],[Muestra]],Estructura!$M$4:$O$500,3,0)</f>
        <v>M-1077</v>
      </c>
    </row>
    <row r="984" spans="1:27" ht="72" x14ac:dyDescent="0.3">
      <c r="A984" s="21" t="s">
        <v>1704</v>
      </c>
      <c r="B984" s="23">
        <f t="shared" si="400"/>
        <v>990</v>
      </c>
      <c r="C984" s="24" t="str">
        <f t="shared" si="406"/>
        <v>Agencia Información</v>
      </c>
      <c r="D984" s="72" t="str">
        <f t="shared" si="401"/>
        <v>Arte y cultura</v>
      </c>
      <c r="E984" s="19">
        <v>15</v>
      </c>
      <c r="F984" s="69" t="s">
        <v>5158</v>
      </c>
      <c r="G984" s="18" t="s">
        <v>1896</v>
      </c>
      <c r="H984" s="33" t="s">
        <v>16</v>
      </c>
      <c r="I984" s="34" t="s">
        <v>382</v>
      </c>
      <c r="J984" s="9" t="str">
        <f t="shared" si="407"/>
        <v>Comuna</v>
      </c>
      <c r="K984" s="142" t="s">
        <v>1523</v>
      </c>
      <c r="L984" s="36" t="str">
        <f t="shared" si="402"/>
        <v>Año 2021</v>
      </c>
      <c r="M984" s="9" t="str">
        <f t="shared" si="403"/>
        <v>Lat-Long</v>
      </c>
      <c r="N984" s="9" t="str">
        <f t="shared" si="404"/>
        <v>Observatorio Cultural</v>
      </c>
      <c r="O984" s="41" t="str">
        <f>+"Mapa de Espacios Culturales en la "&amp;I984&amp;", "&amp;Agencia[[#This Row],[temporalidad]]</f>
        <v>Mapa de Espacios Culturales en la Región de Arica y Parinacota, Año 2021</v>
      </c>
      <c r="P984" s="112" t="s">
        <v>5631</v>
      </c>
      <c r="Q984" s="11" t="str">
        <f t="shared" si="405"/>
        <v xml:space="preserve">Mapa </v>
      </c>
      <c r="R984"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Arica y Parinacota,espacio,cultural,infraestructura,ubicación,latitud,longitud,biblioteca,museo,archivo,centro cultural,sala de exposición,galería de arte,cine,casa de la cultura,Agencia Información,Arte y cultura,Ubicación de espacios culturales,Cultura</v>
      </c>
      <c r="S98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https://analytics.zoho.com/open-view/2395394000008464353?ZOHO_CRITERIA=%22Espacios_Culturales_Completo%201%22.%22C%C3%B3digo_Regi%C3%B3n%22%20%3D%2015</v>
      </c>
      <c r="T984" s="108" t="str">
        <f>"100-C-"&amp;Agencia[[#This Row],[Filtro URL]]</f>
        <v>100-C-15</v>
      </c>
      <c r="U984" s="46" t="str">
        <f t="shared" si="393"/>
        <v>#1774B9</v>
      </c>
      <c r="V984" s="93" t="str">
        <f>+Agencia[[#This Row],[idcoleccion]]&amp;"-"&amp;Agencia[[#This Row],[id]]</f>
        <v>990-0973</v>
      </c>
      <c r="W984" s="93">
        <f>+VLOOKUP(Agencia[[#This Row],[Filtro URL]],Estructura!$X$4:$Y$500,2,0)</f>
        <v>99200015</v>
      </c>
      <c r="X984" s="93" t="str">
        <f>+VLOOKUP(Agencia[[#This Row],[tema]],Estructura!$A$4:$C$500,3,0)</f>
        <v>T-1087</v>
      </c>
      <c r="Y984" s="93" t="str">
        <f>+VLOOKUP(Agencia[[#This Row],[contenido]],Estructura!$E$4:$G$500,3,0)</f>
        <v>C-1008</v>
      </c>
      <c r="Z984" s="93" t="str">
        <f>+VLOOKUP(Agencia[[#This Row],[Filtro Integrado]],Estructura!$I$4:$K$500,3,0)</f>
        <v>FI-991</v>
      </c>
      <c r="AA984" s="93" t="str">
        <f>+VLOOKUP(Agencia[[#This Row],[Muestra]],Estructura!$M$4:$O$500,3,0)</f>
        <v>M-1077</v>
      </c>
    </row>
    <row r="985" spans="1:27" ht="72" x14ac:dyDescent="0.3">
      <c r="A985" s="21" t="s">
        <v>1705</v>
      </c>
      <c r="B985" s="23">
        <f t="shared" si="400"/>
        <v>990</v>
      </c>
      <c r="C985" s="24" t="str">
        <f t="shared" si="406"/>
        <v>Agencia Información</v>
      </c>
      <c r="D985" s="72" t="str">
        <f t="shared" si="401"/>
        <v>Arte y cultura</v>
      </c>
      <c r="E985" s="19">
        <v>16</v>
      </c>
      <c r="F985" s="69" t="s">
        <v>5158</v>
      </c>
      <c r="G985" s="18" t="s">
        <v>1896</v>
      </c>
      <c r="H985" s="33" t="s">
        <v>16</v>
      </c>
      <c r="I985" s="34" t="s">
        <v>383</v>
      </c>
      <c r="J985" s="9" t="str">
        <f t="shared" si="407"/>
        <v>Comuna</v>
      </c>
      <c r="K985" s="142" t="s">
        <v>1523</v>
      </c>
      <c r="L985" s="36" t="str">
        <f t="shared" si="402"/>
        <v>Año 2021</v>
      </c>
      <c r="M985" s="9" t="str">
        <f t="shared" si="403"/>
        <v>Lat-Long</v>
      </c>
      <c r="N985" s="9" t="str">
        <f t="shared" si="404"/>
        <v>Observatorio Cultural</v>
      </c>
      <c r="O985" s="41" t="str">
        <f>+"Mapa de Espacios Culturales en la "&amp;I985&amp;", "&amp;Agencia[[#This Row],[temporalidad]]</f>
        <v>Mapa de Espacios Culturales en la Región de Ñuble, Año 2021</v>
      </c>
      <c r="P985" s="112" t="s">
        <v>5632</v>
      </c>
      <c r="Q985" s="11" t="str">
        <f t="shared" si="405"/>
        <v xml:space="preserve">Mapa </v>
      </c>
      <c r="R985" s="148" t="str">
        <f>Agencia[[#This Row],[territorio]]&amp;",espacio,cultural,infraestructura,ubicación,latitud,longitud,biblioteca,museo,archivo,centro cultural,sala de exposición,galería de arte,cine,casa de la cultura,"&amp;Agencia[[#This Row],[coleccion]]&amp;","&amp;Agencia[[#This Row],[sector]]&amp;","&amp;Agencia[[#This Row],[tema]]&amp;","&amp;Agencia[[#This Row],[contenido]]</f>
        <v>Región de Ñuble,espacio,cultural,infraestructura,ubicación,latitud,longitud,biblioteca,museo,archivo,centro cultural,sala de exposición,galería de arte,cine,casa de la cultura,Agencia Información,Arte y cultura,Ubicación de espacios culturales,Cultura</v>
      </c>
      <c r="S98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https://analytics.zoho.com/open-view/2395394000008464353?ZOHO_CRITERIA=%22Espacios_Culturales_Completo%201%22.%22C%C3%B3digo_Regi%C3%B3n%22%20%3D%2016</v>
      </c>
      <c r="T985" s="108" t="str">
        <f>"100-C-"&amp;Agencia[[#This Row],[Filtro URL]]</f>
        <v>100-C-16</v>
      </c>
      <c r="U985" s="46" t="str">
        <f t="shared" si="393"/>
        <v>#1774B9</v>
      </c>
      <c r="V985" s="93" t="str">
        <f>+Agencia[[#This Row],[idcoleccion]]&amp;"-"&amp;Agencia[[#This Row],[id]]</f>
        <v>990-0974</v>
      </c>
      <c r="W985" s="93">
        <f>+VLOOKUP(Agencia[[#This Row],[Filtro URL]],Estructura!$X$4:$Y$500,2,0)</f>
        <v>99200016</v>
      </c>
      <c r="X985" s="93" t="str">
        <f>+VLOOKUP(Agencia[[#This Row],[tema]],Estructura!$A$4:$C$500,3,0)</f>
        <v>T-1087</v>
      </c>
      <c r="Y985" s="93" t="str">
        <f>+VLOOKUP(Agencia[[#This Row],[contenido]],Estructura!$E$4:$G$500,3,0)</f>
        <v>C-1008</v>
      </c>
      <c r="Z985" s="93" t="str">
        <f>+VLOOKUP(Agencia[[#This Row],[Filtro Integrado]],Estructura!$I$4:$K$500,3,0)</f>
        <v>FI-991</v>
      </c>
      <c r="AA985" s="93" t="str">
        <f>+VLOOKUP(Agencia[[#This Row],[Muestra]],Estructura!$M$4:$O$500,3,0)</f>
        <v>M-1077</v>
      </c>
    </row>
    <row r="986" spans="1:27" ht="61.2" x14ac:dyDescent="0.3">
      <c r="A986" s="21" t="s">
        <v>1706</v>
      </c>
      <c r="B986" s="23">
        <f t="shared" si="400"/>
        <v>990</v>
      </c>
      <c r="C986" s="24" t="str">
        <f t="shared" si="406"/>
        <v>Agencia Información</v>
      </c>
      <c r="D986" s="72" t="s">
        <v>459</v>
      </c>
      <c r="E986" s="14">
        <v>0</v>
      </c>
      <c r="F986" s="10" t="s">
        <v>946</v>
      </c>
      <c r="G986" s="18" t="s">
        <v>1897</v>
      </c>
      <c r="H986" s="31" t="s">
        <v>20</v>
      </c>
      <c r="I986" s="32" t="s">
        <v>15</v>
      </c>
      <c r="J986" s="9" t="s">
        <v>16</v>
      </c>
      <c r="K986" s="9" t="s">
        <v>9303</v>
      </c>
      <c r="L986" s="36" t="s">
        <v>945</v>
      </c>
      <c r="M986" s="9" t="s">
        <v>582</v>
      </c>
      <c r="N986" s="9" t="s">
        <v>848</v>
      </c>
      <c r="O986" s="41" t="str">
        <f>+"Población en Control del Programa de Cáncer de Cuello Uterino por Rango Etario en "&amp;I986&amp;", "&amp;Agencia[[#This Row],[temporalidad]]</f>
        <v>Población en Control del Programa de Cáncer de Cuello Uterino por Rango Etario en Chile, Periodo 2011-2018</v>
      </c>
      <c r="P986" s="112" t="s">
        <v>5867</v>
      </c>
      <c r="Q986" s="11" t="s">
        <v>784</v>
      </c>
      <c r="R986" s="20" t="str">
        <f>Agencia[[#This Row],[territorio]]&amp;",cáncer,cuello,uterino,cérvico,útero,PAP,Papanicolaou,casos,control,población,edad,rango,etario,"&amp;Agencia[[#This Row],[coleccion]]&amp;","&amp;Agencia[[#This Row],[sector]]&amp;","&amp;Agencia[[#This Row],[tema]]&amp;","&amp;Agencia[[#This Row],[contenido]]</f>
        <v>Chile,cáncer,cuello,uterino,cérvico,útero,PAP,Papanicolaou,casos,control,población,edad,rango,etario,Agencia Información,Mujeres,Programa de Cáncer de Cuello Uterino,Mujer Salud</v>
      </c>
      <c r="S986" s="37" t="s">
        <v>1548</v>
      </c>
      <c r="T986" s="108" t="s">
        <v>805</v>
      </c>
      <c r="U986" s="46" t="str">
        <f t="shared" si="393"/>
        <v>#1774B9</v>
      </c>
      <c r="V986" s="93" t="str">
        <f>+Agencia[[#This Row],[idcoleccion]]&amp;"-"&amp;Agencia[[#This Row],[id]]</f>
        <v>990-0975</v>
      </c>
      <c r="W986" s="93">
        <f>+VLOOKUP(Agencia[[#This Row],[Filtro URL]],Estructura!$X$4:$Y$500,2,0)</f>
        <v>99100000</v>
      </c>
      <c r="X986" s="93" t="str">
        <f>+VLOOKUP(Agencia[[#This Row],[tema]],Estructura!$A$4:$C$500,3,0)</f>
        <v>T-998</v>
      </c>
      <c r="Y986" s="93" t="str">
        <f>+VLOOKUP(Agencia[[#This Row],[contenido]],Estructura!$E$4:$G$500,3,0)</f>
        <v>C-1009</v>
      </c>
      <c r="Z986" s="93" t="str">
        <f>+VLOOKUP(Agencia[[#This Row],[Filtro Integrado]],Estructura!$I$4:$K$500,3,0)</f>
        <v>FI-992</v>
      </c>
      <c r="AA986" s="93" t="str">
        <f>+VLOOKUP(Agencia[[#This Row],[Muestra]],Estructura!$M$4:$O$500,3,0)</f>
        <v>M-1052</v>
      </c>
    </row>
    <row r="987" spans="1:27" ht="61.2" x14ac:dyDescent="0.3">
      <c r="A987" s="21" t="s">
        <v>1707</v>
      </c>
      <c r="B987" s="23">
        <f t="shared" si="400"/>
        <v>990</v>
      </c>
      <c r="C987" s="24" t="str">
        <f t="shared" si="406"/>
        <v>Agencia Información</v>
      </c>
      <c r="D987" s="72" t="str">
        <f t="shared" ref="D987:D1002" si="408">+D986</f>
        <v>Mujeres</v>
      </c>
      <c r="E987" s="19">
        <v>1</v>
      </c>
      <c r="F987" s="18" t="s">
        <v>946</v>
      </c>
      <c r="G987" s="18" t="s">
        <v>1897</v>
      </c>
      <c r="H987" s="33" t="s">
        <v>16</v>
      </c>
      <c r="I987" s="34" t="s">
        <v>368</v>
      </c>
      <c r="J987" s="9" t="s">
        <v>403</v>
      </c>
      <c r="K987" s="9" t="s">
        <v>9303</v>
      </c>
      <c r="L987" s="36" t="str">
        <f t="shared" ref="L987:L1002" si="409">+L986</f>
        <v>Periodo 2011-2018</v>
      </c>
      <c r="M987" s="9" t="str">
        <f t="shared" ref="M987:M1002" si="410">+M986</f>
        <v>Número de Casos</v>
      </c>
      <c r="N987" s="9" t="str">
        <f t="shared" ref="N987:N1002" si="411">+N986</f>
        <v>Departamento de Estadísticas e Información de la Salud (DEIS) - Ministerio de Salud</v>
      </c>
      <c r="O987" s="41" t="str">
        <f>+"Población en Control del Programa de Cáncer de Cuello Uterino por Rango Etario en la "&amp;I987&amp;", "&amp;Agencia[[#This Row],[temporalidad]]</f>
        <v>Población en Control del Programa de Cáncer de Cuello Uterino por Rango Etario en la Región de Tarapacá, Periodo 2011-2018</v>
      </c>
      <c r="P987" s="112" t="s">
        <v>5887</v>
      </c>
      <c r="Q987" s="11" t="str">
        <f t="shared" si="405"/>
        <v>Gráfico de Evolución</v>
      </c>
      <c r="R987" s="148" t="str">
        <f>Agencia[[#This Row],[territorio]]&amp;",cáncer,cuello,uterino,cérvico,útero,PAP,Papanicolaou,casos,control,población,edad,rango,etario,"&amp;Agencia[[#This Row],[coleccion]]&amp;","&amp;Agencia[[#This Row],[sector]]&amp;","&amp;Agencia[[#This Row],[tema]]&amp;","&amp;Agencia[[#This Row],[contenido]]</f>
        <v>Región de Tarapacá,cáncer,cuello,uterino,cérvico,útero,PAP,Papanicolaou,casos,control,población,edad,rango,etario,Agencia Información,Mujeres,Programa de Cáncer de Cuello Uterino,Mujer Salud</v>
      </c>
      <c r="S987" s="37" t="str">
        <f>HYPERLINK("https://analytics.zoho.com/open-view/2395394000008463005?ZOHO_CRITERIA=%22Localiza%20CL%22.%22Codreg%22%20%3D%20"&amp;Agencia[[#This Row],[Filtro URL]])</f>
        <v>https://analytics.zoho.com/open-view/2395394000008463005?ZOHO_CRITERIA=%22Localiza%20CL%22.%22Codreg%22%20%3D%201</v>
      </c>
      <c r="T987" s="108" t="str">
        <f>"100-R-"&amp;Agencia[[#This Row],[Filtro URL]]</f>
        <v>100-R-1</v>
      </c>
      <c r="U987" s="46" t="str">
        <f t="shared" si="393"/>
        <v>#1774B9</v>
      </c>
      <c r="V987" s="93" t="str">
        <f>+Agencia[[#This Row],[idcoleccion]]&amp;"-"&amp;Agencia[[#This Row],[id]]</f>
        <v>990-0976</v>
      </c>
      <c r="W987" s="93">
        <f>+VLOOKUP(Agencia[[#This Row],[Filtro URL]],Estructura!$X$4:$Y$500,2,0)</f>
        <v>99200001</v>
      </c>
      <c r="X987" s="93" t="str">
        <f>+VLOOKUP(Agencia[[#This Row],[tema]],Estructura!$A$4:$C$500,3,0)</f>
        <v>T-998</v>
      </c>
      <c r="Y987" s="93" t="str">
        <f>+VLOOKUP(Agencia[[#This Row],[contenido]],Estructura!$E$4:$G$500,3,0)</f>
        <v>C-1009</v>
      </c>
      <c r="Z987" s="93" t="str">
        <f>+VLOOKUP(Agencia[[#This Row],[Filtro Integrado]],Estructura!$I$4:$K$500,3,0)</f>
        <v>FI-993</v>
      </c>
      <c r="AA987" s="93" t="str">
        <f>+VLOOKUP(Agencia[[#This Row],[Muestra]],Estructura!$M$4:$O$500,3,0)</f>
        <v>M-1052</v>
      </c>
    </row>
    <row r="988" spans="1:27" ht="61.2" x14ac:dyDescent="0.3">
      <c r="A988" s="21" t="s">
        <v>1708</v>
      </c>
      <c r="B988" s="23">
        <f t="shared" si="400"/>
        <v>990</v>
      </c>
      <c r="C988" s="24" t="str">
        <f t="shared" si="406"/>
        <v>Agencia Información</v>
      </c>
      <c r="D988" s="72" t="str">
        <f t="shared" si="408"/>
        <v>Mujeres</v>
      </c>
      <c r="E988" s="19">
        <v>2</v>
      </c>
      <c r="F988" s="18" t="s">
        <v>946</v>
      </c>
      <c r="G988" s="18" t="s">
        <v>1897</v>
      </c>
      <c r="H988" s="33" t="s">
        <v>16</v>
      </c>
      <c r="I988" s="34" t="s">
        <v>369</v>
      </c>
      <c r="J988" s="9" t="str">
        <f t="shared" ref="J988:J1002" si="412">+J987</f>
        <v>Ninguno</v>
      </c>
      <c r="K988" s="142" t="s">
        <v>9303</v>
      </c>
      <c r="L988" s="36" t="str">
        <f t="shared" si="409"/>
        <v>Periodo 2011-2018</v>
      </c>
      <c r="M988" s="9" t="str">
        <f t="shared" si="410"/>
        <v>Número de Casos</v>
      </c>
      <c r="N988" s="9" t="str">
        <f t="shared" si="411"/>
        <v>Departamento de Estadísticas e Información de la Salud (DEIS) - Ministerio de Salud</v>
      </c>
      <c r="O988" s="41" t="str">
        <f>+"Población en Control del Programa de Cáncer de Cuello Uterino por Rango Etario en la "&amp;I988&amp;", "&amp;Agencia[[#This Row],[temporalidad]]</f>
        <v>Población en Control del Programa de Cáncer de Cuello Uterino por Rango Etario en la Región de Antofagasta, Periodo 2011-2018</v>
      </c>
      <c r="P988" s="112" t="s">
        <v>5889</v>
      </c>
      <c r="Q988" s="11" t="str">
        <f t="shared" si="405"/>
        <v>Gráfico de Evolución</v>
      </c>
      <c r="R988" s="148" t="str">
        <f>Agencia[[#This Row],[territorio]]&amp;",cáncer,cuello,uterino,cérvico,útero,PAP,Papanicolaou,casos,control,población,edad,rango,etario,"&amp;Agencia[[#This Row],[coleccion]]&amp;","&amp;Agencia[[#This Row],[sector]]&amp;","&amp;Agencia[[#This Row],[tema]]&amp;","&amp;Agencia[[#This Row],[contenido]]</f>
        <v>Región de Antofagasta,cáncer,cuello,uterino,cérvico,útero,PAP,Papanicolaou,casos,control,población,edad,rango,etario,Agencia Información,Mujeres,Programa de Cáncer de Cuello Uterino,Mujer Salud</v>
      </c>
      <c r="S988" s="37" t="str">
        <f>HYPERLINK("https://analytics.zoho.com/open-view/2395394000008463005?ZOHO_CRITERIA=%22Localiza%20CL%22.%22Codreg%22%20%3D%20"&amp;Agencia[[#This Row],[Filtro URL]])</f>
        <v>https://analytics.zoho.com/open-view/2395394000008463005?ZOHO_CRITERIA=%22Localiza%20CL%22.%22Codreg%22%20%3D%202</v>
      </c>
      <c r="T988" s="108" t="str">
        <f>"100-R-"&amp;Agencia[[#This Row],[Filtro URL]]</f>
        <v>100-R-2</v>
      </c>
      <c r="U988" s="46" t="str">
        <f t="shared" si="393"/>
        <v>#1774B9</v>
      </c>
      <c r="V988" s="93" t="str">
        <f>+Agencia[[#This Row],[idcoleccion]]&amp;"-"&amp;Agencia[[#This Row],[id]]</f>
        <v>990-0977</v>
      </c>
      <c r="W988" s="93">
        <f>+VLOOKUP(Agencia[[#This Row],[Filtro URL]],Estructura!$X$4:$Y$500,2,0)</f>
        <v>99200002</v>
      </c>
      <c r="X988" s="93" t="str">
        <f>+VLOOKUP(Agencia[[#This Row],[tema]],Estructura!$A$4:$C$500,3,0)</f>
        <v>T-998</v>
      </c>
      <c r="Y988" s="93" t="str">
        <f>+VLOOKUP(Agencia[[#This Row],[contenido]],Estructura!$E$4:$G$500,3,0)</f>
        <v>C-1009</v>
      </c>
      <c r="Z988" s="93" t="str">
        <f>+VLOOKUP(Agencia[[#This Row],[Filtro Integrado]],Estructura!$I$4:$K$500,3,0)</f>
        <v>FI-993</v>
      </c>
      <c r="AA988" s="93" t="str">
        <f>+VLOOKUP(Agencia[[#This Row],[Muestra]],Estructura!$M$4:$O$500,3,0)</f>
        <v>M-1052</v>
      </c>
    </row>
    <row r="989" spans="1:27" ht="61.2" x14ac:dyDescent="0.3">
      <c r="A989" s="21" t="s">
        <v>1709</v>
      </c>
      <c r="B989" s="23">
        <f t="shared" si="400"/>
        <v>990</v>
      </c>
      <c r="C989" s="24" t="str">
        <f t="shared" si="406"/>
        <v>Agencia Información</v>
      </c>
      <c r="D989" s="72" t="str">
        <f t="shared" si="408"/>
        <v>Mujeres</v>
      </c>
      <c r="E989" s="19">
        <v>3</v>
      </c>
      <c r="F989" s="18" t="s">
        <v>946</v>
      </c>
      <c r="G989" s="18" t="s">
        <v>1897</v>
      </c>
      <c r="H989" s="33" t="s">
        <v>16</v>
      </c>
      <c r="I989" s="34" t="s">
        <v>370</v>
      </c>
      <c r="J989" s="9" t="str">
        <f t="shared" si="412"/>
        <v>Ninguno</v>
      </c>
      <c r="K989" s="142" t="s">
        <v>9303</v>
      </c>
      <c r="L989" s="36" t="str">
        <f t="shared" si="409"/>
        <v>Periodo 2011-2018</v>
      </c>
      <c r="M989" s="9" t="str">
        <f t="shared" si="410"/>
        <v>Número de Casos</v>
      </c>
      <c r="N989" s="9" t="str">
        <f t="shared" si="411"/>
        <v>Departamento de Estadísticas e Información de la Salud (DEIS) - Ministerio de Salud</v>
      </c>
      <c r="O989" s="41" t="str">
        <f>+"Población en Control del Programa de Cáncer de Cuello Uterino por Rango Etario en la "&amp;I989&amp;", "&amp;Agencia[[#This Row],[temporalidad]]</f>
        <v>Población en Control del Programa de Cáncer de Cuello Uterino por Rango Etario en la Región de Atacama, Periodo 2011-2018</v>
      </c>
      <c r="P989" s="112" t="s">
        <v>5888</v>
      </c>
      <c r="Q989" s="11" t="str">
        <f t="shared" si="405"/>
        <v>Gráfico de Evolución</v>
      </c>
      <c r="R989" s="148" t="str">
        <f>Agencia[[#This Row],[territorio]]&amp;",cáncer,cuello,uterino,cérvico,útero,PAP,Papanicolaou,casos,control,población,edad,rango,etario,"&amp;Agencia[[#This Row],[coleccion]]&amp;","&amp;Agencia[[#This Row],[sector]]&amp;","&amp;Agencia[[#This Row],[tema]]&amp;","&amp;Agencia[[#This Row],[contenido]]</f>
        <v>Región de Atacama,cáncer,cuello,uterino,cérvico,útero,PAP,Papanicolaou,casos,control,población,edad,rango,etario,Agencia Información,Mujeres,Programa de Cáncer de Cuello Uterino,Mujer Salud</v>
      </c>
      <c r="S989" s="37" t="str">
        <f>HYPERLINK("https://analytics.zoho.com/open-view/2395394000008463005?ZOHO_CRITERIA=%22Localiza%20CL%22.%22Codreg%22%20%3D%20"&amp;Agencia[[#This Row],[Filtro URL]])</f>
        <v>https://analytics.zoho.com/open-view/2395394000008463005?ZOHO_CRITERIA=%22Localiza%20CL%22.%22Codreg%22%20%3D%203</v>
      </c>
      <c r="T989" s="108" t="str">
        <f>"100-R-"&amp;Agencia[[#This Row],[Filtro URL]]</f>
        <v>100-R-3</v>
      </c>
      <c r="U989" s="46" t="str">
        <f t="shared" si="393"/>
        <v>#1774B9</v>
      </c>
      <c r="V989" s="93" t="str">
        <f>+Agencia[[#This Row],[idcoleccion]]&amp;"-"&amp;Agencia[[#This Row],[id]]</f>
        <v>990-0978</v>
      </c>
      <c r="W989" s="93">
        <f>+VLOOKUP(Agencia[[#This Row],[Filtro URL]],Estructura!$X$4:$Y$500,2,0)</f>
        <v>99200003</v>
      </c>
      <c r="X989" s="93" t="str">
        <f>+VLOOKUP(Agencia[[#This Row],[tema]],Estructura!$A$4:$C$500,3,0)</f>
        <v>T-998</v>
      </c>
      <c r="Y989" s="93" t="str">
        <f>+VLOOKUP(Agencia[[#This Row],[contenido]],Estructura!$E$4:$G$500,3,0)</f>
        <v>C-1009</v>
      </c>
      <c r="Z989" s="93" t="str">
        <f>+VLOOKUP(Agencia[[#This Row],[Filtro Integrado]],Estructura!$I$4:$K$500,3,0)</f>
        <v>FI-993</v>
      </c>
      <c r="AA989" s="93" t="str">
        <f>+VLOOKUP(Agencia[[#This Row],[Muestra]],Estructura!$M$4:$O$500,3,0)</f>
        <v>M-1052</v>
      </c>
    </row>
    <row r="990" spans="1:27" ht="61.2" x14ac:dyDescent="0.3">
      <c r="A990" s="21" t="s">
        <v>1710</v>
      </c>
      <c r="B990" s="23">
        <f t="shared" si="400"/>
        <v>990</v>
      </c>
      <c r="C990" s="24" t="str">
        <f t="shared" si="406"/>
        <v>Agencia Información</v>
      </c>
      <c r="D990" s="72" t="str">
        <f t="shared" si="408"/>
        <v>Mujeres</v>
      </c>
      <c r="E990" s="19">
        <v>4</v>
      </c>
      <c r="F990" s="18" t="s">
        <v>946</v>
      </c>
      <c r="G990" s="18" t="s">
        <v>1897</v>
      </c>
      <c r="H990" s="33" t="s">
        <v>16</v>
      </c>
      <c r="I990" s="34" t="s">
        <v>371</v>
      </c>
      <c r="J990" s="9" t="str">
        <f t="shared" si="412"/>
        <v>Ninguno</v>
      </c>
      <c r="K990" s="142" t="s">
        <v>9303</v>
      </c>
      <c r="L990" s="36" t="str">
        <f t="shared" si="409"/>
        <v>Periodo 2011-2018</v>
      </c>
      <c r="M990" s="9" t="str">
        <f t="shared" si="410"/>
        <v>Número de Casos</v>
      </c>
      <c r="N990" s="9" t="str">
        <f t="shared" si="411"/>
        <v>Departamento de Estadísticas e Información de la Salud (DEIS) - Ministerio de Salud</v>
      </c>
      <c r="O990" s="41" t="str">
        <f>+"Población en Control del Programa de Cáncer de Cuello Uterino por Rango Etario en la "&amp;I990&amp;", "&amp;Agencia[[#This Row],[temporalidad]]</f>
        <v>Población en Control del Programa de Cáncer de Cuello Uterino por Rango Etario en la Región de Coquimbo, Periodo 2011-2018</v>
      </c>
      <c r="P990" s="112" t="s">
        <v>5890</v>
      </c>
      <c r="Q990" s="11" t="str">
        <f t="shared" si="405"/>
        <v>Gráfico de Evolución</v>
      </c>
      <c r="R990" s="148" t="str">
        <f>Agencia[[#This Row],[territorio]]&amp;",cáncer,cuello,uterino,cérvico,útero,PAP,Papanicolaou,casos,control,población,edad,rango,etario,"&amp;Agencia[[#This Row],[coleccion]]&amp;","&amp;Agencia[[#This Row],[sector]]&amp;","&amp;Agencia[[#This Row],[tema]]&amp;","&amp;Agencia[[#This Row],[contenido]]</f>
        <v>Región de Coquimbo,cáncer,cuello,uterino,cérvico,útero,PAP,Papanicolaou,casos,control,población,edad,rango,etario,Agencia Información,Mujeres,Programa de Cáncer de Cuello Uterino,Mujer Salud</v>
      </c>
      <c r="S990" s="37" t="str">
        <f>HYPERLINK("https://analytics.zoho.com/open-view/2395394000008463005?ZOHO_CRITERIA=%22Localiza%20CL%22.%22Codreg%22%20%3D%20"&amp;Agencia[[#This Row],[Filtro URL]])</f>
        <v>https://analytics.zoho.com/open-view/2395394000008463005?ZOHO_CRITERIA=%22Localiza%20CL%22.%22Codreg%22%20%3D%204</v>
      </c>
      <c r="T990" s="108" t="str">
        <f>"100-R-"&amp;Agencia[[#This Row],[Filtro URL]]</f>
        <v>100-R-4</v>
      </c>
      <c r="U990" s="46" t="str">
        <f t="shared" si="393"/>
        <v>#1774B9</v>
      </c>
      <c r="V990" s="93" t="str">
        <f>+Agencia[[#This Row],[idcoleccion]]&amp;"-"&amp;Agencia[[#This Row],[id]]</f>
        <v>990-0979</v>
      </c>
      <c r="W990" s="93">
        <f>+VLOOKUP(Agencia[[#This Row],[Filtro URL]],Estructura!$X$4:$Y$500,2,0)</f>
        <v>99200004</v>
      </c>
      <c r="X990" s="93" t="str">
        <f>+VLOOKUP(Agencia[[#This Row],[tema]],Estructura!$A$4:$C$500,3,0)</f>
        <v>T-998</v>
      </c>
      <c r="Y990" s="93" t="str">
        <f>+VLOOKUP(Agencia[[#This Row],[contenido]],Estructura!$E$4:$G$500,3,0)</f>
        <v>C-1009</v>
      </c>
      <c r="Z990" s="93" t="str">
        <f>+VLOOKUP(Agencia[[#This Row],[Filtro Integrado]],Estructura!$I$4:$K$500,3,0)</f>
        <v>FI-993</v>
      </c>
      <c r="AA990" s="93" t="str">
        <f>+VLOOKUP(Agencia[[#This Row],[Muestra]],Estructura!$M$4:$O$500,3,0)</f>
        <v>M-1052</v>
      </c>
    </row>
    <row r="991" spans="1:27" ht="61.2" x14ac:dyDescent="0.3">
      <c r="A991" s="21" t="s">
        <v>1711</v>
      </c>
      <c r="B991" s="23">
        <f t="shared" si="400"/>
        <v>990</v>
      </c>
      <c r="C991" s="24" t="str">
        <f t="shared" si="406"/>
        <v>Agencia Información</v>
      </c>
      <c r="D991" s="72" t="str">
        <f t="shared" si="408"/>
        <v>Mujeres</v>
      </c>
      <c r="E991" s="19">
        <v>5</v>
      </c>
      <c r="F991" s="18" t="s">
        <v>946</v>
      </c>
      <c r="G991" s="18" t="s">
        <v>1897</v>
      </c>
      <c r="H991" s="33" t="s">
        <v>16</v>
      </c>
      <c r="I991" s="34" t="s">
        <v>372</v>
      </c>
      <c r="J991" s="9" t="str">
        <f t="shared" si="412"/>
        <v>Ninguno</v>
      </c>
      <c r="K991" s="142" t="s">
        <v>9303</v>
      </c>
      <c r="L991" s="36" t="str">
        <f t="shared" si="409"/>
        <v>Periodo 2011-2018</v>
      </c>
      <c r="M991" s="9" t="str">
        <f t="shared" si="410"/>
        <v>Número de Casos</v>
      </c>
      <c r="N991" s="9" t="str">
        <f t="shared" si="411"/>
        <v>Departamento de Estadísticas e Información de la Salud (DEIS) - Ministerio de Salud</v>
      </c>
      <c r="O991" s="41" t="str">
        <f>+"Población en Control del Programa de Cáncer de Cuello Uterino por Rango Etario en la "&amp;I991&amp;", "&amp;Agencia[[#This Row],[temporalidad]]</f>
        <v>Población en Control del Programa de Cáncer de Cuello Uterino por Rango Etario en la Región de Valparaíso, Periodo 2011-2018</v>
      </c>
      <c r="P991" s="112" t="s">
        <v>5891</v>
      </c>
      <c r="Q991" s="11" t="str">
        <f t="shared" si="405"/>
        <v>Gráfico de Evolución</v>
      </c>
      <c r="R991" s="148" t="str">
        <f>Agencia[[#This Row],[territorio]]&amp;",cáncer,cuello,uterino,cérvico,útero,PAP,Papanicolaou,casos,control,población,edad,rango,etario,"&amp;Agencia[[#This Row],[coleccion]]&amp;","&amp;Agencia[[#This Row],[sector]]&amp;","&amp;Agencia[[#This Row],[tema]]&amp;","&amp;Agencia[[#This Row],[contenido]]</f>
        <v>Región de Valparaíso,cáncer,cuello,uterino,cérvico,útero,PAP,Papanicolaou,casos,control,población,edad,rango,etario,Agencia Información,Mujeres,Programa de Cáncer de Cuello Uterino,Mujer Salud</v>
      </c>
      <c r="S991" s="37" t="str">
        <f>HYPERLINK("https://analytics.zoho.com/open-view/2395394000008463005?ZOHO_CRITERIA=%22Localiza%20CL%22.%22Codreg%22%20%3D%20"&amp;Agencia[[#This Row],[Filtro URL]])</f>
        <v>https://analytics.zoho.com/open-view/2395394000008463005?ZOHO_CRITERIA=%22Localiza%20CL%22.%22Codreg%22%20%3D%205</v>
      </c>
      <c r="T991" s="108" t="str">
        <f>"100-R-"&amp;Agencia[[#This Row],[Filtro URL]]</f>
        <v>100-R-5</v>
      </c>
      <c r="U991" s="46" t="str">
        <f t="shared" si="393"/>
        <v>#1774B9</v>
      </c>
      <c r="V991" s="93" t="str">
        <f>+Agencia[[#This Row],[idcoleccion]]&amp;"-"&amp;Agencia[[#This Row],[id]]</f>
        <v>990-0980</v>
      </c>
      <c r="W991" s="93">
        <f>+VLOOKUP(Agencia[[#This Row],[Filtro URL]],Estructura!$X$4:$Y$500,2,0)</f>
        <v>99200005</v>
      </c>
      <c r="X991" s="93" t="str">
        <f>+VLOOKUP(Agencia[[#This Row],[tema]],Estructura!$A$4:$C$500,3,0)</f>
        <v>T-998</v>
      </c>
      <c r="Y991" s="93" t="str">
        <f>+VLOOKUP(Agencia[[#This Row],[contenido]],Estructura!$E$4:$G$500,3,0)</f>
        <v>C-1009</v>
      </c>
      <c r="Z991" s="93" t="str">
        <f>+VLOOKUP(Agencia[[#This Row],[Filtro Integrado]],Estructura!$I$4:$K$500,3,0)</f>
        <v>FI-993</v>
      </c>
      <c r="AA991" s="93" t="str">
        <f>+VLOOKUP(Agencia[[#This Row],[Muestra]],Estructura!$M$4:$O$500,3,0)</f>
        <v>M-1052</v>
      </c>
    </row>
    <row r="992" spans="1:27" ht="61.2" x14ac:dyDescent="0.3">
      <c r="A992" s="21" t="s">
        <v>1712</v>
      </c>
      <c r="B992" s="23">
        <f t="shared" si="400"/>
        <v>990</v>
      </c>
      <c r="C992" s="24" t="str">
        <f t="shared" si="406"/>
        <v>Agencia Información</v>
      </c>
      <c r="D992" s="72" t="str">
        <f t="shared" si="408"/>
        <v>Mujeres</v>
      </c>
      <c r="E992" s="19">
        <v>6</v>
      </c>
      <c r="F992" s="18" t="s">
        <v>946</v>
      </c>
      <c r="G992" s="18" t="s">
        <v>1897</v>
      </c>
      <c r="H992" s="33" t="s">
        <v>16</v>
      </c>
      <c r="I992" s="34" t="s">
        <v>373</v>
      </c>
      <c r="J992" s="9" t="str">
        <f t="shared" si="412"/>
        <v>Ninguno</v>
      </c>
      <c r="K992" s="142" t="s">
        <v>9303</v>
      </c>
      <c r="L992" s="36" t="str">
        <f t="shared" si="409"/>
        <v>Periodo 2011-2018</v>
      </c>
      <c r="M992" s="9" t="str">
        <f t="shared" si="410"/>
        <v>Número de Casos</v>
      </c>
      <c r="N992" s="9" t="str">
        <f t="shared" si="411"/>
        <v>Departamento de Estadísticas e Información de la Salud (DEIS) - Ministerio de Salud</v>
      </c>
      <c r="O992" s="41" t="str">
        <f>+"Población en Control del Programa de Cáncer de Cuello Uterino por Rango Etario en la "&amp;I992&amp;", "&amp;Agencia[[#This Row],[temporalidad]]</f>
        <v>Población en Control del Programa de Cáncer de Cuello Uterino por Rango Etario en la Región de O'Higgins, Periodo 2011-2018</v>
      </c>
      <c r="P992" s="112" t="s">
        <v>5892</v>
      </c>
      <c r="Q992" s="11" t="str">
        <f t="shared" si="405"/>
        <v>Gráfico de Evolución</v>
      </c>
      <c r="R992" s="148" t="str">
        <f>Agencia[[#This Row],[territorio]]&amp;",cáncer,cuello,uterino,cérvico,útero,PAP,Papanicolaou,casos,control,población,edad,rango,etario,"&amp;Agencia[[#This Row],[coleccion]]&amp;","&amp;Agencia[[#This Row],[sector]]&amp;","&amp;Agencia[[#This Row],[tema]]&amp;","&amp;Agencia[[#This Row],[contenido]]</f>
        <v>Región de O'Higgins,cáncer,cuello,uterino,cérvico,útero,PAP,Papanicolaou,casos,control,población,edad,rango,etario,Agencia Información,Mujeres,Programa de Cáncer de Cuello Uterino,Mujer Salud</v>
      </c>
      <c r="S992" s="37" t="str">
        <f>HYPERLINK("https://analytics.zoho.com/open-view/2395394000008463005?ZOHO_CRITERIA=%22Localiza%20CL%22.%22Codreg%22%20%3D%20"&amp;Agencia[[#This Row],[Filtro URL]])</f>
        <v>https://analytics.zoho.com/open-view/2395394000008463005?ZOHO_CRITERIA=%22Localiza%20CL%22.%22Codreg%22%20%3D%206</v>
      </c>
      <c r="T992" s="108" t="str">
        <f>"100-R-"&amp;Agencia[[#This Row],[Filtro URL]]</f>
        <v>100-R-6</v>
      </c>
      <c r="U992" s="46" t="str">
        <f t="shared" si="393"/>
        <v>#1774B9</v>
      </c>
      <c r="V992" s="93" t="str">
        <f>+Agencia[[#This Row],[idcoleccion]]&amp;"-"&amp;Agencia[[#This Row],[id]]</f>
        <v>990-0981</v>
      </c>
      <c r="W992" s="93">
        <f>+VLOOKUP(Agencia[[#This Row],[Filtro URL]],Estructura!$X$4:$Y$500,2,0)</f>
        <v>99200006</v>
      </c>
      <c r="X992" s="93" t="str">
        <f>+VLOOKUP(Agencia[[#This Row],[tema]],Estructura!$A$4:$C$500,3,0)</f>
        <v>T-998</v>
      </c>
      <c r="Y992" s="93" t="str">
        <f>+VLOOKUP(Agencia[[#This Row],[contenido]],Estructura!$E$4:$G$500,3,0)</f>
        <v>C-1009</v>
      </c>
      <c r="Z992" s="93" t="str">
        <f>+VLOOKUP(Agencia[[#This Row],[Filtro Integrado]],Estructura!$I$4:$K$500,3,0)</f>
        <v>FI-993</v>
      </c>
      <c r="AA992" s="93" t="str">
        <f>+VLOOKUP(Agencia[[#This Row],[Muestra]],Estructura!$M$4:$O$500,3,0)</f>
        <v>M-1052</v>
      </c>
    </row>
    <row r="993" spans="1:27" ht="57.6" x14ac:dyDescent="0.3">
      <c r="A993" s="21" t="s">
        <v>1713</v>
      </c>
      <c r="B993" s="23">
        <f t="shared" si="400"/>
        <v>990</v>
      </c>
      <c r="C993" s="24" t="str">
        <f t="shared" si="406"/>
        <v>Agencia Información</v>
      </c>
      <c r="D993" s="72" t="str">
        <f t="shared" si="408"/>
        <v>Mujeres</v>
      </c>
      <c r="E993" s="19">
        <v>7</v>
      </c>
      <c r="F993" s="18" t="s">
        <v>946</v>
      </c>
      <c r="G993" s="18" t="s">
        <v>1897</v>
      </c>
      <c r="H993" s="33" t="s">
        <v>16</v>
      </c>
      <c r="I993" s="34" t="s">
        <v>374</v>
      </c>
      <c r="J993" s="9" t="str">
        <f t="shared" si="412"/>
        <v>Ninguno</v>
      </c>
      <c r="K993" s="142" t="s">
        <v>9303</v>
      </c>
      <c r="L993" s="36" t="str">
        <f t="shared" si="409"/>
        <v>Periodo 2011-2018</v>
      </c>
      <c r="M993" s="9" t="str">
        <f t="shared" si="410"/>
        <v>Número de Casos</v>
      </c>
      <c r="N993" s="9" t="str">
        <f t="shared" si="411"/>
        <v>Departamento de Estadísticas e Información de la Salud (DEIS) - Ministerio de Salud</v>
      </c>
      <c r="O993" s="41" t="str">
        <f>+"Población en Control del Programa de Cáncer de Cuello Uterino por Rango Etario en la "&amp;I993&amp;", "&amp;Agencia[[#This Row],[temporalidad]]</f>
        <v>Población en Control del Programa de Cáncer de Cuello Uterino por Rango Etario en la Región de Maule, Periodo 2011-2018</v>
      </c>
      <c r="P993" s="112" t="s">
        <v>5893</v>
      </c>
      <c r="Q993" s="11" t="str">
        <f t="shared" si="405"/>
        <v>Gráfico de Evolución</v>
      </c>
      <c r="R993" s="148" t="str">
        <f>Agencia[[#This Row],[territorio]]&amp;",cáncer,cuello,uterino,cérvico,útero,PAP,Papanicolaou,casos,control,población,edad,rango,etario,"&amp;Agencia[[#This Row],[coleccion]]&amp;","&amp;Agencia[[#This Row],[sector]]&amp;","&amp;Agencia[[#This Row],[tema]]&amp;","&amp;Agencia[[#This Row],[contenido]]</f>
        <v>Región de Maule,cáncer,cuello,uterino,cérvico,útero,PAP,Papanicolaou,casos,control,población,edad,rango,etario,Agencia Información,Mujeres,Programa de Cáncer de Cuello Uterino,Mujer Salud</v>
      </c>
      <c r="S993" s="37" t="str">
        <f>HYPERLINK("https://analytics.zoho.com/open-view/2395394000008463005?ZOHO_CRITERIA=%22Localiza%20CL%22.%22Codreg%22%20%3D%20"&amp;Agencia[[#This Row],[Filtro URL]])</f>
        <v>https://analytics.zoho.com/open-view/2395394000008463005?ZOHO_CRITERIA=%22Localiza%20CL%22.%22Codreg%22%20%3D%207</v>
      </c>
      <c r="T993" s="108" t="str">
        <f>"100-R-"&amp;Agencia[[#This Row],[Filtro URL]]</f>
        <v>100-R-7</v>
      </c>
      <c r="U993" s="46" t="str">
        <f t="shared" si="393"/>
        <v>#1774B9</v>
      </c>
      <c r="V993" s="93" t="str">
        <f>+Agencia[[#This Row],[idcoleccion]]&amp;"-"&amp;Agencia[[#This Row],[id]]</f>
        <v>990-0982</v>
      </c>
      <c r="W993" s="93">
        <f>+VLOOKUP(Agencia[[#This Row],[Filtro URL]],Estructura!$X$4:$Y$500,2,0)</f>
        <v>99200007</v>
      </c>
      <c r="X993" s="93" t="str">
        <f>+VLOOKUP(Agencia[[#This Row],[tema]],Estructura!$A$4:$C$500,3,0)</f>
        <v>T-998</v>
      </c>
      <c r="Y993" s="93" t="str">
        <f>+VLOOKUP(Agencia[[#This Row],[contenido]],Estructura!$E$4:$G$500,3,0)</f>
        <v>C-1009</v>
      </c>
      <c r="Z993" s="93" t="str">
        <f>+VLOOKUP(Agencia[[#This Row],[Filtro Integrado]],Estructura!$I$4:$K$500,3,0)</f>
        <v>FI-993</v>
      </c>
      <c r="AA993" s="93" t="str">
        <f>+VLOOKUP(Agencia[[#This Row],[Muestra]],Estructura!$M$4:$O$500,3,0)</f>
        <v>M-1052</v>
      </c>
    </row>
    <row r="994" spans="1:27" ht="57.6" x14ac:dyDescent="0.3">
      <c r="A994" s="21" t="s">
        <v>1714</v>
      </c>
      <c r="B994" s="23">
        <f t="shared" si="400"/>
        <v>990</v>
      </c>
      <c r="C994" s="24" t="str">
        <f t="shared" si="406"/>
        <v>Agencia Información</v>
      </c>
      <c r="D994" s="72" t="str">
        <f t="shared" si="408"/>
        <v>Mujeres</v>
      </c>
      <c r="E994" s="19">
        <v>8</v>
      </c>
      <c r="F994" s="18" t="s">
        <v>946</v>
      </c>
      <c r="G994" s="18" t="s">
        <v>1897</v>
      </c>
      <c r="H994" s="33" t="s">
        <v>16</v>
      </c>
      <c r="I994" s="34" t="s">
        <v>375</v>
      </c>
      <c r="J994" s="9" t="str">
        <f t="shared" si="412"/>
        <v>Ninguno</v>
      </c>
      <c r="K994" s="142" t="s">
        <v>9303</v>
      </c>
      <c r="L994" s="36" t="str">
        <f t="shared" si="409"/>
        <v>Periodo 2011-2018</v>
      </c>
      <c r="M994" s="9" t="str">
        <f t="shared" si="410"/>
        <v>Número de Casos</v>
      </c>
      <c r="N994" s="9" t="str">
        <f t="shared" si="411"/>
        <v>Departamento de Estadísticas e Información de la Salud (DEIS) - Ministerio de Salud</v>
      </c>
      <c r="O994" s="41" t="str">
        <f>+"Población en Control del Programa de Cáncer de Cuello Uterino por Rango Etario en la "&amp;I994&amp;", "&amp;Agencia[[#This Row],[temporalidad]]</f>
        <v>Población en Control del Programa de Cáncer de Cuello Uterino por Rango Etario en la Región del Biobío, Periodo 2011-2018</v>
      </c>
      <c r="P994" s="112" t="s">
        <v>5894</v>
      </c>
      <c r="Q994" s="11" t="str">
        <f t="shared" si="405"/>
        <v>Gráfico de Evolución</v>
      </c>
      <c r="R994" s="148" t="str">
        <f>Agencia[[#This Row],[territorio]]&amp;",cáncer,cuello,uterino,cérvico,útero,PAP,Papanicolaou,casos,control,población,edad,rango,etario,"&amp;Agencia[[#This Row],[coleccion]]&amp;","&amp;Agencia[[#This Row],[sector]]&amp;","&amp;Agencia[[#This Row],[tema]]&amp;","&amp;Agencia[[#This Row],[contenido]]</f>
        <v>Región del Biobío,cáncer,cuello,uterino,cérvico,útero,PAP,Papanicolaou,casos,control,población,edad,rango,etario,Agencia Información,Mujeres,Programa de Cáncer de Cuello Uterino,Mujer Salud</v>
      </c>
      <c r="S994" s="37" t="str">
        <f>HYPERLINK("https://analytics.zoho.com/open-view/2395394000008463005?ZOHO_CRITERIA=%22Localiza%20CL%22.%22Codreg%22%20%3D%20"&amp;Agencia[[#This Row],[Filtro URL]])</f>
        <v>https://analytics.zoho.com/open-view/2395394000008463005?ZOHO_CRITERIA=%22Localiza%20CL%22.%22Codreg%22%20%3D%208</v>
      </c>
      <c r="T994" s="108" t="str">
        <f>"100-R-"&amp;Agencia[[#This Row],[Filtro URL]]</f>
        <v>100-R-8</v>
      </c>
      <c r="U994" s="46" t="str">
        <f t="shared" si="393"/>
        <v>#1774B9</v>
      </c>
      <c r="V994" s="93" t="str">
        <f>+Agencia[[#This Row],[idcoleccion]]&amp;"-"&amp;Agencia[[#This Row],[id]]</f>
        <v>990-0983</v>
      </c>
      <c r="W994" s="93">
        <f>+VLOOKUP(Agencia[[#This Row],[Filtro URL]],Estructura!$X$4:$Y$500,2,0)</f>
        <v>99200008</v>
      </c>
      <c r="X994" s="93" t="str">
        <f>+VLOOKUP(Agencia[[#This Row],[tema]],Estructura!$A$4:$C$500,3,0)</f>
        <v>T-998</v>
      </c>
      <c r="Y994" s="93" t="str">
        <f>+VLOOKUP(Agencia[[#This Row],[contenido]],Estructura!$E$4:$G$500,3,0)</f>
        <v>C-1009</v>
      </c>
      <c r="Z994" s="93" t="str">
        <f>+VLOOKUP(Agencia[[#This Row],[Filtro Integrado]],Estructura!$I$4:$K$500,3,0)</f>
        <v>FI-993</v>
      </c>
      <c r="AA994" s="93" t="str">
        <f>+VLOOKUP(Agencia[[#This Row],[Muestra]],Estructura!$M$4:$O$500,3,0)</f>
        <v>M-1052</v>
      </c>
    </row>
    <row r="995" spans="1:27" ht="61.2" x14ac:dyDescent="0.3">
      <c r="A995" s="21" t="s">
        <v>1715</v>
      </c>
      <c r="B995" s="23">
        <f t="shared" si="400"/>
        <v>990</v>
      </c>
      <c r="C995" s="24" t="str">
        <f t="shared" si="406"/>
        <v>Agencia Información</v>
      </c>
      <c r="D995" s="72" t="str">
        <f t="shared" si="408"/>
        <v>Mujeres</v>
      </c>
      <c r="E995" s="19">
        <v>9</v>
      </c>
      <c r="F995" s="18" t="s">
        <v>946</v>
      </c>
      <c r="G995" s="18" t="s">
        <v>1897</v>
      </c>
      <c r="H995" s="33" t="s">
        <v>16</v>
      </c>
      <c r="I995" s="34" t="s">
        <v>376</v>
      </c>
      <c r="J995" s="9" t="str">
        <f t="shared" si="412"/>
        <v>Ninguno</v>
      </c>
      <c r="K995" s="142" t="s">
        <v>9303</v>
      </c>
      <c r="L995" s="36" t="str">
        <f t="shared" si="409"/>
        <v>Periodo 2011-2018</v>
      </c>
      <c r="M995" s="9" t="str">
        <f t="shared" si="410"/>
        <v>Número de Casos</v>
      </c>
      <c r="N995" s="9" t="str">
        <f t="shared" si="411"/>
        <v>Departamento de Estadísticas e Información de la Salud (DEIS) - Ministerio de Salud</v>
      </c>
      <c r="O995" s="41" t="str">
        <f>+"Población en Control del Programa de Cáncer de Cuello Uterino por Rango Etario en la "&amp;I995&amp;", "&amp;Agencia[[#This Row],[temporalidad]]</f>
        <v>Población en Control del Programa de Cáncer de Cuello Uterino por Rango Etario en la Región de La Araucanía, Periodo 2011-2018</v>
      </c>
      <c r="P995" s="112" t="s">
        <v>5895</v>
      </c>
      <c r="Q995" s="11" t="str">
        <f t="shared" si="405"/>
        <v>Gráfico de Evolución</v>
      </c>
      <c r="R995" s="148" t="str">
        <f>Agencia[[#This Row],[territorio]]&amp;",cáncer,cuello,uterino,cérvico,útero,PAP,Papanicolaou,casos,control,población,edad,rango,etario,"&amp;Agencia[[#This Row],[coleccion]]&amp;","&amp;Agencia[[#This Row],[sector]]&amp;","&amp;Agencia[[#This Row],[tema]]&amp;","&amp;Agencia[[#This Row],[contenido]]</f>
        <v>Región de La Araucanía,cáncer,cuello,uterino,cérvico,útero,PAP,Papanicolaou,casos,control,población,edad,rango,etario,Agencia Información,Mujeres,Programa de Cáncer de Cuello Uterino,Mujer Salud</v>
      </c>
      <c r="S995" s="37" t="str">
        <f>HYPERLINK("https://analytics.zoho.com/open-view/2395394000008463005?ZOHO_CRITERIA=%22Localiza%20CL%22.%22Codreg%22%20%3D%20"&amp;Agencia[[#This Row],[Filtro URL]])</f>
        <v>https://analytics.zoho.com/open-view/2395394000008463005?ZOHO_CRITERIA=%22Localiza%20CL%22.%22Codreg%22%20%3D%209</v>
      </c>
      <c r="T995" s="108" t="str">
        <f>"100-R-"&amp;Agencia[[#This Row],[Filtro URL]]</f>
        <v>100-R-9</v>
      </c>
      <c r="U995" s="46" t="str">
        <f t="shared" si="393"/>
        <v>#1774B9</v>
      </c>
      <c r="V995" s="93" t="str">
        <f>+Agencia[[#This Row],[idcoleccion]]&amp;"-"&amp;Agencia[[#This Row],[id]]</f>
        <v>990-0984</v>
      </c>
      <c r="W995" s="93">
        <f>+VLOOKUP(Agencia[[#This Row],[Filtro URL]],Estructura!$X$4:$Y$500,2,0)</f>
        <v>99200009</v>
      </c>
      <c r="X995" s="93" t="str">
        <f>+VLOOKUP(Agencia[[#This Row],[tema]],Estructura!$A$4:$C$500,3,0)</f>
        <v>T-998</v>
      </c>
      <c r="Y995" s="93" t="str">
        <f>+VLOOKUP(Agencia[[#This Row],[contenido]],Estructura!$E$4:$G$500,3,0)</f>
        <v>C-1009</v>
      </c>
      <c r="Z995" s="93" t="str">
        <f>+VLOOKUP(Agencia[[#This Row],[Filtro Integrado]],Estructura!$I$4:$K$500,3,0)</f>
        <v>FI-993</v>
      </c>
      <c r="AA995" s="93" t="str">
        <f>+VLOOKUP(Agencia[[#This Row],[Muestra]],Estructura!$M$4:$O$500,3,0)</f>
        <v>M-1052</v>
      </c>
    </row>
    <row r="996" spans="1:27" ht="57.6" x14ac:dyDescent="0.3">
      <c r="A996" s="21" t="s">
        <v>1716</v>
      </c>
      <c r="B996" s="23">
        <f t="shared" si="400"/>
        <v>990</v>
      </c>
      <c r="C996" s="24" t="str">
        <f t="shared" si="406"/>
        <v>Agencia Información</v>
      </c>
      <c r="D996" s="72" t="str">
        <f t="shared" si="408"/>
        <v>Mujeres</v>
      </c>
      <c r="E996" s="19">
        <v>10</v>
      </c>
      <c r="F996" s="18" t="s">
        <v>946</v>
      </c>
      <c r="G996" s="18" t="s">
        <v>1897</v>
      </c>
      <c r="H996" s="33" t="s">
        <v>16</v>
      </c>
      <c r="I996" s="34" t="s">
        <v>377</v>
      </c>
      <c r="J996" s="9" t="str">
        <f t="shared" si="412"/>
        <v>Ninguno</v>
      </c>
      <c r="K996" s="142" t="s">
        <v>9303</v>
      </c>
      <c r="L996" s="36" t="str">
        <f t="shared" si="409"/>
        <v>Periodo 2011-2018</v>
      </c>
      <c r="M996" s="9" t="str">
        <f t="shared" si="410"/>
        <v>Número de Casos</v>
      </c>
      <c r="N996" s="9" t="str">
        <f t="shared" si="411"/>
        <v>Departamento de Estadísticas e Información de la Salud (DEIS) - Ministerio de Salud</v>
      </c>
      <c r="O996" s="41" t="str">
        <f>+"Población en Control del Programa de Cáncer de Cuello Uterino por Rango Etario en la "&amp;I996&amp;", "&amp;Agencia[[#This Row],[temporalidad]]</f>
        <v>Población en Control del Programa de Cáncer de Cuello Uterino por Rango Etario en la Región de Los Lagos, Periodo 2011-2018</v>
      </c>
      <c r="P996" s="112" t="s">
        <v>5896</v>
      </c>
      <c r="Q996" s="11" t="str">
        <f t="shared" si="405"/>
        <v>Gráfico de Evolución</v>
      </c>
      <c r="R996" s="148" t="str">
        <f>Agencia[[#This Row],[territorio]]&amp;",cáncer,cuello,uterino,cérvico,útero,PAP,Papanicolaou,casos,control,población,edad,rango,etario,"&amp;Agencia[[#This Row],[coleccion]]&amp;","&amp;Agencia[[#This Row],[sector]]&amp;","&amp;Agencia[[#This Row],[tema]]&amp;","&amp;Agencia[[#This Row],[contenido]]</f>
        <v>Región de Los Lagos,cáncer,cuello,uterino,cérvico,útero,PAP,Papanicolaou,casos,control,población,edad,rango,etario,Agencia Información,Mujeres,Programa de Cáncer de Cuello Uterino,Mujer Salud</v>
      </c>
      <c r="S996" s="37" t="str">
        <f>HYPERLINK("https://analytics.zoho.com/open-view/2395394000008463005?ZOHO_CRITERIA=%22Localiza%20CL%22.%22Codreg%22%20%3D%20"&amp;Agencia[[#This Row],[Filtro URL]])</f>
        <v>https://analytics.zoho.com/open-view/2395394000008463005?ZOHO_CRITERIA=%22Localiza%20CL%22.%22Codreg%22%20%3D%2010</v>
      </c>
      <c r="T996" s="108" t="str">
        <f>"100-R-"&amp;Agencia[[#This Row],[Filtro URL]]</f>
        <v>100-R-10</v>
      </c>
      <c r="U996" s="46" t="str">
        <f t="shared" si="393"/>
        <v>#1774B9</v>
      </c>
      <c r="V996" s="93" t="str">
        <f>+Agencia[[#This Row],[idcoleccion]]&amp;"-"&amp;Agencia[[#This Row],[id]]</f>
        <v>990-0985</v>
      </c>
      <c r="W996" s="93">
        <f>+VLOOKUP(Agencia[[#This Row],[Filtro URL]],Estructura!$X$4:$Y$500,2,0)</f>
        <v>99200010</v>
      </c>
      <c r="X996" s="93" t="str">
        <f>+VLOOKUP(Agencia[[#This Row],[tema]],Estructura!$A$4:$C$500,3,0)</f>
        <v>T-998</v>
      </c>
      <c r="Y996" s="93" t="str">
        <f>+VLOOKUP(Agencia[[#This Row],[contenido]],Estructura!$E$4:$G$500,3,0)</f>
        <v>C-1009</v>
      </c>
      <c r="Z996" s="93" t="str">
        <f>+VLOOKUP(Agencia[[#This Row],[Filtro Integrado]],Estructura!$I$4:$K$500,3,0)</f>
        <v>FI-993</v>
      </c>
      <c r="AA996" s="93" t="str">
        <f>+VLOOKUP(Agencia[[#This Row],[Muestra]],Estructura!$M$4:$O$500,3,0)</f>
        <v>M-1052</v>
      </c>
    </row>
    <row r="997" spans="1:27" ht="57.6" x14ac:dyDescent="0.3">
      <c r="A997" s="21" t="s">
        <v>1717</v>
      </c>
      <c r="B997" s="23">
        <f t="shared" si="400"/>
        <v>990</v>
      </c>
      <c r="C997" s="24" t="str">
        <f t="shared" si="406"/>
        <v>Agencia Información</v>
      </c>
      <c r="D997" s="72" t="str">
        <f t="shared" si="408"/>
        <v>Mujeres</v>
      </c>
      <c r="E997" s="19">
        <v>11</v>
      </c>
      <c r="F997" s="18" t="s">
        <v>946</v>
      </c>
      <c r="G997" s="18" t="s">
        <v>1897</v>
      </c>
      <c r="H997" s="33" t="s">
        <v>16</v>
      </c>
      <c r="I997" s="34" t="s">
        <v>378</v>
      </c>
      <c r="J997" s="9" t="str">
        <f t="shared" si="412"/>
        <v>Ninguno</v>
      </c>
      <c r="K997" s="142" t="s">
        <v>9303</v>
      </c>
      <c r="L997" s="36" t="str">
        <f t="shared" si="409"/>
        <v>Periodo 2011-2018</v>
      </c>
      <c r="M997" s="9" t="str">
        <f t="shared" si="410"/>
        <v>Número de Casos</v>
      </c>
      <c r="N997" s="9" t="str">
        <f t="shared" si="411"/>
        <v>Departamento de Estadísticas e Información de la Salud (DEIS) - Ministerio de Salud</v>
      </c>
      <c r="O997" s="41" t="str">
        <f>+"Población en Control del Programa de Cáncer de Cuello Uterino por Rango Etario en la "&amp;I997&amp;", "&amp;Agencia[[#This Row],[temporalidad]]</f>
        <v>Población en Control del Programa de Cáncer de Cuello Uterino por Rango Etario en la Región de Aysén, Periodo 2011-2018</v>
      </c>
      <c r="P997" s="112" t="s">
        <v>5897</v>
      </c>
      <c r="Q997" s="11" t="str">
        <f t="shared" si="405"/>
        <v>Gráfico de Evolución</v>
      </c>
      <c r="R997" s="148" t="str">
        <f>Agencia[[#This Row],[territorio]]&amp;",cáncer,cuello,uterino,cérvico,útero,PAP,Papanicolaou,casos,control,población,edad,rango,etario,"&amp;Agencia[[#This Row],[coleccion]]&amp;","&amp;Agencia[[#This Row],[sector]]&amp;","&amp;Agencia[[#This Row],[tema]]&amp;","&amp;Agencia[[#This Row],[contenido]]</f>
        <v>Región de Aysén,cáncer,cuello,uterino,cérvico,útero,PAP,Papanicolaou,casos,control,población,edad,rango,etario,Agencia Información,Mujeres,Programa de Cáncer de Cuello Uterino,Mujer Salud</v>
      </c>
      <c r="S997" s="37" t="str">
        <f>HYPERLINK("https://analytics.zoho.com/open-view/2395394000008463005?ZOHO_CRITERIA=%22Localiza%20CL%22.%22Codreg%22%20%3D%20"&amp;Agencia[[#This Row],[Filtro URL]])</f>
        <v>https://analytics.zoho.com/open-view/2395394000008463005?ZOHO_CRITERIA=%22Localiza%20CL%22.%22Codreg%22%20%3D%2011</v>
      </c>
      <c r="T997" s="108" t="str">
        <f>"100-R-"&amp;Agencia[[#This Row],[Filtro URL]]</f>
        <v>100-R-11</v>
      </c>
      <c r="U997" s="46" t="str">
        <f t="shared" si="393"/>
        <v>#1774B9</v>
      </c>
      <c r="V997" s="93" t="str">
        <f>+Agencia[[#This Row],[idcoleccion]]&amp;"-"&amp;Agencia[[#This Row],[id]]</f>
        <v>990-0986</v>
      </c>
      <c r="W997" s="93">
        <f>+VLOOKUP(Agencia[[#This Row],[Filtro URL]],Estructura!$X$4:$Y$500,2,0)</f>
        <v>99200011</v>
      </c>
      <c r="X997" s="93" t="str">
        <f>+VLOOKUP(Agencia[[#This Row],[tema]],Estructura!$A$4:$C$500,3,0)</f>
        <v>T-998</v>
      </c>
      <c r="Y997" s="93" t="str">
        <f>+VLOOKUP(Agencia[[#This Row],[contenido]],Estructura!$E$4:$G$500,3,0)</f>
        <v>C-1009</v>
      </c>
      <c r="Z997" s="93" t="str">
        <f>+VLOOKUP(Agencia[[#This Row],[Filtro Integrado]],Estructura!$I$4:$K$500,3,0)</f>
        <v>FI-993</v>
      </c>
      <c r="AA997" s="93" t="str">
        <f>+VLOOKUP(Agencia[[#This Row],[Muestra]],Estructura!$M$4:$O$500,3,0)</f>
        <v>M-1052</v>
      </c>
    </row>
    <row r="998" spans="1:27" ht="61.2" x14ac:dyDescent="0.3">
      <c r="A998" s="21" t="s">
        <v>1718</v>
      </c>
      <c r="B998" s="23">
        <f t="shared" si="400"/>
        <v>990</v>
      </c>
      <c r="C998" s="24" t="str">
        <f t="shared" si="406"/>
        <v>Agencia Información</v>
      </c>
      <c r="D998" s="72" t="str">
        <f t="shared" si="408"/>
        <v>Mujeres</v>
      </c>
      <c r="E998" s="19">
        <v>12</v>
      </c>
      <c r="F998" s="18" t="s">
        <v>946</v>
      </c>
      <c r="G998" s="18" t="s">
        <v>1897</v>
      </c>
      <c r="H998" s="33" t="s">
        <v>16</v>
      </c>
      <c r="I998" s="34" t="s">
        <v>379</v>
      </c>
      <c r="J998" s="9" t="str">
        <f t="shared" si="412"/>
        <v>Ninguno</v>
      </c>
      <c r="K998" s="142" t="s">
        <v>9303</v>
      </c>
      <c r="L998" s="36" t="str">
        <f t="shared" si="409"/>
        <v>Periodo 2011-2018</v>
      </c>
      <c r="M998" s="9" t="str">
        <f t="shared" si="410"/>
        <v>Número de Casos</v>
      </c>
      <c r="N998" s="9" t="str">
        <f t="shared" si="411"/>
        <v>Departamento de Estadísticas e Información de la Salud (DEIS) - Ministerio de Salud</v>
      </c>
      <c r="O998" s="41" t="str">
        <f>+"Población en Control del Programa de Cáncer de Cuello Uterino por Rango Etario en la "&amp;I998&amp;", "&amp;Agencia[[#This Row],[temporalidad]]</f>
        <v>Población en Control del Programa de Cáncer de Cuello Uterino por Rango Etario en la Región de Magallanes, Periodo 2011-2018</v>
      </c>
      <c r="P998" s="112" t="s">
        <v>5898</v>
      </c>
      <c r="Q998" s="11" t="str">
        <f t="shared" si="405"/>
        <v>Gráfico de Evolución</v>
      </c>
      <c r="R998" s="148" t="str">
        <f>Agencia[[#This Row],[territorio]]&amp;",cáncer,cuello,uterino,cérvico,útero,PAP,Papanicolaou,casos,control,población,edad,rango,etario,"&amp;Agencia[[#This Row],[coleccion]]&amp;","&amp;Agencia[[#This Row],[sector]]&amp;","&amp;Agencia[[#This Row],[tema]]&amp;","&amp;Agencia[[#This Row],[contenido]]</f>
        <v>Región de Magallanes,cáncer,cuello,uterino,cérvico,útero,PAP,Papanicolaou,casos,control,población,edad,rango,etario,Agencia Información,Mujeres,Programa de Cáncer de Cuello Uterino,Mujer Salud</v>
      </c>
      <c r="S998" s="37" t="str">
        <f>HYPERLINK("https://analytics.zoho.com/open-view/2395394000008463005?ZOHO_CRITERIA=%22Localiza%20CL%22.%22Codreg%22%20%3D%20"&amp;Agencia[[#This Row],[Filtro URL]])</f>
        <v>https://analytics.zoho.com/open-view/2395394000008463005?ZOHO_CRITERIA=%22Localiza%20CL%22.%22Codreg%22%20%3D%2012</v>
      </c>
      <c r="T998" s="108" t="str">
        <f>"100-R-"&amp;Agencia[[#This Row],[Filtro URL]]</f>
        <v>100-R-12</v>
      </c>
      <c r="U998" s="46" t="str">
        <f t="shared" si="393"/>
        <v>#1774B9</v>
      </c>
      <c r="V998" s="93" t="str">
        <f>+Agencia[[#This Row],[idcoleccion]]&amp;"-"&amp;Agencia[[#This Row],[id]]</f>
        <v>990-0987</v>
      </c>
      <c r="W998" s="93">
        <f>+VLOOKUP(Agencia[[#This Row],[Filtro URL]],Estructura!$X$4:$Y$500,2,0)</f>
        <v>99200012</v>
      </c>
      <c r="X998" s="93" t="str">
        <f>+VLOOKUP(Agencia[[#This Row],[tema]],Estructura!$A$4:$C$500,3,0)</f>
        <v>T-998</v>
      </c>
      <c r="Y998" s="93" t="str">
        <f>+VLOOKUP(Agencia[[#This Row],[contenido]],Estructura!$E$4:$G$500,3,0)</f>
        <v>C-1009</v>
      </c>
      <c r="Z998" s="93" t="str">
        <f>+VLOOKUP(Agencia[[#This Row],[Filtro Integrado]],Estructura!$I$4:$K$500,3,0)</f>
        <v>FI-993</v>
      </c>
      <c r="AA998" s="93" t="str">
        <f>+VLOOKUP(Agencia[[#This Row],[Muestra]],Estructura!$M$4:$O$500,3,0)</f>
        <v>M-1052</v>
      </c>
    </row>
    <row r="999" spans="1:27" ht="61.2" x14ac:dyDescent="0.3">
      <c r="A999" s="21" t="s">
        <v>1719</v>
      </c>
      <c r="B999" s="23">
        <f t="shared" si="400"/>
        <v>990</v>
      </c>
      <c r="C999" s="24" t="str">
        <f t="shared" si="406"/>
        <v>Agencia Información</v>
      </c>
      <c r="D999" s="72" t="str">
        <f t="shared" si="408"/>
        <v>Mujeres</v>
      </c>
      <c r="E999" s="19">
        <v>13</v>
      </c>
      <c r="F999" s="18" t="s">
        <v>946</v>
      </c>
      <c r="G999" s="18" t="s">
        <v>1897</v>
      </c>
      <c r="H999" s="33" t="s">
        <v>16</v>
      </c>
      <c r="I999" s="34" t="s">
        <v>380</v>
      </c>
      <c r="J999" s="9" t="str">
        <f t="shared" si="412"/>
        <v>Ninguno</v>
      </c>
      <c r="K999" s="142" t="s">
        <v>9303</v>
      </c>
      <c r="L999" s="36" t="str">
        <f t="shared" si="409"/>
        <v>Periodo 2011-2018</v>
      </c>
      <c r="M999" s="9" t="str">
        <f t="shared" si="410"/>
        <v>Número de Casos</v>
      </c>
      <c r="N999" s="9" t="str">
        <f t="shared" si="411"/>
        <v>Departamento de Estadísticas e Información de la Salud (DEIS) - Ministerio de Salud</v>
      </c>
      <c r="O999" s="41" t="str">
        <f>+"Población en Control del Programa de Cáncer de Cuello Uterino por Rango Etario en la "&amp;I999&amp;", "&amp;Agencia[[#This Row],[temporalidad]]</f>
        <v>Población en Control del Programa de Cáncer de Cuello Uterino por Rango Etario en la Región Metropolitana, Periodo 2011-2018</v>
      </c>
      <c r="P999" s="112" t="s">
        <v>5899</v>
      </c>
      <c r="Q999" s="11" t="str">
        <f t="shared" si="405"/>
        <v>Gráfico de Evolución</v>
      </c>
      <c r="R999" s="148" t="str">
        <f>Agencia[[#This Row],[territorio]]&amp;",cáncer,cuello,uterino,cérvico,útero,PAP,Papanicolaou,casos,control,población,edad,rango,etario,"&amp;Agencia[[#This Row],[coleccion]]&amp;","&amp;Agencia[[#This Row],[sector]]&amp;","&amp;Agencia[[#This Row],[tema]]&amp;","&amp;Agencia[[#This Row],[contenido]]</f>
        <v>Región Metropolitana,cáncer,cuello,uterino,cérvico,útero,PAP,Papanicolaou,casos,control,población,edad,rango,etario,Agencia Información,Mujeres,Programa de Cáncer de Cuello Uterino,Mujer Salud</v>
      </c>
      <c r="S999" s="37" t="str">
        <f>HYPERLINK("https://analytics.zoho.com/open-view/2395394000008463005?ZOHO_CRITERIA=%22Localiza%20CL%22.%22Codreg%22%20%3D%20"&amp;Agencia[[#This Row],[Filtro URL]])</f>
        <v>https://analytics.zoho.com/open-view/2395394000008463005?ZOHO_CRITERIA=%22Localiza%20CL%22.%22Codreg%22%20%3D%2013</v>
      </c>
      <c r="T999" s="108" t="str">
        <f>"200-R-"&amp;Agencia[[#This Row],[Filtro URL]]</f>
        <v>200-R-13</v>
      </c>
      <c r="U999" s="46" t="str">
        <f t="shared" si="393"/>
        <v>#1774B9</v>
      </c>
      <c r="V999" s="93" t="str">
        <f>+Agencia[[#This Row],[idcoleccion]]&amp;"-"&amp;Agencia[[#This Row],[id]]</f>
        <v>990-0988</v>
      </c>
      <c r="W999" s="93">
        <f>+VLOOKUP(Agencia[[#This Row],[Filtro URL]],Estructura!$X$4:$Y$500,2,0)</f>
        <v>99200013</v>
      </c>
      <c r="X999" s="93" t="str">
        <f>+VLOOKUP(Agencia[[#This Row],[tema]],Estructura!$A$4:$C$500,3,0)</f>
        <v>T-998</v>
      </c>
      <c r="Y999" s="93" t="str">
        <f>+VLOOKUP(Agencia[[#This Row],[contenido]],Estructura!$E$4:$G$500,3,0)</f>
        <v>C-1009</v>
      </c>
      <c r="Z999" s="93" t="str">
        <f>+VLOOKUP(Agencia[[#This Row],[Filtro Integrado]],Estructura!$I$4:$K$500,3,0)</f>
        <v>FI-993</v>
      </c>
      <c r="AA999" s="93" t="str">
        <f>+VLOOKUP(Agencia[[#This Row],[Muestra]],Estructura!$M$4:$O$500,3,0)</f>
        <v>M-1052</v>
      </c>
    </row>
    <row r="1000" spans="1:27" ht="57.6" x14ac:dyDescent="0.3">
      <c r="A1000" s="21" t="s">
        <v>1720</v>
      </c>
      <c r="B1000" s="23">
        <f t="shared" si="400"/>
        <v>990</v>
      </c>
      <c r="C1000" s="24" t="str">
        <f t="shared" si="406"/>
        <v>Agencia Información</v>
      </c>
      <c r="D1000" s="72" t="str">
        <f t="shared" si="408"/>
        <v>Mujeres</v>
      </c>
      <c r="E1000" s="19">
        <v>14</v>
      </c>
      <c r="F1000" s="18" t="s">
        <v>946</v>
      </c>
      <c r="G1000" s="18" t="s">
        <v>1897</v>
      </c>
      <c r="H1000" s="33" t="s">
        <v>16</v>
      </c>
      <c r="I1000" s="34" t="s">
        <v>381</v>
      </c>
      <c r="J1000" s="9" t="str">
        <f t="shared" si="412"/>
        <v>Ninguno</v>
      </c>
      <c r="K1000" s="142" t="s">
        <v>9303</v>
      </c>
      <c r="L1000" s="36" t="str">
        <f t="shared" si="409"/>
        <v>Periodo 2011-2018</v>
      </c>
      <c r="M1000" s="9" t="str">
        <f t="shared" si="410"/>
        <v>Número de Casos</v>
      </c>
      <c r="N1000" s="9" t="str">
        <f t="shared" si="411"/>
        <v>Departamento de Estadísticas e Información de la Salud (DEIS) - Ministerio de Salud</v>
      </c>
      <c r="O1000" s="41" t="str">
        <f>+"Población en Control del Programa de Cáncer de Cuello Uterino por Rango Etario en la "&amp;I1000&amp;", "&amp;Agencia[[#This Row],[temporalidad]]</f>
        <v>Población en Control del Programa de Cáncer de Cuello Uterino por Rango Etario en la Región de Los Ríos, Periodo 2011-2018</v>
      </c>
      <c r="P1000" s="112" t="s">
        <v>5900</v>
      </c>
      <c r="Q1000" s="11" t="str">
        <f t="shared" si="405"/>
        <v>Gráfico de Evolución</v>
      </c>
      <c r="R1000" s="148" t="str">
        <f>Agencia[[#This Row],[territorio]]&amp;",cáncer,cuello,uterino,cérvico,útero,PAP,Papanicolaou,casos,control,población,edad,rango,etario,"&amp;Agencia[[#This Row],[coleccion]]&amp;","&amp;Agencia[[#This Row],[sector]]&amp;","&amp;Agencia[[#This Row],[tema]]&amp;","&amp;Agencia[[#This Row],[contenido]]</f>
        <v>Región de Los Ríos,cáncer,cuello,uterino,cérvico,útero,PAP,Papanicolaou,casos,control,población,edad,rango,etario,Agencia Información,Mujeres,Programa de Cáncer de Cuello Uterino,Mujer Salud</v>
      </c>
      <c r="S1000" s="37" t="str">
        <f>HYPERLINK("https://analytics.zoho.com/open-view/2395394000008463005?ZOHO_CRITERIA=%22Localiza%20CL%22.%22Codreg%22%20%3D%20"&amp;Agencia[[#This Row],[Filtro URL]])</f>
        <v>https://analytics.zoho.com/open-view/2395394000008463005?ZOHO_CRITERIA=%22Localiza%20CL%22.%22Codreg%22%20%3D%2014</v>
      </c>
      <c r="T1000" s="108" t="str">
        <f>"100-R-"&amp;Agencia[[#This Row],[Filtro URL]]</f>
        <v>100-R-14</v>
      </c>
      <c r="U1000" s="46" t="str">
        <f t="shared" si="393"/>
        <v>#1774B9</v>
      </c>
      <c r="V1000" s="93" t="str">
        <f>+Agencia[[#This Row],[idcoleccion]]&amp;"-"&amp;Agencia[[#This Row],[id]]</f>
        <v>990-0989</v>
      </c>
      <c r="W1000" s="93">
        <f>+VLOOKUP(Agencia[[#This Row],[Filtro URL]],Estructura!$X$4:$Y$500,2,0)</f>
        <v>99200014</v>
      </c>
      <c r="X1000" s="93" t="str">
        <f>+VLOOKUP(Agencia[[#This Row],[tema]],Estructura!$A$4:$C$500,3,0)</f>
        <v>T-998</v>
      </c>
      <c r="Y1000" s="93" t="str">
        <f>+VLOOKUP(Agencia[[#This Row],[contenido]],Estructura!$E$4:$G$500,3,0)</f>
        <v>C-1009</v>
      </c>
      <c r="Z1000" s="93" t="str">
        <f>+VLOOKUP(Agencia[[#This Row],[Filtro Integrado]],Estructura!$I$4:$K$500,3,0)</f>
        <v>FI-993</v>
      </c>
      <c r="AA1000" s="93" t="str">
        <f>+VLOOKUP(Agencia[[#This Row],[Muestra]],Estructura!$M$4:$O$500,3,0)</f>
        <v>M-1052</v>
      </c>
    </row>
    <row r="1001" spans="1:27" ht="61.2" x14ac:dyDescent="0.3">
      <c r="A1001" s="21" t="s">
        <v>1721</v>
      </c>
      <c r="B1001" s="23">
        <f t="shared" si="400"/>
        <v>990</v>
      </c>
      <c r="C1001" s="24" t="str">
        <f t="shared" si="406"/>
        <v>Agencia Información</v>
      </c>
      <c r="D1001" s="72" t="str">
        <f t="shared" si="408"/>
        <v>Mujeres</v>
      </c>
      <c r="E1001" s="19">
        <v>15</v>
      </c>
      <c r="F1001" s="18" t="s">
        <v>946</v>
      </c>
      <c r="G1001" s="18" t="s">
        <v>1897</v>
      </c>
      <c r="H1001" s="33" t="s">
        <v>16</v>
      </c>
      <c r="I1001" s="34" t="s">
        <v>382</v>
      </c>
      <c r="J1001" s="9" t="str">
        <f t="shared" si="412"/>
        <v>Ninguno</v>
      </c>
      <c r="K1001" s="142" t="s">
        <v>9303</v>
      </c>
      <c r="L1001" s="36" t="str">
        <f t="shared" si="409"/>
        <v>Periodo 2011-2018</v>
      </c>
      <c r="M1001" s="9" t="str">
        <f t="shared" si="410"/>
        <v>Número de Casos</v>
      </c>
      <c r="N1001" s="9" t="str">
        <f t="shared" si="411"/>
        <v>Departamento de Estadísticas e Información de la Salud (DEIS) - Ministerio de Salud</v>
      </c>
      <c r="O1001" s="41" t="str">
        <f>+"Población en Control del Programa de Cáncer de Cuello Uterino por Rango Etario en la "&amp;I1001&amp;", "&amp;Agencia[[#This Row],[temporalidad]]</f>
        <v>Población en Control del Programa de Cáncer de Cuello Uterino por Rango Etario en la Región de Arica y Parinacota, Periodo 2011-2018</v>
      </c>
      <c r="P1001" s="112" t="s">
        <v>5901</v>
      </c>
      <c r="Q1001" s="11" t="str">
        <f t="shared" si="405"/>
        <v>Gráfico de Evolución</v>
      </c>
      <c r="R1001" s="148" t="str">
        <f>Agencia[[#This Row],[territorio]]&amp;",cáncer,cuello,uterino,cérvico,útero,PAP,Papanicolaou,casos,control,población,edad,rango,etario,"&amp;Agencia[[#This Row],[coleccion]]&amp;","&amp;Agencia[[#This Row],[sector]]&amp;","&amp;Agencia[[#This Row],[tema]]&amp;","&amp;Agencia[[#This Row],[contenido]]</f>
        <v>Región de Arica y Parinacota,cáncer,cuello,uterino,cérvico,útero,PAP,Papanicolaou,casos,control,población,edad,rango,etario,Agencia Información,Mujeres,Programa de Cáncer de Cuello Uterino,Mujer Salud</v>
      </c>
      <c r="S1001" s="37" t="str">
        <f>HYPERLINK("https://analytics.zoho.com/open-view/2395394000008463005?ZOHO_CRITERIA=%22Localiza%20CL%22.%22Codreg%22%20%3D%20"&amp;Agencia[[#This Row],[Filtro URL]])</f>
        <v>https://analytics.zoho.com/open-view/2395394000008463005?ZOHO_CRITERIA=%22Localiza%20CL%22.%22Codreg%22%20%3D%2015</v>
      </c>
      <c r="T1001" s="108" t="str">
        <f>"100-R-"&amp;Agencia[[#This Row],[Filtro URL]]</f>
        <v>100-R-15</v>
      </c>
      <c r="U1001" s="46" t="str">
        <f t="shared" si="393"/>
        <v>#1774B9</v>
      </c>
      <c r="V1001" s="93" t="str">
        <f>+Agencia[[#This Row],[idcoleccion]]&amp;"-"&amp;Agencia[[#This Row],[id]]</f>
        <v>990-0990</v>
      </c>
      <c r="W1001" s="93">
        <f>+VLOOKUP(Agencia[[#This Row],[Filtro URL]],Estructura!$X$4:$Y$500,2,0)</f>
        <v>99200015</v>
      </c>
      <c r="X1001" s="93" t="str">
        <f>+VLOOKUP(Agencia[[#This Row],[tema]],Estructura!$A$4:$C$500,3,0)</f>
        <v>T-998</v>
      </c>
      <c r="Y1001" s="93" t="str">
        <f>+VLOOKUP(Agencia[[#This Row],[contenido]],Estructura!$E$4:$G$500,3,0)</f>
        <v>C-1009</v>
      </c>
      <c r="Z1001" s="93" t="str">
        <f>+VLOOKUP(Agencia[[#This Row],[Filtro Integrado]],Estructura!$I$4:$K$500,3,0)</f>
        <v>FI-993</v>
      </c>
      <c r="AA1001" s="93" t="str">
        <f>+VLOOKUP(Agencia[[#This Row],[Muestra]],Estructura!$M$4:$O$500,3,0)</f>
        <v>M-1052</v>
      </c>
    </row>
    <row r="1002" spans="1:27" ht="57.6" x14ac:dyDescent="0.3">
      <c r="A1002" s="21" t="s">
        <v>1722</v>
      </c>
      <c r="B1002" s="23">
        <f t="shared" si="400"/>
        <v>990</v>
      </c>
      <c r="C1002" s="24" t="str">
        <f t="shared" si="406"/>
        <v>Agencia Información</v>
      </c>
      <c r="D1002" s="72" t="str">
        <f t="shared" si="408"/>
        <v>Mujeres</v>
      </c>
      <c r="E1002" s="19">
        <v>16</v>
      </c>
      <c r="F1002" s="18" t="s">
        <v>946</v>
      </c>
      <c r="G1002" s="18" t="s">
        <v>1897</v>
      </c>
      <c r="H1002" s="33" t="s">
        <v>16</v>
      </c>
      <c r="I1002" s="34" t="s">
        <v>383</v>
      </c>
      <c r="J1002" s="9" t="str">
        <f t="shared" si="412"/>
        <v>Ninguno</v>
      </c>
      <c r="K1002" s="142" t="s">
        <v>9303</v>
      </c>
      <c r="L1002" s="36" t="str">
        <f t="shared" si="409"/>
        <v>Periodo 2011-2018</v>
      </c>
      <c r="M1002" s="9" t="str">
        <f t="shared" si="410"/>
        <v>Número de Casos</v>
      </c>
      <c r="N1002" s="9" t="str">
        <f t="shared" si="411"/>
        <v>Departamento de Estadísticas e Información de la Salud (DEIS) - Ministerio de Salud</v>
      </c>
      <c r="O1002" s="41" t="str">
        <f>+"Población en Control del Programa de Cáncer de Cuello Uterino por Rango Etario en la "&amp;I1002&amp;", "&amp;Agencia[[#This Row],[temporalidad]]</f>
        <v>Población en Control del Programa de Cáncer de Cuello Uterino por Rango Etario en la Región de Ñuble, Periodo 2011-2018</v>
      </c>
      <c r="P1002" s="112" t="s">
        <v>5902</v>
      </c>
      <c r="Q1002" s="11" t="str">
        <f t="shared" si="405"/>
        <v>Gráfico de Evolución</v>
      </c>
      <c r="R1002" s="148" t="str">
        <f>Agencia[[#This Row],[territorio]]&amp;",cáncer,cuello,uterino,cérvico,útero,PAP,Papanicolaou,casos,control,población,edad,rango,etario,"&amp;Agencia[[#This Row],[coleccion]]&amp;","&amp;Agencia[[#This Row],[sector]]&amp;","&amp;Agencia[[#This Row],[tema]]&amp;","&amp;Agencia[[#This Row],[contenido]]</f>
        <v>Región de Ñuble,cáncer,cuello,uterino,cérvico,útero,PAP,Papanicolaou,casos,control,población,edad,rango,etario,Agencia Información,Mujeres,Programa de Cáncer de Cuello Uterino,Mujer Salud</v>
      </c>
      <c r="S1002" s="37" t="str">
        <f>HYPERLINK("https://analytics.zoho.com/open-view/2395394000008463005?ZOHO_CRITERIA=%22Localiza%20CL%22.%22Codreg%22%20%3D%20"&amp;Agencia[[#This Row],[Filtro URL]])</f>
        <v>https://analytics.zoho.com/open-view/2395394000008463005?ZOHO_CRITERIA=%22Localiza%20CL%22.%22Codreg%22%20%3D%2016</v>
      </c>
      <c r="T1002" s="108" t="str">
        <f>"100-R-"&amp;Agencia[[#This Row],[Filtro URL]]</f>
        <v>100-R-16</v>
      </c>
      <c r="U1002" s="46" t="str">
        <f>+U1001</f>
        <v>#1774B9</v>
      </c>
      <c r="V1002" s="93" t="str">
        <f>+Agencia[[#This Row],[idcoleccion]]&amp;"-"&amp;Agencia[[#This Row],[id]]</f>
        <v>990-0991</v>
      </c>
      <c r="W1002" s="93">
        <f>+VLOOKUP(Agencia[[#This Row],[Filtro URL]],Estructura!$X$4:$Y$500,2,0)</f>
        <v>99200016</v>
      </c>
      <c r="X1002" s="93" t="str">
        <f>+VLOOKUP(Agencia[[#This Row],[tema]],Estructura!$A$4:$C$500,3,0)</f>
        <v>T-998</v>
      </c>
      <c r="Y1002" s="93" t="str">
        <f>+VLOOKUP(Agencia[[#This Row],[contenido]],Estructura!$E$4:$G$500,3,0)</f>
        <v>C-1009</v>
      </c>
      <c r="Z1002" s="93" t="str">
        <f>+VLOOKUP(Agencia[[#This Row],[Filtro Integrado]],Estructura!$I$4:$K$500,3,0)</f>
        <v>FI-993</v>
      </c>
      <c r="AA1002" s="93" t="str">
        <f>+VLOOKUP(Agencia[[#This Row],[Muestra]],Estructura!$M$4:$O$500,3,0)</f>
        <v>M-1052</v>
      </c>
    </row>
    <row r="1003" spans="1:27" ht="51" x14ac:dyDescent="0.3">
      <c r="A1003" s="21" t="s">
        <v>1723</v>
      </c>
      <c r="B1003" s="23">
        <f t="shared" si="400"/>
        <v>990</v>
      </c>
      <c r="C1003" s="24" t="str">
        <f t="shared" si="406"/>
        <v>Agencia Información</v>
      </c>
      <c r="D1003" s="72" t="s">
        <v>459</v>
      </c>
      <c r="E1003" s="14">
        <v>0</v>
      </c>
      <c r="F1003" s="10" t="s">
        <v>946</v>
      </c>
      <c r="G1003" s="18" t="s">
        <v>1897</v>
      </c>
      <c r="H1003" s="31" t="s">
        <v>20</v>
      </c>
      <c r="I1003" s="32" t="s">
        <v>15</v>
      </c>
      <c r="J1003" s="9" t="s">
        <v>403</v>
      </c>
      <c r="K1003" s="142" t="s">
        <v>9303</v>
      </c>
      <c r="L1003" s="36" t="s">
        <v>945</v>
      </c>
      <c r="M1003" s="9" t="s">
        <v>582</v>
      </c>
      <c r="N1003" s="9" t="s">
        <v>848</v>
      </c>
      <c r="O1003" s="41" t="str">
        <f>+"Población en Control del Programa de Cáncer de Cuello Uterino por Región en "&amp;I1003&amp;", "&amp;Agencia[[#This Row],[temporalidad]]</f>
        <v>Población en Control del Programa de Cáncer de Cuello Uterino por Región en Chile, Periodo 2011-2018</v>
      </c>
      <c r="P1003" s="112" t="s">
        <v>5868</v>
      </c>
      <c r="Q1003" s="11" t="s">
        <v>784</v>
      </c>
      <c r="R1003" s="20" t="str">
        <f>Agencia[[#This Row],[territorio]]&amp;",cáncer,cuello,uterino,cérvico,útero,PAP,papanicolaou,casos,control,población,"&amp;Agencia[[#This Row],[coleccion]]&amp;","&amp;Agencia[[#This Row],[sector]]&amp;","&amp;Agencia[[#This Row],[tema]]&amp;","&amp;Agencia[[#This Row],[contenido]]</f>
        <v>Chile,cáncer,cuello,uterino,cérvico,útero,PAP,papanicolaou,casos,control,población,Agencia Información,Mujeres,Programa de Cáncer de Cuello Uterino,Mujer Salud</v>
      </c>
      <c r="S1003" s="37" t="s">
        <v>1834</v>
      </c>
      <c r="T1003" s="108" t="s">
        <v>805</v>
      </c>
      <c r="U1003" s="46" t="str">
        <f t="shared" si="393"/>
        <v>#1774B9</v>
      </c>
      <c r="V1003" s="93" t="str">
        <f>+Agencia[[#This Row],[idcoleccion]]&amp;"-"&amp;Agencia[[#This Row],[id]]</f>
        <v>990-0992</v>
      </c>
      <c r="W1003" s="93">
        <f>+VLOOKUP(Agencia[[#This Row],[Filtro URL]],Estructura!$X$4:$Y$500,2,0)</f>
        <v>99100000</v>
      </c>
      <c r="X1003" s="93" t="str">
        <f>+VLOOKUP(Agencia[[#This Row],[tema]],Estructura!$A$4:$C$500,3,0)</f>
        <v>T-998</v>
      </c>
      <c r="Y1003" s="93" t="str">
        <f>+VLOOKUP(Agencia[[#This Row],[contenido]],Estructura!$E$4:$G$500,3,0)</f>
        <v>C-1009</v>
      </c>
      <c r="Z1003" s="93" t="str">
        <f>+VLOOKUP(Agencia[[#This Row],[Filtro Integrado]],Estructura!$I$4:$K$500,3,0)</f>
        <v>FI-993</v>
      </c>
      <c r="AA1003" s="93" t="str">
        <f>+VLOOKUP(Agencia[[#This Row],[Muestra]],Estructura!$M$4:$O$500,3,0)</f>
        <v>M-1052</v>
      </c>
    </row>
    <row r="1004" spans="1:27" ht="57.6" x14ac:dyDescent="0.3">
      <c r="A1004" s="21" t="s">
        <v>1724</v>
      </c>
      <c r="B1004" s="23">
        <f t="shared" si="400"/>
        <v>990</v>
      </c>
      <c r="C1004" s="24" t="str">
        <f t="shared" si="406"/>
        <v>Agencia Información</v>
      </c>
      <c r="D1004" s="72" t="str">
        <f t="shared" ref="D1004:D1019" si="413">+D1003</f>
        <v>Mujeres</v>
      </c>
      <c r="E1004" s="19">
        <v>1</v>
      </c>
      <c r="F1004" s="18" t="s">
        <v>946</v>
      </c>
      <c r="G1004" s="18" t="s">
        <v>1897</v>
      </c>
      <c r="H1004" s="33" t="s">
        <v>16</v>
      </c>
      <c r="I1004" s="34" t="s">
        <v>368</v>
      </c>
      <c r="J1004" s="9" t="s">
        <v>403</v>
      </c>
      <c r="K1004" s="142" t="s">
        <v>9303</v>
      </c>
      <c r="L1004" s="36" t="str">
        <f t="shared" ref="L1004:L1019" si="414">+L1003</f>
        <v>Periodo 2011-2018</v>
      </c>
      <c r="M1004" s="9" t="str">
        <f t="shared" ref="M1004:M1019" si="415">+M1003</f>
        <v>Número de Casos</v>
      </c>
      <c r="N1004" s="9" t="str">
        <f t="shared" ref="N1004:N1019" si="416">+N1003</f>
        <v>Departamento de Estadísticas e Información de la Salud (DEIS) - Ministerio de Salud</v>
      </c>
      <c r="O1004" s="41" t="str">
        <f>+"Población en Control del Programa de Cáncer de Cuello Uterino en la "&amp;I1004&amp;", "&amp;Agencia[[#This Row],[temporalidad]]</f>
        <v>Población en Control del Programa de Cáncer de Cuello Uterino en la Región de Tarapacá, Periodo 2011-2018</v>
      </c>
      <c r="P1004" s="112" t="s">
        <v>5903</v>
      </c>
      <c r="Q1004" s="11" t="str">
        <f t="shared" si="405"/>
        <v>Gráfico de Evolución</v>
      </c>
      <c r="R1004" s="148" t="str">
        <f>Agencia[[#This Row],[territorio]]&amp;",cáncer,cuello,uterino,cérvico,útero,PAP,papanicolaou,casos,control,población,"&amp;Agencia[[#This Row],[coleccion]]&amp;","&amp;Agencia[[#This Row],[sector]]&amp;","&amp;Agencia[[#This Row],[tema]]&amp;","&amp;Agencia[[#This Row],[contenido]]</f>
        <v>Región de Tarapacá,cáncer,cuello,uterino,cérvico,útero,PAP,papanicolaou,casos,control,población,Agencia Información,Mujeres,Programa de Cáncer de Cuello Uterino,Mujer Salud</v>
      </c>
      <c r="S1004" s="37" t="str">
        <f>HYPERLINK("https://analytics.zoho.com/open-view/2395394000008099329?ZOHO_CRITERIA=%22Localiza%20CL%22.%22Codreg%22%20%3D%20"&amp;Agencia[[#This Row],[Filtro URL]])</f>
        <v>https://analytics.zoho.com/open-view/2395394000008099329?ZOHO_CRITERIA=%22Localiza%20CL%22.%22Codreg%22%20%3D%201</v>
      </c>
      <c r="T1004" s="108" t="str">
        <f>"100-R-"&amp;Agencia[[#This Row],[Filtro URL]]</f>
        <v>100-R-1</v>
      </c>
      <c r="U1004" s="46" t="str">
        <f t="shared" ref="U1004:U1053" si="417">+U1003</f>
        <v>#1774B9</v>
      </c>
      <c r="V1004" s="93" t="str">
        <f>+Agencia[[#This Row],[idcoleccion]]&amp;"-"&amp;Agencia[[#This Row],[id]]</f>
        <v>990-0993</v>
      </c>
      <c r="W1004" s="93">
        <f>+VLOOKUP(Agencia[[#This Row],[Filtro URL]],Estructura!$X$4:$Y$500,2,0)</f>
        <v>99200001</v>
      </c>
      <c r="X1004" s="93" t="str">
        <f>+VLOOKUP(Agencia[[#This Row],[tema]],Estructura!$A$4:$C$500,3,0)</f>
        <v>T-998</v>
      </c>
      <c r="Y1004" s="93" t="str">
        <f>+VLOOKUP(Agencia[[#This Row],[contenido]],Estructura!$E$4:$G$500,3,0)</f>
        <v>C-1009</v>
      </c>
      <c r="Z1004" s="93" t="str">
        <f>+VLOOKUP(Agencia[[#This Row],[Filtro Integrado]],Estructura!$I$4:$K$500,3,0)</f>
        <v>FI-993</v>
      </c>
      <c r="AA1004" s="93" t="str">
        <f>+VLOOKUP(Agencia[[#This Row],[Muestra]],Estructura!$M$4:$O$500,3,0)</f>
        <v>M-1052</v>
      </c>
    </row>
    <row r="1005" spans="1:27" ht="57.6" x14ac:dyDescent="0.3">
      <c r="A1005" s="21" t="s">
        <v>1725</v>
      </c>
      <c r="B1005" s="23">
        <f t="shared" si="400"/>
        <v>990</v>
      </c>
      <c r="C1005" s="24" t="str">
        <f t="shared" si="406"/>
        <v>Agencia Información</v>
      </c>
      <c r="D1005" s="72" t="str">
        <f t="shared" si="413"/>
        <v>Mujeres</v>
      </c>
      <c r="E1005" s="19">
        <v>2</v>
      </c>
      <c r="F1005" s="18" t="s">
        <v>946</v>
      </c>
      <c r="G1005" s="18" t="s">
        <v>1897</v>
      </c>
      <c r="H1005" s="33" t="s">
        <v>16</v>
      </c>
      <c r="I1005" s="34" t="s">
        <v>369</v>
      </c>
      <c r="J1005" s="9" t="str">
        <f t="shared" ref="J1005:J1019" si="418">+J1004</f>
        <v>Ninguno</v>
      </c>
      <c r="K1005" s="142" t="s">
        <v>9303</v>
      </c>
      <c r="L1005" s="36" t="str">
        <f t="shared" si="414"/>
        <v>Periodo 2011-2018</v>
      </c>
      <c r="M1005" s="9" t="str">
        <f t="shared" si="415"/>
        <v>Número de Casos</v>
      </c>
      <c r="N1005" s="9" t="str">
        <f t="shared" si="416"/>
        <v>Departamento de Estadísticas e Información de la Salud (DEIS) - Ministerio de Salud</v>
      </c>
      <c r="O1005" s="41" t="str">
        <f>+"Población en Control del Programa de Cáncer de Cuello Uterino en la "&amp;I1005&amp;", "&amp;Agencia[[#This Row],[temporalidad]]</f>
        <v>Población en Control del Programa de Cáncer de Cuello Uterino en la Región de Antofagasta, Periodo 2011-2018</v>
      </c>
      <c r="P1005" s="112" t="s">
        <v>5904</v>
      </c>
      <c r="Q1005" s="11" t="str">
        <f t="shared" si="405"/>
        <v>Gráfico de Evolución</v>
      </c>
      <c r="R1005" s="148" t="str">
        <f>Agencia[[#This Row],[territorio]]&amp;",cáncer,cuello,uterino,cérvico,útero,PAP,papanicolaou,casos,control,población,"&amp;Agencia[[#This Row],[coleccion]]&amp;","&amp;Agencia[[#This Row],[sector]]&amp;","&amp;Agencia[[#This Row],[tema]]&amp;","&amp;Agencia[[#This Row],[contenido]]</f>
        <v>Región de Antofagasta,cáncer,cuello,uterino,cérvico,útero,PAP,papanicolaou,casos,control,población,Agencia Información,Mujeres,Programa de Cáncer de Cuello Uterino,Mujer Salud</v>
      </c>
      <c r="S1005" s="37" t="str">
        <f>HYPERLINK("https://analytics.zoho.com/open-view/2395394000008099329?ZOHO_CRITERIA=%22Localiza%20CL%22.%22Codreg%22%20%3D%20"&amp;Agencia[[#This Row],[Filtro URL]])</f>
        <v>https://analytics.zoho.com/open-view/2395394000008099329?ZOHO_CRITERIA=%22Localiza%20CL%22.%22Codreg%22%20%3D%202</v>
      </c>
      <c r="T1005" s="108" t="str">
        <f>"100-R-"&amp;Agencia[[#This Row],[Filtro URL]]</f>
        <v>100-R-2</v>
      </c>
      <c r="U1005" s="46" t="str">
        <f t="shared" si="417"/>
        <v>#1774B9</v>
      </c>
      <c r="V1005" s="93" t="str">
        <f>+Agencia[[#This Row],[idcoleccion]]&amp;"-"&amp;Agencia[[#This Row],[id]]</f>
        <v>990-0994</v>
      </c>
      <c r="W1005" s="93">
        <f>+VLOOKUP(Agencia[[#This Row],[Filtro URL]],Estructura!$X$4:$Y$500,2,0)</f>
        <v>99200002</v>
      </c>
      <c r="X1005" s="93" t="str">
        <f>+VLOOKUP(Agencia[[#This Row],[tema]],Estructura!$A$4:$C$500,3,0)</f>
        <v>T-998</v>
      </c>
      <c r="Y1005" s="93" t="str">
        <f>+VLOOKUP(Agencia[[#This Row],[contenido]],Estructura!$E$4:$G$500,3,0)</f>
        <v>C-1009</v>
      </c>
      <c r="Z1005" s="93" t="str">
        <f>+VLOOKUP(Agencia[[#This Row],[Filtro Integrado]],Estructura!$I$4:$K$500,3,0)</f>
        <v>FI-993</v>
      </c>
      <c r="AA1005" s="93" t="str">
        <f>+VLOOKUP(Agencia[[#This Row],[Muestra]],Estructura!$M$4:$O$500,3,0)</f>
        <v>M-1052</v>
      </c>
    </row>
    <row r="1006" spans="1:27" ht="57.6" x14ac:dyDescent="0.3">
      <c r="A1006" s="21" t="s">
        <v>1726</v>
      </c>
      <c r="B1006" s="23">
        <f t="shared" si="400"/>
        <v>990</v>
      </c>
      <c r="C1006" s="24" t="str">
        <f t="shared" si="406"/>
        <v>Agencia Información</v>
      </c>
      <c r="D1006" s="72" t="str">
        <f t="shared" si="413"/>
        <v>Mujeres</v>
      </c>
      <c r="E1006" s="19">
        <v>3</v>
      </c>
      <c r="F1006" s="18" t="s">
        <v>946</v>
      </c>
      <c r="G1006" s="18" t="s">
        <v>1897</v>
      </c>
      <c r="H1006" s="33" t="s">
        <v>16</v>
      </c>
      <c r="I1006" s="34" t="s">
        <v>370</v>
      </c>
      <c r="J1006" s="9" t="str">
        <f t="shared" si="418"/>
        <v>Ninguno</v>
      </c>
      <c r="K1006" s="142" t="s">
        <v>9303</v>
      </c>
      <c r="L1006" s="36" t="str">
        <f t="shared" si="414"/>
        <v>Periodo 2011-2018</v>
      </c>
      <c r="M1006" s="9" t="str">
        <f t="shared" si="415"/>
        <v>Número de Casos</v>
      </c>
      <c r="N1006" s="9" t="str">
        <f t="shared" si="416"/>
        <v>Departamento de Estadísticas e Información de la Salud (DEIS) - Ministerio de Salud</v>
      </c>
      <c r="O1006" s="41" t="str">
        <f>+"Población en Control del Programa de Cáncer de Cuello Uterino en la "&amp;I1006&amp;", "&amp;Agencia[[#This Row],[temporalidad]]</f>
        <v>Población en Control del Programa de Cáncer de Cuello Uterino en la Región de Atacama, Periodo 2011-2018</v>
      </c>
      <c r="P1006" s="112" t="s">
        <v>5905</v>
      </c>
      <c r="Q1006" s="11" t="str">
        <f t="shared" si="405"/>
        <v>Gráfico de Evolución</v>
      </c>
      <c r="R1006" s="148" t="str">
        <f>Agencia[[#This Row],[territorio]]&amp;",cáncer,cuello,uterino,cérvico,útero,PAP,papanicolaou,casos,control,población,"&amp;Agencia[[#This Row],[coleccion]]&amp;","&amp;Agencia[[#This Row],[sector]]&amp;","&amp;Agencia[[#This Row],[tema]]&amp;","&amp;Agencia[[#This Row],[contenido]]</f>
        <v>Región de Atacama,cáncer,cuello,uterino,cérvico,útero,PAP,papanicolaou,casos,control,población,Agencia Información,Mujeres,Programa de Cáncer de Cuello Uterino,Mujer Salud</v>
      </c>
      <c r="S1006" s="37" t="str">
        <f>HYPERLINK("https://analytics.zoho.com/open-view/2395394000008099329?ZOHO_CRITERIA=%22Localiza%20CL%22.%22Codreg%22%20%3D%20"&amp;Agencia[[#This Row],[Filtro URL]])</f>
        <v>https://analytics.zoho.com/open-view/2395394000008099329?ZOHO_CRITERIA=%22Localiza%20CL%22.%22Codreg%22%20%3D%203</v>
      </c>
      <c r="T1006" s="108" t="str">
        <f>"100-R-"&amp;Agencia[[#This Row],[Filtro URL]]</f>
        <v>100-R-3</v>
      </c>
      <c r="U1006" s="46" t="str">
        <f t="shared" si="417"/>
        <v>#1774B9</v>
      </c>
      <c r="V1006" s="93" t="str">
        <f>+Agencia[[#This Row],[idcoleccion]]&amp;"-"&amp;Agencia[[#This Row],[id]]</f>
        <v>990-0995</v>
      </c>
      <c r="W1006" s="93">
        <f>+VLOOKUP(Agencia[[#This Row],[Filtro URL]],Estructura!$X$4:$Y$500,2,0)</f>
        <v>99200003</v>
      </c>
      <c r="X1006" s="93" t="str">
        <f>+VLOOKUP(Agencia[[#This Row],[tema]],Estructura!$A$4:$C$500,3,0)</f>
        <v>T-998</v>
      </c>
      <c r="Y1006" s="93" t="str">
        <f>+VLOOKUP(Agencia[[#This Row],[contenido]],Estructura!$E$4:$G$500,3,0)</f>
        <v>C-1009</v>
      </c>
      <c r="Z1006" s="93" t="str">
        <f>+VLOOKUP(Agencia[[#This Row],[Filtro Integrado]],Estructura!$I$4:$K$500,3,0)</f>
        <v>FI-993</v>
      </c>
      <c r="AA1006" s="93" t="str">
        <f>+VLOOKUP(Agencia[[#This Row],[Muestra]],Estructura!$M$4:$O$500,3,0)</f>
        <v>M-1052</v>
      </c>
    </row>
    <row r="1007" spans="1:27" ht="57.6" x14ac:dyDescent="0.3">
      <c r="A1007" s="21" t="s">
        <v>1727</v>
      </c>
      <c r="B1007" s="23">
        <f t="shared" si="400"/>
        <v>990</v>
      </c>
      <c r="C1007" s="24" t="str">
        <f t="shared" si="406"/>
        <v>Agencia Información</v>
      </c>
      <c r="D1007" s="72" t="str">
        <f t="shared" si="413"/>
        <v>Mujeres</v>
      </c>
      <c r="E1007" s="19">
        <v>4</v>
      </c>
      <c r="F1007" s="18" t="s">
        <v>946</v>
      </c>
      <c r="G1007" s="18" t="s">
        <v>1897</v>
      </c>
      <c r="H1007" s="33" t="s">
        <v>16</v>
      </c>
      <c r="I1007" s="34" t="s">
        <v>371</v>
      </c>
      <c r="J1007" s="9" t="str">
        <f t="shared" si="418"/>
        <v>Ninguno</v>
      </c>
      <c r="K1007" s="142" t="s">
        <v>9303</v>
      </c>
      <c r="L1007" s="36" t="str">
        <f t="shared" si="414"/>
        <v>Periodo 2011-2018</v>
      </c>
      <c r="M1007" s="9" t="str">
        <f t="shared" si="415"/>
        <v>Número de Casos</v>
      </c>
      <c r="N1007" s="9" t="str">
        <f t="shared" si="416"/>
        <v>Departamento de Estadísticas e Información de la Salud (DEIS) - Ministerio de Salud</v>
      </c>
      <c r="O1007" s="41" t="str">
        <f>+"Población en Control del Programa de Cáncer de Cuello Uterino en la "&amp;I1007&amp;", "&amp;Agencia[[#This Row],[temporalidad]]</f>
        <v>Población en Control del Programa de Cáncer de Cuello Uterino en la Región de Coquimbo, Periodo 2011-2018</v>
      </c>
      <c r="P1007" s="112" t="s">
        <v>5869</v>
      </c>
      <c r="Q1007" s="11" t="str">
        <f t="shared" si="405"/>
        <v>Gráfico de Evolución</v>
      </c>
      <c r="R1007" s="148" t="str">
        <f>Agencia[[#This Row],[territorio]]&amp;",cáncer,cuello,uterino,cérvico,útero,PAP,papanicolaou,casos,control,población,"&amp;Agencia[[#This Row],[coleccion]]&amp;","&amp;Agencia[[#This Row],[sector]]&amp;","&amp;Agencia[[#This Row],[tema]]&amp;","&amp;Agencia[[#This Row],[contenido]]</f>
        <v>Región de Coquimbo,cáncer,cuello,uterino,cérvico,útero,PAP,papanicolaou,casos,control,población,Agencia Información,Mujeres,Programa de Cáncer de Cuello Uterino,Mujer Salud</v>
      </c>
      <c r="S1007" s="37" t="str">
        <f>HYPERLINK("https://analytics.zoho.com/open-view/2395394000008099329?ZOHO_CRITERIA=%22Localiza%20CL%22.%22Codreg%22%20%3D%20"&amp;Agencia[[#This Row],[Filtro URL]])</f>
        <v>https://analytics.zoho.com/open-view/2395394000008099329?ZOHO_CRITERIA=%22Localiza%20CL%22.%22Codreg%22%20%3D%204</v>
      </c>
      <c r="T1007" s="108" t="str">
        <f>"100-R-"&amp;Agencia[[#This Row],[Filtro URL]]</f>
        <v>100-R-4</v>
      </c>
      <c r="U1007" s="46" t="str">
        <f t="shared" si="417"/>
        <v>#1774B9</v>
      </c>
      <c r="V1007" s="93" t="str">
        <f>+Agencia[[#This Row],[idcoleccion]]&amp;"-"&amp;Agencia[[#This Row],[id]]</f>
        <v>990-0996</v>
      </c>
      <c r="W1007" s="93">
        <f>+VLOOKUP(Agencia[[#This Row],[Filtro URL]],Estructura!$X$4:$Y$500,2,0)</f>
        <v>99200004</v>
      </c>
      <c r="X1007" s="93" t="str">
        <f>+VLOOKUP(Agencia[[#This Row],[tema]],Estructura!$A$4:$C$500,3,0)</f>
        <v>T-998</v>
      </c>
      <c r="Y1007" s="93" t="str">
        <f>+VLOOKUP(Agencia[[#This Row],[contenido]],Estructura!$E$4:$G$500,3,0)</f>
        <v>C-1009</v>
      </c>
      <c r="Z1007" s="93" t="str">
        <f>+VLOOKUP(Agencia[[#This Row],[Filtro Integrado]],Estructura!$I$4:$K$500,3,0)</f>
        <v>FI-993</v>
      </c>
      <c r="AA1007" s="93" t="str">
        <f>+VLOOKUP(Agencia[[#This Row],[Muestra]],Estructura!$M$4:$O$500,3,0)</f>
        <v>M-1052</v>
      </c>
    </row>
    <row r="1008" spans="1:27" ht="57.6" x14ac:dyDescent="0.3">
      <c r="A1008" s="21" t="s">
        <v>1728</v>
      </c>
      <c r="B1008" s="23">
        <f t="shared" si="400"/>
        <v>990</v>
      </c>
      <c r="C1008" s="24" t="str">
        <f t="shared" si="406"/>
        <v>Agencia Información</v>
      </c>
      <c r="D1008" s="72" t="str">
        <f t="shared" si="413"/>
        <v>Mujeres</v>
      </c>
      <c r="E1008" s="19">
        <v>5</v>
      </c>
      <c r="F1008" s="18" t="s">
        <v>946</v>
      </c>
      <c r="G1008" s="18" t="s">
        <v>1897</v>
      </c>
      <c r="H1008" s="33" t="s">
        <v>16</v>
      </c>
      <c r="I1008" s="34" t="s">
        <v>372</v>
      </c>
      <c r="J1008" s="9" t="str">
        <f t="shared" si="418"/>
        <v>Ninguno</v>
      </c>
      <c r="K1008" s="142" t="s">
        <v>9303</v>
      </c>
      <c r="L1008" s="36" t="str">
        <f t="shared" si="414"/>
        <v>Periodo 2011-2018</v>
      </c>
      <c r="M1008" s="9" t="str">
        <f t="shared" si="415"/>
        <v>Número de Casos</v>
      </c>
      <c r="N1008" s="9" t="str">
        <f t="shared" si="416"/>
        <v>Departamento de Estadísticas e Información de la Salud (DEIS) - Ministerio de Salud</v>
      </c>
      <c r="O1008" s="41" t="str">
        <f>+"Población en Control del Programa de Cáncer de Cuello Uterino en la "&amp;I1008&amp;", "&amp;Agencia[[#This Row],[temporalidad]]</f>
        <v>Población en Control del Programa de Cáncer de Cuello Uterino en la Región de Valparaíso, Periodo 2011-2018</v>
      </c>
      <c r="P1008" s="112" t="s">
        <v>5906</v>
      </c>
      <c r="Q1008" s="11" t="str">
        <f t="shared" si="405"/>
        <v>Gráfico de Evolución</v>
      </c>
      <c r="R1008" s="148" t="str">
        <f>Agencia[[#This Row],[territorio]]&amp;",cáncer,cuello,uterino,cérvico,útero,PAP,papanicolaou,casos,control,población,"&amp;Agencia[[#This Row],[coleccion]]&amp;","&amp;Agencia[[#This Row],[sector]]&amp;","&amp;Agencia[[#This Row],[tema]]&amp;","&amp;Agencia[[#This Row],[contenido]]</f>
        <v>Región de Valparaíso,cáncer,cuello,uterino,cérvico,útero,PAP,papanicolaou,casos,control,población,Agencia Información,Mujeres,Programa de Cáncer de Cuello Uterino,Mujer Salud</v>
      </c>
      <c r="S1008" s="37" t="str">
        <f>HYPERLINK("https://analytics.zoho.com/open-view/2395394000008099329?ZOHO_CRITERIA=%22Localiza%20CL%22.%22Codreg%22%20%3D%20"&amp;Agencia[[#This Row],[Filtro URL]])</f>
        <v>https://analytics.zoho.com/open-view/2395394000008099329?ZOHO_CRITERIA=%22Localiza%20CL%22.%22Codreg%22%20%3D%205</v>
      </c>
      <c r="T1008" s="108" t="str">
        <f>"100-R-"&amp;Agencia[[#This Row],[Filtro URL]]</f>
        <v>100-R-5</v>
      </c>
      <c r="U1008" s="46" t="str">
        <f t="shared" si="417"/>
        <v>#1774B9</v>
      </c>
      <c r="V1008" s="93" t="str">
        <f>+Agencia[[#This Row],[idcoleccion]]&amp;"-"&amp;Agencia[[#This Row],[id]]</f>
        <v>990-0997</v>
      </c>
      <c r="W1008" s="93">
        <f>+VLOOKUP(Agencia[[#This Row],[Filtro URL]],Estructura!$X$4:$Y$500,2,0)</f>
        <v>99200005</v>
      </c>
      <c r="X1008" s="93" t="str">
        <f>+VLOOKUP(Agencia[[#This Row],[tema]],Estructura!$A$4:$C$500,3,0)</f>
        <v>T-998</v>
      </c>
      <c r="Y1008" s="93" t="str">
        <f>+VLOOKUP(Agencia[[#This Row],[contenido]],Estructura!$E$4:$G$500,3,0)</f>
        <v>C-1009</v>
      </c>
      <c r="Z1008" s="93" t="str">
        <f>+VLOOKUP(Agencia[[#This Row],[Filtro Integrado]],Estructura!$I$4:$K$500,3,0)</f>
        <v>FI-993</v>
      </c>
      <c r="AA1008" s="93" t="str">
        <f>+VLOOKUP(Agencia[[#This Row],[Muestra]],Estructura!$M$4:$O$500,3,0)</f>
        <v>M-1052</v>
      </c>
    </row>
    <row r="1009" spans="1:27" ht="57.6" x14ac:dyDescent="0.3">
      <c r="A1009" s="21" t="s">
        <v>1729</v>
      </c>
      <c r="B1009" s="23">
        <f t="shared" si="400"/>
        <v>990</v>
      </c>
      <c r="C1009" s="24" t="str">
        <f t="shared" si="406"/>
        <v>Agencia Información</v>
      </c>
      <c r="D1009" s="72" t="str">
        <f t="shared" si="413"/>
        <v>Mujeres</v>
      </c>
      <c r="E1009" s="19">
        <v>6</v>
      </c>
      <c r="F1009" s="18" t="s">
        <v>946</v>
      </c>
      <c r="G1009" s="18" t="s">
        <v>1897</v>
      </c>
      <c r="H1009" s="33" t="s">
        <v>16</v>
      </c>
      <c r="I1009" s="34" t="s">
        <v>373</v>
      </c>
      <c r="J1009" s="9" t="str">
        <f t="shared" si="418"/>
        <v>Ninguno</v>
      </c>
      <c r="K1009" s="142" t="s">
        <v>9303</v>
      </c>
      <c r="L1009" s="36" t="str">
        <f t="shared" si="414"/>
        <v>Periodo 2011-2018</v>
      </c>
      <c r="M1009" s="9" t="str">
        <f t="shared" si="415"/>
        <v>Número de Casos</v>
      </c>
      <c r="N1009" s="9" t="str">
        <f t="shared" si="416"/>
        <v>Departamento de Estadísticas e Información de la Salud (DEIS) - Ministerio de Salud</v>
      </c>
      <c r="O1009" s="41" t="str">
        <f>+"Población en Control del Programa de Cáncer de Cuello Uterino en la "&amp;I1009&amp;", "&amp;Agencia[[#This Row],[temporalidad]]</f>
        <v>Población en Control del Programa de Cáncer de Cuello Uterino en la Región de O'Higgins, Periodo 2011-2018</v>
      </c>
      <c r="P1009" s="112" t="s">
        <v>5870</v>
      </c>
      <c r="Q1009" s="11" t="str">
        <f t="shared" si="405"/>
        <v>Gráfico de Evolución</v>
      </c>
      <c r="R1009" s="148" t="str">
        <f>Agencia[[#This Row],[territorio]]&amp;",cáncer,cuello,uterino,cérvico,útero,PAP,papanicolaou,casos,control,población,"&amp;Agencia[[#This Row],[coleccion]]&amp;","&amp;Agencia[[#This Row],[sector]]&amp;","&amp;Agencia[[#This Row],[tema]]&amp;","&amp;Agencia[[#This Row],[contenido]]</f>
        <v>Región de O'Higgins,cáncer,cuello,uterino,cérvico,útero,PAP,papanicolaou,casos,control,población,Agencia Información,Mujeres,Programa de Cáncer de Cuello Uterino,Mujer Salud</v>
      </c>
      <c r="S1009" s="37" t="str">
        <f>HYPERLINK("https://analytics.zoho.com/open-view/2395394000008099329?ZOHO_CRITERIA=%22Localiza%20CL%22.%22Codreg%22%20%3D%20"&amp;Agencia[[#This Row],[Filtro URL]])</f>
        <v>https://analytics.zoho.com/open-view/2395394000008099329?ZOHO_CRITERIA=%22Localiza%20CL%22.%22Codreg%22%20%3D%206</v>
      </c>
      <c r="T1009" s="108" t="str">
        <f>"100-R-"&amp;Agencia[[#This Row],[Filtro URL]]</f>
        <v>100-R-6</v>
      </c>
      <c r="U1009" s="46" t="str">
        <f t="shared" si="417"/>
        <v>#1774B9</v>
      </c>
      <c r="V1009" s="93" t="str">
        <f>+Agencia[[#This Row],[idcoleccion]]&amp;"-"&amp;Agencia[[#This Row],[id]]</f>
        <v>990-0998</v>
      </c>
      <c r="W1009" s="93">
        <f>+VLOOKUP(Agencia[[#This Row],[Filtro URL]],Estructura!$X$4:$Y$500,2,0)</f>
        <v>99200006</v>
      </c>
      <c r="X1009" s="93" t="str">
        <f>+VLOOKUP(Agencia[[#This Row],[tema]],Estructura!$A$4:$C$500,3,0)</f>
        <v>T-998</v>
      </c>
      <c r="Y1009" s="93" t="str">
        <f>+VLOOKUP(Agencia[[#This Row],[contenido]],Estructura!$E$4:$G$500,3,0)</f>
        <v>C-1009</v>
      </c>
      <c r="Z1009" s="93" t="str">
        <f>+VLOOKUP(Agencia[[#This Row],[Filtro Integrado]],Estructura!$I$4:$K$500,3,0)</f>
        <v>FI-993</v>
      </c>
      <c r="AA1009" s="93" t="str">
        <f>+VLOOKUP(Agencia[[#This Row],[Muestra]],Estructura!$M$4:$O$500,3,0)</f>
        <v>M-1052</v>
      </c>
    </row>
    <row r="1010" spans="1:27" ht="57.6" x14ac:dyDescent="0.3">
      <c r="A1010" s="21" t="s">
        <v>1730</v>
      </c>
      <c r="B1010" s="23">
        <f t="shared" si="400"/>
        <v>990</v>
      </c>
      <c r="C1010" s="24" t="str">
        <f t="shared" si="406"/>
        <v>Agencia Información</v>
      </c>
      <c r="D1010" s="72" t="str">
        <f t="shared" si="413"/>
        <v>Mujeres</v>
      </c>
      <c r="E1010" s="19">
        <v>7</v>
      </c>
      <c r="F1010" s="18" t="s">
        <v>946</v>
      </c>
      <c r="G1010" s="18" t="s">
        <v>1897</v>
      </c>
      <c r="H1010" s="33" t="s">
        <v>16</v>
      </c>
      <c r="I1010" s="34" t="s">
        <v>374</v>
      </c>
      <c r="J1010" s="9" t="str">
        <f t="shared" si="418"/>
        <v>Ninguno</v>
      </c>
      <c r="K1010" s="142" t="s">
        <v>9303</v>
      </c>
      <c r="L1010" s="36" t="str">
        <f t="shared" si="414"/>
        <v>Periodo 2011-2018</v>
      </c>
      <c r="M1010" s="9" t="str">
        <f t="shared" si="415"/>
        <v>Número de Casos</v>
      </c>
      <c r="N1010" s="9" t="str">
        <f t="shared" si="416"/>
        <v>Departamento de Estadísticas e Información de la Salud (DEIS) - Ministerio de Salud</v>
      </c>
      <c r="O1010" s="41" t="str">
        <f>+"Población en Control del Programa de Cáncer de Cuello Uterino en la "&amp;I1010&amp;", "&amp;Agencia[[#This Row],[temporalidad]]</f>
        <v>Población en Control del Programa de Cáncer de Cuello Uterino en la Región de Maule, Periodo 2011-2018</v>
      </c>
      <c r="P1010" s="112" t="s">
        <v>5907</v>
      </c>
      <c r="Q1010" s="11" t="str">
        <f t="shared" si="405"/>
        <v>Gráfico de Evolución</v>
      </c>
      <c r="R1010" s="148" t="str">
        <f>Agencia[[#This Row],[territorio]]&amp;",cáncer,cuello,uterino,cérvico,útero,PAP,papanicolaou,casos,control,población,"&amp;Agencia[[#This Row],[coleccion]]&amp;","&amp;Agencia[[#This Row],[sector]]&amp;","&amp;Agencia[[#This Row],[tema]]&amp;","&amp;Agencia[[#This Row],[contenido]]</f>
        <v>Región de Maule,cáncer,cuello,uterino,cérvico,útero,PAP,papanicolaou,casos,control,población,Agencia Información,Mujeres,Programa de Cáncer de Cuello Uterino,Mujer Salud</v>
      </c>
      <c r="S1010" s="37" t="str">
        <f>HYPERLINK("https://analytics.zoho.com/open-view/2395394000008099329?ZOHO_CRITERIA=%22Localiza%20CL%22.%22Codreg%22%20%3D%20"&amp;Agencia[[#This Row],[Filtro URL]])</f>
        <v>https://analytics.zoho.com/open-view/2395394000008099329?ZOHO_CRITERIA=%22Localiza%20CL%22.%22Codreg%22%20%3D%207</v>
      </c>
      <c r="T1010" s="108" t="str">
        <f>"100-R-"&amp;Agencia[[#This Row],[Filtro URL]]</f>
        <v>100-R-7</v>
      </c>
      <c r="U1010" s="46" t="str">
        <f t="shared" si="417"/>
        <v>#1774B9</v>
      </c>
      <c r="V1010" s="93" t="str">
        <f>+Agencia[[#This Row],[idcoleccion]]&amp;"-"&amp;Agencia[[#This Row],[id]]</f>
        <v>990-0999</v>
      </c>
      <c r="W1010" s="93">
        <f>+VLOOKUP(Agencia[[#This Row],[Filtro URL]],Estructura!$X$4:$Y$500,2,0)</f>
        <v>99200007</v>
      </c>
      <c r="X1010" s="93" t="str">
        <f>+VLOOKUP(Agencia[[#This Row],[tema]],Estructura!$A$4:$C$500,3,0)</f>
        <v>T-998</v>
      </c>
      <c r="Y1010" s="93" t="str">
        <f>+VLOOKUP(Agencia[[#This Row],[contenido]],Estructura!$E$4:$G$500,3,0)</f>
        <v>C-1009</v>
      </c>
      <c r="Z1010" s="93" t="str">
        <f>+VLOOKUP(Agencia[[#This Row],[Filtro Integrado]],Estructura!$I$4:$K$500,3,0)</f>
        <v>FI-993</v>
      </c>
      <c r="AA1010" s="93" t="str">
        <f>+VLOOKUP(Agencia[[#This Row],[Muestra]],Estructura!$M$4:$O$500,3,0)</f>
        <v>M-1052</v>
      </c>
    </row>
    <row r="1011" spans="1:27" ht="57.6" x14ac:dyDescent="0.3">
      <c r="A1011" s="21" t="s">
        <v>1731</v>
      </c>
      <c r="B1011" s="23">
        <f t="shared" si="400"/>
        <v>990</v>
      </c>
      <c r="C1011" s="24" t="str">
        <f t="shared" si="406"/>
        <v>Agencia Información</v>
      </c>
      <c r="D1011" s="72" t="str">
        <f t="shared" si="413"/>
        <v>Mujeres</v>
      </c>
      <c r="E1011" s="19">
        <v>8</v>
      </c>
      <c r="F1011" s="18" t="s">
        <v>946</v>
      </c>
      <c r="G1011" s="18" t="s">
        <v>1897</v>
      </c>
      <c r="H1011" s="33" t="s">
        <v>16</v>
      </c>
      <c r="I1011" s="34" t="s">
        <v>375</v>
      </c>
      <c r="J1011" s="9" t="str">
        <f t="shared" si="418"/>
        <v>Ninguno</v>
      </c>
      <c r="K1011" s="142" t="s">
        <v>9303</v>
      </c>
      <c r="L1011" s="36" t="str">
        <f t="shared" si="414"/>
        <v>Periodo 2011-2018</v>
      </c>
      <c r="M1011" s="9" t="str">
        <f t="shared" si="415"/>
        <v>Número de Casos</v>
      </c>
      <c r="N1011" s="9" t="str">
        <f t="shared" si="416"/>
        <v>Departamento de Estadísticas e Información de la Salud (DEIS) - Ministerio de Salud</v>
      </c>
      <c r="O1011" s="41" t="str">
        <f>+"Población en Control del Programa de Cáncer de Cuello Uterino en la "&amp;I1011&amp;", "&amp;Agencia[[#This Row],[temporalidad]]</f>
        <v>Población en Control del Programa de Cáncer de Cuello Uterino en la Región del Biobío, Periodo 2011-2018</v>
      </c>
      <c r="P1011" s="112" t="s">
        <v>5871</v>
      </c>
      <c r="Q1011" s="11" t="str">
        <f t="shared" si="405"/>
        <v>Gráfico de Evolución</v>
      </c>
      <c r="R1011" s="148" t="str">
        <f>Agencia[[#This Row],[territorio]]&amp;",cáncer,cuello,uterino,cérvico,útero,PAP,papanicolaou,casos,control,población,"&amp;Agencia[[#This Row],[coleccion]]&amp;","&amp;Agencia[[#This Row],[sector]]&amp;","&amp;Agencia[[#This Row],[tema]]&amp;","&amp;Agencia[[#This Row],[contenido]]</f>
        <v>Región del Biobío,cáncer,cuello,uterino,cérvico,útero,PAP,papanicolaou,casos,control,población,Agencia Información,Mujeres,Programa de Cáncer de Cuello Uterino,Mujer Salud</v>
      </c>
      <c r="S1011" s="37" t="str">
        <f>HYPERLINK("https://analytics.zoho.com/open-view/2395394000008099329?ZOHO_CRITERIA=%22Localiza%20CL%22.%22Codreg%22%20%3D%20"&amp;Agencia[[#This Row],[Filtro URL]])</f>
        <v>https://analytics.zoho.com/open-view/2395394000008099329?ZOHO_CRITERIA=%22Localiza%20CL%22.%22Codreg%22%20%3D%208</v>
      </c>
      <c r="T1011" s="108" t="str">
        <f>"100-R-"&amp;Agencia[[#This Row],[Filtro URL]]</f>
        <v>100-R-8</v>
      </c>
      <c r="U1011" s="46" t="str">
        <f t="shared" si="417"/>
        <v>#1774B9</v>
      </c>
      <c r="V1011" s="93" t="str">
        <f>+Agencia[[#This Row],[idcoleccion]]&amp;"-"&amp;Agencia[[#This Row],[id]]</f>
        <v>990-1000</v>
      </c>
      <c r="W1011" s="93">
        <f>+VLOOKUP(Agencia[[#This Row],[Filtro URL]],Estructura!$X$4:$Y$500,2,0)</f>
        <v>99200008</v>
      </c>
      <c r="X1011" s="93" t="str">
        <f>+VLOOKUP(Agencia[[#This Row],[tema]],Estructura!$A$4:$C$500,3,0)</f>
        <v>T-998</v>
      </c>
      <c r="Y1011" s="93" t="str">
        <f>+VLOOKUP(Agencia[[#This Row],[contenido]],Estructura!$E$4:$G$500,3,0)</f>
        <v>C-1009</v>
      </c>
      <c r="Z1011" s="93" t="str">
        <f>+VLOOKUP(Agencia[[#This Row],[Filtro Integrado]],Estructura!$I$4:$K$500,3,0)</f>
        <v>FI-993</v>
      </c>
      <c r="AA1011" s="93" t="str">
        <f>+VLOOKUP(Agencia[[#This Row],[Muestra]],Estructura!$M$4:$O$500,3,0)</f>
        <v>M-1052</v>
      </c>
    </row>
    <row r="1012" spans="1:27" ht="57.6" x14ac:dyDescent="0.3">
      <c r="A1012" s="21" t="s">
        <v>1732</v>
      </c>
      <c r="B1012" s="23">
        <f t="shared" si="400"/>
        <v>990</v>
      </c>
      <c r="C1012" s="24" t="str">
        <f t="shared" si="406"/>
        <v>Agencia Información</v>
      </c>
      <c r="D1012" s="72" t="str">
        <f t="shared" si="413"/>
        <v>Mujeres</v>
      </c>
      <c r="E1012" s="19">
        <v>9</v>
      </c>
      <c r="F1012" s="18" t="s">
        <v>946</v>
      </c>
      <c r="G1012" s="18" t="s">
        <v>1897</v>
      </c>
      <c r="H1012" s="33" t="s">
        <v>16</v>
      </c>
      <c r="I1012" s="34" t="s">
        <v>376</v>
      </c>
      <c r="J1012" s="9" t="str">
        <f t="shared" si="418"/>
        <v>Ninguno</v>
      </c>
      <c r="K1012" s="142" t="s">
        <v>9303</v>
      </c>
      <c r="L1012" s="36" t="str">
        <f t="shared" si="414"/>
        <v>Periodo 2011-2018</v>
      </c>
      <c r="M1012" s="9" t="str">
        <f t="shared" si="415"/>
        <v>Número de Casos</v>
      </c>
      <c r="N1012" s="9" t="str">
        <f t="shared" si="416"/>
        <v>Departamento de Estadísticas e Información de la Salud (DEIS) - Ministerio de Salud</v>
      </c>
      <c r="O1012" s="41" t="str">
        <f>+"Población en Control del Programa de Cáncer de Cuello Uterino en la "&amp;I1012&amp;", "&amp;Agencia[[#This Row],[temporalidad]]</f>
        <v>Población en Control del Programa de Cáncer de Cuello Uterino en la Región de La Araucanía, Periodo 2011-2018</v>
      </c>
      <c r="P1012" s="112" t="s">
        <v>5908</v>
      </c>
      <c r="Q1012" s="11" t="str">
        <f t="shared" si="405"/>
        <v>Gráfico de Evolución</v>
      </c>
      <c r="R1012" s="148" t="str">
        <f>Agencia[[#This Row],[territorio]]&amp;",cáncer,cuello,uterino,cérvico,útero,PAP,papanicolaou,casos,control,población,"&amp;Agencia[[#This Row],[coleccion]]&amp;","&amp;Agencia[[#This Row],[sector]]&amp;","&amp;Agencia[[#This Row],[tema]]&amp;","&amp;Agencia[[#This Row],[contenido]]</f>
        <v>Región de La Araucanía,cáncer,cuello,uterino,cérvico,útero,PAP,papanicolaou,casos,control,población,Agencia Información,Mujeres,Programa de Cáncer de Cuello Uterino,Mujer Salud</v>
      </c>
      <c r="S1012" s="37" t="str">
        <f>HYPERLINK("https://analytics.zoho.com/open-view/2395394000008099329?ZOHO_CRITERIA=%22Localiza%20CL%22.%22Codreg%22%20%3D%20"&amp;Agencia[[#This Row],[Filtro URL]])</f>
        <v>https://analytics.zoho.com/open-view/2395394000008099329?ZOHO_CRITERIA=%22Localiza%20CL%22.%22Codreg%22%20%3D%209</v>
      </c>
      <c r="T1012" s="108" t="str">
        <f>"100-R-"&amp;Agencia[[#This Row],[Filtro URL]]</f>
        <v>100-R-9</v>
      </c>
      <c r="U1012" s="46" t="str">
        <f t="shared" si="417"/>
        <v>#1774B9</v>
      </c>
      <c r="V1012" s="93" t="str">
        <f>+Agencia[[#This Row],[idcoleccion]]&amp;"-"&amp;Agencia[[#This Row],[id]]</f>
        <v>990-1001</v>
      </c>
      <c r="W1012" s="93">
        <f>+VLOOKUP(Agencia[[#This Row],[Filtro URL]],Estructura!$X$4:$Y$500,2,0)</f>
        <v>99200009</v>
      </c>
      <c r="X1012" s="93" t="str">
        <f>+VLOOKUP(Agencia[[#This Row],[tema]],Estructura!$A$4:$C$500,3,0)</f>
        <v>T-998</v>
      </c>
      <c r="Y1012" s="93" t="str">
        <f>+VLOOKUP(Agencia[[#This Row],[contenido]],Estructura!$E$4:$G$500,3,0)</f>
        <v>C-1009</v>
      </c>
      <c r="Z1012" s="93" t="str">
        <f>+VLOOKUP(Agencia[[#This Row],[Filtro Integrado]],Estructura!$I$4:$K$500,3,0)</f>
        <v>FI-993</v>
      </c>
      <c r="AA1012" s="93" t="str">
        <f>+VLOOKUP(Agencia[[#This Row],[Muestra]],Estructura!$M$4:$O$500,3,0)</f>
        <v>M-1052</v>
      </c>
    </row>
    <row r="1013" spans="1:27" ht="57.6" x14ac:dyDescent="0.3">
      <c r="A1013" s="21" t="s">
        <v>1733</v>
      </c>
      <c r="B1013" s="23">
        <f t="shared" si="400"/>
        <v>990</v>
      </c>
      <c r="C1013" s="24" t="str">
        <f t="shared" si="406"/>
        <v>Agencia Información</v>
      </c>
      <c r="D1013" s="72" t="str">
        <f t="shared" si="413"/>
        <v>Mujeres</v>
      </c>
      <c r="E1013" s="19">
        <v>10</v>
      </c>
      <c r="F1013" s="18" t="s">
        <v>946</v>
      </c>
      <c r="G1013" s="18" t="s">
        <v>1897</v>
      </c>
      <c r="H1013" s="33" t="s">
        <v>16</v>
      </c>
      <c r="I1013" s="34" t="s">
        <v>377</v>
      </c>
      <c r="J1013" s="9" t="str">
        <f t="shared" si="418"/>
        <v>Ninguno</v>
      </c>
      <c r="K1013" s="142" t="s">
        <v>9303</v>
      </c>
      <c r="L1013" s="36" t="str">
        <f t="shared" si="414"/>
        <v>Periodo 2011-2018</v>
      </c>
      <c r="M1013" s="9" t="str">
        <f t="shared" si="415"/>
        <v>Número de Casos</v>
      </c>
      <c r="N1013" s="9" t="str">
        <f t="shared" si="416"/>
        <v>Departamento de Estadísticas e Información de la Salud (DEIS) - Ministerio de Salud</v>
      </c>
      <c r="O1013" s="41" t="str">
        <f>+"Población en Control del Programa de Cáncer de Cuello Uterino en la "&amp;I1013&amp;", "&amp;Agencia[[#This Row],[temporalidad]]</f>
        <v>Población en Control del Programa de Cáncer de Cuello Uterino en la Región de Los Lagos, Periodo 2011-2018</v>
      </c>
      <c r="P1013" s="112" t="s">
        <v>5872</v>
      </c>
      <c r="Q1013" s="11" t="str">
        <f t="shared" si="405"/>
        <v>Gráfico de Evolución</v>
      </c>
      <c r="R1013" s="148" t="str">
        <f>Agencia[[#This Row],[territorio]]&amp;",cáncer,cuello,uterino,cérvico,útero,PAP,papanicolaou,casos,control,población,"&amp;Agencia[[#This Row],[coleccion]]&amp;","&amp;Agencia[[#This Row],[sector]]&amp;","&amp;Agencia[[#This Row],[tema]]&amp;","&amp;Agencia[[#This Row],[contenido]]</f>
        <v>Región de Los Lagos,cáncer,cuello,uterino,cérvico,útero,PAP,papanicolaou,casos,control,población,Agencia Información,Mujeres,Programa de Cáncer de Cuello Uterino,Mujer Salud</v>
      </c>
      <c r="S1013" s="37" t="str">
        <f>HYPERLINK("https://analytics.zoho.com/open-view/2395394000008099329?ZOHO_CRITERIA=%22Localiza%20CL%22.%22Codreg%22%20%3D%20"&amp;Agencia[[#This Row],[Filtro URL]])</f>
        <v>https://analytics.zoho.com/open-view/2395394000008099329?ZOHO_CRITERIA=%22Localiza%20CL%22.%22Codreg%22%20%3D%2010</v>
      </c>
      <c r="T1013" s="108" t="str">
        <f>"100-R-"&amp;Agencia[[#This Row],[Filtro URL]]</f>
        <v>100-R-10</v>
      </c>
      <c r="U1013" s="46" t="str">
        <f t="shared" si="417"/>
        <v>#1774B9</v>
      </c>
      <c r="V1013" s="93" t="str">
        <f>+Agencia[[#This Row],[idcoleccion]]&amp;"-"&amp;Agencia[[#This Row],[id]]</f>
        <v>990-1002</v>
      </c>
      <c r="W1013" s="93">
        <f>+VLOOKUP(Agencia[[#This Row],[Filtro URL]],Estructura!$X$4:$Y$500,2,0)</f>
        <v>99200010</v>
      </c>
      <c r="X1013" s="93" t="str">
        <f>+VLOOKUP(Agencia[[#This Row],[tema]],Estructura!$A$4:$C$500,3,0)</f>
        <v>T-998</v>
      </c>
      <c r="Y1013" s="93" t="str">
        <f>+VLOOKUP(Agencia[[#This Row],[contenido]],Estructura!$E$4:$G$500,3,0)</f>
        <v>C-1009</v>
      </c>
      <c r="Z1013" s="93" t="str">
        <f>+VLOOKUP(Agencia[[#This Row],[Filtro Integrado]],Estructura!$I$4:$K$500,3,0)</f>
        <v>FI-993</v>
      </c>
      <c r="AA1013" s="93" t="str">
        <f>+VLOOKUP(Agencia[[#This Row],[Muestra]],Estructura!$M$4:$O$500,3,0)</f>
        <v>M-1052</v>
      </c>
    </row>
    <row r="1014" spans="1:27" ht="57.6" x14ac:dyDescent="0.3">
      <c r="A1014" s="21" t="s">
        <v>1734</v>
      </c>
      <c r="B1014" s="23">
        <f t="shared" si="400"/>
        <v>990</v>
      </c>
      <c r="C1014" s="24" t="str">
        <f t="shared" si="406"/>
        <v>Agencia Información</v>
      </c>
      <c r="D1014" s="72" t="str">
        <f t="shared" si="413"/>
        <v>Mujeres</v>
      </c>
      <c r="E1014" s="19">
        <v>11</v>
      </c>
      <c r="F1014" s="18" t="s">
        <v>946</v>
      </c>
      <c r="G1014" s="18" t="s">
        <v>1897</v>
      </c>
      <c r="H1014" s="33" t="s">
        <v>16</v>
      </c>
      <c r="I1014" s="34" t="s">
        <v>378</v>
      </c>
      <c r="J1014" s="9" t="str">
        <f t="shared" si="418"/>
        <v>Ninguno</v>
      </c>
      <c r="K1014" s="142" t="s">
        <v>9303</v>
      </c>
      <c r="L1014" s="36" t="str">
        <f t="shared" si="414"/>
        <v>Periodo 2011-2018</v>
      </c>
      <c r="M1014" s="9" t="str">
        <f t="shared" si="415"/>
        <v>Número de Casos</v>
      </c>
      <c r="N1014" s="9" t="str">
        <f t="shared" si="416"/>
        <v>Departamento de Estadísticas e Información de la Salud (DEIS) - Ministerio de Salud</v>
      </c>
      <c r="O1014" s="41" t="str">
        <f>+"Población en Control del Programa de Cáncer de Cuello Uterino en la "&amp;I1014&amp;", "&amp;Agencia[[#This Row],[temporalidad]]</f>
        <v>Población en Control del Programa de Cáncer de Cuello Uterino en la Región de Aysén, Periodo 2011-2018</v>
      </c>
      <c r="P1014" s="112" t="s">
        <v>5909</v>
      </c>
      <c r="Q1014" s="11" t="str">
        <f t="shared" si="405"/>
        <v>Gráfico de Evolución</v>
      </c>
      <c r="R1014" s="148" t="str">
        <f>Agencia[[#This Row],[territorio]]&amp;",cáncer,cuello,uterino,cérvico,útero,PAP,papanicolaou,casos,control,población,"&amp;Agencia[[#This Row],[coleccion]]&amp;","&amp;Agencia[[#This Row],[sector]]&amp;","&amp;Agencia[[#This Row],[tema]]&amp;","&amp;Agencia[[#This Row],[contenido]]</f>
        <v>Región de Aysén,cáncer,cuello,uterino,cérvico,útero,PAP,papanicolaou,casos,control,población,Agencia Información,Mujeres,Programa de Cáncer de Cuello Uterino,Mujer Salud</v>
      </c>
      <c r="S1014" s="37" t="str">
        <f>HYPERLINK("https://analytics.zoho.com/open-view/2395394000008099329?ZOHO_CRITERIA=%22Localiza%20CL%22.%22Codreg%22%20%3D%20"&amp;Agencia[[#This Row],[Filtro URL]])</f>
        <v>https://analytics.zoho.com/open-view/2395394000008099329?ZOHO_CRITERIA=%22Localiza%20CL%22.%22Codreg%22%20%3D%2011</v>
      </c>
      <c r="T1014" s="108" t="str">
        <f>"100-R-"&amp;Agencia[[#This Row],[Filtro URL]]</f>
        <v>100-R-11</v>
      </c>
      <c r="U1014" s="46" t="str">
        <f t="shared" si="417"/>
        <v>#1774B9</v>
      </c>
      <c r="V1014" s="93" t="str">
        <f>+Agencia[[#This Row],[idcoleccion]]&amp;"-"&amp;Agencia[[#This Row],[id]]</f>
        <v>990-1003</v>
      </c>
      <c r="W1014" s="93">
        <f>+VLOOKUP(Agencia[[#This Row],[Filtro URL]],Estructura!$X$4:$Y$500,2,0)</f>
        <v>99200011</v>
      </c>
      <c r="X1014" s="93" t="str">
        <f>+VLOOKUP(Agencia[[#This Row],[tema]],Estructura!$A$4:$C$500,3,0)</f>
        <v>T-998</v>
      </c>
      <c r="Y1014" s="93" t="str">
        <f>+VLOOKUP(Agencia[[#This Row],[contenido]],Estructura!$E$4:$G$500,3,0)</f>
        <v>C-1009</v>
      </c>
      <c r="Z1014" s="93" t="str">
        <f>+VLOOKUP(Agencia[[#This Row],[Filtro Integrado]],Estructura!$I$4:$K$500,3,0)</f>
        <v>FI-993</v>
      </c>
      <c r="AA1014" s="93" t="str">
        <f>+VLOOKUP(Agencia[[#This Row],[Muestra]],Estructura!$M$4:$O$500,3,0)</f>
        <v>M-1052</v>
      </c>
    </row>
    <row r="1015" spans="1:27" ht="57.6" x14ac:dyDescent="0.3">
      <c r="A1015" s="21" t="s">
        <v>1735</v>
      </c>
      <c r="B1015" s="23">
        <f t="shared" si="400"/>
        <v>990</v>
      </c>
      <c r="C1015" s="24" t="str">
        <f t="shared" si="406"/>
        <v>Agencia Información</v>
      </c>
      <c r="D1015" s="72" t="str">
        <f t="shared" si="413"/>
        <v>Mujeres</v>
      </c>
      <c r="E1015" s="19">
        <v>12</v>
      </c>
      <c r="F1015" s="18" t="s">
        <v>946</v>
      </c>
      <c r="G1015" s="18" t="s">
        <v>1897</v>
      </c>
      <c r="H1015" s="33" t="s">
        <v>16</v>
      </c>
      <c r="I1015" s="34" t="s">
        <v>379</v>
      </c>
      <c r="J1015" s="9" t="str">
        <f t="shared" si="418"/>
        <v>Ninguno</v>
      </c>
      <c r="K1015" s="142" t="s">
        <v>9303</v>
      </c>
      <c r="L1015" s="36" t="str">
        <f t="shared" si="414"/>
        <v>Periodo 2011-2018</v>
      </c>
      <c r="M1015" s="9" t="str">
        <f t="shared" si="415"/>
        <v>Número de Casos</v>
      </c>
      <c r="N1015" s="9" t="str">
        <f t="shared" si="416"/>
        <v>Departamento de Estadísticas e Información de la Salud (DEIS) - Ministerio de Salud</v>
      </c>
      <c r="O1015" s="41" t="str">
        <f>+"Población en Control del Programa de Cáncer de Cuello Uterino en la "&amp;I1015&amp;", "&amp;Agencia[[#This Row],[temporalidad]]</f>
        <v>Población en Control del Programa de Cáncer de Cuello Uterino en la Región de Magallanes, Periodo 2011-2018</v>
      </c>
      <c r="P1015" s="112" t="s">
        <v>5873</v>
      </c>
      <c r="Q1015" s="11" t="str">
        <f t="shared" si="405"/>
        <v>Gráfico de Evolución</v>
      </c>
      <c r="R1015" s="148" t="str">
        <f>Agencia[[#This Row],[territorio]]&amp;",cáncer,cuello,uterino,cérvico,útero,PAP,papanicolaou,casos,control,población,"&amp;Agencia[[#This Row],[coleccion]]&amp;","&amp;Agencia[[#This Row],[sector]]&amp;","&amp;Agencia[[#This Row],[tema]]&amp;","&amp;Agencia[[#This Row],[contenido]]</f>
        <v>Región de Magallanes,cáncer,cuello,uterino,cérvico,útero,PAP,papanicolaou,casos,control,población,Agencia Información,Mujeres,Programa de Cáncer de Cuello Uterino,Mujer Salud</v>
      </c>
      <c r="S1015" s="37" t="str">
        <f>HYPERLINK("https://analytics.zoho.com/open-view/2395394000008099329?ZOHO_CRITERIA=%22Localiza%20CL%22.%22Codreg%22%20%3D%20"&amp;Agencia[[#This Row],[Filtro URL]])</f>
        <v>https://analytics.zoho.com/open-view/2395394000008099329?ZOHO_CRITERIA=%22Localiza%20CL%22.%22Codreg%22%20%3D%2012</v>
      </c>
      <c r="T1015" s="108" t="str">
        <f>"100-R-"&amp;Agencia[[#This Row],[Filtro URL]]</f>
        <v>100-R-12</v>
      </c>
      <c r="U1015" s="46" t="str">
        <f t="shared" si="417"/>
        <v>#1774B9</v>
      </c>
      <c r="V1015" s="93" t="str">
        <f>+Agencia[[#This Row],[idcoleccion]]&amp;"-"&amp;Agencia[[#This Row],[id]]</f>
        <v>990-1004</v>
      </c>
      <c r="W1015" s="93">
        <f>+VLOOKUP(Agencia[[#This Row],[Filtro URL]],Estructura!$X$4:$Y$500,2,0)</f>
        <v>99200012</v>
      </c>
      <c r="X1015" s="93" t="str">
        <f>+VLOOKUP(Agencia[[#This Row],[tema]],Estructura!$A$4:$C$500,3,0)</f>
        <v>T-998</v>
      </c>
      <c r="Y1015" s="93" t="str">
        <f>+VLOOKUP(Agencia[[#This Row],[contenido]],Estructura!$E$4:$G$500,3,0)</f>
        <v>C-1009</v>
      </c>
      <c r="Z1015" s="93" t="str">
        <f>+VLOOKUP(Agencia[[#This Row],[Filtro Integrado]],Estructura!$I$4:$K$500,3,0)</f>
        <v>FI-993</v>
      </c>
      <c r="AA1015" s="93" t="str">
        <f>+VLOOKUP(Agencia[[#This Row],[Muestra]],Estructura!$M$4:$O$500,3,0)</f>
        <v>M-1052</v>
      </c>
    </row>
    <row r="1016" spans="1:27" ht="57.6" x14ac:dyDescent="0.3">
      <c r="A1016" s="21" t="s">
        <v>1736</v>
      </c>
      <c r="B1016" s="23">
        <f t="shared" si="400"/>
        <v>990</v>
      </c>
      <c r="C1016" s="24" t="str">
        <f t="shared" si="406"/>
        <v>Agencia Información</v>
      </c>
      <c r="D1016" s="72" t="str">
        <f t="shared" si="413"/>
        <v>Mujeres</v>
      </c>
      <c r="E1016" s="19">
        <v>13</v>
      </c>
      <c r="F1016" s="18" t="s">
        <v>946</v>
      </c>
      <c r="G1016" s="18" t="s">
        <v>1897</v>
      </c>
      <c r="H1016" s="33" t="s">
        <v>16</v>
      </c>
      <c r="I1016" s="34" t="s">
        <v>380</v>
      </c>
      <c r="J1016" s="9" t="str">
        <f t="shared" si="418"/>
        <v>Ninguno</v>
      </c>
      <c r="K1016" s="142" t="s">
        <v>9303</v>
      </c>
      <c r="L1016" s="36" t="str">
        <f t="shared" si="414"/>
        <v>Periodo 2011-2018</v>
      </c>
      <c r="M1016" s="9" t="str">
        <f t="shared" si="415"/>
        <v>Número de Casos</v>
      </c>
      <c r="N1016" s="9" t="str">
        <f t="shared" si="416"/>
        <v>Departamento de Estadísticas e Información de la Salud (DEIS) - Ministerio de Salud</v>
      </c>
      <c r="O1016" s="41" t="str">
        <f>+"Población en Control del Programa de Cáncer de Cuello Uterino en la "&amp;I1016&amp;", "&amp;Agencia[[#This Row],[temporalidad]]</f>
        <v>Población en Control del Programa de Cáncer de Cuello Uterino en la Región Metropolitana, Periodo 2011-2018</v>
      </c>
      <c r="P1016" s="112" t="s">
        <v>5910</v>
      </c>
      <c r="Q1016" s="11" t="str">
        <f t="shared" si="405"/>
        <v>Gráfico de Evolución</v>
      </c>
      <c r="R1016" s="148" t="str">
        <f>Agencia[[#This Row],[territorio]]&amp;",cáncer,cuello,uterino,cérvico,útero,PAP,papanicolaou,casos,control,población,"&amp;Agencia[[#This Row],[coleccion]]&amp;","&amp;Agencia[[#This Row],[sector]]&amp;","&amp;Agencia[[#This Row],[tema]]&amp;","&amp;Agencia[[#This Row],[contenido]]</f>
        <v>Región Metropolitana,cáncer,cuello,uterino,cérvico,útero,PAP,papanicolaou,casos,control,población,Agencia Información,Mujeres,Programa de Cáncer de Cuello Uterino,Mujer Salud</v>
      </c>
      <c r="S1016" s="37" t="str">
        <f>HYPERLINK("https://analytics.zoho.com/open-view/2395394000008099329?ZOHO_CRITERIA=%22Localiza%20CL%22.%22Codreg%22%20%3D%20"&amp;Agencia[[#This Row],[Filtro URL]])</f>
        <v>https://analytics.zoho.com/open-view/2395394000008099329?ZOHO_CRITERIA=%22Localiza%20CL%22.%22Codreg%22%20%3D%2013</v>
      </c>
      <c r="T1016" s="108" t="str">
        <f>"200-R-"&amp;Agencia[[#This Row],[Filtro URL]]</f>
        <v>200-R-13</v>
      </c>
      <c r="U1016" s="46" t="str">
        <f t="shared" si="417"/>
        <v>#1774B9</v>
      </c>
      <c r="V1016" s="93" t="str">
        <f>+Agencia[[#This Row],[idcoleccion]]&amp;"-"&amp;Agencia[[#This Row],[id]]</f>
        <v>990-1005</v>
      </c>
      <c r="W1016" s="93">
        <f>+VLOOKUP(Agencia[[#This Row],[Filtro URL]],Estructura!$X$4:$Y$500,2,0)</f>
        <v>99200013</v>
      </c>
      <c r="X1016" s="93" t="str">
        <f>+VLOOKUP(Agencia[[#This Row],[tema]],Estructura!$A$4:$C$500,3,0)</f>
        <v>T-998</v>
      </c>
      <c r="Y1016" s="93" t="str">
        <f>+VLOOKUP(Agencia[[#This Row],[contenido]],Estructura!$E$4:$G$500,3,0)</f>
        <v>C-1009</v>
      </c>
      <c r="Z1016" s="93" t="str">
        <f>+VLOOKUP(Agencia[[#This Row],[Filtro Integrado]],Estructura!$I$4:$K$500,3,0)</f>
        <v>FI-993</v>
      </c>
      <c r="AA1016" s="93" t="str">
        <f>+VLOOKUP(Agencia[[#This Row],[Muestra]],Estructura!$M$4:$O$500,3,0)</f>
        <v>M-1052</v>
      </c>
    </row>
    <row r="1017" spans="1:27" ht="57.6" x14ac:dyDescent="0.3">
      <c r="A1017" s="21" t="s">
        <v>1737</v>
      </c>
      <c r="B1017" s="23">
        <f t="shared" si="400"/>
        <v>990</v>
      </c>
      <c r="C1017" s="24" t="str">
        <f t="shared" si="406"/>
        <v>Agencia Información</v>
      </c>
      <c r="D1017" s="72" t="str">
        <f t="shared" si="413"/>
        <v>Mujeres</v>
      </c>
      <c r="E1017" s="19">
        <v>14</v>
      </c>
      <c r="F1017" s="18" t="s">
        <v>946</v>
      </c>
      <c r="G1017" s="18" t="s">
        <v>1897</v>
      </c>
      <c r="H1017" s="33" t="s">
        <v>16</v>
      </c>
      <c r="I1017" s="34" t="s">
        <v>381</v>
      </c>
      <c r="J1017" s="9" t="str">
        <f t="shared" si="418"/>
        <v>Ninguno</v>
      </c>
      <c r="K1017" s="142" t="s">
        <v>9303</v>
      </c>
      <c r="L1017" s="36" t="str">
        <f t="shared" si="414"/>
        <v>Periodo 2011-2018</v>
      </c>
      <c r="M1017" s="9" t="str">
        <f t="shared" si="415"/>
        <v>Número de Casos</v>
      </c>
      <c r="N1017" s="9" t="str">
        <f t="shared" si="416"/>
        <v>Departamento de Estadísticas e Información de la Salud (DEIS) - Ministerio de Salud</v>
      </c>
      <c r="O1017" s="41" t="str">
        <f>+"Población en Control del Programa de Cáncer de Cuello Uterino en la "&amp;I1017&amp;", "&amp;Agencia[[#This Row],[temporalidad]]</f>
        <v>Población en Control del Programa de Cáncer de Cuello Uterino en la Región de Los Ríos, Periodo 2011-2018</v>
      </c>
      <c r="P1017" s="112" t="s">
        <v>5911</v>
      </c>
      <c r="Q1017" s="11" t="str">
        <f t="shared" si="405"/>
        <v>Gráfico de Evolución</v>
      </c>
      <c r="R1017" s="148" t="str">
        <f>Agencia[[#This Row],[territorio]]&amp;",cáncer,cuello,uterino,cérvico,útero,PAP,papanicolaou,casos,control,población,"&amp;Agencia[[#This Row],[coleccion]]&amp;","&amp;Agencia[[#This Row],[sector]]&amp;","&amp;Agencia[[#This Row],[tema]]&amp;","&amp;Agencia[[#This Row],[contenido]]</f>
        <v>Región de Los Ríos,cáncer,cuello,uterino,cérvico,útero,PAP,papanicolaou,casos,control,población,Agencia Información,Mujeres,Programa de Cáncer de Cuello Uterino,Mujer Salud</v>
      </c>
      <c r="S1017" s="37" t="str">
        <f>HYPERLINK("https://analytics.zoho.com/open-view/2395394000008099329?ZOHO_CRITERIA=%22Localiza%20CL%22.%22Codreg%22%20%3D%20"&amp;Agencia[[#This Row],[Filtro URL]])</f>
        <v>https://analytics.zoho.com/open-view/2395394000008099329?ZOHO_CRITERIA=%22Localiza%20CL%22.%22Codreg%22%20%3D%2014</v>
      </c>
      <c r="T1017" s="108" t="str">
        <f>"100-R-"&amp;Agencia[[#This Row],[Filtro URL]]</f>
        <v>100-R-14</v>
      </c>
      <c r="U1017" s="46" t="str">
        <f t="shared" si="417"/>
        <v>#1774B9</v>
      </c>
      <c r="V1017" s="93" t="str">
        <f>+Agencia[[#This Row],[idcoleccion]]&amp;"-"&amp;Agencia[[#This Row],[id]]</f>
        <v>990-1006</v>
      </c>
      <c r="W1017" s="93">
        <f>+VLOOKUP(Agencia[[#This Row],[Filtro URL]],Estructura!$X$4:$Y$500,2,0)</f>
        <v>99200014</v>
      </c>
      <c r="X1017" s="93" t="str">
        <f>+VLOOKUP(Agencia[[#This Row],[tema]],Estructura!$A$4:$C$500,3,0)</f>
        <v>T-998</v>
      </c>
      <c r="Y1017" s="93" t="str">
        <f>+VLOOKUP(Agencia[[#This Row],[contenido]],Estructura!$E$4:$G$500,3,0)</f>
        <v>C-1009</v>
      </c>
      <c r="Z1017" s="93" t="str">
        <f>+VLOOKUP(Agencia[[#This Row],[Filtro Integrado]],Estructura!$I$4:$K$500,3,0)</f>
        <v>FI-993</v>
      </c>
      <c r="AA1017" s="93" t="str">
        <f>+VLOOKUP(Agencia[[#This Row],[Muestra]],Estructura!$M$4:$O$500,3,0)</f>
        <v>M-1052</v>
      </c>
    </row>
    <row r="1018" spans="1:27" ht="57.6" x14ac:dyDescent="0.3">
      <c r="A1018" s="21" t="s">
        <v>1738</v>
      </c>
      <c r="B1018" s="23">
        <f t="shared" si="400"/>
        <v>990</v>
      </c>
      <c r="C1018" s="24" t="str">
        <f t="shared" si="406"/>
        <v>Agencia Información</v>
      </c>
      <c r="D1018" s="72" t="str">
        <f t="shared" si="413"/>
        <v>Mujeres</v>
      </c>
      <c r="E1018" s="19">
        <v>15</v>
      </c>
      <c r="F1018" s="18" t="s">
        <v>946</v>
      </c>
      <c r="G1018" s="18" t="s">
        <v>1897</v>
      </c>
      <c r="H1018" s="33" t="s">
        <v>16</v>
      </c>
      <c r="I1018" s="34" t="s">
        <v>382</v>
      </c>
      <c r="J1018" s="9" t="str">
        <f t="shared" si="418"/>
        <v>Ninguno</v>
      </c>
      <c r="K1018" s="142" t="s">
        <v>9303</v>
      </c>
      <c r="L1018" s="36" t="str">
        <f t="shared" si="414"/>
        <v>Periodo 2011-2018</v>
      </c>
      <c r="M1018" s="9" t="str">
        <f t="shared" si="415"/>
        <v>Número de Casos</v>
      </c>
      <c r="N1018" s="9" t="str">
        <f t="shared" si="416"/>
        <v>Departamento de Estadísticas e Información de la Salud (DEIS) - Ministerio de Salud</v>
      </c>
      <c r="O1018" s="41" t="str">
        <f>+"Población en Control del Programa de Cáncer de Cuello Uterino en la "&amp;I1018&amp;", "&amp;Agencia[[#This Row],[temporalidad]]</f>
        <v>Población en Control del Programa de Cáncer de Cuello Uterino en la Región de Arica y Parinacota, Periodo 2011-2018</v>
      </c>
      <c r="P1018" s="112" t="s">
        <v>5874</v>
      </c>
      <c r="Q1018" s="11" t="str">
        <f t="shared" si="405"/>
        <v>Gráfico de Evolución</v>
      </c>
      <c r="R1018" s="148" t="str">
        <f>Agencia[[#This Row],[territorio]]&amp;",cáncer,cuello,uterino,cérvico,útero,PAP,papanicolaou,casos,control,población,"&amp;Agencia[[#This Row],[coleccion]]&amp;","&amp;Agencia[[#This Row],[sector]]&amp;","&amp;Agencia[[#This Row],[tema]]&amp;","&amp;Agencia[[#This Row],[contenido]]</f>
        <v>Región de Arica y Parinacota,cáncer,cuello,uterino,cérvico,útero,PAP,papanicolaou,casos,control,población,Agencia Información,Mujeres,Programa de Cáncer de Cuello Uterino,Mujer Salud</v>
      </c>
      <c r="S1018" s="37" t="str">
        <f>HYPERLINK("https://analytics.zoho.com/open-view/2395394000008099329?ZOHO_CRITERIA=%22Localiza%20CL%22.%22Codreg%22%20%3D%20"&amp;Agencia[[#This Row],[Filtro URL]])</f>
        <v>https://analytics.zoho.com/open-view/2395394000008099329?ZOHO_CRITERIA=%22Localiza%20CL%22.%22Codreg%22%20%3D%2015</v>
      </c>
      <c r="T1018" s="108" t="str">
        <f>"100-R-"&amp;Agencia[[#This Row],[Filtro URL]]</f>
        <v>100-R-15</v>
      </c>
      <c r="U1018" s="46" t="str">
        <f t="shared" si="417"/>
        <v>#1774B9</v>
      </c>
      <c r="V1018" s="93" t="str">
        <f>+Agencia[[#This Row],[idcoleccion]]&amp;"-"&amp;Agencia[[#This Row],[id]]</f>
        <v>990-1007</v>
      </c>
      <c r="W1018" s="93">
        <f>+VLOOKUP(Agencia[[#This Row],[Filtro URL]],Estructura!$X$4:$Y$500,2,0)</f>
        <v>99200015</v>
      </c>
      <c r="X1018" s="93" t="str">
        <f>+VLOOKUP(Agencia[[#This Row],[tema]],Estructura!$A$4:$C$500,3,0)</f>
        <v>T-998</v>
      </c>
      <c r="Y1018" s="93" t="str">
        <f>+VLOOKUP(Agencia[[#This Row],[contenido]],Estructura!$E$4:$G$500,3,0)</f>
        <v>C-1009</v>
      </c>
      <c r="Z1018" s="93" t="str">
        <f>+VLOOKUP(Agencia[[#This Row],[Filtro Integrado]],Estructura!$I$4:$K$500,3,0)</f>
        <v>FI-993</v>
      </c>
      <c r="AA1018" s="93" t="str">
        <f>+VLOOKUP(Agencia[[#This Row],[Muestra]],Estructura!$M$4:$O$500,3,0)</f>
        <v>M-1052</v>
      </c>
    </row>
    <row r="1019" spans="1:27" ht="57.6" x14ac:dyDescent="0.3">
      <c r="A1019" s="21" t="s">
        <v>1739</v>
      </c>
      <c r="B1019" s="23">
        <f t="shared" si="400"/>
        <v>990</v>
      </c>
      <c r="C1019" s="24" t="str">
        <f t="shared" si="406"/>
        <v>Agencia Información</v>
      </c>
      <c r="D1019" s="72" t="str">
        <f t="shared" si="413"/>
        <v>Mujeres</v>
      </c>
      <c r="E1019" s="19">
        <v>16</v>
      </c>
      <c r="F1019" s="18" t="s">
        <v>946</v>
      </c>
      <c r="G1019" s="18" t="s">
        <v>1897</v>
      </c>
      <c r="H1019" s="33" t="s">
        <v>16</v>
      </c>
      <c r="I1019" s="34" t="s">
        <v>383</v>
      </c>
      <c r="J1019" s="9" t="str">
        <f t="shared" si="418"/>
        <v>Ninguno</v>
      </c>
      <c r="K1019" s="142" t="s">
        <v>9303</v>
      </c>
      <c r="L1019" s="36" t="str">
        <f t="shared" si="414"/>
        <v>Periodo 2011-2018</v>
      </c>
      <c r="M1019" s="9" t="str">
        <f t="shared" si="415"/>
        <v>Número de Casos</v>
      </c>
      <c r="N1019" s="9" t="str">
        <f t="shared" si="416"/>
        <v>Departamento de Estadísticas e Información de la Salud (DEIS) - Ministerio de Salud</v>
      </c>
      <c r="O1019" s="41" t="str">
        <f>+"Población en Control del Programa de Cáncer de Cuello Uterino en la "&amp;I1019&amp;", "&amp;Agencia[[#This Row],[temporalidad]]</f>
        <v>Población en Control del Programa de Cáncer de Cuello Uterino en la Región de Ñuble, Periodo 2011-2018</v>
      </c>
      <c r="P1019" s="112" t="s">
        <v>5875</v>
      </c>
      <c r="Q1019" s="11" t="str">
        <f t="shared" si="405"/>
        <v>Gráfico de Evolución</v>
      </c>
      <c r="R1019" s="148" t="str">
        <f>Agencia[[#This Row],[territorio]]&amp;",cáncer,cuello,uterino,cérvico,útero,PAP,papanicolaou,casos,control,población,"&amp;Agencia[[#This Row],[coleccion]]&amp;","&amp;Agencia[[#This Row],[sector]]&amp;","&amp;Agencia[[#This Row],[tema]]&amp;","&amp;Agencia[[#This Row],[contenido]]</f>
        <v>Región de Ñuble,cáncer,cuello,uterino,cérvico,útero,PAP,papanicolaou,casos,control,población,Agencia Información,Mujeres,Programa de Cáncer de Cuello Uterino,Mujer Salud</v>
      </c>
      <c r="S1019" s="37" t="str">
        <f>HYPERLINK("https://analytics.zoho.com/open-view/2395394000008099329?ZOHO_CRITERIA=%22Localiza%20CL%22.%22Codreg%22%20%3D%20"&amp;Agencia[[#This Row],[Filtro URL]])</f>
        <v>https://analytics.zoho.com/open-view/2395394000008099329?ZOHO_CRITERIA=%22Localiza%20CL%22.%22Codreg%22%20%3D%2016</v>
      </c>
      <c r="T1019" s="108" t="str">
        <f>"100-R-"&amp;Agencia[[#This Row],[Filtro URL]]</f>
        <v>100-R-16</v>
      </c>
      <c r="U1019" s="46" t="str">
        <f t="shared" si="417"/>
        <v>#1774B9</v>
      </c>
      <c r="V1019" s="93" t="str">
        <f>+Agencia[[#This Row],[idcoleccion]]&amp;"-"&amp;Agencia[[#This Row],[id]]</f>
        <v>990-1008</v>
      </c>
      <c r="W1019" s="93">
        <f>+VLOOKUP(Agencia[[#This Row],[Filtro URL]],Estructura!$X$4:$Y$500,2,0)</f>
        <v>99200016</v>
      </c>
      <c r="X1019" s="93" t="str">
        <f>+VLOOKUP(Agencia[[#This Row],[tema]],Estructura!$A$4:$C$500,3,0)</f>
        <v>T-998</v>
      </c>
      <c r="Y1019" s="93" t="str">
        <f>+VLOOKUP(Agencia[[#This Row],[contenido]],Estructura!$E$4:$G$500,3,0)</f>
        <v>C-1009</v>
      </c>
      <c r="Z1019" s="93" t="str">
        <f>+VLOOKUP(Agencia[[#This Row],[Filtro Integrado]],Estructura!$I$4:$K$500,3,0)</f>
        <v>FI-993</v>
      </c>
      <c r="AA1019" s="93" t="str">
        <f>+VLOOKUP(Agencia[[#This Row],[Muestra]],Estructura!$M$4:$O$500,3,0)</f>
        <v>M-1052</v>
      </c>
    </row>
    <row r="1020" spans="1:27" ht="51" x14ac:dyDescent="0.3">
      <c r="A1020" s="21" t="s">
        <v>1740</v>
      </c>
      <c r="B1020" s="23">
        <f t="shared" si="400"/>
        <v>990</v>
      </c>
      <c r="C1020" s="24" t="str">
        <f t="shared" si="406"/>
        <v>Agencia Información</v>
      </c>
      <c r="D1020" s="72" t="s">
        <v>568</v>
      </c>
      <c r="E1020" s="14">
        <v>0</v>
      </c>
      <c r="F1020" s="10" t="s">
        <v>948</v>
      </c>
      <c r="G1020" s="18" t="s">
        <v>1898</v>
      </c>
      <c r="H1020" s="31" t="s">
        <v>20</v>
      </c>
      <c r="I1020" s="32" t="s">
        <v>15</v>
      </c>
      <c r="J1020" s="9" t="s">
        <v>403</v>
      </c>
      <c r="K1020" s="9" t="s">
        <v>9307</v>
      </c>
      <c r="L1020" s="36" t="s">
        <v>1514</v>
      </c>
      <c r="M1020" s="9" t="s">
        <v>582</v>
      </c>
      <c r="N1020" s="9" t="s">
        <v>848</v>
      </c>
      <c r="O1020" s="41" t="str">
        <f>+"Evolución de Población en Control en el Programa de VIH/SIDA y Variación Anual en "&amp;I1020&amp;", "&amp;Agencia[[#This Row],[temporalidad]]</f>
        <v>Evolución de Población en Control en el Programa de VIH/SIDA y Variación Anual en Chile, Periodo 2012-2018</v>
      </c>
      <c r="P1020" s="112" t="s">
        <v>1835</v>
      </c>
      <c r="Q1020" s="11" t="s">
        <v>784</v>
      </c>
      <c r="R1020" s="20" t="str">
        <f>Agencia[[#This Row],[territorio]]&amp;",VIH,SIDA,enfermedad,transmisión,sexual,casos,control,personas,población,programa,variación,anual,"&amp;Agencia[[#This Row],[coleccion]]&amp;","&amp;Agencia[[#This Row],[sector]]&amp;","&amp;Agencia[[#This Row],[tema]]&amp;","&amp;Agencia[[#This Row],[contenido]]</f>
        <v>Chile,VIH,SIDA,enfermedad,transmisión,sexual,casos,control,personas,población,programa,variación,anual,Agencia Información,Salud,Programa de VIH/SIDA,Programas de Salud</v>
      </c>
      <c r="S1020" s="37" t="s">
        <v>1836</v>
      </c>
      <c r="T1020" s="108">
        <v>0</v>
      </c>
      <c r="U1020" s="46" t="str">
        <f t="shared" si="417"/>
        <v>#1774B9</v>
      </c>
      <c r="V1020" s="93" t="str">
        <f>+Agencia[[#This Row],[idcoleccion]]&amp;"-"&amp;Agencia[[#This Row],[id]]</f>
        <v>990-1009</v>
      </c>
      <c r="W1020" s="93">
        <f>+VLOOKUP(Agencia[[#This Row],[Filtro URL]],Estructura!$X$4:$Y$500,2,0)</f>
        <v>99100000</v>
      </c>
      <c r="X1020" s="93" t="str">
        <f>+VLOOKUP(Agencia[[#This Row],[tema]],Estructura!$A$4:$C$500,3,0)</f>
        <v>T-999</v>
      </c>
      <c r="Y1020" s="93" t="str">
        <f>+VLOOKUP(Agencia[[#This Row],[contenido]],Estructura!$E$4:$G$500,3,0)</f>
        <v>C-1010</v>
      </c>
      <c r="Z1020" s="93" t="str">
        <f>+VLOOKUP(Agencia[[#This Row],[Filtro Integrado]],Estructura!$I$4:$K$500,3,0)</f>
        <v>FI-993</v>
      </c>
      <c r="AA1020" s="93" t="str">
        <f>+VLOOKUP(Agencia[[#This Row],[Muestra]],Estructura!$M$4:$O$500,3,0)</f>
        <v>M-1053</v>
      </c>
    </row>
    <row r="1021" spans="1:27" ht="61.2" x14ac:dyDescent="0.3">
      <c r="A1021" s="21" t="s">
        <v>1741</v>
      </c>
      <c r="B1021" s="23">
        <f t="shared" si="400"/>
        <v>990</v>
      </c>
      <c r="C1021" s="24" t="str">
        <f t="shared" si="406"/>
        <v>Agencia Información</v>
      </c>
      <c r="D1021" s="72" t="str">
        <f t="shared" ref="D1021:D1036" si="419">+D1020</f>
        <v>Salud</v>
      </c>
      <c r="E1021" s="19">
        <v>1</v>
      </c>
      <c r="F1021" s="18" t="s">
        <v>948</v>
      </c>
      <c r="G1021" s="18" t="s">
        <v>1898</v>
      </c>
      <c r="H1021" s="33" t="s">
        <v>16</v>
      </c>
      <c r="I1021" s="34" t="s">
        <v>368</v>
      </c>
      <c r="J1021" s="9" t="s">
        <v>403</v>
      </c>
      <c r="K1021" s="142" t="s">
        <v>9307</v>
      </c>
      <c r="L1021" s="36" t="str">
        <f t="shared" ref="L1021:L1036" si="420">+L1020</f>
        <v>Periodo 2012-2018</v>
      </c>
      <c r="M1021" s="9" t="str">
        <f t="shared" ref="M1021:M1036" si="421">+M1020</f>
        <v>Número de Casos</v>
      </c>
      <c r="N1021" s="9" t="str">
        <f t="shared" ref="N1021:N1036" si="422">+N1020</f>
        <v>Departamento de Estadísticas e Información de la Salud (DEIS) - Ministerio de Salud</v>
      </c>
      <c r="O1021" s="41" t="str">
        <f>+"Población en Control del Programa de Cáncer de Cuello Uterino en la "&amp;I1021&amp;", "&amp;Agencia[[#This Row],[temporalidad]]</f>
        <v>Población en Control del Programa de Cáncer de Cuello Uterino en la Región de Tarapacá, Periodo 2012-2018</v>
      </c>
      <c r="P1021" s="112" t="s">
        <v>6682</v>
      </c>
      <c r="Q1021" s="11" t="str">
        <f t="shared" si="405"/>
        <v>Gráfico de Evolución</v>
      </c>
      <c r="R1021" s="148" t="str">
        <f>Agencia[[#This Row],[territorio]]&amp;",VIH,SIDA,enfermedad,transmisión,sexual,casos,control,personas,población,programa,variación,anual,"&amp;Agencia[[#This Row],[coleccion]]&amp;","&amp;Agencia[[#This Row],[sector]]&amp;","&amp;Agencia[[#This Row],[tema]]&amp;","&amp;Agencia[[#This Row],[contenido]]</f>
        <v>Región de Tarapacá,VIH,SIDA,enfermedad,transmisión,sexual,casos,control,personas,población,programa,variación,anual,Agencia Información,Salud,Programa de VIH/SIDA,Programas de Salud</v>
      </c>
      <c r="S1021" s="132" t="str">
        <f>HYPERLINK("https://analytics.zoho.com/open-view/2395394000007991542?ZOHO_CRITERIA=%22Localiza%20CL%22.%22Codreg%22%20%3D%20"&amp;Agencia[[#This Row],[Filtro URL]])</f>
        <v>https://analytics.zoho.com/open-view/2395394000007991542?ZOHO_CRITERIA=%22Localiza%20CL%22.%22Codreg%22%20%3D%201</v>
      </c>
      <c r="T1021" s="108" t="str">
        <f>"100-R-"&amp;Agencia[[#This Row],[Filtro URL]]</f>
        <v>100-R-1</v>
      </c>
      <c r="U1021" s="46" t="str">
        <f t="shared" si="417"/>
        <v>#1774B9</v>
      </c>
      <c r="V1021" s="93" t="str">
        <f>+Agencia[[#This Row],[idcoleccion]]&amp;"-"&amp;Agencia[[#This Row],[id]]</f>
        <v>990-1010</v>
      </c>
      <c r="W1021" s="93">
        <f>+VLOOKUP(Agencia[[#This Row],[Filtro URL]],Estructura!$X$4:$Y$500,2,0)</f>
        <v>99200001</v>
      </c>
      <c r="X1021" s="93" t="str">
        <f>+VLOOKUP(Agencia[[#This Row],[tema]],Estructura!$A$4:$C$500,3,0)</f>
        <v>T-999</v>
      </c>
      <c r="Y1021" s="93" t="str">
        <f>+VLOOKUP(Agencia[[#This Row],[contenido]],Estructura!$E$4:$G$500,3,0)</f>
        <v>C-1010</v>
      </c>
      <c r="Z1021" s="93" t="str">
        <f>+VLOOKUP(Agencia[[#This Row],[Filtro Integrado]],Estructura!$I$4:$K$500,3,0)</f>
        <v>FI-993</v>
      </c>
      <c r="AA1021" s="93" t="str">
        <f>+VLOOKUP(Agencia[[#This Row],[Muestra]],Estructura!$M$4:$O$500,3,0)</f>
        <v>M-1053</v>
      </c>
    </row>
    <row r="1022" spans="1:27" ht="61.2" x14ac:dyDescent="0.3">
      <c r="A1022" s="21" t="s">
        <v>1742</v>
      </c>
      <c r="B1022" s="23">
        <f t="shared" si="400"/>
        <v>990</v>
      </c>
      <c r="C1022" s="24" t="str">
        <f t="shared" si="406"/>
        <v>Agencia Información</v>
      </c>
      <c r="D1022" s="72" t="str">
        <f t="shared" si="419"/>
        <v>Salud</v>
      </c>
      <c r="E1022" s="19">
        <v>2</v>
      </c>
      <c r="F1022" s="18" t="s">
        <v>948</v>
      </c>
      <c r="G1022" s="18" t="s">
        <v>1898</v>
      </c>
      <c r="H1022" s="33" t="s">
        <v>16</v>
      </c>
      <c r="I1022" s="34" t="s">
        <v>369</v>
      </c>
      <c r="J1022" s="9" t="str">
        <f t="shared" ref="J1022:J1036" si="423">+J1021</f>
        <v>Ninguno</v>
      </c>
      <c r="K1022" s="142" t="s">
        <v>9307</v>
      </c>
      <c r="L1022" s="36" t="str">
        <f t="shared" si="420"/>
        <v>Periodo 2012-2018</v>
      </c>
      <c r="M1022" s="9" t="str">
        <f t="shared" si="421"/>
        <v>Número de Casos</v>
      </c>
      <c r="N1022" s="9" t="str">
        <f t="shared" si="422"/>
        <v>Departamento de Estadísticas e Información de la Salud (DEIS) - Ministerio de Salud</v>
      </c>
      <c r="O1022" s="41" t="str">
        <f>+"Población en Control del Programa de Cáncer de Cuello Uterino en la "&amp;I1022&amp;", "&amp;Agencia[[#This Row],[temporalidad]]</f>
        <v>Población en Control del Programa de Cáncer de Cuello Uterino en la Región de Antofagasta, Periodo 2012-2018</v>
      </c>
      <c r="P1022" s="112" t="s">
        <v>6683</v>
      </c>
      <c r="Q1022" s="11" t="str">
        <f t="shared" si="405"/>
        <v>Gráfico de Evolución</v>
      </c>
      <c r="R1022" s="148" t="str">
        <f>Agencia[[#This Row],[territorio]]&amp;",VIH,SIDA,enfermedad,transmisión,sexual,casos,control,personas,población,programa,variación,anual,"&amp;Agencia[[#This Row],[coleccion]]&amp;","&amp;Agencia[[#This Row],[sector]]&amp;","&amp;Agencia[[#This Row],[tema]]&amp;","&amp;Agencia[[#This Row],[contenido]]</f>
        <v>Región de Antofagasta,VIH,SIDA,enfermedad,transmisión,sexual,casos,control,personas,población,programa,variación,anual,Agencia Información,Salud,Programa de VIH/SIDA,Programas de Salud</v>
      </c>
      <c r="S1022" s="132" t="str">
        <f>HYPERLINK("https://analytics.zoho.com/open-view/2395394000007991542?ZOHO_CRITERIA=%22Localiza%20CL%22.%22Codreg%22%20%3D%20"&amp;Agencia[[#This Row],[Filtro URL]])</f>
        <v>https://analytics.zoho.com/open-view/2395394000007991542?ZOHO_CRITERIA=%22Localiza%20CL%22.%22Codreg%22%20%3D%202</v>
      </c>
      <c r="T1022" s="108" t="str">
        <f>"100-R-"&amp;Agencia[[#This Row],[Filtro URL]]</f>
        <v>100-R-2</v>
      </c>
      <c r="U1022" s="46" t="str">
        <f t="shared" si="417"/>
        <v>#1774B9</v>
      </c>
      <c r="V1022" s="93" t="str">
        <f>+Agencia[[#This Row],[idcoleccion]]&amp;"-"&amp;Agencia[[#This Row],[id]]</f>
        <v>990-1011</v>
      </c>
      <c r="W1022" s="93">
        <f>+VLOOKUP(Agencia[[#This Row],[Filtro URL]],Estructura!$X$4:$Y$500,2,0)</f>
        <v>99200002</v>
      </c>
      <c r="X1022" s="93" t="str">
        <f>+VLOOKUP(Agencia[[#This Row],[tema]],Estructura!$A$4:$C$500,3,0)</f>
        <v>T-999</v>
      </c>
      <c r="Y1022" s="93" t="str">
        <f>+VLOOKUP(Agencia[[#This Row],[contenido]],Estructura!$E$4:$G$500,3,0)</f>
        <v>C-1010</v>
      </c>
      <c r="Z1022" s="93" t="str">
        <f>+VLOOKUP(Agencia[[#This Row],[Filtro Integrado]],Estructura!$I$4:$K$500,3,0)</f>
        <v>FI-993</v>
      </c>
      <c r="AA1022" s="93" t="str">
        <f>+VLOOKUP(Agencia[[#This Row],[Muestra]],Estructura!$M$4:$O$500,3,0)</f>
        <v>M-1053</v>
      </c>
    </row>
    <row r="1023" spans="1:27" ht="61.2" x14ac:dyDescent="0.3">
      <c r="A1023" s="21" t="s">
        <v>1743</v>
      </c>
      <c r="B1023" s="23">
        <f t="shared" si="400"/>
        <v>990</v>
      </c>
      <c r="C1023" s="24" t="str">
        <f t="shared" si="406"/>
        <v>Agencia Información</v>
      </c>
      <c r="D1023" s="72" t="str">
        <f t="shared" si="419"/>
        <v>Salud</v>
      </c>
      <c r="E1023" s="19">
        <v>3</v>
      </c>
      <c r="F1023" s="18" t="s">
        <v>948</v>
      </c>
      <c r="G1023" s="18" t="s">
        <v>1898</v>
      </c>
      <c r="H1023" s="33" t="s">
        <v>16</v>
      </c>
      <c r="I1023" s="34" t="s">
        <v>370</v>
      </c>
      <c r="J1023" s="9" t="str">
        <f t="shared" si="423"/>
        <v>Ninguno</v>
      </c>
      <c r="K1023" s="142" t="s">
        <v>9307</v>
      </c>
      <c r="L1023" s="36" t="str">
        <f t="shared" si="420"/>
        <v>Periodo 2012-2018</v>
      </c>
      <c r="M1023" s="9" t="str">
        <f t="shared" si="421"/>
        <v>Número de Casos</v>
      </c>
      <c r="N1023" s="9" t="str">
        <f t="shared" si="422"/>
        <v>Departamento de Estadísticas e Información de la Salud (DEIS) - Ministerio de Salud</v>
      </c>
      <c r="O1023" s="41" t="str">
        <f>+"Población en Control del Programa de Cáncer de Cuello Uterino en la "&amp;I1023&amp;", "&amp;Agencia[[#This Row],[temporalidad]]</f>
        <v>Población en Control del Programa de Cáncer de Cuello Uterino en la Región de Atacama, Periodo 2012-2018</v>
      </c>
      <c r="P1023" s="112" t="s">
        <v>6684</v>
      </c>
      <c r="Q1023" s="11" t="str">
        <f t="shared" si="405"/>
        <v>Gráfico de Evolución</v>
      </c>
      <c r="R1023" s="148" t="str">
        <f>Agencia[[#This Row],[territorio]]&amp;",VIH,SIDA,enfermedad,transmisión,sexual,casos,control,personas,población,programa,variación,anual,"&amp;Agencia[[#This Row],[coleccion]]&amp;","&amp;Agencia[[#This Row],[sector]]&amp;","&amp;Agencia[[#This Row],[tema]]&amp;","&amp;Agencia[[#This Row],[contenido]]</f>
        <v>Región de Atacama,VIH,SIDA,enfermedad,transmisión,sexual,casos,control,personas,población,programa,variación,anual,Agencia Información,Salud,Programa de VIH/SIDA,Programas de Salud</v>
      </c>
      <c r="S1023" s="132" t="str">
        <f>HYPERLINK("https://analytics.zoho.com/open-view/2395394000007991542?ZOHO_CRITERIA=%22Localiza%20CL%22.%22Codreg%22%20%3D%20"&amp;Agencia[[#This Row],[Filtro URL]])</f>
        <v>https://analytics.zoho.com/open-view/2395394000007991542?ZOHO_CRITERIA=%22Localiza%20CL%22.%22Codreg%22%20%3D%203</v>
      </c>
      <c r="T1023" s="108" t="str">
        <f>"100-R-"&amp;Agencia[[#This Row],[Filtro URL]]</f>
        <v>100-R-3</v>
      </c>
      <c r="U1023" s="46" t="str">
        <f t="shared" si="417"/>
        <v>#1774B9</v>
      </c>
      <c r="V1023" s="93" t="str">
        <f>+Agencia[[#This Row],[idcoleccion]]&amp;"-"&amp;Agencia[[#This Row],[id]]</f>
        <v>990-1012</v>
      </c>
      <c r="W1023" s="93">
        <f>+VLOOKUP(Agencia[[#This Row],[Filtro URL]],Estructura!$X$4:$Y$500,2,0)</f>
        <v>99200003</v>
      </c>
      <c r="X1023" s="93" t="str">
        <f>+VLOOKUP(Agencia[[#This Row],[tema]],Estructura!$A$4:$C$500,3,0)</f>
        <v>T-999</v>
      </c>
      <c r="Y1023" s="93" t="str">
        <f>+VLOOKUP(Agencia[[#This Row],[contenido]],Estructura!$E$4:$G$500,3,0)</f>
        <v>C-1010</v>
      </c>
      <c r="Z1023" s="93" t="str">
        <f>+VLOOKUP(Agencia[[#This Row],[Filtro Integrado]],Estructura!$I$4:$K$500,3,0)</f>
        <v>FI-993</v>
      </c>
      <c r="AA1023" s="93" t="str">
        <f>+VLOOKUP(Agencia[[#This Row],[Muestra]],Estructura!$M$4:$O$500,3,0)</f>
        <v>M-1053</v>
      </c>
    </row>
    <row r="1024" spans="1:27" ht="61.2" x14ac:dyDescent="0.3">
      <c r="A1024" s="21" t="s">
        <v>1744</v>
      </c>
      <c r="B1024" s="23">
        <f t="shared" si="400"/>
        <v>990</v>
      </c>
      <c r="C1024" s="24" t="str">
        <f t="shared" si="406"/>
        <v>Agencia Información</v>
      </c>
      <c r="D1024" s="72" t="str">
        <f t="shared" si="419"/>
        <v>Salud</v>
      </c>
      <c r="E1024" s="19">
        <v>4</v>
      </c>
      <c r="F1024" s="18" t="s">
        <v>948</v>
      </c>
      <c r="G1024" s="18" t="s">
        <v>1898</v>
      </c>
      <c r="H1024" s="33" t="s">
        <v>16</v>
      </c>
      <c r="I1024" s="34" t="s">
        <v>371</v>
      </c>
      <c r="J1024" s="9" t="str">
        <f t="shared" si="423"/>
        <v>Ninguno</v>
      </c>
      <c r="K1024" s="142" t="s">
        <v>9307</v>
      </c>
      <c r="L1024" s="36" t="str">
        <f t="shared" si="420"/>
        <v>Periodo 2012-2018</v>
      </c>
      <c r="M1024" s="9" t="str">
        <f t="shared" si="421"/>
        <v>Número de Casos</v>
      </c>
      <c r="N1024" s="9" t="str">
        <f t="shared" si="422"/>
        <v>Departamento de Estadísticas e Información de la Salud (DEIS) - Ministerio de Salud</v>
      </c>
      <c r="O1024" s="41" t="str">
        <f>+"Población en Control del Programa de Cáncer de Cuello Uterino en la "&amp;I1024&amp;", "&amp;Agencia[[#This Row],[temporalidad]]</f>
        <v>Población en Control del Programa de Cáncer de Cuello Uterino en la Región de Coquimbo, Periodo 2012-2018</v>
      </c>
      <c r="P1024" s="112" t="s">
        <v>6685</v>
      </c>
      <c r="Q1024" s="11" t="str">
        <f t="shared" si="405"/>
        <v>Gráfico de Evolución</v>
      </c>
      <c r="R1024" s="148" t="str">
        <f>Agencia[[#This Row],[territorio]]&amp;",VIH,SIDA,enfermedad,transmisión,sexual,casos,control,personas,población,programa,variación,anual,"&amp;Agencia[[#This Row],[coleccion]]&amp;","&amp;Agencia[[#This Row],[sector]]&amp;","&amp;Agencia[[#This Row],[tema]]&amp;","&amp;Agencia[[#This Row],[contenido]]</f>
        <v>Región de Coquimbo,VIH,SIDA,enfermedad,transmisión,sexual,casos,control,personas,población,programa,variación,anual,Agencia Información,Salud,Programa de VIH/SIDA,Programas de Salud</v>
      </c>
      <c r="S1024" s="132" t="str">
        <f>HYPERLINK("https://analytics.zoho.com/open-view/2395394000007991542?ZOHO_CRITERIA=%22Localiza%20CL%22.%22Codreg%22%20%3D%20"&amp;Agencia[[#This Row],[Filtro URL]])</f>
        <v>https://analytics.zoho.com/open-view/2395394000007991542?ZOHO_CRITERIA=%22Localiza%20CL%22.%22Codreg%22%20%3D%204</v>
      </c>
      <c r="T1024" s="108" t="str">
        <f>"100-R-"&amp;Agencia[[#This Row],[Filtro URL]]</f>
        <v>100-R-4</v>
      </c>
      <c r="U1024" s="46" t="str">
        <f t="shared" si="417"/>
        <v>#1774B9</v>
      </c>
      <c r="V1024" s="93" t="str">
        <f>+Agencia[[#This Row],[idcoleccion]]&amp;"-"&amp;Agencia[[#This Row],[id]]</f>
        <v>990-1013</v>
      </c>
      <c r="W1024" s="93">
        <f>+VLOOKUP(Agencia[[#This Row],[Filtro URL]],Estructura!$X$4:$Y$500,2,0)</f>
        <v>99200004</v>
      </c>
      <c r="X1024" s="93" t="str">
        <f>+VLOOKUP(Agencia[[#This Row],[tema]],Estructura!$A$4:$C$500,3,0)</f>
        <v>T-999</v>
      </c>
      <c r="Y1024" s="93" t="str">
        <f>+VLOOKUP(Agencia[[#This Row],[contenido]],Estructura!$E$4:$G$500,3,0)</f>
        <v>C-1010</v>
      </c>
      <c r="Z1024" s="93" t="str">
        <f>+VLOOKUP(Agencia[[#This Row],[Filtro Integrado]],Estructura!$I$4:$K$500,3,0)</f>
        <v>FI-993</v>
      </c>
      <c r="AA1024" s="93" t="str">
        <f>+VLOOKUP(Agencia[[#This Row],[Muestra]],Estructura!$M$4:$O$500,3,0)</f>
        <v>M-1053</v>
      </c>
    </row>
    <row r="1025" spans="1:27" ht="61.2" x14ac:dyDescent="0.3">
      <c r="A1025" s="21" t="s">
        <v>1745</v>
      </c>
      <c r="B1025" s="23">
        <f t="shared" si="400"/>
        <v>990</v>
      </c>
      <c r="C1025" s="24" t="str">
        <f t="shared" si="406"/>
        <v>Agencia Información</v>
      </c>
      <c r="D1025" s="72" t="str">
        <f t="shared" si="419"/>
        <v>Salud</v>
      </c>
      <c r="E1025" s="19">
        <v>5</v>
      </c>
      <c r="F1025" s="18" t="s">
        <v>948</v>
      </c>
      <c r="G1025" s="18" t="s">
        <v>1898</v>
      </c>
      <c r="H1025" s="33" t="s">
        <v>16</v>
      </c>
      <c r="I1025" s="34" t="s">
        <v>372</v>
      </c>
      <c r="J1025" s="9" t="str">
        <f t="shared" si="423"/>
        <v>Ninguno</v>
      </c>
      <c r="K1025" s="142" t="s">
        <v>9307</v>
      </c>
      <c r="L1025" s="36" t="str">
        <f t="shared" si="420"/>
        <v>Periodo 2012-2018</v>
      </c>
      <c r="M1025" s="9" t="str">
        <f t="shared" si="421"/>
        <v>Número de Casos</v>
      </c>
      <c r="N1025" s="9" t="str">
        <f t="shared" si="422"/>
        <v>Departamento de Estadísticas e Información de la Salud (DEIS) - Ministerio de Salud</v>
      </c>
      <c r="O1025" s="41" t="str">
        <f>+"Población en Control del Programa de Cáncer de Cuello Uterino en la "&amp;I1025&amp;", "&amp;Agencia[[#This Row],[temporalidad]]</f>
        <v>Población en Control del Programa de Cáncer de Cuello Uterino en la Región de Valparaíso, Periodo 2012-2018</v>
      </c>
      <c r="P1025" s="112" t="s">
        <v>6686</v>
      </c>
      <c r="Q1025" s="11" t="str">
        <f t="shared" si="405"/>
        <v>Gráfico de Evolución</v>
      </c>
      <c r="R1025" s="148" t="str">
        <f>Agencia[[#This Row],[territorio]]&amp;",VIH,SIDA,enfermedad,transmisión,sexual,casos,control,personas,población,programa,variación,anual,"&amp;Agencia[[#This Row],[coleccion]]&amp;","&amp;Agencia[[#This Row],[sector]]&amp;","&amp;Agencia[[#This Row],[tema]]&amp;","&amp;Agencia[[#This Row],[contenido]]</f>
        <v>Región de Valparaíso,VIH,SIDA,enfermedad,transmisión,sexual,casos,control,personas,población,programa,variación,anual,Agencia Información,Salud,Programa de VIH/SIDA,Programas de Salud</v>
      </c>
      <c r="S1025" s="132" t="str">
        <f>HYPERLINK("https://analytics.zoho.com/open-view/2395394000007991542?ZOHO_CRITERIA=%22Localiza%20CL%22.%22Codreg%22%20%3D%20"&amp;Agencia[[#This Row],[Filtro URL]])</f>
        <v>https://analytics.zoho.com/open-view/2395394000007991542?ZOHO_CRITERIA=%22Localiza%20CL%22.%22Codreg%22%20%3D%205</v>
      </c>
      <c r="T1025" s="108" t="str">
        <f>"100-R-"&amp;Agencia[[#This Row],[Filtro URL]]</f>
        <v>100-R-5</v>
      </c>
      <c r="U1025" s="46" t="str">
        <f t="shared" si="417"/>
        <v>#1774B9</v>
      </c>
      <c r="V1025" s="93" t="str">
        <f>+Agencia[[#This Row],[idcoleccion]]&amp;"-"&amp;Agencia[[#This Row],[id]]</f>
        <v>990-1014</v>
      </c>
      <c r="W1025" s="93">
        <f>+VLOOKUP(Agencia[[#This Row],[Filtro URL]],Estructura!$X$4:$Y$500,2,0)</f>
        <v>99200005</v>
      </c>
      <c r="X1025" s="93" t="str">
        <f>+VLOOKUP(Agencia[[#This Row],[tema]],Estructura!$A$4:$C$500,3,0)</f>
        <v>T-999</v>
      </c>
      <c r="Y1025" s="93" t="str">
        <f>+VLOOKUP(Agencia[[#This Row],[contenido]],Estructura!$E$4:$G$500,3,0)</f>
        <v>C-1010</v>
      </c>
      <c r="Z1025" s="93" t="str">
        <f>+VLOOKUP(Agencia[[#This Row],[Filtro Integrado]],Estructura!$I$4:$K$500,3,0)</f>
        <v>FI-993</v>
      </c>
      <c r="AA1025" s="93" t="str">
        <f>+VLOOKUP(Agencia[[#This Row],[Muestra]],Estructura!$M$4:$O$500,3,0)</f>
        <v>M-1053</v>
      </c>
    </row>
    <row r="1026" spans="1:27" ht="61.2" x14ac:dyDescent="0.3">
      <c r="A1026" s="21" t="s">
        <v>1746</v>
      </c>
      <c r="B1026" s="23">
        <f t="shared" si="400"/>
        <v>990</v>
      </c>
      <c r="C1026" s="24" t="str">
        <f t="shared" si="406"/>
        <v>Agencia Información</v>
      </c>
      <c r="D1026" s="72" t="str">
        <f t="shared" si="419"/>
        <v>Salud</v>
      </c>
      <c r="E1026" s="19">
        <v>6</v>
      </c>
      <c r="F1026" s="18" t="s">
        <v>948</v>
      </c>
      <c r="G1026" s="18" t="s">
        <v>1898</v>
      </c>
      <c r="H1026" s="33" t="s">
        <v>16</v>
      </c>
      <c r="I1026" s="34" t="s">
        <v>373</v>
      </c>
      <c r="J1026" s="9" t="str">
        <f t="shared" si="423"/>
        <v>Ninguno</v>
      </c>
      <c r="K1026" s="142" t="s">
        <v>9307</v>
      </c>
      <c r="L1026" s="36" t="str">
        <f t="shared" si="420"/>
        <v>Periodo 2012-2018</v>
      </c>
      <c r="M1026" s="9" t="str">
        <f t="shared" si="421"/>
        <v>Número de Casos</v>
      </c>
      <c r="N1026" s="9" t="str">
        <f t="shared" si="422"/>
        <v>Departamento de Estadísticas e Información de la Salud (DEIS) - Ministerio de Salud</v>
      </c>
      <c r="O1026" s="41" t="str">
        <f>+"Población en Control del Programa de Cáncer de Cuello Uterino en la "&amp;I1026&amp;", "&amp;Agencia[[#This Row],[temporalidad]]</f>
        <v>Población en Control del Programa de Cáncer de Cuello Uterino en la Región de O'Higgins, Periodo 2012-2018</v>
      </c>
      <c r="P1026" s="112" t="s">
        <v>6687</v>
      </c>
      <c r="Q1026" s="11" t="str">
        <f t="shared" si="405"/>
        <v>Gráfico de Evolución</v>
      </c>
      <c r="R1026" s="148" t="str">
        <f>Agencia[[#This Row],[territorio]]&amp;",VIH,SIDA,enfermedad,transmisión,sexual,casos,control,personas,población,programa,variación,anual,"&amp;Agencia[[#This Row],[coleccion]]&amp;","&amp;Agencia[[#This Row],[sector]]&amp;","&amp;Agencia[[#This Row],[tema]]&amp;","&amp;Agencia[[#This Row],[contenido]]</f>
        <v>Región de O'Higgins,VIH,SIDA,enfermedad,transmisión,sexual,casos,control,personas,población,programa,variación,anual,Agencia Información,Salud,Programa de VIH/SIDA,Programas de Salud</v>
      </c>
      <c r="S1026" s="132" t="str">
        <f>HYPERLINK("https://analytics.zoho.com/open-view/2395394000007991542?ZOHO_CRITERIA=%22Localiza%20CL%22.%22Codreg%22%20%3D%20"&amp;Agencia[[#This Row],[Filtro URL]])</f>
        <v>https://analytics.zoho.com/open-view/2395394000007991542?ZOHO_CRITERIA=%22Localiza%20CL%22.%22Codreg%22%20%3D%206</v>
      </c>
      <c r="T1026" s="108" t="str">
        <f>"100-R-"&amp;Agencia[[#This Row],[Filtro URL]]</f>
        <v>100-R-6</v>
      </c>
      <c r="U1026" s="46" t="str">
        <f t="shared" si="417"/>
        <v>#1774B9</v>
      </c>
      <c r="V1026" s="93" t="str">
        <f>+Agencia[[#This Row],[idcoleccion]]&amp;"-"&amp;Agencia[[#This Row],[id]]</f>
        <v>990-1015</v>
      </c>
      <c r="W1026" s="93">
        <f>+VLOOKUP(Agencia[[#This Row],[Filtro URL]],Estructura!$X$4:$Y$500,2,0)</f>
        <v>99200006</v>
      </c>
      <c r="X1026" s="93" t="str">
        <f>+VLOOKUP(Agencia[[#This Row],[tema]],Estructura!$A$4:$C$500,3,0)</f>
        <v>T-999</v>
      </c>
      <c r="Y1026" s="93" t="str">
        <f>+VLOOKUP(Agencia[[#This Row],[contenido]],Estructura!$E$4:$G$500,3,0)</f>
        <v>C-1010</v>
      </c>
      <c r="Z1026" s="93" t="str">
        <f>+VLOOKUP(Agencia[[#This Row],[Filtro Integrado]],Estructura!$I$4:$K$500,3,0)</f>
        <v>FI-993</v>
      </c>
      <c r="AA1026" s="93" t="str">
        <f>+VLOOKUP(Agencia[[#This Row],[Muestra]],Estructura!$M$4:$O$500,3,0)</f>
        <v>M-1053</v>
      </c>
    </row>
    <row r="1027" spans="1:27" ht="61.2" x14ac:dyDescent="0.3">
      <c r="A1027" s="21" t="s">
        <v>1747</v>
      </c>
      <c r="B1027" s="23">
        <f t="shared" si="400"/>
        <v>990</v>
      </c>
      <c r="C1027" s="24" t="str">
        <f t="shared" si="406"/>
        <v>Agencia Información</v>
      </c>
      <c r="D1027" s="72" t="str">
        <f t="shared" si="419"/>
        <v>Salud</v>
      </c>
      <c r="E1027" s="19">
        <v>7</v>
      </c>
      <c r="F1027" s="18" t="s">
        <v>948</v>
      </c>
      <c r="G1027" s="18" t="s">
        <v>1898</v>
      </c>
      <c r="H1027" s="33" t="s">
        <v>16</v>
      </c>
      <c r="I1027" s="34" t="s">
        <v>374</v>
      </c>
      <c r="J1027" s="9" t="str">
        <f t="shared" si="423"/>
        <v>Ninguno</v>
      </c>
      <c r="K1027" s="142" t="s">
        <v>9307</v>
      </c>
      <c r="L1027" s="36" t="str">
        <f t="shared" si="420"/>
        <v>Periodo 2012-2018</v>
      </c>
      <c r="M1027" s="9" t="str">
        <f t="shared" si="421"/>
        <v>Número de Casos</v>
      </c>
      <c r="N1027" s="9" t="str">
        <f t="shared" si="422"/>
        <v>Departamento de Estadísticas e Información de la Salud (DEIS) - Ministerio de Salud</v>
      </c>
      <c r="O1027" s="41" t="str">
        <f>+"Población en Control del Programa de Cáncer de Cuello Uterino en la "&amp;I1027&amp;", "&amp;Agencia[[#This Row],[temporalidad]]</f>
        <v>Población en Control del Programa de Cáncer de Cuello Uterino en la Región de Maule, Periodo 2012-2018</v>
      </c>
      <c r="P1027" s="112" t="s">
        <v>6688</v>
      </c>
      <c r="Q1027" s="11" t="str">
        <f t="shared" si="405"/>
        <v>Gráfico de Evolución</v>
      </c>
      <c r="R1027" s="148" t="str">
        <f>Agencia[[#This Row],[territorio]]&amp;",VIH,SIDA,enfermedad,transmisión,sexual,casos,control,personas,población,programa,variación,anual,"&amp;Agencia[[#This Row],[coleccion]]&amp;","&amp;Agencia[[#This Row],[sector]]&amp;","&amp;Agencia[[#This Row],[tema]]&amp;","&amp;Agencia[[#This Row],[contenido]]</f>
        <v>Región de Maule,VIH,SIDA,enfermedad,transmisión,sexual,casos,control,personas,población,programa,variación,anual,Agencia Información,Salud,Programa de VIH/SIDA,Programas de Salud</v>
      </c>
      <c r="S1027" s="132" t="str">
        <f>HYPERLINK("https://analytics.zoho.com/open-view/2395394000007991542?ZOHO_CRITERIA=%22Localiza%20CL%22.%22Codreg%22%20%3D%20"&amp;Agencia[[#This Row],[Filtro URL]])</f>
        <v>https://analytics.zoho.com/open-view/2395394000007991542?ZOHO_CRITERIA=%22Localiza%20CL%22.%22Codreg%22%20%3D%207</v>
      </c>
      <c r="T1027" s="108" t="str">
        <f>"100-R-"&amp;Agencia[[#This Row],[Filtro URL]]</f>
        <v>100-R-7</v>
      </c>
      <c r="U1027" s="46" t="str">
        <f t="shared" si="417"/>
        <v>#1774B9</v>
      </c>
      <c r="V1027" s="93" t="str">
        <f>+Agencia[[#This Row],[idcoleccion]]&amp;"-"&amp;Agencia[[#This Row],[id]]</f>
        <v>990-1016</v>
      </c>
      <c r="W1027" s="93">
        <f>+VLOOKUP(Agencia[[#This Row],[Filtro URL]],Estructura!$X$4:$Y$500,2,0)</f>
        <v>99200007</v>
      </c>
      <c r="X1027" s="93" t="str">
        <f>+VLOOKUP(Agencia[[#This Row],[tema]],Estructura!$A$4:$C$500,3,0)</f>
        <v>T-999</v>
      </c>
      <c r="Y1027" s="93" t="str">
        <f>+VLOOKUP(Agencia[[#This Row],[contenido]],Estructura!$E$4:$G$500,3,0)</f>
        <v>C-1010</v>
      </c>
      <c r="Z1027" s="93" t="str">
        <f>+VLOOKUP(Agencia[[#This Row],[Filtro Integrado]],Estructura!$I$4:$K$500,3,0)</f>
        <v>FI-993</v>
      </c>
      <c r="AA1027" s="93" t="str">
        <f>+VLOOKUP(Agencia[[#This Row],[Muestra]],Estructura!$M$4:$O$500,3,0)</f>
        <v>M-1053</v>
      </c>
    </row>
    <row r="1028" spans="1:27" ht="61.2" x14ac:dyDescent="0.3">
      <c r="A1028" s="21" t="s">
        <v>1748</v>
      </c>
      <c r="B1028" s="23">
        <f t="shared" si="400"/>
        <v>990</v>
      </c>
      <c r="C1028" s="24" t="str">
        <f t="shared" si="406"/>
        <v>Agencia Información</v>
      </c>
      <c r="D1028" s="72" t="str">
        <f t="shared" si="419"/>
        <v>Salud</v>
      </c>
      <c r="E1028" s="19">
        <v>8</v>
      </c>
      <c r="F1028" s="18" t="s">
        <v>948</v>
      </c>
      <c r="G1028" s="18" t="s">
        <v>1898</v>
      </c>
      <c r="H1028" s="33" t="s">
        <v>16</v>
      </c>
      <c r="I1028" s="34" t="s">
        <v>375</v>
      </c>
      <c r="J1028" s="9" t="str">
        <f t="shared" si="423"/>
        <v>Ninguno</v>
      </c>
      <c r="K1028" s="142" t="s">
        <v>9307</v>
      </c>
      <c r="L1028" s="36" t="str">
        <f t="shared" si="420"/>
        <v>Periodo 2012-2018</v>
      </c>
      <c r="M1028" s="9" t="str">
        <f t="shared" si="421"/>
        <v>Número de Casos</v>
      </c>
      <c r="N1028" s="9" t="str">
        <f t="shared" si="422"/>
        <v>Departamento de Estadísticas e Información de la Salud (DEIS) - Ministerio de Salud</v>
      </c>
      <c r="O1028" s="41" t="str">
        <f>+"Población en Control del Programa de Cáncer de Cuello Uterino en la "&amp;I1028&amp;", "&amp;Agencia[[#This Row],[temporalidad]]</f>
        <v>Población en Control del Programa de Cáncer de Cuello Uterino en la Región del Biobío, Periodo 2012-2018</v>
      </c>
      <c r="P1028" s="112" t="s">
        <v>6689</v>
      </c>
      <c r="Q1028" s="11" t="str">
        <f t="shared" si="405"/>
        <v>Gráfico de Evolución</v>
      </c>
      <c r="R1028" s="148" t="str">
        <f>Agencia[[#This Row],[territorio]]&amp;",VIH,SIDA,enfermedad,transmisión,sexual,casos,control,personas,población,programa,variación,anual,"&amp;Agencia[[#This Row],[coleccion]]&amp;","&amp;Agencia[[#This Row],[sector]]&amp;","&amp;Agencia[[#This Row],[tema]]&amp;","&amp;Agencia[[#This Row],[contenido]]</f>
        <v>Región del Biobío,VIH,SIDA,enfermedad,transmisión,sexual,casos,control,personas,población,programa,variación,anual,Agencia Información,Salud,Programa de VIH/SIDA,Programas de Salud</v>
      </c>
      <c r="S1028" s="132" t="str">
        <f>HYPERLINK("https://analytics.zoho.com/open-view/2395394000007991542?ZOHO_CRITERIA=%22Localiza%20CL%22.%22Codreg%22%20%3D%20"&amp;Agencia[[#This Row],[Filtro URL]])</f>
        <v>https://analytics.zoho.com/open-view/2395394000007991542?ZOHO_CRITERIA=%22Localiza%20CL%22.%22Codreg%22%20%3D%208</v>
      </c>
      <c r="T1028" s="108" t="str">
        <f>"100-R-"&amp;Agencia[[#This Row],[Filtro URL]]</f>
        <v>100-R-8</v>
      </c>
      <c r="U1028" s="46" t="str">
        <f t="shared" si="417"/>
        <v>#1774B9</v>
      </c>
      <c r="V1028" s="93" t="str">
        <f>+Agencia[[#This Row],[idcoleccion]]&amp;"-"&amp;Agencia[[#This Row],[id]]</f>
        <v>990-1017</v>
      </c>
      <c r="W1028" s="93">
        <f>+VLOOKUP(Agencia[[#This Row],[Filtro URL]],Estructura!$X$4:$Y$500,2,0)</f>
        <v>99200008</v>
      </c>
      <c r="X1028" s="93" t="str">
        <f>+VLOOKUP(Agencia[[#This Row],[tema]],Estructura!$A$4:$C$500,3,0)</f>
        <v>T-999</v>
      </c>
      <c r="Y1028" s="93" t="str">
        <f>+VLOOKUP(Agencia[[#This Row],[contenido]],Estructura!$E$4:$G$500,3,0)</f>
        <v>C-1010</v>
      </c>
      <c r="Z1028" s="93" t="str">
        <f>+VLOOKUP(Agencia[[#This Row],[Filtro Integrado]],Estructura!$I$4:$K$500,3,0)</f>
        <v>FI-993</v>
      </c>
      <c r="AA1028" s="93" t="str">
        <f>+VLOOKUP(Agencia[[#This Row],[Muestra]],Estructura!$M$4:$O$500,3,0)</f>
        <v>M-1053</v>
      </c>
    </row>
    <row r="1029" spans="1:27" ht="61.2" x14ac:dyDescent="0.3">
      <c r="A1029" s="21" t="s">
        <v>1749</v>
      </c>
      <c r="B1029" s="23">
        <f t="shared" si="400"/>
        <v>990</v>
      </c>
      <c r="C1029" s="24" t="str">
        <f t="shared" si="406"/>
        <v>Agencia Información</v>
      </c>
      <c r="D1029" s="72" t="str">
        <f t="shared" si="419"/>
        <v>Salud</v>
      </c>
      <c r="E1029" s="19">
        <v>9</v>
      </c>
      <c r="F1029" s="18" t="s">
        <v>948</v>
      </c>
      <c r="G1029" s="18" t="s">
        <v>1898</v>
      </c>
      <c r="H1029" s="33" t="s">
        <v>16</v>
      </c>
      <c r="I1029" s="34" t="s">
        <v>376</v>
      </c>
      <c r="J1029" s="9" t="str">
        <f t="shared" si="423"/>
        <v>Ninguno</v>
      </c>
      <c r="K1029" s="142" t="s">
        <v>9307</v>
      </c>
      <c r="L1029" s="36" t="str">
        <f t="shared" si="420"/>
        <v>Periodo 2012-2018</v>
      </c>
      <c r="M1029" s="9" t="str">
        <f t="shared" si="421"/>
        <v>Número de Casos</v>
      </c>
      <c r="N1029" s="9" t="str">
        <f t="shared" si="422"/>
        <v>Departamento de Estadísticas e Información de la Salud (DEIS) - Ministerio de Salud</v>
      </c>
      <c r="O1029" s="41" t="str">
        <f>+"Población en Control del Programa de Cáncer de Cuello Uterino en la "&amp;I1029&amp;", "&amp;Agencia[[#This Row],[temporalidad]]</f>
        <v>Población en Control del Programa de Cáncer de Cuello Uterino en la Región de La Araucanía, Periodo 2012-2018</v>
      </c>
      <c r="P1029" s="112" t="s">
        <v>6690</v>
      </c>
      <c r="Q1029" s="11" t="str">
        <f t="shared" si="405"/>
        <v>Gráfico de Evolución</v>
      </c>
      <c r="R1029" s="148" t="str">
        <f>Agencia[[#This Row],[territorio]]&amp;",VIH,SIDA,enfermedad,transmisión,sexual,casos,control,personas,población,programa,variación,anual,"&amp;Agencia[[#This Row],[coleccion]]&amp;","&amp;Agencia[[#This Row],[sector]]&amp;","&amp;Agencia[[#This Row],[tema]]&amp;","&amp;Agencia[[#This Row],[contenido]]</f>
        <v>Región de La Araucanía,VIH,SIDA,enfermedad,transmisión,sexual,casos,control,personas,población,programa,variación,anual,Agencia Información,Salud,Programa de VIH/SIDA,Programas de Salud</v>
      </c>
      <c r="S1029" s="132" t="str">
        <f>HYPERLINK("https://analytics.zoho.com/open-view/2395394000007991542?ZOHO_CRITERIA=%22Localiza%20CL%22.%22Codreg%22%20%3D%20"&amp;Agencia[[#This Row],[Filtro URL]])</f>
        <v>https://analytics.zoho.com/open-view/2395394000007991542?ZOHO_CRITERIA=%22Localiza%20CL%22.%22Codreg%22%20%3D%209</v>
      </c>
      <c r="T1029" s="108" t="str">
        <f>"100-R-"&amp;Agencia[[#This Row],[Filtro URL]]</f>
        <v>100-R-9</v>
      </c>
      <c r="U1029" s="46" t="str">
        <f t="shared" si="417"/>
        <v>#1774B9</v>
      </c>
      <c r="V1029" s="93" t="str">
        <f>+Agencia[[#This Row],[idcoleccion]]&amp;"-"&amp;Agencia[[#This Row],[id]]</f>
        <v>990-1018</v>
      </c>
      <c r="W1029" s="93">
        <f>+VLOOKUP(Agencia[[#This Row],[Filtro URL]],Estructura!$X$4:$Y$500,2,0)</f>
        <v>99200009</v>
      </c>
      <c r="X1029" s="93" t="str">
        <f>+VLOOKUP(Agencia[[#This Row],[tema]],Estructura!$A$4:$C$500,3,0)</f>
        <v>T-999</v>
      </c>
      <c r="Y1029" s="93" t="str">
        <f>+VLOOKUP(Agencia[[#This Row],[contenido]],Estructura!$E$4:$G$500,3,0)</f>
        <v>C-1010</v>
      </c>
      <c r="Z1029" s="93" t="str">
        <f>+VLOOKUP(Agencia[[#This Row],[Filtro Integrado]],Estructura!$I$4:$K$500,3,0)</f>
        <v>FI-993</v>
      </c>
      <c r="AA1029" s="93" t="str">
        <f>+VLOOKUP(Agencia[[#This Row],[Muestra]],Estructura!$M$4:$O$500,3,0)</f>
        <v>M-1053</v>
      </c>
    </row>
    <row r="1030" spans="1:27" ht="61.2" x14ac:dyDescent="0.3">
      <c r="A1030" s="21" t="s">
        <v>1750</v>
      </c>
      <c r="B1030" s="23">
        <f t="shared" si="400"/>
        <v>990</v>
      </c>
      <c r="C1030" s="24" t="str">
        <f t="shared" si="406"/>
        <v>Agencia Información</v>
      </c>
      <c r="D1030" s="72" t="str">
        <f t="shared" si="419"/>
        <v>Salud</v>
      </c>
      <c r="E1030" s="19">
        <v>10</v>
      </c>
      <c r="F1030" s="18" t="s">
        <v>948</v>
      </c>
      <c r="G1030" s="18" t="s">
        <v>1898</v>
      </c>
      <c r="H1030" s="33" t="s">
        <v>16</v>
      </c>
      <c r="I1030" s="34" t="s">
        <v>377</v>
      </c>
      <c r="J1030" s="9" t="str">
        <f t="shared" si="423"/>
        <v>Ninguno</v>
      </c>
      <c r="K1030" s="142" t="s">
        <v>9307</v>
      </c>
      <c r="L1030" s="36" t="str">
        <f t="shared" si="420"/>
        <v>Periodo 2012-2018</v>
      </c>
      <c r="M1030" s="9" t="str">
        <f t="shared" si="421"/>
        <v>Número de Casos</v>
      </c>
      <c r="N1030" s="9" t="str">
        <f t="shared" si="422"/>
        <v>Departamento de Estadísticas e Información de la Salud (DEIS) - Ministerio de Salud</v>
      </c>
      <c r="O1030" s="41" t="str">
        <f>+"Población en Control del Programa de Cáncer de Cuello Uterino en la "&amp;I1030&amp;", "&amp;Agencia[[#This Row],[temporalidad]]</f>
        <v>Población en Control del Programa de Cáncer de Cuello Uterino en la Región de Los Lagos, Periodo 2012-2018</v>
      </c>
      <c r="P1030" s="112" t="s">
        <v>6691</v>
      </c>
      <c r="Q1030" s="11" t="str">
        <f t="shared" si="405"/>
        <v>Gráfico de Evolución</v>
      </c>
      <c r="R1030" s="148" t="str">
        <f>Agencia[[#This Row],[territorio]]&amp;",VIH,SIDA,enfermedad,transmisión,sexual,casos,control,personas,población,programa,variación,anual,"&amp;Agencia[[#This Row],[coleccion]]&amp;","&amp;Agencia[[#This Row],[sector]]&amp;","&amp;Agencia[[#This Row],[tema]]&amp;","&amp;Agencia[[#This Row],[contenido]]</f>
        <v>Región de Los Lagos,VIH,SIDA,enfermedad,transmisión,sexual,casos,control,personas,población,programa,variación,anual,Agencia Información,Salud,Programa de VIH/SIDA,Programas de Salud</v>
      </c>
      <c r="S1030" s="132" t="str">
        <f>HYPERLINK("https://analytics.zoho.com/open-view/2395394000007991542?ZOHO_CRITERIA=%22Localiza%20CL%22.%22Codreg%22%20%3D%20"&amp;Agencia[[#This Row],[Filtro URL]])</f>
        <v>https://analytics.zoho.com/open-view/2395394000007991542?ZOHO_CRITERIA=%22Localiza%20CL%22.%22Codreg%22%20%3D%2010</v>
      </c>
      <c r="T1030" s="108" t="str">
        <f>"100-R-"&amp;Agencia[[#This Row],[Filtro URL]]</f>
        <v>100-R-10</v>
      </c>
      <c r="U1030" s="46" t="str">
        <f t="shared" si="417"/>
        <v>#1774B9</v>
      </c>
      <c r="V1030" s="93" t="str">
        <f>+Agencia[[#This Row],[idcoleccion]]&amp;"-"&amp;Agencia[[#This Row],[id]]</f>
        <v>990-1019</v>
      </c>
      <c r="W1030" s="93">
        <f>+VLOOKUP(Agencia[[#This Row],[Filtro URL]],Estructura!$X$4:$Y$500,2,0)</f>
        <v>99200010</v>
      </c>
      <c r="X1030" s="93" t="str">
        <f>+VLOOKUP(Agencia[[#This Row],[tema]],Estructura!$A$4:$C$500,3,0)</f>
        <v>T-999</v>
      </c>
      <c r="Y1030" s="93" t="str">
        <f>+VLOOKUP(Agencia[[#This Row],[contenido]],Estructura!$E$4:$G$500,3,0)</f>
        <v>C-1010</v>
      </c>
      <c r="Z1030" s="93" t="str">
        <f>+VLOOKUP(Agencia[[#This Row],[Filtro Integrado]],Estructura!$I$4:$K$500,3,0)</f>
        <v>FI-993</v>
      </c>
      <c r="AA1030" s="93" t="str">
        <f>+VLOOKUP(Agencia[[#This Row],[Muestra]],Estructura!$M$4:$O$500,3,0)</f>
        <v>M-1053</v>
      </c>
    </row>
    <row r="1031" spans="1:27" ht="61.2" x14ac:dyDescent="0.3">
      <c r="A1031" s="21" t="s">
        <v>1751</v>
      </c>
      <c r="B1031" s="23">
        <f t="shared" si="400"/>
        <v>990</v>
      </c>
      <c r="C1031" s="24" t="str">
        <f t="shared" si="406"/>
        <v>Agencia Información</v>
      </c>
      <c r="D1031" s="72" t="str">
        <f t="shared" si="419"/>
        <v>Salud</v>
      </c>
      <c r="E1031" s="19">
        <v>11</v>
      </c>
      <c r="F1031" s="18" t="s">
        <v>948</v>
      </c>
      <c r="G1031" s="18" t="s">
        <v>1898</v>
      </c>
      <c r="H1031" s="33" t="s">
        <v>16</v>
      </c>
      <c r="I1031" s="34" t="s">
        <v>378</v>
      </c>
      <c r="J1031" s="9" t="str">
        <f t="shared" si="423"/>
        <v>Ninguno</v>
      </c>
      <c r="K1031" s="142" t="s">
        <v>9307</v>
      </c>
      <c r="L1031" s="36" t="str">
        <f t="shared" si="420"/>
        <v>Periodo 2012-2018</v>
      </c>
      <c r="M1031" s="9" t="str">
        <f t="shared" si="421"/>
        <v>Número de Casos</v>
      </c>
      <c r="N1031" s="9" t="str">
        <f t="shared" si="422"/>
        <v>Departamento de Estadísticas e Información de la Salud (DEIS) - Ministerio de Salud</v>
      </c>
      <c r="O1031" s="41" t="str">
        <f>+"Población en Control del Programa de Cáncer de Cuello Uterino en la "&amp;I1031&amp;", "&amp;Agencia[[#This Row],[temporalidad]]</f>
        <v>Población en Control del Programa de Cáncer de Cuello Uterino en la Región de Aysén, Periodo 2012-2018</v>
      </c>
      <c r="P1031" s="112" t="s">
        <v>6692</v>
      </c>
      <c r="Q1031" s="11" t="str">
        <f t="shared" si="405"/>
        <v>Gráfico de Evolución</v>
      </c>
      <c r="R1031" s="148" t="str">
        <f>Agencia[[#This Row],[territorio]]&amp;",VIH,SIDA,enfermedad,transmisión,sexual,casos,control,personas,población,programa,variación,anual,"&amp;Agencia[[#This Row],[coleccion]]&amp;","&amp;Agencia[[#This Row],[sector]]&amp;","&amp;Agencia[[#This Row],[tema]]&amp;","&amp;Agencia[[#This Row],[contenido]]</f>
        <v>Región de Aysén,VIH,SIDA,enfermedad,transmisión,sexual,casos,control,personas,población,programa,variación,anual,Agencia Información,Salud,Programa de VIH/SIDA,Programas de Salud</v>
      </c>
      <c r="S1031" s="132" t="str">
        <f>HYPERLINK("https://analytics.zoho.com/open-view/2395394000007991542?ZOHO_CRITERIA=%22Localiza%20CL%22.%22Codreg%22%20%3D%20"&amp;Agencia[[#This Row],[Filtro URL]])</f>
        <v>https://analytics.zoho.com/open-view/2395394000007991542?ZOHO_CRITERIA=%22Localiza%20CL%22.%22Codreg%22%20%3D%2011</v>
      </c>
      <c r="T1031" s="108" t="str">
        <f>"100-R-"&amp;Agencia[[#This Row],[Filtro URL]]</f>
        <v>100-R-11</v>
      </c>
      <c r="U1031" s="46" t="str">
        <f t="shared" si="417"/>
        <v>#1774B9</v>
      </c>
      <c r="V1031" s="93" t="str">
        <f>+Agencia[[#This Row],[idcoleccion]]&amp;"-"&amp;Agencia[[#This Row],[id]]</f>
        <v>990-1020</v>
      </c>
      <c r="W1031" s="93">
        <f>+VLOOKUP(Agencia[[#This Row],[Filtro URL]],Estructura!$X$4:$Y$500,2,0)</f>
        <v>99200011</v>
      </c>
      <c r="X1031" s="93" t="str">
        <f>+VLOOKUP(Agencia[[#This Row],[tema]],Estructura!$A$4:$C$500,3,0)</f>
        <v>T-999</v>
      </c>
      <c r="Y1031" s="93" t="str">
        <f>+VLOOKUP(Agencia[[#This Row],[contenido]],Estructura!$E$4:$G$500,3,0)</f>
        <v>C-1010</v>
      </c>
      <c r="Z1031" s="93" t="str">
        <f>+VLOOKUP(Agencia[[#This Row],[Filtro Integrado]],Estructura!$I$4:$K$500,3,0)</f>
        <v>FI-993</v>
      </c>
      <c r="AA1031" s="93" t="str">
        <f>+VLOOKUP(Agencia[[#This Row],[Muestra]],Estructura!$M$4:$O$500,3,0)</f>
        <v>M-1053</v>
      </c>
    </row>
    <row r="1032" spans="1:27" ht="61.2" x14ac:dyDescent="0.3">
      <c r="A1032" s="21" t="s">
        <v>1752</v>
      </c>
      <c r="B1032" s="23">
        <f t="shared" si="400"/>
        <v>990</v>
      </c>
      <c r="C1032" s="24" t="str">
        <f t="shared" si="406"/>
        <v>Agencia Información</v>
      </c>
      <c r="D1032" s="72" t="str">
        <f t="shared" si="419"/>
        <v>Salud</v>
      </c>
      <c r="E1032" s="19">
        <v>12</v>
      </c>
      <c r="F1032" s="18" t="s">
        <v>948</v>
      </c>
      <c r="G1032" s="18" t="s">
        <v>1898</v>
      </c>
      <c r="H1032" s="33" t="s">
        <v>16</v>
      </c>
      <c r="I1032" s="34" t="s">
        <v>379</v>
      </c>
      <c r="J1032" s="9" t="str">
        <f t="shared" si="423"/>
        <v>Ninguno</v>
      </c>
      <c r="K1032" s="142" t="s">
        <v>9307</v>
      </c>
      <c r="L1032" s="36" t="str">
        <f t="shared" si="420"/>
        <v>Periodo 2012-2018</v>
      </c>
      <c r="M1032" s="9" t="str">
        <f t="shared" si="421"/>
        <v>Número de Casos</v>
      </c>
      <c r="N1032" s="9" t="str">
        <f t="shared" si="422"/>
        <v>Departamento de Estadísticas e Información de la Salud (DEIS) - Ministerio de Salud</v>
      </c>
      <c r="O1032" s="41" t="str">
        <f>+"Población en Control del Programa de Cáncer de Cuello Uterino en la "&amp;I1032&amp;", "&amp;Agencia[[#This Row],[temporalidad]]</f>
        <v>Población en Control del Programa de Cáncer de Cuello Uterino en la Región de Magallanes, Periodo 2012-2018</v>
      </c>
      <c r="P1032" s="112" t="s">
        <v>6693</v>
      </c>
      <c r="Q1032" s="11" t="str">
        <f t="shared" si="405"/>
        <v>Gráfico de Evolución</v>
      </c>
      <c r="R1032" s="148" t="str">
        <f>Agencia[[#This Row],[territorio]]&amp;",VIH,SIDA,enfermedad,transmisión,sexual,casos,control,personas,población,programa,variación,anual,"&amp;Agencia[[#This Row],[coleccion]]&amp;","&amp;Agencia[[#This Row],[sector]]&amp;","&amp;Agencia[[#This Row],[tema]]&amp;","&amp;Agencia[[#This Row],[contenido]]</f>
        <v>Región de Magallanes,VIH,SIDA,enfermedad,transmisión,sexual,casos,control,personas,población,programa,variación,anual,Agencia Información,Salud,Programa de VIH/SIDA,Programas de Salud</v>
      </c>
      <c r="S1032" s="132" t="str">
        <f>HYPERLINK("https://analytics.zoho.com/open-view/2395394000007991542?ZOHO_CRITERIA=%22Localiza%20CL%22.%22Codreg%22%20%3D%20"&amp;Agencia[[#This Row],[Filtro URL]])</f>
        <v>https://analytics.zoho.com/open-view/2395394000007991542?ZOHO_CRITERIA=%22Localiza%20CL%22.%22Codreg%22%20%3D%2012</v>
      </c>
      <c r="T1032" s="108" t="str">
        <f>"100-R-"&amp;Agencia[[#This Row],[Filtro URL]]</f>
        <v>100-R-12</v>
      </c>
      <c r="U1032" s="46" t="str">
        <f t="shared" si="417"/>
        <v>#1774B9</v>
      </c>
      <c r="V1032" s="93" t="str">
        <f>+Agencia[[#This Row],[idcoleccion]]&amp;"-"&amp;Agencia[[#This Row],[id]]</f>
        <v>990-1021</v>
      </c>
      <c r="W1032" s="93">
        <f>+VLOOKUP(Agencia[[#This Row],[Filtro URL]],Estructura!$X$4:$Y$500,2,0)</f>
        <v>99200012</v>
      </c>
      <c r="X1032" s="93" t="str">
        <f>+VLOOKUP(Agencia[[#This Row],[tema]],Estructura!$A$4:$C$500,3,0)</f>
        <v>T-999</v>
      </c>
      <c r="Y1032" s="93" t="str">
        <f>+VLOOKUP(Agencia[[#This Row],[contenido]],Estructura!$E$4:$G$500,3,0)</f>
        <v>C-1010</v>
      </c>
      <c r="Z1032" s="93" t="str">
        <f>+VLOOKUP(Agencia[[#This Row],[Filtro Integrado]],Estructura!$I$4:$K$500,3,0)</f>
        <v>FI-993</v>
      </c>
      <c r="AA1032" s="93" t="str">
        <f>+VLOOKUP(Agencia[[#This Row],[Muestra]],Estructura!$M$4:$O$500,3,0)</f>
        <v>M-1053</v>
      </c>
    </row>
    <row r="1033" spans="1:27" ht="61.2" x14ac:dyDescent="0.3">
      <c r="A1033" s="21" t="s">
        <v>1753</v>
      </c>
      <c r="B1033" s="23">
        <f t="shared" si="400"/>
        <v>990</v>
      </c>
      <c r="C1033" s="24" t="str">
        <f t="shared" si="406"/>
        <v>Agencia Información</v>
      </c>
      <c r="D1033" s="72" t="str">
        <f t="shared" si="419"/>
        <v>Salud</v>
      </c>
      <c r="E1033" s="19">
        <v>13</v>
      </c>
      <c r="F1033" s="18" t="s">
        <v>948</v>
      </c>
      <c r="G1033" s="18" t="s">
        <v>1898</v>
      </c>
      <c r="H1033" s="33" t="s">
        <v>16</v>
      </c>
      <c r="I1033" s="34" t="s">
        <v>380</v>
      </c>
      <c r="J1033" s="9" t="str">
        <f t="shared" si="423"/>
        <v>Ninguno</v>
      </c>
      <c r="K1033" s="142" t="s">
        <v>9307</v>
      </c>
      <c r="L1033" s="36" t="str">
        <f t="shared" si="420"/>
        <v>Periodo 2012-2018</v>
      </c>
      <c r="M1033" s="9" t="str">
        <f t="shared" si="421"/>
        <v>Número de Casos</v>
      </c>
      <c r="N1033" s="9" t="str">
        <f t="shared" si="422"/>
        <v>Departamento de Estadísticas e Información de la Salud (DEIS) - Ministerio de Salud</v>
      </c>
      <c r="O1033" s="41" t="str">
        <f>+"Población en Control del Programa de Cáncer de Cuello Uterino en la "&amp;I1033&amp;", "&amp;Agencia[[#This Row],[temporalidad]]</f>
        <v>Población en Control del Programa de Cáncer de Cuello Uterino en la Región Metropolitana, Periodo 2012-2018</v>
      </c>
      <c r="P1033" s="112" t="s">
        <v>6694</v>
      </c>
      <c r="Q1033" s="11" t="str">
        <f t="shared" si="405"/>
        <v>Gráfico de Evolución</v>
      </c>
      <c r="R1033" s="148" t="str">
        <f>Agencia[[#This Row],[territorio]]&amp;",VIH,SIDA,enfermedad,transmisión,sexual,casos,control,personas,población,programa,variación,anual,"&amp;Agencia[[#This Row],[coleccion]]&amp;","&amp;Agencia[[#This Row],[sector]]&amp;","&amp;Agencia[[#This Row],[tema]]&amp;","&amp;Agencia[[#This Row],[contenido]]</f>
        <v>Región Metropolitana,VIH,SIDA,enfermedad,transmisión,sexual,casos,control,personas,población,programa,variación,anual,Agencia Información,Salud,Programa de VIH/SIDA,Programas de Salud</v>
      </c>
      <c r="S1033" s="132" t="str">
        <f>HYPERLINK("https://analytics.zoho.com/open-view/2395394000007991542?ZOHO_CRITERIA=%22Localiza%20CL%22.%22Codreg%22%20%3D%20"&amp;Agencia[[#This Row],[Filtro URL]])</f>
        <v>https://analytics.zoho.com/open-view/2395394000007991542?ZOHO_CRITERIA=%22Localiza%20CL%22.%22Codreg%22%20%3D%2013</v>
      </c>
      <c r="T1033" s="108" t="str">
        <f>"200-R-"&amp;Agencia[[#This Row],[Filtro URL]]</f>
        <v>200-R-13</v>
      </c>
      <c r="U1033" s="46" t="str">
        <f t="shared" si="417"/>
        <v>#1774B9</v>
      </c>
      <c r="V1033" s="93" t="str">
        <f>+Agencia[[#This Row],[idcoleccion]]&amp;"-"&amp;Agencia[[#This Row],[id]]</f>
        <v>990-1022</v>
      </c>
      <c r="W1033" s="93">
        <f>+VLOOKUP(Agencia[[#This Row],[Filtro URL]],Estructura!$X$4:$Y$500,2,0)</f>
        <v>99200013</v>
      </c>
      <c r="X1033" s="93" t="str">
        <f>+VLOOKUP(Agencia[[#This Row],[tema]],Estructura!$A$4:$C$500,3,0)</f>
        <v>T-999</v>
      </c>
      <c r="Y1033" s="93" t="str">
        <f>+VLOOKUP(Agencia[[#This Row],[contenido]],Estructura!$E$4:$G$500,3,0)</f>
        <v>C-1010</v>
      </c>
      <c r="Z1033" s="93" t="str">
        <f>+VLOOKUP(Agencia[[#This Row],[Filtro Integrado]],Estructura!$I$4:$K$500,3,0)</f>
        <v>FI-993</v>
      </c>
      <c r="AA1033" s="93" t="str">
        <f>+VLOOKUP(Agencia[[#This Row],[Muestra]],Estructura!$M$4:$O$500,3,0)</f>
        <v>M-1053</v>
      </c>
    </row>
    <row r="1034" spans="1:27" ht="57.6" x14ac:dyDescent="0.3">
      <c r="A1034" s="21" t="s">
        <v>1754</v>
      </c>
      <c r="B1034" s="23">
        <f t="shared" ref="B1034:B1053" si="424">+B1033</f>
        <v>990</v>
      </c>
      <c r="C1034" s="24" t="str">
        <f t="shared" si="406"/>
        <v>Agencia Información</v>
      </c>
      <c r="D1034" s="72" t="str">
        <f t="shared" si="419"/>
        <v>Salud</v>
      </c>
      <c r="E1034" s="19">
        <v>14</v>
      </c>
      <c r="F1034" s="18" t="s">
        <v>948</v>
      </c>
      <c r="G1034" s="18" t="s">
        <v>1898</v>
      </c>
      <c r="H1034" s="33" t="s">
        <v>16</v>
      </c>
      <c r="I1034" s="34" t="s">
        <v>381</v>
      </c>
      <c r="J1034" s="9" t="str">
        <f t="shared" si="423"/>
        <v>Ninguno</v>
      </c>
      <c r="K1034" s="142" t="s">
        <v>9307</v>
      </c>
      <c r="L1034" s="36" t="str">
        <f t="shared" si="420"/>
        <v>Periodo 2012-2018</v>
      </c>
      <c r="M1034" s="9" t="str">
        <f t="shared" si="421"/>
        <v>Número de Casos</v>
      </c>
      <c r="N1034" s="9" t="str">
        <f t="shared" si="422"/>
        <v>Departamento de Estadísticas e Información de la Salud (DEIS) - Ministerio de Salud</v>
      </c>
      <c r="O1034" s="41" t="str">
        <f>+"Población en Control del Programa de Cáncer de Cuello Uterino en la "&amp;I1034&amp;", "&amp;Agencia[[#This Row],[temporalidad]]</f>
        <v>Población en Control del Programa de Cáncer de Cuello Uterino en la Región de Los Ríos, Periodo 2012-2018</v>
      </c>
      <c r="P1034" s="112" t="s">
        <v>6695</v>
      </c>
      <c r="Q1034" s="11" t="str">
        <f>+Q1033</f>
        <v>Gráfico de Evolución</v>
      </c>
      <c r="R1034" s="148" t="str">
        <f>Agencia[[#This Row],[territorio]]&amp;",VIH,SIDA,enfermedad,transmisión,sexual,casos,control,personas,población,programa,variación,anual,"&amp;Agencia[[#This Row],[coleccion]]&amp;","&amp;Agencia[[#This Row],[sector]]&amp;","&amp;Agencia[[#This Row],[tema]]&amp;","&amp;Agencia[[#This Row],[contenido]]</f>
        <v>Región de Los Ríos,VIH,SIDA,enfermedad,transmisión,sexual,casos,control,personas,población,programa,variación,anual,Agencia Información,Salud,Programa de VIH/SIDA,Programas de Salud</v>
      </c>
      <c r="S1034" s="132" t="str">
        <f>HYPERLINK("https://analytics.zoho.com/open-view/2395394000007991542?ZOHO_CRITERIA=%22Localiza%20CL%22.%22Codreg%22%20%3D%20"&amp;Agencia[[#This Row],[Filtro URL]])</f>
        <v>https://analytics.zoho.com/open-view/2395394000007991542?ZOHO_CRITERIA=%22Localiza%20CL%22.%22Codreg%22%20%3D%2014</v>
      </c>
      <c r="T1034" s="108" t="str">
        <f>"100-R-"&amp;Agencia[[#This Row],[Filtro URL]]</f>
        <v>100-R-14</v>
      </c>
      <c r="U1034" s="46" t="str">
        <f t="shared" si="417"/>
        <v>#1774B9</v>
      </c>
      <c r="V1034" s="93" t="str">
        <f>+Agencia[[#This Row],[idcoleccion]]&amp;"-"&amp;Agencia[[#This Row],[id]]</f>
        <v>990-1023</v>
      </c>
      <c r="W1034" s="93">
        <f>+VLOOKUP(Agencia[[#This Row],[Filtro URL]],Estructura!$X$4:$Y$500,2,0)</f>
        <v>99200014</v>
      </c>
      <c r="X1034" s="93" t="str">
        <f>+VLOOKUP(Agencia[[#This Row],[tema]],Estructura!$A$4:$C$500,3,0)</f>
        <v>T-999</v>
      </c>
      <c r="Y1034" s="93" t="str">
        <f>+VLOOKUP(Agencia[[#This Row],[contenido]],Estructura!$E$4:$G$500,3,0)</f>
        <v>C-1010</v>
      </c>
      <c r="Z1034" s="93" t="str">
        <f>+VLOOKUP(Agencia[[#This Row],[Filtro Integrado]],Estructura!$I$4:$K$500,3,0)</f>
        <v>FI-993</v>
      </c>
      <c r="AA1034" s="93" t="str">
        <f>+VLOOKUP(Agencia[[#This Row],[Muestra]],Estructura!$M$4:$O$500,3,0)</f>
        <v>M-1053</v>
      </c>
    </row>
    <row r="1035" spans="1:27" ht="61.2" x14ac:dyDescent="0.3">
      <c r="A1035" s="21" t="s">
        <v>1755</v>
      </c>
      <c r="B1035" s="23">
        <f t="shared" si="424"/>
        <v>990</v>
      </c>
      <c r="C1035" s="24" t="str">
        <f t="shared" ref="C1035:C1053" si="425">+C1034</f>
        <v>Agencia Información</v>
      </c>
      <c r="D1035" s="72" t="str">
        <f t="shared" si="419"/>
        <v>Salud</v>
      </c>
      <c r="E1035" s="19">
        <v>15</v>
      </c>
      <c r="F1035" s="18" t="s">
        <v>948</v>
      </c>
      <c r="G1035" s="18" t="s">
        <v>1898</v>
      </c>
      <c r="H1035" s="33" t="s">
        <v>16</v>
      </c>
      <c r="I1035" s="34" t="s">
        <v>382</v>
      </c>
      <c r="J1035" s="9" t="str">
        <f t="shared" si="423"/>
        <v>Ninguno</v>
      </c>
      <c r="K1035" s="142" t="s">
        <v>9307</v>
      </c>
      <c r="L1035" s="36" t="str">
        <f t="shared" si="420"/>
        <v>Periodo 2012-2018</v>
      </c>
      <c r="M1035" s="9" t="str">
        <f t="shared" si="421"/>
        <v>Número de Casos</v>
      </c>
      <c r="N1035" s="9" t="str">
        <f t="shared" si="422"/>
        <v>Departamento de Estadísticas e Información de la Salud (DEIS) - Ministerio de Salud</v>
      </c>
      <c r="O1035" s="41" t="str">
        <f>+"Población en Control del Programa de Cáncer de Cuello Uterino en la "&amp;I1035&amp;", "&amp;Agencia[[#This Row],[temporalidad]]</f>
        <v>Población en Control del Programa de Cáncer de Cuello Uterino en la Región de Arica y Parinacota, Periodo 2012-2018</v>
      </c>
      <c r="P1035" s="112" t="s">
        <v>6696</v>
      </c>
      <c r="Q1035" s="11" t="str">
        <f>+Q1034</f>
        <v>Gráfico de Evolución</v>
      </c>
      <c r="R1035" s="148" t="str">
        <f>Agencia[[#This Row],[territorio]]&amp;",VIH,SIDA,enfermedad,transmisión,sexual,casos,control,personas,población,programa,variación,anual,"&amp;Agencia[[#This Row],[coleccion]]&amp;","&amp;Agencia[[#This Row],[sector]]&amp;","&amp;Agencia[[#This Row],[tema]]&amp;","&amp;Agencia[[#This Row],[contenido]]</f>
        <v>Región de Arica y Parinacota,VIH,SIDA,enfermedad,transmisión,sexual,casos,control,personas,población,programa,variación,anual,Agencia Información,Salud,Programa de VIH/SIDA,Programas de Salud</v>
      </c>
      <c r="S1035" s="132" t="str">
        <f>HYPERLINK("https://analytics.zoho.com/open-view/2395394000007991542?ZOHO_CRITERIA=%22Localiza%20CL%22.%22Codreg%22%20%3D%20"&amp;Agencia[[#This Row],[Filtro URL]])</f>
        <v>https://analytics.zoho.com/open-view/2395394000007991542?ZOHO_CRITERIA=%22Localiza%20CL%22.%22Codreg%22%20%3D%2015</v>
      </c>
      <c r="T1035" s="108" t="str">
        <f>"100-R-"&amp;Agencia[[#This Row],[Filtro URL]]</f>
        <v>100-R-15</v>
      </c>
      <c r="U1035" s="46" t="str">
        <f t="shared" si="417"/>
        <v>#1774B9</v>
      </c>
      <c r="V1035" s="93" t="str">
        <f>+Agencia[[#This Row],[idcoleccion]]&amp;"-"&amp;Agencia[[#This Row],[id]]</f>
        <v>990-1024</v>
      </c>
      <c r="W1035" s="93">
        <f>+VLOOKUP(Agencia[[#This Row],[Filtro URL]],Estructura!$X$4:$Y$500,2,0)</f>
        <v>99200015</v>
      </c>
      <c r="X1035" s="93" t="str">
        <f>+VLOOKUP(Agencia[[#This Row],[tema]],Estructura!$A$4:$C$500,3,0)</f>
        <v>T-999</v>
      </c>
      <c r="Y1035" s="93" t="str">
        <f>+VLOOKUP(Agencia[[#This Row],[contenido]],Estructura!$E$4:$G$500,3,0)</f>
        <v>C-1010</v>
      </c>
      <c r="Z1035" s="93" t="str">
        <f>+VLOOKUP(Agencia[[#This Row],[Filtro Integrado]],Estructura!$I$4:$K$500,3,0)</f>
        <v>FI-993</v>
      </c>
      <c r="AA1035" s="93" t="str">
        <f>+VLOOKUP(Agencia[[#This Row],[Muestra]],Estructura!$M$4:$O$500,3,0)</f>
        <v>M-1053</v>
      </c>
    </row>
    <row r="1036" spans="1:27" ht="61.2" x14ac:dyDescent="0.3">
      <c r="A1036" s="21" t="s">
        <v>1756</v>
      </c>
      <c r="B1036" s="23">
        <f t="shared" si="424"/>
        <v>990</v>
      </c>
      <c r="C1036" s="24" t="str">
        <f t="shared" si="425"/>
        <v>Agencia Información</v>
      </c>
      <c r="D1036" s="72" t="str">
        <f t="shared" si="419"/>
        <v>Salud</v>
      </c>
      <c r="E1036" s="19">
        <v>16</v>
      </c>
      <c r="F1036" s="18" t="s">
        <v>948</v>
      </c>
      <c r="G1036" s="18" t="s">
        <v>1898</v>
      </c>
      <c r="H1036" s="33" t="s">
        <v>16</v>
      </c>
      <c r="I1036" s="34" t="s">
        <v>383</v>
      </c>
      <c r="J1036" s="9" t="str">
        <f t="shared" si="423"/>
        <v>Ninguno</v>
      </c>
      <c r="K1036" s="142" t="s">
        <v>9307</v>
      </c>
      <c r="L1036" s="36" t="str">
        <f t="shared" si="420"/>
        <v>Periodo 2012-2018</v>
      </c>
      <c r="M1036" s="9" t="str">
        <f t="shared" si="421"/>
        <v>Número de Casos</v>
      </c>
      <c r="N1036" s="9" t="str">
        <f t="shared" si="422"/>
        <v>Departamento de Estadísticas e Información de la Salud (DEIS) - Ministerio de Salud</v>
      </c>
      <c r="O1036" s="41" t="str">
        <f>+"Población en Control del Programa de Cáncer de Cuello Uterino en la "&amp;I1036&amp;", "&amp;Agencia[[#This Row],[temporalidad]]</f>
        <v>Población en Control del Programa de Cáncer de Cuello Uterino en la Región de Ñuble, Periodo 2012-2018</v>
      </c>
      <c r="P1036" s="112" t="s">
        <v>6697</v>
      </c>
      <c r="Q1036" s="11" t="str">
        <f>+Q1035</f>
        <v>Gráfico de Evolución</v>
      </c>
      <c r="R1036" s="148" t="str">
        <f>Agencia[[#This Row],[territorio]]&amp;",VIH,SIDA,enfermedad,transmisión,sexual,casos,control,personas,población,programa,variación,anual,"&amp;Agencia[[#This Row],[coleccion]]&amp;","&amp;Agencia[[#This Row],[sector]]&amp;","&amp;Agencia[[#This Row],[tema]]&amp;","&amp;Agencia[[#This Row],[contenido]]</f>
        <v>Región de Ñuble,VIH,SIDA,enfermedad,transmisión,sexual,casos,control,personas,población,programa,variación,anual,Agencia Información,Salud,Programa de VIH/SIDA,Programas de Salud</v>
      </c>
      <c r="S1036" s="132" t="str">
        <f>HYPERLINK("https://analytics.zoho.com/open-view/2395394000007991542?ZOHO_CRITERIA=%22Localiza%20CL%22.%22Codreg%22%20%3D%20"&amp;Agencia[[#This Row],[Filtro URL]])</f>
        <v>https://analytics.zoho.com/open-view/2395394000007991542?ZOHO_CRITERIA=%22Localiza%20CL%22.%22Codreg%22%20%3D%2016</v>
      </c>
      <c r="T1036" s="108" t="str">
        <f>"100-R-"&amp;Agencia[[#This Row],[Filtro URL]]</f>
        <v>100-R-16</v>
      </c>
      <c r="U1036" s="46" t="str">
        <f t="shared" si="417"/>
        <v>#1774B9</v>
      </c>
      <c r="V1036" s="93" t="str">
        <f>+Agencia[[#This Row],[idcoleccion]]&amp;"-"&amp;Agencia[[#This Row],[id]]</f>
        <v>990-1025</v>
      </c>
      <c r="W1036" s="93">
        <f>+VLOOKUP(Agencia[[#This Row],[Filtro URL]],Estructura!$X$4:$Y$500,2,0)</f>
        <v>99200016</v>
      </c>
      <c r="X1036" s="93" t="str">
        <f>+VLOOKUP(Agencia[[#This Row],[tema]],Estructura!$A$4:$C$500,3,0)</f>
        <v>T-999</v>
      </c>
      <c r="Y1036" s="93" t="str">
        <f>+VLOOKUP(Agencia[[#This Row],[contenido]],Estructura!$E$4:$G$500,3,0)</f>
        <v>C-1010</v>
      </c>
      <c r="Z1036" s="93" t="str">
        <f>+VLOOKUP(Agencia[[#This Row],[Filtro Integrado]],Estructura!$I$4:$K$500,3,0)</f>
        <v>FI-993</v>
      </c>
      <c r="AA1036" s="93" t="str">
        <f>+VLOOKUP(Agencia[[#This Row],[Muestra]],Estructura!$M$4:$O$500,3,0)</f>
        <v>M-1053</v>
      </c>
    </row>
    <row r="1037" spans="1:27" ht="57" customHeight="1" x14ac:dyDescent="0.3">
      <c r="A1037" s="21" t="s">
        <v>1757</v>
      </c>
      <c r="B1037" s="23">
        <f t="shared" si="424"/>
        <v>990</v>
      </c>
      <c r="C1037" s="24" t="str">
        <f t="shared" si="425"/>
        <v>Agencia Información</v>
      </c>
      <c r="D1037" s="72" t="s">
        <v>502</v>
      </c>
      <c r="E1037" s="14">
        <v>0</v>
      </c>
      <c r="F1037" s="10" t="s">
        <v>2989</v>
      </c>
      <c r="G1037" s="10" t="s">
        <v>1909</v>
      </c>
      <c r="H1037" s="31" t="s">
        <v>20</v>
      </c>
      <c r="I1037" s="32" t="s">
        <v>15</v>
      </c>
      <c r="J1037" s="9" t="s">
        <v>403</v>
      </c>
      <c r="K1037" s="9" t="s">
        <v>2989</v>
      </c>
      <c r="L1037" s="36" t="s">
        <v>1911</v>
      </c>
      <c r="M1037" s="9" t="s">
        <v>1912</v>
      </c>
      <c r="N1037" s="9" t="s">
        <v>428</v>
      </c>
      <c r="O1037" s="41" t="str">
        <f>+"Cantidad de Predios Agrícolas por Comuna en "&amp;I1037&amp;", "&amp;Agencia[[#This Row],[temporalidad]]</f>
        <v>Cantidad de Predios Agrícolas por Comuna en Chile, Periodo 2006-2019</v>
      </c>
      <c r="P1037" s="112" t="s">
        <v>6486</v>
      </c>
      <c r="Q1037" s="11" t="s">
        <v>784</v>
      </c>
      <c r="R1037" s="20" t="str">
        <f>Agencia[[#This Row],[territorio]]&amp;",catastro,predio,municipal,municipio,agrícola,territorio,"&amp;Agencia[[#This Row],[coleccion]]&amp;","&amp;Agencia[[#This Row],[sector]]&amp;","&amp;Agencia[[#This Row],[tema]]&amp;","&amp;Agencia[[#This Row],[contenido]]</f>
        <v>Chile,catastro,predio,municipal,municipio,agrícola,territorio,Agencia Información,Gobiernos locales,Predios Agrícolas,Gestión Municipal Territorial</v>
      </c>
      <c r="S1037" s="37" t="s">
        <v>1910</v>
      </c>
      <c r="T1037" s="108" t="s">
        <v>957</v>
      </c>
      <c r="U1037" s="46" t="str">
        <f t="shared" si="417"/>
        <v>#1774B9</v>
      </c>
      <c r="V1037" s="93" t="str">
        <f>+Agencia[[#This Row],[idcoleccion]]&amp;"-"&amp;Agencia[[#This Row],[id]]</f>
        <v>990-1026</v>
      </c>
      <c r="W1037" s="93">
        <f>+VLOOKUP(Agencia[[#This Row],[Filtro URL]],Estructura!$X$4:$Y$500,2,0)</f>
        <v>99100000</v>
      </c>
      <c r="X1037" s="93" t="str">
        <f>+VLOOKUP(Agencia[[#This Row],[tema]],Estructura!$A$4:$C$500,3,0)</f>
        <v>T-1044</v>
      </c>
      <c r="Y1037" s="93" t="str">
        <f>+VLOOKUP(Agencia[[#This Row],[contenido]],Estructura!$E$4:$G$500,3,0)</f>
        <v>C-1015</v>
      </c>
      <c r="Z1037" s="93" t="str">
        <f>+VLOOKUP(Agencia[[#This Row],[Filtro Integrado]],Estructura!$I$4:$K$500,3,0)</f>
        <v>FI-993</v>
      </c>
      <c r="AA1037" s="93" t="str">
        <f>+VLOOKUP(Agencia[[#This Row],[Muestra]],Estructura!$M$4:$O$500,3,0)</f>
        <v>M-1078</v>
      </c>
    </row>
    <row r="1038" spans="1:27" ht="57.6" x14ac:dyDescent="0.3">
      <c r="A1038" s="21" t="s">
        <v>1758</v>
      </c>
      <c r="B1038" s="9">
        <f t="shared" si="424"/>
        <v>990</v>
      </c>
      <c r="C1038" s="10" t="str">
        <f t="shared" si="425"/>
        <v>Agencia Información</v>
      </c>
      <c r="D1038" s="67" t="str">
        <f t="shared" ref="D1038:D1053" si="426">+D1037</f>
        <v>Gobiernos locales</v>
      </c>
      <c r="E1038" s="19">
        <v>1</v>
      </c>
      <c r="F1038" s="18" t="str">
        <f>+F1037</f>
        <v>Predios Agrícolas</v>
      </c>
      <c r="G1038" s="18" t="str">
        <f>+G1037</f>
        <v>Gestión Municipal Territorial</v>
      </c>
      <c r="H1038" s="79" t="s">
        <v>16</v>
      </c>
      <c r="I1038" s="80" t="s">
        <v>368</v>
      </c>
      <c r="J1038" s="9" t="s">
        <v>403</v>
      </c>
      <c r="K1038" s="142" t="s">
        <v>2989</v>
      </c>
      <c r="L1038" s="36" t="str">
        <f t="shared" ref="L1038:L1053" si="427">+L1037</f>
        <v>Periodo 2006-2019</v>
      </c>
      <c r="M1038" s="9" t="str">
        <f t="shared" ref="M1038:M1053" si="428">+M1037</f>
        <v>Número de Predios</v>
      </c>
      <c r="N1038" s="9" t="str">
        <f t="shared" ref="N1038:N1053" si="429">+N1037</f>
        <v>Sistema Nacional de Información Municipal</v>
      </c>
      <c r="O1038" s="41" t="str">
        <f>+"Cantidad de Predios Agrícolas por Comuna en la "&amp;I1038&amp;", "&amp;Agencia[[#This Row],[temporalidad]]</f>
        <v>Cantidad de Predios Agrícolas por Comuna en la Región de Tarapacá, Periodo 2006-2019</v>
      </c>
      <c r="P1038" s="112" t="s">
        <v>6471</v>
      </c>
      <c r="Q1038" s="11" t="str">
        <f>+Q1037</f>
        <v>Gráfico de Evolución</v>
      </c>
      <c r="R1038" s="148" t="str">
        <f>Agencia[[#This Row],[territorio]]&amp;",catastro,predio,municipal,municipio,agrícola,territorio,"&amp;Agencia[[#This Row],[coleccion]]&amp;","&amp;Agencia[[#This Row],[sector]]&amp;","&amp;Agencia[[#This Row],[tema]]&amp;","&amp;Agencia[[#This Row],[contenido]]</f>
        <v>Región de Tarapacá,catastro,predio,municipal,municipio,agrícola,territorio,Agencia Información,Gobiernos locales,Predios Agrícolas,Gestión Municipal Territorial</v>
      </c>
      <c r="S1038" s="37" t="str">
        <f>HYPERLINK("https://analytics.zoho.com/open-view/2395394000008464535?ZOHO_CRITERIA=%22Localiza%20CL%22.%22Codreg%22%20%3D%20"&amp;Agencia[[#This Row],[Filtro URL]])</f>
        <v>https://analytics.zoho.com/open-view/2395394000008464535?ZOHO_CRITERIA=%22Localiza%20CL%22.%22Codreg%22%20%3D%201</v>
      </c>
      <c r="T1038" s="111" t="str">
        <f>"100-C-"&amp;Agencia[[#This Row],[Filtro URL]]</f>
        <v>100-C-1</v>
      </c>
      <c r="U1038" s="46" t="str">
        <f>+U1037</f>
        <v>#1774B9</v>
      </c>
      <c r="V1038" s="93" t="str">
        <f>+Agencia[[#This Row],[idcoleccion]]&amp;"-"&amp;Agencia[[#This Row],[id]]</f>
        <v>990-1027</v>
      </c>
      <c r="W1038" s="93">
        <f>+VLOOKUP(Agencia[[#This Row],[Filtro URL]],Estructura!$X$4:$Y$500,2,0)</f>
        <v>99200001</v>
      </c>
      <c r="X1038" s="93" t="str">
        <f>+VLOOKUP(Agencia[[#This Row],[tema]],Estructura!$A$4:$C$500,3,0)</f>
        <v>T-1044</v>
      </c>
      <c r="Y1038" s="93" t="str">
        <f>+VLOOKUP(Agencia[[#This Row],[contenido]],Estructura!$E$4:$G$500,3,0)</f>
        <v>C-1015</v>
      </c>
      <c r="Z1038" s="93" t="str">
        <f>+VLOOKUP(Agencia[[#This Row],[Filtro Integrado]],Estructura!$I$4:$K$500,3,0)</f>
        <v>FI-993</v>
      </c>
      <c r="AA1038" s="93" t="str">
        <f>+VLOOKUP(Agencia[[#This Row],[Muestra]],Estructura!$M$4:$O$500,3,0)</f>
        <v>M-1078</v>
      </c>
    </row>
    <row r="1039" spans="1:27" ht="57.6" x14ac:dyDescent="0.3">
      <c r="A1039" s="21" t="s">
        <v>1759</v>
      </c>
      <c r="B1039" s="9">
        <f t="shared" si="424"/>
        <v>990</v>
      </c>
      <c r="C1039" s="10" t="str">
        <f t="shared" si="425"/>
        <v>Agencia Información</v>
      </c>
      <c r="D1039" s="67" t="str">
        <f t="shared" si="426"/>
        <v>Gobiernos locales</v>
      </c>
      <c r="E1039" s="19">
        <v>2</v>
      </c>
      <c r="F1039" s="18" t="str">
        <f t="shared" ref="F1039:G1053" si="430">+F1038</f>
        <v>Predios Agrícolas</v>
      </c>
      <c r="G1039" s="18" t="str">
        <f t="shared" si="430"/>
        <v>Gestión Municipal Territorial</v>
      </c>
      <c r="H1039" s="79" t="s">
        <v>16</v>
      </c>
      <c r="I1039" s="80" t="s">
        <v>369</v>
      </c>
      <c r="J1039" s="9" t="str">
        <f t="shared" ref="J1039:J1053" si="431">+J1038</f>
        <v>Ninguno</v>
      </c>
      <c r="K1039" s="142" t="s">
        <v>2989</v>
      </c>
      <c r="L1039" s="36" t="str">
        <f t="shared" si="427"/>
        <v>Periodo 2006-2019</v>
      </c>
      <c r="M1039" s="9" t="str">
        <f t="shared" si="428"/>
        <v>Número de Predios</v>
      </c>
      <c r="N1039" s="9" t="str">
        <f t="shared" si="429"/>
        <v>Sistema Nacional de Información Municipal</v>
      </c>
      <c r="O1039" s="41" t="str">
        <f>+"Cantidad de Predios Agrícolas por Comuna en la "&amp;I1039&amp;", "&amp;Agencia[[#This Row],[temporalidad]]</f>
        <v>Cantidad de Predios Agrícolas por Comuna en la Región de Antofagasta, Periodo 2006-2019</v>
      </c>
      <c r="P1039" s="112" t="s">
        <v>6472</v>
      </c>
      <c r="Q1039" s="11" t="str">
        <f t="shared" ref="Q1039:Q1053" si="432">+Q1038</f>
        <v>Gráfico de Evolución</v>
      </c>
      <c r="R1039" s="148" t="str">
        <f>Agencia[[#This Row],[territorio]]&amp;",catastro,predio,municipal,municipio,agrícola,territorio,"&amp;Agencia[[#This Row],[coleccion]]&amp;","&amp;Agencia[[#This Row],[sector]]&amp;","&amp;Agencia[[#This Row],[tema]]&amp;","&amp;Agencia[[#This Row],[contenido]]</f>
        <v>Región de Antofagasta,catastro,predio,municipal,municipio,agrícola,territorio,Agencia Información,Gobiernos locales,Predios Agrícolas,Gestión Municipal Territorial</v>
      </c>
      <c r="S1039" s="37" t="str">
        <f>HYPERLINK("https://analytics.zoho.com/open-view/2395394000008464535?ZOHO_CRITERIA=%22Localiza%20CL%22.%22Codreg%22%20%3D%20"&amp;Agencia[[#This Row],[Filtro URL]])</f>
        <v>https://analytics.zoho.com/open-view/2395394000008464535?ZOHO_CRITERIA=%22Localiza%20CL%22.%22Codreg%22%20%3D%202</v>
      </c>
      <c r="T1039" s="111" t="str">
        <f>"100-C-"&amp;Agencia[[#This Row],[Filtro URL]]</f>
        <v>100-C-2</v>
      </c>
      <c r="U1039" s="46" t="str">
        <f t="shared" si="417"/>
        <v>#1774B9</v>
      </c>
      <c r="V1039" s="93" t="str">
        <f>+Agencia[[#This Row],[idcoleccion]]&amp;"-"&amp;Agencia[[#This Row],[id]]</f>
        <v>990-1028</v>
      </c>
      <c r="W1039" s="93">
        <f>+VLOOKUP(Agencia[[#This Row],[Filtro URL]],Estructura!$X$4:$Y$500,2,0)</f>
        <v>99200002</v>
      </c>
      <c r="X1039" s="93" t="str">
        <f>+VLOOKUP(Agencia[[#This Row],[tema]],Estructura!$A$4:$C$500,3,0)</f>
        <v>T-1044</v>
      </c>
      <c r="Y1039" s="93" t="str">
        <f>+VLOOKUP(Agencia[[#This Row],[contenido]],Estructura!$E$4:$G$500,3,0)</f>
        <v>C-1015</v>
      </c>
      <c r="Z1039" s="93" t="str">
        <f>+VLOOKUP(Agencia[[#This Row],[Filtro Integrado]],Estructura!$I$4:$K$500,3,0)</f>
        <v>FI-993</v>
      </c>
      <c r="AA1039" s="93" t="str">
        <f>+VLOOKUP(Agencia[[#This Row],[Muestra]],Estructura!$M$4:$O$500,3,0)</f>
        <v>M-1078</v>
      </c>
    </row>
    <row r="1040" spans="1:27" ht="57.6" x14ac:dyDescent="0.3">
      <c r="A1040" s="21" t="s">
        <v>1760</v>
      </c>
      <c r="B1040" s="9">
        <f t="shared" si="424"/>
        <v>990</v>
      </c>
      <c r="C1040" s="10" t="str">
        <f t="shared" si="425"/>
        <v>Agencia Información</v>
      </c>
      <c r="D1040" s="67" t="str">
        <f t="shared" si="426"/>
        <v>Gobiernos locales</v>
      </c>
      <c r="E1040" s="19">
        <v>3</v>
      </c>
      <c r="F1040" s="18" t="str">
        <f t="shared" si="430"/>
        <v>Predios Agrícolas</v>
      </c>
      <c r="G1040" s="18" t="str">
        <f t="shared" si="430"/>
        <v>Gestión Municipal Territorial</v>
      </c>
      <c r="H1040" s="79" t="s">
        <v>16</v>
      </c>
      <c r="I1040" s="80" t="s">
        <v>370</v>
      </c>
      <c r="J1040" s="9" t="str">
        <f t="shared" si="431"/>
        <v>Ninguno</v>
      </c>
      <c r="K1040" s="142" t="s">
        <v>2989</v>
      </c>
      <c r="L1040" s="36" t="str">
        <f t="shared" si="427"/>
        <v>Periodo 2006-2019</v>
      </c>
      <c r="M1040" s="9" t="str">
        <f t="shared" si="428"/>
        <v>Número de Predios</v>
      </c>
      <c r="N1040" s="9" t="str">
        <f t="shared" si="429"/>
        <v>Sistema Nacional de Información Municipal</v>
      </c>
      <c r="O1040" s="41" t="str">
        <f>+"Cantidad de Predios Agrícolas por Comuna en la "&amp;I1040&amp;", "&amp;Agencia[[#This Row],[temporalidad]]</f>
        <v>Cantidad de Predios Agrícolas por Comuna en la Región de Atacama, Periodo 2006-2019</v>
      </c>
      <c r="P1040" s="112" t="s">
        <v>6473</v>
      </c>
      <c r="Q1040" s="11" t="str">
        <f t="shared" si="432"/>
        <v>Gráfico de Evolución</v>
      </c>
      <c r="R1040" s="148" t="str">
        <f>Agencia[[#This Row],[territorio]]&amp;",catastro,predio,municipal,municipio,agrícola,territorio,"&amp;Agencia[[#This Row],[coleccion]]&amp;","&amp;Agencia[[#This Row],[sector]]&amp;","&amp;Agencia[[#This Row],[tema]]&amp;","&amp;Agencia[[#This Row],[contenido]]</f>
        <v>Región de Atacama,catastro,predio,municipal,municipio,agrícola,territorio,Agencia Información,Gobiernos locales,Predios Agrícolas,Gestión Municipal Territorial</v>
      </c>
      <c r="S1040" s="37" t="str">
        <f>HYPERLINK("https://analytics.zoho.com/open-view/2395394000008464535?ZOHO_CRITERIA=%22Localiza%20CL%22.%22Codreg%22%20%3D%20"&amp;Agencia[[#This Row],[Filtro URL]])</f>
        <v>https://analytics.zoho.com/open-view/2395394000008464535?ZOHO_CRITERIA=%22Localiza%20CL%22.%22Codreg%22%20%3D%203</v>
      </c>
      <c r="T1040" s="111" t="str">
        <f>"100-C-"&amp;Agencia[[#This Row],[Filtro URL]]</f>
        <v>100-C-3</v>
      </c>
      <c r="U1040" s="46" t="str">
        <f t="shared" si="417"/>
        <v>#1774B9</v>
      </c>
      <c r="V1040" s="93" t="str">
        <f>+Agencia[[#This Row],[idcoleccion]]&amp;"-"&amp;Agencia[[#This Row],[id]]</f>
        <v>990-1029</v>
      </c>
      <c r="W1040" s="93">
        <f>+VLOOKUP(Agencia[[#This Row],[Filtro URL]],Estructura!$X$4:$Y$500,2,0)</f>
        <v>99200003</v>
      </c>
      <c r="X1040" s="93" t="str">
        <f>+VLOOKUP(Agencia[[#This Row],[tema]],Estructura!$A$4:$C$500,3,0)</f>
        <v>T-1044</v>
      </c>
      <c r="Y1040" s="93" t="str">
        <f>+VLOOKUP(Agencia[[#This Row],[contenido]],Estructura!$E$4:$G$500,3,0)</f>
        <v>C-1015</v>
      </c>
      <c r="Z1040" s="93" t="str">
        <f>+VLOOKUP(Agencia[[#This Row],[Filtro Integrado]],Estructura!$I$4:$K$500,3,0)</f>
        <v>FI-993</v>
      </c>
      <c r="AA1040" s="93" t="str">
        <f>+VLOOKUP(Agencia[[#This Row],[Muestra]],Estructura!$M$4:$O$500,3,0)</f>
        <v>M-1078</v>
      </c>
    </row>
    <row r="1041" spans="1:27" ht="57.6" x14ac:dyDescent="0.3">
      <c r="A1041" s="21" t="s">
        <v>1761</v>
      </c>
      <c r="B1041" s="9">
        <f t="shared" si="424"/>
        <v>990</v>
      </c>
      <c r="C1041" s="10" t="str">
        <f t="shared" si="425"/>
        <v>Agencia Información</v>
      </c>
      <c r="D1041" s="67" t="str">
        <f t="shared" si="426"/>
        <v>Gobiernos locales</v>
      </c>
      <c r="E1041" s="19">
        <v>4</v>
      </c>
      <c r="F1041" s="18" t="str">
        <f t="shared" si="430"/>
        <v>Predios Agrícolas</v>
      </c>
      <c r="G1041" s="18" t="str">
        <f t="shared" si="430"/>
        <v>Gestión Municipal Territorial</v>
      </c>
      <c r="H1041" s="79" t="s">
        <v>16</v>
      </c>
      <c r="I1041" s="80" t="s">
        <v>371</v>
      </c>
      <c r="J1041" s="9" t="str">
        <f t="shared" si="431"/>
        <v>Ninguno</v>
      </c>
      <c r="K1041" s="142" t="s">
        <v>2989</v>
      </c>
      <c r="L1041" s="36" t="str">
        <f t="shared" si="427"/>
        <v>Periodo 2006-2019</v>
      </c>
      <c r="M1041" s="9" t="str">
        <f t="shared" si="428"/>
        <v>Número de Predios</v>
      </c>
      <c r="N1041" s="9" t="str">
        <f t="shared" si="429"/>
        <v>Sistema Nacional de Información Municipal</v>
      </c>
      <c r="O1041" s="41" t="str">
        <f>+"Cantidad de Predios Agrícolas por Comuna en la "&amp;I1041&amp;", "&amp;Agencia[[#This Row],[temporalidad]]</f>
        <v>Cantidad de Predios Agrícolas por Comuna en la Región de Coquimbo, Periodo 2006-2019</v>
      </c>
      <c r="P1041" s="112" t="s">
        <v>6474</v>
      </c>
      <c r="Q1041" s="11" t="str">
        <f t="shared" si="432"/>
        <v>Gráfico de Evolución</v>
      </c>
      <c r="R1041" s="148" t="str">
        <f>Agencia[[#This Row],[territorio]]&amp;",catastro,predio,municipal,municipio,agrícola,territorio,"&amp;Agencia[[#This Row],[coleccion]]&amp;","&amp;Agencia[[#This Row],[sector]]&amp;","&amp;Agencia[[#This Row],[tema]]&amp;","&amp;Agencia[[#This Row],[contenido]]</f>
        <v>Región de Coquimbo,catastro,predio,municipal,municipio,agrícola,territorio,Agencia Información,Gobiernos locales,Predios Agrícolas,Gestión Municipal Territorial</v>
      </c>
      <c r="S1041" s="37" t="str">
        <f>HYPERLINK("https://analytics.zoho.com/open-view/2395394000008464535?ZOHO_CRITERIA=%22Localiza%20CL%22.%22Codreg%22%20%3D%20"&amp;Agencia[[#This Row],[Filtro URL]])</f>
        <v>https://analytics.zoho.com/open-view/2395394000008464535?ZOHO_CRITERIA=%22Localiza%20CL%22.%22Codreg%22%20%3D%204</v>
      </c>
      <c r="T1041" s="111" t="str">
        <f>"100-C-"&amp;Agencia[[#This Row],[Filtro URL]]</f>
        <v>100-C-4</v>
      </c>
      <c r="U1041" s="46" t="str">
        <f t="shared" si="417"/>
        <v>#1774B9</v>
      </c>
      <c r="V1041" s="93" t="str">
        <f>+Agencia[[#This Row],[idcoleccion]]&amp;"-"&amp;Agencia[[#This Row],[id]]</f>
        <v>990-1030</v>
      </c>
      <c r="W1041" s="93">
        <f>+VLOOKUP(Agencia[[#This Row],[Filtro URL]],Estructura!$X$4:$Y$500,2,0)</f>
        <v>99200004</v>
      </c>
      <c r="X1041" s="93" t="str">
        <f>+VLOOKUP(Agencia[[#This Row],[tema]],Estructura!$A$4:$C$500,3,0)</f>
        <v>T-1044</v>
      </c>
      <c r="Y1041" s="93" t="str">
        <f>+VLOOKUP(Agencia[[#This Row],[contenido]],Estructura!$E$4:$G$500,3,0)</f>
        <v>C-1015</v>
      </c>
      <c r="Z1041" s="93" t="str">
        <f>+VLOOKUP(Agencia[[#This Row],[Filtro Integrado]],Estructura!$I$4:$K$500,3,0)</f>
        <v>FI-993</v>
      </c>
      <c r="AA1041" s="93" t="str">
        <f>+VLOOKUP(Agencia[[#This Row],[Muestra]],Estructura!$M$4:$O$500,3,0)</f>
        <v>M-1078</v>
      </c>
    </row>
    <row r="1042" spans="1:27" ht="57.6" x14ac:dyDescent="0.3">
      <c r="A1042" s="21" t="s">
        <v>1762</v>
      </c>
      <c r="B1042" s="9">
        <f t="shared" si="424"/>
        <v>990</v>
      </c>
      <c r="C1042" s="10" t="str">
        <f t="shared" si="425"/>
        <v>Agencia Información</v>
      </c>
      <c r="D1042" s="67" t="str">
        <f t="shared" si="426"/>
        <v>Gobiernos locales</v>
      </c>
      <c r="E1042" s="19">
        <v>5</v>
      </c>
      <c r="F1042" s="18" t="str">
        <f t="shared" si="430"/>
        <v>Predios Agrícolas</v>
      </c>
      <c r="G1042" s="18" t="str">
        <f t="shared" si="430"/>
        <v>Gestión Municipal Territorial</v>
      </c>
      <c r="H1042" s="79" t="s">
        <v>16</v>
      </c>
      <c r="I1042" s="80" t="s">
        <v>372</v>
      </c>
      <c r="J1042" s="9" t="str">
        <f t="shared" si="431"/>
        <v>Ninguno</v>
      </c>
      <c r="K1042" s="142" t="s">
        <v>2989</v>
      </c>
      <c r="L1042" s="36" t="str">
        <f t="shared" si="427"/>
        <v>Periodo 2006-2019</v>
      </c>
      <c r="M1042" s="9" t="str">
        <f t="shared" si="428"/>
        <v>Número de Predios</v>
      </c>
      <c r="N1042" s="9" t="str">
        <f t="shared" si="429"/>
        <v>Sistema Nacional de Información Municipal</v>
      </c>
      <c r="O1042" s="41" t="str">
        <f>+"Cantidad de Predios Agrícolas por Comuna en la "&amp;I1042&amp;", "&amp;Agencia[[#This Row],[temporalidad]]</f>
        <v>Cantidad de Predios Agrícolas por Comuna en la Región de Valparaíso, Periodo 2006-2019</v>
      </c>
      <c r="P1042" s="112" t="s">
        <v>6475</v>
      </c>
      <c r="Q1042" s="11" t="str">
        <f t="shared" si="432"/>
        <v>Gráfico de Evolución</v>
      </c>
      <c r="R1042" s="148" t="str">
        <f>Agencia[[#This Row],[territorio]]&amp;",catastro,predio,municipal,municipio,agrícola,territorio,"&amp;Agencia[[#This Row],[coleccion]]&amp;","&amp;Agencia[[#This Row],[sector]]&amp;","&amp;Agencia[[#This Row],[tema]]&amp;","&amp;Agencia[[#This Row],[contenido]]</f>
        <v>Región de Valparaíso,catastro,predio,municipal,municipio,agrícola,territorio,Agencia Información,Gobiernos locales,Predios Agrícolas,Gestión Municipal Territorial</v>
      </c>
      <c r="S1042" s="37" t="str">
        <f>HYPERLINK("https://analytics.zoho.com/open-view/2395394000008464535?ZOHO_CRITERIA=%22Localiza%20CL%22.%22Codreg%22%20%3D%20"&amp;Agencia[[#This Row],[Filtro URL]])</f>
        <v>https://analytics.zoho.com/open-view/2395394000008464535?ZOHO_CRITERIA=%22Localiza%20CL%22.%22Codreg%22%20%3D%205</v>
      </c>
      <c r="T1042" s="111" t="str">
        <f>"100-C-"&amp;Agencia[[#This Row],[Filtro URL]]</f>
        <v>100-C-5</v>
      </c>
      <c r="U1042" s="46" t="str">
        <f t="shared" si="417"/>
        <v>#1774B9</v>
      </c>
      <c r="V1042" s="93" t="str">
        <f>+Agencia[[#This Row],[idcoleccion]]&amp;"-"&amp;Agencia[[#This Row],[id]]</f>
        <v>990-1031</v>
      </c>
      <c r="W1042" s="93">
        <f>+VLOOKUP(Agencia[[#This Row],[Filtro URL]],Estructura!$X$4:$Y$500,2,0)</f>
        <v>99200005</v>
      </c>
      <c r="X1042" s="93" t="str">
        <f>+VLOOKUP(Agencia[[#This Row],[tema]],Estructura!$A$4:$C$500,3,0)</f>
        <v>T-1044</v>
      </c>
      <c r="Y1042" s="93" t="str">
        <f>+VLOOKUP(Agencia[[#This Row],[contenido]],Estructura!$E$4:$G$500,3,0)</f>
        <v>C-1015</v>
      </c>
      <c r="Z1042" s="93" t="str">
        <f>+VLOOKUP(Agencia[[#This Row],[Filtro Integrado]],Estructura!$I$4:$K$500,3,0)</f>
        <v>FI-993</v>
      </c>
      <c r="AA1042" s="93" t="str">
        <f>+VLOOKUP(Agencia[[#This Row],[Muestra]],Estructura!$M$4:$O$500,3,0)</f>
        <v>M-1078</v>
      </c>
    </row>
    <row r="1043" spans="1:27" ht="57.6" x14ac:dyDescent="0.3">
      <c r="A1043" s="21" t="s">
        <v>1763</v>
      </c>
      <c r="B1043" s="9">
        <f t="shared" si="424"/>
        <v>990</v>
      </c>
      <c r="C1043" s="10" t="str">
        <f t="shared" si="425"/>
        <v>Agencia Información</v>
      </c>
      <c r="D1043" s="67" t="str">
        <f t="shared" si="426"/>
        <v>Gobiernos locales</v>
      </c>
      <c r="E1043" s="19">
        <v>6</v>
      </c>
      <c r="F1043" s="18" t="str">
        <f t="shared" si="430"/>
        <v>Predios Agrícolas</v>
      </c>
      <c r="G1043" s="18" t="str">
        <f t="shared" si="430"/>
        <v>Gestión Municipal Territorial</v>
      </c>
      <c r="H1043" s="79" t="s">
        <v>16</v>
      </c>
      <c r="I1043" s="80" t="s">
        <v>373</v>
      </c>
      <c r="J1043" s="9" t="str">
        <f t="shared" si="431"/>
        <v>Ninguno</v>
      </c>
      <c r="K1043" s="142" t="s">
        <v>2989</v>
      </c>
      <c r="L1043" s="36" t="str">
        <f t="shared" si="427"/>
        <v>Periodo 2006-2019</v>
      </c>
      <c r="M1043" s="9" t="str">
        <f t="shared" si="428"/>
        <v>Número de Predios</v>
      </c>
      <c r="N1043" s="9" t="str">
        <f t="shared" si="429"/>
        <v>Sistema Nacional de Información Municipal</v>
      </c>
      <c r="O1043" s="41" t="str">
        <f>+"Cantidad de Predios Agrícolas por Comuna en la "&amp;I1043&amp;", "&amp;Agencia[[#This Row],[temporalidad]]</f>
        <v>Cantidad de Predios Agrícolas por Comuna en la Región de O'Higgins, Periodo 2006-2019</v>
      </c>
      <c r="P1043" s="112" t="s">
        <v>6476</v>
      </c>
      <c r="Q1043" s="11" t="str">
        <f t="shared" si="432"/>
        <v>Gráfico de Evolución</v>
      </c>
      <c r="R1043" s="148" t="str">
        <f>Agencia[[#This Row],[territorio]]&amp;",catastro,predio,municipal,municipio,agrícola,territorio,"&amp;Agencia[[#This Row],[coleccion]]&amp;","&amp;Agencia[[#This Row],[sector]]&amp;","&amp;Agencia[[#This Row],[tema]]&amp;","&amp;Agencia[[#This Row],[contenido]]</f>
        <v>Región de O'Higgins,catastro,predio,municipal,municipio,agrícola,territorio,Agencia Información,Gobiernos locales,Predios Agrícolas,Gestión Municipal Territorial</v>
      </c>
      <c r="S1043" s="37" t="str">
        <f>HYPERLINK("https://analytics.zoho.com/open-view/2395394000008464535?ZOHO_CRITERIA=%22Localiza%20CL%22.%22Codreg%22%20%3D%20"&amp;Agencia[[#This Row],[Filtro URL]])</f>
        <v>https://analytics.zoho.com/open-view/2395394000008464535?ZOHO_CRITERIA=%22Localiza%20CL%22.%22Codreg%22%20%3D%206</v>
      </c>
      <c r="T1043" s="111" t="str">
        <f>"100-C-"&amp;Agencia[[#This Row],[Filtro URL]]</f>
        <v>100-C-6</v>
      </c>
      <c r="U1043" s="46" t="str">
        <f t="shared" si="417"/>
        <v>#1774B9</v>
      </c>
      <c r="V1043" s="93" t="str">
        <f>+Agencia[[#This Row],[idcoleccion]]&amp;"-"&amp;Agencia[[#This Row],[id]]</f>
        <v>990-1032</v>
      </c>
      <c r="W1043" s="93">
        <f>+VLOOKUP(Agencia[[#This Row],[Filtro URL]],Estructura!$X$4:$Y$500,2,0)</f>
        <v>99200006</v>
      </c>
      <c r="X1043" s="93" t="str">
        <f>+VLOOKUP(Agencia[[#This Row],[tema]],Estructura!$A$4:$C$500,3,0)</f>
        <v>T-1044</v>
      </c>
      <c r="Y1043" s="93" t="str">
        <f>+VLOOKUP(Agencia[[#This Row],[contenido]],Estructura!$E$4:$G$500,3,0)</f>
        <v>C-1015</v>
      </c>
      <c r="Z1043" s="93" t="str">
        <f>+VLOOKUP(Agencia[[#This Row],[Filtro Integrado]],Estructura!$I$4:$K$500,3,0)</f>
        <v>FI-993</v>
      </c>
      <c r="AA1043" s="93" t="str">
        <f>+VLOOKUP(Agencia[[#This Row],[Muestra]],Estructura!$M$4:$O$500,3,0)</f>
        <v>M-1078</v>
      </c>
    </row>
    <row r="1044" spans="1:27" ht="57.6" x14ac:dyDescent="0.3">
      <c r="A1044" s="21" t="s">
        <v>1764</v>
      </c>
      <c r="B1044" s="9">
        <f t="shared" si="424"/>
        <v>990</v>
      </c>
      <c r="C1044" s="10" t="str">
        <f t="shared" si="425"/>
        <v>Agencia Información</v>
      </c>
      <c r="D1044" s="67" t="str">
        <f t="shared" si="426"/>
        <v>Gobiernos locales</v>
      </c>
      <c r="E1044" s="19">
        <v>7</v>
      </c>
      <c r="F1044" s="18" t="str">
        <f t="shared" si="430"/>
        <v>Predios Agrícolas</v>
      </c>
      <c r="G1044" s="18" t="str">
        <f t="shared" si="430"/>
        <v>Gestión Municipal Territorial</v>
      </c>
      <c r="H1044" s="79" t="s">
        <v>16</v>
      </c>
      <c r="I1044" s="80" t="s">
        <v>374</v>
      </c>
      <c r="J1044" s="9" t="str">
        <f t="shared" si="431"/>
        <v>Ninguno</v>
      </c>
      <c r="K1044" s="142" t="s">
        <v>2989</v>
      </c>
      <c r="L1044" s="36" t="str">
        <f t="shared" si="427"/>
        <v>Periodo 2006-2019</v>
      </c>
      <c r="M1044" s="9" t="str">
        <f t="shared" si="428"/>
        <v>Número de Predios</v>
      </c>
      <c r="N1044" s="9" t="str">
        <f t="shared" si="429"/>
        <v>Sistema Nacional de Información Municipal</v>
      </c>
      <c r="O1044" s="41" t="str">
        <f>+"Cantidad de Predios Agrícolas por Comuna en la "&amp;I1044&amp;", "&amp;Agencia[[#This Row],[temporalidad]]</f>
        <v>Cantidad de Predios Agrícolas por Comuna en la Región de Maule, Periodo 2006-2019</v>
      </c>
      <c r="P1044" s="112" t="s">
        <v>6504</v>
      </c>
      <c r="Q1044" s="11" t="str">
        <f t="shared" si="432"/>
        <v>Gráfico de Evolución</v>
      </c>
      <c r="R1044" s="148" t="str">
        <f>Agencia[[#This Row],[territorio]]&amp;",catastro,predio,municipal,municipio,agrícola,territorio,"&amp;Agencia[[#This Row],[coleccion]]&amp;","&amp;Agencia[[#This Row],[sector]]&amp;","&amp;Agencia[[#This Row],[tema]]&amp;","&amp;Agencia[[#This Row],[contenido]]</f>
        <v>Región de Maule,catastro,predio,municipal,municipio,agrícola,territorio,Agencia Información,Gobiernos locales,Predios Agrícolas,Gestión Municipal Territorial</v>
      </c>
      <c r="S1044" s="37" t="str">
        <f>HYPERLINK("https://analytics.zoho.com/open-view/2395394000008464535?ZOHO_CRITERIA=%22Localiza%20CL%22.%22Codreg%22%20%3D%20"&amp;Agencia[[#This Row],[Filtro URL]])</f>
        <v>https://analytics.zoho.com/open-view/2395394000008464535?ZOHO_CRITERIA=%22Localiza%20CL%22.%22Codreg%22%20%3D%207</v>
      </c>
      <c r="T1044" s="111" t="str">
        <f>"100-C-"&amp;Agencia[[#This Row],[Filtro URL]]</f>
        <v>100-C-7</v>
      </c>
      <c r="U1044" s="46" t="str">
        <f t="shared" si="417"/>
        <v>#1774B9</v>
      </c>
      <c r="V1044" s="93" t="str">
        <f>+Agencia[[#This Row],[idcoleccion]]&amp;"-"&amp;Agencia[[#This Row],[id]]</f>
        <v>990-1033</v>
      </c>
      <c r="W1044" s="93">
        <f>+VLOOKUP(Agencia[[#This Row],[Filtro URL]],Estructura!$X$4:$Y$500,2,0)</f>
        <v>99200007</v>
      </c>
      <c r="X1044" s="93" t="str">
        <f>+VLOOKUP(Agencia[[#This Row],[tema]],Estructura!$A$4:$C$500,3,0)</f>
        <v>T-1044</v>
      </c>
      <c r="Y1044" s="93" t="str">
        <f>+VLOOKUP(Agencia[[#This Row],[contenido]],Estructura!$E$4:$G$500,3,0)</f>
        <v>C-1015</v>
      </c>
      <c r="Z1044" s="93" t="str">
        <f>+VLOOKUP(Agencia[[#This Row],[Filtro Integrado]],Estructura!$I$4:$K$500,3,0)</f>
        <v>FI-993</v>
      </c>
      <c r="AA1044" s="93" t="str">
        <f>+VLOOKUP(Agencia[[#This Row],[Muestra]],Estructura!$M$4:$O$500,3,0)</f>
        <v>M-1078</v>
      </c>
    </row>
    <row r="1045" spans="1:27" ht="57.6" x14ac:dyDescent="0.3">
      <c r="A1045" s="21" t="s">
        <v>1765</v>
      </c>
      <c r="B1045" s="9">
        <f t="shared" si="424"/>
        <v>990</v>
      </c>
      <c r="C1045" s="10" t="str">
        <f t="shared" si="425"/>
        <v>Agencia Información</v>
      </c>
      <c r="D1045" s="67" t="str">
        <f t="shared" si="426"/>
        <v>Gobiernos locales</v>
      </c>
      <c r="E1045" s="19">
        <v>8</v>
      </c>
      <c r="F1045" s="18" t="str">
        <f t="shared" si="430"/>
        <v>Predios Agrícolas</v>
      </c>
      <c r="G1045" s="18" t="str">
        <f t="shared" si="430"/>
        <v>Gestión Municipal Territorial</v>
      </c>
      <c r="H1045" s="79" t="s">
        <v>16</v>
      </c>
      <c r="I1045" s="80" t="s">
        <v>375</v>
      </c>
      <c r="J1045" s="9" t="str">
        <f t="shared" si="431"/>
        <v>Ninguno</v>
      </c>
      <c r="K1045" s="142" t="s">
        <v>2989</v>
      </c>
      <c r="L1045" s="36" t="str">
        <f t="shared" si="427"/>
        <v>Periodo 2006-2019</v>
      </c>
      <c r="M1045" s="9" t="str">
        <f t="shared" si="428"/>
        <v>Número de Predios</v>
      </c>
      <c r="N1045" s="9" t="str">
        <f t="shared" si="429"/>
        <v>Sistema Nacional de Información Municipal</v>
      </c>
      <c r="O1045" s="41" t="str">
        <f>+"Cantidad de Predios Agrícolas por Comuna en la "&amp;I1045&amp;", "&amp;Agencia[[#This Row],[temporalidad]]</f>
        <v>Cantidad de Predios Agrícolas por Comuna en la Región del Biobío, Periodo 2006-2019</v>
      </c>
      <c r="P1045" s="112" t="s">
        <v>6477</v>
      </c>
      <c r="Q1045" s="11" t="str">
        <f t="shared" si="432"/>
        <v>Gráfico de Evolución</v>
      </c>
      <c r="R1045" s="148" t="str">
        <f>Agencia[[#This Row],[territorio]]&amp;",catastro,predio,municipal,municipio,agrícola,territorio,"&amp;Agencia[[#This Row],[coleccion]]&amp;","&amp;Agencia[[#This Row],[sector]]&amp;","&amp;Agencia[[#This Row],[tema]]&amp;","&amp;Agencia[[#This Row],[contenido]]</f>
        <v>Región del Biobío,catastro,predio,municipal,municipio,agrícola,territorio,Agencia Información,Gobiernos locales,Predios Agrícolas,Gestión Municipal Territorial</v>
      </c>
      <c r="S1045" s="37" t="str">
        <f>HYPERLINK("https://analytics.zoho.com/open-view/2395394000008464535?ZOHO_CRITERIA=%22Localiza%20CL%22.%22Codreg%22%20%3D%20"&amp;Agencia[[#This Row],[Filtro URL]])</f>
        <v>https://analytics.zoho.com/open-view/2395394000008464535?ZOHO_CRITERIA=%22Localiza%20CL%22.%22Codreg%22%20%3D%208</v>
      </c>
      <c r="T1045" s="111" t="str">
        <f>"100-C-"&amp;Agencia[[#This Row],[Filtro URL]]</f>
        <v>100-C-8</v>
      </c>
      <c r="U1045" s="46" t="str">
        <f t="shared" si="417"/>
        <v>#1774B9</v>
      </c>
      <c r="V1045" s="93" t="str">
        <f>+Agencia[[#This Row],[idcoleccion]]&amp;"-"&amp;Agencia[[#This Row],[id]]</f>
        <v>990-1034</v>
      </c>
      <c r="W1045" s="93">
        <f>+VLOOKUP(Agencia[[#This Row],[Filtro URL]],Estructura!$X$4:$Y$500,2,0)</f>
        <v>99200008</v>
      </c>
      <c r="X1045" s="93" t="str">
        <f>+VLOOKUP(Agencia[[#This Row],[tema]],Estructura!$A$4:$C$500,3,0)</f>
        <v>T-1044</v>
      </c>
      <c r="Y1045" s="93" t="str">
        <f>+VLOOKUP(Agencia[[#This Row],[contenido]],Estructura!$E$4:$G$500,3,0)</f>
        <v>C-1015</v>
      </c>
      <c r="Z1045" s="93" t="str">
        <f>+VLOOKUP(Agencia[[#This Row],[Filtro Integrado]],Estructura!$I$4:$K$500,3,0)</f>
        <v>FI-993</v>
      </c>
      <c r="AA1045" s="93" t="str">
        <f>+VLOOKUP(Agencia[[#This Row],[Muestra]],Estructura!$M$4:$O$500,3,0)</f>
        <v>M-1078</v>
      </c>
    </row>
    <row r="1046" spans="1:27" ht="57.6" x14ac:dyDescent="0.3">
      <c r="A1046" s="21" t="s">
        <v>1766</v>
      </c>
      <c r="B1046" s="9">
        <f t="shared" si="424"/>
        <v>990</v>
      </c>
      <c r="C1046" s="10" t="str">
        <f t="shared" si="425"/>
        <v>Agencia Información</v>
      </c>
      <c r="D1046" s="67" t="str">
        <f t="shared" si="426"/>
        <v>Gobiernos locales</v>
      </c>
      <c r="E1046" s="19">
        <v>9</v>
      </c>
      <c r="F1046" s="18" t="str">
        <f t="shared" si="430"/>
        <v>Predios Agrícolas</v>
      </c>
      <c r="G1046" s="18" t="str">
        <f t="shared" si="430"/>
        <v>Gestión Municipal Territorial</v>
      </c>
      <c r="H1046" s="79" t="s">
        <v>16</v>
      </c>
      <c r="I1046" s="80" t="s">
        <v>376</v>
      </c>
      <c r="J1046" s="9" t="str">
        <f t="shared" si="431"/>
        <v>Ninguno</v>
      </c>
      <c r="K1046" s="142" t="s">
        <v>2989</v>
      </c>
      <c r="L1046" s="36" t="str">
        <f t="shared" si="427"/>
        <v>Periodo 2006-2019</v>
      </c>
      <c r="M1046" s="9" t="str">
        <f t="shared" si="428"/>
        <v>Número de Predios</v>
      </c>
      <c r="N1046" s="9" t="str">
        <f t="shared" si="429"/>
        <v>Sistema Nacional de Información Municipal</v>
      </c>
      <c r="O1046" s="41" t="str">
        <f>+"Cantidad de Predios Agrícolas por Comuna en la "&amp;I1046&amp;", "&amp;Agencia[[#This Row],[temporalidad]]</f>
        <v>Cantidad de Predios Agrícolas por Comuna en la Región de La Araucanía, Periodo 2006-2019</v>
      </c>
      <c r="P1046" s="112" t="s">
        <v>6478</v>
      </c>
      <c r="Q1046" s="11" t="str">
        <f t="shared" si="432"/>
        <v>Gráfico de Evolución</v>
      </c>
      <c r="R1046" s="148" t="str">
        <f>Agencia[[#This Row],[territorio]]&amp;",catastro,predio,municipal,municipio,agrícola,territorio,"&amp;Agencia[[#This Row],[coleccion]]&amp;","&amp;Agencia[[#This Row],[sector]]&amp;","&amp;Agencia[[#This Row],[tema]]&amp;","&amp;Agencia[[#This Row],[contenido]]</f>
        <v>Región de La Araucanía,catastro,predio,municipal,municipio,agrícola,territorio,Agencia Información,Gobiernos locales,Predios Agrícolas,Gestión Municipal Territorial</v>
      </c>
      <c r="S1046" s="37" t="str">
        <f>HYPERLINK("https://analytics.zoho.com/open-view/2395394000008464535?ZOHO_CRITERIA=%22Localiza%20CL%22.%22Codreg%22%20%3D%20"&amp;Agencia[[#This Row],[Filtro URL]])</f>
        <v>https://analytics.zoho.com/open-view/2395394000008464535?ZOHO_CRITERIA=%22Localiza%20CL%22.%22Codreg%22%20%3D%209</v>
      </c>
      <c r="T1046" s="111" t="str">
        <f>"100-C-"&amp;Agencia[[#This Row],[Filtro URL]]</f>
        <v>100-C-9</v>
      </c>
      <c r="U1046" s="46" t="str">
        <f t="shared" si="417"/>
        <v>#1774B9</v>
      </c>
      <c r="V1046" s="93" t="str">
        <f>+Agencia[[#This Row],[idcoleccion]]&amp;"-"&amp;Agencia[[#This Row],[id]]</f>
        <v>990-1035</v>
      </c>
      <c r="W1046" s="93">
        <f>+VLOOKUP(Agencia[[#This Row],[Filtro URL]],Estructura!$X$4:$Y$500,2,0)</f>
        <v>99200009</v>
      </c>
      <c r="X1046" s="93" t="str">
        <f>+VLOOKUP(Agencia[[#This Row],[tema]],Estructura!$A$4:$C$500,3,0)</f>
        <v>T-1044</v>
      </c>
      <c r="Y1046" s="93" t="str">
        <f>+VLOOKUP(Agencia[[#This Row],[contenido]],Estructura!$E$4:$G$500,3,0)</f>
        <v>C-1015</v>
      </c>
      <c r="Z1046" s="93" t="str">
        <f>+VLOOKUP(Agencia[[#This Row],[Filtro Integrado]],Estructura!$I$4:$K$500,3,0)</f>
        <v>FI-993</v>
      </c>
      <c r="AA1046" s="93" t="str">
        <f>+VLOOKUP(Agencia[[#This Row],[Muestra]],Estructura!$M$4:$O$500,3,0)</f>
        <v>M-1078</v>
      </c>
    </row>
    <row r="1047" spans="1:27" ht="57.6" x14ac:dyDescent="0.3">
      <c r="A1047" s="21" t="s">
        <v>1767</v>
      </c>
      <c r="B1047" s="9">
        <f t="shared" si="424"/>
        <v>990</v>
      </c>
      <c r="C1047" s="10" t="str">
        <f t="shared" si="425"/>
        <v>Agencia Información</v>
      </c>
      <c r="D1047" s="67" t="str">
        <f t="shared" si="426"/>
        <v>Gobiernos locales</v>
      </c>
      <c r="E1047" s="19">
        <v>10</v>
      </c>
      <c r="F1047" s="18" t="str">
        <f t="shared" si="430"/>
        <v>Predios Agrícolas</v>
      </c>
      <c r="G1047" s="18" t="str">
        <f t="shared" si="430"/>
        <v>Gestión Municipal Territorial</v>
      </c>
      <c r="H1047" s="79" t="s">
        <v>16</v>
      </c>
      <c r="I1047" s="80" t="s">
        <v>377</v>
      </c>
      <c r="J1047" s="9" t="str">
        <f t="shared" si="431"/>
        <v>Ninguno</v>
      </c>
      <c r="K1047" s="142" t="s">
        <v>2989</v>
      </c>
      <c r="L1047" s="36" t="str">
        <f t="shared" si="427"/>
        <v>Periodo 2006-2019</v>
      </c>
      <c r="M1047" s="9" t="str">
        <f t="shared" si="428"/>
        <v>Número de Predios</v>
      </c>
      <c r="N1047" s="9" t="str">
        <f t="shared" si="429"/>
        <v>Sistema Nacional de Información Municipal</v>
      </c>
      <c r="O1047" s="41" t="str">
        <f>+"Cantidad de Predios Agrícolas por Comuna en la "&amp;I1047&amp;", "&amp;Agencia[[#This Row],[temporalidad]]</f>
        <v>Cantidad de Predios Agrícolas por Comuna en la Región de Los Lagos, Periodo 2006-2019</v>
      </c>
      <c r="P1047" s="112" t="s">
        <v>6479</v>
      </c>
      <c r="Q1047" s="11" t="str">
        <f t="shared" si="432"/>
        <v>Gráfico de Evolución</v>
      </c>
      <c r="R1047" s="148" t="str">
        <f>Agencia[[#This Row],[territorio]]&amp;",catastro,predio,municipal,municipio,agrícola,territorio,"&amp;Agencia[[#This Row],[coleccion]]&amp;","&amp;Agencia[[#This Row],[sector]]&amp;","&amp;Agencia[[#This Row],[tema]]&amp;","&amp;Agencia[[#This Row],[contenido]]</f>
        <v>Región de Los Lagos,catastro,predio,municipal,municipio,agrícola,territorio,Agencia Información,Gobiernos locales,Predios Agrícolas,Gestión Municipal Territorial</v>
      </c>
      <c r="S1047" s="37" t="str">
        <f>HYPERLINK("https://analytics.zoho.com/open-view/2395394000008464535?ZOHO_CRITERIA=%22Localiza%20CL%22.%22Codreg%22%20%3D%20"&amp;Agencia[[#This Row],[Filtro URL]])</f>
        <v>https://analytics.zoho.com/open-view/2395394000008464535?ZOHO_CRITERIA=%22Localiza%20CL%22.%22Codreg%22%20%3D%2010</v>
      </c>
      <c r="T1047" s="111" t="str">
        <f>"100-C-"&amp;Agencia[[#This Row],[Filtro URL]]</f>
        <v>100-C-10</v>
      </c>
      <c r="U1047" s="46" t="str">
        <f t="shared" si="417"/>
        <v>#1774B9</v>
      </c>
      <c r="V1047" s="93" t="str">
        <f>+Agencia[[#This Row],[idcoleccion]]&amp;"-"&amp;Agencia[[#This Row],[id]]</f>
        <v>990-1036</v>
      </c>
      <c r="W1047" s="93">
        <f>+VLOOKUP(Agencia[[#This Row],[Filtro URL]],Estructura!$X$4:$Y$500,2,0)</f>
        <v>99200010</v>
      </c>
      <c r="X1047" s="93" t="str">
        <f>+VLOOKUP(Agencia[[#This Row],[tema]],Estructura!$A$4:$C$500,3,0)</f>
        <v>T-1044</v>
      </c>
      <c r="Y1047" s="93" t="str">
        <f>+VLOOKUP(Agencia[[#This Row],[contenido]],Estructura!$E$4:$G$500,3,0)</f>
        <v>C-1015</v>
      </c>
      <c r="Z1047" s="93" t="str">
        <f>+VLOOKUP(Agencia[[#This Row],[Filtro Integrado]],Estructura!$I$4:$K$500,3,0)</f>
        <v>FI-993</v>
      </c>
      <c r="AA1047" s="93" t="str">
        <f>+VLOOKUP(Agencia[[#This Row],[Muestra]],Estructura!$M$4:$O$500,3,0)</f>
        <v>M-1078</v>
      </c>
    </row>
    <row r="1048" spans="1:27" ht="57.6" x14ac:dyDescent="0.3">
      <c r="A1048" s="21" t="s">
        <v>1768</v>
      </c>
      <c r="B1048" s="9">
        <f t="shared" si="424"/>
        <v>990</v>
      </c>
      <c r="C1048" s="10" t="str">
        <f t="shared" si="425"/>
        <v>Agencia Información</v>
      </c>
      <c r="D1048" s="67" t="str">
        <f t="shared" si="426"/>
        <v>Gobiernos locales</v>
      </c>
      <c r="E1048" s="19">
        <v>11</v>
      </c>
      <c r="F1048" s="18" t="str">
        <f t="shared" si="430"/>
        <v>Predios Agrícolas</v>
      </c>
      <c r="G1048" s="18" t="str">
        <f t="shared" si="430"/>
        <v>Gestión Municipal Territorial</v>
      </c>
      <c r="H1048" s="79" t="s">
        <v>16</v>
      </c>
      <c r="I1048" s="80" t="s">
        <v>378</v>
      </c>
      <c r="J1048" s="9" t="str">
        <f t="shared" si="431"/>
        <v>Ninguno</v>
      </c>
      <c r="K1048" s="142" t="s">
        <v>2989</v>
      </c>
      <c r="L1048" s="36" t="str">
        <f t="shared" si="427"/>
        <v>Periodo 2006-2019</v>
      </c>
      <c r="M1048" s="9" t="str">
        <f t="shared" si="428"/>
        <v>Número de Predios</v>
      </c>
      <c r="N1048" s="9" t="str">
        <f t="shared" si="429"/>
        <v>Sistema Nacional de Información Municipal</v>
      </c>
      <c r="O1048" s="41" t="str">
        <f>+"Cantidad de Predios Agrícolas por Comuna en la "&amp;I1048&amp;", "&amp;Agencia[[#This Row],[temporalidad]]</f>
        <v>Cantidad de Predios Agrícolas por Comuna en la Región de Aysén, Periodo 2006-2019</v>
      </c>
      <c r="P1048" s="112" t="s">
        <v>6480</v>
      </c>
      <c r="Q1048" s="11" t="str">
        <f t="shared" si="432"/>
        <v>Gráfico de Evolución</v>
      </c>
      <c r="R1048" s="148" t="str">
        <f>Agencia[[#This Row],[territorio]]&amp;",catastro,predio,municipal,municipio,agrícola,territorio,"&amp;Agencia[[#This Row],[coleccion]]&amp;","&amp;Agencia[[#This Row],[sector]]&amp;","&amp;Agencia[[#This Row],[tema]]&amp;","&amp;Agencia[[#This Row],[contenido]]</f>
        <v>Región de Aysén,catastro,predio,municipal,municipio,agrícola,territorio,Agencia Información,Gobiernos locales,Predios Agrícolas,Gestión Municipal Territorial</v>
      </c>
      <c r="S1048" s="37" t="str">
        <f>HYPERLINK("https://analytics.zoho.com/open-view/2395394000008464535?ZOHO_CRITERIA=%22Localiza%20CL%22.%22Codreg%22%20%3D%20"&amp;Agencia[[#This Row],[Filtro URL]])</f>
        <v>https://analytics.zoho.com/open-view/2395394000008464535?ZOHO_CRITERIA=%22Localiza%20CL%22.%22Codreg%22%20%3D%2011</v>
      </c>
      <c r="T1048" s="111" t="str">
        <f>"100-C-"&amp;Agencia[[#This Row],[Filtro URL]]</f>
        <v>100-C-11</v>
      </c>
      <c r="U1048" s="46" t="str">
        <f t="shared" si="417"/>
        <v>#1774B9</v>
      </c>
      <c r="V1048" s="93" t="str">
        <f>+Agencia[[#This Row],[idcoleccion]]&amp;"-"&amp;Agencia[[#This Row],[id]]</f>
        <v>990-1037</v>
      </c>
      <c r="W1048" s="93">
        <f>+VLOOKUP(Agencia[[#This Row],[Filtro URL]],Estructura!$X$4:$Y$500,2,0)</f>
        <v>99200011</v>
      </c>
      <c r="X1048" s="93" t="str">
        <f>+VLOOKUP(Agencia[[#This Row],[tema]],Estructura!$A$4:$C$500,3,0)</f>
        <v>T-1044</v>
      </c>
      <c r="Y1048" s="93" t="str">
        <f>+VLOOKUP(Agencia[[#This Row],[contenido]],Estructura!$E$4:$G$500,3,0)</f>
        <v>C-1015</v>
      </c>
      <c r="Z1048" s="93" t="str">
        <f>+VLOOKUP(Agencia[[#This Row],[Filtro Integrado]],Estructura!$I$4:$K$500,3,0)</f>
        <v>FI-993</v>
      </c>
      <c r="AA1048" s="93" t="str">
        <f>+VLOOKUP(Agencia[[#This Row],[Muestra]],Estructura!$M$4:$O$500,3,0)</f>
        <v>M-1078</v>
      </c>
    </row>
    <row r="1049" spans="1:27" ht="57.6" x14ac:dyDescent="0.3">
      <c r="A1049" s="21" t="s">
        <v>1769</v>
      </c>
      <c r="B1049" s="9">
        <f t="shared" si="424"/>
        <v>990</v>
      </c>
      <c r="C1049" s="10" t="str">
        <f t="shared" si="425"/>
        <v>Agencia Información</v>
      </c>
      <c r="D1049" s="67" t="str">
        <f t="shared" si="426"/>
        <v>Gobiernos locales</v>
      </c>
      <c r="E1049" s="19">
        <v>12</v>
      </c>
      <c r="F1049" s="18" t="str">
        <f t="shared" si="430"/>
        <v>Predios Agrícolas</v>
      </c>
      <c r="G1049" s="18" t="str">
        <f t="shared" si="430"/>
        <v>Gestión Municipal Territorial</v>
      </c>
      <c r="H1049" s="79" t="s">
        <v>16</v>
      </c>
      <c r="I1049" s="80" t="s">
        <v>379</v>
      </c>
      <c r="J1049" s="9" t="str">
        <f t="shared" si="431"/>
        <v>Ninguno</v>
      </c>
      <c r="K1049" s="142" t="s">
        <v>2989</v>
      </c>
      <c r="L1049" s="36" t="str">
        <f t="shared" si="427"/>
        <v>Periodo 2006-2019</v>
      </c>
      <c r="M1049" s="9" t="str">
        <f t="shared" si="428"/>
        <v>Número de Predios</v>
      </c>
      <c r="N1049" s="9" t="str">
        <f t="shared" si="429"/>
        <v>Sistema Nacional de Información Municipal</v>
      </c>
      <c r="O1049" s="41" t="str">
        <f>+"Cantidad de Predios Agrícolas por Comuna en la "&amp;I1049&amp;", "&amp;Agencia[[#This Row],[temporalidad]]</f>
        <v>Cantidad de Predios Agrícolas por Comuna en la Región de Magallanes, Periodo 2006-2019</v>
      </c>
      <c r="P1049" s="112" t="s">
        <v>6481</v>
      </c>
      <c r="Q1049" s="11" t="str">
        <f t="shared" si="432"/>
        <v>Gráfico de Evolución</v>
      </c>
      <c r="R1049" s="148" t="str">
        <f>Agencia[[#This Row],[territorio]]&amp;",catastro,predio,municipal,municipio,agrícola,territorio,"&amp;Agencia[[#This Row],[coleccion]]&amp;","&amp;Agencia[[#This Row],[sector]]&amp;","&amp;Agencia[[#This Row],[tema]]&amp;","&amp;Agencia[[#This Row],[contenido]]</f>
        <v>Región de Magallanes,catastro,predio,municipal,municipio,agrícola,territorio,Agencia Información,Gobiernos locales,Predios Agrícolas,Gestión Municipal Territorial</v>
      </c>
      <c r="S1049" s="37" t="str">
        <f>HYPERLINK("https://analytics.zoho.com/open-view/2395394000008464535?ZOHO_CRITERIA=%22Localiza%20CL%22.%22Codreg%22%20%3D%20"&amp;Agencia[[#This Row],[Filtro URL]])</f>
        <v>https://analytics.zoho.com/open-view/2395394000008464535?ZOHO_CRITERIA=%22Localiza%20CL%22.%22Codreg%22%20%3D%2012</v>
      </c>
      <c r="T1049" s="111" t="str">
        <f>"100-C-"&amp;Agencia[[#This Row],[Filtro URL]]</f>
        <v>100-C-12</v>
      </c>
      <c r="U1049" s="46" t="str">
        <f t="shared" si="417"/>
        <v>#1774B9</v>
      </c>
      <c r="V1049" s="93" t="str">
        <f>+Agencia[[#This Row],[idcoleccion]]&amp;"-"&amp;Agencia[[#This Row],[id]]</f>
        <v>990-1038</v>
      </c>
      <c r="W1049" s="93">
        <f>+VLOOKUP(Agencia[[#This Row],[Filtro URL]],Estructura!$X$4:$Y$500,2,0)</f>
        <v>99200012</v>
      </c>
      <c r="X1049" s="93" t="str">
        <f>+VLOOKUP(Agencia[[#This Row],[tema]],Estructura!$A$4:$C$500,3,0)</f>
        <v>T-1044</v>
      </c>
      <c r="Y1049" s="93" t="str">
        <f>+VLOOKUP(Agencia[[#This Row],[contenido]],Estructura!$E$4:$G$500,3,0)</f>
        <v>C-1015</v>
      </c>
      <c r="Z1049" s="93" t="str">
        <f>+VLOOKUP(Agencia[[#This Row],[Filtro Integrado]],Estructura!$I$4:$K$500,3,0)</f>
        <v>FI-993</v>
      </c>
      <c r="AA1049" s="93" t="str">
        <f>+VLOOKUP(Agencia[[#This Row],[Muestra]],Estructura!$M$4:$O$500,3,0)</f>
        <v>M-1078</v>
      </c>
    </row>
    <row r="1050" spans="1:27" ht="57.6" x14ac:dyDescent="0.3">
      <c r="A1050" s="21" t="s">
        <v>1770</v>
      </c>
      <c r="B1050" s="9">
        <f t="shared" si="424"/>
        <v>990</v>
      </c>
      <c r="C1050" s="10" t="str">
        <f t="shared" si="425"/>
        <v>Agencia Información</v>
      </c>
      <c r="D1050" s="67" t="str">
        <f t="shared" si="426"/>
        <v>Gobiernos locales</v>
      </c>
      <c r="E1050" s="19">
        <v>13</v>
      </c>
      <c r="F1050" s="18" t="str">
        <f t="shared" si="430"/>
        <v>Predios Agrícolas</v>
      </c>
      <c r="G1050" s="18" t="str">
        <f t="shared" si="430"/>
        <v>Gestión Municipal Territorial</v>
      </c>
      <c r="H1050" s="79" t="s">
        <v>16</v>
      </c>
      <c r="I1050" s="80" t="s">
        <v>380</v>
      </c>
      <c r="J1050" s="9" t="str">
        <f t="shared" si="431"/>
        <v>Ninguno</v>
      </c>
      <c r="K1050" s="142" t="s">
        <v>2989</v>
      </c>
      <c r="L1050" s="36" t="str">
        <f t="shared" si="427"/>
        <v>Periodo 2006-2019</v>
      </c>
      <c r="M1050" s="9" t="str">
        <f t="shared" si="428"/>
        <v>Número de Predios</v>
      </c>
      <c r="N1050" s="9" t="str">
        <f t="shared" si="429"/>
        <v>Sistema Nacional de Información Municipal</v>
      </c>
      <c r="O1050" s="41" t="str">
        <f>+"Cantidad de Predios Agrícolas por Comuna en la "&amp;I1050&amp;", "&amp;Agencia[[#This Row],[temporalidad]]</f>
        <v>Cantidad de Predios Agrícolas por Comuna en la Región Metropolitana, Periodo 2006-2019</v>
      </c>
      <c r="P1050" s="112" t="s">
        <v>6482</v>
      </c>
      <c r="Q1050" s="11" t="str">
        <f t="shared" si="432"/>
        <v>Gráfico de Evolución</v>
      </c>
      <c r="R1050" s="148" t="str">
        <f>Agencia[[#This Row],[territorio]]&amp;",catastro,predio,municipal,municipio,agrícola,territorio,"&amp;Agencia[[#This Row],[coleccion]]&amp;","&amp;Agencia[[#This Row],[sector]]&amp;","&amp;Agencia[[#This Row],[tema]]&amp;","&amp;Agencia[[#This Row],[contenido]]</f>
        <v>Región Metropolitana,catastro,predio,municipal,municipio,agrícola,territorio,Agencia Información,Gobiernos locales,Predios Agrícolas,Gestión Municipal Territorial</v>
      </c>
      <c r="S1050" s="37" t="str">
        <f>HYPERLINK("https://analytics.zoho.com/open-view/2395394000008464535?ZOHO_CRITERIA=%22Localiza%20CL%22.%22Codreg%22%20%3D%20"&amp;Agencia[[#This Row],[Filtro URL]])</f>
        <v>https://analytics.zoho.com/open-view/2395394000008464535?ZOHO_CRITERIA=%22Localiza%20CL%22.%22Codreg%22%20%3D%2013</v>
      </c>
      <c r="T1050" s="111" t="str">
        <f>"200-C-"&amp;Agencia[[#This Row],[Filtro URL]]</f>
        <v>200-C-13</v>
      </c>
      <c r="U1050" s="46" t="str">
        <f t="shared" si="417"/>
        <v>#1774B9</v>
      </c>
      <c r="V1050" s="93" t="str">
        <f>+Agencia[[#This Row],[idcoleccion]]&amp;"-"&amp;Agencia[[#This Row],[id]]</f>
        <v>990-1039</v>
      </c>
      <c r="W1050" s="93">
        <f>+VLOOKUP(Agencia[[#This Row],[Filtro URL]],Estructura!$X$4:$Y$500,2,0)</f>
        <v>99200013</v>
      </c>
      <c r="X1050" s="93" t="str">
        <f>+VLOOKUP(Agencia[[#This Row],[tema]],Estructura!$A$4:$C$500,3,0)</f>
        <v>T-1044</v>
      </c>
      <c r="Y1050" s="93" t="str">
        <f>+VLOOKUP(Agencia[[#This Row],[contenido]],Estructura!$E$4:$G$500,3,0)</f>
        <v>C-1015</v>
      </c>
      <c r="Z1050" s="93" t="str">
        <f>+VLOOKUP(Agencia[[#This Row],[Filtro Integrado]],Estructura!$I$4:$K$500,3,0)</f>
        <v>FI-993</v>
      </c>
      <c r="AA1050" s="93" t="str">
        <f>+VLOOKUP(Agencia[[#This Row],[Muestra]],Estructura!$M$4:$O$500,3,0)</f>
        <v>M-1078</v>
      </c>
    </row>
    <row r="1051" spans="1:27" ht="57.6" x14ac:dyDescent="0.3">
      <c r="A1051" s="21" t="s">
        <v>1771</v>
      </c>
      <c r="B1051" s="9">
        <f t="shared" si="424"/>
        <v>990</v>
      </c>
      <c r="C1051" s="10" t="str">
        <f t="shared" si="425"/>
        <v>Agencia Información</v>
      </c>
      <c r="D1051" s="67" t="str">
        <f t="shared" si="426"/>
        <v>Gobiernos locales</v>
      </c>
      <c r="E1051" s="19">
        <v>14</v>
      </c>
      <c r="F1051" s="18" t="str">
        <f t="shared" si="430"/>
        <v>Predios Agrícolas</v>
      </c>
      <c r="G1051" s="18" t="str">
        <f t="shared" si="430"/>
        <v>Gestión Municipal Territorial</v>
      </c>
      <c r="H1051" s="79" t="s">
        <v>16</v>
      </c>
      <c r="I1051" s="80" t="s">
        <v>381</v>
      </c>
      <c r="J1051" s="9" t="str">
        <f t="shared" si="431"/>
        <v>Ninguno</v>
      </c>
      <c r="K1051" s="142" t="s">
        <v>2989</v>
      </c>
      <c r="L1051" s="36" t="str">
        <f t="shared" si="427"/>
        <v>Periodo 2006-2019</v>
      </c>
      <c r="M1051" s="9" t="str">
        <f t="shared" si="428"/>
        <v>Número de Predios</v>
      </c>
      <c r="N1051" s="9" t="str">
        <f t="shared" si="429"/>
        <v>Sistema Nacional de Información Municipal</v>
      </c>
      <c r="O1051" s="41" t="str">
        <f>+"Cantidad de Predios Agrícolas por Comuna en la "&amp;I1051&amp;", "&amp;Agencia[[#This Row],[temporalidad]]</f>
        <v>Cantidad de Predios Agrícolas por Comuna en la Región de Los Ríos, Periodo 2006-2019</v>
      </c>
      <c r="P1051" s="112" t="s">
        <v>6483</v>
      </c>
      <c r="Q1051" s="11" t="str">
        <f t="shared" si="432"/>
        <v>Gráfico de Evolución</v>
      </c>
      <c r="R1051" s="148" t="str">
        <f>Agencia[[#This Row],[territorio]]&amp;",catastro,predio,municipal,municipio,agrícola,territorio,"&amp;Agencia[[#This Row],[coleccion]]&amp;","&amp;Agencia[[#This Row],[sector]]&amp;","&amp;Agencia[[#This Row],[tema]]&amp;","&amp;Agencia[[#This Row],[contenido]]</f>
        <v>Región de Los Ríos,catastro,predio,municipal,municipio,agrícola,territorio,Agencia Información,Gobiernos locales,Predios Agrícolas,Gestión Municipal Territorial</v>
      </c>
      <c r="S1051" s="37" t="str">
        <f>HYPERLINK("https://analytics.zoho.com/open-view/2395394000008464535?ZOHO_CRITERIA=%22Localiza%20CL%22.%22Codreg%22%20%3D%20"&amp;Agencia[[#This Row],[Filtro URL]])</f>
        <v>https://analytics.zoho.com/open-view/2395394000008464535?ZOHO_CRITERIA=%22Localiza%20CL%22.%22Codreg%22%20%3D%2014</v>
      </c>
      <c r="T1051" s="111" t="str">
        <f>"100-C-"&amp;Agencia[[#This Row],[Filtro URL]]</f>
        <v>100-C-14</v>
      </c>
      <c r="U1051" s="46" t="str">
        <f t="shared" si="417"/>
        <v>#1774B9</v>
      </c>
      <c r="V1051" s="93" t="str">
        <f>+Agencia[[#This Row],[idcoleccion]]&amp;"-"&amp;Agencia[[#This Row],[id]]</f>
        <v>990-1040</v>
      </c>
      <c r="W1051" s="93">
        <f>+VLOOKUP(Agencia[[#This Row],[Filtro URL]],Estructura!$X$4:$Y$500,2,0)</f>
        <v>99200014</v>
      </c>
      <c r="X1051" s="93" t="str">
        <f>+VLOOKUP(Agencia[[#This Row],[tema]],Estructura!$A$4:$C$500,3,0)</f>
        <v>T-1044</v>
      </c>
      <c r="Y1051" s="93" t="str">
        <f>+VLOOKUP(Agencia[[#This Row],[contenido]],Estructura!$E$4:$G$500,3,0)</f>
        <v>C-1015</v>
      </c>
      <c r="Z1051" s="93" t="str">
        <f>+VLOOKUP(Agencia[[#This Row],[Filtro Integrado]],Estructura!$I$4:$K$500,3,0)</f>
        <v>FI-993</v>
      </c>
      <c r="AA1051" s="93" t="str">
        <f>+VLOOKUP(Agencia[[#This Row],[Muestra]],Estructura!$M$4:$O$500,3,0)</f>
        <v>M-1078</v>
      </c>
    </row>
    <row r="1052" spans="1:27" ht="57.6" x14ac:dyDescent="0.3">
      <c r="A1052" s="21" t="s">
        <v>1772</v>
      </c>
      <c r="B1052" s="9">
        <f t="shared" si="424"/>
        <v>990</v>
      </c>
      <c r="C1052" s="10" t="str">
        <f t="shared" si="425"/>
        <v>Agencia Información</v>
      </c>
      <c r="D1052" s="67" t="str">
        <f t="shared" si="426"/>
        <v>Gobiernos locales</v>
      </c>
      <c r="E1052" s="19">
        <v>15</v>
      </c>
      <c r="F1052" s="18" t="str">
        <f t="shared" si="430"/>
        <v>Predios Agrícolas</v>
      </c>
      <c r="G1052" s="18" t="str">
        <f t="shared" si="430"/>
        <v>Gestión Municipal Territorial</v>
      </c>
      <c r="H1052" s="79" t="s">
        <v>16</v>
      </c>
      <c r="I1052" s="80" t="s">
        <v>382</v>
      </c>
      <c r="J1052" s="9" t="str">
        <f t="shared" si="431"/>
        <v>Ninguno</v>
      </c>
      <c r="K1052" s="142" t="s">
        <v>2989</v>
      </c>
      <c r="L1052" s="36" t="str">
        <f t="shared" si="427"/>
        <v>Periodo 2006-2019</v>
      </c>
      <c r="M1052" s="9" t="str">
        <f t="shared" si="428"/>
        <v>Número de Predios</v>
      </c>
      <c r="N1052" s="9" t="str">
        <f t="shared" si="429"/>
        <v>Sistema Nacional de Información Municipal</v>
      </c>
      <c r="O1052" s="41" t="str">
        <f>+"Cantidad de Predios Agrícolas por Comuna en la "&amp;I1052&amp;", "&amp;Agencia[[#This Row],[temporalidad]]</f>
        <v>Cantidad de Predios Agrícolas por Comuna en la Región de Arica y Parinacota, Periodo 2006-2019</v>
      </c>
      <c r="P1052" s="112" t="s">
        <v>6484</v>
      </c>
      <c r="Q1052" s="11" t="str">
        <f t="shared" si="432"/>
        <v>Gráfico de Evolución</v>
      </c>
      <c r="R1052" s="148" t="str">
        <f>Agencia[[#This Row],[territorio]]&amp;",catastro,predio,municipal,municipio,agrícola,territorio,"&amp;Agencia[[#This Row],[coleccion]]&amp;","&amp;Agencia[[#This Row],[sector]]&amp;","&amp;Agencia[[#This Row],[tema]]&amp;","&amp;Agencia[[#This Row],[contenido]]</f>
        <v>Región de Arica y Parinacota,catastro,predio,municipal,municipio,agrícola,territorio,Agencia Información,Gobiernos locales,Predios Agrícolas,Gestión Municipal Territorial</v>
      </c>
      <c r="S1052" s="37" t="str">
        <f>HYPERLINK("https://analytics.zoho.com/open-view/2395394000008464535?ZOHO_CRITERIA=%22Localiza%20CL%22.%22Codreg%22%20%3D%20"&amp;Agencia[[#This Row],[Filtro URL]])</f>
        <v>https://analytics.zoho.com/open-view/2395394000008464535?ZOHO_CRITERIA=%22Localiza%20CL%22.%22Codreg%22%20%3D%2015</v>
      </c>
      <c r="T1052" s="111" t="str">
        <f>"100-C-"&amp;Agencia[[#This Row],[Filtro URL]]</f>
        <v>100-C-15</v>
      </c>
      <c r="U1052" s="46" t="str">
        <f t="shared" si="417"/>
        <v>#1774B9</v>
      </c>
      <c r="V1052" s="93" t="str">
        <f>+Agencia[[#This Row],[idcoleccion]]&amp;"-"&amp;Agencia[[#This Row],[id]]</f>
        <v>990-1041</v>
      </c>
      <c r="W1052" s="93">
        <f>+VLOOKUP(Agencia[[#This Row],[Filtro URL]],Estructura!$X$4:$Y$500,2,0)</f>
        <v>99200015</v>
      </c>
      <c r="X1052" s="93" t="str">
        <f>+VLOOKUP(Agencia[[#This Row],[tema]],Estructura!$A$4:$C$500,3,0)</f>
        <v>T-1044</v>
      </c>
      <c r="Y1052" s="93" t="str">
        <f>+VLOOKUP(Agencia[[#This Row],[contenido]],Estructura!$E$4:$G$500,3,0)</f>
        <v>C-1015</v>
      </c>
      <c r="Z1052" s="93" t="str">
        <f>+VLOOKUP(Agencia[[#This Row],[Filtro Integrado]],Estructura!$I$4:$K$500,3,0)</f>
        <v>FI-993</v>
      </c>
      <c r="AA1052" s="93" t="str">
        <f>+VLOOKUP(Agencia[[#This Row],[Muestra]],Estructura!$M$4:$O$500,3,0)</f>
        <v>M-1078</v>
      </c>
    </row>
    <row r="1053" spans="1:27" ht="57.6" x14ac:dyDescent="0.3">
      <c r="A1053" s="21" t="s">
        <v>1773</v>
      </c>
      <c r="B1053" s="23">
        <f t="shared" si="424"/>
        <v>990</v>
      </c>
      <c r="C1053" s="24" t="str">
        <f t="shared" si="425"/>
        <v>Agencia Información</v>
      </c>
      <c r="D1053" s="72" t="str">
        <f t="shared" si="426"/>
        <v>Gobiernos locales</v>
      </c>
      <c r="E1053" s="42">
        <v>16</v>
      </c>
      <c r="F1053" s="18" t="str">
        <f t="shared" si="430"/>
        <v>Predios Agrícolas</v>
      </c>
      <c r="G1053" s="18" t="str">
        <f t="shared" si="430"/>
        <v>Gestión Municipal Territorial</v>
      </c>
      <c r="H1053" s="79" t="s">
        <v>16</v>
      </c>
      <c r="I1053" s="80" t="s">
        <v>383</v>
      </c>
      <c r="J1053" s="23" t="str">
        <f t="shared" si="431"/>
        <v>Ninguno</v>
      </c>
      <c r="K1053" s="142" t="s">
        <v>2989</v>
      </c>
      <c r="L1053" s="52" t="str">
        <f t="shared" si="427"/>
        <v>Periodo 2006-2019</v>
      </c>
      <c r="M1053" s="23" t="str">
        <f t="shared" si="428"/>
        <v>Número de Predios</v>
      </c>
      <c r="N1053" s="23" t="str">
        <f t="shared" si="429"/>
        <v>Sistema Nacional de Información Municipal</v>
      </c>
      <c r="O1053" s="41" t="str">
        <f>+"Cantidad de Predios Agrícolas por Comuna en la "&amp;I1053&amp;", "&amp;Agencia[[#This Row],[temporalidad]]</f>
        <v>Cantidad de Predios Agrícolas por Comuna en la Región de Ñuble, Periodo 2006-2019</v>
      </c>
      <c r="P1053" s="113" t="s">
        <v>6485</v>
      </c>
      <c r="Q1053" s="27" t="str">
        <f t="shared" si="432"/>
        <v>Gráfico de Evolución</v>
      </c>
      <c r="R1053" s="148" t="str">
        <f>Agencia[[#This Row],[territorio]]&amp;",catastro,predio,municipal,municipio,agrícola,territorio,"&amp;Agencia[[#This Row],[coleccion]]&amp;","&amp;Agencia[[#This Row],[sector]]&amp;","&amp;Agencia[[#This Row],[tema]]&amp;","&amp;Agencia[[#This Row],[contenido]]</f>
        <v>Región de Ñuble,catastro,predio,municipal,municipio,agrícola,territorio,Agencia Información,Gobiernos locales,Predios Agrícolas,Gestión Municipal Territorial</v>
      </c>
      <c r="S1053" s="37" t="str">
        <f>HYPERLINK("https://analytics.zoho.com/open-view/2395394000008464535?ZOHO_CRITERIA=%22Localiza%20CL%22.%22Codreg%22%20%3D%20"&amp;Agencia[[#This Row],[Filtro URL]])</f>
        <v>https://analytics.zoho.com/open-view/2395394000008464535?ZOHO_CRITERIA=%22Localiza%20CL%22.%22Codreg%22%20%3D%2016</v>
      </c>
      <c r="T1053" s="111" t="str">
        <f>"100-C-"&amp;Agencia[[#This Row],[Filtro URL]]</f>
        <v>100-C-16</v>
      </c>
      <c r="U1053" s="95" t="str">
        <f t="shared" si="417"/>
        <v>#1774B9</v>
      </c>
      <c r="V1053" s="93" t="str">
        <f>+Agencia[[#This Row],[idcoleccion]]&amp;"-"&amp;Agencia[[#This Row],[id]]</f>
        <v>990-1042</v>
      </c>
      <c r="W1053" s="93">
        <f>+VLOOKUP(Agencia[[#This Row],[Filtro URL]],Estructura!$X$4:$Y$500,2,0)</f>
        <v>99200016</v>
      </c>
      <c r="X1053" s="93" t="str">
        <f>+VLOOKUP(Agencia[[#This Row],[tema]],Estructura!$A$4:$C$500,3,0)</f>
        <v>T-1044</v>
      </c>
      <c r="Y1053" s="93" t="str">
        <f>+VLOOKUP(Agencia[[#This Row],[contenido]],Estructura!$E$4:$G$500,3,0)</f>
        <v>C-1015</v>
      </c>
      <c r="Z1053" s="93" t="str">
        <f>+VLOOKUP(Agencia[[#This Row],[Filtro Integrado]],Estructura!$I$4:$K$500,3,0)</f>
        <v>FI-993</v>
      </c>
      <c r="AA1053" s="93" t="str">
        <f>+VLOOKUP(Agencia[[#This Row],[Muestra]],Estructura!$M$4:$O$500,3,0)</f>
        <v>M-1078</v>
      </c>
    </row>
    <row r="1054" spans="1:27" ht="85.5" customHeight="1" x14ac:dyDescent="0.3">
      <c r="A1054" s="21" t="s">
        <v>1774</v>
      </c>
      <c r="B1054" s="23">
        <v>990</v>
      </c>
      <c r="C1054" s="24" t="s">
        <v>400</v>
      </c>
      <c r="D1054" s="67" t="s">
        <v>568</v>
      </c>
      <c r="E1054" s="14">
        <v>0</v>
      </c>
      <c r="F1054" s="10" t="s">
        <v>1914</v>
      </c>
      <c r="G1054" s="10" t="s">
        <v>1914</v>
      </c>
      <c r="H1054" s="31" t="s">
        <v>20</v>
      </c>
      <c r="I1054" s="32" t="s">
        <v>15</v>
      </c>
      <c r="J1054" s="9" t="s">
        <v>16</v>
      </c>
      <c r="K1054" s="9" t="s">
        <v>1914</v>
      </c>
      <c r="L1054" s="9" t="s">
        <v>596</v>
      </c>
      <c r="M1054" s="9" t="s">
        <v>1915</v>
      </c>
      <c r="N1054" s="9" t="s">
        <v>848</v>
      </c>
      <c r="O1054" s="20" t="s">
        <v>2701</v>
      </c>
      <c r="P1054" s="112" t="s">
        <v>6344</v>
      </c>
      <c r="Q1054" s="11" t="s">
        <v>576</v>
      </c>
      <c r="R1054" s="20" t="str">
        <f>Agencia[[#This Row],[territorio]]&amp;",nacional,región,establecimientos,proporción,hospitales,clínicas,cesfam,sapu,postas,laboratorios,dentales,clínicos,alta,baja,media,complejidad,diálisis,vacunatorios,consultorio,"&amp;Agencia[[#This Row],[coleccion]]&amp;","&amp;Agencia[[#This Row],[sector]]&amp;","&amp;Agencia[[#This Row],[tema]]&amp;","&amp;Agencia[[#This Row],[contenido]]</f>
        <v>Chile,nacional,región,establecimientos,proporción,hospitales,clínicas,cesfam,sapu,postas,laboratorios,dentales,clínicos,alta,baja,media,complejidad,diálisis,vacunatorios,consultorio,Agencia Información,Salud,Establecimientos de Salud,Establecimientos de Salud</v>
      </c>
      <c r="S1054" s="83" t="s">
        <v>1916</v>
      </c>
      <c r="T1054" s="114" t="s">
        <v>805</v>
      </c>
      <c r="U1054" s="46" t="s">
        <v>398</v>
      </c>
      <c r="V1054" s="93" t="str">
        <f>+Agencia[[#This Row],[idcoleccion]]&amp;"-"&amp;Agencia[[#This Row],[id]]</f>
        <v>990-1043</v>
      </c>
      <c r="W1054" s="93">
        <f>+VLOOKUP(Agencia[[#This Row],[Filtro URL]],Estructura!$X$4:$Y$500,2,0)</f>
        <v>99100000</v>
      </c>
      <c r="X1054" s="93" t="str">
        <f>+VLOOKUP(Agencia[[#This Row],[tema]],Estructura!$A$4:$C$500,3,0)</f>
        <v>T-1036</v>
      </c>
      <c r="Y1054" s="93" t="str">
        <f>+VLOOKUP(Agencia[[#This Row],[contenido]],Estructura!$E$4:$G$500,3,0)</f>
        <v>C-1013</v>
      </c>
      <c r="Z1054" s="93" t="str">
        <f>+VLOOKUP(Agencia[[#This Row],[Filtro Integrado]],Estructura!$I$4:$K$500,3,0)</f>
        <v>FI-992</v>
      </c>
      <c r="AA1054" s="93" t="str">
        <f>+VLOOKUP(Agencia[[#This Row],[Muestra]],Estructura!$M$4:$O$500,3,0)</f>
        <v>M-1079</v>
      </c>
    </row>
    <row r="1055" spans="1:27" ht="71.400000000000006" x14ac:dyDescent="0.3">
      <c r="A1055" s="21" t="s">
        <v>1775</v>
      </c>
      <c r="B1055" s="23">
        <v>990</v>
      </c>
      <c r="C1055" s="24" t="s">
        <v>400</v>
      </c>
      <c r="D1055" s="67" t="s">
        <v>568</v>
      </c>
      <c r="E1055" s="19">
        <v>1</v>
      </c>
      <c r="F1055" s="10" t="s">
        <v>1914</v>
      </c>
      <c r="G1055" s="10" t="s">
        <v>1914</v>
      </c>
      <c r="H1055" s="33" t="s">
        <v>16</v>
      </c>
      <c r="I1055" s="34" t="s">
        <v>368</v>
      </c>
      <c r="J1055" s="9" t="s">
        <v>403</v>
      </c>
      <c r="K1055" s="142" t="s">
        <v>1914</v>
      </c>
      <c r="L1055" s="9" t="s">
        <v>596</v>
      </c>
      <c r="M1055" s="9" t="s">
        <v>1915</v>
      </c>
      <c r="N1055" s="9" t="s">
        <v>848</v>
      </c>
      <c r="O1055" s="20" t="s">
        <v>2340</v>
      </c>
      <c r="P1055" s="112" t="s">
        <v>6337</v>
      </c>
      <c r="Q1055" s="11" t="s">
        <v>576</v>
      </c>
      <c r="R1055"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Tarapacá,regional,establecimientos,proporción,hospitales,clínicas,cesfam,sapu,postas,laboratorios,dentales,clínicos,alta,baja,media,complejidad,diálisis,vacunatorios,consultorio,Agencia Información,Salud,Establecimientos de Salud,Establecimientos de Salud</v>
      </c>
      <c r="S1055" s="37" t="s">
        <v>2341</v>
      </c>
      <c r="T1055" s="114" t="s">
        <v>1872</v>
      </c>
      <c r="U1055" s="46" t="s">
        <v>398</v>
      </c>
      <c r="V1055" s="93" t="str">
        <f>+Agencia[[#This Row],[idcoleccion]]&amp;"-"&amp;Agencia[[#This Row],[id]]</f>
        <v>990-1044</v>
      </c>
      <c r="W1055" s="93">
        <f>+VLOOKUP(Agencia[[#This Row],[Filtro URL]],Estructura!$X$4:$Y$500,2,0)</f>
        <v>99200001</v>
      </c>
      <c r="X1055" s="93" t="str">
        <f>+VLOOKUP(Agencia[[#This Row],[tema]],Estructura!$A$4:$C$500,3,0)</f>
        <v>T-1036</v>
      </c>
      <c r="Y1055" s="93" t="str">
        <f>+VLOOKUP(Agencia[[#This Row],[contenido]],Estructura!$E$4:$G$500,3,0)</f>
        <v>C-1013</v>
      </c>
      <c r="Z1055" s="93" t="str">
        <f>+VLOOKUP(Agencia[[#This Row],[Filtro Integrado]],Estructura!$I$4:$K$500,3,0)</f>
        <v>FI-993</v>
      </c>
      <c r="AA1055" s="93" t="str">
        <f>+VLOOKUP(Agencia[[#This Row],[Muestra]],Estructura!$M$4:$O$500,3,0)</f>
        <v>M-1079</v>
      </c>
    </row>
    <row r="1056" spans="1:27" ht="71.400000000000006" x14ac:dyDescent="0.3">
      <c r="A1056" s="21" t="s">
        <v>1776</v>
      </c>
      <c r="B1056" s="23">
        <v>990</v>
      </c>
      <c r="C1056" s="24" t="s">
        <v>400</v>
      </c>
      <c r="D1056" s="67" t="s">
        <v>568</v>
      </c>
      <c r="E1056" s="19">
        <v>2</v>
      </c>
      <c r="F1056" s="10" t="s">
        <v>1914</v>
      </c>
      <c r="G1056" s="10" t="s">
        <v>1914</v>
      </c>
      <c r="H1056" s="33" t="s">
        <v>16</v>
      </c>
      <c r="I1056" s="34" t="s">
        <v>369</v>
      </c>
      <c r="J1056" s="9" t="s">
        <v>403</v>
      </c>
      <c r="K1056" s="142" t="s">
        <v>1914</v>
      </c>
      <c r="L1056" s="9" t="s">
        <v>596</v>
      </c>
      <c r="M1056" s="9" t="s">
        <v>1915</v>
      </c>
      <c r="N1056" s="9" t="s">
        <v>848</v>
      </c>
      <c r="O1056" s="20" t="s">
        <v>2342</v>
      </c>
      <c r="P1056" s="112" t="s">
        <v>6345</v>
      </c>
      <c r="Q1056" s="11" t="s">
        <v>576</v>
      </c>
      <c r="R1056"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Antofagasta,regional,establecimientos,proporción,hospitales,clínicas,cesfam,sapu,postas,laboratorios,dentales,clínicos,alta,baja,media,complejidad,diálisis,vacunatorios,consultorio,Agencia Información,Salud,Establecimientos de Salud,Establecimientos de Salud</v>
      </c>
      <c r="S1056" s="37" t="s">
        <v>2343</v>
      </c>
      <c r="T1056" s="114" t="s">
        <v>1860</v>
      </c>
      <c r="U1056" s="95" t="s">
        <v>398</v>
      </c>
      <c r="V1056" s="93" t="str">
        <f>+Agencia[[#This Row],[idcoleccion]]&amp;"-"&amp;Agencia[[#This Row],[id]]</f>
        <v>990-1045</v>
      </c>
      <c r="W1056" s="93">
        <f>+VLOOKUP(Agencia[[#This Row],[Filtro URL]],Estructura!$X$4:$Y$500,2,0)</f>
        <v>99200002</v>
      </c>
      <c r="X1056" s="93" t="str">
        <f>+VLOOKUP(Agencia[[#This Row],[tema]],Estructura!$A$4:$C$500,3,0)</f>
        <v>T-1036</v>
      </c>
      <c r="Y1056" s="93" t="str">
        <f>+VLOOKUP(Agencia[[#This Row],[contenido]],Estructura!$E$4:$G$500,3,0)</f>
        <v>C-1013</v>
      </c>
      <c r="Z1056" s="93" t="str">
        <f>+VLOOKUP(Agencia[[#This Row],[Filtro Integrado]],Estructura!$I$4:$K$500,3,0)</f>
        <v>FI-993</v>
      </c>
      <c r="AA1056" s="93" t="str">
        <f>+VLOOKUP(Agencia[[#This Row],[Muestra]],Estructura!$M$4:$O$500,3,0)</f>
        <v>M-1079</v>
      </c>
    </row>
    <row r="1057" spans="1:27" ht="71.400000000000006" x14ac:dyDescent="0.3">
      <c r="A1057" s="21" t="s">
        <v>1777</v>
      </c>
      <c r="B1057" s="23">
        <v>990</v>
      </c>
      <c r="C1057" s="24" t="s">
        <v>400</v>
      </c>
      <c r="D1057" s="67" t="s">
        <v>568</v>
      </c>
      <c r="E1057" s="19">
        <v>3</v>
      </c>
      <c r="F1057" s="10" t="s">
        <v>1914</v>
      </c>
      <c r="G1057" s="10" t="s">
        <v>1914</v>
      </c>
      <c r="H1057" s="33" t="s">
        <v>16</v>
      </c>
      <c r="I1057" s="34" t="s">
        <v>370</v>
      </c>
      <c r="J1057" s="9" t="s">
        <v>403</v>
      </c>
      <c r="K1057" s="142" t="s">
        <v>1914</v>
      </c>
      <c r="L1057" s="9" t="s">
        <v>596</v>
      </c>
      <c r="M1057" s="9" t="s">
        <v>1915</v>
      </c>
      <c r="N1057" s="9" t="s">
        <v>848</v>
      </c>
      <c r="O1057" s="20" t="s">
        <v>2344</v>
      </c>
      <c r="P1057" s="112" t="s">
        <v>6338</v>
      </c>
      <c r="Q1057" s="11" t="s">
        <v>576</v>
      </c>
      <c r="R1057"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Atacama,regional,establecimientos,proporción,hospitales,clínicas,cesfam,sapu,postas,laboratorios,dentales,clínicos,alta,baja,media,complejidad,diálisis,vacunatorios,consultorio,Agencia Información,Salud,Establecimientos de Salud,Establecimientos de Salud</v>
      </c>
      <c r="S1057" s="37" t="s">
        <v>2345</v>
      </c>
      <c r="T1057" s="114" t="s">
        <v>1862</v>
      </c>
      <c r="U1057" s="46" t="s">
        <v>398</v>
      </c>
      <c r="V1057" s="93" t="str">
        <f>+Agencia[[#This Row],[idcoleccion]]&amp;"-"&amp;Agencia[[#This Row],[id]]</f>
        <v>990-1046</v>
      </c>
      <c r="W1057" s="93">
        <f>+VLOOKUP(Agencia[[#This Row],[Filtro URL]],Estructura!$X$4:$Y$500,2,0)</f>
        <v>99200003</v>
      </c>
      <c r="X1057" s="93" t="str">
        <f>+VLOOKUP(Agencia[[#This Row],[tema]],Estructura!$A$4:$C$500,3,0)</f>
        <v>T-1036</v>
      </c>
      <c r="Y1057" s="93" t="str">
        <f>+VLOOKUP(Agencia[[#This Row],[contenido]],Estructura!$E$4:$G$500,3,0)</f>
        <v>C-1013</v>
      </c>
      <c r="Z1057" s="93" t="str">
        <f>+VLOOKUP(Agencia[[#This Row],[Filtro Integrado]],Estructura!$I$4:$K$500,3,0)</f>
        <v>FI-993</v>
      </c>
      <c r="AA1057" s="93" t="str">
        <f>+VLOOKUP(Agencia[[#This Row],[Muestra]],Estructura!$M$4:$O$500,3,0)</f>
        <v>M-1079</v>
      </c>
    </row>
    <row r="1058" spans="1:27" ht="71.400000000000006" x14ac:dyDescent="0.3">
      <c r="A1058" s="21" t="s">
        <v>1778</v>
      </c>
      <c r="B1058" s="23">
        <v>990</v>
      </c>
      <c r="C1058" s="24" t="s">
        <v>400</v>
      </c>
      <c r="D1058" s="67" t="s">
        <v>568</v>
      </c>
      <c r="E1058" s="19">
        <v>4</v>
      </c>
      <c r="F1058" s="10" t="s">
        <v>1914</v>
      </c>
      <c r="G1058" s="10" t="s">
        <v>1914</v>
      </c>
      <c r="H1058" s="33" t="s">
        <v>16</v>
      </c>
      <c r="I1058" s="34" t="s">
        <v>371</v>
      </c>
      <c r="J1058" s="9" t="s">
        <v>403</v>
      </c>
      <c r="K1058" s="142" t="s">
        <v>1914</v>
      </c>
      <c r="L1058" s="9" t="s">
        <v>596</v>
      </c>
      <c r="M1058" s="9" t="s">
        <v>1915</v>
      </c>
      <c r="N1058" s="9" t="s">
        <v>848</v>
      </c>
      <c r="O1058" s="20" t="s">
        <v>2346</v>
      </c>
      <c r="P1058" s="112" t="s">
        <v>6343</v>
      </c>
      <c r="Q1058" s="11" t="s">
        <v>576</v>
      </c>
      <c r="R1058"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Coquimbo,regional,establecimientos,proporción,hospitales,clínicas,cesfam,sapu,postas,laboratorios,dentales,clínicos,alta,baja,media,complejidad,diálisis,vacunatorios,consultorio,Agencia Información,Salud,Establecimientos de Salud,Establecimientos de Salud</v>
      </c>
      <c r="S1058" s="37" t="s">
        <v>2347</v>
      </c>
      <c r="T1058" s="114" t="s">
        <v>1864</v>
      </c>
      <c r="U1058" s="46" t="s">
        <v>398</v>
      </c>
      <c r="V1058" s="93" t="str">
        <f>+Agencia[[#This Row],[idcoleccion]]&amp;"-"&amp;Agencia[[#This Row],[id]]</f>
        <v>990-1047</v>
      </c>
      <c r="W1058" s="93">
        <f>+VLOOKUP(Agencia[[#This Row],[Filtro URL]],Estructura!$X$4:$Y$500,2,0)</f>
        <v>99200004</v>
      </c>
      <c r="X1058" s="93" t="str">
        <f>+VLOOKUP(Agencia[[#This Row],[tema]],Estructura!$A$4:$C$500,3,0)</f>
        <v>T-1036</v>
      </c>
      <c r="Y1058" s="93" t="str">
        <f>+VLOOKUP(Agencia[[#This Row],[contenido]],Estructura!$E$4:$G$500,3,0)</f>
        <v>C-1013</v>
      </c>
      <c r="Z1058" s="93" t="str">
        <f>+VLOOKUP(Agencia[[#This Row],[Filtro Integrado]],Estructura!$I$4:$K$500,3,0)</f>
        <v>FI-993</v>
      </c>
      <c r="AA1058" s="93" t="str">
        <f>+VLOOKUP(Agencia[[#This Row],[Muestra]],Estructura!$M$4:$O$500,3,0)</f>
        <v>M-1079</v>
      </c>
    </row>
    <row r="1059" spans="1:27" ht="71.400000000000006" x14ac:dyDescent="0.3">
      <c r="A1059" s="21" t="s">
        <v>1779</v>
      </c>
      <c r="B1059" s="23">
        <v>990</v>
      </c>
      <c r="C1059" s="24" t="s">
        <v>400</v>
      </c>
      <c r="D1059" s="67" t="s">
        <v>568</v>
      </c>
      <c r="E1059" s="19">
        <v>5</v>
      </c>
      <c r="F1059" s="10" t="s">
        <v>1914</v>
      </c>
      <c r="G1059" s="10" t="s">
        <v>1914</v>
      </c>
      <c r="H1059" s="33" t="s">
        <v>16</v>
      </c>
      <c r="I1059" s="34" t="s">
        <v>372</v>
      </c>
      <c r="J1059" s="9" t="s">
        <v>403</v>
      </c>
      <c r="K1059" s="142" t="s">
        <v>1914</v>
      </c>
      <c r="L1059" s="9" t="s">
        <v>596</v>
      </c>
      <c r="M1059" s="9" t="s">
        <v>1915</v>
      </c>
      <c r="N1059" s="9" t="s">
        <v>848</v>
      </c>
      <c r="O1059" s="20" t="s">
        <v>2348</v>
      </c>
      <c r="P1059" s="112" t="s">
        <v>6339</v>
      </c>
      <c r="Q1059" s="11" t="s">
        <v>576</v>
      </c>
      <c r="R1059"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Valparaíso,regional,establecimientos,proporción,hospitales,clínicas,cesfam,sapu,postas,laboratorios,dentales,clínicos,alta,baja,media,complejidad,diálisis,vacunatorios,consultorio,Agencia Información,Salud,Establecimientos de Salud,Establecimientos de Salud</v>
      </c>
      <c r="S1059" s="37" t="s">
        <v>2349</v>
      </c>
      <c r="T1059" s="114" t="s">
        <v>1873</v>
      </c>
      <c r="U1059" s="95" t="s">
        <v>398</v>
      </c>
      <c r="V1059" s="93" t="str">
        <f>+Agencia[[#This Row],[idcoleccion]]&amp;"-"&amp;Agencia[[#This Row],[id]]</f>
        <v>990-1048</v>
      </c>
      <c r="W1059" s="93">
        <f>+VLOOKUP(Agencia[[#This Row],[Filtro URL]],Estructura!$X$4:$Y$500,2,0)</f>
        <v>99200005</v>
      </c>
      <c r="X1059" s="93" t="str">
        <f>+VLOOKUP(Agencia[[#This Row],[tema]],Estructura!$A$4:$C$500,3,0)</f>
        <v>T-1036</v>
      </c>
      <c r="Y1059" s="93" t="str">
        <f>+VLOOKUP(Agencia[[#This Row],[contenido]],Estructura!$E$4:$G$500,3,0)</f>
        <v>C-1013</v>
      </c>
      <c r="Z1059" s="93" t="str">
        <f>+VLOOKUP(Agencia[[#This Row],[Filtro Integrado]],Estructura!$I$4:$K$500,3,0)</f>
        <v>FI-993</v>
      </c>
      <c r="AA1059" s="93" t="str">
        <f>+VLOOKUP(Agencia[[#This Row],[Muestra]],Estructura!$M$4:$O$500,3,0)</f>
        <v>M-1079</v>
      </c>
    </row>
    <row r="1060" spans="1:27" ht="71.400000000000006" x14ac:dyDescent="0.3">
      <c r="A1060" s="21" t="s">
        <v>1780</v>
      </c>
      <c r="B1060" s="23">
        <v>990</v>
      </c>
      <c r="C1060" s="24" t="s">
        <v>400</v>
      </c>
      <c r="D1060" s="67" t="s">
        <v>568</v>
      </c>
      <c r="E1060" s="19">
        <v>6</v>
      </c>
      <c r="F1060" s="10" t="s">
        <v>1914</v>
      </c>
      <c r="G1060" s="10" t="s">
        <v>1914</v>
      </c>
      <c r="H1060" s="33" t="s">
        <v>16</v>
      </c>
      <c r="I1060" s="34" t="s">
        <v>373</v>
      </c>
      <c r="J1060" s="9" t="s">
        <v>403</v>
      </c>
      <c r="K1060" s="142" t="s">
        <v>1914</v>
      </c>
      <c r="L1060" s="9" t="s">
        <v>596</v>
      </c>
      <c r="M1060" s="9" t="s">
        <v>1915</v>
      </c>
      <c r="N1060" s="9" t="s">
        <v>848</v>
      </c>
      <c r="O1060" s="20" t="s">
        <v>2350</v>
      </c>
      <c r="P1060" s="112" t="s">
        <v>6340</v>
      </c>
      <c r="Q1060" s="11" t="s">
        <v>576</v>
      </c>
      <c r="R1060"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O'Higgins,regional,establecimientos,proporción,hospitales,clínicas,cesfam,sapu,postas,laboratorios,dentales,clínicos,alta,baja,media,complejidad,diálisis,vacunatorios,consultorio,Agencia Información,Salud,Establecimientos de Salud,Establecimientos de Salud</v>
      </c>
      <c r="S1060" s="37" t="s">
        <v>2351</v>
      </c>
      <c r="T1060" s="114" t="s">
        <v>1871</v>
      </c>
      <c r="U1060" s="46" t="s">
        <v>398</v>
      </c>
      <c r="V1060" s="93" t="str">
        <f>+Agencia[[#This Row],[idcoleccion]]&amp;"-"&amp;Agencia[[#This Row],[id]]</f>
        <v>990-1049</v>
      </c>
      <c r="W1060" s="93">
        <f>+VLOOKUP(Agencia[[#This Row],[Filtro URL]],Estructura!$X$4:$Y$500,2,0)</f>
        <v>99200006</v>
      </c>
      <c r="X1060" s="93" t="str">
        <f>+VLOOKUP(Agencia[[#This Row],[tema]],Estructura!$A$4:$C$500,3,0)</f>
        <v>T-1036</v>
      </c>
      <c r="Y1060" s="93" t="str">
        <f>+VLOOKUP(Agencia[[#This Row],[contenido]],Estructura!$E$4:$G$500,3,0)</f>
        <v>C-1013</v>
      </c>
      <c r="Z1060" s="93" t="str">
        <f>+VLOOKUP(Agencia[[#This Row],[Filtro Integrado]],Estructura!$I$4:$K$500,3,0)</f>
        <v>FI-993</v>
      </c>
      <c r="AA1060" s="93" t="str">
        <f>+VLOOKUP(Agencia[[#This Row],[Muestra]],Estructura!$M$4:$O$500,3,0)</f>
        <v>M-1079</v>
      </c>
    </row>
    <row r="1061" spans="1:27" ht="71.400000000000006" x14ac:dyDescent="0.3">
      <c r="A1061" s="21" t="s">
        <v>1781</v>
      </c>
      <c r="B1061" s="23">
        <v>990</v>
      </c>
      <c r="C1061" s="24" t="s">
        <v>400</v>
      </c>
      <c r="D1061" s="67" t="s">
        <v>568</v>
      </c>
      <c r="E1061" s="19">
        <v>7</v>
      </c>
      <c r="F1061" s="10" t="s">
        <v>1914</v>
      </c>
      <c r="G1061" s="10" t="s">
        <v>1914</v>
      </c>
      <c r="H1061" s="33" t="s">
        <v>16</v>
      </c>
      <c r="I1061" s="34" t="s">
        <v>374</v>
      </c>
      <c r="J1061" s="9" t="s">
        <v>403</v>
      </c>
      <c r="K1061" s="142" t="s">
        <v>1914</v>
      </c>
      <c r="L1061" s="9" t="s">
        <v>596</v>
      </c>
      <c r="M1061" s="9" t="s">
        <v>1915</v>
      </c>
      <c r="N1061" s="9" t="s">
        <v>848</v>
      </c>
      <c r="O1061" s="20" t="s">
        <v>2352</v>
      </c>
      <c r="P1061" s="112" t="s">
        <v>6342</v>
      </c>
      <c r="Q1061" s="11" t="s">
        <v>576</v>
      </c>
      <c r="R1061"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Maule,regional,establecimientos,proporción,hospitales,clínicas,cesfam,sapu,postas,laboratorios,dentales,clínicos,alta,baja,media,complejidad,diálisis,vacunatorios,consultorio,Agencia Información,Salud,Establecimientos de Salud,Establecimientos de Salud</v>
      </c>
      <c r="S1061" s="37" t="s">
        <v>2353</v>
      </c>
      <c r="T1061" s="114" t="s">
        <v>1869</v>
      </c>
      <c r="U1061" s="46" t="s">
        <v>398</v>
      </c>
      <c r="V1061" s="93" t="str">
        <f>+Agencia[[#This Row],[idcoleccion]]&amp;"-"&amp;Agencia[[#This Row],[id]]</f>
        <v>990-1050</v>
      </c>
      <c r="W1061" s="93">
        <f>+VLOOKUP(Agencia[[#This Row],[Filtro URL]],Estructura!$X$4:$Y$500,2,0)</f>
        <v>99200007</v>
      </c>
      <c r="X1061" s="93" t="str">
        <f>+VLOOKUP(Agencia[[#This Row],[tema]],Estructura!$A$4:$C$500,3,0)</f>
        <v>T-1036</v>
      </c>
      <c r="Y1061" s="93" t="str">
        <f>+VLOOKUP(Agencia[[#This Row],[contenido]],Estructura!$E$4:$G$500,3,0)</f>
        <v>C-1013</v>
      </c>
      <c r="Z1061" s="93" t="str">
        <f>+VLOOKUP(Agencia[[#This Row],[Filtro Integrado]],Estructura!$I$4:$K$500,3,0)</f>
        <v>FI-993</v>
      </c>
      <c r="AA1061" s="93" t="str">
        <f>+VLOOKUP(Agencia[[#This Row],[Muestra]],Estructura!$M$4:$O$500,3,0)</f>
        <v>M-1079</v>
      </c>
    </row>
    <row r="1062" spans="1:27" ht="71.400000000000006" x14ac:dyDescent="0.3">
      <c r="A1062" s="21" t="s">
        <v>1782</v>
      </c>
      <c r="B1062" s="23">
        <v>990</v>
      </c>
      <c r="C1062" s="24" t="s">
        <v>400</v>
      </c>
      <c r="D1062" s="67" t="s">
        <v>568</v>
      </c>
      <c r="E1062" s="19">
        <v>8</v>
      </c>
      <c r="F1062" s="10" t="s">
        <v>1914</v>
      </c>
      <c r="G1062" s="10" t="s">
        <v>1914</v>
      </c>
      <c r="H1062" s="33" t="s">
        <v>16</v>
      </c>
      <c r="I1062" s="34" t="s">
        <v>375</v>
      </c>
      <c r="J1062" s="9" t="s">
        <v>403</v>
      </c>
      <c r="K1062" s="142" t="s">
        <v>1914</v>
      </c>
      <c r="L1062" s="9" t="s">
        <v>596</v>
      </c>
      <c r="M1062" s="9" t="s">
        <v>1915</v>
      </c>
      <c r="N1062" s="9" t="s">
        <v>848</v>
      </c>
      <c r="O1062" s="20" t="s">
        <v>2354</v>
      </c>
      <c r="P1062" s="112" t="s">
        <v>6352</v>
      </c>
      <c r="Q1062" s="11" t="s">
        <v>576</v>
      </c>
      <c r="R1062"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del Biobío,regional,establecimientos,proporción,hospitales,clínicas,cesfam,sapu,postas,laboratorios,dentales,clínicos,alta,baja,media,complejidad,diálisis,vacunatorios,consultorio,Agencia Información,Salud,Establecimientos de Salud,Establecimientos de Salud</v>
      </c>
      <c r="S1062" s="37" t="s">
        <v>2355</v>
      </c>
      <c r="T1062" s="114" t="s">
        <v>1874</v>
      </c>
      <c r="U1062" s="95" t="s">
        <v>398</v>
      </c>
      <c r="V1062" s="93" t="str">
        <f>+Agencia[[#This Row],[idcoleccion]]&amp;"-"&amp;Agencia[[#This Row],[id]]</f>
        <v>990-1051</v>
      </c>
      <c r="W1062" s="93">
        <f>+VLOOKUP(Agencia[[#This Row],[Filtro URL]],Estructura!$X$4:$Y$500,2,0)</f>
        <v>99200008</v>
      </c>
      <c r="X1062" s="93" t="str">
        <f>+VLOOKUP(Agencia[[#This Row],[tema]],Estructura!$A$4:$C$500,3,0)</f>
        <v>T-1036</v>
      </c>
      <c r="Y1062" s="93" t="str">
        <f>+VLOOKUP(Agencia[[#This Row],[contenido]],Estructura!$E$4:$G$500,3,0)</f>
        <v>C-1013</v>
      </c>
      <c r="Z1062" s="93" t="str">
        <f>+VLOOKUP(Agencia[[#This Row],[Filtro Integrado]],Estructura!$I$4:$K$500,3,0)</f>
        <v>FI-993</v>
      </c>
      <c r="AA1062" s="93" t="str">
        <f>+VLOOKUP(Agencia[[#This Row],[Muestra]],Estructura!$M$4:$O$500,3,0)</f>
        <v>M-1079</v>
      </c>
    </row>
    <row r="1063" spans="1:27" ht="71.400000000000006" x14ac:dyDescent="0.3">
      <c r="A1063" s="21" t="s">
        <v>1783</v>
      </c>
      <c r="B1063" s="23">
        <v>990</v>
      </c>
      <c r="C1063" s="24" t="s">
        <v>400</v>
      </c>
      <c r="D1063" s="67" t="s">
        <v>568</v>
      </c>
      <c r="E1063" s="19">
        <v>9</v>
      </c>
      <c r="F1063" s="10" t="s">
        <v>1914</v>
      </c>
      <c r="G1063" s="10" t="s">
        <v>1914</v>
      </c>
      <c r="H1063" s="33" t="s">
        <v>16</v>
      </c>
      <c r="I1063" s="34" t="s">
        <v>376</v>
      </c>
      <c r="J1063" s="9" t="s">
        <v>403</v>
      </c>
      <c r="K1063" s="142" t="s">
        <v>1914</v>
      </c>
      <c r="L1063" s="9" t="s">
        <v>596</v>
      </c>
      <c r="M1063" s="9" t="s">
        <v>1915</v>
      </c>
      <c r="N1063" s="9" t="s">
        <v>848</v>
      </c>
      <c r="O1063" s="20" t="s">
        <v>2356</v>
      </c>
      <c r="P1063" s="112" t="s">
        <v>6341</v>
      </c>
      <c r="Q1063" s="11" t="s">
        <v>576</v>
      </c>
      <c r="R1063"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La Araucanía,regional,establecimientos,proporción,hospitales,clínicas,cesfam,sapu,postas,laboratorios,dentales,clínicos,alta,baja,media,complejidad,diálisis,vacunatorios,consultorio,Agencia Información,Salud,Establecimientos de Salud,Establecimientos de Salud</v>
      </c>
      <c r="S1063" s="37" t="s">
        <v>2357</v>
      </c>
      <c r="T1063" s="114" t="s">
        <v>1865</v>
      </c>
      <c r="U1063" s="46" t="s">
        <v>398</v>
      </c>
      <c r="V1063" s="93" t="str">
        <f>+Agencia[[#This Row],[idcoleccion]]&amp;"-"&amp;Agencia[[#This Row],[id]]</f>
        <v>990-1052</v>
      </c>
      <c r="W1063" s="93">
        <f>+VLOOKUP(Agencia[[#This Row],[Filtro URL]],Estructura!$X$4:$Y$500,2,0)</f>
        <v>99200009</v>
      </c>
      <c r="X1063" s="93" t="str">
        <f>+VLOOKUP(Agencia[[#This Row],[tema]],Estructura!$A$4:$C$500,3,0)</f>
        <v>T-1036</v>
      </c>
      <c r="Y1063" s="93" t="str">
        <f>+VLOOKUP(Agencia[[#This Row],[contenido]],Estructura!$E$4:$G$500,3,0)</f>
        <v>C-1013</v>
      </c>
      <c r="Z1063" s="93" t="str">
        <f>+VLOOKUP(Agencia[[#This Row],[Filtro Integrado]],Estructura!$I$4:$K$500,3,0)</f>
        <v>FI-993</v>
      </c>
      <c r="AA1063" s="93" t="str">
        <f>+VLOOKUP(Agencia[[#This Row],[Muestra]],Estructura!$M$4:$O$500,3,0)</f>
        <v>M-1079</v>
      </c>
    </row>
    <row r="1064" spans="1:27" ht="71.400000000000006" x14ac:dyDescent="0.3">
      <c r="A1064" s="21" t="s">
        <v>1784</v>
      </c>
      <c r="B1064" s="23">
        <v>990</v>
      </c>
      <c r="C1064" s="24" t="s">
        <v>400</v>
      </c>
      <c r="D1064" s="67" t="s">
        <v>568</v>
      </c>
      <c r="E1064" s="19">
        <v>10</v>
      </c>
      <c r="F1064" s="10" t="s">
        <v>1914</v>
      </c>
      <c r="G1064" s="10" t="s">
        <v>1914</v>
      </c>
      <c r="H1064" s="33" t="s">
        <v>16</v>
      </c>
      <c r="I1064" s="34" t="s">
        <v>377</v>
      </c>
      <c r="J1064" s="9" t="s">
        <v>403</v>
      </c>
      <c r="K1064" s="142" t="s">
        <v>1914</v>
      </c>
      <c r="L1064" s="9" t="s">
        <v>596</v>
      </c>
      <c r="M1064" s="9" t="s">
        <v>1915</v>
      </c>
      <c r="N1064" s="9" t="s">
        <v>848</v>
      </c>
      <c r="O1064" s="20" t="s">
        <v>2358</v>
      </c>
      <c r="P1064" s="112" t="s">
        <v>6346</v>
      </c>
      <c r="Q1064" s="11" t="s">
        <v>576</v>
      </c>
      <c r="R1064"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Los Lagos,regional,establecimientos,proporción,hospitales,clínicas,cesfam,sapu,postas,laboratorios,dentales,clínicos,alta,baja,media,complejidad,diálisis,vacunatorios,consultorio,Agencia Información,Salud,Establecimientos de Salud,Establecimientos de Salud</v>
      </c>
      <c r="S1064" s="37" t="s">
        <v>2359</v>
      </c>
      <c r="T1064" s="114" t="s">
        <v>1866</v>
      </c>
      <c r="U1064" s="46" t="s">
        <v>398</v>
      </c>
      <c r="V1064" s="93" t="str">
        <f>+Agencia[[#This Row],[idcoleccion]]&amp;"-"&amp;Agencia[[#This Row],[id]]</f>
        <v>990-1053</v>
      </c>
      <c r="W1064" s="93">
        <f>+VLOOKUP(Agencia[[#This Row],[Filtro URL]],Estructura!$X$4:$Y$500,2,0)</f>
        <v>99200010</v>
      </c>
      <c r="X1064" s="93" t="str">
        <f>+VLOOKUP(Agencia[[#This Row],[tema]],Estructura!$A$4:$C$500,3,0)</f>
        <v>T-1036</v>
      </c>
      <c r="Y1064" s="93" t="str">
        <f>+VLOOKUP(Agencia[[#This Row],[contenido]],Estructura!$E$4:$G$500,3,0)</f>
        <v>C-1013</v>
      </c>
      <c r="Z1064" s="93" t="str">
        <f>+VLOOKUP(Agencia[[#This Row],[Filtro Integrado]],Estructura!$I$4:$K$500,3,0)</f>
        <v>FI-993</v>
      </c>
      <c r="AA1064" s="93" t="str">
        <f>+VLOOKUP(Agencia[[#This Row],[Muestra]],Estructura!$M$4:$O$500,3,0)</f>
        <v>M-1079</v>
      </c>
    </row>
    <row r="1065" spans="1:27" ht="71.400000000000006" x14ac:dyDescent="0.3">
      <c r="A1065" s="21" t="s">
        <v>1785</v>
      </c>
      <c r="B1065" s="23">
        <v>990</v>
      </c>
      <c r="C1065" s="24" t="s">
        <v>400</v>
      </c>
      <c r="D1065" s="67" t="s">
        <v>568</v>
      </c>
      <c r="E1065" s="19">
        <v>11</v>
      </c>
      <c r="F1065" s="10" t="s">
        <v>1914</v>
      </c>
      <c r="G1065" s="10" t="s">
        <v>1914</v>
      </c>
      <c r="H1065" s="33" t="s">
        <v>16</v>
      </c>
      <c r="I1065" s="34" t="s">
        <v>378</v>
      </c>
      <c r="J1065" s="9" t="s">
        <v>403</v>
      </c>
      <c r="K1065" s="142" t="s">
        <v>1914</v>
      </c>
      <c r="L1065" s="9" t="s">
        <v>596</v>
      </c>
      <c r="M1065" s="9" t="s">
        <v>1915</v>
      </c>
      <c r="N1065" s="9" t="s">
        <v>848</v>
      </c>
      <c r="O1065" s="20" t="s">
        <v>2360</v>
      </c>
      <c r="P1065" s="112" t="s">
        <v>6347</v>
      </c>
      <c r="Q1065" s="11" t="s">
        <v>576</v>
      </c>
      <c r="R1065"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Aysén,regional,establecimientos,proporción,hospitales,clínicas,cesfam,sapu,postas,laboratorios,dentales,clínicos,alta,baja,media,complejidad,diálisis,vacunatorios,consultorio,Agencia Información,Salud,Establecimientos de Salud,Establecimientos de Salud</v>
      </c>
      <c r="S1065" s="37" t="s">
        <v>2361</v>
      </c>
      <c r="T1065" s="114" t="s">
        <v>1863</v>
      </c>
      <c r="U1065" s="95" t="s">
        <v>398</v>
      </c>
      <c r="V1065" s="93" t="str">
        <f>+Agencia[[#This Row],[idcoleccion]]&amp;"-"&amp;Agencia[[#This Row],[id]]</f>
        <v>990-1054</v>
      </c>
      <c r="W1065" s="93">
        <f>+VLOOKUP(Agencia[[#This Row],[Filtro URL]],Estructura!$X$4:$Y$500,2,0)</f>
        <v>99200011</v>
      </c>
      <c r="X1065" s="93" t="str">
        <f>+VLOOKUP(Agencia[[#This Row],[tema]],Estructura!$A$4:$C$500,3,0)</f>
        <v>T-1036</v>
      </c>
      <c r="Y1065" s="93" t="str">
        <f>+VLOOKUP(Agencia[[#This Row],[contenido]],Estructura!$E$4:$G$500,3,0)</f>
        <v>C-1013</v>
      </c>
      <c r="Z1065" s="93" t="str">
        <f>+VLOOKUP(Agencia[[#This Row],[Filtro Integrado]],Estructura!$I$4:$K$500,3,0)</f>
        <v>FI-993</v>
      </c>
      <c r="AA1065" s="93" t="str">
        <f>+VLOOKUP(Agencia[[#This Row],[Muestra]],Estructura!$M$4:$O$500,3,0)</f>
        <v>M-1079</v>
      </c>
    </row>
    <row r="1066" spans="1:27" ht="71.400000000000006" x14ac:dyDescent="0.3">
      <c r="A1066" s="21" t="s">
        <v>1786</v>
      </c>
      <c r="B1066" s="23">
        <v>990</v>
      </c>
      <c r="C1066" s="24" t="s">
        <v>400</v>
      </c>
      <c r="D1066" s="67" t="s">
        <v>568</v>
      </c>
      <c r="E1066" s="19">
        <v>12</v>
      </c>
      <c r="F1066" s="10" t="s">
        <v>1914</v>
      </c>
      <c r="G1066" s="10" t="s">
        <v>1914</v>
      </c>
      <c r="H1066" s="33" t="s">
        <v>16</v>
      </c>
      <c r="I1066" s="34" t="s">
        <v>379</v>
      </c>
      <c r="J1066" s="9" t="s">
        <v>403</v>
      </c>
      <c r="K1066" s="142" t="s">
        <v>1914</v>
      </c>
      <c r="L1066" s="9" t="s">
        <v>596</v>
      </c>
      <c r="M1066" s="9" t="s">
        <v>1915</v>
      </c>
      <c r="N1066" s="9" t="s">
        <v>848</v>
      </c>
      <c r="O1066" s="20" t="s">
        <v>2362</v>
      </c>
      <c r="P1066" s="112" t="s">
        <v>6348</v>
      </c>
      <c r="Q1066" s="11" t="s">
        <v>576</v>
      </c>
      <c r="R1066"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Magallanes,regional,establecimientos,proporción,hospitales,clínicas,cesfam,sapu,postas,laboratorios,dentales,clínicos,alta,baja,media,complejidad,diálisis,vacunatorios,consultorio,Agencia Información,Salud,Establecimientos de Salud,Establecimientos de Salud</v>
      </c>
      <c r="S1066" s="83" t="s">
        <v>2363</v>
      </c>
      <c r="T1066" s="114" t="s">
        <v>1868</v>
      </c>
      <c r="U1066" s="46" t="s">
        <v>398</v>
      </c>
      <c r="V1066" s="93" t="str">
        <f>+Agencia[[#This Row],[idcoleccion]]&amp;"-"&amp;Agencia[[#This Row],[id]]</f>
        <v>990-1055</v>
      </c>
      <c r="W1066" s="93">
        <f>+VLOOKUP(Agencia[[#This Row],[Filtro URL]],Estructura!$X$4:$Y$500,2,0)</f>
        <v>99200012</v>
      </c>
      <c r="X1066" s="93" t="str">
        <f>+VLOOKUP(Agencia[[#This Row],[tema]],Estructura!$A$4:$C$500,3,0)</f>
        <v>T-1036</v>
      </c>
      <c r="Y1066" s="93" t="str">
        <f>+VLOOKUP(Agencia[[#This Row],[contenido]],Estructura!$E$4:$G$500,3,0)</f>
        <v>C-1013</v>
      </c>
      <c r="Z1066" s="93" t="str">
        <f>+VLOOKUP(Agencia[[#This Row],[Filtro Integrado]],Estructura!$I$4:$K$500,3,0)</f>
        <v>FI-993</v>
      </c>
      <c r="AA1066" s="93" t="str">
        <f>+VLOOKUP(Agencia[[#This Row],[Muestra]],Estructura!$M$4:$O$500,3,0)</f>
        <v>M-1079</v>
      </c>
    </row>
    <row r="1067" spans="1:27" ht="71.400000000000006" x14ac:dyDescent="0.3">
      <c r="A1067" s="21" t="s">
        <v>1787</v>
      </c>
      <c r="B1067" s="23">
        <v>990</v>
      </c>
      <c r="C1067" s="24" t="s">
        <v>400</v>
      </c>
      <c r="D1067" s="67" t="s">
        <v>568</v>
      </c>
      <c r="E1067" s="19">
        <v>13</v>
      </c>
      <c r="F1067" s="10" t="s">
        <v>1914</v>
      </c>
      <c r="G1067" s="10" t="s">
        <v>1914</v>
      </c>
      <c r="H1067" s="33" t="s">
        <v>16</v>
      </c>
      <c r="I1067" s="34" t="s">
        <v>380</v>
      </c>
      <c r="J1067" s="9" t="s">
        <v>403</v>
      </c>
      <c r="K1067" s="142" t="s">
        <v>1914</v>
      </c>
      <c r="L1067" s="9" t="s">
        <v>596</v>
      </c>
      <c r="M1067" s="9" t="s">
        <v>1915</v>
      </c>
      <c r="N1067" s="9" t="s">
        <v>848</v>
      </c>
      <c r="O1067" s="20" t="s">
        <v>2364</v>
      </c>
      <c r="P1067" s="112" t="s">
        <v>6334</v>
      </c>
      <c r="Q1067" s="11" t="s">
        <v>576</v>
      </c>
      <c r="R1067"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Metropolitana,regional,establecimientos,proporción,hospitales,clínicas,cesfam,sapu,postas,laboratorios,dentales,clínicos,alta,baja,media,complejidad,diálisis,vacunatorios,consultorio,Agencia Información,Salud,Establecimientos de Salud,Establecimientos de Salud</v>
      </c>
      <c r="S1067" s="37" t="s">
        <v>2365</v>
      </c>
      <c r="T1067" s="114" t="s">
        <v>1875</v>
      </c>
      <c r="U1067" s="46" t="s">
        <v>398</v>
      </c>
      <c r="V1067" s="93" t="str">
        <f>+Agencia[[#This Row],[idcoleccion]]&amp;"-"&amp;Agencia[[#This Row],[id]]</f>
        <v>990-1056</v>
      </c>
      <c r="W1067" s="93">
        <f>+VLOOKUP(Agencia[[#This Row],[Filtro URL]],Estructura!$X$4:$Y$500,2,0)</f>
        <v>99200013</v>
      </c>
      <c r="X1067" s="93" t="str">
        <f>+VLOOKUP(Agencia[[#This Row],[tema]],Estructura!$A$4:$C$500,3,0)</f>
        <v>T-1036</v>
      </c>
      <c r="Y1067" s="93" t="str">
        <f>+VLOOKUP(Agencia[[#This Row],[contenido]],Estructura!$E$4:$G$500,3,0)</f>
        <v>C-1013</v>
      </c>
      <c r="Z1067" s="93" t="str">
        <f>+VLOOKUP(Agencia[[#This Row],[Filtro Integrado]],Estructura!$I$4:$K$500,3,0)</f>
        <v>FI-993</v>
      </c>
      <c r="AA1067" s="93" t="str">
        <f>+VLOOKUP(Agencia[[#This Row],[Muestra]],Estructura!$M$4:$O$500,3,0)</f>
        <v>M-1079</v>
      </c>
    </row>
    <row r="1068" spans="1:27" ht="71.400000000000006" x14ac:dyDescent="0.3">
      <c r="A1068" s="21" t="s">
        <v>1788</v>
      </c>
      <c r="B1068" s="23">
        <v>990</v>
      </c>
      <c r="C1068" s="24" t="s">
        <v>400</v>
      </c>
      <c r="D1068" s="67" t="s">
        <v>568</v>
      </c>
      <c r="E1068" s="19">
        <v>14</v>
      </c>
      <c r="F1068" s="10" t="s">
        <v>1914</v>
      </c>
      <c r="G1068" s="10" t="s">
        <v>1914</v>
      </c>
      <c r="H1068" s="33" t="s">
        <v>16</v>
      </c>
      <c r="I1068" s="34" t="s">
        <v>381</v>
      </c>
      <c r="J1068" s="9" t="s">
        <v>403</v>
      </c>
      <c r="K1068" s="142" t="s">
        <v>1914</v>
      </c>
      <c r="L1068" s="9" t="s">
        <v>596</v>
      </c>
      <c r="M1068" s="9" t="s">
        <v>1915</v>
      </c>
      <c r="N1068" s="9" t="s">
        <v>848</v>
      </c>
      <c r="O1068" s="20" t="s">
        <v>2366</v>
      </c>
      <c r="P1068" s="112" t="s">
        <v>6349</v>
      </c>
      <c r="Q1068" s="11" t="s">
        <v>576</v>
      </c>
      <c r="R1068"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Los Ríos,regional,establecimientos,proporción,hospitales,clínicas,cesfam,sapu,postas,laboratorios,dentales,clínicos,alta,baja,media,complejidad,diálisis,vacunatorios,consultorio,Agencia Información,Salud,Establecimientos de Salud,Establecimientos de Salud</v>
      </c>
      <c r="S1068" s="37" t="s">
        <v>2367</v>
      </c>
      <c r="T1068" s="114" t="s">
        <v>1867</v>
      </c>
      <c r="U1068" s="95" t="s">
        <v>398</v>
      </c>
      <c r="V1068" s="93" t="str">
        <f>+Agencia[[#This Row],[idcoleccion]]&amp;"-"&amp;Agencia[[#This Row],[id]]</f>
        <v>990-1057</v>
      </c>
      <c r="W1068" s="93">
        <f>+VLOOKUP(Agencia[[#This Row],[Filtro URL]],Estructura!$X$4:$Y$500,2,0)</f>
        <v>99200014</v>
      </c>
      <c r="X1068" s="93" t="str">
        <f>+VLOOKUP(Agencia[[#This Row],[tema]],Estructura!$A$4:$C$500,3,0)</f>
        <v>T-1036</v>
      </c>
      <c r="Y1068" s="93" t="str">
        <f>+VLOOKUP(Agencia[[#This Row],[contenido]],Estructura!$E$4:$G$500,3,0)</f>
        <v>C-1013</v>
      </c>
      <c r="Z1068" s="93" t="str">
        <f>+VLOOKUP(Agencia[[#This Row],[Filtro Integrado]],Estructura!$I$4:$K$500,3,0)</f>
        <v>FI-993</v>
      </c>
      <c r="AA1068" s="93" t="str">
        <f>+VLOOKUP(Agencia[[#This Row],[Muestra]],Estructura!$M$4:$O$500,3,0)</f>
        <v>M-1079</v>
      </c>
    </row>
    <row r="1069" spans="1:27" ht="71.400000000000006" x14ac:dyDescent="0.3">
      <c r="A1069" s="21" t="s">
        <v>1789</v>
      </c>
      <c r="B1069" s="23">
        <v>990</v>
      </c>
      <c r="C1069" s="24" t="s">
        <v>400</v>
      </c>
      <c r="D1069" s="67" t="s">
        <v>568</v>
      </c>
      <c r="E1069" s="19">
        <v>15</v>
      </c>
      <c r="F1069" s="10" t="s">
        <v>1914</v>
      </c>
      <c r="G1069" s="10" t="s">
        <v>1914</v>
      </c>
      <c r="H1069" s="33" t="s">
        <v>16</v>
      </c>
      <c r="I1069" s="34" t="s">
        <v>382</v>
      </c>
      <c r="J1069" s="9" t="s">
        <v>403</v>
      </c>
      <c r="K1069" s="142" t="s">
        <v>1914</v>
      </c>
      <c r="L1069" s="9" t="s">
        <v>596</v>
      </c>
      <c r="M1069" s="9" t="s">
        <v>1915</v>
      </c>
      <c r="N1069" s="9" t="s">
        <v>848</v>
      </c>
      <c r="O1069" s="20" t="s">
        <v>2338</v>
      </c>
      <c r="P1069" s="112" t="s">
        <v>6350</v>
      </c>
      <c r="Q1069" s="11" t="s">
        <v>576</v>
      </c>
      <c r="R1069"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Arica y Parinacota,regional,establecimientos,proporción,hospitales,clínicas,cesfam,sapu,postas,laboratorios,dentales,clínicos,alta,baja,media,complejidad,diálisis,vacunatorios,consultorio,Agencia Información,Salud,Establecimientos de Salud,Establecimientos de Salud</v>
      </c>
      <c r="S1069" s="37" t="s">
        <v>2339</v>
      </c>
      <c r="T1069" s="114" t="s">
        <v>1861</v>
      </c>
      <c r="U1069" s="46" t="s">
        <v>398</v>
      </c>
      <c r="V1069" s="93" t="str">
        <f>+Agencia[[#This Row],[idcoleccion]]&amp;"-"&amp;Agencia[[#This Row],[id]]</f>
        <v>990-1058</v>
      </c>
      <c r="W1069" s="93">
        <f>+VLOOKUP(Agencia[[#This Row],[Filtro URL]],Estructura!$X$4:$Y$500,2,0)</f>
        <v>99200015</v>
      </c>
      <c r="X1069" s="93" t="str">
        <f>+VLOOKUP(Agencia[[#This Row],[tema]],Estructura!$A$4:$C$500,3,0)</f>
        <v>T-1036</v>
      </c>
      <c r="Y1069" s="93" t="str">
        <f>+VLOOKUP(Agencia[[#This Row],[contenido]],Estructura!$E$4:$G$500,3,0)</f>
        <v>C-1013</v>
      </c>
      <c r="Z1069" s="93" t="str">
        <f>+VLOOKUP(Agencia[[#This Row],[Filtro Integrado]],Estructura!$I$4:$K$500,3,0)</f>
        <v>FI-993</v>
      </c>
      <c r="AA1069" s="93" t="str">
        <f>+VLOOKUP(Agencia[[#This Row],[Muestra]],Estructura!$M$4:$O$500,3,0)</f>
        <v>M-1079</v>
      </c>
    </row>
    <row r="1070" spans="1:27" ht="71.400000000000006" x14ac:dyDescent="0.3">
      <c r="A1070" s="21" t="s">
        <v>1790</v>
      </c>
      <c r="B1070" s="23">
        <v>990</v>
      </c>
      <c r="C1070" s="24" t="s">
        <v>400</v>
      </c>
      <c r="D1070" s="67" t="s">
        <v>568</v>
      </c>
      <c r="E1070" s="19">
        <v>16</v>
      </c>
      <c r="F1070" s="10" t="s">
        <v>1914</v>
      </c>
      <c r="G1070" s="10" t="s">
        <v>1914</v>
      </c>
      <c r="H1070" s="33" t="s">
        <v>16</v>
      </c>
      <c r="I1070" s="34" t="s">
        <v>383</v>
      </c>
      <c r="J1070" s="9" t="s">
        <v>403</v>
      </c>
      <c r="K1070" s="142" t="s">
        <v>1914</v>
      </c>
      <c r="L1070" s="9" t="s">
        <v>596</v>
      </c>
      <c r="M1070" s="9" t="s">
        <v>1915</v>
      </c>
      <c r="N1070" s="9" t="s">
        <v>848</v>
      </c>
      <c r="O1070" s="20" t="s">
        <v>2702</v>
      </c>
      <c r="P1070" s="112" t="s">
        <v>6351</v>
      </c>
      <c r="Q1070" s="11" t="s">
        <v>576</v>
      </c>
      <c r="R1070" s="148" t="str">
        <f>Agencia[[#This Row],[territorio]]&amp;",regional,establecimientos,proporción,hospitales,clínicas,cesfam,sapu,postas,laboratorios,dentales,clínicos,alta,baja,media,complejidad,diálisis,vacunatorios,consultorio,"&amp;Agencia[[#This Row],[coleccion]]&amp;","&amp;Agencia[[#This Row],[sector]]&amp;","&amp;Agencia[[#This Row],[tema]]&amp;","&amp;Agencia[[#This Row],[contenido]]</f>
        <v>Región de Ñuble,regional,establecimientos,proporción,hospitales,clínicas,cesfam,sapu,postas,laboratorios,dentales,clínicos,alta,baja,media,complejidad,diálisis,vacunatorios,consultorio,Agencia Información,Salud,Establecimientos de Salud,Establecimientos de Salud</v>
      </c>
      <c r="S1070" s="37" t="s">
        <v>2703</v>
      </c>
      <c r="T1070" s="114" t="s">
        <v>1870</v>
      </c>
      <c r="U1070" s="46" t="s">
        <v>398</v>
      </c>
      <c r="V1070" s="93" t="str">
        <f>+Agencia[[#This Row],[idcoleccion]]&amp;"-"&amp;Agencia[[#This Row],[id]]</f>
        <v>990-1059</v>
      </c>
      <c r="W1070" s="93">
        <f>+VLOOKUP(Agencia[[#This Row],[Filtro URL]],Estructura!$X$4:$Y$500,2,0)</f>
        <v>99200016</v>
      </c>
      <c r="X1070" s="93" t="str">
        <f>+VLOOKUP(Agencia[[#This Row],[tema]],Estructura!$A$4:$C$500,3,0)</f>
        <v>T-1036</v>
      </c>
      <c r="Y1070" s="93" t="str">
        <f>+VLOOKUP(Agencia[[#This Row],[contenido]],Estructura!$E$4:$G$500,3,0)</f>
        <v>C-1013</v>
      </c>
      <c r="Z1070" s="93" t="str">
        <f>+VLOOKUP(Agencia[[#This Row],[Filtro Integrado]],Estructura!$I$4:$K$500,3,0)</f>
        <v>FI-993</v>
      </c>
      <c r="AA1070" s="93" t="str">
        <f>+VLOOKUP(Agencia[[#This Row],[Muestra]],Estructura!$M$4:$O$500,3,0)</f>
        <v>M-1079</v>
      </c>
    </row>
    <row r="1071" spans="1:27" ht="61.2" x14ac:dyDescent="0.3">
      <c r="A1071" s="21" t="s">
        <v>1791</v>
      </c>
      <c r="B1071" s="23">
        <v>990</v>
      </c>
      <c r="C1071" s="24" t="s">
        <v>400</v>
      </c>
      <c r="D1071" s="67" t="s">
        <v>568</v>
      </c>
      <c r="E1071" s="14">
        <v>0</v>
      </c>
      <c r="F1071" s="10" t="s">
        <v>1914</v>
      </c>
      <c r="G1071" s="10" t="s">
        <v>1914</v>
      </c>
      <c r="H1071" s="31" t="s">
        <v>20</v>
      </c>
      <c r="I1071" s="32" t="s">
        <v>15</v>
      </c>
      <c r="J1071" s="9" t="s">
        <v>1933</v>
      </c>
      <c r="K1071" s="142" t="s">
        <v>1914</v>
      </c>
      <c r="L1071" s="9" t="s">
        <v>596</v>
      </c>
      <c r="M1071" s="9" t="s">
        <v>1915</v>
      </c>
      <c r="N1071" s="9" t="s">
        <v>848</v>
      </c>
      <c r="O1071" s="20" t="s">
        <v>2704</v>
      </c>
      <c r="P1071" s="112" t="s">
        <v>6355</v>
      </c>
      <c r="Q1071" s="11" t="s">
        <v>1934</v>
      </c>
      <c r="R1071" s="20" t="str">
        <f>Agencia[[#This Row],[territorio]]&amp;",nacional,región,establecimientos,tipo,hospitales,clínicas,cesfam,sapu,postas,laboratorios,dentales,clínicos,alta,baja,media,complejidad,diálisis,vacunatorios,consultorio,"&amp;Agencia[[#This Row],[coleccion]]&amp;","&amp;Agencia[[#This Row],[sector]]&amp;","&amp;Agencia[[#This Row],[tema]]&amp;","&amp;Agencia[[#This Row],[contenido]]</f>
        <v>Chile,nacional,región,establecimientos,tipo,hospitales,clínicas,cesfam,sapu,postas,laboratorios,dentales,clínicos,alta,baja,media,complejidad,diálisis,vacunatorios,consultorio,Agencia Información,Salud,Establecimientos de Salud,Establecimientos de Salud</v>
      </c>
      <c r="S1071" s="37" t="s">
        <v>1935</v>
      </c>
      <c r="T1071" s="114" t="s">
        <v>957</v>
      </c>
      <c r="U1071" s="95" t="s">
        <v>398</v>
      </c>
      <c r="V1071" s="93" t="str">
        <f>+Agencia[[#This Row],[idcoleccion]]&amp;"-"&amp;Agencia[[#This Row],[id]]</f>
        <v>990-1060</v>
      </c>
      <c r="W1071" s="93">
        <f>+VLOOKUP(Agencia[[#This Row],[Filtro URL]],Estructura!$X$4:$Y$500,2,0)</f>
        <v>99100000</v>
      </c>
      <c r="X1071" s="93" t="str">
        <f>+VLOOKUP(Agencia[[#This Row],[tema]],Estructura!$A$4:$C$500,3,0)</f>
        <v>T-1036</v>
      </c>
      <c r="Y1071" s="93" t="str">
        <f>+VLOOKUP(Agencia[[#This Row],[contenido]],Estructura!$E$4:$G$500,3,0)</f>
        <v>C-1013</v>
      </c>
      <c r="Z1071" s="93" t="str">
        <f>+VLOOKUP(Agencia[[#This Row],[Filtro Integrado]],Estructura!$I$4:$K$500,3,0)</f>
        <v>FI-1000</v>
      </c>
      <c r="AA1071" s="93" t="str">
        <f>+VLOOKUP(Agencia[[#This Row],[Muestra]],Estructura!$M$4:$O$500,3,0)</f>
        <v>M-1079</v>
      </c>
    </row>
    <row r="1072" spans="1:27" ht="71.400000000000006" x14ac:dyDescent="0.3">
      <c r="A1072" s="21" t="s">
        <v>1792</v>
      </c>
      <c r="B1072" s="23">
        <v>990</v>
      </c>
      <c r="C1072" s="24" t="s">
        <v>400</v>
      </c>
      <c r="D1072" s="67" t="s">
        <v>568</v>
      </c>
      <c r="E1072" s="19">
        <v>1</v>
      </c>
      <c r="F1072" s="10" t="s">
        <v>1914</v>
      </c>
      <c r="G1072" s="10" t="s">
        <v>1914</v>
      </c>
      <c r="H1072" s="33" t="s">
        <v>16</v>
      </c>
      <c r="I1072" s="34" t="s">
        <v>368</v>
      </c>
      <c r="J1072" s="9" t="s">
        <v>1474</v>
      </c>
      <c r="K1072" s="142" t="s">
        <v>1914</v>
      </c>
      <c r="L1072" s="9" t="s">
        <v>596</v>
      </c>
      <c r="M1072" s="9" t="s">
        <v>1915</v>
      </c>
      <c r="N1072" s="9" t="s">
        <v>848</v>
      </c>
      <c r="O1072" s="20" t="s">
        <v>2368</v>
      </c>
      <c r="P1072" s="112" t="s">
        <v>6353</v>
      </c>
      <c r="Q1072" s="11" t="s">
        <v>1934</v>
      </c>
      <c r="R1072"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Tarapacá,regional,establecimientos,tipo,hospitales,clínicas,cesfam,sapu,postas,laboratorios,dentales,clínicos,alta,baja,media,complejidad,diálisis,vacunatorios,consultorio,Agencia Información,Salud,Establecimientos de Salud,Establecimientos de Salud</v>
      </c>
      <c r="S1072" s="37" t="s">
        <v>2369</v>
      </c>
      <c r="T1072" s="114" t="s">
        <v>1856</v>
      </c>
      <c r="U1072" s="46" t="s">
        <v>398</v>
      </c>
      <c r="V1072" s="93" t="str">
        <f>+Agencia[[#This Row],[idcoleccion]]&amp;"-"&amp;Agencia[[#This Row],[id]]</f>
        <v>990-1061</v>
      </c>
      <c r="W1072" s="93">
        <f>+VLOOKUP(Agencia[[#This Row],[Filtro URL]],Estructura!$X$4:$Y$500,2,0)</f>
        <v>99200001</v>
      </c>
      <c r="X1072" s="93" t="str">
        <f>+VLOOKUP(Agencia[[#This Row],[tema]],Estructura!$A$4:$C$500,3,0)</f>
        <v>T-1036</v>
      </c>
      <c r="Y1072" s="93" t="str">
        <f>+VLOOKUP(Agencia[[#This Row],[contenido]],Estructura!$E$4:$G$500,3,0)</f>
        <v>C-1013</v>
      </c>
      <c r="Z1072" s="93" t="str">
        <f>+VLOOKUP(Agencia[[#This Row],[Filtro Integrado]],Estructura!$I$4:$K$500,3,0)</f>
        <v>FI-998</v>
      </c>
      <c r="AA1072" s="93" t="str">
        <f>+VLOOKUP(Agencia[[#This Row],[Muestra]],Estructura!$M$4:$O$500,3,0)</f>
        <v>M-1079</v>
      </c>
    </row>
    <row r="1073" spans="1:27" ht="71.400000000000006" x14ac:dyDescent="0.3">
      <c r="A1073" s="21" t="s">
        <v>1793</v>
      </c>
      <c r="B1073" s="23">
        <v>990</v>
      </c>
      <c r="C1073" s="24" t="s">
        <v>400</v>
      </c>
      <c r="D1073" s="67" t="s">
        <v>568</v>
      </c>
      <c r="E1073" s="19">
        <v>2</v>
      </c>
      <c r="F1073" s="10" t="s">
        <v>1914</v>
      </c>
      <c r="G1073" s="10" t="s">
        <v>1914</v>
      </c>
      <c r="H1073" s="33" t="s">
        <v>16</v>
      </c>
      <c r="I1073" s="34" t="s">
        <v>369</v>
      </c>
      <c r="J1073" s="9" t="s">
        <v>1474</v>
      </c>
      <c r="K1073" s="142" t="s">
        <v>1914</v>
      </c>
      <c r="L1073" s="9" t="s">
        <v>596</v>
      </c>
      <c r="M1073" s="9" t="s">
        <v>1915</v>
      </c>
      <c r="N1073" s="9" t="s">
        <v>848</v>
      </c>
      <c r="O1073" s="20" t="s">
        <v>2370</v>
      </c>
      <c r="P1073" s="112" t="s">
        <v>6354</v>
      </c>
      <c r="Q1073" s="11" t="s">
        <v>1934</v>
      </c>
      <c r="R1073"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Antofagasta,regional,establecimientos,tipo,hospitales,clínicas,cesfam,sapu,postas,laboratorios,dentales,clínicos,alta,baja,media,complejidad,diálisis,vacunatorios,consultorio,Agencia Información,Salud,Establecimientos de Salud,Establecimientos de Salud</v>
      </c>
      <c r="S1073" s="37" t="s">
        <v>2371</v>
      </c>
      <c r="T1073" s="114" t="s">
        <v>1844</v>
      </c>
      <c r="U1073" s="46" t="s">
        <v>398</v>
      </c>
      <c r="V1073" s="93" t="str">
        <f>+Agencia[[#This Row],[idcoleccion]]&amp;"-"&amp;Agencia[[#This Row],[id]]</f>
        <v>990-1062</v>
      </c>
      <c r="W1073" s="93">
        <f>+VLOOKUP(Agencia[[#This Row],[Filtro URL]],Estructura!$X$4:$Y$500,2,0)</f>
        <v>99200002</v>
      </c>
      <c r="X1073" s="93" t="str">
        <f>+VLOOKUP(Agencia[[#This Row],[tema]],Estructura!$A$4:$C$500,3,0)</f>
        <v>T-1036</v>
      </c>
      <c r="Y1073" s="93" t="str">
        <f>+VLOOKUP(Agencia[[#This Row],[contenido]],Estructura!$E$4:$G$500,3,0)</f>
        <v>C-1013</v>
      </c>
      <c r="Z1073" s="93" t="str">
        <f>+VLOOKUP(Agencia[[#This Row],[Filtro Integrado]],Estructura!$I$4:$K$500,3,0)</f>
        <v>FI-998</v>
      </c>
      <c r="AA1073" s="93" t="str">
        <f>+VLOOKUP(Agencia[[#This Row],[Muestra]],Estructura!$M$4:$O$500,3,0)</f>
        <v>M-1079</v>
      </c>
    </row>
    <row r="1074" spans="1:27" ht="71.400000000000006" x14ac:dyDescent="0.3">
      <c r="A1074" s="21" t="s">
        <v>1794</v>
      </c>
      <c r="B1074" s="23">
        <v>990</v>
      </c>
      <c r="C1074" s="24" t="s">
        <v>400</v>
      </c>
      <c r="D1074" s="67" t="s">
        <v>568</v>
      </c>
      <c r="E1074" s="19">
        <v>3</v>
      </c>
      <c r="F1074" s="10" t="s">
        <v>1914</v>
      </c>
      <c r="G1074" s="10" t="s">
        <v>1914</v>
      </c>
      <c r="H1074" s="33" t="s">
        <v>16</v>
      </c>
      <c r="I1074" s="34" t="s">
        <v>370</v>
      </c>
      <c r="J1074" s="9" t="s">
        <v>1474</v>
      </c>
      <c r="K1074" s="142" t="s">
        <v>1914</v>
      </c>
      <c r="L1074" s="9" t="s">
        <v>596</v>
      </c>
      <c r="M1074" s="9" t="s">
        <v>1915</v>
      </c>
      <c r="N1074" s="9" t="s">
        <v>848</v>
      </c>
      <c r="O1074" s="20" t="s">
        <v>2372</v>
      </c>
      <c r="P1074" s="112" t="s">
        <v>6356</v>
      </c>
      <c r="Q1074" s="11" t="s">
        <v>1934</v>
      </c>
      <c r="R1074"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Atacama,regional,establecimientos,tipo,hospitales,clínicas,cesfam,sapu,postas,laboratorios,dentales,clínicos,alta,baja,media,complejidad,diálisis,vacunatorios,consultorio,Agencia Información,Salud,Establecimientos de Salud,Establecimientos de Salud</v>
      </c>
      <c r="S1074" s="37" t="s">
        <v>2373</v>
      </c>
      <c r="T1074" s="114" t="s">
        <v>1846</v>
      </c>
      <c r="U1074" s="95" t="s">
        <v>398</v>
      </c>
      <c r="V1074" s="93" t="str">
        <f>+Agencia[[#This Row],[idcoleccion]]&amp;"-"&amp;Agencia[[#This Row],[id]]</f>
        <v>990-1063</v>
      </c>
      <c r="W1074" s="93">
        <f>+VLOOKUP(Agencia[[#This Row],[Filtro URL]],Estructura!$X$4:$Y$500,2,0)</f>
        <v>99200003</v>
      </c>
      <c r="X1074" s="93" t="str">
        <f>+VLOOKUP(Agencia[[#This Row],[tema]],Estructura!$A$4:$C$500,3,0)</f>
        <v>T-1036</v>
      </c>
      <c r="Y1074" s="93" t="str">
        <f>+VLOOKUP(Agencia[[#This Row],[contenido]],Estructura!$E$4:$G$500,3,0)</f>
        <v>C-1013</v>
      </c>
      <c r="Z1074" s="93" t="str">
        <f>+VLOOKUP(Agencia[[#This Row],[Filtro Integrado]],Estructura!$I$4:$K$500,3,0)</f>
        <v>FI-998</v>
      </c>
      <c r="AA1074" s="93" t="str">
        <f>+VLOOKUP(Agencia[[#This Row],[Muestra]],Estructura!$M$4:$O$500,3,0)</f>
        <v>M-1079</v>
      </c>
    </row>
    <row r="1075" spans="1:27" ht="71.400000000000006" x14ac:dyDescent="0.3">
      <c r="A1075" s="21" t="s">
        <v>1795</v>
      </c>
      <c r="B1075" s="23">
        <v>990</v>
      </c>
      <c r="C1075" s="24" t="s">
        <v>400</v>
      </c>
      <c r="D1075" s="67" t="s">
        <v>568</v>
      </c>
      <c r="E1075" s="19">
        <v>4</v>
      </c>
      <c r="F1075" s="10" t="s">
        <v>1914</v>
      </c>
      <c r="G1075" s="10" t="s">
        <v>1914</v>
      </c>
      <c r="H1075" s="33" t="s">
        <v>16</v>
      </c>
      <c r="I1075" s="34" t="s">
        <v>371</v>
      </c>
      <c r="J1075" s="9" t="s">
        <v>1474</v>
      </c>
      <c r="K1075" s="142" t="s">
        <v>1914</v>
      </c>
      <c r="L1075" s="9" t="s">
        <v>596</v>
      </c>
      <c r="M1075" s="9" t="s">
        <v>1915</v>
      </c>
      <c r="N1075" s="9" t="s">
        <v>848</v>
      </c>
      <c r="O1075" s="20" t="s">
        <v>2374</v>
      </c>
      <c r="P1075" s="112" t="s">
        <v>6335</v>
      </c>
      <c r="Q1075" s="11" t="s">
        <v>1934</v>
      </c>
      <c r="R1075"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Coquimbo,regional,establecimientos,tipo,hospitales,clínicas,cesfam,sapu,postas,laboratorios,dentales,clínicos,alta,baja,media,complejidad,diálisis,vacunatorios,consultorio,Agencia Información,Salud,Establecimientos de Salud,Establecimientos de Salud</v>
      </c>
      <c r="S1075" s="37" t="s">
        <v>2375</v>
      </c>
      <c r="T1075" s="114" t="s">
        <v>1848</v>
      </c>
      <c r="U1075" s="46" t="s">
        <v>398</v>
      </c>
      <c r="V1075" s="93" t="str">
        <f>+Agencia[[#This Row],[idcoleccion]]&amp;"-"&amp;Agencia[[#This Row],[id]]</f>
        <v>990-1064</v>
      </c>
      <c r="W1075" s="93">
        <f>+VLOOKUP(Agencia[[#This Row],[Filtro URL]],Estructura!$X$4:$Y$500,2,0)</f>
        <v>99200004</v>
      </c>
      <c r="X1075" s="93" t="str">
        <f>+VLOOKUP(Agencia[[#This Row],[tema]],Estructura!$A$4:$C$500,3,0)</f>
        <v>T-1036</v>
      </c>
      <c r="Y1075" s="93" t="str">
        <f>+VLOOKUP(Agencia[[#This Row],[contenido]],Estructura!$E$4:$G$500,3,0)</f>
        <v>C-1013</v>
      </c>
      <c r="Z1075" s="93" t="str">
        <f>+VLOOKUP(Agencia[[#This Row],[Filtro Integrado]],Estructura!$I$4:$K$500,3,0)</f>
        <v>FI-998</v>
      </c>
      <c r="AA1075" s="93" t="str">
        <f>+VLOOKUP(Agencia[[#This Row],[Muestra]],Estructura!$M$4:$O$500,3,0)</f>
        <v>M-1079</v>
      </c>
    </row>
    <row r="1076" spans="1:27" ht="71.400000000000006" x14ac:dyDescent="0.3">
      <c r="A1076" s="21" t="s">
        <v>1796</v>
      </c>
      <c r="B1076" s="23">
        <v>990</v>
      </c>
      <c r="C1076" s="24" t="s">
        <v>400</v>
      </c>
      <c r="D1076" s="67" t="s">
        <v>568</v>
      </c>
      <c r="E1076" s="19">
        <v>5</v>
      </c>
      <c r="F1076" s="10" t="s">
        <v>1914</v>
      </c>
      <c r="G1076" s="10" t="s">
        <v>1914</v>
      </c>
      <c r="H1076" s="33" t="s">
        <v>16</v>
      </c>
      <c r="I1076" s="34" t="s">
        <v>372</v>
      </c>
      <c r="J1076" s="9" t="s">
        <v>1474</v>
      </c>
      <c r="K1076" s="142" t="s">
        <v>1914</v>
      </c>
      <c r="L1076" s="9" t="s">
        <v>596</v>
      </c>
      <c r="M1076" s="9" t="s">
        <v>1915</v>
      </c>
      <c r="N1076" s="9" t="s">
        <v>848</v>
      </c>
      <c r="O1076" s="20" t="s">
        <v>2376</v>
      </c>
      <c r="P1076" s="112" t="s">
        <v>6357</v>
      </c>
      <c r="Q1076" s="11" t="s">
        <v>1934</v>
      </c>
      <c r="R1076"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Valparaíso,regional,establecimientos,tipo,hospitales,clínicas,cesfam,sapu,postas,laboratorios,dentales,clínicos,alta,baja,media,complejidad,diálisis,vacunatorios,consultorio,Agencia Información,Salud,Establecimientos de Salud,Establecimientos de Salud</v>
      </c>
      <c r="S1076" s="83" t="s">
        <v>2377</v>
      </c>
      <c r="T1076" s="114" t="s">
        <v>1857</v>
      </c>
      <c r="U1076" s="46" t="s">
        <v>398</v>
      </c>
      <c r="V1076" s="93" t="str">
        <f>+Agencia[[#This Row],[idcoleccion]]&amp;"-"&amp;Agencia[[#This Row],[id]]</f>
        <v>990-1065</v>
      </c>
      <c r="W1076" s="93">
        <f>+VLOOKUP(Agencia[[#This Row],[Filtro URL]],Estructura!$X$4:$Y$500,2,0)</f>
        <v>99200005</v>
      </c>
      <c r="X1076" s="93" t="str">
        <f>+VLOOKUP(Agencia[[#This Row],[tema]],Estructura!$A$4:$C$500,3,0)</f>
        <v>T-1036</v>
      </c>
      <c r="Y1076" s="93" t="str">
        <f>+VLOOKUP(Agencia[[#This Row],[contenido]],Estructura!$E$4:$G$500,3,0)</f>
        <v>C-1013</v>
      </c>
      <c r="Z1076" s="93" t="str">
        <f>+VLOOKUP(Agencia[[#This Row],[Filtro Integrado]],Estructura!$I$4:$K$500,3,0)</f>
        <v>FI-998</v>
      </c>
      <c r="AA1076" s="93" t="str">
        <f>+VLOOKUP(Agencia[[#This Row],[Muestra]],Estructura!$M$4:$O$500,3,0)</f>
        <v>M-1079</v>
      </c>
    </row>
    <row r="1077" spans="1:27" ht="71.400000000000006" x14ac:dyDescent="0.3">
      <c r="A1077" s="21" t="s">
        <v>1797</v>
      </c>
      <c r="B1077" s="23">
        <v>990</v>
      </c>
      <c r="C1077" s="24" t="s">
        <v>400</v>
      </c>
      <c r="D1077" s="67" t="s">
        <v>568</v>
      </c>
      <c r="E1077" s="19">
        <v>6</v>
      </c>
      <c r="F1077" s="10" t="s">
        <v>1914</v>
      </c>
      <c r="G1077" s="10" t="s">
        <v>1914</v>
      </c>
      <c r="H1077" s="33" t="s">
        <v>16</v>
      </c>
      <c r="I1077" s="34" t="s">
        <v>373</v>
      </c>
      <c r="J1077" s="9" t="s">
        <v>1474</v>
      </c>
      <c r="K1077" s="142" t="s">
        <v>1914</v>
      </c>
      <c r="L1077" s="9" t="s">
        <v>596</v>
      </c>
      <c r="M1077" s="9" t="s">
        <v>1915</v>
      </c>
      <c r="N1077" s="9" t="s">
        <v>848</v>
      </c>
      <c r="O1077" s="20" t="s">
        <v>2378</v>
      </c>
      <c r="P1077" s="112" t="s">
        <v>6358</v>
      </c>
      <c r="Q1077" s="11" t="s">
        <v>1934</v>
      </c>
      <c r="R1077"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O'Higgins,regional,establecimientos,tipo,hospitales,clínicas,cesfam,sapu,postas,laboratorios,dentales,clínicos,alta,baja,media,complejidad,diálisis,vacunatorios,consultorio,Agencia Información,Salud,Establecimientos de Salud,Establecimientos de Salud</v>
      </c>
      <c r="S1077" s="83" t="s">
        <v>2379</v>
      </c>
      <c r="T1077" s="114" t="s">
        <v>1855</v>
      </c>
      <c r="U1077" s="95" t="s">
        <v>398</v>
      </c>
      <c r="V1077" s="93" t="str">
        <f>+Agencia[[#This Row],[idcoleccion]]&amp;"-"&amp;Agencia[[#This Row],[id]]</f>
        <v>990-1066</v>
      </c>
      <c r="W1077" s="93">
        <f>+VLOOKUP(Agencia[[#This Row],[Filtro URL]],Estructura!$X$4:$Y$500,2,0)</f>
        <v>99200006</v>
      </c>
      <c r="X1077" s="93" t="str">
        <f>+VLOOKUP(Agencia[[#This Row],[tema]],Estructura!$A$4:$C$500,3,0)</f>
        <v>T-1036</v>
      </c>
      <c r="Y1077" s="93" t="str">
        <f>+VLOOKUP(Agencia[[#This Row],[contenido]],Estructura!$E$4:$G$500,3,0)</f>
        <v>C-1013</v>
      </c>
      <c r="Z1077" s="93" t="str">
        <f>+VLOOKUP(Agencia[[#This Row],[Filtro Integrado]],Estructura!$I$4:$K$500,3,0)</f>
        <v>FI-998</v>
      </c>
      <c r="AA1077" s="93" t="str">
        <f>+VLOOKUP(Agencia[[#This Row],[Muestra]],Estructura!$M$4:$O$500,3,0)</f>
        <v>M-1079</v>
      </c>
    </row>
    <row r="1078" spans="1:27" ht="71.400000000000006" x14ac:dyDescent="0.3">
      <c r="A1078" s="21" t="s">
        <v>1798</v>
      </c>
      <c r="B1078" s="23">
        <v>990</v>
      </c>
      <c r="C1078" s="24" t="s">
        <v>400</v>
      </c>
      <c r="D1078" s="67" t="s">
        <v>568</v>
      </c>
      <c r="E1078" s="19">
        <v>7</v>
      </c>
      <c r="F1078" s="10" t="s">
        <v>1914</v>
      </c>
      <c r="G1078" s="10" t="s">
        <v>1914</v>
      </c>
      <c r="H1078" s="33" t="s">
        <v>16</v>
      </c>
      <c r="I1078" s="34" t="s">
        <v>374</v>
      </c>
      <c r="J1078" s="9" t="s">
        <v>1474</v>
      </c>
      <c r="K1078" s="142" t="s">
        <v>1914</v>
      </c>
      <c r="L1078" s="9" t="s">
        <v>596</v>
      </c>
      <c r="M1078" s="9" t="s">
        <v>1915</v>
      </c>
      <c r="N1078" s="9" t="s">
        <v>848</v>
      </c>
      <c r="O1078" s="20" t="s">
        <v>2380</v>
      </c>
      <c r="P1078" s="112" t="s">
        <v>6359</v>
      </c>
      <c r="Q1078" s="11" t="s">
        <v>1934</v>
      </c>
      <c r="R1078"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Maule,regional,establecimientos,tipo,hospitales,clínicas,cesfam,sapu,postas,laboratorios,dentales,clínicos,alta,baja,media,complejidad,diálisis,vacunatorios,consultorio,Agencia Información,Salud,Establecimientos de Salud,Establecimientos de Salud</v>
      </c>
      <c r="S1078" s="83" t="s">
        <v>2381</v>
      </c>
      <c r="T1078" s="114" t="s">
        <v>1853</v>
      </c>
      <c r="U1078" s="46" t="s">
        <v>398</v>
      </c>
      <c r="V1078" s="93" t="str">
        <f>+Agencia[[#This Row],[idcoleccion]]&amp;"-"&amp;Agencia[[#This Row],[id]]</f>
        <v>990-1067</v>
      </c>
      <c r="W1078" s="93">
        <f>+VLOOKUP(Agencia[[#This Row],[Filtro URL]],Estructura!$X$4:$Y$500,2,0)</f>
        <v>99200007</v>
      </c>
      <c r="X1078" s="93" t="str">
        <f>+VLOOKUP(Agencia[[#This Row],[tema]],Estructura!$A$4:$C$500,3,0)</f>
        <v>T-1036</v>
      </c>
      <c r="Y1078" s="93" t="str">
        <f>+VLOOKUP(Agencia[[#This Row],[contenido]],Estructura!$E$4:$G$500,3,0)</f>
        <v>C-1013</v>
      </c>
      <c r="Z1078" s="93" t="str">
        <f>+VLOOKUP(Agencia[[#This Row],[Filtro Integrado]],Estructura!$I$4:$K$500,3,0)</f>
        <v>FI-998</v>
      </c>
      <c r="AA1078" s="93" t="str">
        <f>+VLOOKUP(Agencia[[#This Row],[Muestra]],Estructura!$M$4:$O$500,3,0)</f>
        <v>M-1079</v>
      </c>
    </row>
    <row r="1079" spans="1:27" ht="71.400000000000006" x14ac:dyDescent="0.3">
      <c r="A1079" s="21" t="s">
        <v>1799</v>
      </c>
      <c r="B1079" s="23">
        <v>990</v>
      </c>
      <c r="C1079" s="24" t="s">
        <v>400</v>
      </c>
      <c r="D1079" s="67" t="s">
        <v>568</v>
      </c>
      <c r="E1079" s="19">
        <v>8</v>
      </c>
      <c r="F1079" s="10" t="s">
        <v>1914</v>
      </c>
      <c r="G1079" s="10" t="s">
        <v>1914</v>
      </c>
      <c r="H1079" s="33" t="s">
        <v>16</v>
      </c>
      <c r="I1079" s="34" t="s">
        <v>375</v>
      </c>
      <c r="J1079" s="9" t="s">
        <v>1474</v>
      </c>
      <c r="K1079" s="142" t="s">
        <v>1914</v>
      </c>
      <c r="L1079" s="9" t="s">
        <v>596</v>
      </c>
      <c r="M1079" s="9" t="s">
        <v>1915</v>
      </c>
      <c r="N1079" s="9" t="s">
        <v>848</v>
      </c>
      <c r="O1079" s="20" t="s">
        <v>2382</v>
      </c>
      <c r="P1079" s="112" t="s">
        <v>6360</v>
      </c>
      <c r="Q1079" s="11" t="s">
        <v>1934</v>
      </c>
      <c r="R1079"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del Biobío,regional,establecimientos,tipo,hospitales,clínicas,cesfam,sapu,postas,laboratorios,dentales,clínicos,alta,baja,media,complejidad,diálisis,vacunatorios,consultorio,Agencia Información,Salud,Establecimientos de Salud,Establecimientos de Salud</v>
      </c>
      <c r="S1079" s="83" t="s">
        <v>2383</v>
      </c>
      <c r="T1079" s="114" t="s">
        <v>1858</v>
      </c>
      <c r="U1079" s="46" t="s">
        <v>398</v>
      </c>
      <c r="V1079" s="93" t="str">
        <f>+Agencia[[#This Row],[idcoleccion]]&amp;"-"&amp;Agencia[[#This Row],[id]]</f>
        <v>990-1068</v>
      </c>
      <c r="W1079" s="93">
        <f>+VLOOKUP(Agencia[[#This Row],[Filtro URL]],Estructura!$X$4:$Y$500,2,0)</f>
        <v>99200008</v>
      </c>
      <c r="X1079" s="93" t="str">
        <f>+VLOOKUP(Agencia[[#This Row],[tema]],Estructura!$A$4:$C$500,3,0)</f>
        <v>T-1036</v>
      </c>
      <c r="Y1079" s="93" t="str">
        <f>+VLOOKUP(Agencia[[#This Row],[contenido]],Estructura!$E$4:$G$500,3,0)</f>
        <v>C-1013</v>
      </c>
      <c r="Z1079" s="93" t="str">
        <f>+VLOOKUP(Agencia[[#This Row],[Filtro Integrado]],Estructura!$I$4:$K$500,3,0)</f>
        <v>FI-998</v>
      </c>
      <c r="AA1079" s="93" t="str">
        <f>+VLOOKUP(Agencia[[#This Row],[Muestra]],Estructura!$M$4:$O$500,3,0)</f>
        <v>M-1079</v>
      </c>
    </row>
    <row r="1080" spans="1:27" ht="71.400000000000006" x14ac:dyDescent="0.3">
      <c r="A1080" s="21" t="s">
        <v>1800</v>
      </c>
      <c r="B1080" s="23">
        <v>990</v>
      </c>
      <c r="C1080" s="24" t="s">
        <v>400</v>
      </c>
      <c r="D1080" s="67" t="s">
        <v>568</v>
      </c>
      <c r="E1080" s="19">
        <v>9</v>
      </c>
      <c r="F1080" s="10" t="s">
        <v>1914</v>
      </c>
      <c r="G1080" s="10" t="s">
        <v>1914</v>
      </c>
      <c r="H1080" s="33" t="s">
        <v>16</v>
      </c>
      <c r="I1080" s="34" t="s">
        <v>376</v>
      </c>
      <c r="J1080" s="9" t="s">
        <v>1474</v>
      </c>
      <c r="K1080" s="142" t="s">
        <v>1914</v>
      </c>
      <c r="L1080" s="9" t="s">
        <v>596</v>
      </c>
      <c r="M1080" s="9" t="s">
        <v>1915</v>
      </c>
      <c r="N1080" s="9" t="s">
        <v>848</v>
      </c>
      <c r="O1080" s="20" t="s">
        <v>2384</v>
      </c>
      <c r="P1080" s="112" t="s">
        <v>6361</v>
      </c>
      <c r="Q1080" s="11" t="s">
        <v>1934</v>
      </c>
      <c r="R1080"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La Araucanía,regional,establecimientos,tipo,hospitales,clínicas,cesfam,sapu,postas,laboratorios,dentales,clínicos,alta,baja,media,complejidad,diálisis,vacunatorios,consultorio,Agencia Información,Salud,Establecimientos de Salud,Establecimientos de Salud</v>
      </c>
      <c r="S1080" s="37" t="s">
        <v>2385</v>
      </c>
      <c r="T1080" s="114" t="s">
        <v>1849</v>
      </c>
      <c r="U1080" s="95" t="s">
        <v>398</v>
      </c>
      <c r="V1080" s="93" t="str">
        <f>+Agencia[[#This Row],[idcoleccion]]&amp;"-"&amp;Agencia[[#This Row],[id]]</f>
        <v>990-1069</v>
      </c>
      <c r="W1080" s="93">
        <f>+VLOOKUP(Agencia[[#This Row],[Filtro URL]],Estructura!$X$4:$Y$500,2,0)</f>
        <v>99200009</v>
      </c>
      <c r="X1080" s="93" t="str">
        <f>+VLOOKUP(Agencia[[#This Row],[tema]],Estructura!$A$4:$C$500,3,0)</f>
        <v>T-1036</v>
      </c>
      <c r="Y1080" s="93" t="str">
        <f>+VLOOKUP(Agencia[[#This Row],[contenido]],Estructura!$E$4:$G$500,3,0)</f>
        <v>C-1013</v>
      </c>
      <c r="Z1080" s="93" t="str">
        <f>+VLOOKUP(Agencia[[#This Row],[Filtro Integrado]],Estructura!$I$4:$K$500,3,0)</f>
        <v>FI-998</v>
      </c>
      <c r="AA1080" s="93" t="str">
        <f>+VLOOKUP(Agencia[[#This Row],[Muestra]],Estructura!$M$4:$O$500,3,0)</f>
        <v>M-1079</v>
      </c>
    </row>
    <row r="1081" spans="1:27" ht="71.400000000000006" x14ac:dyDescent="0.3">
      <c r="A1081" s="21" t="s">
        <v>1801</v>
      </c>
      <c r="B1081" s="23">
        <v>990</v>
      </c>
      <c r="C1081" s="24" t="s">
        <v>400</v>
      </c>
      <c r="D1081" s="67" t="s">
        <v>568</v>
      </c>
      <c r="E1081" s="19">
        <v>10</v>
      </c>
      <c r="F1081" s="10" t="s">
        <v>1914</v>
      </c>
      <c r="G1081" s="10" t="s">
        <v>1914</v>
      </c>
      <c r="H1081" s="33" t="s">
        <v>16</v>
      </c>
      <c r="I1081" s="34" t="s">
        <v>377</v>
      </c>
      <c r="J1081" s="9" t="s">
        <v>1474</v>
      </c>
      <c r="K1081" s="142" t="s">
        <v>1914</v>
      </c>
      <c r="L1081" s="9" t="s">
        <v>596</v>
      </c>
      <c r="M1081" s="9" t="s">
        <v>1915</v>
      </c>
      <c r="N1081" s="9" t="s">
        <v>848</v>
      </c>
      <c r="O1081" s="20" t="s">
        <v>2386</v>
      </c>
      <c r="P1081" s="112" t="s">
        <v>6362</v>
      </c>
      <c r="Q1081" s="11" t="s">
        <v>1934</v>
      </c>
      <c r="R1081"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Los Lagos,regional,establecimientos,tipo,hospitales,clínicas,cesfam,sapu,postas,laboratorios,dentales,clínicos,alta,baja,media,complejidad,diálisis,vacunatorios,consultorio,Agencia Información,Salud,Establecimientos de Salud,Establecimientos de Salud</v>
      </c>
      <c r="S1081" s="37" t="s">
        <v>2387</v>
      </c>
      <c r="T1081" s="114" t="s">
        <v>1850</v>
      </c>
      <c r="U1081" s="46" t="s">
        <v>398</v>
      </c>
      <c r="V1081" s="93" t="str">
        <f>+Agencia[[#This Row],[idcoleccion]]&amp;"-"&amp;Agencia[[#This Row],[id]]</f>
        <v>990-1070</v>
      </c>
      <c r="W1081" s="93">
        <f>+VLOOKUP(Agencia[[#This Row],[Filtro URL]],Estructura!$X$4:$Y$500,2,0)</f>
        <v>99200010</v>
      </c>
      <c r="X1081" s="93" t="str">
        <f>+VLOOKUP(Agencia[[#This Row],[tema]],Estructura!$A$4:$C$500,3,0)</f>
        <v>T-1036</v>
      </c>
      <c r="Y1081" s="93" t="str">
        <f>+VLOOKUP(Agencia[[#This Row],[contenido]],Estructura!$E$4:$G$500,3,0)</f>
        <v>C-1013</v>
      </c>
      <c r="Z1081" s="93" t="str">
        <f>+VLOOKUP(Agencia[[#This Row],[Filtro Integrado]],Estructura!$I$4:$K$500,3,0)</f>
        <v>FI-998</v>
      </c>
      <c r="AA1081" s="93" t="str">
        <f>+VLOOKUP(Agencia[[#This Row],[Muestra]],Estructura!$M$4:$O$500,3,0)</f>
        <v>M-1079</v>
      </c>
    </row>
    <row r="1082" spans="1:27" ht="71.400000000000006" x14ac:dyDescent="0.3">
      <c r="A1082" s="21" t="s">
        <v>1802</v>
      </c>
      <c r="B1082" s="23">
        <v>990</v>
      </c>
      <c r="C1082" s="24" t="s">
        <v>400</v>
      </c>
      <c r="D1082" s="67" t="s">
        <v>568</v>
      </c>
      <c r="E1082" s="19">
        <v>11</v>
      </c>
      <c r="F1082" s="10" t="s">
        <v>1914</v>
      </c>
      <c r="G1082" s="10" t="s">
        <v>1914</v>
      </c>
      <c r="H1082" s="33" t="s">
        <v>16</v>
      </c>
      <c r="I1082" s="34" t="s">
        <v>378</v>
      </c>
      <c r="J1082" s="9" t="s">
        <v>1474</v>
      </c>
      <c r="K1082" s="142" t="s">
        <v>1914</v>
      </c>
      <c r="L1082" s="9" t="s">
        <v>596</v>
      </c>
      <c r="M1082" s="9" t="s">
        <v>1915</v>
      </c>
      <c r="N1082" s="9" t="s">
        <v>848</v>
      </c>
      <c r="O1082" s="20" t="s">
        <v>2388</v>
      </c>
      <c r="P1082" s="112" t="s">
        <v>6363</v>
      </c>
      <c r="Q1082" s="11" t="s">
        <v>1934</v>
      </c>
      <c r="R1082"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Aysén,regional,establecimientos,tipo,hospitales,clínicas,cesfam,sapu,postas,laboratorios,dentales,clínicos,alta,baja,media,complejidad,diálisis,vacunatorios,consultorio,Agencia Información,Salud,Establecimientos de Salud,Establecimientos de Salud</v>
      </c>
      <c r="S1082" s="83" t="s">
        <v>2389</v>
      </c>
      <c r="T1082" s="114" t="s">
        <v>1847</v>
      </c>
      <c r="U1082" s="46" t="s">
        <v>398</v>
      </c>
      <c r="V1082" s="93" t="str">
        <f>+Agencia[[#This Row],[idcoleccion]]&amp;"-"&amp;Agencia[[#This Row],[id]]</f>
        <v>990-1071</v>
      </c>
      <c r="W1082" s="93">
        <f>+VLOOKUP(Agencia[[#This Row],[Filtro URL]],Estructura!$X$4:$Y$500,2,0)</f>
        <v>99200011</v>
      </c>
      <c r="X1082" s="93" t="str">
        <f>+VLOOKUP(Agencia[[#This Row],[tema]],Estructura!$A$4:$C$500,3,0)</f>
        <v>T-1036</v>
      </c>
      <c r="Y1082" s="93" t="str">
        <f>+VLOOKUP(Agencia[[#This Row],[contenido]],Estructura!$E$4:$G$500,3,0)</f>
        <v>C-1013</v>
      </c>
      <c r="Z1082" s="93" t="str">
        <f>+VLOOKUP(Agencia[[#This Row],[Filtro Integrado]],Estructura!$I$4:$K$500,3,0)</f>
        <v>FI-998</v>
      </c>
      <c r="AA1082" s="93" t="str">
        <f>+VLOOKUP(Agencia[[#This Row],[Muestra]],Estructura!$M$4:$O$500,3,0)</f>
        <v>M-1079</v>
      </c>
    </row>
    <row r="1083" spans="1:27" ht="71.400000000000006" x14ac:dyDescent="0.3">
      <c r="A1083" s="21" t="s">
        <v>1803</v>
      </c>
      <c r="B1083" s="23">
        <v>990</v>
      </c>
      <c r="C1083" s="24" t="s">
        <v>400</v>
      </c>
      <c r="D1083" s="67" t="s">
        <v>568</v>
      </c>
      <c r="E1083" s="19">
        <v>12</v>
      </c>
      <c r="F1083" s="10" t="s">
        <v>1914</v>
      </c>
      <c r="G1083" s="10" t="s">
        <v>1914</v>
      </c>
      <c r="H1083" s="33" t="s">
        <v>16</v>
      </c>
      <c r="I1083" s="34" t="s">
        <v>379</v>
      </c>
      <c r="J1083" s="9" t="s">
        <v>1474</v>
      </c>
      <c r="K1083" s="142" t="s">
        <v>1914</v>
      </c>
      <c r="L1083" s="9" t="s">
        <v>596</v>
      </c>
      <c r="M1083" s="9" t="s">
        <v>1915</v>
      </c>
      <c r="N1083" s="9" t="s">
        <v>848</v>
      </c>
      <c r="O1083" s="20" t="s">
        <v>2390</v>
      </c>
      <c r="P1083" s="112" t="s">
        <v>6364</v>
      </c>
      <c r="Q1083" s="11" t="s">
        <v>1934</v>
      </c>
      <c r="R1083"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Magallanes,regional,establecimientos,tipo,hospitales,clínicas,cesfam,sapu,postas,laboratorios,dentales,clínicos,alta,baja,media,complejidad,diálisis,vacunatorios,consultorio,Agencia Información,Salud,Establecimientos de Salud,Establecimientos de Salud</v>
      </c>
      <c r="S1083" s="37" t="s">
        <v>2391</v>
      </c>
      <c r="T1083" s="114" t="s">
        <v>1852</v>
      </c>
      <c r="U1083" s="95" t="s">
        <v>398</v>
      </c>
      <c r="V1083" s="93" t="str">
        <f>+Agencia[[#This Row],[idcoleccion]]&amp;"-"&amp;Agencia[[#This Row],[id]]</f>
        <v>990-1072</v>
      </c>
      <c r="W1083" s="93">
        <f>+VLOOKUP(Agencia[[#This Row],[Filtro URL]],Estructura!$X$4:$Y$500,2,0)</f>
        <v>99200012</v>
      </c>
      <c r="X1083" s="93" t="str">
        <f>+VLOOKUP(Agencia[[#This Row],[tema]],Estructura!$A$4:$C$500,3,0)</f>
        <v>T-1036</v>
      </c>
      <c r="Y1083" s="93" t="str">
        <f>+VLOOKUP(Agencia[[#This Row],[contenido]],Estructura!$E$4:$G$500,3,0)</f>
        <v>C-1013</v>
      </c>
      <c r="Z1083" s="93" t="str">
        <f>+VLOOKUP(Agencia[[#This Row],[Filtro Integrado]],Estructura!$I$4:$K$500,3,0)</f>
        <v>FI-998</v>
      </c>
      <c r="AA1083" s="93" t="str">
        <f>+VLOOKUP(Agencia[[#This Row],[Muestra]],Estructura!$M$4:$O$500,3,0)</f>
        <v>M-1079</v>
      </c>
    </row>
    <row r="1084" spans="1:27" ht="71.400000000000006" x14ac:dyDescent="0.3">
      <c r="A1084" s="21" t="s">
        <v>1804</v>
      </c>
      <c r="B1084" s="23">
        <v>990</v>
      </c>
      <c r="C1084" s="24" t="s">
        <v>400</v>
      </c>
      <c r="D1084" s="67" t="s">
        <v>568</v>
      </c>
      <c r="E1084" s="19">
        <v>13</v>
      </c>
      <c r="F1084" s="10" t="s">
        <v>1914</v>
      </c>
      <c r="G1084" s="10" t="s">
        <v>1914</v>
      </c>
      <c r="H1084" s="33" t="s">
        <v>16</v>
      </c>
      <c r="I1084" s="34" t="s">
        <v>380</v>
      </c>
      <c r="J1084" s="9" t="s">
        <v>1474</v>
      </c>
      <c r="K1084" s="142" t="s">
        <v>1914</v>
      </c>
      <c r="L1084" s="9" t="s">
        <v>596</v>
      </c>
      <c r="M1084" s="9" t="s">
        <v>1915</v>
      </c>
      <c r="N1084" s="9" t="s">
        <v>848</v>
      </c>
      <c r="O1084" s="20" t="s">
        <v>2392</v>
      </c>
      <c r="P1084" s="112" t="s">
        <v>6365</v>
      </c>
      <c r="Q1084" s="11" t="s">
        <v>1934</v>
      </c>
      <c r="R1084"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Metropolitana,regional,establecimientos,tipo,hospitales,clínicas,cesfam,sapu,postas,laboratorios,dentales,clínicos,alta,baja,media,complejidad,diálisis,vacunatorios,consultorio,Agencia Información,Salud,Establecimientos de Salud,Establecimientos de Salud</v>
      </c>
      <c r="S1084" s="83" t="s">
        <v>2393</v>
      </c>
      <c r="T1084" s="114" t="s">
        <v>1859</v>
      </c>
      <c r="U1084" s="46" t="s">
        <v>398</v>
      </c>
      <c r="V1084" s="93" t="str">
        <f>+Agencia[[#This Row],[idcoleccion]]&amp;"-"&amp;Agencia[[#This Row],[id]]</f>
        <v>990-1073</v>
      </c>
      <c r="W1084" s="93">
        <f>+VLOOKUP(Agencia[[#This Row],[Filtro URL]],Estructura!$X$4:$Y$500,2,0)</f>
        <v>99200013</v>
      </c>
      <c r="X1084" s="93" t="str">
        <f>+VLOOKUP(Agencia[[#This Row],[tema]],Estructura!$A$4:$C$500,3,0)</f>
        <v>T-1036</v>
      </c>
      <c r="Y1084" s="93" t="str">
        <f>+VLOOKUP(Agencia[[#This Row],[contenido]],Estructura!$E$4:$G$500,3,0)</f>
        <v>C-1013</v>
      </c>
      <c r="Z1084" s="93" t="str">
        <f>+VLOOKUP(Agencia[[#This Row],[Filtro Integrado]],Estructura!$I$4:$K$500,3,0)</f>
        <v>FI-998</v>
      </c>
      <c r="AA1084" s="93" t="str">
        <f>+VLOOKUP(Agencia[[#This Row],[Muestra]],Estructura!$M$4:$O$500,3,0)</f>
        <v>M-1079</v>
      </c>
    </row>
    <row r="1085" spans="1:27" ht="71.400000000000006" x14ac:dyDescent="0.3">
      <c r="A1085" s="21" t="s">
        <v>1805</v>
      </c>
      <c r="B1085" s="23">
        <v>990</v>
      </c>
      <c r="C1085" s="24" t="s">
        <v>400</v>
      </c>
      <c r="D1085" s="67" t="s">
        <v>568</v>
      </c>
      <c r="E1085" s="19">
        <v>14</v>
      </c>
      <c r="F1085" s="10" t="s">
        <v>1914</v>
      </c>
      <c r="G1085" s="10" t="s">
        <v>1914</v>
      </c>
      <c r="H1085" s="33" t="s">
        <v>16</v>
      </c>
      <c r="I1085" s="34" t="s">
        <v>381</v>
      </c>
      <c r="J1085" s="9" t="s">
        <v>1474</v>
      </c>
      <c r="K1085" s="142" t="s">
        <v>1914</v>
      </c>
      <c r="L1085" s="9" t="s">
        <v>596</v>
      </c>
      <c r="M1085" s="9" t="s">
        <v>1915</v>
      </c>
      <c r="N1085" s="9" t="s">
        <v>848</v>
      </c>
      <c r="O1085" s="20" t="s">
        <v>2394</v>
      </c>
      <c r="P1085" s="112" t="s">
        <v>6366</v>
      </c>
      <c r="Q1085" s="11" t="s">
        <v>1934</v>
      </c>
      <c r="R1085"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Los Ríos,regional,establecimientos,tipo,hospitales,clínicas,cesfam,sapu,postas,laboratorios,dentales,clínicos,alta,baja,media,complejidad,diálisis,vacunatorios,consultorio,Agencia Información,Salud,Establecimientos de Salud,Establecimientos de Salud</v>
      </c>
      <c r="S1085" s="37" t="s">
        <v>2395</v>
      </c>
      <c r="T1085" s="114" t="s">
        <v>1851</v>
      </c>
      <c r="U1085" s="46" t="s">
        <v>398</v>
      </c>
      <c r="V1085" s="93" t="str">
        <f>+Agencia[[#This Row],[idcoleccion]]&amp;"-"&amp;Agencia[[#This Row],[id]]</f>
        <v>990-1074</v>
      </c>
      <c r="W1085" s="93">
        <f>+VLOOKUP(Agencia[[#This Row],[Filtro URL]],Estructura!$X$4:$Y$500,2,0)</f>
        <v>99200014</v>
      </c>
      <c r="X1085" s="93" t="str">
        <f>+VLOOKUP(Agencia[[#This Row],[tema]],Estructura!$A$4:$C$500,3,0)</f>
        <v>T-1036</v>
      </c>
      <c r="Y1085" s="93" t="str">
        <f>+VLOOKUP(Agencia[[#This Row],[contenido]],Estructura!$E$4:$G$500,3,0)</f>
        <v>C-1013</v>
      </c>
      <c r="Z1085" s="93" t="str">
        <f>+VLOOKUP(Agencia[[#This Row],[Filtro Integrado]],Estructura!$I$4:$K$500,3,0)</f>
        <v>FI-998</v>
      </c>
      <c r="AA1085" s="93" t="str">
        <f>+VLOOKUP(Agencia[[#This Row],[Muestra]],Estructura!$M$4:$O$500,3,0)</f>
        <v>M-1079</v>
      </c>
    </row>
    <row r="1086" spans="1:27" ht="71.400000000000006" x14ac:dyDescent="0.3">
      <c r="A1086" s="21" t="s">
        <v>1806</v>
      </c>
      <c r="B1086" s="23">
        <v>990</v>
      </c>
      <c r="C1086" s="24" t="s">
        <v>400</v>
      </c>
      <c r="D1086" s="67" t="s">
        <v>568</v>
      </c>
      <c r="E1086" s="19">
        <v>15</v>
      </c>
      <c r="F1086" s="10" t="s">
        <v>1914</v>
      </c>
      <c r="G1086" s="10" t="s">
        <v>1914</v>
      </c>
      <c r="H1086" s="33" t="s">
        <v>16</v>
      </c>
      <c r="I1086" s="34" t="s">
        <v>382</v>
      </c>
      <c r="J1086" s="9" t="s">
        <v>1474</v>
      </c>
      <c r="K1086" s="142" t="s">
        <v>1914</v>
      </c>
      <c r="L1086" s="9" t="s">
        <v>596</v>
      </c>
      <c r="M1086" s="9" t="s">
        <v>1915</v>
      </c>
      <c r="N1086" s="9" t="s">
        <v>848</v>
      </c>
      <c r="O1086" s="20" t="s">
        <v>2396</v>
      </c>
      <c r="P1086" s="112" t="s">
        <v>6367</v>
      </c>
      <c r="Q1086" s="11" t="s">
        <v>1934</v>
      </c>
      <c r="R1086"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Arica y Parinacota,regional,establecimientos,tipo,hospitales,clínicas,cesfam,sapu,postas,laboratorios,dentales,clínicos,alta,baja,media,complejidad,diálisis,vacunatorios,consultorio,Agencia Información,Salud,Establecimientos de Salud,Establecimientos de Salud</v>
      </c>
      <c r="S1086" s="37" t="s">
        <v>2397</v>
      </c>
      <c r="T1086" s="114" t="s">
        <v>1845</v>
      </c>
      <c r="U1086" s="95" t="s">
        <v>398</v>
      </c>
      <c r="V1086" s="93" t="str">
        <f>+Agencia[[#This Row],[idcoleccion]]&amp;"-"&amp;Agencia[[#This Row],[id]]</f>
        <v>990-1075</v>
      </c>
      <c r="W1086" s="93">
        <f>+VLOOKUP(Agencia[[#This Row],[Filtro URL]],Estructura!$X$4:$Y$500,2,0)</f>
        <v>99200015</v>
      </c>
      <c r="X1086" s="93" t="str">
        <f>+VLOOKUP(Agencia[[#This Row],[tema]],Estructura!$A$4:$C$500,3,0)</f>
        <v>T-1036</v>
      </c>
      <c r="Y1086" s="93" t="str">
        <f>+VLOOKUP(Agencia[[#This Row],[contenido]],Estructura!$E$4:$G$500,3,0)</f>
        <v>C-1013</v>
      </c>
      <c r="Z1086" s="93" t="str">
        <f>+VLOOKUP(Agencia[[#This Row],[Filtro Integrado]],Estructura!$I$4:$K$500,3,0)</f>
        <v>FI-998</v>
      </c>
      <c r="AA1086" s="93" t="str">
        <f>+VLOOKUP(Agencia[[#This Row],[Muestra]],Estructura!$M$4:$O$500,3,0)</f>
        <v>M-1079</v>
      </c>
    </row>
    <row r="1087" spans="1:27" ht="71.400000000000006" x14ac:dyDescent="0.3">
      <c r="A1087" s="21" t="s">
        <v>1807</v>
      </c>
      <c r="B1087" s="23">
        <v>990</v>
      </c>
      <c r="C1087" s="24" t="s">
        <v>400</v>
      </c>
      <c r="D1087" s="67" t="s">
        <v>568</v>
      </c>
      <c r="E1087" s="19">
        <v>16</v>
      </c>
      <c r="F1087" s="10" t="s">
        <v>1914</v>
      </c>
      <c r="G1087" s="10" t="s">
        <v>1914</v>
      </c>
      <c r="H1087" s="33" t="s">
        <v>16</v>
      </c>
      <c r="I1087" s="34" t="s">
        <v>383</v>
      </c>
      <c r="J1087" s="9" t="s">
        <v>1474</v>
      </c>
      <c r="K1087" s="142" t="s">
        <v>1914</v>
      </c>
      <c r="L1087" s="9" t="s">
        <v>596</v>
      </c>
      <c r="M1087" s="9" t="s">
        <v>1915</v>
      </c>
      <c r="N1087" s="9" t="s">
        <v>848</v>
      </c>
      <c r="O1087" s="20" t="s">
        <v>2705</v>
      </c>
      <c r="P1087" s="112" t="s">
        <v>6368</v>
      </c>
      <c r="Q1087" s="11" t="s">
        <v>1934</v>
      </c>
      <c r="R1087" s="148" t="str">
        <f>Agencia[[#This Row],[territorio]]&amp;",regional,establecimientos,tipo,hospitales,clínicas,cesfam,sapu,postas,laboratorios,dentales,clínicos,alta,baja,media,complejidad,diálisis,vacunatorios,consultorio,"&amp;Agencia[[#This Row],[coleccion]]&amp;","&amp;Agencia[[#This Row],[sector]]&amp;","&amp;Agencia[[#This Row],[tema]]&amp;","&amp;Agencia[[#This Row],[contenido]]</f>
        <v>Región de Ñuble,regional,establecimientos,tipo,hospitales,clínicas,cesfam,sapu,postas,laboratorios,dentales,clínicos,alta,baja,media,complejidad,diálisis,vacunatorios,consultorio,Agencia Información,Salud,Establecimientos de Salud,Establecimientos de Salud</v>
      </c>
      <c r="S1087" s="37" t="s">
        <v>2706</v>
      </c>
      <c r="T1087" s="114" t="s">
        <v>1854</v>
      </c>
      <c r="U1087" s="46" t="s">
        <v>398</v>
      </c>
      <c r="V1087" s="93" t="str">
        <f>+Agencia[[#This Row],[idcoleccion]]&amp;"-"&amp;Agencia[[#This Row],[id]]</f>
        <v>990-1076</v>
      </c>
      <c r="W1087" s="93">
        <f>+VLOOKUP(Agencia[[#This Row],[Filtro URL]],Estructura!$X$4:$Y$500,2,0)</f>
        <v>99200016</v>
      </c>
      <c r="X1087" s="93" t="str">
        <f>+VLOOKUP(Agencia[[#This Row],[tema]],Estructura!$A$4:$C$500,3,0)</f>
        <v>T-1036</v>
      </c>
      <c r="Y1087" s="93" t="str">
        <f>+VLOOKUP(Agencia[[#This Row],[contenido]],Estructura!$E$4:$G$500,3,0)</f>
        <v>C-1013</v>
      </c>
      <c r="Z1087" s="93" t="str">
        <f>+VLOOKUP(Agencia[[#This Row],[Filtro Integrado]],Estructura!$I$4:$K$500,3,0)</f>
        <v>FI-998</v>
      </c>
      <c r="AA1087" s="93" t="str">
        <f>+VLOOKUP(Agencia[[#This Row],[Muestra]],Estructura!$M$4:$O$500,3,0)</f>
        <v>M-1079</v>
      </c>
    </row>
    <row r="1088" spans="1:27" ht="51" x14ac:dyDescent="0.3">
      <c r="A1088" s="21" t="s">
        <v>1808</v>
      </c>
      <c r="B1088" s="23">
        <v>990</v>
      </c>
      <c r="C1088" s="24" t="s">
        <v>400</v>
      </c>
      <c r="D1088" s="67" t="s">
        <v>568</v>
      </c>
      <c r="E1088" s="14">
        <v>0</v>
      </c>
      <c r="F1088" s="10" t="s">
        <v>1914</v>
      </c>
      <c r="G1088" s="10" t="s">
        <v>1914</v>
      </c>
      <c r="H1088" s="31" t="s">
        <v>20</v>
      </c>
      <c r="I1088" s="32" t="s">
        <v>15</v>
      </c>
      <c r="J1088" s="9" t="s">
        <v>16</v>
      </c>
      <c r="K1088" s="142" t="s">
        <v>1914</v>
      </c>
      <c r="L1088" s="9" t="s">
        <v>596</v>
      </c>
      <c r="M1088" s="9" t="s">
        <v>1915</v>
      </c>
      <c r="N1088" s="9" t="s">
        <v>848</v>
      </c>
      <c r="O1088" s="20" t="s">
        <v>2707</v>
      </c>
      <c r="P1088" s="112" t="s">
        <v>6369</v>
      </c>
      <c r="Q1088" s="11" t="s">
        <v>576</v>
      </c>
      <c r="R1088" s="20" t="str">
        <f>Agencia[[#This Row],[territorio]]&amp;",nacional,región,establecimientos,tipo,proporción,privados,públicos,"&amp;Agencia[[#This Row],[coleccion]]&amp;","&amp;Agencia[[#This Row],[sector]]&amp;","&amp;Agencia[[#This Row],[tema]]&amp;","&amp;Agencia[[#This Row],[contenido]]</f>
        <v>Chile,nacional,región,establecimientos,tipo,proporción,privados,públicos,Agencia Información,Salud,Establecimientos de Salud,Establecimientos de Salud</v>
      </c>
      <c r="S1088" s="83" t="s">
        <v>1953</v>
      </c>
      <c r="T1088" s="114" t="s">
        <v>805</v>
      </c>
      <c r="U1088" s="46" t="s">
        <v>398</v>
      </c>
      <c r="V1088" s="93" t="str">
        <f>+Agencia[[#This Row],[idcoleccion]]&amp;"-"&amp;Agencia[[#This Row],[id]]</f>
        <v>990-1077</v>
      </c>
      <c r="W1088" s="93">
        <f>+VLOOKUP(Agencia[[#This Row],[Filtro URL]],Estructura!$X$4:$Y$500,2,0)</f>
        <v>99100000</v>
      </c>
      <c r="X1088" s="93" t="str">
        <f>+VLOOKUP(Agencia[[#This Row],[tema]],Estructura!$A$4:$C$500,3,0)</f>
        <v>T-1036</v>
      </c>
      <c r="Y1088" s="93" t="str">
        <f>+VLOOKUP(Agencia[[#This Row],[contenido]],Estructura!$E$4:$G$500,3,0)</f>
        <v>C-1013</v>
      </c>
      <c r="Z1088" s="93" t="str">
        <f>+VLOOKUP(Agencia[[#This Row],[Filtro Integrado]],Estructura!$I$4:$K$500,3,0)</f>
        <v>FI-992</v>
      </c>
      <c r="AA1088" s="93" t="str">
        <f>+VLOOKUP(Agencia[[#This Row],[Muestra]],Estructura!$M$4:$O$500,3,0)</f>
        <v>M-1079</v>
      </c>
    </row>
    <row r="1089" spans="1:27" ht="57.6" x14ac:dyDescent="0.3">
      <c r="A1089" s="21" t="s">
        <v>1809</v>
      </c>
      <c r="B1089" s="23">
        <v>990</v>
      </c>
      <c r="C1089" s="24" t="s">
        <v>400</v>
      </c>
      <c r="D1089" s="67" t="s">
        <v>568</v>
      </c>
      <c r="E1089" s="19">
        <v>1</v>
      </c>
      <c r="F1089" s="10" t="s">
        <v>1914</v>
      </c>
      <c r="G1089" s="10" t="s">
        <v>1914</v>
      </c>
      <c r="H1089" s="33" t="s">
        <v>16</v>
      </c>
      <c r="I1089" s="34" t="s">
        <v>368</v>
      </c>
      <c r="J1089" s="9" t="s">
        <v>403</v>
      </c>
      <c r="K1089" s="142" t="s">
        <v>1914</v>
      </c>
      <c r="L1089" s="9" t="s">
        <v>596</v>
      </c>
      <c r="M1089" s="9" t="s">
        <v>1915</v>
      </c>
      <c r="N1089" s="9" t="s">
        <v>848</v>
      </c>
      <c r="O1089" s="20" t="s">
        <v>2708</v>
      </c>
      <c r="P1089" s="112" t="s">
        <v>6370</v>
      </c>
      <c r="Q1089" s="11" t="s">
        <v>576</v>
      </c>
      <c r="R1089" s="148" t="str">
        <f>Agencia[[#This Row],[territorio]]&amp;",regional,establecimientos,tipo,proporción,privados,públicos,"&amp;Agencia[[#This Row],[coleccion]]&amp;","&amp;Agencia[[#This Row],[sector]]&amp;","&amp;Agencia[[#This Row],[tema]]&amp;","&amp;Agencia[[#This Row],[contenido]]</f>
        <v>Región de Tarapacá,regional,establecimientos,tipo,proporción,privados,públicos,Agencia Información,Salud,Establecimientos de Salud,Establecimientos de Salud</v>
      </c>
      <c r="S1089" s="83" t="s">
        <v>2398</v>
      </c>
      <c r="T1089" s="114" t="s">
        <v>1872</v>
      </c>
      <c r="U1089" s="95" t="s">
        <v>398</v>
      </c>
      <c r="V1089" s="93" t="str">
        <f>+Agencia[[#This Row],[idcoleccion]]&amp;"-"&amp;Agencia[[#This Row],[id]]</f>
        <v>990-1078</v>
      </c>
      <c r="W1089" s="93">
        <f>+VLOOKUP(Agencia[[#This Row],[Filtro URL]],Estructura!$X$4:$Y$500,2,0)</f>
        <v>99200001</v>
      </c>
      <c r="X1089" s="93" t="str">
        <f>+VLOOKUP(Agencia[[#This Row],[tema]],Estructura!$A$4:$C$500,3,0)</f>
        <v>T-1036</v>
      </c>
      <c r="Y1089" s="93" t="str">
        <f>+VLOOKUP(Agencia[[#This Row],[contenido]],Estructura!$E$4:$G$500,3,0)</f>
        <v>C-1013</v>
      </c>
      <c r="Z1089" s="93" t="str">
        <f>+VLOOKUP(Agencia[[#This Row],[Filtro Integrado]],Estructura!$I$4:$K$500,3,0)</f>
        <v>FI-993</v>
      </c>
      <c r="AA1089" s="93" t="str">
        <f>+VLOOKUP(Agencia[[#This Row],[Muestra]],Estructura!$M$4:$O$500,3,0)</f>
        <v>M-1079</v>
      </c>
    </row>
    <row r="1090" spans="1:27" ht="57.6" x14ac:dyDescent="0.3">
      <c r="A1090" s="21" t="s">
        <v>1810</v>
      </c>
      <c r="B1090" s="23">
        <v>990</v>
      </c>
      <c r="C1090" s="24" t="s">
        <v>400</v>
      </c>
      <c r="D1090" s="67" t="s">
        <v>568</v>
      </c>
      <c r="E1090" s="19">
        <v>2</v>
      </c>
      <c r="F1090" s="10" t="s">
        <v>1914</v>
      </c>
      <c r="G1090" s="10" t="s">
        <v>1914</v>
      </c>
      <c r="H1090" s="33" t="s">
        <v>16</v>
      </c>
      <c r="I1090" s="34" t="s">
        <v>369</v>
      </c>
      <c r="J1090" s="9" t="s">
        <v>403</v>
      </c>
      <c r="K1090" s="142" t="s">
        <v>1914</v>
      </c>
      <c r="L1090" s="9" t="s">
        <v>596</v>
      </c>
      <c r="M1090" s="9" t="s">
        <v>1915</v>
      </c>
      <c r="N1090" s="9" t="s">
        <v>848</v>
      </c>
      <c r="O1090" s="20" t="s">
        <v>2709</v>
      </c>
      <c r="P1090" s="112" t="s">
        <v>6371</v>
      </c>
      <c r="Q1090" s="11" t="s">
        <v>576</v>
      </c>
      <c r="R1090" s="148" t="str">
        <f>Agencia[[#This Row],[territorio]]&amp;",regional,establecimientos,tipo,proporción,privados,públicos,"&amp;Agencia[[#This Row],[coleccion]]&amp;","&amp;Agencia[[#This Row],[sector]]&amp;","&amp;Agencia[[#This Row],[tema]]&amp;","&amp;Agencia[[#This Row],[contenido]]</f>
        <v>Región de Antofagasta,regional,establecimientos,tipo,proporción,privados,públicos,Agencia Información,Salud,Establecimientos de Salud,Establecimientos de Salud</v>
      </c>
      <c r="S1090" s="37" t="s">
        <v>2399</v>
      </c>
      <c r="T1090" s="114" t="s">
        <v>1860</v>
      </c>
      <c r="U1090" s="46" t="s">
        <v>398</v>
      </c>
      <c r="V1090" s="93" t="str">
        <f>+Agencia[[#This Row],[idcoleccion]]&amp;"-"&amp;Agencia[[#This Row],[id]]</f>
        <v>990-1079</v>
      </c>
      <c r="W1090" s="93">
        <f>+VLOOKUP(Agencia[[#This Row],[Filtro URL]],Estructura!$X$4:$Y$500,2,0)</f>
        <v>99200002</v>
      </c>
      <c r="X1090" s="93" t="str">
        <f>+VLOOKUP(Agencia[[#This Row],[tema]],Estructura!$A$4:$C$500,3,0)</f>
        <v>T-1036</v>
      </c>
      <c r="Y1090" s="93" t="str">
        <f>+VLOOKUP(Agencia[[#This Row],[contenido]],Estructura!$E$4:$G$500,3,0)</f>
        <v>C-1013</v>
      </c>
      <c r="Z1090" s="93" t="str">
        <f>+VLOOKUP(Agencia[[#This Row],[Filtro Integrado]],Estructura!$I$4:$K$500,3,0)</f>
        <v>FI-993</v>
      </c>
      <c r="AA1090" s="93" t="str">
        <f>+VLOOKUP(Agencia[[#This Row],[Muestra]],Estructura!$M$4:$O$500,3,0)</f>
        <v>M-1079</v>
      </c>
    </row>
    <row r="1091" spans="1:27" ht="57.6" x14ac:dyDescent="0.3">
      <c r="A1091" s="21" t="s">
        <v>1811</v>
      </c>
      <c r="B1091" s="23">
        <v>990</v>
      </c>
      <c r="C1091" s="24" t="s">
        <v>400</v>
      </c>
      <c r="D1091" s="67" t="s">
        <v>568</v>
      </c>
      <c r="E1091" s="19">
        <v>3</v>
      </c>
      <c r="F1091" s="10" t="s">
        <v>1914</v>
      </c>
      <c r="G1091" s="10" t="s">
        <v>1914</v>
      </c>
      <c r="H1091" s="33" t="s">
        <v>16</v>
      </c>
      <c r="I1091" s="34" t="s">
        <v>370</v>
      </c>
      <c r="J1091" s="9" t="s">
        <v>403</v>
      </c>
      <c r="K1091" s="142" t="s">
        <v>1914</v>
      </c>
      <c r="L1091" s="9" t="s">
        <v>596</v>
      </c>
      <c r="M1091" s="9" t="s">
        <v>1915</v>
      </c>
      <c r="N1091" s="9" t="s">
        <v>848</v>
      </c>
      <c r="O1091" s="20" t="s">
        <v>2710</v>
      </c>
      <c r="P1091" s="112" t="s">
        <v>6382</v>
      </c>
      <c r="Q1091" s="11" t="s">
        <v>576</v>
      </c>
      <c r="R1091" s="148" t="str">
        <f>Agencia[[#This Row],[territorio]]&amp;",regional,establecimientos,tipo,proporción,privados,públicos,"&amp;Agencia[[#This Row],[coleccion]]&amp;","&amp;Agencia[[#This Row],[sector]]&amp;","&amp;Agencia[[#This Row],[tema]]&amp;","&amp;Agencia[[#This Row],[contenido]]</f>
        <v>Región de Atacama,regional,establecimientos,tipo,proporción,privados,públicos,Agencia Información,Salud,Establecimientos de Salud,Establecimientos de Salud</v>
      </c>
      <c r="S1091" s="37" t="s">
        <v>2400</v>
      </c>
      <c r="T1091" s="114" t="s">
        <v>1862</v>
      </c>
      <c r="U1091" s="46" t="s">
        <v>398</v>
      </c>
      <c r="V1091" s="93" t="str">
        <f>+Agencia[[#This Row],[idcoleccion]]&amp;"-"&amp;Agencia[[#This Row],[id]]</f>
        <v>990-1080</v>
      </c>
      <c r="W1091" s="93">
        <f>+VLOOKUP(Agencia[[#This Row],[Filtro URL]],Estructura!$X$4:$Y$500,2,0)</f>
        <v>99200003</v>
      </c>
      <c r="X1091" s="93" t="str">
        <f>+VLOOKUP(Agencia[[#This Row],[tema]],Estructura!$A$4:$C$500,3,0)</f>
        <v>T-1036</v>
      </c>
      <c r="Y1091" s="93" t="str">
        <f>+VLOOKUP(Agencia[[#This Row],[contenido]],Estructura!$E$4:$G$500,3,0)</f>
        <v>C-1013</v>
      </c>
      <c r="Z1091" s="93" t="str">
        <f>+VLOOKUP(Agencia[[#This Row],[Filtro Integrado]],Estructura!$I$4:$K$500,3,0)</f>
        <v>FI-993</v>
      </c>
      <c r="AA1091" s="93" t="str">
        <f>+VLOOKUP(Agencia[[#This Row],[Muestra]],Estructura!$M$4:$O$500,3,0)</f>
        <v>M-1079</v>
      </c>
    </row>
    <row r="1092" spans="1:27" ht="57.6" x14ac:dyDescent="0.3">
      <c r="A1092" s="21" t="s">
        <v>1812</v>
      </c>
      <c r="B1092" s="23">
        <v>990</v>
      </c>
      <c r="C1092" s="24" t="s">
        <v>400</v>
      </c>
      <c r="D1092" s="67" t="s">
        <v>568</v>
      </c>
      <c r="E1092" s="19">
        <v>4</v>
      </c>
      <c r="F1092" s="10" t="s">
        <v>1914</v>
      </c>
      <c r="G1092" s="10" t="s">
        <v>1914</v>
      </c>
      <c r="H1092" s="33" t="s">
        <v>16</v>
      </c>
      <c r="I1092" s="34" t="s">
        <v>371</v>
      </c>
      <c r="J1092" s="9" t="s">
        <v>403</v>
      </c>
      <c r="K1092" s="142" t="s">
        <v>1914</v>
      </c>
      <c r="L1092" s="9" t="s">
        <v>596</v>
      </c>
      <c r="M1092" s="9" t="s">
        <v>1915</v>
      </c>
      <c r="N1092" s="9" t="s">
        <v>848</v>
      </c>
      <c r="O1092" s="20" t="s">
        <v>2711</v>
      </c>
      <c r="P1092" s="112" t="s">
        <v>6372</v>
      </c>
      <c r="Q1092" s="11" t="s">
        <v>576</v>
      </c>
      <c r="R1092" s="148" t="str">
        <f>Agencia[[#This Row],[territorio]]&amp;",regional,establecimientos,tipo,proporción,privados,públicos,"&amp;Agencia[[#This Row],[coleccion]]&amp;","&amp;Agencia[[#This Row],[sector]]&amp;","&amp;Agencia[[#This Row],[tema]]&amp;","&amp;Agencia[[#This Row],[contenido]]</f>
        <v>Región de Coquimbo,regional,establecimientos,tipo,proporción,privados,públicos,Agencia Información,Salud,Establecimientos de Salud,Establecimientos de Salud</v>
      </c>
      <c r="S1092" s="37" t="s">
        <v>2401</v>
      </c>
      <c r="T1092" s="114" t="s">
        <v>1864</v>
      </c>
      <c r="U1092" s="95" t="s">
        <v>398</v>
      </c>
      <c r="V1092" s="93" t="str">
        <f>+Agencia[[#This Row],[idcoleccion]]&amp;"-"&amp;Agencia[[#This Row],[id]]</f>
        <v>990-1081</v>
      </c>
      <c r="W1092" s="93">
        <f>+VLOOKUP(Agencia[[#This Row],[Filtro URL]],Estructura!$X$4:$Y$500,2,0)</f>
        <v>99200004</v>
      </c>
      <c r="X1092" s="93" t="str">
        <f>+VLOOKUP(Agencia[[#This Row],[tema]],Estructura!$A$4:$C$500,3,0)</f>
        <v>T-1036</v>
      </c>
      <c r="Y1092" s="93" t="str">
        <f>+VLOOKUP(Agencia[[#This Row],[contenido]],Estructura!$E$4:$G$500,3,0)</f>
        <v>C-1013</v>
      </c>
      <c r="Z1092" s="93" t="str">
        <f>+VLOOKUP(Agencia[[#This Row],[Filtro Integrado]],Estructura!$I$4:$K$500,3,0)</f>
        <v>FI-993</v>
      </c>
      <c r="AA1092" s="93" t="str">
        <f>+VLOOKUP(Agencia[[#This Row],[Muestra]],Estructura!$M$4:$O$500,3,0)</f>
        <v>M-1079</v>
      </c>
    </row>
    <row r="1093" spans="1:27" ht="57.6" x14ac:dyDescent="0.3">
      <c r="A1093" s="21" t="s">
        <v>1813</v>
      </c>
      <c r="B1093" s="23">
        <v>990</v>
      </c>
      <c r="C1093" s="24" t="s">
        <v>400</v>
      </c>
      <c r="D1093" s="67" t="s">
        <v>568</v>
      </c>
      <c r="E1093" s="19">
        <v>5</v>
      </c>
      <c r="F1093" s="10" t="s">
        <v>1914</v>
      </c>
      <c r="G1093" s="10" t="s">
        <v>1914</v>
      </c>
      <c r="H1093" s="33" t="s">
        <v>16</v>
      </c>
      <c r="I1093" s="34" t="s">
        <v>372</v>
      </c>
      <c r="J1093" s="9" t="s">
        <v>403</v>
      </c>
      <c r="K1093" s="142" t="s">
        <v>1914</v>
      </c>
      <c r="L1093" s="9" t="s">
        <v>596</v>
      </c>
      <c r="M1093" s="9" t="s">
        <v>1915</v>
      </c>
      <c r="N1093" s="9" t="s">
        <v>848</v>
      </c>
      <c r="O1093" s="20" t="s">
        <v>2712</v>
      </c>
      <c r="P1093" s="112" t="s">
        <v>6373</v>
      </c>
      <c r="Q1093" s="11" t="s">
        <v>576</v>
      </c>
      <c r="R1093" s="148" t="str">
        <f>Agencia[[#This Row],[territorio]]&amp;",regional,establecimientos,tipo,proporción,privados,públicos,"&amp;Agencia[[#This Row],[coleccion]]&amp;","&amp;Agencia[[#This Row],[sector]]&amp;","&amp;Agencia[[#This Row],[tema]]&amp;","&amp;Agencia[[#This Row],[contenido]]</f>
        <v>Región de Valparaíso,regional,establecimientos,tipo,proporción,privados,públicos,Agencia Información,Salud,Establecimientos de Salud,Establecimientos de Salud</v>
      </c>
      <c r="S1093" s="37" t="s">
        <v>2402</v>
      </c>
      <c r="T1093" s="114" t="s">
        <v>1873</v>
      </c>
      <c r="U1093" s="46" t="s">
        <v>398</v>
      </c>
      <c r="V1093" s="93" t="str">
        <f>+Agencia[[#This Row],[idcoleccion]]&amp;"-"&amp;Agencia[[#This Row],[id]]</f>
        <v>990-1082</v>
      </c>
      <c r="W1093" s="93">
        <f>+VLOOKUP(Agencia[[#This Row],[Filtro URL]],Estructura!$X$4:$Y$500,2,0)</f>
        <v>99200005</v>
      </c>
      <c r="X1093" s="93" t="str">
        <f>+VLOOKUP(Agencia[[#This Row],[tema]],Estructura!$A$4:$C$500,3,0)</f>
        <v>T-1036</v>
      </c>
      <c r="Y1093" s="93" t="str">
        <f>+VLOOKUP(Agencia[[#This Row],[contenido]],Estructura!$E$4:$G$500,3,0)</f>
        <v>C-1013</v>
      </c>
      <c r="Z1093" s="93" t="str">
        <f>+VLOOKUP(Agencia[[#This Row],[Filtro Integrado]],Estructura!$I$4:$K$500,3,0)</f>
        <v>FI-993</v>
      </c>
      <c r="AA1093" s="93" t="str">
        <f>+VLOOKUP(Agencia[[#This Row],[Muestra]],Estructura!$M$4:$O$500,3,0)</f>
        <v>M-1079</v>
      </c>
    </row>
    <row r="1094" spans="1:27" ht="57.6" x14ac:dyDescent="0.3">
      <c r="A1094" s="21" t="s">
        <v>1814</v>
      </c>
      <c r="B1094" s="23">
        <v>990</v>
      </c>
      <c r="C1094" s="24" t="s">
        <v>400</v>
      </c>
      <c r="D1094" s="67" t="s">
        <v>568</v>
      </c>
      <c r="E1094" s="19">
        <v>6</v>
      </c>
      <c r="F1094" s="10" t="s">
        <v>1914</v>
      </c>
      <c r="G1094" s="10" t="s">
        <v>1914</v>
      </c>
      <c r="H1094" s="33" t="s">
        <v>16</v>
      </c>
      <c r="I1094" s="34" t="s">
        <v>373</v>
      </c>
      <c r="J1094" s="9" t="s">
        <v>403</v>
      </c>
      <c r="K1094" s="142" t="s">
        <v>1914</v>
      </c>
      <c r="L1094" s="9" t="s">
        <v>596</v>
      </c>
      <c r="M1094" s="9" t="s">
        <v>1915</v>
      </c>
      <c r="N1094" s="9" t="s">
        <v>848</v>
      </c>
      <c r="O1094" s="20" t="s">
        <v>2713</v>
      </c>
      <c r="P1094" s="112" t="s">
        <v>6383</v>
      </c>
      <c r="Q1094" s="11" t="s">
        <v>576</v>
      </c>
      <c r="R1094" s="148" t="str">
        <f>Agencia[[#This Row],[territorio]]&amp;",regional,establecimientos,tipo,proporción,privados,públicos,"&amp;Agencia[[#This Row],[coleccion]]&amp;","&amp;Agencia[[#This Row],[sector]]&amp;","&amp;Agencia[[#This Row],[tema]]&amp;","&amp;Agencia[[#This Row],[contenido]]</f>
        <v>Región de O'Higgins,regional,establecimientos,tipo,proporción,privados,públicos,Agencia Información,Salud,Establecimientos de Salud,Establecimientos de Salud</v>
      </c>
      <c r="S1094" s="37" t="s">
        <v>2403</v>
      </c>
      <c r="T1094" s="114" t="s">
        <v>1871</v>
      </c>
      <c r="U1094" s="46" t="s">
        <v>398</v>
      </c>
      <c r="V1094" s="93" t="str">
        <f>+Agencia[[#This Row],[idcoleccion]]&amp;"-"&amp;Agencia[[#This Row],[id]]</f>
        <v>990-1083</v>
      </c>
      <c r="W1094" s="93">
        <f>+VLOOKUP(Agencia[[#This Row],[Filtro URL]],Estructura!$X$4:$Y$500,2,0)</f>
        <v>99200006</v>
      </c>
      <c r="X1094" s="93" t="str">
        <f>+VLOOKUP(Agencia[[#This Row],[tema]],Estructura!$A$4:$C$500,3,0)</f>
        <v>T-1036</v>
      </c>
      <c r="Y1094" s="93" t="str">
        <f>+VLOOKUP(Agencia[[#This Row],[contenido]],Estructura!$E$4:$G$500,3,0)</f>
        <v>C-1013</v>
      </c>
      <c r="Z1094" s="93" t="str">
        <f>+VLOOKUP(Agencia[[#This Row],[Filtro Integrado]],Estructura!$I$4:$K$500,3,0)</f>
        <v>FI-993</v>
      </c>
      <c r="AA1094" s="93" t="str">
        <f>+VLOOKUP(Agencia[[#This Row],[Muestra]],Estructura!$M$4:$O$500,3,0)</f>
        <v>M-1079</v>
      </c>
    </row>
    <row r="1095" spans="1:27" ht="57.6" x14ac:dyDescent="0.3">
      <c r="A1095" s="21" t="s">
        <v>1815</v>
      </c>
      <c r="B1095" s="23">
        <v>990</v>
      </c>
      <c r="C1095" s="24" t="s">
        <v>400</v>
      </c>
      <c r="D1095" s="67" t="s">
        <v>568</v>
      </c>
      <c r="E1095" s="19">
        <v>7</v>
      </c>
      <c r="F1095" s="10" t="s">
        <v>1914</v>
      </c>
      <c r="G1095" s="10" t="s">
        <v>1914</v>
      </c>
      <c r="H1095" s="33" t="s">
        <v>16</v>
      </c>
      <c r="I1095" s="34" t="s">
        <v>374</v>
      </c>
      <c r="J1095" s="9" t="s">
        <v>403</v>
      </c>
      <c r="K1095" s="142" t="s">
        <v>1914</v>
      </c>
      <c r="L1095" s="9" t="s">
        <v>596</v>
      </c>
      <c r="M1095" s="9" t="s">
        <v>1915</v>
      </c>
      <c r="N1095" s="9" t="s">
        <v>848</v>
      </c>
      <c r="O1095" s="20" t="s">
        <v>2714</v>
      </c>
      <c r="P1095" s="112" t="s">
        <v>6374</v>
      </c>
      <c r="Q1095" s="11" t="s">
        <v>576</v>
      </c>
      <c r="R1095" s="148" t="str">
        <f>Agencia[[#This Row],[territorio]]&amp;",regional,establecimientos,tipo,proporción,privados,públicos,"&amp;Agencia[[#This Row],[coleccion]]&amp;","&amp;Agencia[[#This Row],[sector]]&amp;","&amp;Agencia[[#This Row],[tema]]&amp;","&amp;Agencia[[#This Row],[contenido]]</f>
        <v>Región de Maule,regional,establecimientos,tipo,proporción,privados,públicos,Agencia Información,Salud,Establecimientos de Salud,Establecimientos de Salud</v>
      </c>
      <c r="S1095" s="37" t="s">
        <v>2404</v>
      </c>
      <c r="T1095" s="114" t="s">
        <v>1869</v>
      </c>
      <c r="U1095" s="95" t="s">
        <v>398</v>
      </c>
      <c r="V1095" s="93" t="str">
        <f>+Agencia[[#This Row],[idcoleccion]]&amp;"-"&amp;Agencia[[#This Row],[id]]</f>
        <v>990-1084</v>
      </c>
      <c r="W1095" s="93">
        <f>+VLOOKUP(Agencia[[#This Row],[Filtro URL]],Estructura!$X$4:$Y$500,2,0)</f>
        <v>99200007</v>
      </c>
      <c r="X1095" s="93" t="str">
        <f>+VLOOKUP(Agencia[[#This Row],[tema]],Estructura!$A$4:$C$500,3,0)</f>
        <v>T-1036</v>
      </c>
      <c r="Y1095" s="93" t="str">
        <f>+VLOOKUP(Agencia[[#This Row],[contenido]],Estructura!$E$4:$G$500,3,0)</f>
        <v>C-1013</v>
      </c>
      <c r="Z1095" s="93" t="str">
        <f>+VLOOKUP(Agencia[[#This Row],[Filtro Integrado]],Estructura!$I$4:$K$500,3,0)</f>
        <v>FI-993</v>
      </c>
      <c r="AA1095" s="93" t="str">
        <f>+VLOOKUP(Agencia[[#This Row],[Muestra]],Estructura!$M$4:$O$500,3,0)</f>
        <v>M-1079</v>
      </c>
    </row>
    <row r="1096" spans="1:27" ht="57.6" x14ac:dyDescent="0.3">
      <c r="A1096" s="21" t="s">
        <v>1816</v>
      </c>
      <c r="B1096" s="23">
        <v>990</v>
      </c>
      <c r="C1096" s="24" t="s">
        <v>400</v>
      </c>
      <c r="D1096" s="67" t="s">
        <v>568</v>
      </c>
      <c r="E1096" s="19">
        <v>8</v>
      </c>
      <c r="F1096" s="10" t="s">
        <v>1914</v>
      </c>
      <c r="G1096" s="10" t="s">
        <v>1914</v>
      </c>
      <c r="H1096" s="33" t="s">
        <v>16</v>
      </c>
      <c r="I1096" s="34" t="s">
        <v>375</v>
      </c>
      <c r="J1096" s="9" t="s">
        <v>403</v>
      </c>
      <c r="K1096" s="142" t="s">
        <v>1914</v>
      </c>
      <c r="L1096" s="9" t="s">
        <v>596</v>
      </c>
      <c r="M1096" s="9" t="s">
        <v>1915</v>
      </c>
      <c r="N1096" s="9" t="s">
        <v>848</v>
      </c>
      <c r="O1096" s="20" t="s">
        <v>2715</v>
      </c>
      <c r="P1096" s="112" t="s">
        <v>6375</v>
      </c>
      <c r="Q1096" s="11" t="s">
        <v>576</v>
      </c>
      <c r="R1096" s="148" t="str">
        <f>Agencia[[#This Row],[territorio]]&amp;",regional,establecimientos,tipo,proporción,privados,públicos,"&amp;Agencia[[#This Row],[coleccion]]&amp;","&amp;Agencia[[#This Row],[sector]]&amp;","&amp;Agencia[[#This Row],[tema]]&amp;","&amp;Agencia[[#This Row],[contenido]]</f>
        <v>Región del Biobío,regional,establecimientos,tipo,proporción,privados,públicos,Agencia Información,Salud,Establecimientos de Salud,Establecimientos de Salud</v>
      </c>
      <c r="S1096" s="37" t="s">
        <v>2405</v>
      </c>
      <c r="T1096" s="114" t="s">
        <v>1874</v>
      </c>
      <c r="U1096" s="46" t="s">
        <v>398</v>
      </c>
      <c r="V1096" s="93" t="str">
        <f>+Agencia[[#This Row],[idcoleccion]]&amp;"-"&amp;Agencia[[#This Row],[id]]</f>
        <v>990-1085</v>
      </c>
      <c r="W1096" s="93">
        <f>+VLOOKUP(Agencia[[#This Row],[Filtro URL]],Estructura!$X$4:$Y$500,2,0)</f>
        <v>99200008</v>
      </c>
      <c r="X1096" s="93" t="str">
        <f>+VLOOKUP(Agencia[[#This Row],[tema]],Estructura!$A$4:$C$500,3,0)</f>
        <v>T-1036</v>
      </c>
      <c r="Y1096" s="93" t="str">
        <f>+VLOOKUP(Agencia[[#This Row],[contenido]],Estructura!$E$4:$G$500,3,0)</f>
        <v>C-1013</v>
      </c>
      <c r="Z1096" s="93" t="str">
        <f>+VLOOKUP(Agencia[[#This Row],[Filtro Integrado]],Estructura!$I$4:$K$500,3,0)</f>
        <v>FI-993</v>
      </c>
      <c r="AA1096" s="93" t="str">
        <f>+VLOOKUP(Agencia[[#This Row],[Muestra]],Estructura!$M$4:$O$500,3,0)</f>
        <v>M-1079</v>
      </c>
    </row>
    <row r="1097" spans="1:27" ht="57.6" x14ac:dyDescent="0.3">
      <c r="A1097" s="21" t="s">
        <v>1817</v>
      </c>
      <c r="B1097" s="23">
        <v>990</v>
      </c>
      <c r="C1097" s="24" t="s">
        <v>400</v>
      </c>
      <c r="D1097" s="67" t="s">
        <v>568</v>
      </c>
      <c r="E1097" s="19">
        <v>9</v>
      </c>
      <c r="F1097" s="10" t="s">
        <v>1914</v>
      </c>
      <c r="G1097" s="10" t="s">
        <v>1914</v>
      </c>
      <c r="H1097" s="33" t="s">
        <v>16</v>
      </c>
      <c r="I1097" s="34" t="s">
        <v>376</v>
      </c>
      <c r="J1097" s="9" t="s">
        <v>403</v>
      </c>
      <c r="K1097" s="142" t="s">
        <v>1914</v>
      </c>
      <c r="L1097" s="9" t="s">
        <v>596</v>
      </c>
      <c r="M1097" s="9" t="s">
        <v>1915</v>
      </c>
      <c r="N1097" s="9" t="s">
        <v>848</v>
      </c>
      <c r="O1097" s="20" t="s">
        <v>2716</v>
      </c>
      <c r="P1097" s="112" t="s">
        <v>6376</v>
      </c>
      <c r="Q1097" s="11" t="s">
        <v>576</v>
      </c>
      <c r="R1097" s="148" t="str">
        <f>Agencia[[#This Row],[territorio]]&amp;",regional,establecimientos,tipo,proporción,privados,públicos,"&amp;Agencia[[#This Row],[coleccion]]&amp;","&amp;Agencia[[#This Row],[sector]]&amp;","&amp;Agencia[[#This Row],[tema]]&amp;","&amp;Agencia[[#This Row],[contenido]]</f>
        <v>Región de La Araucanía,regional,establecimientos,tipo,proporción,privados,públicos,Agencia Información,Salud,Establecimientos de Salud,Establecimientos de Salud</v>
      </c>
      <c r="S1097" s="37" t="s">
        <v>2406</v>
      </c>
      <c r="T1097" s="114" t="s">
        <v>1865</v>
      </c>
      <c r="U1097" s="46" t="s">
        <v>398</v>
      </c>
      <c r="V1097" s="93" t="str">
        <f>+Agencia[[#This Row],[idcoleccion]]&amp;"-"&amp;Agencia[[#This Row],[id]]</f>
        <v>990-1086</v>
      </c>
      <c r="W1097" s="93">
        <f>+VLOOKUP(Agencia[[#This Row],[Filtro URL]],Estructura!$X$4:$Y$500,2,0)</f>
        <v>99200009</v>
      </c>
      <c r="X1097" s="93" t="str">
        <f>+VLOOKUP(Agencia[[#This Row],[tema]],Estructura!$A$4:$C$500,3,0)</f>
        <v>T-1036</v>
      </c>
      <c r="Y1097" s="93" t="str">
        <f>+VLOOKUP(Agencia[[#This Row],[contenido]],Estructura!$E$4:$G$500,3,0)</f>
        <v>C-1013</v>
      </c>
      <c r="Z1097" s="93" t="str">
        <f>+VLOOKUP(Agencia[[#This Row],[Filtro Integrado]],Estructura!$I$4:$K$500,3,0)</f>
        <v>FI-993</v>
      </c>
      <c r="AA1097" s="93" t="str">
        <f>+VLOOKUP(Agencia[[#This Row],[Muestra]],Estructura!$M$4:$O$500,3,0)</f>
        <v>M-1079</v>
      </c>
    </row>
    <row r="1098" spans="1:27" ht="57.6" x14ac:dyDescent="0.3">
      <c r="A1098" s="21" t="s">
        <v>1818</v>
      </c>
      <c r="B1098" s="23">
        <v>990</v>
      </c>
      <c r="C1098" s="24" t="s">
        <v>400</v>
      </c>
      <c r="D1098" s="67" t="s">
        <v>568</v>
      </c>
      <c r="E1098" s="19">
        <v>10</v>
      </c>
      <c r="F1098" s="10" t="s">
        <v>1914</v>
      </c>
      <c r="G1098" s="10" t="s">
        <v>1914</v>
      </c>
      <c r="H1098" s="33" t="s">
        <v>16</v>
      </c>
      <c r="I1098" s="34" t="s">
        <v>377</v>
      </c>
      <c r="J1098" s="9" t="s">
        <v>403</v>
      </c>
      <c r="K1098" s="142" t="s">
        <v>1914</v>
      </c>
      <c r="L1098" s="9" t="s">
        <v>596</v>
      </c>
      <c r="M1098" s="9" t="s">
        <v>1915</v>
      </c>
      <c r="N1098" s="9" t="s">
        <v>848</v>
      </c>
      <c r="O1098" s="20" t="s">
        <v>2717</v>
      </c>
      <c r="P1098" s="112" t="s">
        <v>6377</v>
      </c>
      <c r="Q1098" s="11" t="s">
        <v>576</v>
      </c>
      <c r="R1098" s="148" t="str">
        <f>Agencia[[#This Row],[territorio]]&amp;",regional,establecimientos,tipo,proporción,privados,públicos,"&amp;Agencia[[#This Row],[coleccion]]&amp;","&amp;Agencia[[#This Row],[sector]]&amp;","&amp;Agencia[[#This Row],[tema]]&amp;","&amp;Agencia[[#This Row],[contenido]]</f>
        <v>Región de Los Lagos,regional,establecimientos,tipo,proporción,privados,públicos,Agencia Información,Salud,Establecimientos de Salud,Establecimientos de Salud</v>
      </c>
      <c r="S1098" s="37" t="s">
        <v>2407</v>
      </c>
      <c r="T1098" s="114" t="s">
        <v>1866</v>
      </c>
      <c r="U1098" s="95" t="s">
        <v>398</v>
      </c>
      <c r="V1098" s="93" t="str">
        <f>+Agencia[[#This Row],[idcoleccion]]&amp;"-"&amp;Agencia[[#This Row],[id]]</f>
        <v>990-1087</v>
      </c>
      <c r="W1098" s="93">
        <f>+VLOOKUP(Agencia[[#This Row],[Filtro URL]],Estructura!$X$4:$Y$500,2,0)</f>
        <v>99200010</v>
      </c>
      <c r="X1098" s="93" t="str">
        <f>+VLOOKUP(Agencia[[#This Row],[tema]],Estructura!$A$4:$C$500,3,0)</f>
        <v>T-1036</v>
      </c>
      <c r="Y1098" s="93" t="str">
        <f>+VLOOKUP(Agencia[[#This Row],[contenido]],Estructura!$E$4:$G$500,3,0)</f>
        <v>C-1013</v>
      </c>
      <c r="Z1098" s="93" t="str">
        <f>+VLOOKUP(Agencia[[#This Row],[Filtro Integrado]],Estructura!$I$4:$K$500,3,0)</f>
        <v>FI-993</v>
      </c>
      <c r="AA1098" s="93" t="str">
        <f>+VLOOKUP(Agencia[[#This Row],[Muestra]],Estructura!$M$4:$O$500,3,0)</f>
        <v>M-1079</v>
      </c>
    </row>
    <row r="1099" spans="1:27" ht="57.6" x14ac:dyDescent="0.3">
      <c r="A1099" s="21" t="s">
        <v>1819</v>
      </c>
      <c r="B1099" s="23">
        <v>990</v>
      </c>
      <c r="C1099" s="24" t="s">
        <v>400</v>
      </c>
      <c r="D1099" s="67" t="s">
        <v>568</v>
      </c>
      <c r="E1099" s="19">
        <v>11</v>
      </c>
      <c r="F1099" s="10" t="s">
        <v>1914</v>
      </c>
      <c r="G1099" s="10" t="s">
        <v>1914</v>
      </c>
      <c r="H1099" s="33" t="s">
        <v>16</v>
      </c>
      <c r="I1099" s="34" t="s">
        <v>378</v>
      </c>
      <c r="J1099" s="9" t="s">
        <v>403</v>
      </c>
      <c r="K1099" s="142" t="s">
        <v>1914</v>
      </c>
      <c r="L1099" s="9" t="s">
        <v>596</v>
      </c>
      <c r="M1099" s="9" t="s">
        <v>1915</v>
      </c>
      <c r="N1099" s="9" t="s">
        <v>848</v>
      </c>
      <c r="O1099" s="20" t="s">
        <v>2718</v>
      </c>
      <c r="P1099" s="112" t="s">
        <v>6384</v>
      </c>
      <c r="Q1099" s="11" t="s">
        <v>576</v>
      </c>
      <c r="R1099" s="148" t="str">
        <f>Agencia[[#This Row],[territorio]]&amp;",regional,establecimientos,tipo,proporción,privados,públicos,"&amp;Agencia[[#This Row],[coleccion]]&amp;","&amp;Agencia[[#This Row],[sector]]&amp;","&amp;Agencia[[#This Row],[tema]]&amp;","&amp;Agencia[[#This Row],[contenido]]</f>
        <v>Región de Aysén,regional,establecimientos,tipo,proporción,privados,públicos,Agencia Información,Salud,Establecimientos de Salud,Establecimientos de Salud</v>
      </c>
      <c r="S1099" s="37" t="s">
        <v>2408</v>
      </c>
      <c r="T1099" s="114" t="s">
        <v>1863</v>
      </c>
      <c r="U1099" s="46" t="s">
        <v>398</v>
      </c>
      <c r="V1099" s="93" t="str">
        <f>+Agencia[[#This Row],[idcoleccion]]&amp;"-"&amp;Agencia[[#This Row],[id]]</f>
        <v>990-1088</v>
      </c>
      <c r="W1099" s="93">
        <f>+VLOOKUP(Agencia[[#This Row],[Filtro URL]],Estructura!$X$4:$Y$500,2,0)</f>
        <v>99200011</v>
      </c>
      <c r="X1099" s="93" t="str">
        <f>+VLOOKUP(Agencia[[#This Row],[tema]],Estructura!$A$4:$C$500,3,0)</f>
        <v>T-1036</v>
      </c>
      <c r="Y1099" s="93" t="str">
        <f>+VLOOKUP(Agencia[[#This Row],[contenido]],Estructura!$E$4:$G$500,3,0)</f>
        <v>C-1013</v>
      </c>
      <c r="Z1099" s="93" t="str">
        <f>+VLOOKUP(Agencia[[#This Row],[Filtro Integrado]],Estructura!$I$4:$K$500,3,0)</f>
        <v>FI-993</v>
      </c>
      <c r="AA1099" s="93" t="str">
        <f>+VLOOKUP(Agencia[[#This Row],[Muestra]],Estructura!$M$4:$O$500,3,0)</f>
        <v>M-1079</v>
      </c>
    </row>
    <row r="1100" spans="1:27" ht="57.6" x14ac:dyDescent="0.3">
      <c r="A1100" s="21" t="s">
        <v>1820</v>
      </c>
      <c r="B1100" s="23">
        <v>990</v>
      </c>
      <c r="C1100" s="24" t="s">
        <v>400</v>
      </c>
      <c r="D1100" s="67" t="s">
        <v>568</v>
      </c>
      <c r="E1100" s="19">
        <v>12</v>
      </c>
      <c r="F1100" s="10" t="s">
        <v>1914</v>
      </c>
      <c r="G1100" s="10" t="s">
        <v>1914</v>
      </c>
      <c r="H1100" s="33" t="s">
        <v>16</v>
      </c>
      <c r="I1100" s="34" t="s">
        <v>379</v>
      </c>
      <c r="J1100" s="9" t="s">
        <v>403</v>
      </c>
      <c r="K1100" s="142" t="s">
        <v>1914</v>
      </c>
      <c r="L1100" s="9" t="s">
        <v>596</v>
      </c>
      <c r="M1100" s="9" t="s">
        <v>1915</v>
      </c>
      <c r="N1100" s="9" t="s">
        <v>848</v>
      </c>
      <c r="O1100" s="20" t="s">
        <v>2719</v>
      </c>
      <c r="P1100" s="112" t="s">
        <v>6381</v>
      </c>
      <c r="Q1100" s="11" t="s">
        <v>576</v>
      </c>
      <c r="R1100" s="148" t="str">
        <f>Agencia[[#This Row],[territorio]]&amp;",regional,establecimientos,tipo,proporción,privados,públicos,"&amp;Agencia[[#This Row],[coleccion]]&amp;","&amp;Agencia[[#This Row],[sector]]&amp;","&amp;Agencia[[#This Row],[tema]]&amp;","&amp;Agencia[[#This Row],[contenido]]</f>
        <v>Región de Magallanes,regional,establecimientos,tipo,proporción,privados,públicos,Agencia Información,Salud,Establecimientos de Salud,Establecimientos de Salud</v>
      </c>
      <c r="S1100" s="37" t="s">
        <v>2409</v>
      </c>
      <c r="T1100" s="114" t="s">
        <v>1868</v>
      </c>
      <c r="U1100" s="46" t="s">
        <v>398</v>
      </c>
      <c r="V1100" s="93" t="str">
        <f>+Agencia[[#This Row],[idcoleccion]]&amp;"-"&amp;Agencia[[#This Row],[id]]</f>
        <v>990-1089</v>
      </c>
      <c r="W1100" s="93">
        <f>+VLOOKUP(Agencia[[#This Row],[Filtro URL]],Estructura!$X$4:$Y$500,2,0)</f>
        <v>99200012</v>
      </c>
      <c r="X1100" s="93" t="str">
        <f>+VLOOKUP(Agencia[[#This Row],[tema]],Estructura!$A$4:$C$500,3,0)</f>
        <v>T-1036</v>
      </c>
      <c r="Y1100" s="93" t="str">
        <f>+VLOOKUP(Agencia[[#This Row],[contenido]],Estructura!$E$4:$G$500,3,0)</f>
        <v>C-1013</v>
      </c>
      <c r="Z1100" s="93" t="str">
        <f>+VLOOKUP(Agencia[[#This Row],[Filtro Integrado]],Estructura!$I$4:$K$500,3,0)</f>
        <v>FI-993</v>
      </c>
      <c r="AA1100" s="93" t="str">
        <f>+VLOOKUP(Agencia[[#This Row],[Muestra]],Estructura!$M$4:$O$500,3,0)</f>
        <v>M-1079</v>
      </c>
    </row>
    <row r="1101" spans="1:27" ht="57.6" x14ac:dyDescent="0.3">
      <c r="A1101" s="21" t="s">
        <v>1821</v>
      </c>
      <c r="B1101" s="23">
        <v>990</v>
      </c>
      <c r="C1101" s="24" t="s">
        <v>400</v>
      </c>
      <c r="D1101" s="67" t="s">
        <v>568</v>
      </c>
      <c r="E1101" s="19">
        <v>13</v>
      </c>
      <c r="F1101" s="10" t="s">
        <v>1914</v>
      </c>
      <c r="G1101" s="10" t="s">
        <v>1914</v>
      </c>
      <c r="H1101" s="33" t="s">
        <v>16</v>
      </c>
      <c r="I1101" s="34" t="s">
        <v>380</v>
      </c>
      <c r="J1101" s="9" t="s">
        <v>403</v>
      </c>
      <c r="K1101" s="142" t="s">
        <v>1914</v>
      </c>
      <c r="L1101" s="9" t="s">
        <v>596</v>
      </c>
      <c r="M1101" s="9" t="s">
        <v>1915</v>
      </c>
      <c r="N1101" s="9" t="s">
        <v>848</v>
      </c>
      <c r="O1101" s="20" t="s">
        <v>2720</v>
      </c>
      <c r="P1101" s="112" t="s">
        <v>6378</v>
      </c>
      <c r="Q1101" s="11" t="s">
        <v>576</v>
      </c>
      <c r="R1101" s="148" t="str">
        <f>Agencia[[#This Row],[territorio]]&amp;",regional,establecimientos,tipo,proporción,privados,públicos,"&amp;Agencia[[#This Row],[coleccion]]&amp;","&amp;Agencia[[#This Row],[sector]]&amp;","&amp;Agencia[[#This Row],[tema]]&amp;","&amp;Agencia[[#This Row],[contenido]]</f>
        <v>Región Metropolitana,regional,establecimientos,tipo,proporción,privados,públicos,Agencia Información,Salud,Establecimientos de Salud,Establecimientos de Salud</v>
      </c>
      <c r="S1101" s="37" t="s">
        <v>2410</v>
      </c>
      <c r="T1101" s="114" t="s">
        <v>1875</v>
      </c>
      <c r="U1101" s="95" t="s">
        <v>398</v>
      </c>
      <c r="V1101" s="93" t="str">
        <f>+Agencia[[#This Row],[idcoleccion]]&amp;"-"&amp;Agencia[[#This Row],[id]]</f>
        <v>990-1090</v>
      </c>
      <c r="W1101" s="93">
        <f>+VLOOKUP(Agencia[[#This Row],[Filtro URL]],Estructura!$X$4:$Y$500,2,0)</f>
        <v>99200013</v>
      </c>
      <c r="X1101" s="93" t="str">
        <f>+VLOOKUP(Agencia[[#This Row],[tema]],Estructura!$A$4:$C$500,3,0)</f>
        <v>T-1036</v>
      </c>
      <c r="Y1101" s="93" t="str">
        <f>+VLOOKUP(Agencia[[#This Row],[contenido]],Estructura!$E$4:$G$500,3,0)</f>
        <v>C-1013</v>
      </c>
      <c r="Z1101" s="93" t="str">
        <f>+VLOOKUP(Agencia[[#This Row],[Filtro Integrado]],Estructura!$I$4:$K$500,3,0)</f>
        <v>FI-993</v>
      </c>
      <c r="AA1101" s="93" t="str">
        <f>+VLOOKUP(Agencia[[#This Row],[Muestra]],Estructura!$M$4:$O$500,3,0)</f>
        <v>M-1079</v>
      </c>
    </row>
    <row r="1102" spans="1:27" ht="57.6" x14ac:dyDescent="0.3">
      <c r="A1102" s="21" t="s">
        <v>1822</v>
      </c>
      <c r="B1102" s="23">
        <v>990</v>
      </c>
      <c r="C1102" s="24" t="s">
        <v>400</v>
      </c>
      <c r="D1102" s="67" t="s">
        <v>568</v>
      </c>
      <c r="E1102" s="19">
        <v>14</v>
      </c>
      <c r="F1102" s="10" t="s">
        <v>1914</v>
      </c>
      <c r="G1102" s="10" t="s">
        <v>1914</v>
      </c>
      <c r="H1102" s="33" t="s">
        <v>16</v>
      </c>
      <c r="I1102" s="34" t="s">
        <v>381</v>
      </c>
      <c r="J1102" s="9" t="s">
        <v>403</v>
      </c>
      <c r="K1102" s="142" t="s">
        <v>1914</v>
      </c>
      <c r="L1102" s="9" t="s">
        <v>596</v>
      </c>
      <c r="M1102" s="9" t="s">
        <v>1915</v>
      </c>
      <c r="N1102" s="9" t="s">
        <v>848</v>
      </c>
      <c r="O1102" s="20" t="s">
        <v>2721</v>
      </c>
      <c r="P1102" s="112" t="s">
        <v>6379</v>
      </c>
      <c r="Q1102" s="11" t="s">
        <v>576</v>
      </c>
      <c r="R1102" s="148" t="str">
        <f>Agencia[[#This Row],[territorio]]&amp;",regional,establecimientos,tipo,proporción,privados,públicos,"&amp;Agencia[[#This Row],[coleccion]]&amp;","&amp;Agencia[[#This Row],[sector]]&amp;","&amp;Agencia[[#This Row],[tema]]&amp;","&amp;Agencia[[#This Row],[contenido]]</f>
        <v>Región de Los Ríos,regional,establecimientos,tipo,proporción,privados,públicos,Agencia Información,Salud,Establecimientos de Salud,Establecimientos de Salud</v>
      </c>
      <c r="S1102" s="37" t="s">
        <v>2411</v>
      </c>
      <c r="T1102" s="114" t="s">
        <v>1867</v>
      </c>
      <c r="U1102" s="46" t="s">
        <v>398</v>
      </c>
      <c r="V1102" s="93" t="str">
        <f>+Agencia[[#This Row],[idcoleccion]]&amp;"-"&amp;Agencia[[#This Row],[id]]</f>
        <v>990-1091</v>
      </c>
      <c r="W1102" s="93">
        <f>+VLOOKUP(Agencia[[#This Row],[Filtro URL]],Estructura!$X$4:$Y$500,2,0)</f>
        <v>99200014</v>
      </c>
      <c r="X1102" s="93" t="str">
        <f>+VLOOKUP(Agencia[[#This Row],[tema]],Estructura!$A$4:$C$500,3,0)</f>
        <v>T-1036</v>
      </c>
      <c r="Y1102" s="93" t="str">
        <f>+VLOOKUP(Agencia[[#This Row],[contenido]],Estructura!$E$4:$G$500,3,0)</f>
        <v>C-1013</v>
      </c>
      <c r="Z1102" s="93" t="str">
        <f>+VLOOKUP(Agencia[[#This Row],[Filtro Integrado]],Estructura!$I$4:$K$500,3,0)</f>
        <v>FI-993</v>
      </c>
      <c r="AA1102" s="93" t="str">
        <f>+VLOOKUP(Agencia[[#This Row],[Muestra]],Estructura!$M$4:$O$500,3,0)</f>
        <v>M-1079</v>
      </c>
    </row>
    <row r="1103" spans="1:27" ht="57.6" x14ac:dyDescent="0.3">
      <c r="A1103" s="21" t="s">
        <v>1823</v>
      </c>
      <c r="B1103" s="23">
        <v>990</v>
      </c>
      <c r="C1103" s="24" t="s">
        <v>400</v>
      </c>
      <c r="D1103" s="67" t="s">
        <v>568</v>
      </c>
      <c r="E1103" s="19">
        <v>15</v>
      </c>
      <c r="F1103" s="10" t="s">
        <v>1914</v>
      </c>
      <c r="G1103" s="10" t="s">
        <v>1914</v>
      </c>
      <c r="H1103" s="33" t="s">
        <v>16</v>
      </c>
      <c r="I1103" s="34" t="s">
        <v>382</v>
      </c>
      <c r="J1103" s="9" t="s">
        <v>403</v>
      </c>
      <c r="K1103" s="142" t="s">
        <v>1914</v>
      </c>
      <c r="L1103" s="9" t="s">
        <v>596</v>
      </c>
      <c r="M1103" s="9" t="s">
        <v>1915</v>
      </c>
      <c r="N1103" s="9" t="s">
        <v>848</v>
      </c>
      <c r="O1103" s="20" t="s">
        <v>2722</v>
      </c>
      <c r="P1103" s="112" t="s">
        <v>6336</v>
      </c>
      <c r="Q1103" s="11" t="s">
        <v>576</v>
      </c>
      <c r="R1103" s="148" t="str">
        <f>Agencia[[#This Row],[territorio]]&amp;",regional,establecimientos,tipo,proporción,privados,públicos,"&amp;Agencia[[#This Row],[coleccion]]&amp;","&amp;Agencia[[#This Row],[sector]]&amp;","&amp;Agencia[[#This Row],[tema]]&amp;","&amp;Agencia[[#This Row],[contenido]]</f>
        <v>Región de Arica y Parinacota,regional,establecimientos,tipo,proporción,privados,públicos,Agencia Información,Salud,Establecimientos de Salud,Establecimientos de Salud</v>
      </c>
      <c r="S1103" s="37" t="s">
        <v>2412</v>
      </c>
      <c r="T1103" s="114" t="s">
        <v>1861</v>
      </c>
      <c r="U1103" s="46" t="s">
        <v>398</v>
      </c>
      <c r="V1103" s="93" t="str">
        <f>+Agencia[[#This Row],[idcoleccion]]&amp;"-"&amp;Agencia[[#This Row],[id]]</f>
        <v>990-1092</v>
      </c>
      <c r="W1103" s="93">
        <f>+VLOOKUP(Agencia[[#This Row],[Filtro URL]],Estructura!$X$4:$Y$500,2,0)</f>
        <v>99200015</v>
      </c>
      <c r="X1103" s="93" t="str">
        <f>+VLOOKUP(Agencia[[#This Row],[tema]],Estructura!$A$4:$C$500,3,0)</f>
        <v>T-1036</v>
      </c>
      <c r="Y1103" s="93" t="str">
        <f>+VLOOKUP(Agencia[[#This Row],[contenido]],Estructura!$E$4:$G$500,3,0)</f>
        <v>C-1013</v>
      </c>
      <c r="Z1103" s="93" t="str">
        <f>+VLOOKUP(Agencia[[#This Row],[Filtro Integrado]],Estructura!$I$4:$K$500,3,0)</f>
        <v>FI-993</v>
      </c>
      <c r="AA1103" s="93" t="str">
        <f>+VLOOKUP(Agencia[[#This Row],[Muestra]],Estructura!$M$4:$O$500,3,0)</f>
        <v>M-1079</v>
      </c>
    </row>
    <row r="1104" spans="1:27" ht="57.6" x14ac:dyDescent="0.3">
      <c r="A1104" s="21" t="s">
        <v>1824</v>
      </c>
      <c r="B1104" s="23">
        <v>990</v>
      </c>
      <c r="C1104" s="24" t="s">
        <v>400</v>
      </c>
      <c r="D1104" s="67" t="s">
        <v>568</v>
      </c>
      <c r="E1104" s="19">
        <v>16</v>
      </c>
      <c r="F1104" s="10" t="s">
        <v>1914</v>
      </c>
      <c r="G1104" s="10" t="s">
        <v>1914</v>
      </c>
      <c r="H1104" s="33" t="s">
        <v>16</v>
      </c>
      <c r="I1104" s="34" t="s">
        <v>383</v>
      </c>
      <c r="J1104" s="9" t="s">
        <v>403</v>
      </c>
      <c r="K1104" s="142" t="s">
        <v>1914</v>
      </c>
      <c r="L1104" s="9" t="s">
        <v>596</v>
      </c>
      <c r="M1104" s="9" t="s">
        <v>1915</v>
      </c>
      <c r="N1104" s="9" t="s">
        <v>848</v>
      </c>
      <c r="O1104" s="20" t="s">
        <v>2723</v>
      </c>
      <c r="P1104" s="112" t="s">
        <v>6380</v>
      </c>
      <c r="Q1104" s="11" t="s">
        <v>576</v>
      </c>
      <c r="R1104" s="148" t="str">
        <f>Agencia[[#This Row],[territorio]]&amp;",regional,establecimientos,tipo,proporción,privados,públicos,"&amp;Agencia[[#This Row],[coleccion]]&amp;","&amp;Agencia[[#This Row],[sector]]&amp;","&amp;Agencia[[#This Row],[tema]]&amp;","&amp;Agencia[[#This Row],[contenido]]</f>
        <v>Región de Ñuble,regional,establecimientos,tipo,proporción,privados,públicos,Agencia Información,Salud,Establecimientos de Salud,Establecimientos de Salud</v>
      </c>
      <c r="S1104" s="37" t="s">
        <v>2724</v>
      </c>
      <c r="T1104" s="114" t="s">
        <v>1870</v>
      </c>
      <c r="U1104" s="95" t="s">
        <v>398</v>
      </c>
      <c r="V1104" s="93" t="str">
        <f>+Agencia[[#This Row],[idcoleccion]]&amp;"-"&amp;Agencia[[#This Row],[id]]</f>
        <v>990-1093</v>
      </c>
      <c r="W1104" s="93">
        <f>+VLOOKUP(Agencia[[#This Row],[Filtro URL]],Estructura!$X$4:$Y$500,2,0)</f>
        <v>99200016</v>
      </c>
      <c r="X1104" s="93" t="str">
        <f>+VLOOKUP(Agencia[[#This Row],[tema]],Estructura!$A$4:$C$500,3,0)</f>
        <v>T-1036</v>
      </c>
      <c r="Y1104" s="93" t="str">
        <f>+VLOOKUP(Agencia[[#This Row],[contenido]],Estructura!$E$4:$G$500,3,0)</f>
        <v>C-1013</v>
      </c>
      <c r="Z1104" s="93" t="str">
        <f>+VLOOKUP(Agencia[[#This Row],[Filtro Integrado]],Estructura!$I$4:$K$500,3,0)</f>
        <v>FI-993</v>
      </c>
      <c r="AA1104" s="93" t="str">
        <f>+VLOOKUP(Agencia[[#This Row],[Muestra]],Estructura!$M$4:$O$500,3,0)</f>
        <v>M-1079</v>
      </c>
    </row>
    <row r="1105" spans="1:27" ht="61.2" x14ac:dyDescent="0.3">
      <c r="A1105" s="21" t="s">
        <v>1825</v>
      </c>
      <c r="B1105" s="23">
        <v>990</v>
      </c>
      <c r="C1105" s="24" t="s">
        <v>400</v>
      </c>
      <c r="D1105" s="67" t="s">
        <v>459</v>
      </c>
      <c r="E1105" s="14">
        <v>0</v>
      </c>
      <c r="F1105" s="10" t="s">
        <v>845</v>
      </c>
      <c r="G1105" s="10" t="s">
        <v>1877</v>
      </c>
      <c r="H1105" s="31" t="s">
        <v>20</v>
      </c>
      <c r="I1105" s="32" t="s">
        <v>15</v>
      </c>
      <c r="J1105" s="9" t="s">
        <v>16</v>
      </c>
      <c r="K1105" s="9" t="s">
        <v>1971</v>
      </c>
      <c r="L1105" s="9" t="s">
        <v>846</v>
      </c>
      <c r="M1105" s="9" t="s">
        <v>847</v>
      </c>
      <c r="N1105" s="9" t="s">
        <v>848</v>
      </c>
      <c r="O1105" s="20" t="s">
        <v>2725</v>
      </c>
      <c r="P1105" s="112" t="s">
        <v>1972</v>
      </c>
      <c r="Q1105" s="11" t="s">
        <v>6938</v>
      </c>
      <c r="R1105" s="20" t="str">
        <f>Agencia[[#This Row],[territorio]]&amp;",nacional,región,atenciones,médicas,salud,violencia,género,concepto,urgencia,abuso,sexual,violación,anticonceptivo,anticoncepción,estupro,física,intrafamiliar,emergencia,"&amp;Agencia[[#This Row],[coleccion]]&amp;","&amp;Agencia[[#This Row],[sector]]&amp;","&amp;Agencia[[#This Row],[tema]]&amp;","&amp;Agencia[[#This Row],[contenido]]</f>
        <v>Chile,nacional,región,atenciones,médicas,salud,violencia,género,concepto,urgencia,abuso,sexual,violación,anticonceptivo,anticoncepción,estupro,física,intrafamiliar,emergencia,Agencia Información,Mujeres,Atenciones de Salud Violencia de Género,Violencia Contra la Mujer</v>
      </c>
      <c r="S1105" s="37" t="s">
        <v>1973</v>
      </c>
      <c r="T1105" s="114" t="s">
        <v>805</v>
      </c>
      <c r="U1105" s="46" t="s">
        <v>398</v>
      </c>
      <c r="V1105" s="93" t="str">
        <f>+Agencia[[#This Row],[idcoleccion]]&amp;"-"&amp;Agencia[[#This Row],[id]]</f>
        <v>990-1094</v>
      </c>
      <c r="W1105" s="93">
        <f>+VLOOKUP(Agencia[[#This Row],[Filtro URL]],Estructura!$X$4:$Y$500,2,0)</f>
        <v>99100000</v>
      </c>
      <c r="X1105" s="93" t="str">
        <f>+VLOOKUP(Agencia[[#This Row],[tema]],Estructura!$A$4:$C$500,3,0)</f>
        <v>T-1029</v>
      </c>
      <c r="Y1105" s="93" t="str">
        <f>+VLOOKUP(Agencia[[#This Row],[contenido]],Estructura!$E$4:$G$500,3,0)</f>
        <v>C-996</v>
      </c>
      <c r="Z1105" s="93" t="str">
        <f>+VLOOKUP(Agencia[[#This Row],[Filtro Integrado]],Estructura!$I$4:$K$500,3,0)</f>
        <v>FI-992</v>
      </c>
      <c r="AA1105" s="93" t="str">
        <f>+VLOOKUP(Agencia[[#This Row],[Muestra]],Estructura!$M$4:$O$500,3,0)</f>
        <v>M-1010</v>
      </c>
    </row>
    <row r="1106" spans="1:27" ht="71.400000000000006" x14ac:dyDescent="0.3">
      <c r="A1106" s="21" t="s">
        <v>1826</v>
      </c>
      <c r="B1106" s="23">
        <v>990</v>
      </c>
      <c r="C1106" s="24" t="s">
        <v>400</v>
      </c>
      <c r="D1106" s="67" t="s">
        <v>459</v>
      </c>
      <c r="E1106" s="19">
        <v>1</v>
      </c>
      <c r="F1106" s="10" t="s">
        <v>845</v>
      </c>
      <c r="G1106" s="10" t="s">
        <v>1877</v>
      </c>
      <c r="H1106" s="33" t="s">
        <v>16</v>
      </c>
      <c r="I1106" s="34" t="s">
        <v>368</v>
      </c>
      <c r="J1106" s="9" t="s">
        <v>403</v>
      </c>
      <c r="K1106" s="9" t="s">
        <v>1975</v>
      </c>
      <c r="L1106" s="9" t="s">
        <v>846</v>
      </c>
      <c r="M1106" s="9" t="s">
        <v>847</v>
      </c>
      <c r="N1106" s="9" t="s">
        <v>848</v>
      </c>
      <c r="O1106" s="20" t="s">
        <v>2726</v>
      </c>
      <c r="P1106" s="112" t="s">
        <v>6887</v>
      </c>
      <c r="Q1106" s="125" t="s">
        <v>6938</v>
      </c>
      <c r="R1106" s="20"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Tarapacá,regional,atenciones,médicas,salud,violencia,género,concepto,urgencia,abuso,sexual,violación,anticonceptivo,anticoncepción,estupro,física,intrafamiliar,emergencia,Agencia Información,Mujeres,Atenciones de Salud Violencia de Género,Violencia Contra la Mujer</v>
      </c>
      <c r="S1106" s="37" t="s">
        <v>2413</v>
      </c>
      <c r="T1106" s="114" t="s">
        <v>1872</v>
      </c>
      <c r="U1106" s="46" t="s">
        <v>398</v>
      </c>
      <c r="V1106" s="93" t="str">
        <f>+Agencia[[#This Row],[idcoleccion]]&amp;"-"&amp;Agencia[[#This Row],[id]]</f>
        <v>990-1095</v>
      </c>
      <c r="W1106" s="93">
        <f>+VLOOKUP(Agencia[[#This Row],[Filtro URL]],Estructura!$X$4:$Y$500,2,0)</f>
        <v>99200001</v>
      </c>
      <c r="X1106" s="93" t="str">
        <f>+VLOOKUP(Agencia[[#This Row],[tema]],Estructura!$A$4:$C$500,3,0)</f>
        <v>T-1029</v>
      </c>
      <c r="Y1106" s="93" t="str">
        <f>+VLOOKUP(Agencia[[#This Row],[contenido]],Estructura!$E$4:$G$500,3,0)</f>
        <v>C-996</v>
      </c>
      <c r="Z1106" s="93" t="str">
        <f>+VLOOKUP(Agencia[[#This Row],[Filtro Integrado]],Estructura!$I$4:$K$500,3,0)</f>
        <v>FI-993</v>
      </c>
      <c r="AA1106" s="93" t="str">
        <f>+VLOOKUP(Agencia[[#This Row],[Muestra]],Estructura!$M$4:$O$500,3,0)</f>
        <v>M-1011</v>
      </c>
    </row>
    <row r="1107" spans="1:27" ht="71.400000000000006" x14ac:dyDescent="0.3">
      <c r="A1107" s="21" t="s">
        <v>1827</v>
      </c>
      <c r="B1107" s="23">
        <v>990</v>
      </c>
      <c r="C1107" s="24" t="s">
        <v>400</v>
      </c>
      <c r="D1107" s="67" t="s">
        <v>459</v>
      </c>
      <c r="E1107" s="19">
        <v>2</v>
      </c>
      <c r="F1107" s="10" t="s">
        <v>845</v>
      </c>
      <c r="G1107" s="10" t="s">
        <v>1877</v>
      </c>
      <c r="H1107" s="33" t="s">
        <v>16</v>
      </c>
      <c r="I1107" s="34" t="s">
        <v>369</v>
      </c>
      <c r="J1107" s="9" t="s">
        <v>403</v>
      </c>
      <c r="K1107" s="9" t="s">
        <v>1975</v>
      </c>
      <c r="L1107" s="9" t="s">
        <v>846</v>
      </c>
      <c r="M1107" s="9" t="s">
        <v>847</v>
      </c>
      <c r="N1107" s="9" t="s">
        <v>848</v>
      </c>
      <c r="O1107" s="20" t="s">
        <v>2727</v>
      </c>
      <c r="P1107" s="112" t="s">
        <v>6888</v>
      </c>
      <c r="Q1107" s="125" t="s">
        <v>6938</v>
      </c>
      <c r="R1107"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Antofagasta,regional,atenciones,médicas,salud,violencia,género,concepto,urgencia,abuso,sexual,violación,anticonceptivo,anticoncepción,estupro,física,intrafamiliar,emergencia,Agencia Información,Mujeres,Atenciones de Salud Violencia de Género,Violencia Contra la Mujer</v>
      </c>
      <c r="S1107" s="37" t="s">
        <v>2414</v>
      </c>
      <c r="T1107" s="114" t="s">
        <v>1860</v>
      </c>
      <c r="U1107" s="95" t="s">
        <v>398</v>
      </c>
      <c r="V1107" s="93" t="str">
        <f>+Agencia[[#This Row],[idcoleccion]]&amp;"-"&amp;Agencia[[#This Row],[id]]</f>
        <v>990-1096</v>
      </c>
      <c r="W1107" s="93">
        <f>+VLOOKUP(Agencia[[#This Row],[Filtro URL]],Estructura!$X$4:$Y$500,2,0)</f>
        <v>99200002</v>
      </c>
      <c r="X1107" s="93" t="str">
        <f>+VLOOKUP(Agencia[[#This Row],[tema]],Estructura!$A$4:$C$500,3,0)</f>
        <v>T-1029</v>
      </c>
      <c r="Y1107" s="93" t="str">
        <f>+VLOOKUP(Agencia[[#This Row],[contenido]],Estructura!$E$4:$G$500,3,0)</f>
        <v>C-996</v>
      </c>
      <c r="Z1107" s="93" t="str">
        <f>+VLOOKUP(Agencia[[#This Row],[Filtro Integrado]],Estructura!$I$4:$K$500,3,0)</f>
        <v>FI-993</v>
      </c>
      <c r="AA1107" s="93" t="str">
        <f>+VLOOKUP(Agencia[[#This Row],[Muestra]],Estructura!$M$4:$O$500,3,0)</f>
        <v>M-1011</v>
      </c>
    </row>
    <row r="1108" spans="1:27" ht="71.400000000000006" x14ac:dyDescent="0.3">
      <c r="A1108" s="21" t="s">
        <v>1828</v>
      </c>
      <c r="B1108" s="23">
        <v>990</v>
      </c>
      <c r="C1108" s="24" t="s">
        <v>400</v>
      </c>
      <c r="D1108" s="67" t="s">
        <v>459</v>
      </c>
      <c r="E1108" s="19">
        <v>3</v>
      </c>
      <c r="F1108" s="10" t="s">
        <v>845</v>
      </c>
      <c r="G1108" s="10" t="s">
        <v>1877</v>
      </c>
      <c r="H1108" s="33" t="s">
        <v>16</v>
      </c>
      <c r="I1108" s="34" t="s">
        <v>370</v>
      </c>
      <c r="J1108" s="9" t="s">
        <v>403</v>
      </c>
      <c r="K1108" s="9" t="s">
        <v>1975</v>
      </c>
      <c r="L1108" s="9" t="s">
        <v>846</v>
      </c>
      <c r="M1108" s="9" t="s">
        <v>847</v>
      </c>
      <c r="N1108" s="9" t="s">
        <v>848</v>
      </c>
      <c r="O1108" s="20" t="s">
        <v>2728</v>
      </c>
      <c r="P1108" s="112" t="s">
        <v>6889</v>
      </c>
      <c r="Q1108" s="125" t="s">
        <v>6938</v>
      </c>
      <c r="R1108"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Atacama,regional,atenciones,médicas,salud,violencia,género,concepto,urgencia,abuso,sexual,violación,anticonceptivo,anticoncepción,estupro,física,intrafamiliar,emergencia,Agencia Información,Mujeres,Atenciones de Salud Violencia de Género,Violencia Contra la Mujer</v>
      </c>
      <c r="S1108" s="37" t="s">
        <v>2415</v>
      </c>
      <c r="T1108" s="114" t="s">
        <v>1862</v>
      </c>
      <c r="U1108" s="46" t="s">
        <v>398</v>
      </c>
      <c r="V1108" s="93" t="str">
        <f>+Agencia[[#This Row],[idcoleccion]]&amp;"-"&amp;Agencia[[#This Row],[id]]</f>
        <v>990-1097</v>
      </c>
      <c r="W1108" s="93">
        <f>+VLOOKUP(Agencia[[#This Row],[Filtro URL]],Estructura!$X$4:$Y$500,2,0)</f>
        <v>99200003</v>
      </c>
      <c r="X1108" s="93" t="str">
        <f>+VLOOKUP(Agencia[[#This Row],[tema]],Estructura!$A$4:$C$500,3,0)</f>
        <v>T-1029</v>
      </c>
      <c r="Y1108" s="93" t="str">
        <f>+VLOOKUP(Agencia[[#This Row],[contenido]],Estructura!$E$4:$G$500,3,0)</f>
        <v>C-996</v>
      </c>
      <c r="Z1108" s="93" t="str">
        <f>+VLOOKUP(Agencia[[#This Row],[Filtro Integrado]],Estructura!$I$4:$K$500,3,0)</f>
        <v>FI-993</v>
      </c>
      <c r="AA1108" s="93" t="str">
        <f>+VLOOKUP(Agencia[[#This Row],[Muestra]],Estructura!$M$4:$O$500,3,0)</f>
        <v>M-1011</v>
      </c>
    </row>
    <row r="1109" spans="1:27" ht="71.400000000000006" x14ac:dyDescent="0.3">
      <c r="A1109" s="21" t="s">
        <v>1829</v>
      </c>
      <c r="B1109" s="23">
        <v>990</v>
      </c>
      <c r="C1109" s="24" t="s">
        <v>400</v>
      </c>
      <c r="D1109" s="67" t="s">
        <v>459</v>
      </c>
      <c r="E1109" s="19">
        <v>4</v>
      </c>
      <c r="F1109" s="10" t="s">
        <v>845</v>
      </c>
      <c r="G1109" s="10" t="s">
        <v>1877</v>
      </c>
      <c r="H1109" s="33" t="s">
        <v>16</v>
      </c>
      <c r="I1109" s="34" t="s">
        <v>371</v>
      </c>
      <c r="J1109" s="9" t="s">
        <v>403</v>
      </c>
      <c r="K1109" s="9" t="s">
        <v>1975</v>
      </c>
      <c r="L1109" s="9" t="s">
        <v>846</v>
      </c>
      <c r="M1109" s="9" t="s">
        <v>847</v>
      </c>
      <c r="N1109" s="9" t="s">
        <v>848</v>
      </c>
      <c r="O1109" s="20" t="s">
        <v>2729</v>
      </c>
      <c r="P1109" s="112" t="s">
        <v>6890</v>
      </c>
      <c r="Q1109" s="125" t="s">
        <v>6938</v>
      </c>
      <c r="R1109"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Coquimbo,regional,atenciones,médicas,salud,violencia,género,concepto,urgencia,abuso,sexual,violación,anticonceptivo,anticoncepción,estupro,física,intrafamiliar,emergencia,Agencia Información,Mujeres,Atenciones de Salud Violencia de Género,Violencia Contra la Mujer</v>
      </c>
      <c r="S1109" s="37" t="s">
        <v>2416</v>
      </c>
      <c r="T1109" s="114" t="s">
        <v>1864</v>
      </c>
      <c r="U1109" s="46" t="s">
        <v>398</v>
      </c>
      <c r="V1109" s="93" t="str">
        <f>+Agencia[[#This Row],[idcoleccion]]&amp;"-"&amp;Agencia[[#This Row],[id]]</f>
        <v>990-1098</v>
      </c>
      <c r="W1109" s="93">
        <f>+VLOOKUP(Agencia[[#This Row],[Filtro URL]],Estructura!$X$4:$Y$500,2,0)</f>
        <v>99200004</v>
      </c>
      <c r="X1109" s="93" t="str">
        <f>+VLOOKUP(Agencia[[#This Row],[tema]],Estructura!$A$4:$C$500,3,0)</f>
        <v>T-1029</v>
      </c>
      <c r="Y1109" s="93" t="str">
        <f>+VLOOKUP(Agencia[[#This Row],[contenido]],Estructura!$E$4:$G$500,3,0)</f>
        <v>C-996</v>
      </c>
      <c r="Z1109" s="93" t="str">
        <f>+VLOOKUP(Agencia[[#This Row],[Filtro Integrado]],Estructura!$I$4:$K$500,3,0)</f>
        <v>FI-993</v>
      </c>
      <c r="AA1109" s="93" t="str">
        <f>+VLOOKUP(Agencia[[#This Row],[Muestra]],Estructura!$M$4:$O$500,3,0)</f>
        <v>M-1011</v>
      </c>
    </row>
    <row r="1110" spans="1:27" ht="71.400000000000006" x14ac:dyDescent="0.3">
      <c r="A1110" s="21" t="s">
        <v>1830</v>
      </c>
      <c r="B1110" s="23">
        <v>990</v>
      </c>
      <c r="C1110" s="24" t="s">
        <v>400</v>
      </c>
      <c r="D1110" s="67" t="s">
        <v>459</v>
      </c>
      <c r="E1110" s="19">
        <v>5</v>
      </c>
      <c r="F1110" s="10" t="s">
        <v>845</v>
      </c>
      <c r="G1110" s="10" t="s">
        <v>1877</v>
      </c>
      <c r="H1110" s="33" t="s">
        <v>16</v>
      </c>
      <c r="I1110" s="34" t="s">
        <v>372</v>
      </c>
      <c r="J1110" s="9" t="s">
        <v>403</v>
      </c>
      <c r="K1110" s="9" t="s">
        <v>1975</v>
      </c>
      <c r="L1110" s="9" t="s">
        <v>846</v>
      </c>
      <c r="M1110" s="9" t="s">
        <v>847</v>
      </c>
      <c r="N1110" s="9" t="s">
        <v>848</v>
      </c>
      <c r="O1110" s="20" t="s">
        <v>2730</v>
      </c>
      <c r="P1110" s="112" t="s">
        <v>6891</v>
      </c>
      <c r="Q1110" s="125" t="s">
        <v>6938</v>
      </c>
      <c r="R1110"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Valparaíso,regional,atenciones,médicas,salud,violencia,género,concepto,urgencia,abuso,sexual,violación,anticonceptivo,anticoncepción,estupro,física,intrafamiliar,emergencia,Agencia Información,Mujeres,Atenciones de Salud Violencia de Género,Violencia Contra la Mujer</v>
      </c>
      <c r="S1110" s="37" t="s">
        <v>2417</v>
      </c>
      <c r="T1110" s="114" t="s">
        <v>1873</v>
      </c>
      <c r="U1110" s="95" t="s">
        <v>398</v>
      </c>
      <c r="V1110" s="93" t="str">
        <f>+Agencia[[#This Row],[idcoleccion]]&amp;"-"&amp;Agencia[[#This Row],[id]]</f>
        <v>990-1099</v>
      </c>
      <c r="W1110" s="93">
        <f>+VLOOKUP(Agencia[[#This Row],[Filtro URL]],Estructura!$X$4:$Y$500,2,0)</f>
        <v>99200005</v>
      </c>
      <c r="X1110" s="93" t="str">
        <f>+VLOOKUP(Agencia[[#This Row],[tema]],Estructura!$A$4:$C$500,3,0)</f>
        <v>T-1029</v>
      </c>
      <c r="Y1110" s="93" t="str">
        <f>+VLOOKUP(Agencia[[#This Row],[contenido]],Estructura!$E$4:$G$500,3,0)</f>
        <v>C-996</v>
      </c>
      <c r="Z1110" s="93" t="str">
        <f>+VLOOKUP(Agencia[[#This Row],[Filtro Integrado]],Estructura!$I$4:$K$500,3,0)</f>
        <v>FI-993</v>
      </c>
      <c r="AA1110" s="93" t="str">
        <f>+VLOOKUP(Agencia[[#This Row],[Muestra]],Estructura!$M$4:$O$500,3,0)</f>
        <v>M-1011</v>
      </c>
    </row>
    <row r="1111" spans="1:27" ht="71.400000000000006" x14ac:dyDescent="0.3">
      <c r="A1111" s="21" t="s">
        <v>1831</v>
      </c>
      <c r="B1111" s="23">
        <v>990</v>
      </c>
      <c r="C1111" s="24" t="s">
        <v>400</v>
      </c>
      <c r="D1111" s="67" t="s">
        <v>459</v>
      </c>
      <c r="E1111" s="19">
        <v>6</v>
      </c>
      <c r="F1111" s="10" t="s">
        <v>845</v>
      </c>
      <c r="G1111" s="10" t="s">
        <v>1877</v>
      </c>
      <c r="H1111" s="33" t="s">
        <v>16</v>
      </c>
      <c r="I1111" s="34" t="s">
        <v>373</v>
      </c>
      <c r="J1111" s="9" t="s">
        <v>403</v>
      </c>
      <c r="K1111" s="9" t="s">
        <v>1975</v>
      </c>
      <c r="L1111" s="9" t="s">
        <v>846</v>
      </c>
      <c r="M1111" s="9" t="s">
        <v>847</v>
      </c>
      <c r="N1111" s="9" t="s">
        <v>848</v>
      </c>
      <c r="O1111" s="20" t="s">
        <v>2731</v>
      </c>
      <c r="P1111" s="112" t="s">
        <v>6892</v>
      </c>
      <c r="Q1111" s="125" t="s">
        <v>6938</v>
      </c>
      <c r="R1111"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O'Higgins,regional,atenciones,médicas,salud,violencia,género,concepto,urgencia,abuso,sexual,violación,anticonceptivo,anticoncepción,estupro,física,intrafamiliar,emergencia,Agencia Información,Mujeres,Atenciones de Salud Violencia de Género,Violencia Contra la Mujer</v>
      </c>
      <c r="S1111" s="37" t="s">
        <v>2418</v>
      </c>
      <c r="T1111" s="114" t="s">
        <v>1871</v>
      </c>
      <c r="U1111" s="46" t="s">
        <v>398</v>
      </c>
      <c r="V1111" s="93" t="str">
        <f>+Agencia[[#This Row],[idcoleccion]]&amp;"-"&amp;Agencia[[#This Row],[id]]</f>
        <v>990-1100</v>
      </c>
      <c r="W1111" s="93">
        <f>+VLOOKUP(Agencia[[#This Row],[Filtro URL]],Estructura!$X$4:$Y$500,2,0)</f>
        <v>99200006</v>
      </c>
      <c r="X1111" s="93" t="str">
        <f>+VLOOKUP(Agencia[[#This Row],[tema]],Estructura!$A$4:$C$500,3,0)</f>
        <v>T-1029</v>
      </c>
      <c r="Y1111" s="93" t="str">
        <f>+VLOOKUP(Agencia[[#This Row],[contenido]],Estructura!$E$4:$G$500,3,0)</f>
        <v>C-996</v>
      </c>
      <c r="Z1111" s="93" t="str">
        <f>+VLOOKUP(Agencia[[#This Row],[Filtro Integrado]],Estructura!$I$4:$K$500,3,0)</f>
        <v>FI-993</v>
      </c>
      <c r="AA1111" s="93" t="str">
        <f>+VLOOKUP(Agencia[[#This Row],[Muestra]],Estructura!$M$4:$O$500,3,0)</f>
        <v>M-1011</v>
      </c>
    </row>
    <row r="1112" spans="1:27" ht="71.400000000000006" x14ac:dyDescent="0.3">
      <c r="A1112" s="21" t="s">
        <v>1832</v>
      </c>
      <c r="B1112" s="23">
        <v>990</v>
      </c>
      <c r="C1112" s="24" t="s">
        <v>400</v>
      </c>
      <c r="D1112" s="67" t="s">
        <v>459</v>
      </c>
      <c r="E1112" s="19">
        <v>7</v>
      </c>
      <c r="F1112" s="10" t="s">
        <v>845</v>
      </c>
      <c r="G1112" s="10" t="s">
        <v>1877</v>
      </c>
      <c r="H1112" s="33" t="s">
        <v>16</v>
      </c>
      <c r="I1112" s="34" t="s">
        <v>374</v>
      </c>
      <c r="J1112" s="9" t="s">
        <v>403</v>
      </c>
      <c r="K1112" s="9" t="s">
        <v>1975</v>
      </c>
      <c r="L1112" s="9" t="s">
        <v>846</v>
      </c>
      <c r="M1112" s="9" t="s">
        <v>847</v>
      </c>
      <c r="N1112" s="9" t="s">
        <v>848</v>
      </c>
      <c r="O1112" s="20" t="s">
        <v>2732</v>
      </c>
      <c r="P1112" s="112" t="s">
        <v>6893</v>
      </c>
      <c r="Q1112" s="125" t="s">
        <v>6938</v>
      </c>
      <c r="R1112"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Maule,regional,atenciones,médicas,salud,violencia,género,concepto,urgencia,abuso,sexual,violación,anticonceptivo,anticoncepción,estupro,física,intrafamiliar,emergencia,Agencia Información,Mujeres,Atenciones de Salud Violencia de Género,Violencia Contra la Mujer</v>
      </c>
      <c r="S1112" s="37" t="s">
        <v>2419</v>
      </c>
      <c r="T1112" s="114" t="s">
        <v>1869</v>
      </c>
      <c r="U1112" s="46" t="s">
        <v>398</v>
      </c>
      <c r="V1112" s="93" t="str">
        <f>+Agencia[[#This Row],[idcoleccion]]&amp;"-"&amp;Agencia[[#This Row],[id]]</f>
        <v>990-1101</v>
      </c>
      <c r="W1112" s="93">
        <f>+VLOOKUP(Agencia[[#This Row],[Filtro URL]],Estructura!$X$4:$Y$500,2,0)</f>
        <v>99200007</v>
      </c>
      <c r="X1112" s="93" t="str">
        <f>+VLOOKUP(Agencia[[#This Row],[tema]],Estructura!$A$4:$C$500,3,0)</f>
        <v>T-1029</v>
      </c>
      <c r="Y1112" s="93" t="str">
        <f>+VLOOKUP(Agencia[[#This Row],[contenido]],Estructura!$E$4:$G$500,3,0)</f>
        <v>C-996</v>
      </c>
      <c r="Z1112" s="93" t="str">
        <f>+VLOOKUP(Agencia[[#This Row],[Filtro Integrado]],Estructura!$I$4:$K$500,3,0)</f>
        <v>FI-993</v>
      </c>
      <c r="AA1112" s="93" t="str">
        <f>+VLOOKUP(Agencia[[#This Row],[Muestra]],Estructura!$M$4:$O$500,3,0)</f>
        <v>M-1011</v>
      </c>
    </row>
    <row r="1113" spans="1:27" ht="71.400000000000006" x14ac:dyDescent="0.3">
      <c r="A1113" s="21" t="s">
        <v>1833</v>
      </c>
      <c r="B1113" s="23">
        <v>990</v>
      </c>
      <c r="C1113" s="24" t="s">
        <v>400</v>
      </c>
      <c r="D1113" s="67" t="s">
        <v>459</v>
      </c>
      <c r="E1113" s="19">
        <v>8</v>
      </c>
      <c r="F1113" s="10" t="s">
        <v>845</v>
      </c>
      <c r="G1113" s="10" t="s">
        <v>1877</v>
      </c>
      <c r="H1113" s="33" t="s">
        <v>16</v>
      </c>
      <c r="I1113" s="34" t="s">
        <v>375</v>
      </c>
      <c r="J1113" s="9" t="s">
        <v>403</v>
      </c>
      <c r="K1113" s="9" t="s">
        <v>1975</v>
      </c>
      <c r="L1113" s="9" t="s">
        <v>846</v>
      </c>
      <c r="M1113" s="9" t="s">
        <v>847</v>
      </c>
      <c r="N1113" s="9" t="s">
        <v>848</v>
      </c>
      <c r="O1113" s="20" t="s">
        <v>2733</v>
      </c>
      <c r="P1113" s="112" t="s">
        <v>6894</v>
      </c>
      <c r="Q1113" s="125" t="s">
        <v>6938</v>
      </c>
      <c r="R1113"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del Biobío,regional,atenciones,médicas,salud,violencia,género,concepto,urgencia,abuso,sexual,violación,anticonceptivo,anticoncepción,estupro,física,intrafamiliar,emergencia,Agencia Información,Mujeres,Atenciones de Salud Violencia de Género,Violencia Contra la Mujer</v>
      </c>
      <c r="S1113" s="37" t="s">
        <v>2420</v>
      </c>
      <c r="T1113" s="114" t="s">
        <v>1874</v>
      </c>
      <c r="U1113" s="95" t="s">
        <v>398</v>
      </c>
      <c r="V1113" s="93" t="str">
        <f>+Agencia[[#This Row],[idcoleccion]]&amp;"-"&amp;Agencia[[#This Row],[id]]</f>
        <v>990-1102</v>
      </c>
      <c r="W1113" s="93">
        <f>+VLOOKUP(Agencia[[#This Row],[Filtro URL]],Estructura!$X$4:$Y$500,2,0)</f>
        <v>99200008</v>
      </c>
      <c r="X1113" s="93" t="str">
        <f>+VLOOKUP(Agencia[[#This Row],[tema]],Estructura!$A$4:$C$500,3,0)</f>
        <v>T-1029</v>
      </c>
      <c r="Y1113" s="93" t="str">
        <f>+VLOOKUP(Agencia[[#This Row],[contenido]],Estructura!$E$4:$G$500,3,0)</f>
        <v>C-996</v>
      </c>
      <c r="Z1113" s="93" t="str">
        <f>+VLOOKUP(Agencia[[#This Row],[Filtro Integrado]],Estructura!$I$4:$K$500,3,0)</f>
        <v>FI-993</v>
      </c>
      <c r="AA1113" s="93" t="str">
        <f>+VLOOKUP(Agencia[[#This Row],[Muestra]],Estructura!$M$4:$O$500,3,0)</f>
        <v>M-1011</v>
      </c>
    </row>
    <row r="1114" spans="1:27" ht="71.400000000000006" x14ac:dyDescent="0.3">
      <c r="A1114" s="21" t="s">
        <v>1363</v>
      </c>
      <c r="B1114" s="23">
        <v>990</v>
      </c>
      <c r="C1114" s="24" t="s">
        <v>400</v>
      </c>
      <c r="D1114" s="67" t="s">
        <v>459</v>
      </c>
      <c r="E1114" s="19">
        <v>9</v>
      </c>
      <c r="F1114" s="10" t="s">
        <v>845</v>
      </c>
      <c r="G1114" s="10" t="s">
        <v>1877</v>
      </c>
      <c r="H1114" s="33" t="s">
        <v>16</v>
      </c>
      <c r="I1114" s="34" t="s">
        <v>376</v>
      </c>
      <c r="J1114" s="9" t="s">
        <v>403</v>
      </c>
      <c r="K1114" s="9" t="s">
        <v>1975</v>
      </c>
      <c r="L1114" s="9" t="s">
        <v>846</v>
      </c>
      <c r="M1114" s="9" t="s">
        <v>847</v>
      </c>
      <c r="N1114" s="9" t="s">
        <v>848</v>
      </c>
      <c r="O1114" s="20" t="s">
        <v>2734</v>
      </c>
      <c r="P1114" s="112" t="s">
        <v>6895</v>
      </c>
      <c r="Q1114" s="125" t="s">
        <v>6938</v>
      </c>
      <c r="R1114"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La Araucanía,regional,atenciones,médicas,salud,violencia,género,concepto,urgencia,abuso,sexual,violación,anticonceptivo,anticoncepción,estupro,física,intrafamiliar,emergencia,Agencia Información,Mujeres,Atenciones de Salud Violencia de Género,Violencia Contra la Mujer</v>
      </c>
      <c r="S1114" s="37" t="s">
        <v>2421</v>
      </c>
      <c r="T1114" s="114" t="s">
        <v>1865</v>
      </c>
      <c r="U1114" s="46" t="s">
        <v>398</v>
      </c>
      <c r="V1114" s="93" t="str">
        <f>+Agencia[[#This Row],[idcoleccion]]&amp;"-"&amp;Agencia[[#This Row],[id]]</f>
        <v>990-1103</v>
      </c>
      <c r="W1114" s="93">
        <f>+VLOOKUP(Agencia[[#This Row],[Filtro URL]],Estructura!$X$4:$Y$500,2,0)</f>
        <v>99200009</v>
      </c>
      <c r="X1114" s="93" t="str">
        <f>+VLOOKUP(Agencia[[#This Row],[tema]],Estructura!$A$4:$C$500,3,0)</f>
        <v>T-1029</v>
      </c>
      <c r="Y1114" s="93" t="str">
        <f>+VLOOKUP(Agencia[[#This Row],[contenido]],Estructura!$E$4:$G$500,3,0)</f>
        <v>C-996</v>
      </c>
      <c r="Z1114" s="93" t="str">
        <f>+VLOOKUP(Agencia[[#This Row],[Filtro Integrado]],Estructura!$I$4:$K$500,3,0)</f>
        <v>FI-993</v>
      </c>
      <c r="AA1114" s="93" t="str">
        <f>+VLOOKUP(Agencia[[#This Row],[Muestra]],Estructura!$M$4:$O$500,3,0)</f>
        <v>M-1011</v>
      </c>
    </row>
    <row r="1115" spans="1:27" ht="71.400000000000006" x14ac:dyDescent="0.3">
      <c r="A1115" s="21" t="s">
        <v>1364</v>
      </c>
      <c r="B1115" s="23">
        <v>990</v>
      </c>
      <c r="C1115" s="24" t="s">
        <v>400</v>
      </c>
      <c r="D1115" s="67" t="s">
        <v>459</v>
      </c>
      <c r="E1115" s="19">
        <v>10</v>
      </c>
      <c r="F1115" s="10" t="s">
        <v>845</v>
      </c>
      <c r="G1115" s="10" t="s">
        <v>1877</v>
      </c>
      <c r="H1115" s="33" t="s">
        <v>16</v>
      </c>
      <c r="I1115" s="34" t="s">
        <v>377</v>
      </c>
      <c r="J1115" s="9" t="s">
        <v>403</v>
      </c>
      <c r="K1115" s="9" t="s">
        <v>1975</v>
      </c>
      <c r="L1115" s="9" t="s">
        <v>846</v>
      </c>
      <c r="M1115" s="9" t="s">
        <v>847</v>
      </c>
      <c r="N1115" s="9" t="s">
        <v>848</v>
      </c>
      <c r="O1115" s="20" t="s">
        <v>2735</v>
      </c>
      <c r="P1115" s="112" t="s">
        <v>6896</v>
      </c>
      <c r="Q1115" s="125" t="s">
        <v>6938</v>
      </c>
      <c r="R1115"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Los Lagos,regional,atenciones,médicas,salud,violencia,género,concepto,urgencia,abuso,sexual,violación,anticonceptivo,anticoncepción,estupro,física,intrafamiliar,emergencia,Agencia Información,Mujeres,Atenciones de Salud Violencia de Género,Violencia Contra la Mujer</v>
      </c>
      <c r="S1115" s="37" t="s">
        <v>2422</v>
      </c>
      <c r="T1115" s="114" t="s">
        <v>1866</v>
      </c>
      <c r="U1115" s="46" t="s">
        <v>398</v>
      </c>
      <c r="V1115" s="93" t="str">
        <f>+Agencia[[#This Row],[idcoleccion]]&amp;"-"&amp;Agencia[[#This Row],[id]]</f>
        <v>990-1104</v>
      </c>
      <c r="W1115" s="93">
        <f>+VLOOKUP(Agencia[[#This Row],[Filtro URL]],Estructura!$X$4:$Y$500,2,0)</f>
        <v>99200010</v>
      </c>
      <c r="X1115" s="93" t="str">
        <f>+VLOOKUP(Agencia[[#This Row],[tema]],Estructura!$A$4:$C$500,3,0)</f>
        <v>T-1029</v>
      </c>
      <c r="Y1115" s="93" t="str">
        <f>+VLOOKUP(Agencia[[#This Row],[contenido]],Estructura!$E$4:$G$500,3,0)</f>
        <v>C-996</v>
      </c>
      <c r="Z1115" s="93" t="str">
        <f>+VLOOKUP(Agencia[[#This Row],[Filtro Integrado]],Estructura!$I$4:$K$500,3,0)</f>
        <v>FI-993</v>
      </c>
      <c r="AA1115" s="93" t="str">
        <f>+VLOOKUP(Agencia[[#This Row],[Muestra]],Estructura!$M$4:$O$500,3,0)</f>
        <v>M-1011</v>
      </c>
    </row>
    <row r="1116" spans="1:27" ht="71.400000000000006" x14ac:dyDescent="0.3">
      <c r="A1116" s="21" t="s">
        <v>1365</v>
      </c>
      <c r="B1116" s="23">
        <v>990</v>
      </c>
      <c r="C1116" s="24" t="s">
        <v>400</v>
      </c>
      <c r="D1116" s="67" t="s">
        <v>459</v>
      </c>
      <c r="E1116" s="19">
        <v>11</v>
      </c>
      <c r="F1116" s="10" t="s">
        <v>845</v>
      </c>
      <c r="G1116" s="10" t="s">
        <v>1877</v>
      </c>
      <c r="H1116" s="33" t="s">
        <v>16</v>
      </c>
      <c r="I1116" s="34" t="s">
        <v>378</v>
      </c>
      <c r="J1116" s="9" t="s">
        <v>403</v>
      </c>
      <c r="K1116" s="9" t="s">
        <v>1975</v>
      </c>
      <c r="L1116" s="9" t="s">
        <v>846</v>
      </c>
      <c r="M1116" s="9" t="s">
        <v>847</v>
      </c>
      <c r="N1116" s="9" t="s">
        <v>848</v>
      </c>
      <c r="O1116" s="20" t="s">
        <v>2736</v>
      </c>
      <c r="P1116" s="112" t="s">
        <v>6897</v>
      </c>
      <c r="Q1116" s="125" t="s">
        <v>6938</v>
      </c>
      <c r="R1116"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Aysén,regional,atenciones,médicas,salud,violencia,género,concepto,urgencia,abuso,sexual,violación,anticonceptivo,anticoncepción,estupro,física,intrafamiliar,emergencia,Agencia Información,Mujeres,Atenciones de Salud Violencia de Género,Violencia Contra la Mujer</v>
      </c>
      <c r="S1116" s="37" t="s">
        <v>2423</v>
      </c>
      <c r="T1116" s="114" t="s">
        <v>1863</v>
      </c>
      <c r="U1116" s="95" t="s">
        <v>398</v>
      </c>
      <c r="V1116" s="93" t="str">
        <f>+Agencia[[#This Row],[idcoleccion]]&amp;"-"&amp;Agencia[[#This Row],[id]]</f>
        <v>990-1105</v>
      </c>
      <c r="W1116" s="93">
        <f>+VLOOKUP(Agencia[[#This Row],[Filtro URL]],Estructura!$X$4:$Y$500,2,0)</f>
        <v>99200011</v>
      </c>
      <c r="X1116" s="93" t="str">
        <f>+VLOOKUP(Agencia[[#This Row],[tema]],Estructura!$A$4:$C$500,3,0)</f>
        <v>T-1029</v>
      </c>
      <c r="Y1116" s="93" t="str">
        <f>+VLOOKUP(Agencia[[#This Row],[contenido]],Estructura!$E$4:$G$500,3,0)</f>
        <v>C-996</v>
      </c>
      <c r="Z1116" s="93" t="str">
        <f>+VLOOKUP(Agencia[[#This Row],[Filtro Integrado]],Estructura!$I$4:$K$500,3,0)</f>
        <v>FI-993</v>
      </c>
      <c r="AA1116" s="93" t="str">
        <f>+VLOOKUP(Agencia[[#This Row],[Muestra]],Estructura!$M$4:$O$500,3,0)</f>
        <v>M-1011</v>
      </c>
    </row>
    <row r="1117" spans="1:27" ht="71.400000000000006" x14ac:dyDescent="0.3">
      <c r="A1117" s="21" t="s">
        <v>1366</v>
      </c>
      <c r="B1117" s="23">
        <v>990</v>
      </c>
      <c r="C1117" s="24" t="s">
        <v>400</v>
      </c>
      <c r="D1117" s="67" t="s">
        <v>459</v>
      </c>
      <c r="E1117" s="19">
        <v>12</v>
      </c>
      <c r="F1117" s="10" t="s">
        <v>845</v>
      </c>
      <c r="G1117" s="10" t="s">
        <v>1877</v>
      </c>
      <c r="H1117" s="33" t="s">
        <v>16</v>
      </c>
      <c r="I1117" s="34" t="s">
        <v>379</v>
      </c>
      <c r="J1117" s="9" t="s">
        <v>403</v>
      </c>
      <c r="K1117" s="9" t="s">
        <v>1975</v>
      </c>
      <c r="L1117" s="9" t="s">
        <v>846</v>
      </c>
      <c r="M1117" s="9" t="s">
        <v>847</v>
      </c>
      <c r="N1117" s="9" t="s">
        <v>848</v>
      </c>
      <c r="O1117" s="20" t="s">
        <v>2737</v>
      </c>
      <c r="P1117" s="112" t="s">
        <v>6898</v>
      </c>
      <c r="Q1117" s="125" t="s">
        <v>6938</v>
      </c>
      <c r="R1117"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Magallanes,regional,atenciones,médicas,salud,violencia,género,concepto,urgencia,abuso,sexual,violación,anticonceptivo,anticoncepción,estupro,física,intrafamiliar,emergencia,Agencia Información,Mujeres,Atenciones de Salud Violencia de Género,Violencia Contra la Mujer</v>
      </c>
      <c r="S1117" s="37" t="s">
        <v>2424</v>
      </c>
      <c r="T1117" s="114" t="s">
        <v>1868</v>
      </c>
      <c r="U1117" s="46" t="s">
        <v>398</v>
      </c>
      <c r="V1117" s="93" t="str">
        <f>+Agencia[[#This Row],[idcoleccion]]&amp;"-"&amp;Agencia[[#This Row],[id]]</f>
        <v>990-1106</v>
      </c>
      <c r="W1117" s="93">
        <f>+VLOOKUP(Agencia[[#This Row],[Filtro URL]],Estructura!$X$4:$Y$500,2,0)</f>
        <v>99200012</v>
      </c>
      <c r="X1117" s="93" t="str">
        <f>+VLOOKUP(Agencia[[#This Row],[tema]],Estructura!$A$4:$C$500,3,0)</f>
        <v>T-1029</v>
      </c>
      <c r="Y1117" s="93" t="str">
        <f>+VLOOKUP(Agencia[[#This Row],[contenido]],Estructura!$E$4:$G$500,3,0)</f>
        <v>C-996</v>
      </c>
      <c r="Z1117" s="93" t="str">
        <f>+VLOOKUP(Agencia[[#This Row],[Filtro Integrado]],Estructura!$I$4:$K$500,3,0)</f>
        <v>FI-993</v>
      </c>
      <c r="AA1117" s="93" t="str">
        <f>+VLOOKUP(Agencia[[#This Row],[Muestra]],Estructura!$M$4:$O$500,3,0)</f>
        <v>M-1011</v>
      </c>
    </row>
    <row r="1118" spans="1:27" ht="71.400000000000006" x14ac:dyDescent="0.3">
      <c r="A1118" s="21" t="s">
        <v>3604</v>
      </c>
      <c r="B1118" s="23">
        <v>990</v>
      </c>
      <c r="C1118" s="24" t="s">
        <v>400</v>
      </c>
      <c r="D1118" s="67" t="s">
        <v>459</v>
      </c>
      <c r="E1118" s="19">
        <v>13</v>
      </c>
      <c r="F1118" s="10" t="s">
        <v>845</v>
      </c>
      <c r="G1118" s="10" t="s">
        <v>1877</v>
      </c>
      <c r="H1118" s="33" t="s">
        <v>16</v>
      </c>
      <c r="I1118" s="34" t="s">
        <v>380</v>
      </c>
      <c r="J1118" s="9" t="s">
        <v>403</v>
      </c>
      <c r="K1118" s="9" t="s">
        <v>1975</v>
      </c>
      <c r="L1118" s="9" t="s">
        <v>846</v>
      </c>
      <c r="M1118" s="9" t="s">
        <v>847</v>
      </c>
      <c r="N1118" s="9" t="s">
        <v>848</v>
      </c>
      <c r="O1118" s="20" t="s">
        <v>2738</v>
      </c>
      <c r="P1118" s="112" t="s">
        <v>6899</v>
      </c>
      <c r="Q1118" s="125" t="s">
        <v>6938</v>
      </c>
      <c r="R1118"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Metropolitana,regional,atenciones,médicas,salud,violencia,género,concepto,urgencia,abuso,sexual,violación,anticonceptivo,anticoncepción,estupro,física,intrafamiliar,emergencia,Agencia Información,Mujeres,Atenciones de Salud Violencia de Género,Violencia Contra la Mujer</v>
      </c>
      <c r="S1118" s="37" t="s">
        <v>2425</v>
      </c>
      <c r="T1118" s="114" t="s">
        <v>1875</v>
      </c>
      <c r="U1118" s="46" t="s">
        <v>398</v>
      </c>
      <c r="V1118" s="93" t="str">
        <f>+Agencia[[#This Row],[idcoleccion]]&amp;"-"&amp;Agencia[[#This Row],[id]]</f>
        <v>990-1107</v>
      </c>
      <c r="W1118" s="93">
        <f>+VLOOKUP(Agencia[[#This Row],[Filtro URL]],Estructura!$X$4:$Y$500,2,0)</f>
        <v>99200013</v>
      </c>
      <c r="X1118" s="93" t="str">
        <f>+VLOOKUP(Agencia[[#This Row],[tema]],Estructura!$A$4:$C$500,3,0)</f>
        <v>T-1029</v>
      </c>
      <c r="Y1118" s="93" t="str">
        <f>+VLOOKUP(Agencia[[#This Row],[contenido]],Estructura!$E$4:$G$500,3,0)</f>
        <v>C-996</v>
      </c>
      <c r="Z1118" s="93" t="str">
        <f>+VLOOKUP(Agencia[[#This Row],[Filtro Integrado]],Estructura!$I$4:$K$500,3,0)</f>
        <v>FI-993</v>
      </c>
      <c r="AA1118" s="93" t="str">
        <f>+VLOOKUP(Agencia[[#This Row],[Muestra]],Estructura!$M$4:$O$500,3,0)</f>
        <v>M-1011</v>
      </c>
    </row>
    <row r="1119" spans="1:27" ht="71.400000000000006" x14ac:dyDescent="0.3">
      <c r="A1119" s="21" t="s">
        <v>1913</v>
      </c>
      <c r="B1119" s="23">
        <v>990</v>
      </c>
      <c r="C1119" s="24" t="s">
        <v>400</v>
      </c>
      <c r="D1119" s="67" t="s">
        <v>459</v>
      </c>
      <c r="E1119" s="19">
        <v>14</v>
      </c>
      <c r="F1119" s="10" t="s">
        <v>845</v>
      </c>
      <c r="G1119" s="10" t="s">
        <v>1877</v>
      </c>
      <c r="H1119" s="33" t="s">
        <v>16</v>
      </c>
      <c r="I1119" s="34" t="s">
        <v>381</v>
      </c>
      <c r="J1119" s="9" t="s">
        <v>403</v>
      </c>
      <c r="K1119" s="9" t="s">
        <v>1975</v>
      </c>
      <c r="L1119" s="9" t="s">
        <v>846</v>
      </c>
      <c r="M1119" s="9" t="s">
        <v>847</v>
      </c>
      <c r="N1119" s="9" t="s">
        <v>848</v>
      </c>
      <c r="O1119" s="20" t="s">
        <v>2739</v>
      </c>
      <c r="P1119" s="112" t="s">
        <v>6900</v>
      </c>
      <c r="Q1119" s="125" t="s">
        <v>6938</v>
      </c>
      <c r="R1119"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Los Ríos,regional,atenciones,médicas,salud,violencia,género,concepto,urgencia,abuso,sexual,violación,anticonceptivo,anticoncepción,estupro,física,intrafamiliar,emergencia,Agencia Información,Mujeres,Atenciones de Salud Violencia de Género,Violencia Contra la Mujer</v>
      </c>
      <c r="S1119" s="37" t="s">
        <v>2426</v>
      </c>
      <c r="T1119" s="114" t="s">
        <v>1867</v>
      </c>
      <c r="U1119" s="95" t="s">
        <v>398</v>
      </c>
      <c r="V1119" s="93" t="str">
        <f>+Agencia[[#This Row],[idcoleccion]]&amp;"-"&amp;Agencia[[#This Row],[id]]</f>
        <v>990-1108</v>
      </c>
      <c r="W1119" s="93">
        <f>+VLOOKUP(Agencia[[#This Row],[Filtro URL]],Estructura!$X$4:$Y$500,2,0)</f>
        <v>99200014</v>
      </c>
      <c r="X1119" s="93" t="str">
        <f>+VLOOKUP(Agencia[[#This Row],[tema]],Estructura!$A$4:$C$500,3,0)</f>
        <v>T-1029</v>
      </c>
      <c r="Y1119" s="93" t="str">
        <f>+VLOOKUP(Agencia[[#This Row],[contenido]],Estructura!$E$4:$G$500,3,0)</f>
        <v>C-996</v>
      </c>
      <c r="Z1119" s="93" t="str">
        <f>+VLOOKUP(Agencia[[#This Row],[Filtro Integrado]],Estructura!$I$4:$K$500,3,0)</f>
        <v>FI-993</v>
      </c>
      <c r="AA1119" s="93" t="str">
        <f>+VLOOKUP(Agencia[[#This Row],[Muestra]],Estructura!$M$4:$O$500,3,0)</f>
        <v>M-1011</v>
      </c>
    </row>
    <row r="1120" spans="1:27" ht="71.400000000000006" x14ac:dyDescent="0.3">
      <c r="A1120" s="21" t="s">
        <v>1917</v>
      </c>
      <c r="B1120" s="23">
        <v>990</v>
      </c>
      <c r="C1120" s="24" t="s">
        <v>400</v>
      </c>
      <c r="D1120" s="67" t="s">
        <v>459</v>
      </c>
      <c r="E1120" s="19">
        <v>15</v>
      </c>
      <c r="F1120" s="10" t="s">
        <v>845</v>
      </c>
      <c r="G1120" s="10" t="s">
        <v>1877</v>
      </c>
      <c r="H1120" s="33" t="s">
        <v>16</v>
      </c>
      <c r="I1120" s="34" t="s">
        <v>382</v>
      </c>
      <c r="J1120" s="9" t="s">
        <v>403</v>
      </c>
      <c r="K1120" s="9" t="s">
        <v>1975</v>
      </c>
      <c r="L1120" s="9" t="s">
        <v>846</v>
      </c>
      <c r="M1120" s="9" t="s">
        <v>847</v>
      </c>
      <c r="N1120" s="9" t="s">
        <v>848</v>
      </c>
      <c r="O1120" s="20" t="s">
        <v>2740</v>
      </c>
      <c r="P1120" s="112" t="s">
        <v>6901</v>
      </c>
      <c r="Q1120" s="125" t="s">
        <v>6938</v>
      </c>
      <c r="R1120"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Arica y Parinacota,regional,atenciones,médicas,salud,violencia,género,concepto,urgencia,abuso,sexual,violación,anticonceptivo,anticoncepción,estupro,física,intrafamiliar,emergencia,Agencia Información,Mujeres,Atenciones de Salud Violencia de Género,Violencia Contra la Mujer</v>
      </c>
      <c r="S1120" s="126" t="s">
        <v>2427</v>
      </c>
      <c r="T1120" s="114" t="s">
        <v>1861</v>
      </c>
      <c r="U1120" s="46" t="s">
        <v>398</v>
      </c>
      <c r="V1120" s="93" t="str">
        <f>+Agencia[[#This Row],[idcoleccion]]&amp;"-"&amp;Agencia[[#This Row],[id]]</f>
        <v>990-1109</v>
      </c>
      <c r="W1120" s="93">
        <f>+VLOOKUP(Agencia[[#This Row],[Filtro URL]],Estructura!$X$4:$Y$500,2,0)</f>
        <v>99200015</v>
      </c>
      <c r="X1120" s="93" t="str">
        <f>+VLOOKUP(Agencia[[#This Row],[tema]],Estructura!$A$4:$C$500,3,0)</f>
        <v>T-1029</v>
      </c>
      <c r="Y1120" s="93" t="str">
        <f>+VLOOKUP(Agencia[[#This Row],[contenido]],Estructura!$E$4:$G$500,3,0)</f>
        <v>C-996</v>
      </c>
      <c r="Z1120" s="93" t="str">
        <f>+VLOOKUP(Agencia[[#This Row],[Filtro Integrado]],Estructura!$I$4:$K$500,3,0)</f>
        <v>FI-993</v>
      </c>
      <c r="AA1120" s="93" t="str">
        <f>+VLOOKUP(Agencia[[#This Row],[Muestra]],Estructura!$M$4:$O$500,3,0)</f>
        <v>M-1011</v>
      </c>
    </row>
    <row r="1121" spans="1:27" ht="71.400000000000006" x14ac:dyDescent="0.3">
      <c r="A1121" s="21" t="s">
        <v>1918</v>
      </c>
      <c r="B1121" s="23">
        <v>990</v>
      </c>
      <c r="C1121" s="24" t="s">
        <v>400</v>
      </c>
      <c r="D1121" s="67" t="s">
        <v>459</v>
      </c>
      <c r="E1121" s="19">
        <v>16</v>
      </c>
      <c r="F1121" s="10" t="s">
        <v>845</v>
      </c>
      <c r="G1121" s="10" t="s">
        <v>1877</v>
      </c>
      <c r="H1121" s="33" t="s">
        <v>16</v>
      </c>
      <c r="I1121" s="34" t="s">
        <v>383</v>
      </c>
      <c r="J1121" s="9" t="s">
        <v>403</v>
      </c>
      <c r="K1121" s="9" t="s">
        <v>1975</v>
      </c>
      <c r="L1121" s="9" t="s">
        <v>846</v>
      </c>
      <c r="M1121" s="9" t="s">
        <v>847</v>
      </c>
      <c r="N1121" s="9" t="s">
        <v>848</v>
      </c>
      <c r="O1121" s="20" t="s">
        <v>2741</v>
      </c>
      <c r="P1121" s="112" t="s">
        <v>6902</v>
      </c>
      <c r="Q1121" s="125" t="s">
        <v>6938</v>
      </c>
      <c r="R1121" s="148" t="str">
        <f>Agencia[[#This Row],[territorio]]&amp;",regional,atenciones,médicas,salud,violencia,género,concepto,urgencia,abuso,sexual,violación,anticonceptivo,anticoncepción,estupro,física,intrafamiliar,emergencia,"&amp;Agencia[[#This Row],[coleccion]]&amp;","&amp;Agencia[[#This Row],[sector]]&amp;","&amp;Agencia[[#This Row],[tema]]&amp;","&amp;Agencia[[#This Row],[contenido]]</f>
        <v>Región de Ñuble,regional,atenciones,médicas,salud,violencia,género,concepto,urgencia,abuso,sexual,violación,anticonceptivo,anticoncepción,estupro,física,intrafamiliar,emergencia,Agencia Información,Mujeres,Atenciones de Salud Violencia de Género,Violencia Contra la Mujer</v>
      </c>
      <c r="S1121" s="37" t="s">
        <v>2742</v>
      </c>
      <c r="T1121" s="114" t="s">
        <v>1870</v>
      </c>
      <c r="U1121" s="46" t="s">
        <v>398</v>
      </c>
      <c r="V1121" s="93" t="str">
        <f>+Agencia[[#This Row],[idcoleccion]]&amp;"-"&amp;Agencia[[#This Row],[id]]</f>
        <v>990-1110</v>
      </c>
      <c r="W1121" s="93">
        <f>+VLOOKUP(Agencia[[#This Row],[Filtro URL]],Estructura!$X$4:$Y$500,2,0)</f>
        <v>99200016</v>
      </c>
      <c r="X1121" s="93" t="str">
        <f>+VLOOKUP(Agencia[[#This Row],[tema]],Estructura!$A$4:$C$500,3,0)</f>
        <v>T-1029</v>
      </c>
      <c r="Y1121" s="93" t="str">
        <f>+VLOOKUP(Agencia[[#This Row],[contenido]],Estructura!$E$4:$G$500,3,0)</f>
        <v>C-996</v>
      </c>
      <c r="Z1121" s="93" t="str">
        <f>+VLOOKUP(Agencia[[#This Row],[Filtro Integrado]],Estructura!$I$4:$K$500,3,0)</f>
        <v>FI-993</v>
      </c>
      <c r="AA1121" s="93" t="str">
        <f>+VLOOKUP(Agencia[[#This Row],[Muestra]],Estructura!$M$4:$O$500,3,0)</f>
        <v>M-1011</v>
      </c>
    </row>
    <row r="1122" spans="1:27" ht="61.2" x14ac:dyDescent="0.3">
      <c r="A1122" s="21" t="s">
        <v>1919</v>
      </c>
      <c r="B1122" s="23">
        <v>990</v>
      </c>
      <c r="C1122" s="24" t="s">
        <v>400</v>
      </c>
      <c r="D1122" s="67" t="s">
        <v>568</v>
      </c>
      <c r="E1122" s="14">
        <v>0</v>
      </c>
      <c r="F1122" s="10" t="s">
        <v>1914</v>
      </c>
      <c r="G1122" s="10" t="s">
        <v>1914</v>
      </c>
      <c r="H1122" s="31" t="s">
        <v>20</v>
      </c>
      <c r="I1122" s="32" t="s">
        <v>15</v>
      </c>
      <c r="J1122" s="9" t="s">
        <v>16</v>
      </c>
      <c r="K1122" s="142" t="s">
        <v>1914</v>
      </c>
      <c r="L1122" s="9" t="s">
        <v>596</v>
      </c>
      <c r="M1122" s="9" t="s">
        <v>1915</v>
      </c>
      <c r="N1122" s="9" t="s">
        <v>848</v>
      </c>
      <c r="O1122" s="20" t="s">
        <v>2743</v>
      </c>
      <c r="P1122" s="112" t="s">
        <v>6401</v>
      </c>
      <c r="Q1122" s="11" t="s">
        <v>576</v>
      </c>
      <c r="R1122" s="20" t="str">
        <f>Agencia[[#This Row],[territorio]]&amp;",nacional,región,establecimientos,tipo,privados,públicos,hospitales,clínicas,cesfam,sapu,postas,laboratorios,dentales,clínicos,alta,baja,media,complejidad,diálisis,vacunatorios,consultorio,"&amp;Agencia[[#This Row],[coleccion]]&amp;","&amp;Agencia[[#This Row],[sector]]&amp;","&amp;Agencia[[#This Row],[tema]]&amp;","&amp;Agencia[[#This Row],[contenido]]</f>
        <v>Chile,nacional,región,establecimientos,tipo,privados,públicos,hospitales,clínicas,cesfam,sapu,postas,laboratorios,dentales,clínicos,alta,baja,media,complejidad,diálisis,vacunatorios,consultorio,Agencia Información,Salud,Establecimientos de Salud,Establecimientos de Salud</v>
      </c>
      <c r="S1122" s="37" t="s">
        <v>1992</v>
      </c>
      <c r="T1122" s="114" t="s">
        <v>805</v>
      </c>
      <c r="U1122" s="95" t="s">
        <v>398</v>
      </c>
      <c r="V1122" s="93" t="str">
        <f>+Agencia[[#This Row],[idcoleccion]]&amp;"-"&amp;Agencia[[#This Row],[id]]</f>
        <v>990-1111</v>
      </c>
      <c r="W1122" s="93">
        <f>+VLOOKUP(Agencia[[#This Row],[Filtro URL]],Estructura!$X$4:$Y$500,2,0)</f>
        <v>99100000</v>
      </c>
      <c r="X1122" s="93" t="str">
        <f>+VLOOKUP(Agencia[[#This Row],[tema]],Estructura!$A$4:$C$500,3,0)</f>
        <v>T-1036</v>
      </c>
      <c r="Y1122" s="93" t="str">
        <f>+VLOOKUP(Agencia[[#This Row],[contenido]],Estructura!$E$4:$G$500,3,0)</f>
        <v>C-1013</v>
      </c>
      <c r="Z1122" s="93" t="str">
        <f>+VLOOKUP(Agencia[[#This Row],[Filtro Integrado]],Estructura!$I$4:$K$500,3,0)</f>
        <v>FI-992</v>
      </c>
      <c r="AA1122" s="93" t="str">
        <f>+VLOOKUP(Agencia[[#This Row],[Muestra]],Estructura!$M$4:$O$500,3,0)</f>
        <v>M-1079</v>
      </c>
    </row>
    <row r="1123" spans="1:27" ht="71.400000000000006" x14ac:dyDescent="0.3">
      <c r="A1123" s="21" t="s">
        <v>1920</v>
      </c>
      <c r="B1123" s="23">
        <v>990</v>
      </c>
      <c r="C1123" s="24" t="s">
        <v>400</v>
      </c>
      <c r="D1123" s="67" t="s">
        <v>568</v>
      </c>
      <c r="E1123" s="19">
        <v>1</v>
      </c>
      <c r="F1123" s="10" t="s">
        <v>1914</v>
      </c>
      <c r="G1123" s="10" t="s">
        <v>1914</v>
      </c>
      <c r="H1123" s="33" t="s">
        <v>16</v>
      </c>
      <c r="I1123" s="34" t="s">
        <v>368</v>
      </c>
      <c r="J1123" s="9" t="s">
        <v>403</v>
      </c>
      <c r="K1123" s="142" t="s">
        <v>1914</v>
      </c>
      <c r="L1123" s="9" t="s">
        <v>596</v>
      </c>
      <c r="M1123" s="9" t="s">
        <v>1915</v>
      </c>
      <c r="N1123" s="9" t="s">
        <v>848</v>
      </c>
      <c r="O1123" s="20" t="s">
        <v>2744</v>
      </c>
      <c r="P1123" s="112" t="s">
        <v>6385</v>
      </c>
      <c r="Q1123" s="11" t="s">
        <v>576</v>
      </c>
      <c r="R1123"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Tarapacá,regional,establecimientos,tipo,privados,públicos,hospitales,clínicas,cesfam,sapu,postas,laboratorios,dentales,clínicos,alta,baja,media,complejidad,diálisis,vacunatorios,consultorio,Agencia Información,Salud,Establecimientos de Salud,Establecimientos de Salud</v>
      </c>
      <c r="S1123" s="83" t="s">
        <v>2428</v>
      </c>
      <c r="T1123" s="114" t="s">
        <v>1872</v>
      </c>
      <c r="U1123" s="46" t="s">
        <v>398</v>
      </c>
      <c r="V1123" s="93" t="str">
        <f>+Agencia[[#This Row],[idcoleccion]]&amp;"-"&amp;Agencia[[#This Row],[id]]</f>
        <v>990-1112</v>
      </c>
      <c r="W1123" s="93">
        <f>+VLOOKUP(Agencia[[#This Row],[Filtro URL]],Estructura!$X$4:$Y$500,2,0)</f>
        <v>99200001</v>
      </c>
      <c r="X1123" s="93" t="str">
        <f>+VLOOKUP(Agencia[[#This Row],[tema]],Estructura!$A$4:$C$500,3,0)</f>
        <v>T-1036</v>
      </c>
      <c r="Y1123" s="93" t="str">
        <f>+VLOOKUP(Agencia[[#This Row],[contenido]],Estructura!$E$4:$G$500,3,0)</f>
        <v>C-1013</v>
      </c>
      <c r="Z1123" s="93" t="str">
        <f>+VLOOKUP(Agencia[[#This Row],[Filtro Integrado]],Estructura!$I$4:$K$500,3,0)</f>
        <v>FI-993</v>
      </c>
      <c r="AA1123" s="93" t="str">
        <f>+VLOOKUP(Agencia[[#This Row],[Muestra]],Estructura!$M$4:$O$500,3,0)</f>
        <v>M-1079</v>
      </c>
    </row>
    <row r="1124" spans="1:27" ht="71.400000000000006" x14ac:dyDescent="0.3">
      <c r="A1124" s="21" t="s">
        <v>1921</v>
      </c>
      <c r="B1124" s="23">
        <v>990</v>
      </c>
      <c r="C1124" s="24" t="s">
        <v>400</v>
      </c>
      <c r="D1124" s="67" t="s">
        <v>568</v>
      </c>
      <c r="E1124" s="19">
        <v>2</v>
      </c>
      <c r="F1124" s="10" t="s">
        <v>1914</v>
      </c>
      <c r="G1124" s="10" t="s">
        <v>1914</v>
      </c>
      <c r="H1124" s="33" t="s">
        <v>16</v>
      </c>
      <c r="I1124" s="34" t="s">
        <v>369</v>
      </c>
      <c r="J1124" s="9" t="s">
        <v>403</v>
      </c>
      <c r="K1124" s="142" t="s">
        <v>1914</v>
      </c>
      <c r="L1124" s="9" t="s">
        <v>596</v>
      </c>
      <c r="M1124" s="9" t="s">
        <v>1915</v>
      </c>
      <c r="N1124" s="9" t="s">
        <v>848</v>
      </c>
      <c r="O1124" s="20" t="s">
        <v>2745</v>
      </c>
      <c r="P1124" s="112" t="s">
        <v>6387</v>
      </c>
      <c r="Q1124" s="11" t="s">
        <v>576</v>
      </c>
      <c r="R1124"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Antofagasta,regional,establecimientos,tipo,privados,públicos,hospitales,clínicas,cesfam,sapu,postas,laboratorios,dentales,clínicos,alta,baja,media,complejidad,diálisis,vacunatorios,consultorio,Agencia Información,Salud,Establecimientos de Salud,Establecimientos de Salud</v>
      </c>
      <c r="S1124" s="83" t="s">
        <v>2429</v>
      </c>
      <c r="T1124" s="114" t="s">
        <v>1860</v>
      </c>
      <c r="U1124" s="46" t="s">
        <v>398</v>
      </c>
      <c r="V1124" s="93" t="str">
        <f>+Agencia[[#This Row],[idcoleccion]]&amp;"-"&amp;Agencia[[#This Row],[id]]</f>
        <v>990-1113</v>
      </c>
      <c r="W1124" s="93">
        <f>+VLOOKUP(Agencia[[#This Row],[Filtro URL]],Estructura!$X$4:$Y$500,2,0)</f>
        <v>99200002</v>
      </c>
      <c r="X1124" s="93" t="str">
        <f>+VLOOKUP(Agencia[[#This Row],[tema]],Estructura!$A$4:$C$500,3,0)</f>
        <v>T-1036</v>
      </c>
      <c r="Y1124" s="93" t="str">
        <f>+VLOOKUP(Agencia[[#This Row],[contenido]],Estructura!$E$4:$G$500,3,0)</f>
        <v>C-1013</v>
      </c>
      <c r="Z1124" s="93" t="str">
        <f>+VLOOKUP(Agencia[[#This Row],[Filtro Integrado]],Estructura!$I$4:$K$500,3,0)</f>
        <v>FI-993</v>
      </c>
      <c r="AA1124" s="93" t="str">
        <f>+VLOOKUP(Agencia[[#This Row],[Muestra]],Estructura!$M$4:$O$500,3,0)</f>
        <v>M-1079</v>
      </c>
    </row>
    <row r="1125" spans="1:27" ht="71.400000000000006" x14ac:dyDescent="0.3">
      <c r="A1125" s="21" t="s">
        <v>1922</v>
      </c>
      <c r="B1125" s="23">
        <v>990</v>
      </c>
      <c r="C1125" s="24" t="s">
        <v>400</v>
      </c>
      <c r="D1125" s="67" t="s">
        <v>568</v>
      </c>
      <c r="E1125" s="19">
        <v>3</v>
      </c>
      <c r="F1125" s="10" t="s">
        <v>1914</v>
      </c>
      <c r="G1125" s="10" t="s">
        <v>1914</v>
      </c>
      <c r="H1125" s="33" t="s">
        <v>16</v>
      </c>
      <c r="I1125" s="34" t="s">
        <v>370</v>
      </c>
      <c r="J1125" s="9" t="s">
        <v>403</v>
      </c>
      <c r="K1125" s="142" t="s">
        <v>1914</v>
      </c>
      <c r="L1125" s="9" t="s">
        <v>596</v>
      </c>
      <c r="M1125" s="9" t="s">
        <v>1915</v>
      </c>
      <c r="N1125" s="9" t="s">
        <v>848</v>
      </c>
      <c r="O1125" s="20" t="s">
        <v>2746</v>
      </c>
      <c r="P1125" s="112" t="s">
        <v>6389</v>
      </c>
      <c r="Q1125" s="11" t="s">
        <v>576</v>
      </c>
      <c r="R1125"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Atacama,regional,establecimientos,tipo,privados,públicos,hospitales,clínicas,cesfam,sapu,postas,laboratorios,dentales,clínicos,alta,baja,media,complejidad,diálisis,vacunatorios,consultorio,Agencia Información,Salud,Establecimientos de Salud,Establecimientos de Salud</v>
      </c>
      <c r="S1125" s="37" t="s">
        <v>2430</v>
      </c>
      <c r="T1125" s="114" t="s">
        <v>1862</v>
      </c>
      <c r="U1125" s="95" t="s">
        <v>398</v>
      </c>
      <c r="V1125" s="93" t="str">
        <f>+Agencia[[#This Row],[idcoleccion]]&amp;"-"&amp;Agencia[[#This Row],[id]]</f>
        <v>990-1114</v>
      </c>
      <c r="W1125" s="93">
        <f>+VLOOKUP(Agencia[[#This Row],[Filtro URL]],Estructura!$X$4:$Y$500,2,0)</f>
        <v>99200003</v>
      </c>
      <c r="X1125" s="93" t="str">
        <f>+VLOOKUP(Agencia[[#This Row],[tema]],Estructura!$A$4:$C$500,3,0)</f>
        <v>T-1036</v>
      </c>
      <c r="Y1125" s="93" t="str">
        <f>+VLOOKUP(Agencia[[#This Row],[contenido]],Estructura!$E$4:$G$500,3,0)</f>
        <v>C-1013</v>
      </c>
      <c r="Z1125" s="93" t="str">
        <f>+VLOOKUP(Agencia[[#This Row],[Filtro Integrado]],Estructura!$I$4:$K$500,3,0)</f>
        <v>FI-993</v>
      </c>
      <c r="AA1125" s="93" t="str">
        <f>+VLOOKUP(Agencia[[#This Row],[Muestra]],Estructura!$M$4:$O$500,3,0)</f>
        <v>M-1079</v>
      </c>
    </row>
    <row r="1126" spans="1:27" ht="71.400000000000006" x14ac:dyDescent="0.3">
      <c r="A1126" s="21" t="s">
        <v>1923</v>
      </c>
      <c r="B1126" s="23">
        <v>990</v>
      </c>
      <c r="C1126" s="24" t="s">
        <v>400</v>
      </c>
      <c r="D1126" s="67" t="s">
        <v>568</v>
      </c>
      <c r="E1126" s="19">
        <v>4</v>
      </c>
      <c r="F1126" s="10" t="s">
        <v>1914</v>
      </c>
      <c r="G1126" s="10" t="s">
        <v>1914</v>
      </c>
      <c r="H1126" s="33" t="s">
        <v>16</v>
      </c>
      <c r="I1126" s="34" t="s">
        <v>371</v>
      </c>
      <c r="J1126" s="9" t="s">
        <v>403</v>
      </c>
      <c r="K1126" s="142" t="s">
        <v>1914</v>
      </c>
      <c r="L1126" s="9" t="s">
        <v>596</v>
      </c>
      <c r="M1126" s="9" t="s">
        <v>1915</v>
      </c>
      <c r="N1126" s="9" t="s">
        <v>848</v>
      </c>
      <c r="O1126" s="20" t="s">
        <v>2747</v>
      </c>
      <c r="P1126" s="112" t="s">
        <v>6388</v>
      </c>
      <c r="Q1126" s="11" t="s">
        <v>576</v>
      </c>
      <c r="R1126"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Coquimbo,regional,establecimientos,tipo,privados,públicos,hospitales,clínicas,cesfam,sapu,postas,laboratorios,dentales,clínicos,alta,baja,media,complejidad,diálisis,vacunatorios,consultorio,Agencia Información,Salud,Establecimientos de Salud,Establecimientos de Salud</v>
      </c>
      <c r="S1126" s="37" t="s">
        <v>2431</v>
      </c>
      <c r="T1126" s="114" t="s">
        <v>1864</v>
      </c>
      <c r="U1126" s="46" t="s">
        <v>398</v>
      </c>
      <c r="V1126" s="93" t="str">
        <f>+Agencia[[#This Row],[idcoleccion]]&amp;"-"&amp;Agencia[[#This Row],[id]]</f>
        <v>990-1115</v>
      </c>
      <c r="W1126" s="93">
        <f>+VLOOKUP(Agencia[[#This Row],[Filtro URL]],Estructura!$X$4:$Y$500,2,0)</f>
        <v>99200004</v>
      </c>
      <c r="X1126" s="93" t="str">
        <f>+VLOOKUP(Agencia[[#This Row],[tema]],Estructura!$A$4:$C$500,3,0)</f>
        <v>T-1036</v>
      </c>
      <c r="Y1126" s="93" t="str">
        <f>+VLOOKUP(Agencia[[#This Row],[contenido]],Estructura!$E$4:$G$500,3,0)</f>
        <v>C-1013</v>
      </c>
      <c r="Z1126" s="93" t="str">
        <f>+VLOOKUP(Agencia[[#This Row],[Filtro Integrado]],Estructura!$I$4:$K$500,3,0)</f>
        <v>FI-993</v>
      </c>
      <c r="AA1126" s="93" t="str">
        <f>+VLOOKUP(Agencia[[#This Row],[Muestra]],Estructura!$M$4:$O$500,3,0)</f>
        <v>M-1079</v>
      </c>
    </row>
    <row r="1127" spans="1:27" ht="71.400000000000006" x14ac:dyDescent="0.3">
      <c r="A1127" s="21" t="s">
        <v>1924</v>
      </c>
      <c r="B1127" s="23">
        <v>990</v>
      </c>
      <c r="C1127" s="24" t="s">
        <v>400</v>
      </c>
      <c r="D1127" s="67" t="s">
        <v>568</v>
      </c>
      <c r="E1127" s="19">
        <v>5</v>
      </c>
      <c r="F1127" s="10" t="s">
        <v>1914</v>
      </c>
      <c r="G1127" s="10" t="s">
        <v>1914</v>
      </c>
      <c r="H1127" s="33" t="s">
        <v>16</v>
      </c>
      <c r="I1127" s="34" t="s">
        <v>372</v>
      </c>
      <c r="J1127" s="9" t="s">
        <v>403</v>
      </c>
      <c r="K1127" s="142" t="s">
        <v>1914</v>
      </c>
      <c r="L1127" s="9" t="s">
        <v>596</v>
      </c>
      <c r="M1127" s="9" t="s">
        <v>1915</v>
      </c>
      <c r="N1127" s="9" t="s">
        <v>848</v>
      </c>
      <c r="O1127" s="20" t="s">
        <v>2748</v>
      </c>
      <c r="P1127" s="112" t="s">
        <v>6390</v>
      </c>
      <c r="Q1127" s="11" t="s">
        <v>576</v>
      </c>
      <c r="R1127"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Valparaíso,regional,establecimientos,tipo,privados,públicos,hospitales,clínicas,cesfam,sapu,postas,laboratorios,dentales,clínicos,alta,baja,media,complejidad,diálisis,vacunatorios,consultorio,Agencia Información,Salud,Establecimientos de Salud,Establecimientos de Salud</v>
      </c>
      <c r="S1127" s="37" t="s">
        <v>2432</v>
      </c>
      <c r="T1127" s="114" t="s">
        <v>1873</v>
      </c>
      <c r="U1127" s="46" t="s">
        <v>398</v>
      </c>
      <c r="V1127" s="93" t="str">
        <f>+Agencia[[#This Row],[idcoleccion]]&amp;"-"&amp;Agencia[[#This Row],[id]]</f>
        <v>990-1116</v>
      </c>
      <c r="W1127" s="93">
        <f>+VLOOKUP(Agencia[[#This Row],[Filtro URL]],Estructura!$X$4:$Y$500,2,0)</f>
        <v>99200005</v>
      </c>
      <c r="X1127" s="93" t="str">
        <f>+VLOOKUP(Agencia[[#This Row],[tema]],Estructura!$A$4:$C$500,3,0)</f>
        <v>T-1036</v>
      </c>
      <c r="Y1127" s="93" t="str">
        <f>+VLOOKUP(Agencia[[#This Row],[contenido]],Estructura!$E$4:$G$500,3,0)</f>
        <v>C-1013</v>
      </c>
      <c r="Z1127" s="93" t="str">
        <f>+VLOOKUP(Agencia[[#This Row],[Filtro Integrado]],Estructura!$I$4:$K$500,3,0)</f>
        <v>FI-993</v>
      </c>
      <c r="AA1127" s="93" t="str">
        <f>+VLOOKUP(Agencia[[#This Row],[Muestra]],Estructura!$M$4:$O$500,3,0)</f>
        <v>M-1079</v>
      </c>
    </row>
    <row r="1128" spans="1:27" ht="71.400000000000006" x14ac:dyDescent="0.3">
      <c r="A1128" s="21" t="s">
        <v>1925</v>
      </c>
      <c r="B1128" s="23">
        <v>990</v>
      </c>
      <c r="C1128" s="24" t="s">
        <v>400</v>
      </c>
      <c r="D1128" s="67" t="s">
        <v>568</v>
      </c>
      <c r="E1128" s="19">
        <v>6</v>
      </c>
      <c r="F1128" s="10" t="s">
        <v>1914</v>
      </c>
      <c r="G1128" s="10" t="s">
        <v>1914</v>
      </c>
      <c r="H1128" s="33" t="s">
        <v>16</v>
      </c>
      <c r="I1128" s="34" t="s">
        <v>373</v>
      </c>
      <c r="J1128" s="9" t="s">
        <v>403</v>
      </c>
      <c r="K1128" s="142" t="s">
        <v>1914</v>
      </c>
      <c r="L1128" s="9" t="s">
        <v>596</v>
      </c>
      <c r="M1128" s="9" t="s">
        <v>1915</v>
      </c>
      <c r="N1128" s="9" t="s">
        <v>848</v>
      </c>
      <c r="O1128" s="20" t="s">
        <v>2749</v>
      </c>
      <c r="P1128" s="112" t="s">
        <v>6391</v>
      </c>
      <c r="Q1128" s="11" t="s">
        <v>576</v>
      </c>
      <c r="R1128"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O'Higgins,regional,establecimientos,tipo,privados,públicos,hospitales,clínicas,cesfam,sapu,postas,laboratorios,dentales,clínicos,alta,baja,media,complejidad,diálisis,vacunatorios,consultorio,Agencia Información,Salud,Establecimientos de Salud,Establecimientos de Salud</v>
      </c>
      <c r="S1128" s="37" t="s">
        <v>2433</v>
      </c>
      <c r="T1128" s="114" t="s">
        <v>1871</v>
      </c>
      <c r="U1128" s="95" t="s">
        <v>398</v>
      </c>
      <c r="V1128" s="93" t="str">
        <f>+Agencia[[#This Row],[idcoleccion]]&amp;"-"&amp;Agencia[[#This Row],[id]]</f>
        <v>990-1117</v>
      </c>
      <c r="W1128" s="93">
        <f>+VLOOKUP(Agencia[[#This Row],[Filtro URL]],Estructura!$X$4:$Y$500,2,0)</f>
        <v>99200006</v>
      </c>
      <c r="X1128" s="93" t="str">
        <f>+VLOOKUP(Agencia[[#This Row],[tema]],Estructura!$A$4:$C$500,3,0)</f>
        <v>T-1036</v>
      </c>
      <c r="Y1128" s="93" t="str">
        <f>+VLOOKUP(Agencia[[#This Row],[contenido]],Estructura!$E$4:$G$500,3,0)</f>
        <v>C-1013</v>
      </c>
      <c r="Z1128" s="93" t="str">
        <f>+VLOOKUP(Agencia[[#This Row],[Filtro Integrado]],Estructura!$I$4:$K$500,3,0)</f>
        <v>FI-993</v>
      </c>
      <c r="AA1128" s="93" t="str">
        <f>+VLOOKUP(Agencia[[#This Row],[Muestra]],Estructura!$M$4:$O$500,3,0)</f>
        <v>M-1079</v>
      </c>
    </row>
    <row r="1129" spans="1:27" ht="71.400000000000006" x14ac:dyDescent="0.3">
      <c r="A1129" s="21" t="s">
        <v>1926</v>
      </c>
      <c r="B1129" s="23">
        <v>990</v>
      </c>
      <c r="C1129" s="24" t="s">
        <v>400</v>
      </c>
      <c r="D1129" s="67" t="s">
        <v>568</v>
      </c>
      <c r="E1129" s="19">
        <v>7</v>
      </c>
      <c r="F1129" s="10" t="s">
        <v>1914</v>
      </c>
      <c r="G1129" s="10" t="s">
        <v>1914</v>
      </c>
      <c r="H1129" s="33" t="s">
        <v>16</v>
      </c>
      <c r="I1129" s="34" t="s">
        <v>374</v>
      </c>
      <c r="J1129" s="9" t="s">
        <v>403</v>
      </c>
      <c r="K1129" s="142" t="s">
        <v>1914</v>
      </c>
      <c r="L1129" s="9" t="s">
        <v>596</v>
      </c>
      <c r="M1129" s="9" t="s">
        <v>1915</v>
      </c>
      <c r="N1129" s="9" t="s">
        <v>848</v>
      </c>
      <c r="O1129" s="20" t="s">
        <v>2750</v>
      </c>
      <c r="P1129" s="112" t="s">
        <v>6392</v>
      </c>
      <c r="Q1129" s="11" t="s">
        <v>576</v>
      </c>
      <c r="R1129"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Maule,regional,establecimientos,tipo,privados,públicos,hospitales,clínicas,cesfam,sapu,postas,laboratorios,dentales,clínicos,alta,baja,media,complejidad,diálisis,vacunatorios,consultorio,Agencia Información,Salud,Establecimientos de Salud,Establecimientos de Salud</v>
      </c>
      <c r="S1129" s="37" t="s">
        <v>2434</v>
      </c>
      <c r="T1129" s="114" t="s">
        <v>1869</v>
      </c>
      <c r="U1129" s="46" t="s">
        <v>398</v>
      </c>
      <c r="V1129" s="93" t="str">
        <f>+Agencia[[#This Row],[idcoleccion]]&amp;"-"&amp;Agencia[[#This Row],[id]]</f>
        <v>990-1118</v>
      </c>
      <c r="W1129" s="93">
        <f>+VLOOKUP(Agencia[[#This Row],[Filtro URL]],Estructura!$X$4:$Y$500,2,0)</f>
        <v>99200007</v>
      </c>
      <c r="X1129" s="93" t="str">
        <f>+VLOOKUP(Agencia[[#This Row],[tema]],Estructura!$A$4:$C$500,3,0)</f>
        <v>T-1036</v>
      </c>
      <c r="Y1129" s="93" t="str">
        <f>+VLOOKUP(Agencia[[#This Row],[contenido]],Estructura!$E$4:$G$500,3,0)</f>
        <v>C-1013</v>
      </c>
      <c r="Z1129" s="93" t="str">
        <f>+VLOOKUP(Agencia[[#This Row],[Filtro Integrado]],Estructura!$I$4:$K$500,3,0)</f>
        <v>FI-993</v>
      </c>
      <c r="AA1129" s="93" t="str">
        <f>+VLOOKUP(Agencia[[#This Row],[Muestra]],Estructura!$M$4:$O$500,3,0)</f>
        <v>M-1079</v>
      </c>
    </row>
    <row r="1130" spans="1:27" ht="71.400000000000006" x14ac:dyDescent="0.3">
      <c r="A1130" s="21" t="s">
        <v>1927</v>
      </c>
      <c r="B1130" s="23">
        <v>990</v>
      </c>
      <c r="C1130" s="24" t="s">
        <v>400</v>
      </c>
      <c r="D1130" s="67" t="s">
        <v>568</v>
      </c>
      <c r="E1130" s="19">
        <v>8</v>
      </c>
      <c r="F1130" s="10" t="s">
        <v>1914</v>
      </c>
      <c r="G1130" s="10" t="s">
        <v>1914</v>
      </c>
      <c r="H1130" s="33" t="s">
        <v>16</v>
      </c>
      <c r="I1130" s="34" t="s">
        <v>375</v>
      </c>
      <c r="J1130" s="9" t="s">
        <v>403</v>
      </c>
      <c r="K1130" s="142" t="s">
        <v>1914</v>
      </c>
      <c r="L1130" s="9" t="s">
        <v>596</v>
      </c>
      <c r="M1130" s="9" t="s">
        <v>1915</v>
      </c>
      <c r="N1130" s="9" t="s">
        <v>848</v>
      </c>
      <c r="O1130" s="20" t="s">
        <v>2751</v>
      </c>
      <c r="P1130" s="112" t="s">
        <v>6393</v>
      </c>
      <c r="Q1130" s="11" t="s">
        <v>576</v>
      </c>
      <c r="R1130"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del Biobío,regional,establecimientos,tipo,privados,públicos,hospitales,clínicas,cesfam,sapu,postas,laboratorios,dentales,clínicos,alta,baja,media,complejidad,diálisis,vacunatorios,consultorio,Agencia Información,Salud,Establecimientos de Salud,Establecimientos de Salud</v>
      </c>
      <c r="S1130" s="37" t="s">
        <v>2435</v>
      </c>
      <c r="T1130" s="114" t="s">
        <v>1874</v>
      </c>
      <c r="U1130" s="46" t="s">
        <v>398</v>
      </c>
      <c r="V1130" s="93" t="str">
        <f>+Agencia[[#This Row],[idcoleccion]]&amp;"-"&amp;Agencia[[#This Row],[id]]</f>
        <v>990-1119</v>
      </c>
      <c r="W1130" s="93">
        <f>+VLOOKUP(Agencia[[#This Row],[Filtro URL]],Estructura!$X$4:$Y$500,2,0)</f>
        <v>99200008</v>
      </c>
      <c r="X1130" s="93" t="str">
        <f>+VLOOKUP(Agencia[[#This Row],[tema]],Estructura!$A$4:$C$500,3,0)</f>
        <v>T-1036</v>
      </c>
      <c r="Y1130" s="93" t="str">
        <f>+VLOOKUP(Agencia[[#This Row],[contenido]],Estructura!$E$4:$G$500,3,0)</f>
        <v>C-1013</v>
      </c>
      <c r="Z1130" s="93" t="str">
        <f>+VLOOKUP(Agencia[[#This Row],[Filtro Integrado]],Estructura!$I$4:$K$500,3,0)</f>
        <v>FI-993</v>
      </c>
      <c r="AA1130" s="93" t="str">
        <f>+VLOOKUP(Agencia[[#This Row],[Muestra]],Estructura!$M$4:$O$500,3,0)</f>
        <v>M-1079</v>
      </c>
    </row>
    <row r="1131" spans="1:27" ht="71.400000000000006" x14ac:dyDescent="0.3">
      <c r="A1131" s="21" t="s">
        <v>1928</v>
      </c>
      <c r="B1131" s="23">
        <v>990</v>
      </c>
      <c r="C1131" s="24" t="s">
        <v>400</v>
      </c>
      <c r="D1131" s="67" t="s">
        <v>568</v>
      </c>
      <c r="E1131" s="19">
        <v>9</v>
      </c>
      <c r="F1131" s="10" t="s">
        <v>1914</v>
      </c>
      <c r="G1131" s="10" t="s">
        <v>1914</v>
      </c>
      <c r="H1131" s="33" t="s">
        <v>16</v>
      </c>
      <c r="I1131" s="34" t="s">
        <v>376</v>
      </c>
      <c r="J1131" s="9" t="s">
        <v>403</v>
      </c>
      <c r="K1131" s="142" t="s">
        <v>1914</v>
      </c>
      <c r="L1131" s="9" t="s">
        <v>596</v>
      </c>
      <c r="M1131" s="9" t="s">
        <v>1915</v>
      </c>
      <c r="N1131" s="9" t="s">
        <v>848</v>
      </c>
      <c r="O1131" s="20" t="s">
        <v>2752</v>
      </c>
      <c r="P1131" s="112" t="s">
        <v>6394</v>
      </c>
      <c r="Q1131" s="11" t="s">
        <v>576</v>
      </c>
      <c r="R1131"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La Araucanía,regional,establecimientos,tipo,privados,públicos,hospitales,clínicas,cesfam,sapu,postas,laboratorios,dentales,clínicos,alta,baja,media,complejidad,diálisis,vacunatorios,consultorio,Agencia Información,Salud,Establecimientos de Salud,Establecimientos de Salud</v>
      </c>
      <c r="S1131" s="37" t="s">
        <v>2436</v>
      </c>
      <c r="T1131" s="114" t="s">
        <v>1865</v>
      </c>
      <c r="U1131" s="95" t="s">
        <v>398</v>
      </c>
      <c r="V1131" s="93" t="str">
        <f>+Agencia[[#This Row],[idcoleccion]]&amp;"-"&amp;Agencia[[#This Row],[id]]</f>
        <v>990-1120</v>
      </c>
      <c r="W1131" s="93">
        <f>+VLOOKUP(Agencia[[#This Row],[Filtro URL]],Estructura!$X$4:$Y$500,2,0)</f>
        <v>99200009</v>
      </c>
      <c r="X1131" s="93" t="str">
        <f>+VLOOKUP(Agencia[[#This Row],[tema]],Estructura!$A$4:$C$500,3,0)</f>
        <v>T-1036</v>
      </c>
      <c r="Y1131" s="93" t="str">
        <f>+VLOOKUP(Agencia[[#This Row],[contenido]],Estructura!$E$4:$G$500,3,0)</f>
        <v>C-1013</v>
      </c>
      <c r="Z1131" s="93" t="str">
        <f>+VLOOKUP(Agencia[[#This Row],[Filtro Integrado]],Estructura!$I$4:$K$500,3,0)</f>
        <v>FI-993</v>
      </c>
      <c r="AA1131" s="93" t="str">
        <f>+VLOOKUP(Agencia[[#This Row],[Muestra]],Estructura!$M$4:$O$500,3,0)</f>
        <v>M-1079</v>
      </c>
    </row>
    <row r="1132" spans="1:27" ht="71.400000000000006" x14ac:dyDescent="0.3">
      <c r="A1132" s="21" t="s">
        <v>1929</v>
      </c>
      <c r="B1132" s="23">
        <v>990</v>
      </c>
      <c r="C1132" s="24" t="s">
        <v>400</v>
      </c>
      <c r="D1132" s="67" t="s">
        <v>568</v>
      </c>
      <c r="E1132" s="19">
        <v>10</v>
      </c>
      <c r="F1132" s="10" t="s">
        <v>1914</v>
      </c>
      <c r="G1132" s="10" t="s">
        <v>1914</v>
      </c>
      <c r="H1132" s="33" t="s">
        <v>16</v>
      </c>
      <c r="I1132" s="34" t="s">
        <v>377</v>
      </c>
      <c r="J1132" s="9" t="s">
        <v>403</v>
      </c>
      <c r="K1132" s="142" t="s">
        <v>1914</v>
      </c>
      <c r="L1132" s="9" t="s">
        <v>596</v>
      </c>
      <c r="M1132" s="9" t="s">
        <v>1915</v>
      </c>
      <c r="N1132" s="9" t="s">
        <v>848</v>
      </c>
      <c r="O1132" s="20" t="s">
        <v>2753</v>
      </c>
      <c r="P1132" s="112" t="s">
        <v>6395</v>
      </c>
      <c r="Q1132" s="11" t="s">
        <v>576</v>
      </c>
      <c r="R1132"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Los Lagos,regional,establecimientos,tipo,privados,públicos,hospitales,clínicas,cesfam,sapu,postas,laboratorios,dentales,clínicos,alta,baja,media,complejidad,diálisis,vacunatorios,consultorio,Agencia Información,Salud,Establecimientos de Salud,Establecimientos de Salud</v>
      </c>
      <c r="S1132" s="37" t="s">
        <v>2437</v>
      </c>
      <c r="T1132" s="114" t="s">
        <v>1866</v>
      </c>
      <c r="U1132" s="46" t="s">
        <v>398</v>
      </c>
      <c r="V1132" s="93" t="str">
        <f>+Agencia[[#This Row],[idcoleccion]]&amp;"-"&amp;Agencia[[#This Row],[id]]</f>
        <v>990-1121</v>
      </c>
      <c r="W1132" s="93">
        <f>+VLOOKUP(Agencia[[#This Row],[Filtro URL]],Estructura!$X$4:$Y$500,2,0)</f>
        <v>99200010</v>
      </c>
      <c r="X1132" s="93" t="str">
        <f>+VLOOKUP(Agencia[[#This Row],[tema]],Estructura!$A$4:$C$500,3,0)</f>
        <v>T-1036</v>
      </c>
      <c r="Y1132" s="93" t="str">
        <f>+VLOOKUP(Agencia[[#This Row],[contenido]],Estructura!$E$4:$G$500,3,0)</f>
        <v>C-1013</v>
      </c>
      <c r="Z1132" s="93" t="str">
        <f>+VLOOKUP(Agencia[[#This Row],[Filtro Integrado]],Estructura!$I$4:$K$500,3,0)</f>
        <v>FI-993</v>
      </c>
      <c r="AA1132" s="93" t="str">
        <f>+VLOOKUP(Agencia[[#This Row],[Muestra]],Estructura!$M$4:$O$500,3,0)</f>
        <v>M-1079</v>
      </c>
    </row>
    <row r="1133" spans="1:27" ht="71.400000000000006" x14ac:dyDescent="0.3">
      <c r="A1133" s="21" t="s">
        <v>1930</v>
      </c>
      <c r="B1133" s="23">
        <v>990</v>
      </c>
      <c r="C1133" s="24" t="s">
        <v>400</v>
      </c>
      <c r="D1133" s="67" t="s">
        <v>568</v>
      </c>
      <c r="E1133" s="19">
        <v>11</v>
      </c>
      <c r="F1133" s="10" t="s">
        <v>1914</v>
      </c>
      <c r="G1133" s="10" t="s">
        <v>1914</v>
      </c>
      <c r="H1133" s="33" t="s">
        <v>16</v>
      </c>
      <c r="I1133" s="34" t="s">
        <v>378</v>
      </c>
      <c r="J1133" s="9" t="s">
        <v>403</v>
      </c>
      <c r="K1133" s="142" t="s">
        <v>1914</v>
      </c>
      <c r="L1133" s="9" t="s">
        <v>596</v>
      </c>
      <c r="M1133" s="9" t="s">
        <v>1915</v>
      </c>
      <c r="N1133" s="9" t="s">
        <v>848</v>
      </c>
      <c r="O1133" s="20" t="s">
        <v>2754</v>
      </c>
      <c r="P1133" s="112" t="s">
        <v>6396</v>
      </c>
      <c r="Q1133" s="11" t="s">
        <v>576</v>
      </c>
      <c r="R1133"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Aysén,regional,establecimientos,tipo,privados,públicos,hospitales,clínicas,cesfam,sapu,postas,laboratorios,dentales,clínicos,alta,baja,media,complejidad,diálisis,vacunatorios,consultorio,Agencia Información,Salud,Establecimientos de Salud,Establecimientos de Salud</v>
      </c>
      <c r="S1133" s="37" t="s">
        <v>2438</v>
      </c>
      <c r="T1133" s="114" t="s">
        <v>1863</v>
      </c>
      <c r="U1133" s="46" t="s">
        <v>398</v>
      </c>
      <c r="V1133" s="93" t="str">
        <f>+Agencia[[#This Row],[idcoleccion]]&amp;"-"&amp;Agencia[[#This Row],[id]]</f>
        <v>990-1122</v>
      </c>
      <c r="W1133" s="93">
        <f>+VLOOKUP(Agencia[[#This Row],[Filtro URL]],Estructura!$X$4:$Y$500,2,0)</f>
        <v>99200011</v>
      </c>
      <c r="X1133" s="93" t="str">
        <f>+VLOOKUP(Agencia[[#This Row],[tema]],Estructura!$A$4:$C$500,3,0)</f>
        <v>T-1036</v>
      </c>
      <c r="Y1133" s="93" t="str">
        <f>+VLOOKUP(Agencia[[#This Row],[contenido]],Estructura!$E$4:$G$500,3,0)</f>
        <v>C-1013</v>
      </c>
      <c r="Z1133" s="93" t="str">
        <f>+VLOOKUP(Agencia[[#This Row],[Filtro Integrado]],Estructura!$I$4:$K$500,3,0)</f>
        <v>FI-993</v>
      </c>
      <c r="AA1133" s="93" t="str">
        <f>+VLOOKUP(Agencia[[#This Row],[Muestra]],Estructura!$M$4:$O$500,3,0)</f>
        <v>M-1079</v>
      </c>
    </row>
    <row r="1134" spans="1:27" ht="71.400000000000006" x14ac:dyDescent="0.3">
      <c r="A1134" s="21" t="s">
        <v>1931</v>
      </c>
      <c r="B1134" s="23">
        <v>990</v>
      </c>
      <c r="C1134" s="24" t="s">
        <v>400</v>
      </c>
      <c r="D1134" s="67" t="s">
        <v>568</v>
      </c>
      <c r="E1134" s="19">
        <v>12</v>
      </c>
      <c r="F1134" s="10" t="s">
        <v>1914</v>
      </c>
      <c r="G1134" s="10" t="s">
        <v>1914</v>
      </c>
      <c r="H1134" s="33" t="s">
        <v>16</v>
      </c>
      <c r="I1134" s="34" t="s">
        <v>379</v>
      </c>
      <c r="J1134" s="9" t="s">
        <v>403</v>
      </c>
      <c r="K1134" s="142" t="s">
        <v>1914</v>
      </c>
      <c r="L1134" s="9" t="s">
        <v>596</v>
      </c>
      <c r="M1134" s="9" t="s">
        <v>1915</v>
      </c>
      <c r="N1134" s="9" t="s">
        <v>848</v>
      </c>
      <c r="O1134" s="20" t="s">
        <v>2755</v>
      </c>
      <c r="P1134" s="112" t="s">
        <v>6397</v>
      </c>
      <c r="Q1134" s="11" t="s">
        <v>576</v>
      </c>
      <c r="R1134"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Magallanes,regional,establecimientos,tipo,privados,públicos,hospitales,clínicas,cesfam,sapu,postas,laboratorios,dentales,clínicos,alta,baja,media,complejidad,diálisis,vacunatorios,consultorio,Agencia Información,Salud,Establecimientos de Salud,Establecimientos de Salud</v>
      </c>
      <c r="S1134" s="37" t="s">
        <v>2439</v>
      </c>
      <c r="T1134" s="114" t="s">
        <v>1868</v>
      </c>
      <c r="U1134" s="95" t="s">
        <v>398</v>
      </c>
      <c r="V1134" s="93" t="str">
        <f>+Agencia[[#This Row],[idcoleccion]]&amp;"-"&amp;Agencia[[#This Row],[id]]</f>
        <v>990-1123</v>
      </c>
      <c r="W1134" s="93">
        <f>+VLOOKUP(Agencia[[#This Row],[Filtro URL]],Estructura!$X$4:$Y$500,2,0)</f>
        <v>99200012</v>
      </c>
      <c r="X1134" s="93" t="str">
        <f>+VLOOKUP(Agencia[[#This Row],[tema]],Estructura!$A$4:$C$500,3,0)</f>
        <v>T-1036</v>
      </c>
      <c r="Y1134" s="93" t="str">
        <f>+VLOOKUP(Agencia[[#This Row],[contenido]],Estructura!$E$4:$G$500,3,0)</f>
        <v>C-1013</v>
      </c>
      <c r="Z1134" s="93" t="str">
        <f>+VLOOKUP(Agencia[[#This Row],[Filtro Integrado]],Estructura!$I$4:$K$500,3,0)</f>
        <v>FI-993</v>
      </c>
      <c r="AA1134" s="93" t="str">
        <f>+VLOOKUP(Agencia[[#This Row],[Muestra]],Estructura!$M$4:$O$500,3,0)</f>
        <v>M-1079</v>
      </c>
    </row>
    <row r="1135" spans="1:27" ht="81.599999999999994" x14ac:dyDescent="0.3">
      <c r="A1135" s="21" t="s">
        <v>1367</v>
      </c>
      <c r="B1135" s="23">
        <v>990</v>
      </c>
      <c r="C1135" s="24" t="s">
        <v>400</v>
      </c>
      <c r="D1135" s="67" t="s">
        <v>568</v>
      </c>
      <c r="E1135" s="19">
        <v>13</v>
      </c>
      <c r="F1135" s="10" t="s">
        <v>1914</v>
      </c>
      <c r="G1135" s="10" t="s">
        <v>1914</v>
      </c>
      <c r="H1135" s="33" t="s">
        <v>16</v>
      </c>
      <c r="I1135" s="34" t="s">
        <v>380</v>
      </c>
      <c r="J1135" s="9" t="s">
        <v>403</v>
      </c>
      <c r="K1135" s="142" t="s">
        <v>1914</v>
      </c>
      <c r="L1135" s="9" t="s">
        <v>596</v>
      </c>
      <c r="M1135" s="9" t="s">
        <v>1915</v>
      </c>
      <c r="N1135" s="9" t="s">
        <v>848</v>
      </c>
      <c r="O1135" s="20" t="s">
        <v>2756</v>
      </c>
      <c r="P1135" s="112" t="s">
        <v>6398</v>
      </c>
      <c r="Q1135" s="11" t="s">
        <v>576</v>
      </c>
      <c r="R1135"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Metropolitana,regional,establecimientos,tipo,privados,públicos,hospitales,clínicas,cesfam,sapu,postas,laboratorios,dentales,clínicos,alta,baja,media,complejidad,diálisis,vacunatorios,consultorio,Agencia Información,Salud,Establecimientos de Salud,Establecimientos de Salud</v>
      </c>
      <c r="S1135" s="37" t="s">
        <v>2440</v>
      </c>
      <c r="T1135" s="114" t="s">
        <v>1875</v>
      </c>
      <c r="U1135" s="46" t="s">
        <v>398</v>
      </c>
      <c r="V1135" s="93" t="str">
        <f>+Agencia[[#This Row],[idcoleccion]]&amp;"-"&amp;Agencia[[#This Row],[id]]</f>
        <v>990-1124</v>
      </c>
      <c r="W1135" s="93">
        <f>+VLOOKUP(Agencia[[#This Row],[Filtro URL]],Estructura!$X$4:$Y$500,2,0)</f>
        <v>99200013</v>
      </c>
      <c r="X1135" s="93" t="str">
        <f>+VLOOKUP(Agencia[[#This Row],[tema]],Estructura!$A$4:$C$500,3,0)</f>
        <v>T-1036</v>
      </c>
      <c r="Y1135" s="93" t="str">
        <f>+VLOOKUP(Agencia[[#This Row],[contenido]],Estructura!$E$4:$G$500,3,0)</f>
        <v>C-1013</v>
      </c>
      <c r="Z1135" s="93" t="str">
        <f>+VLOOKUP(Agencia[[#This Row],[Filtro Integrado]],Estructura!$I$4:$K$500,3,0)</f>
        <v>FI-993</v>
      </c>
      <c r="AA1135" s="93" t="str">
        <f>+VLOOKUP(Agencia[[#This Row],[Muestra]],Estructura!$M$4:$O$500,3,0)</f>
        <v>M-1079</v>
      </c>
    </row>
    <row r="1136" spans="1:27" ht="71.400000000000006" x14ac:dyDescent="0.3">
      <c r="A1136" s="21" t="s">
        <v>1932</v>
      </c>
      <c r="B1136" s="23">
        <v>990</v>
      </c>
      <c r="C1136" s="24" t="s">
        <v>400</v>
      </c>
      <c r="D1136" s="67" t="s">
        <v>568</v>
      </c>
      <c r="E1136" s="19">
        <v>14</v>
      </c>
      <c r="F1136" s="10" t="s">
        <v>1914</v>
      </c>
      <c r="G1136" s="10" t="s">
        <v>1914</v>
      </c>
      <c r="H1136" s="33" t="s">
        <v>16</v>
      </c>
      <c r="I1136" s="34" t="s">
        <v>381</v>
      </c>
      <c r="J1136" s="9" t="s">
        <v>403</v>
      </c>
      <c r="K1136" s="142" t="s">
        <v>1914</v>
      </c>
      <c r="L1136" s="9" t="s">
        <v>596</v>
      </c>
      <c r="M1136" s="9" t="s">
        <v>1915</v>
      </c>
      <c r="N1136" s="9" t="s">
        <v>848</v>
      </c>
      <c r="O1136" s="20" t="s">
        <v>2757</v>
      </c>
      <c r="P1136" s="112" t="s">
        <v>6399</v>
      </c>
      <c r="Q1136" s="11" t="s">
        <v>576</v>
      </c>
      <c r="R1136"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Los Ríos,regional,establecimientos,tipo,privados,públicos,hospitales,clínicas,cesfam,sapu,postas,laboratorios,dentales,clínicos,alta,baja,media,complejidad,diálisis,vacunatorios,consultorio,Agencia Información,Salud,Establecimientos de Salud,Establecimientos de Salud</v>
      </c>
      <c r="S1136" s="37" t="s">
        <v>2441</v>
      </c>
      <c r="T1136" s="114" t="s">
        <v>1867</v>
      </c>
      <c r="U1136" s="46" t="s">
        <v>398</v>
      </c>
      <c r="V1136" s="93" t="str">
        <f>+Agencia[[#This Row],[idcoleccion]]&amp;"-"&amp;Agencia[[#This Row],[id]]</f>
        <v>990-1125</v>
      </c>
      <c r="W1136" s="93">
        <f>+VLOOKUP(Agencia[[#This Row],[Filtro URL]],Estructura!$X$4:$Y$500,2,0)</f>
        <v>99200014</v>
      </c>
      <c r="X1136" s="93" t="str">
        <f>+VLOOKUP(Agencia[[#This Row],[tema]],Estructura!$A$4:$C$500,3,0)</f>
        <v>T-1036</v>
      </c>
      <c r="Y1136" s="93" t="str">
        <f>+VLOOKUP(Agencia[[#This Row],[contenido]],Estructura!$E$4:$G$500,3,0)</f>
        <v>C-1013</v>
      </c>
      <c r="Z1136" s="93" t="str">
        <f>+VLOOKUP(Agencia[[#This Row],[Filtro Integrado]],Estructura!$I$4:$K$500,3,0)</f>
        <v>FI-993</v>
      </c>
      <c r="AA1136" s="93" t="str">
        <f>+VLOOKUP(Agencia[[#This Row],[Muestra]],Estructura!$M$4:$O$500,3,0)</f>
        <v>M-1079</v>
      </c>
    </row>
    <row r="1137" spans="1:27" ht="71.400000000000006" x14ac:dyDescent="0.3">
      <c r="A1137" s="21" t="s">
        <v>1936</v>
      </c>
      <c r="B1137" s="23">
        <v>990</v>
      </c>
      <c r="C1137" s="24" t="s">
        <v>400</v>
      </c>
      <c r="D1137" s="67" t="s">
        <v>568</v>
      </c>
      <c r="E1137" s="19">
        <v>15</v>
      </c>
      <c r="F1137" s="10" t="s">
        <v>1914</v>
      </c>
      <c r="G1137" s="10" t="s">
        <v>1914</v>
      </c>
      <c r="H1137" s="33" t="s">
        <v>16</v>
      </c>
      <c r="I1137" s="34" t="s">
        <v>382</v>
      </c>
      <c r="J1137" s="9" t="s">
        <v>403</v>
      </c>
      <c r="K1137" s="142" t="s">
        <v>1914</v>
      </c>
      <c r="L1137" s="9" t="s">
        <v>596</v>
      </c>
      <c r="M1137" s="9" t="s">
        <v>1915</v>
      </c>
      <c r="N1137" s="9" t="s">
        <v>848</v>
      </c>
      <c r="O1137" s="20" t="s">
        <v>2758</v>
      </c>
      <c r="P1137" s="112" t="s">
        <v>6400</v>
      </c>
      <c r="Q1137" s="11" t="s">
        <v>576</v>
      </c>
      <c r="R1137"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Arica y Parinacota,regional,establecimientos,tipo,privados,públicos,hospitales,clínicas,cesfam,sapu,postas,laboratorios,dentales,clínicos,alta,baja,media,complejidad,diálisis,vacunatorios,consultorio,Agencia Información,Salud,Establecimientos de Salud,Establecimientos de Salud</v>
      </c>
      <c r="S1137" s="37" t="s">
        <v>2442</v>
      </c>
      <c r="T1137" s="114" t="s">
        <v>1861</v>
      </c>
      <c r="U1137" s="95" t="s">
        <v>398</v>
      </c>
      <c r="V1137" s="93" t="str">
        <f>+Agencia[[#This Row],[idcoleccion]]&amp;"-"&amp;Agencia[[#This Row],[id]]</f>
        <v>990-1126</v>
      </c>
      <c r="W1137" s="93">
        <f>+VLOOKUP(Agencia[[#This Row],[Filtro URL]],Estructura!$X$4:$Y$500,2,0)</f>
        <v>99200015</v>
      </c>
      <c r="X1137" s="93" t="str">
        <f>+VLOOKUP(Agencia[[#This Row],[tema]],Estructura!$A$4:$C$500,3,0)</f>
        <v>T-1036</v>
      </c>
      <c r="Y1137" s="93" t="str">
        <f>+VLOOKUP(Agencia[[#This Row],[contenido]],Estructura!$E$4:$G$500,3,0)</f>
        <v>C-1013</v>
      </c>
      <c r="Z1137" s="93" t="str">
        <f>+VLOOKUP(Agencia[[#This Row],[Filtro Integrado]],Estructura!$I$4:$K$500,3,0)</f>
        <v>FI-993</v>
      </c>
      <c r="AA1137" s="93" t="str">
        <f>+VLOOKUP(Agencia[[#This Row],[Muestra]],Estructura!$M$4:$O$500,3,0)</f>
        <v>M-1079</v>
      </c>
    </row>
    <row r="1138" spans="1:27" ht="71.400000000000006" x14ac:dyDescent="0.3">
      <c r="A1138" s="21" t="s">
        <v>1937</v>
      </c>
      <c r="B1138" s="23">
        <v>990</v>
      </c>
      <c r="C1138" s="24" t="s">
        <v>400</v>
      </c>
      <c r="D1138" s="67" t="s">
        <v>568</v>
      </c>
      <c r="E1138" s="19">
        <v>16</v>
      </c>
      <c r="F1138" s="10" t="s">
        <v>1914</v>
      </c>
      <c r="G1138" s="10" t="s">
        <v>1914</v>
      </c>
      <c r="H1138" s="33" t="s">
        <v>16</v>
      </c>
      <c r="I1138" s="34" t="s">
        <v>383</v>
      </c>
      <c r="J1138" s="9" t="s">
        <v>403</v>
      </c>
      <c r="K1138" s="142" t="s">
        <v>1914</v>
      </c>
      <c r="L1138" s="9" t="s">
        <v>596</v>
      </c>
      <c r="M1138" s="9" t="s">
        <v>1915</v>
      </c>
      <c r="N1138" s="9" t="s">
        <v>848</v>
      </c>
      <c r="O1138" s="20" t="s">
        <v>2759</v>
      </c>
      <c r="P1138" s="112" t="s">
        <v>6386</v>
      </c>
      <c r="Q1138" s="11" t="s">
        <v>576</v>
      </c>
      <c r="R1138" s="148" t="str">
        <f>Agencia[[#This Row],[territorio]]&amp;",regional,establecimientos,tipo,privados,públicos,hospitales,clínicas,cesfam,sapu,postas,laboratorios,dentales,clínicos,alta,baja,media,complejidad,diálisis,vacunatorios,consultorio,"&amp;Agencia[[#This Row],[coleccion]]&amp;","&amp;Agencia[[#This Row],[sector]]&amp;","&amp;Agencia[[#This Row],[tema]]&amp;","&amp;Agencia[[#This Row],[contenido]]</f>
        <v>Región de Ñuble,regional,establecimientos,tipo,privados,públicos,hospitales,clínicas,cesfam,sapu,postas,laboratorios,dentales,clínicos,alta,baja,media,complejidad,diálisis,vacunatorios,consultorio,Agencia Información,Salud,Establecimientos de Salud,Establecimientos de Salud</v>
      </c>
      <c r="S1138" s="37" t="s">
        <v>2760</v>
      </c>
      <c r="T1138" s="114" t="s">
        <v>1870</v>
      </c>
      <c r="U1138" s="46" t="s">
        <v>398</v>
      </c>
      <c r="V1138" s="93" t="str">
        <f>+Agencia[[#This Row],[idcoleccion]]&amp;"-"&amp;Agencia[[#This Row],[id]]</f>
        <v>990-1127</v>
      </c>
      <c r="W1138" s="93">
        <f>+VLOOKUP(Agencia[[#This Row],[Filtro URL]],Estructura!$X$4:$Y$500,2,0)</f>
        <v>99200016</v>
      </c>
      <c r="X1138" s="93" t="str">
        <f>+VLOOKUP(Agencia[[#This Row],[tema]],Estructura!$A$4:$C$500,3,0)</f>
        <v>T-1036</v>
      </c>
      <c r="Y1138" s="93" t="str">
        <f>+VLOOKUP(Agencia[[#This Row],[contenido]],Estructura!$E$4:$G$500,3,0)</f>
        <v>C-1013</v>
      </c>
      <c r="Z1138" s="93" t="str">
        <f>+VLOOKUP(Agencia[[#This Row],[Filtro Integrado]],Estructura!$I$4:$K$500,3,0)</f>
        <v>FI-993</v>
      </c>
      <c r="AA1138" s="93" t="str">
        <f>+VLOOKUP(Agencia[[#This Row],[Muestra]],Estructura!$M$4:$O$500,3,0)</f>
        <v>M-1079</v>
      </c>
    </row>
    <row r="1139" spans="1:27" ht="51" x14ac:dyDescent="0.3">
      <c r="A1139" s="21" t="s">
        <v>1938</v>
      </c>
      <c r="B1139" s="23">
        <v>990</v>
      </c>
      <c r="C1139" s="24" t="s">
        <v>400</v>
      </c>
      <c r="D1139" s="67" t="s">
        <v>2010</v>
      </c>
      <c r="E1139" s="14">
        <v>0</v>
      </c>
      <c r="F1139" s="10" t="s">
        <v>2011</v>
      </c>
      <c r="G1139" s="10" t="s">
        <v>2700</v>
      </c>
      <c r="H1139" s="31" t="s">
        <v>20</v>
      </c>
      <c r="I1139" s="32" t="s">
        <v>15</v>
      </c>
      <c r="J1139" s="9" t="s">
        <v>16</v>
      </c>
      <c r="K1139" s="9" t="s">
        <v>2013</v>
      </c>
      <c r="L1139" s="9" t="s">
        <v>2014</v>
      </c>
      <c r="M1139" s="9" t="s">
        <v>2015</v>
      </c>
      <c r="N1139" s="9" t="s">
        <v>1370</v>
      </c>
      <c r="O1139" s="20" t="s">
        <v>2761</v>
      </c>
      <c r="P1139" s="112" t="s">
        <v>6783</v>
      </c>
      <c r="Q1139" s="11" t="s">
        <v>784</v>
      </c>
      <c r="R1139" s="20" t="str">
        <f>Agencia[[#This Row],[territorio]]&amp;",nacional,región,licencias,conducir,tipo,profesional,profesionales,clase,a1,a2,a3,a4,a5,"&amp;Agencia[[#This Row],[coleccion]]&amp;","&amp;Agencia[[#This Row],[sector]]&amp;","&amp;Agencia[[#This Row],[tema]]&amp;","&amp;Agencia[[#This Row],[contenido]]</f>
        <v>Chile,nacional,región,licencias,conducir,tipo,profesional,profesionales,clase,a1,a2,a3,a4,a5,Agencia Información,Transporte y Tránsito,Licencias de Conducir Profesionales,Tránsito</v>
      </c>
      <c r="S1139" s="37" t="s">
        <v>2016</v>
      </c>
      <c r="T1139" s="114" t="s">
        <v>805</v>
      </c>
      <c r="U1139" s="46" t="s">
        <v>398</v>
      </c>
      <c r="V1139" s="93" t="str">
        <f>+Agencia[[#This Row],[idcoleccion]]&amp;"-"&amp;Agencia[[#This Row],[id]]</f>
        <v>990-1128</v>
      </c>
      <c r="W1139" s="93">
        <f>+VLOOKUP(Agencia[[#This Row],[Filtro URL]],Estructura!$X$4:$Y$500,2,0)</f>
        <v>99100000</v>
      </c>
      <c r="X1139" s="93" t="str">
        <f>+VLOOKUP(Agencia[[#This Row],[tema]],Estructura!$A$4:$C$500,3,0)</f>
        <v>T-1037</v>
      </c>
      <c r="Y1139" s="93" t="str">
        <f>+VLOOKUP(Agencia[[#This Row],[contenido]],Estructura!$E$4:$G$500,3,0)</f>
        <v>C-1016</v>
      </c>
      <c r="Z1139" s="93" t="str">
        <f>+VLOOKUP(Agencia[[#This Row],[Filtro Integrado]],Estructura!$I$4:$K$500,3,0)</f>
        <v>FI-992</v>
      </c>
      <c r="AA1139" s="93" t="str">
        <f>+VLOOKUP(Agencia[[#This Row],[Muestra]],Estructura!$M$4:$O$500,3,0)</f>
        <v>M-1012</v>
      </c>
    </row>
    <row r="1140" spans="1:27" ht="57.6" x14ac:dyDescent="0.3">
      <c r="A1140" s="21" t="s">
        <v>1939</v>
      </c>
      <c r="B1140" s="23">
        <v>990</v>
      </c>
      <c r="C1140" s="24" t="s">
        <v>400</v>
      </c>
      <c r="D1140" s="67" t="s">
        <v>2010</v>
      </c>
      <c r="E1140" s="19">
        <v>1</v>
      </c>
      <c r="F1140" s="10" t="s">
        <v>2011</v>
      </c>
      <c r="G1140" s="10" t="s">
        <v>2700</v>
      </c>
      <c r="H1140" s="33" t="s">
        <v>16</v>
      </c>
      <c r="I1140" s="34" t="s">
        <v>368</v>
      </c>
      <c r="J1140" s="9" t="s">
        <v>403</v>
      </c>
      <c r="K1140" s="9" t="s">
        <v>2013</v>
      </c>
      <c r="L1140" s="9" t="s">
        <v>2014</v>
      </c>
      <c r="M1140" s="9" t="s">
        <v>2015</v>
      </c>
      <c r="N1140" s="9" t="s">
        <v>1370</v>
      </c>
      <c r="O1140" s="20" t="s">
        <v>2762</v>
      </c>
      <c r="P1140" s="112" t="s">
        <v>6784</v>
      </c>
      <c r="Q1140" s="11" t="s">
        <v>784</v>
      </c>
      <c r="R1140" s="20" t="str">
        <f>Agencia[[#This Row],[territorio]]&amp;",regional,licencias,conducir,tipo,profesional,profesionales,clase,a1,a2,a3,a4,a5,"&amp;Agencia[[#This Row],[coleccion]]&amp;","&amp;Agencia[[#This Row],[sector]]&amp;","&amp;Agencia[[#This Row],[tema]]&amp;","&amp;Agencia[[#This Row],[contenido]]</f>
        <v>Región de Tarapacá,regional,licencias,conducir,tipo,profesional,profesionales,clase,a1,a2,a3,a4,a5,Agencia Información,Transporte y Tránsito,Licencias de Conducir Profesionales,Tránsito</v>
      </c>
      <c r="S1140" s="83" t="s">
        <v>2443</v>
      </c>
      <c r="T1140" s="114" t="s">
        <v>1872</v>
      </c>
      <c r="U1140" s="95" t="s">
        <v>398</v>
      </c>
      <c r="V1140" s="93" t="str">
        <f>+Agencia[[#This Row],[idcoleccion]]&amp;"-"&amp;Agencia[[#This Row],[id]]</f>
        <v>990-1129</v>
      </c>
      <c r="W1140" s="93">
        <f>+VLOOKUP(Agencia[[#This Row],[Filtro URL]],Estructura!$X$4:$Y$500,2,0)</f>
        <v>99200001</v>
      </c>
      <c r="X1140" s="93" t="str">
        <f>+VLOOKUP(Agencia[[#This Row],[tema]],Estructura!$A$4:$C$500,3,0)</f>
        <v>T-1037</v>
      </c>
      <c r="Y1140" s="93" t="str">
        <f>+VLOOKUP(Agencia[[#This Row],[contenido]],Estructura!$E$4:$G$500,3,0)</f>
        <v>C-1016</v>
      </c>
      <c r="Z1140" s="93" t="str">
        <f>+VLOOKUP(Agencia[[#This Row],[Filtro Integrado]],Estructura!$I$4:$K$500,3,0)</f>
        <v>FI-993</v>
      </c>
      <c r="AA1140" s="93" t="str">
        <f>+VLOOKUP(Agencia[[#This Row],[Muestra]],Estructura!$M$4:$O$500,3,0)</f>
        <v>M-1012</v>
      </c>
    </row>
    <row r="1141" spans="1:27" ht="61.2" x14ac:dyDescent="0.3">
      <c r="A1141" s="21" t="s">
        <v>1940</v>
      </c>
      <c r="B1141" s="23">
        <v>990</v>
      </c>
      <c r="C1141" s="24" t="s">
        <v>400</v>
      </c>
      <c r="D1141" s="67" t="s">
        <v>2010</v>
      </c>
      <c r="E1141" s="19">
        <v>2</v>
      </c>
      <c r="F1141" s="10" t="s">
        <v>2011</v>
      </c>
      <c r="G1141" s="10" t="s">
        <v>2700</v>
      </c>
      <c r="H1141" s="33" t="s">
        <v>16</v>
      </c>
      <c r="I1141" s="34" t="s">
        <v>369</v>
      </c>
      <c r="J1141" s="9" t="s">
        <v>403</v>
      </c>
      <c r="K1141" s="9" t="s">
        <v>2013</v>
      </c>
      <c r="L1141" s="9" t="s">
        <v>2014</v>
      </c>
      <c r="M1141" s="9" t="s">
        <v>2015</v>
      </c>
      <c r="N1141" s="9" t="s">
        <v>1370</v>
      </c>
      <c r="O1141" s="20" t="s">
        <v>2763</v>
      </c>
      <c r="P1141" s="112" t="s">
        <v>6785</v>
      </c>
      <c r="Q1141" s="11" t="s">
        <v>784</v>
      </c>
      <c r="R1141" s="148" t="str">
        <f>Agencia[[#This Row],[territorio]]&amp;",regional,licencias,conducir,tipo,profesional,profesionales,clase,a1,a2,a3,a4,a5,"&amp;Agencia[[#This Row],[coleccion]]&amp;","&amp;Agencia[[#This Row],[sector]]&amp;","&amp;Agencia[[#This Row],[tema]]&amp;","&amp;Agencia[[#This Row],[contenido]]</f>
        <v>Región de Antofagasta,regional,licencias,conducir,tipo,profesional,profesionales,clase,a1,a2,a3,a4,a5,Agencia Información,Transporte y Tránsito,Licencias de Conducir Profesionales,Tránsito</v>
      </c>
      <c r="S1141" s="37" t="s">
        <v>2444</v>
      </c>
      <c r="T1141" s="114" t="s">
        <v>1860</v>
      </c>
      <c r="U1141" s="46" t="s">
        <v>398</v>
      </c>
      <c r="V1141" s="93" t="str">
        <f>+Agencia[[#This Row],[idcoleccion]]&amp;"-"&amp;Agencia[[#This Row],[id]]</f>
        <v>990-1130</v>
      </c>
      <c r="W1141" s="93">
        <f>+VLOOKUP(Agencia[[#This Row],[Filtro URL]],Estructura!$X$4:$Y$500,2,0)</f>
        <v>99200002</v>
      </c>
      <c r="X1141" s="93" t="str">
        <f>+VLOOKUP(Agencia[[#This Row],[tema]],Estructura!$A$4:$C$500,3,0)</f>
        <v>T-1037</v>
      </c>
      <c r="Y1141" s="93" t="str">
        <f>+VLOOKUP(Agencia[[#This Row],[contenido]],Estructura!$E$4:$G$500,3,0)</f>
        <v>C-1016</v>
      </c>
      <c r="Z1141" s="93" t="str">
        <f>+VLOOKUP(Agencia[[#This Row],[Filtro Integrado]],Estructura!$I$4:$K$500,3,0)</f>
        <v>FI-993</v>
      </c>
      <c r="AA1141" s="93" t="str">
        <f>+VLOOKUP(Agencia[[#This Row],[Muestra]],Estructura!$M$4:$O$500,3,0)</f>
        <v>M-1012</v>
      </c>
    </row>
    <row r="1142" spans="1:27" ht="57.6" x14ac:dyDescent="0.3">
      <c r="A1142" s="21" t="s">
        <v>1941</v>
      </c>
      <c r="B1142" s="23">
        <v>990</v>
      </c>
      <c r="C1142" s="24" t="s">
        <v>400</v>
      </c>
      <c r="D1142" s="67" t="s">
        <v>2010</v>
      </c>
      <c r="E1142" s="19">
        <v>3</v>
      </c>
      <c r="F1142" s="10" t="s">
        <v>2011</v>
      </c>
      <c r="G1142" s="10" t="s">
        <v>2700</v>
      </c>
      <c r="H1142" s="33" t="s">
        <v>16</v>
      </c>
      <c r="I1142" s="34" t="s">
        <v>370</v>
      </c>
      <c r="J1142" s="9" t="s">
        <v>403</v>
      </c>
      <c r="K1142" s="9" t="s">
        <v>2013</v>
      </c>
      <c r="L1142" s="9" t="s">
        <v>2014</v>
      </c>
      <c r="M1142" s="9" t="s">
        <v>2015</v>
      </c>
      <c r="N1142" s="9" t="s">
        <v>1370</v>
      </c>
      <c r="O1142" s="20" t="s">
        <v>2764</v>
      </c>
      <c r="P1142" s="112" t="s">
        <v>6786</v>
      </c>
      <c r="Q1142" s="11" t="s">
        <v>784</v>
      </c>
      <c r="R1142" s="148" t="str">
        <f>Agencia[[#This Row],[territorio]]&amp;",regional,licencias,conducir,tipo,profesional,profesionales,clase,a1,a2,a3,a4,a5,"&amp;Agencia[[#This Row],[coleccion]]&amp;","&amp;Agencia[[#This Row],[sector]]&amp;","&amp;Agencia[[#This Row],[tema]]&amp;","&amp;Agencia[[#This Row],[contenido]]</f>
        <v>Región de Atacama,regional,licencias,conducir,tipo,profesional,profesionales,clase,a1,a2,a3,a4,a5,Agencia Información,Transporte y Tránsito,Licencias de Conducir Profesionales,Tránsito</v>
      </c>
      <c r="S1142" s="37" t="s">
        <v>2445</v>
      </c>
      <c r="T1142" s="114" t="s">
        <v>1862</v>
      </c>
      <c r="U1142" s="46" t="s">
        <v>398</v>
      </c>
      <c r="V1142" s="93" t="str">
        <f>+Agencia[[#This Row],[idcoleccion]]&amp;"-"&amp;Agencia[[#This Row],[id]]</f>
        <v>990-1131</v>
      </c>
      <c r="W1142" s="93">
        <f>+VLOOKUP(Agencia[[#This Row],[Filtro URL]],Estructura!$X$4:$Y$500,2,0)</f>
        <v>99200003</v>
      </c>
      <c r="X1142" s="93" t="str">
        <f>+VLOOKUP(Agencia[[#This Row],[tema]],Estructura!$A$4:$C$500,3,0)</f>
        <v>T-1037</v>
      </c>
      <c r="Y1142" s="93" t="str">
        <f>+VLOOKUP(Agencia[[#This Row],[contenido]],Estructura!$E$4:$G$500,3,0)</f>
        <v>C-1016</v>
      </c>
      <c r="Z1142" s="93" t="str">
        <f>+VLOOKUP(Agencia[[#This Row],[Filtro Integrado]],Estructura!$I$4:$K$500,3,0)</f>
        <v>FI-993</v>
      </c>
      <c r="AA1142" s="93" t="str">
        <f>+VLOOKUP(Agencia[[#This Row],[Muestra]],Estructura!$M$4:$O$500,3,0)</f>
        <v>M-1012</v>
      </c>
    </row>
    <row r="1143" spans="1:27" ht="57.6" x14ac:dyDescent="0.3">
      <c r="A1143" s="21" t="s">
        <v>1942</v>
      </c>
      <c r="B1143" s="23">
        <v>990</v>
      </c>
      <c r="C1143" s="24" t="s">
        <v>400</v>
      </c>
      <c r="D1143" s="67" t="s">
        <v>2010</v>
      </c>
      <c r="E1143" s="19">
        <v>4</v>
      </c>
      <c r="F1143" s="10" t="s">
        <v>2011</v>
      </c>
      <c r="G1143" s="10" t="s">
        <v>2700</v>
      </c>
      <c r="H1143" s="33" t="s">
        <v>16</v>
      </c>
      <c r="I1143" s="34" t="s">
        <v>371</v>
      </c>
      <c r="J1143" s="9" t="s">
        <v>403</v>
      </c>
      <c r="K1143" s="9" t="s">
        <v>2013</v>
      </c>
      <c r="L1143" s="9" t="s">
        <v>2014</v>
      </c>
      <c r="M1143" s="9" t="s">
        <v>2015</v>
      </c>
      <c r="N1143" s="9" t="s">
        <v>1370</v>
      </c>
      <c r="O1143" s="20" t="s">
        <v>2765</v>
      </c>
      <c r="P1143" s="112" t="s">
        <v>6787</v>
      </c>
      <c r="Q1143" s="11" t="s">
        <v>784</v>
      </c>
      <c r="R1143" s="148" t="str">
        <f>Agencia[[#This Row],[territorio]]&amp;",regional,licencias,conducir,tipo,profesional,profesionales,clase,a1,a2,a3,a4,a5,"&amp;Agencia[[#This Row],[coleccion]]&amp;","&amp;Agencia[[#This Row],[sector]]&amp;","&amp;Agencia[[#This Row],[tema]]&amp;","&amp;Agencia[[#This Row],[contenido]]</f>
        <v>Región de Coquimbo,regional,licencias,conducir,tipo,profesional,profesionales,clase,a1,a2,a3,a4,a5,Agencia Información,Transporte y Tránsito,Licencias de Conducir Profesionales,Tránsito</v>
      </c>
      <c r="S1143" s="37" t="s">
        <v>2446</v>
      </c>
      <c r="T1143" s="114" t="s">
        <v>1864</v>
      </c>
      <c r="U1143" s="95" t="s">
        <v>398</v>
      </c>
      <c r="V1143" s="93" t="str">
        <f>+Agencia[[#This Row],[idcoleccion]]&amp;"-"&amp;Agencia[[#This Row],[id]]</f>
        <v>990-1132</v>
      </c>
      <c r="W1143" s="93">
        <f>+VLOOKUP(Agencia[[#This Row],[Filtro URL]],Estructura!$X$4:$Y$500,2,0)</f>
        <v>99200004</v>
      </c>
      <c r="X1143" s="93" t="str">
        <f>+VLOOKUP(Agencia[[#This Row],[tema]],Estructura!$A$4:$C$500,3,0)</f>
        <v>T-1037</v>
      </c>
      <c r="Y1143" s="93" t="str">
        <f>+VLOOKUP(Agencia[[#This Row],[contenido]],Estructura!$E$4:$G$500,3,0)</f>
        <v>C-1016</v>
      </c>
      <c r="Z1143" s="93" t="str">
        <f>+VLOOKUP(Agencia[[#This Row],[Filtro Integrado]],Estructura!$I$4:$K$500,3,0)</f>
        <v>FI-993</v>
      </c>
      <c r="AA1143" s="93" t="str">
        <f>+VLOOKUP(Agencia[[#This Row],[Muestra]],Estructura!$M$4:$O$500,3,0)</f>
        <v>M-1012</v>
      </c>
    </row>
    <row r="1144" spans="1:27" ht="57.6" x14ac:dyDescent="0.3">
      <c r="A1144" s="21" t="s">
        <v>1943</v>
      </c>
      <c r="B1144" s="23">
        <v>990</v>
      </c>
      <c r="C1144" s="24" t="s">
        <v>400</v>
      </c>
      <c r="D1144" s="67" t="s">
        <v>2010</v>
      </c>
      <c r="E1144" s="19">
        <v>5</v>
      </c>
      <c r="F1144" s="10" t="s">
        <v>2011</v>
      </c>
      <c r="G1144" s="10" t="s">
        <v>2700</v>
      </c>
      <c r="H1144" s="33" t="s">
        <v>16</v>
      </c>
      <c r="I1144" s="34" t="s">
        <v>372</v>
      </c>
      <c r="J1144" s="9" t="s">
        <v>403</v>
      </c>
      <c r="K1144" s="9" t="s">
        <v>2013</v>
      </c>
      <c r="L1144" s="9" t="s">
        <v>2014</v>
      </c>
      <c r="M1144" s="9" t="s">
        <v>2015</v>
      </c>
      <c r="N1144" s="9" t="s">
        <v>1370</v>
      </c>
      <c r="O1144" s="20" t="s">
        <v>2766</v>
      </c>
      <c r="P1144" s="112" t="s">
        <v>6788</v>
      </c>
      <c r="Q1144" s="11" t="s">
        <v>784</v>
      </c>
      <c r="R1144" s="148" t="str">
        <f>Agencia[[#This Row],[territorio]]&amp;",regional,licencias,conducir,tipo,profesional,profesionales,clase,a1,a2,a3,a4,a5,"&amp;Agencia[[#This Row],[coleccion]]&amp;","&amp;Agencia[[#This Row],[sector]]&amp;","&amp;Agencia[[#This Row],[tema]]&amp;","&amp;Agencia[[#This Row],[contenido]]</f>
        <v>Región de Valparaíso,regional,licencias,conducir,tipo,profesional,profesionales,clase,a1,a2,a3,a4,a5,Agencia Información,Transporte y Tránsito,Licencias de Conducir Profesionales,Tránsito</v>
      </c>
      <c r="S1144" s="37" t="s">
        <v>2447</v>
      </c>
      <c r="T1144" s="114" t="s">
        <v>1873</v>
      </c>
      <c r="U1144" s="46" t="s">
        <v>398</v>
      </c>
      <c r="V1144" s="93" t="str">
        <f>+Agencia[[#This Row],[idcoleccion]]&amp;"-"&amp;Agencia[[#This Row],[id]]</f>
        <v>990-1133</v>
      </c>
      <c r="W1144" s="93">
        <f>+VLOOKUP(Agencia[[#This Row],[Filtro URL]],Estructura!$X$4:$Y$500,2,0)</f>
        <v>99200005</v>
      </c>
      <c r="X1144" s="93" t="str">
        <f>+VLOOKUP(Agencia[[#This Row],[tema]],Estructura!$A$4:$C$500,3,0)</f>
        <v>T-1037</v>
      </c>
      <c r="Y1144" s="93" t="str">
        <f>+VLOOKUP(Agencia[[#This Row],[contenido]],Estructura!$E$4:$G$500,3,0)</f>
        <v>C-1016</v>
      </c>
      <c r="Z1144" s="93" t="str">
        <f>+VLOOKUP(Agencia[[#This Row],[Filtro Integrado]],Estructura!$I$4:$K$500,3,0)</f>
        <v>FI-993</v>
      </c>
      <c r="AA1144" s="93" t="str">
        <f>+VLOOKUP(Agencia[[#This Row],[Muestra]],Estructura!$M$4:$O$500,3,0)</f>
        <v>M-1012</v>
      </c>
    </row>
    <row r="1145" spans="1:27" ht="57.6" x14ac:dyDescent="0.3">
      <c r="A1145" s="21" t="s">
        <v>1944</v>
      </c>
      <c r="B1145" s="23">
        <v>990</v>
      </c>
      <c r="C1145" s="24" t="s">
        <v>400</v>
      </c>
      <c r="D1145" s="67" t="s">
        <v>2010</v>
      </c>
      <c r="E1145" s="19">
        <v>6</v>
      </c>
      <c r="F1145" s="10" t="s">
        <v>2011</v>
      </c>
      <c r="G1145" s="10" t="s">
        <v>2700</v>
      </c>
      <c r="H1145" s="33" t="s">
        <v>16</v>
      </c>
      <c r="I1145" s="34" t="s">
        <v>373</v>
      </c>
      <c r="J1145" s="9" t="s">
        <v>403</v>
      </c>
      <c r="K1145" s="9" t="s">
        <v>2013</v>
      </c>
      <c r="L1145" s="9" t="s">
        <v>2014</v>
      </c>
      <c r="M1145" s="9" t="s">
        <v>2015</v>
      </c>
      <c r="N1145" s="9" t="s">
        <v>1370</v>
      </c>
      <c r="O1145" s="20" t="s">
        <v>2767</v>
      </c>
      <c r="P1145" s="112" t="s">
        <v>6811</v>
      </c>
      <c r="Q1145" s="11" t="s">
        <v>784</v>
      </c>
      <c r="R1145" s="148" t="str">
        <f>Agencia[[#This Row],[territorio]]&amp;",regional,licencias,conducir,tipo,profesional,profesionales,clase,a1,a2,a3,a4,a5,"&amp;Agencia[[#This Row],[coleccion]]&amp;","&amp;Agencia[[#This Row],[sector]]&amp;","&amp;Agencia[[#This Row],[tema]]&amp;","&amp;Agencia[[#This Row],[contenido]]</f>
        <v>Región de O'Higgins,regional,licencias,conducir,tipo,profesional,profesionales,clase,a1,a2,a3,a4,a5,Agencia Información,Transporte y Tránsito,Licencias de Conducir Profesionales,Tránsito</v>
      </c>
      <c r="S1145" s="37" t="s">
        <v>2448</v>
      </c>
      <c r="T1145" s="114" t="s">
        <v>1871</v>
      </c>
      <c r="U1145" s="46" t="s">
        <v>398</v>
      </c>
      <c r="V1145" s="93" t="str">
        <f>+Agencia[[#This Row],[idcoleccion]]&amp;"-"&amp;Agencia[[#This Row],[id]]</f>
        <v>990-1134</v>
      </c>
      <c r="W1145" s="93">
        <f>+VLOOKUP(Agencia[[#This Row],[Filtro URL]],Estructura!$X$4:$Y$500,2,0)</f>
        <v>99200006</v>
      </c>
      <c r="X1145" s="93" t="str">
        <f>+VLOOKUP(Agencia[[#This Row],[tema]],Estructura!$A$4:$C$500,3,0)</f>
        <v>T-1037</v>
      </c>
      <c r="Y1145" s="93" t="str">
        <f>+VLOOKUP(Agencia[[#This Row],[contenido]],Estructura!$E$4:$G$500,3,0)</f>
        <v>C-1016</v>
      </c>
      <c r="Z1145" s="93" t="str">
        <f>+VLOOKUP(Agencia[[#This Row],[Filtro Integrado]],Estructura!$I$4:$K$500,3,0)</f>
        <v>FI-993</v>
      </c>
      <c r="AA1145" s="93" t="str">
        <f>+VLOOKUP(Agencia[[#This Row],[Muestra]],Estructura!$M$4:$O$500,3,0)</f>
        <v>M-1012</v>
      </c>
    </row>
    <row r="1146" spans="1:27" ht="57.6" x14ac:dyDescent="0.3">
      <c r="A1146" s="21" t="s">
        <v>1945</v>
      </c>
      <c r="B1146" s="23">
        <v>990</v>
      </c>
      <c r="C1146" s="24" t="s">
        <v>400</v>
      </c>
      <c r="D1146" s="67" t="s">
        <v>2010</v>
      </c>
      <c r="E1146" s="19">
        <v>7</v>
      </c>
      <c r="F1146" s="10" t="s">
        <v>2011</v>
      </c>
      <c r="G1146" s="10" t="s">
        <v>2700</v>
      </c>
      <c r="H1146" s="33" t="s">
        <v>16</v>
      </c>
      <c r="I1146" s="34" t="s">
        <v>374</v>
      </c>
      <c r="J1146" s="9" t="s">
        <v>403</v>
      </c>
      <c r="K1146" s="9" t="s">
        <v>2013</v>
      </c>
      <c r="L1146" s="9" t="s">
        <v>2014</v>
      </c>
      <c r="M1146" s="9" t="s">
        <v>2015</v>
      </c>
      <c r="N1146" s="9" t="s">
        <v>1370</v>
      </c>
      <c r="O1146" s="20" t="s">
        <v>2768</v>
      </c>
      <c r="P1146" s="112" t="s">
        <v>6789</v>
      </c>
      <c r="Q1146" s="11" t="s">
        <v>784</v>
      </c>
      <c r="R1146" s="148" t="str">
        <f>Agencia[[#This Row],[territorio]]&amp;",regional,licencias,conducir,tipo,profesional,profesionales,clase,a1,a2,a3,a4,a5,"&amp;Agencia[[#This Row],[coleccion]]&amp;","&amp;Agencia[[#This Row],[sector]]&amp;","&amp;Agencia[[#This Row],[tema]]&amp;","&amp;Agencia[[#This Row],[contenido]]</f>
        <v>Región de Maule,regional,licencias,conducir,tipo,profesional,profesionales,clase,a1,a2,a3,a4,a5,Agencia Información,Transporte y Tránsito,Licencias de Conducir Profesionales,Tránsito</v>
      </c>
      <c r="S1146" s="37" t="s">
        <v>2449</v>
      </c>
      <c r="T1146" s="114" t="s">
        <v>1869</v>
      </c>
      <c r="U1146" s="95" t="s">
        <v>398</v>
      </c>
      <c r="V1146" s="93" t="str">
        <f>+Agencia[[#This Row],[idcoleccion]]&amp;"-"&amp;Agencia[[#This Row],[id]]</f>
        <v>990-1135</v>
      </c>
      <c r="W1146" s="93">
        <f>+VLOOKUP(Agencia[[#This Row],[Filtro URL]],Estructura!$X$4:$Y$500,2,0)</f>
        <v>99200007</v>
      </c>
      <c r="X1146" s="93" t="str">
        <f>+VLOOKUP(Agencia[[#This Row],[tema]],Estructura!$A$4:$C$500,3,0)</f>
        <v>T-1037</v>
      </c>
      <c r="Y1146" s="93" t="str">
        <f>+VLOOKUP(Agencia[[#This Row],[contenido]],Estructura!$E$4:$G$500,3,0)</f>
        <v>C-1016</v>
      </c>
      <c r="Z1146" s="93" t="str">
        <f>+VLOOKUP(Agencia[[#This Row],[Filtro Integrado]],Estructura!$I$4:$K$500,3,0)</f>
        <v>FI-993</v>
      </c>
      <c r="AA1146" s="93" t="str">
        <f>+VLOOKUP(Agencia[[#This Row],[Muestra]],Estructura!$M$4:$O$500,3,0)</f>
        <v>M-1012</v>
      </c>
    </row>
    <row r="1147" spans="1:27" ht="57.6" x14ac:dyDescent="0.3">
      <c r="A1147" s="21" t="s">
        <v>1946</v>
      </c>
      <c r="B1147" s="23">
        <v>990</v>
      </c>
      <c r="C1147" s="24" t="s">
        <v>400</v>
      </c>
      <c r="D1147" s="67" t="s">
        <v>2010</v>
      </c>
      <c r="E1147" s="19">
        <v>8</v>
      </c>
      <c r="F1147" s="10" t="s">
        <v>2011</v>
      </c>
      <c r="G1147" s="10" t="s">
        <v>2700</v>
      </c>
      <c r="H1147" s="33" t="s">
        <v>16</v>
      </c>
      <c r="I1147" s="34" t="s">
        <v>375</v>
      </c>
      <c r="J1147" s="9" t="s">
        <v>403</v>
      </c>
      <c r="K1147" s="9" t="s">
        <v>2013</v>
      </c>
      <c r="L1147" s="9" t="s">
        <v>2014</v>
      </c>
      <c r="M1147" s="9" t="s">
        <v>2015</v>
      </c>
      <c r="N1147" s="9" t="s">
        <v>1370</v>
      </c>
      <c r="O1147" s="20" t="s">
        <v>2769</v>
      </c>
      <c r="P1147" s="112" t="s">
        <v>6812</v>
      </c>
      <c r="Q1147" s="11" t="s">
        <v>784</v>
      </c>
      <c r="R1147" s="148" t="str">
        <f>Agencia[[#This Row],[territorio]]&amp;",regional,licencias,conducir,tipo,profesional,profesionales,clase,a1,a2,a3,a4,a5,"&amp;Agencia[[#This Row],[coleccion]]&amp;","&amp;Agencia[[#This Row],[sector]]&amp;","&amp;Agencia[[#This Row],[tema]]&amp;","&amp;Agencia[[#This Row],[contenido]]</f>
        <v>Región del Biobío,regional,licencias,conducir,tipo,profesional,profesionales,clase,a1,a2,a3,a4,a5,Agencia Información,Transporte y Tránsito,Licencias de Conducir Profesionales,Tránsito</v>
      </c>
      <c r="S1147" s="37" t="s">
        <v>2450</v>
      </c>
      <c r="T1147" s="114" t="s">
        <v>1874</v>
      </c>
      <c r="U1147" s="46" t="s">
        <v>398</v>
      </c>
      <c r="V1147" s="93" t="str">
        <f>+Agencia[[#This Row],[idcoleccion]]&amp;"-"&amp;Agencia[[#This Row],[id]]</f>
        <v>990-1136</v>
      </c>
      <c r="W1147" s="93">
        <f>+VLOOKUP(Agencia[[#This Row],[Filtro URL]],Estructura!$X$4:$Y$500,2,0)</f>
        <v>99200008</v>
      </c>
      <c r="X1147" s="93" t="str">
        <f>+VLOOKUP(Agencia[[#This Row],[tema]],Estructura!$A$4:$C$500,3,0)</f>
        <v>T-1037</v>
      </c>
      <c r="Y1147" s="93" t="str">
        <f>+VLOOKUP(Agencia[[#This Row],[contenido]],Estructura!$E$4:$G$500,3,0)</f>
        <v>C-1016</v>
      </c>
      <c r="Z1147" s="93" t="str">
        <f>+VLOOKUP(Agencia[[#This Row],[Filtro Integrado]],Estructura!$I$4:$K$500,3,0)</f>
        <v>FI-993</v>
      </c>
      <c r="AA1147" s="93" t="str">
        <f>+VLOOKUP(Agencia[[#This Row],[Muestra]],Estructura!$M$4:$O$500,3,0)</f>
        <v>M-1012</v>
      </c>
    </row>
    <row r="1148" spans="1:27" ht="57.6" x14ac:dyDescent="0.3">
      <c r="A1148" s="21" t="s">
        <v>1947</v>
      </c>
      <c r="B1148" s="23">
        <v>990</v>
      </c>
      <c r="C1148" s="24" t="s">
        <v>400</v>
      </c>
      <c r="D1148" s="67" t="s">
        <v>2010</v>
      </c>
      <c r="E1148" s="19">
        <v>9</v>
      </c>
      <c r="F1148" s="10" t="s">
        <v>2011</v>
      </c>
      <c r="G1148" s="10" t="s">
        <v>2700</v>
      </c>
      <c r="H1148" s="33" t="s">
        <v>16</v>
      </c>
      <c r="I1148" s="34" t="s">
        <v>376</v>
      </c>
      <c r="J1148" s="9" t="s">
        <v>403</v>
      </c>
      <c r="K1148" s="9" t="s">
        <v>2013</v>
      </c>
      <c r="L1148" s="9" t="s">
        <v>2014</v>
      </c>
      <c r="M1148" s="9" t="s">
        <v>2015</v>
      </c>
      <c r="N1148" s="9" t="s">
        <v>1370</v>
      </c>
      <c r="O1148" s="20" t="s">
        <v>2770</v>
      </c>
      <c r="P1148" s="112" t="s">
        <v>6813</v>
      </c>
      <c r="Q1148" s="11" t="s">
        <v>784</v>
      </c>
      <c r="R1148" s="148" t="str">
        <f>Agencia[[#This Row],[territorio]]&amp;",regional,licencias,conducir,tipo,profesional,profesionales,clase,a1,a2,a3,a4,a5,"&amp;Agencia[[#This Row],[coleccion]]&amp;","&amp;Agencia[[#This Row],[sector]]&amp;","&amp;Agencia[[#This Row],[tema]]&amp;","&amp;Agencia[[#This Row],[contenido]]</f>
        <v>Región de La Araucanía,regional,licencias,conducir,tipo,profesional,profesionales,clase,a1,a2,a3,a4,a5,Agencia Información,Transporte y Tránsito,Licencias de Conducir Profesionales,Tránsito</v>
      </c>
      <c r="S1148" s="37" t="s">
        <v>2451</v>
      </c>
      <c r="T1148" s="114" t="s">
        <v>1865</v>
      </c>
      <c r="U1148" s="46" t="s">
        <v>398</v>
      </c>
      <c r="V1148" s="93" t="str">
        <f>+Agencia[[#This Row],[idcoleccion]]&amp;"-"&amp;Agencia[[#This Row],[id]]</f>
        <v>990-1137</v>
      </c>
      <c r="W1148" s="93">
        <f>+VLOOKUP(Agencia[[#This Row],[Filtro URL]],Estructura!$X$4:$Y$500,2,0)</f>
        <v>99200009</v>
      </c>
      <c r="X1148" s="93" t="str">
        <f>+VLOOKUP(Agencia[[#This Row],[tema]],Estructura!$A$4:$C$500,3,0)</f>
        <v>T-1037</v>
      </c>
      <c r="Y1148" s="93" t="str">
        <f>+VLOOKUP(Agencia[[#This Row],[contenido]],Estructura!$E$4:$G$500,3,0)</f>
        <v>C-1016</v>
      </c>
      <c r="Z1148" s="93" t="str">
        <f>+VLOOKUP(Agencia[[#This Row],[Filtro Integrado]],Estructura!$I$4:$K$500,3,0)</f>
        <v>FI-993</v>
      </c>
      <c r="AA1148" s="93" t="str">
        <f>+VLOOKUP(Agencia[[#This Row],[Muestra]],Estructura!$M$4:$O$500,3,0)</f>
        <v>M-1012</v>
      </c>
    </row>
    <row r="1149" spans="1:27" ht="57.6" x14ac:dyDescent="0.3">
      <c r="A1149" s="21" t="s">
        <v>1948</v>
      </c>
      <c r="B1149" s="23">
        <v>990</v>
      </c>
      <c r="C1149" s="24" t="s">
        <v>400</v>
      </c>
      <c r="D1149" s="67" t="s">
        <v>2010</v>
      </c>
      <c r="E1149" s="19">
        <v>10</v>
      </c>
      <c r="F1149" s="10" t="s">
        <v>2011</v>
      </c>
      <c r="G1149" s="10" t="s">
        <v>2700</v>
      </c>
      <c r="H1149" s="33" t="s">
        <v>16</v>
      </c>
      <c r="I1149" s="34" t="s">
        <v>377</v>
      </c>
      <c r="J1149" s="9" t="s">
        <v>403</v>
      </c>
      <c r="K1149" s="9" t="s">
        <v>2013</v>
      </c>
      <c r="L1149" s="9" t="s">
        <v>2014</v>
      </c>
      <c r="M1149" s="9" t="s">
        <v>2015</v>
      </c>
      <c r="N1149" s="9" t="s">
        <v>1370</v>
      </c>
      <c r="O1149" s="20" t="s">
        <v>2771</v>
      </c>
      <c r="P1149" s="112" t="s">
        <v>6790</v>
      </c>
      <c r="Q1149" s="11" t="s">
        <v>784</v>
      </c>
      <c r="R1149" s="148" t="str">
        <f>Agencia[[#This Row],[territorio]]&amp;",regional,licencias,conducir,tipo,profesional,profesionales,clase,a1,a2,a3,a4,a5,"&amp;Agencia[[#This Row],[coleccion]]&amp;","&amp;Agencia[[#This Row],[sector]]&amp;","&amp;Agencia[[#This Row],[tema]]&amp;","&amp;Agencia[[#This Row],[contenido]]</f>
        <v>Región de Los Lagos,regional,licencias,conducir,tipo,profesional,profesionales,clase,a1,a2,a3,a4,a5,Agencia Información,Transporte y Tránsito,Licencias de Conducir Profesionales,Tránsito</v>
      </c>
      <c r="S1149" s="37" t="s">
        <v>2452</v>
      </c>
      <c r="T1149" s="114" t="s">
        <v>1866</v>
      </c>
      <c r="U1149" s="95" t="s">
        <v>398</v>
      </c>
      <c r="V1149" s="93" t="str">
        <f>+Agencia[[#This Row],[idcoleccion]]&amp;"-"&amp;Agencia[[#This Row],[id]]</f>
        <v>990-1138</v>
      </c>
      <c r="W1149" s="93">
        <f>+VLOOKUP(Agencia[[#This Row],[Filtro URL]],Estructura!$X$4:$Y$500,2,0)</f>
        <v>99200010</v>
      </c>
      <c r="X1149" s="93" t="str">
        <f>+VLOOKUP(Agencia[[#This Row],[tema]],Estructura!$A$4:$C$500,3,0)</f>
        <v>T-1037</v>
      </c>
      <c r="Y1149" s="93" t="str">
        <f>+VLOOKUP(Agencia[[#This Row],[contenido]],Estructura!$E$4:$G$500,3,0)</f>
        <v>C-1016</v>
      </c>
      <c r="Z1149" s="93" t="str">
        <f>+VLOOKUP(Agencia[[#This Row],[Filtro Integrado]],Estructura!$I$4:$K$500,3,0)</f>
        <v>FI-993</v>
      </c>
      <c r="AA1149" s="93" t="str">
        <f>+VLOOKUP(Agencia[[#This Row],[Muestra]],Estructura!$M$4:$O$500,3,0)</f>
        <v>M-1012</v>
      </c>
    </row>
    <row r="1150" spans="1:27" ht="57.6" x14ac:dyDescent="0.3">
      <c r="A1150" s="21" t="s">
        <v>1949</v>
      </c>
      <c r="B1150" s="23">
        <v>990</v>
      </c>
      <c r="C1150" s="24" t="s">
        <v>400</v>
      </c>
      <c r="D1150" s="67" t="s">
        <v>2010</v>
      </c>
      <c r="E1150" s="19">
        <v>11</v>
      </c>
      <c r="F1150" s="10" t="s">
        <v>2011</v>
      </c>
      <c r="G1150" s="10" t="s">
        <v>2700</v>
      </c>
      <c r="H1150" s="33" t="s">
        <v>16</v>
      </c>
      <c r="I1150" s="34" t="s">
        <v>378</v>
      </c>
      <c r="J1150" s="9" t="s">
        <v>403</v>
      </c>
      <c r="K1150" s="9" t="s">
        <v>2013</v>
      </c>
      <c r="L1150" s="9" t="s">
        <v>2014</v>
      </c>
      <c r="M1150" s="9" t="s">
        <v>2015</v>
      </c>
      <c r="N1150" s="9" t="s">
        <v>1370</v>
      </c>
      <c r="O1150" s="20" t="s">
        <v>2772</v>
      </c>
      <c r="P1150" s="112" t="s">
        <v>6791</v>
      </c>
      <c r="Q1150" s="11" t="s">
        <v>784</v>
      </c>
      <c r="R1150" s="148" t="str">
        <f>Agencia[[#This Row],[territorio]]&amp;",regional,licencias,conducir,tipo,profesional,profesionales,clase,a1,a2,a3,a4,a5,"&amp;Agencia[[#This Row],[coleccion]]&amp;","&amp;Agencia[[#This Row],[sector]]&amp;","&amp;Agencia[[#This Row],[tema]]&amp;","&amp;Agencia[[#This Row],[contenido]]</f>
        <v>Región de Aysén,regional,licencias,conducir,tipo,profesional,profesionales,clase,a1,a2,a3,a4,a5,Agencia Información,Transporte y Tránsito,Licencias de Conducir Profesionales,Tránsito</v>
      </c>
      <c r="S1150" s="37" t="s">
        <v>2453</v>
      </c>
      <c r="T1150" s="114" t="s">
        <v>1863</v>
      </c>
      <c r="U1150" s="46" t="s">
        <v>398</v>
      </c>
      <c r="V1150" s="93" t="str">
        <f>+Agencia[[#This Row],[idcoleccion]]&amp;"-"&amp;Agencia[[#This Row],[id]]</f>
        <v>990-1139</v>
      </c>
      <c r="W1150" s="93">
        <f>+VLOOKUP(Agencia[[#This Row],[Filtro URL]],Estructura!$X$4:$Y$500,2,0)</f>
        <v>99200011</v>
      </c>
      <c r="X1150" s="93" t="str">
        <f>+VLOOKUP(Agencia[[#This Row],[tema]],Estructura!$A$4:$C$500,3,0)</f>
        <v>T-1037</v>
      </c>
      <c r="Y1150" s="93" t="str">
        <f>+VLOOKUP(Agencia[[#This Row],[contenido]],Estructura!$E$4:$G$500,3,0)</f>
        <v>C-1016</v>
      </c>
      <c r="Z1150" s="93" t="str">
        <f>+VLOOKUP(Agencia[[#This Row],[Filtro Integrado]],Estructura!$I$4:$K$500,3,0)</f>
        <v>FI-993</v>
      </c>
      <c r="AA1150" s="93" t="str">
        <f>+VLOOKUP(Agencia[[#This Row],[Muestra]],Estructura!$M$4:$O$500,3,0)</f>
        <v>M-1012</v>
      </c>
    </row>
    <row r="1151" spans="1:27" ht="61.2" x14ac:dyDescent="0.3">
      <c r="A1151" s="21" t="s">
        <v>1950</v>
      </c>
      <c r="B1151" s="23">
        <v>990</v>
      </c>
      <c r="C1151" s="24" t="s">
        <v>400</v>
      </c>
      <c r="D1151" s="67" t="s">
        <v>2010</v>
      </c>
      <c r="E1151" s="19">
        <v>12</v>
      </c>
      <c r="F1151" s="10" t="s">
        <v>2011</v>
      </c>
      <c r="G1151" s="10" t="s">
        <v>2700</v>
      </c>
      <c r="H1151" s="33" t="s">
        <v>16</v>
      </c>
      <c r="I1151" s="34" t="s">
        <v>379</v>
      </c>
      <c r="J1151" s="9" t="s">
        <v>403</v>
      </c>
      <c r="K1151" s="9" t="s">
        <v>2013</v>
      </c>
      <c r="L1151" s="9" t="s">
        <v>2014</v>
      </c>
      <c r="M1151" s="9" t="s">
        <v>2015</v>
      </c>
      <c r="N1151" s="9" t="s">
        <v>1370</v>
      </c>
      <c r="O1151" s="20" t="s">
        <v>2773</v>
      </c>
      <c r="P1151" s="112" t="s">
        <v>6792</v>
      </c>
      <c r="Q1151" s="11" t="s">
        <v>784</v>
      </c>
      <c r="R1151" s="148" t="str">
        <f>Agencia[[#This Row],[territorio]]&amp;",regional,licencias,conducir,tipo,profesional,profesionales,clase,a1,a2,a3,a4,a5,"&amp;Agencia[[#This Row],[coleccion]]&amp;","&amp;Agencia[[#This Row],[sector]]&amp;","&amp;Agencia[[#This Row],[tema]]&amp;","&amp;Agencia[[#This Row],[contenido]]</f>
        <v>Región de Magallanes,regional,licencias,conducir,tipo,profesional,profesionales,clase,a1,a2,a3,a4,a5,Agencia Información,Transporte y Tránsito,Licencias de Conducir Profesionales,Tránsito</v>
      </c>
      <c r="S1151" s="37" t="s">
        <v>2454</v>
      </c>
      <c r="T1151" s="114" t="s">
        <v>1868</v>
      </c>
      <c r="U1151" s="46" t="s">
        <v>398</v>
      </c>
      <c r="V1151" s="93" t="str">
        <f>+Agencia[[#This Row],[idcoleccion]]&amp;"-"&amp;Agencia[[#This Row],[id]]</f>
        <v>990-1140</v>
      </c>
      <c r="W1151" s="93">
        <f>+VLOOKUP(Agencia[[#This Row],[Filtro URL]],Estructura!$X$4:$Y$500,2,0)</f>
        <v>99200012</v>
      </c>
      <c r="X1151" s="93" t="str">
        <f>+VLOOKUP(Agencia[[#This Row],[tema]],Estructura!$A$4:$C$500,3,0)</f>
        <v>T-1037</v>
      </c>
      <c r="Y1151" s="93" t="str">
        <f>+VLOOKUP(Agencia[[#This Row],[contenido]],Estructura!$E$4:$G$500,3,0)</f>
        <v>C-1016</v>
      </c>
      <c r="Z1151" s="93" t="str">
        <f>+VLOOKUP(Agencia[[#This Row],[Filtro Integrado]],Estructura!$I$4:$K$500,3,0)</f>
        <v>FI-993</v>
      </c>
      <c r="AA1151" s="93" t="str">
        <f>+VLOOKUP(Agencia[[#This Row],[Muestra]],Estructura!$M$4:$O$500,3,0)</f>
        <v>M-1012</v>
      </c>
    </row>
    <row r="1152" spans="1:27" ht="61.2" x14ac:dyDescent="0.3">
      <c r="A1152" s="21" t="s">
        <v>1951</v>
      </c>
      <c r="B1152" s="23">
        <v>990</v>
      </c>
      <c r="C1152" s="24" t="s">
        <v>400</v>
      </c>
      <c r="D1152" s="67" t="s">
        <v>2010</v>
      </c>
      <c r="E1152" s="19">
        <v>13</v>
      </c>
      <c r="F1152" s="10" t="s">
        <v>2011</v>
      </c>
      <c r="G1152" s="10" t="s">
        <v>2700</v>
      </c>
      <c r="H1152" s="33" t="s">
        <v>16</v>
      </c>
      <c r="I1152" s="34" t="s">
        <v>380</v>
      </c>
      <c r="J1152" s="9" t="s">
        <v>403</v>
      </c>
      <c r="K1152" s="9" t="s">
        <v>2013</v>
      </c>
      <c r="L1152" s="9" t="s">
        <v>2014</v>
      </c>
      <c r="M1152" s="9" t="s">
        <v>2015</v>
      </c>
      <c r="N1152" s="9" t="s">
        <v>1370</v>
      </c>
      <c r="O1152" s="20" t="s">
        <v>2774</v>
      </c>
      <c r="P1152" s="112" t="s">
        <v>6793</v>
      </c>
      <c r="Q1152" s="11" t="s">
        <v>784</v>
      </c>
      <c r="R1152" s="148" t="str">
        <f>Agencia[[#This Row],[territorio]]&amp;",regional,licencias,conducir,tipo,profesional,profesionales,clase,a1,a2,a3,a4,a5,"&amp;Agencia[[#This Row],[coleccion]]&amp;","&amp;Agencia[[#This Row],[sector]]&amp;","&amp;Agencia[[#This Row],[tema]]&amp;","&amp;Agencia[[#This Row],[contenido]]</f>
        <v>Región Metropolitana,regional,licencias,conducir,tipo,profesional,profesionales,clase,a1,a2,a3,a4,a5,Agencia Información,Transporte y Tránsito,Licencias de Conducir Profesionales,Tránsito</v>
      </c>
      <c r="S1152" s="37" t="s">
        <v>2455</v>
      </c>
      <c r="T1152" s="114" t="s">
        <v>1875</v>
      </c>
      <c r="U1152" s="95" t="s">
        <v>398</v>
      </c>
      <c r="V1152" s="93" t="str">
        <f>+Agencia[[#This Row],[idcoleccion]]&amp;"-"&amp;Agencia[[#This Row],[id]]</f>
        <v>990-1141</v>
      </c>
      <c r="W1152" s="93">
        <f>+VLOOKUP(Agencia[[#This Row],[Filtro URL]],Estructura!$X$4:$Y$500,2,0)</f>
        <v>99200013</v>
      </c>
      <c r="X1152" s="93" t="str">
        <f>+VLOOKUP(Agencia[[#This Row],[tema]],Estructura!$A$4:$C$500,3,0)</f>
        <v>T-1037</v>
      </c>
      <c r="Y1152" s="93" t="str">
        <f>+VLOOKUP(Agencia[[#This Row],[contenido]],Estructura!$E$4:$G$500,3,0)</f>
        <v>C-1016</v>
      </c>
      <c r="Z1152" s="93" t="str">
        <f>+VLOOKUP(Agencia[[#This Row],[Filtro Integrado]],Estructura!$I$4:$K$500,3,0)</f>
        <v>FI-993</v>
      </c>
      <c r="AA1152" s="93" t="str">
        <f>+VLOOKUP(Agencia[[#This Row],[Muestra]],Estructura!$M$4:$O$500,3,0)</f>
        <v>M-1012</v>
      </c>
    </row>
    <row r="1153" spans="1:27" ht="57.6" x14ac:dyDescent="0.3">
      <c r="A1153" s="21" t="s">
        <v>1952</v>
      </c>
      <c r="B1153" s="23">
        <v>990</v>
      </c>
      <c r="C1153" s="24" t="s">
        <v>400</v>
      </c>
      <c r="D1153" s="67" t="s">
        <v>2010</v>
      </c>
      <c r="E1153" s="19">
        <v>14</v>
      </c>
      <c r="F1153" s="10" t="s">
        <v>2011</v>
      </c>
      <c r="G1153" s="10" t="s">
        <v>2700</v>
      </c>
      <c r="H1153" s="33" t="s">
        <v>16</v>
      </c>
      <c r="I1153" s="34" t="s">
        <v>381</v>
      </c>
      <c r="J1153" s="9" t="s">
        <v>403</v>
      </c>
      <c r="K1153" s="9" t="s">
        <v>2013</v>
      </c>
      <c r="L1153" s="9" t="s">
        <v>2014</v>
      </c>
      <c r="M1153" s="9" t="s">
        <v>2015</v>
      </c>
      <c r="N1153" s="9" t="s">
        <v>1370</v>
      </c>
      <c r="O1153" s="20" t="s">
        <v>2775</v>
      </c>
      <c r="P1153" s="112" t="s">
        <v>6794</v>
      </c>
      <c r="Q1153" s="11" t="s">
        <v>784</v>
      </c>
      <c r="R1153" s="148" t="str">
        <f>Agencia[[#This Row],[territorio]]&amp;",regional,licencias,conducir,tipo,profesional,profesionales,clase,a1,a2,a3,a4,a5,"&amp;Agencia[[#This Row],[coleccion]]&amp;","&amp;Agencia[[#This Row],[sector]]&amp;","&amp;Agencia[[#This Row],[tema]]&amp;","&amp;Agencia[[#This Row],[contenido]]</f>
        <v>Región de Los Ríos,regional,licencias,conducir,tipo,profesional,profesionales,clase,a1,a2,a3,a4,a5,Agencia Información,Transporte y Tránsito,Licencias de Conducir Profesionales,Tránsito</v>
      </c>
      <c r="S1153" s="37" t="s">
        <v>2456</v>
      </c>
      <c r="T1153" s="114" t="s">
        <v>1867</v>
      </c>
      <c r="U1153" s="46" t="s">
        <v>398</v>
      </c>
      <c r="V1153" s="93" t="str">
        <f>+Agencia[[#This Row],[idcoleccion]]&amp;"-"&amp;Agencia[[#This Row],[id]]</f>
        <v>990-1142</v>
      </c>
      <c r="W1153" s="93">
        <f>+VLOOKUP(Agencia[[#This Row],[Filtro URL]],Estructura!$X$4:$Y$500,2,0)</f>
        <v>99200014</v>
      </c>
      <c r="X1153" s="93" t="str">
        <f>+VLOOKUP(Agencia[[#This Row],[tema]],Estructura!$A$4:$C$500,3,0)</f>
        <v>T-1037</v>
      </c>
      <c r="Y1153" s="93" t="str">
        <f>+VLOOKUP(Agencia[[#This Row],[contenido]],Estructura!$E$4:$G$500,3,0)</f>
        <v>C-1016</v>
      </c>
      <c r="Z1153" s="93" t="str">
        <f>+VLOOKUP(Agencia[[#This Row],[Filtro Integrado]],Estructura!$I$4:$K$500,3,0)</f>
        <v>FI-993</v>
      </c>
      <c r="AA1153" s="93" t="str">
        <f>+VLOOKUP(Agencia[[#This Row],[Muestra]],Estructura!$M$4:$O$500,3,0)</f>
        <v>M-1012</v>
      </c>
    </row>
    <row r="1154" spans="1:27" ht="57.6" x14ac:dyDescent="0.3">
      <c r="A1154" s="21" t="s">
        <v>1954</v>
      </c>
      <c r="B1154" s="23">
        <v>990</v>
      </c>
      <c r="C1154" s="24" t="s">
        <v>400</v>
      </c>
      <c r="D1154" s="67" t="s">
        <v>2010</v>
      </c>
      <c r="E1154" s="19">
        <v>15</v>
      </c>
      <c r="F1154" s="10" t="s">
        <v>2011</v>
      </c>
      <c r="G1154" s="10" t="s">
        <v>2700</v>
      </c>
      <c r="H1154" s="33" t="s">
        <v>16</v>
      </c>
      <c r="I1154" s="34" t="s">
        <v>382</v>
      </c>
      <c r="J1154" s="9" t="s">
        <v>403</v>
      </c>
      <c r="K1154" s="9" t="s">
        <v>2013</v>
      </c>
      <c r="L1154" s="9" t="s">
        <v>2014</v>
      </c>
      <c r="M1154" s="9" t="s">
        <v>2015</v>
      </c>
      <c r="N1154" s="9" t="s">
        <v>1370</v>
      </c>
      <c r="O1154" s="20" t="s">
        <v>2776</v>
      </c>
      <c r="P1154" s="112" t="s">
        <v>6795</v>
      </c>
      <c r="Q1154" s="11" t="s">
        <v>784</v>
      </c>
      <c r="R1154" s="148" t="str">
        <f>Agencia[[#This Row],[territorio]]&amp;",regional,licencias,conducir,tipo,profesional,profesionales,clase,a1,a2,a3,a4,a5,"&amp;Agencia[[#This Row],[coleccion]]&amp;","&amp;Agencia[[#This Row],[sector]]&amp;","&amp;Agencia[[#This Row],[tema]]&amp;","&amp;Agencia[[#This Row],[contenido]]</f>
        <v>Región de Arica y Parinacota,regional,licencias,conducir,tipo,profesional,profesionales,clase,a1,a2,a3,a4,a5,Agencia Información,Transporte y Tránsito,Licencias de Conducir Profesionales,Tránsito</v>
      </c>
      <c r="S1154" s="83" t="s">
        <v>2457</v>
      </c>
      <c r="T1154" s="114" t="s">
        <v>1861</v>
      </c>
      <c r="U1154" s="46" t="s">
        <v>398</v>
      </c>
      <c r="V1154" s="93" t="str">
        <f>+Agencia[[#This Row],[idcoleccion]]&amp;"-"&amp;Agencia[[#This Row],[id]]</f>
        <v>990-1143</v>
      </c>
      <c r="W1154" s="93">
        <f>+VLOOKUP(Agencia[[#This Row],[Filtro URL]],Estructura!$X$4:$Y$500,2,0)</f>
        <v>99200015</v>
      </c>
      <c r="X1154" s="93" t="str">
        <f>+VLOOKUP(Agencia[[#This Row],[tema]],Estructura!$A$4:$C$500,3,0)</f>
        <v>T-1037</v>
      </c>
      <c r="Y1154" s="93" t="str">
        <f>+VLOOKUP(Agencia[[#This Row],[contenido]],Estructura!$E$4:$G$500,3,0)</f>
        <v>C-1016</v>
      </c>
      <c r="Z1154" s="93" t="str">
        <f>+VLOOKUP(Agencia[[#This Row],[Filtro Integrado]],Estructura!$I$4:$K$500,3,0)</f>
        <v>FI-993</v>
      </c>
      <c r="AA1154" s="93" t="str">
        <f>+VLOOKUP(Agencia[[#This Row],[Muestra]],Estructura!$M$4:$O$500,3,0)</f>
        <v>M-1012</v>
      </c>
    </row>
    <row r="1155" spans="1:27" ht="57.6" x14ac:dyDescent="0.3">
      <c r="A1155" s="21" t="s">
        <v>1955</v>
      </c>
      <c r="B1155" s="23">
        <v>990</v>
      </c>
      <c r="C1155" s="24" t="s">
        <v>400</v>
      </c>
      <c r="D1155" s="67" t="s">
        <v>2010</v>
      </c>
      <c r="E1155" s="19">
        <v>16</v>
      </c>
      <c r="F1155" s="10" t="s">
        <v>2011</v>
      </c>
      <c r="G1155" s="10" t="s">
        <v>2700</v>
      </c>
      <c r="H1155" s="33" t="s">
        <v>16</v>
      </c>
      <c r="I1155" s="34" t="s">
        <v>383</v>
      </c>
      <c r="J1155" s="9" t="s">
        <v>403</v>
      </c>
      <c r="K1155" s="9" t="s">
        <v>2013</v>
      </c>
      <c r="L1155" s="9" t="s">
        <v>2014</v>
      </c>
      <c r="M1155" s="9" t="s">
        <v>2015</v>
      </c>
      <c r="N1155" s="9" t="s">
        <v>1370</v>
      </c>
      <c r="O1155" s="20" t="s">
        <v>2777</v>
      </c>
      <c r="P1155" s="112" t="s">
        <v>6796</v>
      </c>
      <c r="Q1155" s="11" t="s">
        <v>784</v>
      </c>
      <c r="R1155" s="148" t="str">
        <f>Agencia[[#This Row],[territorio]]&amp;",regional,licencias,conducir,tipo,profesional,profesionales,clase,a1,a2,a3,a4,a5,"&amp;Agencia[[#This Row],[coleccion]]&amp;","&amp;Agencia[[#This Row],[sector]]&amp;","&amp;Agencia[[#This Row],[tema]]&amp;","&amp;Agencia[[#This Row],[contenido]]</f>
        <v>Región de Ñuble,regional,licencias,conducir,tipo,profesional,profesionales,clase,a1,a2,a3,a4,a5,Agencia Información,Transporte y Tránsito,Licencias de Conducir Profesionales,Tránsito</v>
      </c>
      <c r="S1155" s="37" t="s">
        <v>2778</v>
      </c>
      <c r="T1155" s="114" t="s">
        <v>1870</v>
      </c>
      <c r="U1155" s="95" t="s">
        <v>398</v>
      </c>
      <c r="V1155" s="93" t="str">
        <f>+Agencia[[#This Row],[idcoleccion]]&amp;"-"&amp;Agencia[[#This Row],[id]]</f>
        <v>990-1144</v>
      </c>
      <c r="W1155" s="93">
        <f>+VLOOKUP(Agencia[[#This Row],[Filtro URL]],Estructura!$X$4:$Y$500,2,0)</f>
        <v>99200016</v>
      </c>
      <c r="X1155" s="93" t="str">
        <f>+VLOOKUP(Agencia[[#This Row],[tema]],Estructura!$A$4:$C$500,3,0)</f>
        <v>T-1037</v>
      </c>
      <c r="Y1155" s="93" t="str">
        <f>+VLOOKUP(Agencia[[#This Row],[contenido]],Estructura!$E$4:$G$500,3,0)</f>
        <v>C-1016</v>
      </c>
      <c r="Z1155" s="93" t="str">
        <f>+VLOOKUP(Agencia[[#This Row],[Filtro Integrado]],Estructura!$I$4:$K$500,3,0)</f>
        <v>FI-993</v>
      </c>
      <c r="AA1155" s="93" t="str">
        <f>+VLOOKUP(Agencia[[#This Row],[Muestra]],Estructura!$M$4:$O$500,3,0)</f>
        <v>M-1012</v>
      </c>
    </row>
    <row r="1156" spans="1:27" ht="61.2" x14ac:dyDescent="0.3">
      <c r="A1156" s="21" t="s">
        <v>1956</v>
      </c>
      <c r="B1156" s="23">
        <v>990</v>
      </c>
      <c r="C1156" s="24" t="s">
        <v>400</v>
      </c>
      <c r="D1156" s="67" t="s">
        <v>2010</v>
      </c>
      <c r="E1156" s="14">
        <v>0</v>
      </c>
      <c r="F1156" s="10" t="s">
        <v>1376</v>
      </c>
      <c r="G1156" s="10" t="s">
        <v>2700</v>
      </c>
      <c r="H1156" s="31" t="s">
        <v>20</v>
      </c>
      <c r="I1156" s="32" t="s">
        <v>15</v>
      </c>
      <c r="J1156" s="9" t="s">
        <v>16</v>
      </c>
      <c r="K1156" s="9" t="s">
        <v>2034</v>
      </c>
      <c r="L1156" s="9" t="s">
        <v>1378</v>
      </c>
      <c r="M1156" s="9" t="s">
        <v>1377</v>
      </c>
      <c r="N1156" s="9" t="s">
        <v>1370</v>
      </c>
      <c r="O1156" s="20" t="s">
        <v>2779</v>
      </c>
      <c r="P1156" s="112" t="s">
        <v>6797</v>
      </c>
      <c r="Q1156" s="11" t="s">
        <v>784</v>
      </c>
      <c r="R1156" s="20" t="str">
        <f>Agencia[[#This Row],[territorio]]&amp;",nacional,región,permiso,circulación,evolución,tipo,transporte,colectivo,particular,carga,"&amp;Agencia[[#This Row],[coleccion]]&amp;","&amp;Agencia[[#This Row],[sector]]&amp;","&amp;Agencia[[#This Row],[tema]]&amp;","&amp;Agencia[[#This Row],[contenido]]</f>
        <v>Chile,nacional,región,permiso,circulación,evolución,tipo,transporte,colectivo,particular,carga,Agencia Información,Transporte y Tránsito,Permisos de circulación,Tránsito</v>
      </c>
      <c r="S1156" s="83" t="s">
        <v>2035</v>
      </c>
      <c r="T1156" s="114" t="s">
        <v>805</v>
      </c>
      <c r="U1156" s="46" t="s">
        <v>398</v>
      </c>
      <c r="V1156" s="93" t="str">
        <f>+Agencia[[#This Row],[idcoleccion]]&amp;"-"&amp;Agencia[[#This Row],[id]]</f>
        <v>990-1145</v>
      </c>
      <c r="W1156" s="93">
        <f>+VLOOKUP(Agencia[[#This Row],[Filtro URL]],Estructura!$X$4:$Y$500,2,0)</f>
        <v>99100000</v>
      </c>
      <c r="X1156" s="93" t="str">
        <f>+VLOOKUP(Agencia[[#This Row],[tema]],Estructura!$A$4:$C$500,3,0)</f>
        <v>T-1004</v>
      </c>
      <c r="Y1156" s="93" t="str">
        <f>+VLOOKUP(Agencia[[#This Row],[contenido]],Estructura!$E$4:$G$500,3,0)</f>
        <v>C-1016</v>
      </c>
      <c r="Z1156" s="93" t="str">
        <f>+VLOOKUP(Agencia[[#This Row],[Filtro Integrado]],Estructura!$I$4:$K$500,3,0)</f>
        <v>FI-992</v>
      </c>
      <c r="AA1156" s="93" t="str">
        <f>+VLOOKUP(Agencia[[#This Row],[Muestra]],Estructura!$M$4:$O$500,3,0)</f>
        <v>M-1013</v>
      </c>
    </row>
    <row r="1157" spans="1:27" ht="61.2" x14ac:dyDescent="0.3">
      <c r="A1157" s="21" t="s">
        <v>1957</v>
      </c>
      <c r="B1157" s="23">
        <v>990</v>
      </c>
      <c r="C1157" s="24" t="s">
        <v>400</v>
      </c>
      <c r="D1157" s="67" t="s">
        <v>2010</v>
      </c>
      <c r="E1157" s="19">
        <v>1</v>
      </c>
      <c r="F1157" s="10" t="s">
        <v>1376</v>
      </c>
      <c r="G1157" s="10" t="s">
        <v>2700</v>
      </c>
      <c r="H1157" s="33" t="s">
        <v>16</v>
      </c>
      <c r="I1157" s="34" t="s">
        <v>368</v>
      </c>
      <c r="J1157" s="9" t="s">
        <v>403</v>
      </c>
      <c r="K1157" s="9" t="s">
        <v>2034</v>
      </c>
      <c r="L1157" s="9" t="s">
        <v>1378</v>
      </c>
      <c r="M1157" s="9" t="s">
        <v>1377</v>
      </c>
      <c r="N1157" s="9" t="s">
        <v>1370</v>
      </c>
      <c r="O1157" s="20" t="s">
        <v>2780</v>
      </c>
      <c r="P1157" s="112" t="s">
        <v>6798</v>
      </c>
      <c r="Q1157" s="11" t="s">
        <v>784</v>
      </c>
      <c r="R1157" s="20" t="str">
        <f>Agencia[[#This Row],[territorio]]&amp;",regional,permiso,circulación,evolución,tipo,transporte,colectivo,particular,carga,"&amp;Agencia[[#This Row],[coleccion]]&amp;","&amp;Agencia[[#This Row],[sector]]&amp;","&amp;Agencia[[#This Row],[tema]]&amp;","&amp;Agencia[[#This Row],[contenido]]</f>
        <v>Región de Tarapacá,regional,permiso,circulación,evolución,tipo,transporte,colectivo,particular,carga,Agencia Información,Transporte y Tránsito,Permisos de circulación,Tránsito</v>
      </c>
      <c r="S1157" s="83" t="s">
        <v>2458</v>
      </c>
      <c r="T1157" s="114" t="s">
        <v>1872</v>
      </c>
      <c r="U1157" s="46" t="s">
        <v>398</v>
      </c>
      <c r="V1157" s="93" t="str">
        <f>+Agencia[[#This Row],[idcoleccion]]&amp;"-"&amp;Agencia[[#This Row],[id]]</f>
        <v>990-1146</v>
      </c>
      <c r="W1157" s="93">
        <f>+VLOOKUP(Agencia[[#This Row],[Filtro URL]],Estructura!$X$4:$Y$500,2,0)</f>
        <v>99200001</v>
      </c>
      <c r="X1157" s="93" t="str">
        <f>+VLOOKUP(Agencia[[#This Row],[tema]],Estructura!$A$4:$C$500,3,0)</f>
        <v>T-1004</v>
      </c>
      <c r="Y1157" s="93" t="str">
        <f>+VLOOKUP(Agencia[[#This Row],[contenido]],Estructura!$E$4:$G$500,3,0)</f>
        <v>C-1016</v>
      </c>
      <c r="Z1157" s="93" t="str">
        <f>+VLOOKUP(Agencia[[#This Row],[Filtro Integrado]],Estructura!$I$4:$K$500,3,0)</f>
        <v>FI-993</v>
      </c>
      <c r="AA1157" s="93" t="str">
        <f>+VLOOKUP(Agencia[[#This Row],[Muestra]],Estructura!$M$4:$O$500,3,0)</f>
        <v>M-1013</v>
      </c>
    </row>
    <row r="1158" spans="1:27" ht="61.2" x14ac:dyDescent="0.3">
      <c r="A1158" s="21" t="s">
        <v>1958</v>
      </c>
      <c r="B1158" s="23">
        <v>990</v>
      </c>
      <c r="C1158" s="24" t="s">
        <v>400</v>
      </c>
      <c r="D1158" s="67" t="s">
        <v>2010</v>
      </c>
      <c r="E1158" s="19">
        <v>2</v>
      </c>
      <c r="F1158" s="10" t="s">
        <v>1376</v>
      </c>
      <c r="G1158" s="10" t="s">
        <v>2700</v>
      </c>
      <c r="H1158" s="33" t="s">
        <v>16</v>
      </c>
      <c r="I1158" s="34" t="s">
        <v>369</v>
      </c>
      <c r="J1158" s="9" t="s">
        <v>403</v>
      </c>
      <c r="K1158" s="9" t="s">
        <v>2034</v>
      </c>
      <c r="L1158" s="9" t="s">
        <v>1378</v>
      </c>
      <c r="M1158" s="9" t="s">
        <v>1377</v>
      </c>
      <c r="N1158" s="9" t="s">
        <v>1370</v>
      </c>
      <c r="O1158" s="20" t="s">
        <v>2781</v>
      </c>
      <c r="P1158" s="112" t="s">
        <v>6799</v>
      </c>
      <c r="Q1158" s="11" t="s">
        <v>784</v>
      </c>
      <c r="R1158" s="148" t="str">
        <f>Agencia[[#This Row],[territorio]]&amp;",regional,permiso,circulación,evolución,tipo,transporte,colectivo,particular,carga,"&amp;Agencia[[#This Row],[coleccion]]&amp;","&amp;Agencia[[#This Row],[sector]]&amp;","&amp;Agencia[[#This Row],[tema]]&amp;","&amp;Agencia[[#This Row],[contenido]]</f>
        <v>Región de Antofagasta,regional,permiso,circulación,evolución,tipo,transporte,colectivo,particular,carga,Agencia Información,Transporte y Tránsito,Permisos de circulación,Tránsito</v>
      </c>
      <c r="S1158" s="37" t="s">
        <v>2459</v>
      </c>
      <c r="T1158" s="114" t="s">
        <v>1860</v>
      </c>
      <c r="U1158" s="95" t="s">
        <v>398</v>
      </c>
      <c r="V1158" s="93" t="str">
        <f>+Agencia[[#This Row],[idcoleccion]]&amp;"-"&amp;Agencia[[#This Row],[id]]</f>
        <v>990-1147</v>
      </c>
      <c r="W1158" s="93">
        <f>+VLOOKUP(Agencia[[#This Row],[Filtro URL]],Estructura!$X$4:$Y$500,2,0)</f>
        <v>99200002</v>
      </c>
      <c r="X1158" s="93" t="str">
        <f>+VLOOKUP(Agencia[[#This Row],[tema]],Estructura!$A$4:$C$500,3,0)</f>
        <v>T-1004</v>
      </c>
      <c r="Y1158" s="93" t="str">
        <f>+VLOOKUP(Agencia[[#This Row],[contenido]],Estructura!$E$4:$G$500,3,0)</f>
        <v>C-1016</v>
      </c>
      <c r="Z1158" s="93" t="str">
        <f>+VLOOKUP(Agencia[[#This Row],[Filtro Integrado]],Estructura!$I$4:$K$500,3,0)</f>
        <v>FI-993</v>
      </c>
      <c r="AA1158" s="93" t="str">
        <f>+VLOOKUP(Agencia[[#This Row],[Muestra]],Estructura!$M$4:$O$500,3,0)</f>
        <v>M-1013</v>
      </c>
    </row>
    <row r="1159" spans="1:27" ht="61.2" x14ac:dyDescent="0.3">
      <c r="A1159" s="21" t="s">
        <v>1959</v>
      </c>
      <c r="B1159" s="23">
        <v>990</v>
      </c>
      <c r="C1159" s="24" t="s">
        <v>400</v>
      </c>
      <c r="D1159" s="67" t="s">
        <v>2010</v>
      </c>
      <c r="E1159" s="19">
        <v>3</v>
      </c>
      <c r="F1159" s="10" t="s">
        <v>1376</v>
      </c>
      <c r="G1159" s="10" t="s">
        <v>2700</v>
      </c>
      <c r="H1159" s="33" t="s">
        <v>16</v>
      </c>
      <c r="I1159" s="34" t="s">
        <v>370</v>
      </c>
      <c r="J1159" s="9" t="s">
        <v>403</v>
      </c>
      <c r="K1159" s="9" t="s">
        <v>2034</v>
      </c>
      <c r="L1159" s="9" t="s">
        <v>1378</v>
      </c>
      <c r="M1159" s="9" t="s">
        <v>1377</v>
      </c>
      <c r="N1159" s="9" t="s">
        <v>1370</v>
      </c>
      <c r="O1159" s="20" t="s">
        <v>2782</v>
      </c>
      <c r="P1159" s="112" t="s">
        <v>6800</v>
      </c>
      <c r="Q1159" s="11" t="s">
        <v>784</v>
      </c>
      <c r="R1159" s="148" t="str">
        <f>Agencia[[#This Row],[territorio]]&amp;",regional,permiso,circulación,evolución,tipo,transporte,colectivo,particular,carga,"&amp;Agencia[[#This Row],[coleccion]]&amp;","&amp;Agencia[[#This Row],[sector]]&amp;","&amp;Agencia[[#This Row],[tema]]&amp;","&amp;Agencia[[#This Row],[contenido]]</f>
        <v>Región de Atacama,regional,permiso,circulación,evolución,tipo,transporte,colectivo,particular,carga,Agencia Información,Transporte y Tránsito,Permisos de circulación,Tránsito</v>
      </c>
      <c r="S1159" s="37" t="s">
        <v>2460</v>
      </c>
      <c r="T1159" s="114" t="s">
        <v>1862</v>
      </c>
      <c r="U1159" s="46" t="s">
        <v>398</v>
      </c>
      <c r="V1159" s="93" t="str">
        <f>+Agencia[[#This Row],[idcoleccion]]&amp;"-"&amp;Agencia[[#This Row],[id]]</f>
        <v>990-1148</v>
      </c>
      <c r="W1159" s="93">
        <f>+VLOOKUP(Agencia[[#This Row],[Filtro URL]],Estructura!$X$4:$Y$500,2,0)</f>
        <v>99200003</v>
      </c>
      <c r="X1159" s="93" t="str">
        <f>+VLOOKUP(Agencia[[#This Row],[tema]],Estructura!$A$4:$C$500,3,0)</f>
        <v>T-1004</v>
      </c>
      <c r="Y1159" s="93" t="str">
        <f>+VLOOKUP(Agencia[[#This Row],[contenido]],Estructura!$E$4:$G$500,3,0)</f>
        <v>C-1016</v>
      </c>
      <c r="Z1159" s="93" t="str">
        <f>+VLOOKUP(Agencia[[#This Row],[Filtro Integrado]],Estructura!$I$4:$K$500,3,0)</f>
        <v>FI-993</v>
      </c>
      <c r="AA1159" s="93" t="str">
        <f>+VLOOKUP(Agencia[[#This Row],[Muestra]],Estructura!$M$4:$O$500,3,0)</f>
        <v>M-1013</v>
      </c>
    </row>
    <row r="1160" spans="1:27" ht="61.2" x14ac:dyDescent="0.3">
      <c r="A1160" s="21" t="s">
        <v>1960</v>
      </c>
      <c r="B1160" s="23">
        <v>990</v>
      </c>
      <c r="C1160" s="24" t="s">
        <v>400</v>
      </c>
      <c r="D1160" s="67" t="s">
        <v>2010</v>
      </c>
      <c r="E1160" s="19">
        <v>4</v>
      </c>
      <c r="F1160" s="10" t="s">
        <v>1376</v>
      </c>
      <c r="G1160" s="10" t="s">
        <v>2700</v>
      </c>
      <c r="H1160" s="33" t="s">
        <v>16</v>
      </c>
      <c r="I1160" s="34" t="s">
        <v>371</v>
      </c>
      <c r="J1160" s="9" t="s">
        <v>403</v>
      </c>
      <c r="K1160" s="9" t="s">
        <v>2034</v>
      </c>
      <c r="L1160" s="9" t="s">
        <v>1378</v>
      </c>
      <c r="M1160" s="9" t="s">
        <v>1377</v>
      </c>
      <c r="N1160" s="9" t="s">
        <v>1370</v>
      </c>
      <c r="O1160" s="20" t="s">
        <v>2783</v>
      </c>
      <c r="P1160" s="112" t="s">
        <v>6801</v>
      </c>
      <c r="Q1160" s="11" t="s">
        <v>784</v>
      </c>
      <c r="R1160" s="148" t="str">
        <f>Agencia[[#This Row],[territorio]]&amp;",regional,permiso,circulación,evolución,tipo,transporte,colectivo,particular,carga,"&amp;Agencia[[#This Row],[coleccion]]&amp;","&amp;Agencia[[#This Row],[sector]]&amp;","&amp;Agencia[[#This Row],[tema]]&amp;","&amp;Agencia[[#This Row],[contenido]]</f>
        <v>Región de Coquimbo,regional,permiso,circulación,evolución,tipo,transporte,colectivo,particular,carga,Agencia Información,Transporte y Tránsito,Permisos de circulación,Tránsito</v>
      </c>
      <c r="S1160" s="37" t="s">
        <v>2461</v>
      </c>
      <c r="T1160" s="114" t="s">
        <v>1864</v>
      </c>
      <c r="U1160" s="46" t="s">
        <v>398</v>
      </c>
      <c r="V1160" s="93" t="str">
        <f>+Agencia[[#This Row],[idcoleccion]]&amp;"-"&amp;Agencia[[#This Row],[id]]</f>
        <v>990-1149</v>
      </c>
      <c r="W1160" s="93">
        <f>+VLOOKUP(Agencia[[#This Row],[Filtro URL]],Estructura!$X$4:$Y$500,2,0)</f>
        <v>99200004</v>
      </c>
      <c r="X1160" s="93" t="str">
        <f>+VLOOKUP(Agencia[[#This Row],[tema]],Estructura!$A$4:$C$500,3,0)</f>
        <v>T-1004</v>
      </c>
      <c r="Y1160" s="93" t="str">
        <f>+VLOOKUP(Agencia[[#This Row],[contenido]],Estructura!$E$4:$G$500,3,0)</f>
        <v>C-1016</v>
      </c>
      <c r="Z1160" s="93" t="str">
        <f>+VLOOKUP(Agencia[[#This Row],[Filtro Integrado]],Estructura!$I$4:$K$500,3,0)</f>
        <v>FI-993</v>
      </c>
      <c r="AA1160" s="93" t="str">
        <f>+VLOOKUP(Agencia[[#This Row],[Muestra]],Estructura!$M$4:$O$500,3,0)</f>
        <v>M-1013</v>
      </c>
    </row>
    <row r="1161" spans="1:27" ht="61.2" x14ac:dyDescent="0.3">
      <c r="A1161" s="21" t="s">
        <v>1961</v>
      </c>
      <c r="B1161" s="23">
        <v>990</v>
      </c>
      <c r="C1161" s="24" t="s">
        <v>400</v>
      </c>
      <c r="D1161" s="67" t="s">
        <v>2010</v>
      </c>
      <c r="E1161" s="19">
        <v>5</v>
      </c>
      <c r="F1161" s="10" t="s">
        <v>1376</v>
      </c>
      <c r="G1161" s="10" t="s">
        <v>2700</v>
      </c>
      <c r="H1161" s="33" t="s">
        <v>16</v>
      </c>
      <c r="I1161" s="34" t="s">
        <v>372</v>
      </c>
      <c r="J1161" s="9" t="s">
        <v>403</v>
      </c>
      <c r="K1161" s="9" t="s">
        <v>2034</v>
      </c>
      <c r="L1161" s="9" t="s">
        <v>1378</v>
      </c>
      <c r="M1161" s="9" t="s">
        <v>1377</v>
      </c>
      <c r="N1161" s="9" t="s">
        <v>1370</v>
      </c>
      <c r="O1161" s="20" t="s">
        <v>2784</v>
      </c>
      <c r="P1161" s="112" t="s">
        <v>6802</v>
      </c>
      <c r="Q1161" s="11" t="s">
        <v>784</v>
      </c>
      <c r="R1161" s="148" t="str">
        <f>Agencia[[#This Row],[territorio]]&amp;",regional,permiso,circulación,evolución,tipo,transporte,colectivo,particular,carga,"&amp;Agencia[[#This Row],[coleccion]]&amp;","&amp;Agencia[[#This Row],[sector]]&amp;","&amp;Agencia[[#This Row],[tema]]&amp;","&amp;Agencia[[#This Row],[contenido]]</f>
        <v>Región de Valparaíso,regional,permiso,circulación,evolución,tipo,transporte,colectivo,particular,carga,Agencia Información,Transporte y Tránsito,Permisos de circulación,Tránsito</v>
      </c>
      <c r="S1161" s="37" t="s">
        <v>2462</v>
      </c>
      <c r="T1161" s="114" t="s">
        <v>1873</v>
      </c>
      <c r="U1161" s="95" t="s">
        <v>398</v>
      </c>
      <c r="V1161" s="93" t="str">
        <f>+Agencia[[#This Row],[idcoleccion]]&amp;"-"&amp;Agencia[[#This Row],[id]]</f>
        <v>990-1150</v>
      </c>
      <c r="W1161" s="93">
        <f>+VLOOKUP(Agencia[[#This Row],[Filtro URL]],Estructura!$X$4:$Y$500,2,0)</f>
        <v>99200005</v>
      </c>
      <c r="X1161" s="93" t="str">
        <f>+VLOOKUP(Agencia[[#This Row],[tema]],Estructura!$A$4:$C$500,3,0)</f>
        <v>T-1004</v>
      </c>
      <c r="Y1161" s="93" t="str">
        <f>+VLOOKUP(Agencia[[#This Row],[contenido]],Estructura!$E$4:$G$500,3,0)</f>
        <v>C-1016</v>
      </c>
      <c r="Z1161" s="93" t="str">
        <f>+VLOOKUP(Agencia[[#This Row],[Filtro Integrado]],Estructura!$I$4:$K$500,3,0)</f>
        <v>FI-993</v>
      </c>
      <c r="AA1161" s="93" t="str">
        <f>+VLOOKUP(Agencia[[#This Row],[Muestra]],Estructura!$M$4:$O$500,3,0)</f>
        <v>M-1013</v>
      </c>
    </row>
    <row r="1162" spans="1:27" ht="61.2" x14ac:dyDescent="0.3">
      <c r="A1162" s="21" t="s">
        <v>1962</v>
      </c>
      <c r="B1162" s="23">
        <v>990</v>
      </c>
      <c r="C1162" s="24" t="s">
        <v>400</v>
      </c>
      <c r="D1162" s="67" t="s">
        <v>2010</v>
      </c>
      <c r="E1162" s="19">
        <v>6</v>
      </c>
      <c r="F1162" s="10" t="s">
        <v>1376</v>
      </c>
      <c r="G1162" s="10" t="s">
        <v>2700</v>
      </c>
      <c r="H1162" s="33" t="s">
        <v>16</v>
      </c>
      <c r="I1162" s="34" t="s">
        <v>373</v>
      </c>
      <c r="J1162" s="9" t="s">
        <v>403</v>
      </c>
      <c r="K1162" s="9" t="s">
        <v>2034</v>
      </c>
      <c r="L1162" s="9" t="s">
        <v>1378</v>
      </c>
      <c r="M1162" s="9" t="s">
        <v>1377</v>
      </c>
      <c r="N1162" s="9" t="s">
        <v>1370</v>
      </c>
      <c r="O1162" s="20" t="s">
        <v>2785</v>
      </c>
      <c r="P1162" s="112" t="s">
        <v>6814</v>
      </c>
      <c r="Q1162" s="11" t="s">
        <v>784</v>
      </c>
      <c r="R1162" s="148" t="str">
        <f>Agencia[[#This Row],[territorio]]&amp;",regional,permiso,circulación,evolución,tipo,transporte,colectivo,particular,carga,"&amp;Agencia[[#This Row],[coleccion]]&amp;","&amp;Agencia[[#This Row],[sector]]&amp;","&amp;Agencia[[#This Row],[tema]]&amp;","&amp;Agencia[[#This Row],[contenido]]</f>
        <v>Región de O'Higgins,regional,permiso,circulación,evolución,tipo,transporte,colectivo,particular,carga,Agencia Información,Transporte y Tránsito,Permisos de circulación,Tránsito</v>
      </c>
      <c r="S1162" s="37" t="s">
        <v>2463</v>
      </c>
      <c r="T1162" s="114" t="s">
        <v>1871</v>
      </c>
      <c r="U1162" s="46" t="s">
        <v>398</v>
      </c>
      <c r="V1162" s="93" t="str">
        <f>+Agencia[[#This Row],[idcoleccion]]&amp;"-"&amp;Agencia[[#This Row],[id]]</f>
        <v>990-1151</v>
      </c>
      <c r="W1162" s="93">
        <f>+VLOOKUP(Agencia[[#This Row],[Filtro URL]],Estructura!$X$4:$Y$500,2,0)</f>
        <v>99200006</v>
      </c>
      <c r="X1162" s="93" t="str">
        <f>+VLOOKUP(Agencia[[#This Row],[tema]],Estructura!$A$4:$C$500,3,0)</f>
        <v>T-1004</v>
      </c>
      <c r="Y1162" s="93" t="str">
        <f>+VLOOKUP(Agencia[[#This Row],[contenido]],Estructura!$E$4:$G$500,3,0)</f>
        <v>C-1016</v>
      </c>
      <c r="Z1162" s="93" t="str">
        <f>+VLOOKUP(Agencia[[#This Row],[Filtro Integrado]],Estructura!$I$4:$K$500,3,0)</f>
        <v>FI-993</v>
      </c>
      <c r="AA1162" s="93" t="str">
        <f>+VLOOKUP(Agencia[[#This Row],[Muestra]],Estructura!$M$4:$O$500,3,0)</f>
        <v>M-1013</v>
      </c>
    </row>
    <row r="1163" spans="1:27" ht="61.2" x14ac:dyDescent="0.3">
      <c r="A1163" s="21" t="s">
        <v>1963</v>
      </c>
      <c r="B1163" s="23">
        <v>990</v>
      </c>
      <c r="C1163" s="24" t="s">
        <v>400</v>
      </c>
      <c r="D1163" s="67" t="s">
        <v>2010</v>
      </c>
      <c r="E1163" s="19">
        <v>7</v>
      </c>
      <c r="F1163" s="10" t="s">
        <v>1376</v>
      </c>
      <c r="G1163" s="10" t="s">
        <v>2700</v>
      </c>
      <c r="H1163" s="33" t="s">
        <v>16</v>
      </c>
      <c r="I1163" s="34" t="s">
        <v>374</v>
      </c>
      <c r="J1163" s="9" t="s">
        <v>403</v>
      </c>
      <c r="K1163" s="9" t="s">
        <v>2034</v>
      </c>
      <c r="L1163" s="9" t="s">
        <v>1378</v>
      </c>
      <c r="M1163" s="9" t="s">
        <v>1377</v>
      </c>
      <c r="N1163" s="9" t="s">
        <v>1370</v>
      </c>
      <c r="O1163" s="20" t="s">
        <v>2786</v>
      </c>
      <c r="P1163" s="112" t="s">
        <v>6803</v>
      </c>
      <c r="Q1163" s="11" t="s">
        <v>784</v>
      </c>
      <c r="R1163" s="148" t="str">
        <f>Agencia[[#This Row],[territorio]]&amp;",regional,permiso,circulación,evolución,tipo,transporte,colectivo,particular,carga,"&amp;Agencia[[#This Row],[coleccion]]&amp;","&amp;Agencia[[#This Row],[sector]]&amp;","&amp;Agencia[[#This Row],[tema]]&amp;","&amp;Agencia[[#This Row],[contenido]]</f>
        <v>Región de Maule,regional,permiso,circulación,evolución,tipo,transporte,colectivo,particular,carga,Agencia Información,Transporte y Tránsito,Permisos de circulación,Tránsito</v>
      </c>
      <c r="S1163" s="37" t="s">
        <v>2464</v>
      </c>
      <c r="T1163" s="114" t="s">
        <v>1869</v>
      </c>
      <c r="U1163" s="46" t="s">
        <v>398</v>
      </c>
      <c r="V1163" s="93" t="str">
        <f>+Agencia[[#This Row],[idcoleccion]]&amp;"-"&amp;Agencia[[#This Row],[id]]</f>
        <v>990-1152</v>
      </c>
      <c r="W1163" s="93">
        <f>+VLOOKUP(Agencia[[#This Row],[Filtro URL]],Estructura!$X$4:$Y$500,2,0)</f>
        <v>99200007</v>
      </c>
      <c r="X1163" s="93" t="str">
        <f>+VLOOKUP(Agencia[[#This Row],[tema]],Estructura!$A$4:$C$500,3,0)</f>
        <v>T-1004</v>
      </c>
      <c r="Y1163" s="93" t="str">
        <f>+VLOOKUP(Agencia[[#This Row],[contenido]],Estructura!$E$4:$G$500,3,0)</f>
        <v>C-1016</v>
      </c>
      <c r="Z1163" s="93" t="str">
        <f>+VLOOKUP(Agencia[[#This Row],[Filtro Integrado]],Estructura!$I$4:$K$500,3,0)</f>
        <v>FI-993</v>
      </c>
      <c r="AA1163" s="93" t="str">
        <f>+VLOOKUP(Agencia[[#This Row],[Muestra]],Estructura!$M$4:$O$500,3,0)</f>
        <v>M-1013</v>
      </c>
    </row>
    <row r="1164" spans="1:27" ht="61.2" x14ac:dyDescent="0.3">
      <c r="A1164" s="21" t="s">
        <v>1964</v>
      </c>
      <c r="B1164" s="23">
        <v>990</v>
      </c>
      <c r="C1164" s="24" t="s">
        <v>400</v>
      </c>
      <c r="D1164" s="67" t="s">
        <v>2010</v>
      </c>
      <c r="E1164" s="19">
        <v>8</v>
      </c>
      <c r="F1164" s="10" t="s">
        <v>1376</v>
      </c>
      <c r="G1164" s="10" t="s">
        <v>2700</v>
      </c>
      <c r="H1164" s="33" t="s">
        <v>16</v>
      </c>
      <c r="I1164" s="34" t="s">
        <v>375</v>
      </c>
      <c r="J1164" s="9" t="s">
        <v>403</v>
      </c>
      <c r="K1164" s="9" t="s">
        <v>2034</v>
      </c>
      <c r="L1164" s="9" t="s">
        <v>1378</v>
      </c>
      <c r="M1164" s="9" t="s">
        <v>1377</v>
      </c>
      <c r="N1164" s="9" t="s">
        <v>1370</v>
      </c>
      <c r="O1164" s="20" t="s">
        <v>2787</v>
      </c>
      <c r="P1164" s="112" t="s">
        <v>6815</v>
      </c>
      <c r="Q1164" s="11" t="s">
        <v>784</v>
      </c>
      <c r="R1164" s="148" t="str">
        <f>Agencia[[#This Row],[territorio]]&amp;",regional,permiso,circulación,evolución,tipo,transporte,colectivo,particular,carga,"&amp;Agencia[[#This Row],[coleccion]]&amp;","&amp;Agencia[[#This Row],[sector]]&amp;","&amp;Agencia[[#This Row],[tema]]&amp;","&amp;Agencia[[#This Row],[contenido]]</f>
        <v>Región del Biobío,regional,permiso,circulación,evolución,tipo,transporte,colectivo,particular,carga,Agencia Información,Transporte y Tránsito,Permisos de circulación,Tránsito</v>
      </c>
      <c r="S1164" s="37" t="s">
        <v>2465</v>
      </c>
      <c r="T1164" s="114" t="s">
        <v>1874</v>
      </c>
      <c r="U1164" s="95" t="s">
        <v>398</v>
      </c>
      <c r="V1164" s="93" t="str">
        <f>+Agencia[[#This Row],[idcoleccion]]&amp;"-"&amp;Agencia[[#This Row],[id]]</f>
        <v>990-1153</v>
      </c>
      <c r="W1164" s="93">
        <f>+VLOOKUP(Agencia[[#This Row],[Filtro URL]],Estructura!$X$4:$Y$500,2,0)</f>
        <v>99200008</v>
      </c>
      <c r="X1164" s="93" t="str">
        <f>+VLOOKUP(Agencia[[#This Row],[tema]],Estructura!$A$4:$C$500,3,0)</f>
        <v>T-1004</v>
      </c>
      <c r="Y1164" s="93" t="str">
        <f>+VLOOKUP(Agencia[[#This Row],[contenido]],Estructura!$E$4:$G$500,3,0)</f>
        <v>C-1016</v>
      </c>
      <c r="Z1164" s="93" t="str">
        <f>+VLOOKUP(Agencia[[#This Row],[Filtro Integrado]],Estructura!$I$4:$K$500,3,0)</f>
        <v>FI-993</v>
      </c>
      <c r="AA1164" s="93" t="str">
        <f>+VLOOKUP(Agencia[[#This Row],[Muestra]],Estructura!$M$4:$O$500,3,0)</f>
        <v>M-1013</v>
      </c>
    </row>
    <row r="1165" spans="1:27" ht="61.2" x14ac:dyDescent="0.3">
      <c r="A1165" s="21" t="s">
        <v>1965</v>
      </c>
      <c r="B1165" s="23">
        <v>990</v>
      </c>
      <c r="C1165" s="24" t="s">
        <v>400</v>
      </c>
      <c r="D1165" s="67" t="s">
        <v>2010</v>
      </c>
      <c r="E1165" s="19">
        <v>9</v>
      </c>
      <c r="F1165" s="10" t="s">
        <v>1376</v>
      </c>
      <c r="G1165" s="10" t="s">
        <v>2700</v>
      </c>
      <c r="H1165" s="33" t="s">
        <v>16</v>
      </c>
      <c r="I1165" s="34" t="s">
        <v>376</v>
      </c>
      <c r="J1165" s="9" t="s">
        <v>403</v>
      </c>
      <c r="K1165" s="9" t="s">
        <v>2034</v>
      </c>
      <c r="L1165" s="9" t="s">
        <v>1378</v>
      </c>
      <c r="M1165" s="9" t="s">
        <v>1377</v>
      </c>
      <c r="N1165" s="9" t="s">
        <v>1370</v>
      </c>
      <c r="O1165" s="20" t="s">
        <v>2788</v>
      </c>
      <c r="P1165" s="112" t="s">
        <v>6816</v>
      </c>
      <c r="Q1165" s="11" t="s">
        <v>784</v>
      </c>
      <c r="R1165" s="148" t="str">
        <f>Agencia[[#This Row],[territorio]]&amp;",regional,permiso,circulación,evolución,tipo,transporte,colectivo,particular,carga,"&amp;Agencia[[#This Row],[coleccion]]&amp;","&amp;Agencia[[#This Row],[sector]]&amp;","&amp;Agencia[[#This Row],[tema]]&amp;","&amp;Agencia[[#This Row],[contenido]]</f>
        <v>Región de La Araucanía,regional,permiso,circulación,evolución,tipo,transporte,colectivo,particular,carga,Agencia Información,Transporte y Tránsito,Permisos de circulación,Tránsito</v>
      </c>
      <c r="S1165" s="37" t="s">
        <v>2466</v>
      </c>
      <c r="T1165" s="114" t="s">
        <v>1865</v>
      </c>
      <c r="U1165" s="46" t="s">
        <v>398</v>
      </c>
      <c r="V1165" s="93" t="str">
        <f>+Agencia[[#This Row],[idcoleccion]]&amp;"-"&amp;Agencia[[#This Row],[id]]</f>
        <v>990-1154</v>
      </c>
      <c r="W1165" s="93">
        <f>+VLOOKUP(Agencia[[#This Row],[Filtro URL]],Estructura!$X$4:$Y$500,2,0)</f>
        <v>99200009</v>
      </c>
      <c r="X1165" s="93" t="str">
        <f>+VLOOKUP(Agencia[[#This Row],[tema]],Estructura!$A$4:$C$500,3,0)</f>
        <v>T-1004</v>
      </c>
      <c r="Y1165" s="93" t="str">
        <f>+VLOOKUP(Agencia[[#This Row],[contenido]],Estructura!$E$4:$G$500,3,0)</f>
        <v>C-1016</v>
      </c>
      <c r="Z1165" s="93" t="str">
        <f>+VLOOKUP(Agencia[[#This Row],[Filtro Integrado]],Estructura!$I$4:$K$500,3,0)</f>
        <v>FI-993</v>
      </c>
      <c r="AA1165" s="93" t="str">
        <f>+VLOOKUP(Agencia[[#This Row],[Muestra]],Estructura!$M$4:$O$500,3,0)</f>
        <v>M-1013</v>
      </c>
    </row>
    <row r="1166" spans="1:27" ht="61.2" x14ac:dyDescent="0.3">
      <c r="A1166" s="21" t="s">
        <v>1966</v>
      </c>
      <c r="B1166" s="23">
        <v>990</v>
      </c>
      <c r="C1166" s="24" t="s">
        <v>400</v>
      </c>
      <c r="D1166" s="67" t="s">
        <v>2010</v>
      </c>
      <c r="E1166" s="19">
        <v>10</v>
      </c>
      <c r="F1166" s="10" t="s">
        <v>1376</v>
      </c>
      <c r="G1166" s="10" t="s">
        <v>2700</v>
      </c>
      <c r="H1166" s="33" t="s">
        <v>16</v>
      </c>
      <c r="I1166" s="34" t="s">
        <v>377</v>
      </c>
      <c r="J1166" s="9" t="s">
        <v>403</v>
      </c>
      <c r="K1166" s="9" t="s">
        <v>2034</v>
      </c>
      <c r="L1166" s="9" t="s">
        <v>1378</v>
      </c>
      <c r="M1166" s="9" t="s">
        <v>1377</v>
      </c>
      <c r="N1166" s="9" t="s">
        <v>1370</v>
      </c>
      <c r="O1166" s="20" t="s">
        <v>2789</v>
      </c>
      <c r="P1166" s="112" t="s">
        <v>6804</v>
      </c>
      <c r="Q1166" s="11" t="s">
        <v>784</v>
      </c>
      <c r="R1166" s="148" t="str">
        <f>Agencia[[#This Row],[territorio]]&amp;",regional,permiso,circulación,evolución,tipo,transporte,colectivo,particular,carga,"&amp;Agencia[[#This Row],[coleccion]]&amp;","&amp;Agencia[[#This Row],[sector]]&amp;","&amp;Agencia[[#This Row],[tema]]&amp;","&amp;Agencia[[#This Row],[contenido]]</f>
        <v>Región de Los Lagos,regional,permiso,circulación,evolución,tipo,transporte,colectivo,particular,carga,Agencia Información,Transporte y Tránsito,Permisos de circulación,Tránsito</v>
      </c>
      <c r="S1166" s="37" t="s">
        <v>2467</v>
      </c>
      <c r="T1166" s="114" t="s">
        <v>1866</v>
      </c>
      <c r="U1166" s="46" t="s">
        <v>398</v>
      </c>
      <c r="V1166" s="93" t="str">
        <f>+Agencia[[#This Row],[idcoleccion]]&amp;"-"&amp;Agencia[[#This Row],[id]]</f>
        <v>990-1155</v>
      </c>
      <c r="W1166" s="93">
        <f>+VLOOKUP(Agencia[[#This Row],[Filtro URL]],Estructura!$X$4:$Y$500,2,0)</f>
        <v>99200010</v>
      </c>
      <c r="X1166" s="93" t="str">
        <f>+VLOOKUP(Agencia[[#This Row],[tema]],Estructura!$A$4:$C$500,3,0)</f>
        <v>T-1004</v>
      </c>
      <c r="Y1166" s="93" t="str">
        <f>+VLOOKUP(Agencia[[#This Row],[contenido]],Estructura!$E$4:$G$500,3,0)</f>
        <v>C-1016</v>
      </c>
      <c r="Z1166" s="93" t="str">
        <f>+VLOOKUP(Agencia[[#This Row],[Filtro Integrado]],Estructura!$I$4:$K$500,3,0)</f>
        <v>FI-993</v>
      </c>
      <c r="AA1166" s="93" t="str">
        <f>+VLOOKUP(Agencia[[#This Row],[Muestra]],Estructura!$M$4:$O$500,3,0)</f>
        <v>M-1013</v>
      </c>
    </row>
    <row r="1167" spans="1:27" ht="61.2" x14ac:dyDescent="0.3">
      <c r="A1167" s="21" t="s">
        <v>1967</v>
      </c>
      <c r="B1167" s="23">
        <v>990</v>
      </c>
      <c r="C1167" s="24" t="s">
        <v>400</v>
      </c>
      <c r="D1167" s="67" t="s">
        <v>2010</v>
      </c>
      <c r="E1167" s="19">
        <v>11</v>
      </c>
      <c r="F1167" s="10" t="s">
        <v>1376</v>
      </c>
      <c r="G1167" s="10" t="s">
        <v>2700</v>
      </c>
      <c r="H1167" s="33" t="s">
        <v>16</v>
      </c>
      <c r="I1167" s="34" t="s">
        <v>378</v>
      </c>
      <c r="J1167" s="9" t="s">
        <v>403</v>
      </c>
      <c r="K1167" s="9" t="s">
        <v>2034</v>
      </c>
      <c r="L1167" s="9" t="s">
        <v>1378</v>
      </c>
      <c r="M1167" s="9" t="s">
        <v>1377</v>
      </c>
      <c r="N1167" s="9" t="s">
        <v>1370</v>
      </c>
      <c r="O1167" s="20" t="s">
        <v>2790</v>
      </c>
      <c r="P1167" s="112" t="s">
        <v>6805</v>
      </c>
      <c r="Q1167" s="11" t="s">
        <v>784</v>
      </c>
      <c r="R1167" s="148" t="str">
        <f>Agencia[[#This Row],[territorio]]&amp;",regional,permiso,circulación,evolución,tipo,transporte,colectivo,particular,carga,"&amp;Agencia[[#This Row],[coleccion]]&amp;","&amp;Agencia[[#This Row],[sector]]&amp;","&amp;Agencia[[#This Row],[tema]]&amp;","&amp;Agencia[[#This Row],[contenido]]</f>
        <v>Región de Aysén,regional,permiso,circulación,evolución,tipo,transporte,colectivo,particular,carga,Agencia Información,Transporte y Tránsito,Permisos de circulación,Tránsito</v>
      </c>
      <c r="S1167" s="37" t="s">
        <v>2468</v>
      </c>
      <c r="T1167" s="114" t="s">
        <v>1863</v>
      </c>
      <c r="U1167" s="95" t="s">
        <v>398</v>
      </c>
      <c r="V1167" s="93" t="str">
        <f>+Agencia[[#This Row],[idcoleccion]]&amp;"-"&amp;Agencia[[#This Row],[id]]</f>
        <v>990-1156</v>
      </c>
      <c r="W1167" s="93">
        <f>+VLOOKUP(Agencia[[#This Row],[Filtro URL]],Estructura!$X$4:$Y$500,2,0)</f>
        <v>99200011</v>
      </c>
      <c r="X1167" s="93" t="str">
        <f>+VLOOKUP(Agencia[[#This Row],[tema]],Estructura!$A$4:$C$500,3,0)</f>
        <v>T-1004</v>
      </c>
      <c r="Y1167" s="93" t="str">
        <f>+VLOOKUP(Agencia[[#This Row],[contenido]],Estructura!$E$4:$G$500,3,0)</f>
        <v>C-1016</v>
      </c>
      <c r="Z1167" s="93" t="str">
        <f>+VLOOKUP(Agencia[[#This Row],[Filtro Integrado]],Estructura!$I$4:$K$500,3,0)</f>
        <v>FI-993</v>
      </c>
      <c r="AA1167" s="93" t="str">
        <f>+VLOOKUP(Agencia[[#This Row],[Muestra]],Estructura!$M$4:$O$500,3,0)</f>
        <v>M-1013</v>
      </c>
    </row>
    <row r="1168" spans="1:27" ht="61.2" x14ac:dyDescent="0.3">
      <c r="A1168" s="21" t="s">
        <v>1968</v>
      </c>
      <c r="B1168" s="23">
        <v>990</v>
      </c>
      <c r="C1168" s="24" t="s">
        <v>400</v>
      </c>
      <c r="D1168" s="67" t="s">
        <v>2010</v>
      </c>
      <c r="E1168" s="19">
        <v>12</v>
      </c>
      <c r="F1168" s="10" t="s">
        <v>1376</v>
      </c>
      <c r="G1168" s="10" t="s">
        <v>2700</v>
      </c>
      <c r="H1168" s="33" t="s">
        <v>16</v>
      </c>
      <c r="I1168" s="34" t="s">
        <v>379</v>
      </c>
      <c r="J1168" s="9" t="s">
        <v>403</v>
      </c>
      <c r="K1168" s="9" t="s">
        <v>2034</v>
      </c>
      <c r="L1168" s="9" t="s">
        <v>1378</v>
      </c>
      <c r="M1168" s="9" t="s">
        <v>1377</v>
      </c>
      <c r="N1168" s="9" t="s">
        <v>1370</v>
      </c>
      <c r="O1168" s="20" t="s">
        <v>2791</v>
      </c>
      <c r="P1168" s="112" t="s">
        <v>6806</v>
      </c>
      <c r="Q1168" s="11" t="s">
        <v>784</v>
      </c>
      <c r="R1168" s="148" t="str">
        <f>Agencia[[#This Row],[territorio]]&amp;",regional,permiso,circulación,evolución,tipo,transporte,colectivo,particular,carga,"&amp;Agencia[[#This Row],[coleccion]]&amp;","&amp;Agencia[[#This Row],[sector]]&amp;","&amp;Agencia[[#This Row],[tema]]&amp;","&amp;Agencia[[#This Row],[contenido]]</f>
        <v>Región de Magallanes,regional,permiso,circulación,evolución,tipo,transporte,colectivo,particular,carga,Agencia Información,Transporte y Tránsito,Permisos de circulación,Tránsito</v>
      </c>
      <c r="S1168" s="37" t="s">
        <v>2469</v>
      </c>
      <c r="T1168" s="114" t="s">
        <v>1868</v>
      </c>
      <c r="U1168" s="46" t="s">
        <v>398</v>
      </c>
      <c r="V1168" s="93" t="str">
        <f>+Agencia[[#This Row],[idcoleccion]]&amp;"-"&amp;Agencia[[#This Row],[id]]</f>
        <v>990-1157</v>
      </c>
      <c r="W1168" s="93">
        <f>+VLOOKUP(Agencia[[#This Row],[Filtro URL]],Estructura!$X$4:$Y$500,2,0)</f>
        <v>99200012</v>
      </c>
      <c r="X1168" s="93" t="str">
        <f>+VLOOKUP(Agencia[[#This Row],[tema]],Estructura!$A$4:$C$500,3,0)</f>
        <v>T-1004</v>
      </c>
      <c r="Y1168" s="93" t="str">
        <f>+VLOOKUP(Agencia[[#This Row],[contenido]],Estructura!$E$4:$G$500,3,0)</f>
        <v>C-1016</v>
      </c>
      <c r="Z1168" s="93" t="str">
        <f>+VLOOKUP(Agencia[[#This Row],[Filtro Integrado]],Estructura!$I$4:$K$500,3,0)</f>
        <v>FI-993</v>
      </c>
      <c r="AA1168" s="93" t="str">
        <f>+VLOOKUP(Agencia[[#This Row],[Muestra]],Estructura!$M$4:$O$500,3,0)</f>
        <v>M-1013</v>
      </c>
    </row>
    <row r="1169" spans="1:27" ht="61.2" x14ac:dyDescent="0.3">
      <c r="A1169" s="21" t="s">
        <v>1969</v>
      </c>
      <c r="B1169" s="23">
        <v>990</v>
      </c>
      <c r="C1169" s="24" t="s">
        <v>400</v>
      </c>
      <c r="D1169" s="67" t="s">
        <v>2010</v>
      </c>
      <c r="E1169" s="19">
        <v>13</v>
      </c>
      <c r="F1169" s="10" t="s">
        <v>1376</v>
      </c>
      <c r="G1169" s="10" t="s">
        <v>2700</v>
      </c>
      <c r="H1169" s="33" t="s">
        <v>16</v>
      </c>
      <c r="I1169" s="34" t="s">
        <v>380</v>
      </c>
      <c r="J1169" s="9" t="s">
        <v>403</v>
      </c>
      <c r="K1169" s="9" t="s">
        <v>2034</v>
      </c>
      <c r="L1169" s="9" t="s">
        <v>1378</v>
      </c>
      <c r="M1169" s="9" t="s">
        <v>1377</v>
      </c>
      <c r="N1169" s="9" t="s">
        <v>1370</v>
      </c>
      <c r="O1169" s="20" t="s">
        <v>2792</v>
      </c>
      <c r="P1169" s="112" t="s">
        <v>6807</v>
      </c>
      <c r="Q1169" s="11" t="s">
        <v>784</v>
      </c>
      <c r="R1169" s="148" t="str">
        <f>Agencia[[#This Row],[territorio]]&amp;",regional,permiso,circulación,evolución,tipo,transporte,colectivo,particular,carga,"&amp;Agencia[[#This Row],[coleccion]]&amp;","&amp;Agencia[[#This Row],[sector]]&amp;","&amp;Agencia[[#This Row],[tema]]&amp;","&amp;Agencia[[#This Row],[contenido]]</f>
        <v>Región Metropolitana,regional,permiso,circulación,evolución,tipo,transporte,colectivo,particular,carga,Agencia Información,Transporte y Tránsito,Permisos de circulación,Tránsito</v>
      </c>
      <c r="S1169" s="37" t="s">
        <v>2470</v>
      </c>
      <c r="T1169" s="114" t="s">
        <v>1875</v>
      </c>
      <c r="U1169" s="46" t="s">
        <v>398</v>
      </c>
      <c r="V1169" s="93" t="str">
        <f>+Agencia[[#This Row],[idcoleccion]]&amp;"-"&amp;Agencia[[#This Row],[id]]</f>
        <v>990-1158</v>
      </c>
      <c r="W1169" s="93">
        <f>+VLOOKUP(Agencia[[#This Row],[Filtro URL]],Estructura!$X$4:$Y$500,2,0)</f>
        <v>99200013</v>
      </c>
      <c r="X1169" s="93" t="str">
        <f>+VLOOKUP(Agencia[[#This Row],[tema]],Estructura!$A$4:$C$500,3,0)</f>
        <v>T-1004</v>
      </c>
      <c r="Y1169" s="93" t="str">
        <f>+VLOOKUP(Agencia[[#This Row],[contenido]],Estructura!$E$4:$G$500,3,0)</f>
        <v>C-1016</v>
      </c>
      <c r="Z1169" s="93" t="str">
        <f>+VLOOKUP(Agencia[[#This Row],[Filtro Integrado]],Estructura!$I$4:$K$500,3,0)</f>
        <v>FI-993</v>
      </c>
      <c r="AA1169" s="93" t="str">
        <f>+VLOOKUP(Agencia[[#This Row],[Muestra]],Estructura!$M$4:$O$500,3,0)</f>
        <v>M-1013</v>
      </c>
    </row>
    <row r="1170" spans="1:27" ht="61.2" x14ac:dyDescent="0.3">
      <c r="A1170" s="21" t="s">
        <v>1970</v>
      </c>
      <c r="B1170" s="23">
        <v>990</v>
      </c>
      <c r="C1170" s="24" t="s">
        <v>400</v>
      </c>
      <c r="D1170" s="67" t="s">
        <v>2010</v>
      </c>
      <c r="E1170" s="19">
        <v>14</v>
      </c>
      <c r="F1170" s="10" t="s">
        <v>1376</v>
      </c>
      <c r="G1170" s="10" t="s">
        <v>2700</v>
      </c>
      <c r="H1170" s="33" t="s">
        <v>16</v>
      </c>
      <c r="I1170" s="34" t="s">
        <v>381</v>
      </c>
      <c r="J1170" s="9" t="s">
        <v>403</v>
      </c>
      <c r="K1170" s="9" t="s">
        <v>2034</v>
      </c>
      <c r="L1170" s="9" t="s">
        <v>1378</v>
      </c>
      <c r="M1170" s="9" t="s">
        <v>1377</v>
      </c>
      <c r="N1170" s="9" t="s">
        <v>1370</v>
      </c>
      <c r="O1170" s="20" t="s">
        <v>2793</v>
      </c>
      <c r="P1170" s="112" t="s">
        <v>6808</v>
      </c>
      <c r="Q1170" s="11" t="s">
        <v>784</v>
      </c>
      <c r="R1170" s="148" t="str">
        <f>Agencia[[#This Row],[territorio]]&amp;",regional,permiso,circulación,evolución,tipo,transporte,colectivo,particular,carga,"&amp;Agencia[[#This Row],[coleccion]]&amp;","&amp;Agencia[[#This Row],[sector]]&amp;","&amp;Agencia[[#This Row],[tema]]&amp;","&amp;Agencia[[#This Row],[contenido]]</f>
        <v>Región de Los Ríos,regional,permiso,circulación,evolución,tipo,transporte,colectivo,particular,carga,Agencia Información,Transporte y Tránsito,Permisos de circulación,Tránsito</v>
      </c>
      <c r="S1170" s="37" t="s">
        <v>2471</v>
      </c>
      <c r="T1170" s="114" t="s">
        <v>1867</v>
      </c>
      <c r="U1170" s="95" t="s">
        <v>398</v>
      </c>
      <c r="V1170" s="93" t="str">
        <f>+Agencia[[#This Row],[idcoleccion]]&amp;"-"&amp;Agencia[[#This Row],[id]]</f>
        <v>990-1159</v>
      </c>
      <c r="W1170" s="93">
        <f>+VLOOKUP(Agencia[[#This Row],[Filtro URL]],Estructura!$X$4:$Y$500,2,0)</f>
        <v>99200014</v>
      </c>
      <c r="X1170" s="93" t="str">
        <f>+VLOOKUP(Agencia[[#This Row],[tema]],Estructura!$A$4:$C$500,3,0)</f>
        <v>T-1004</v>
      </c>
      <c r="Y1170" s="93" t="str">
        <f>+VLOOKUP(Agencia[[#This Row],[contenido]],Estructura!$E$4:$G$500,3,0)</f>
        <v>C-1016</v>
      </c>
      <c r="Z1170" s="93" t="str">
        <f>+VLOOKUP(Agencia[[#This Row],[Filtro Integrado]],Estructura!$I$4:$K$500,3,0)</f>
        <v>FI-993</v>
      </c>
      <c r="AA1170" s="93" t="str">
        <f>+VLOOKUP(Agencia[[#This Row],[Muestra]],Estructura!$M$4:$O$500,3,0)</f>
        <v>M-1013</v>
      </c>
    </row>
    <row r="1171" spans="1:27" ht="61.2" x14ac:dyDescent="0.3">
      <c r="A1171" s="21" t="s">
        <v>1974</v>
      </c>
      <c r="B1171" s="23">
        <v>990</v>
      </c>
      <c r="C1171" s="24" t="s">
        <v>400</v>
      </c>
      <c r="D1171" s="67" t="s">
        <v>2010</v>
      </c>
      <c r="E1171" s="19">
        <v>15</v>
      </c>
      <c r="F1171" s="10" t="s">
        <v>1376</v>
      </c>
      <c r="G1171" s="10" t="s">
        <v>2700</v>
      </c>
      <c r="H1171" s="33" t="s">
        <v>16</v>
      </c>
      <c r="I1171" s="34" t="s">
        <v>382</v>
      </c>
      <c r="J1171" s="9" t="s">
        <v>403</v>
      </c>
      <c r="K1171" s="9" t="s">
        <v>2034</v>
      </c>
      <c r="L1171" s="9" t="s">
        <v>1378</v>
      </c>
      <c r="M1171" s="9" t="s">
        <v>1377</v>
      </c>
      <c r="N1171" s="9" t="s">
        <v>1370</v>
      </c>
      <c r="O1171" s="20" t="s">
        <v>2794</v>
      </c>
      <c r="P1171" s="112" t="s">
        <v>6809</v>
      </c>
      <c r="Q1171" s="11" t="s">
        <v>784</v>
      </c>
      <c r="R1171" s="148" t="str">
        <f>Agencia[[#This Row],[territorio]]&amp;",regional,permiso,circulación,evolución,tipo,transporte,colectivo,particular,carga,"&amp;Agencia[[#This Row],[coleccion]]&amp;","&amp;Agencia[[#This Row],[sector]]&amp;","&amp;Agencia[[#This Row],[tema]]&amp;","&amp;Agencia[[#This Row],[contenido]]</f>
        <v>Región de Arica y Parinacota,regional,permiso,circulación,evolución,tipo,transporte,colectivo,particular,carga,Agencia Información,Transporte y Tránsito,Permisos de circulación,Tránsito</v>
      </c>
      <c r="S1171" s="37" t="s">
        <v>2472</v>
      </c>
      <c r="T1171" s="114" t="s">
        <v>1861</v>
      </c>
      <c r="U1171" s="46" t="s">
        <v>398</v>
      </c>
      <c r="V1171" s="93" t="str">
        <f>+Agencia[[#This Row],[idcoleccion]]&amp;"-"&amp;Agencia[[#This Row],[id]]</f>
        <v>990-1160</v>
      </c>
      <c r="W1171" s="93">
        <f>+VLOOKUP(Agencia[[#This Row],[Filtro URL]],Estructura!$X$4:$Y$500,2,0)</f>
        <v>99200015</v>
      </c>
      <c r="X1171" s="93" t="str">
        <f>+VLOOKUP(Agencia[[#This Row],[tema]],Estructura!$A$4:$C$500,3,0)</f>
        <v>T-1004</v>
      </c>
      <c r="Y1171" s="93" t="str">
        <f>+VLOOKUP(Agencia[[#This Row],[contenido]],Estructura!$E$4:$G$500,3,0)</f>
        <v>C-1016</v>
      </c>
      <c r="Z1171" s="93" t="str">
        <f>+VLOOKUP(Agencia[[#This Row],[Filtro Integrado]],Estructura!$I$4:$K$500,3,0)</f>
        <v>FI-993</v>
      </c>
      <c r="AA1171" s="93" t="str">
        <f>+VLOOKUP(Agencia[[#This Row],[Muestra]],Estructura!$M$4:$O$500,3,0)</f>
        <v>M-1013</v>
      </c>
    </row>
    <row r="1172" spans="1:27" ht="61.2" x14ac:dyDescent="0.3">
      <c r="A1172" s="21" t="s">
        <v>1976</v>
      </c>
      <c r="B1172" s="23">
        <v>990</v>
      </c>
      <c r="C1172" s="24" t="s">
        <v>400</v>
      </c>
      <c r="D1172" s="67" t="s">
        <v>2010</v>
      </c>
      <c r="E1172" s="19">
        <v>16</v>
      </c>
      <c r="F1172" s="10" t="s">
        <v>1376</v>
      </c>
      <c r="G1172" s="10" t="s">
        <v>2700</v>
      </c>
      <c r="H1172" s="33" t="s">
        <v>16</v>
      </c>
      <c r="I1172" s="34" t="s">
        <v>383</v>
      </c>
      <c r="J1172" s="9" t="s">
        <v>403</v>
      </c>
      <c r="K1172" s="9" t="s">
        <v>2034</v>
      </c>
      <c r="L1172" s="9" t="s">
        <v>1378</v>
      </c>
      <c r="M1172" s="9" t="s">
        <v>1377</v>
      </c>
      <c r="N1172" s="9" t="s">
        <v>1370</v>
      </c>
      <c r="O1172" s="20" t="s">
        <v>2795</v>
      </c>
      <c r="P1172" s="112" t="s">
        <v>6810</v>
      </c>
      <c r="Q1172" s="11" t="s">
        <v>784</v>
      </c>
      <c r="R1172" s="148" t="str">
        <f>Agencia[[#This Row],[territorio]]&amp;",regional,permiso,circulación,evolución,tipo,transporte,colectivo,particular,carga,"&amp;Agencia[[#This Row],[coleccion]]&amp;","&amp;Agencia[[#This Row],[sector]]&amp;","&amp;Agencia[[#This Row],[tema]]&amp;","&amp;Agencia[[#This Row],[contenido]]</f>
        <v>Región de Ñuble,regional,permiso,circulación,evolución,tipo,transporte,colectivo,particular,carga,Agencia Información,Transporte y Tránsito,Permisos de circulación,Tránsito</v>
      </c>
      <c r="S1172" s="37" t="s">
        <v>2796</v>
      </c>
      <c r="T1172" s="114" t="s">
        <v>1870</v>
      </c>
      <c r="U1172" s="46" t="s">
        <v>398</v>
      </c>
      <c r="V1172" s="93" t="str">
        <f>+Agencia[[#This Row],[idcoleccion]]&amp;"-"&amp;Agencia[[#This Row],[id]]</f>
        <v>990-1161</v>
      </c>
      <c r="W1172" s="93">
        <f>+VLOOKUP(Agencia[[#This Row],[Filtro URL]],Estructura!$X$4:$Y$500,2,0)</f>
        <v>99200016</v>
      </c>
      <c r="X1172" s="93" t="str">
        <f>+VLOOKUP(Agencia[[#This Row],[tema]],Estructura!$A$4:$C$500,3,0)</f>
        <v>T-1004</v>
      </c>
      <c r="Y1172" s="93" t="str">
        <f>+VLOOKUP(Agencia[[#This Row],[contenido]],Estructura!$E$4:$G$500,3,0)</f>
        <v>C-1016</v>
      </c>
      <c r="Z1172" s="93" t="str">
        <f>+VLOOKUP(Agencia[[#This Row],[Filtro Integrado]],Estructura!$I$4:$K$500,3,0)</f>
        <v>FI-993</v>
      </c>
      <c r="AA1172" s="93" t="str">
        <f>+VLOOKUP(Agencia[[#This Row],[Muestra]],Estructura!$M$4:$O$500,3,0)</f>
        <v>M-1013</v>
      </c>
    </row>
    <row r="1173" spans="1:27" ht="40.799999999999997" x14ac:dyDescent="0.3">
      <c r="A1173" s="21" t="s">
        <v>1977</v>
      </c>
      <c r="B1173" s="23">
        <v>990</v>
      </c>
      <c r="C1173" s="24" t="s">
        <v>400</v>
      </c>
      <c r="D1173" s="67" t="s">
        <v>2010</v>
      </c>
      <c r="E1173" s="14">
        <v>0</v>
      </c>
      <c r="F1173" s="10" t="s">
        <v>2012</v>
      </c>
      <c r="G1173" s="10" t="s">
        <v>2700</v>
      </c>
      <c r="H1173" s="31" t="s">
        <v>20</v>
      </c>
      <c r="I1173" s="32" t="s">
        <v>15</v>
      </c>
      <c r="J1173" s="9" t="s">
        <v>2053</v>
      </c>
      <c r="K1173" s="9" t="s">
        <v>2054</v>
      </c>
      <c r="L1173" s="9" t="s">
        <v>2014</v>
      </c>
      <c r="M1173" s="9" t="s">
        <v>2015</v>
      </c>
      <c r="N1173" s="9" t="s">
        <v>1370</v>
      </c>
      <c r="O1173" s="20" t="s">
        <v>2797</v>
      </c>
      <c r="P1173" s="112" t="s">
        <v>6817</v>
      </c>
      <c r="Q1173" s="11" t="s">
        <v>1934</v>
      </c>
      <c r="R1173" s="20" t="str">
        <f>Agencia[[#This Row],[territorio]]&amp;",nacional,región,comuna,licencia,conducir,no profesional,"&amp;Agencia[[#This Row],[coleccion]]&amp;","&amp;Agencia[[#This Row],[sector]]&amp;","&amp;Agencia[[#This Row],[tema]]&amp;","&amp;Agencia[[#This Row],[contenido]]</f>
        <v>Chile,nacional,región,comuna,licencia,conducir,no profesional,Agencia Información,Transporte y Tránsito,Licencias de Conducir,Tránsito</v>
      </c>
      <c r="S1173" s="37" t="s">
        <v>2055</v>
      </c>
      <c r="T1173" s="114" t="s">
        <v>957</v>
      </c>
      <c r="U1173" s="95" t="s">
        <v>398</v>
      </c>
      <c r="V1173" s="93" t="str">
        <f>+Agencia[[#This Row],[idcoleccion]]&amp;"-"&amp;Agencia[[#This Row],[id]]</f>
        <v>990-1162</v>
      </c>
      <c r="W1173" s="93">
        <f>+VLOOKUP(Agencia[[#This Row],[Filtro URL]],Estructura!$X$4:$Y$500,2,0)</f>
        <v>99100000</v>
      </c>
      <c r="X1173" s="93" t="str">
        <f>+VLOOKUP(Agencia[[#This Row],[tema]],Estructura!$A$4:$C$500,3,0)</f>
        <v>T-1038</v>
      </c>
      <c r="Y1173" s="93" t="str">
        <f>+VLOOKUP(Agencia[[#This Row],[contenido]],Estructura!$E$4:$G$500,3,0)</f>
        <v>C-1016</v>
      </c>
      <c r="Z1173" s="93" t="str">
        <f>+VLOOKUP(Agencia[[#This Row],[Filtro Integrado]],Estructura!$I$4:$K$500,3,0)</f>
        <v>FI-1001</v>
      </c>
      <c r="AA1173" s="93" t="str">
        <f>+VLOOKUP(Agencia[[#This Row],[Muestra]],Estructura!$M$4:$O$500,3,0)</f>
        <v>M-1014</v>
      </c>
    </row>
    <row r="1174" spans="1:27" ht="57.6" x14ac:dyDescent="0.3">
      <c r="A1174" s="21" t="s">
        <v>1978</v>
      </c>
      <c r="B1174" s="23">
        <v>990</v>
      </c>
      <c r="C1174" s="24" t="s">
        <v>400</v>
      </c>
      <c r="D1174" s="67" t="s">
        <v>2010</v>
      </c>
      <c r="E1174" s="19">
        <v>1</v>
      </c>
      <c r="F1174" s="10" t="s">
        <v>2012</v>
      </c>
      <c r="G1174" s="10" t="s">
        <v>2700</v>
      </c>
      <c r="H1174" s="33" t="s">
        <v>16</v>
      </c>
      <c r="I1174" s="34" t="s">
        <v>368</v>
      </c>
      <c r="J1174" s="9" t="s">
        <v>16</v>
      </c>
      <c r="K1174" s="9" t="s">
        <v>2054</v>
      </c>
      <c r="L1174" s="9" t="s">
        <v>2014</v>
      </c>
      <c r="M1174" s="9" t="s">
        <v>2015</v>
      </c>
      <c r="N1174" s="9" t="s">
        <v>1370</v>
      </c>
      <c r="O1174" s="20" t="s">
        <v>2798</v>
      </c>
      <c r="P1174" s="112" t="s">
        <v>6818</v>
      </c>
      <c r="Q1174" s="11" t="s">
        <v>1934</v>
      </c>
      <c r="R1174" s="20" t="str">
        <f>Agencia[[#This Row],[territorio]]&amp;",regional,comuna,licencia,conducir,noprofesional,"&amp;Agencia[[#This Row],[coleccion]]&amp;","&amp;Agencia[[#This Row],[sector]]&amp;","&amp;Agencia[[#This Row],[tema]]&amp;","&amp;Agencia[[#This Row],[contenido]]</f>
        <v>Región de Tarapacá,regional,comuna,licencia,conducir,noprofesional,Agencia Información,Transporte y Tránsito,Licencias de Conducir,Tránsito</v>
      </c>
      <c r="S1174" s="83" t="s">
        <v>2473</v>
      </c>
      <c r="T1174" s="114" t="s">
        <v>1856</v>
      </c>
      <c r="U1174" s="46" t="s">
        <v>398</v>
      </c>
      <c r="V1174" s="93" t="str">
        <f>+Agencia[[#This Row],[idcoleccion]]&amp;"-"&amp;Agencia[[#This Row],[id]]</f>
        <v>990-1163</v>
      </c>
      <c r="W1174" s="93">
        <f>+VLOOKUP(Agencia[[#This Row],[Filtro URL]],Estructura!$X$4:$Y$500,2,0)</f>
        <v>99200001</v>
      </c>
      <c r="X1174" s="93" t="str">
        <f>+VLOOKUP(Agencia[[#This Row],[tema]],Estructura!$A$4:$C$500,3,0)</f>
        <v>T-1038</v>
      </c>
      <c r="Y1174" s="93" t="str">
        <f>+VLOOKUP(Agencia[[#This Row],[contenido]],Estructura!$E$4:$G$500,3,0)</f>
        <v>C-1016</v>
      </c>
      <c r="Z1174" s="93" t="str">
        <f>+VLOOKUP(Agencia[[#This Row],[Filtro Integrado]],Estructura!$I$4:$K$500,3,0)</f>
        <v>FI-992</v>
      </c>
      <c r="AA1174" s="93" t="str">
        <f>+VLOOKUP(Agencia[[#This Row],[Muestra]],Estructura!$M$4:$O$500,3,0)</f>
        <v>M-1014</v>
      </c>
    </row>
    <row r="1175" spans="1:27" ht="57.6" x14ac:dyDescent="0.3">
      <c r="A1175" s="21" t="s">
        <v>1979</v>
      </c>
      <c r="B1175" s="23">
        <v>990</v>
      </c>
      <c r="C1175" s="24" t="s">
        <v>400</v>
      </c>
      <c r="D1175" s="67" t="s">
        <v>2010</v>
      </c>
      <c r="E1175" s="19">
        <v>2</v>
      </c>
      <c r="F1175" s="10" t="s">
        <v>2012</v>
      </c>
      <c r="G1175" s="10" t="s">
        <v>2700</v>
      </c>
      <c r="H1175" s="33" t="s">
        <v>16</v>
      </c>
      <c r="I1175" s="34" t="s">
        <v>369</v>
      </c>
      <c r="J1175" s="9" t="s">
        <v>16</v>
      </c>
      <c r="K1175" s="9" t="s">
        <v>2054</v>
      </c>
      <c r="L1175" s="9" t="s">
        <v>2014</v>
      </c>
      <c r="M1175" s="9" t="s">
        <v>2015</v>
      </c>
      <c r="N1175" s="9" t="s">
        <v>1370</v>
      </c>
      <c r="O1175" s="20" t="s">
        <v>2799</v>
      </c>
      <c r="P1175" s="112" t="s">
        <v>6819</v>
      </c>
      <c r="Q1175" s="11" t="s">
        <v>1934</v>
      </c>
      <c r="R1175" s="148" t="str">
        <f>Agencia[[#This Row],[territorio]]&amp;",regional,comuna,licencia,conducir,noprofesional,"&amp;Agencia[[#This Row],[coleccion]]&amp;","&amp;Agencia[[#This Row],[sector]]&amp;","&amp;Agencia[[#This Row],[tema]]&amp;","&amp;Agencia[[#This Row],[contenido]]</f>
        <v>Región de Antofagasta,regional,comuna,licencia,conducir,noprofesional,Agencia Información,Transporte y Tránsito,Licencias de Conducir,Tránsito</v>
      </c>
      <c r="S1175" s="37" t="s">
        <v>2474</v>
      </c>
      <c r="T1175" s="114" t="s">
        <v>1844</v>
      </c>
      <c r="U1175" s="46" t="s">
        <v>398</v>
      </c>
      <c r="V1175" s="93" t="str">
        <f>+Agencia[[#This Row],[idcoleccion]]&amp;"-"&amp;Agencia[[#This Row],[id]]</f>
        <v>990-1164</v>
      </c>
      <c r="W1175" s="93">
        <f>+VLOOKUP(Agencia[[#This Row],[Filtro URL]],Estructura!$X$4:$Y$500,2,0)</f>
        <v>99200002</v>
      </c>
      <c r="X1175" s="93" t="str">
        <f>+VLOOKUP(Agencia[[#This Row],[tema]],Estructura!$A$4:$C$500,3,0)</f>
        <v>T-1038</v>
      </c>
      <c r="Y1175" s="93" t="str">
        <f>+VLOOKUP(Agencia[[#This Row],[contenido]],Estructura!$E$4:$G$500,3,0)</f>
        <v>C-1016</v>
      </c>
      <c r="Z1175" s="93" t="str">
        <f>+VLOOKUP(Agencia[[#This Row],[Filtro Integrado]],Estructura!$I$4:$K$500,3,0)</f>
        <v>FI-992</v>
      </c>
      <c r="AA1175" s="93" t="str">
        <f>+VLOOKUP(Agencia[[#This Row],[Muestra]],Estructura!$M$4:$O$500,3,0)</f>
        <v>M-1014</v>
      </c>
    </row>
    <row r="1176" spans="1:27" ht="57.6" x14ac:dyDescent="0.3">
      <c r="A1176" s="21" t="s">
        <v>1980</v>
      </c>
      <c r="B1176" s="23">
        <v>990</v>
      </c>
      <c r="C1176" s="24" t="s">
        <v>400</v>
      </c>
      <c r="D1176" s="67" t="s">
        <v>2010</v>
      </c>
      <c r="E1176" s="19">
        <v>3</v>
      </c>
      <c r="F1176" s="10" t="s">
        <v>2012</v>
      </c>
      <c r="G1176" s="10" t="s">
        <v>2700</v>
      </c>
      <c r="H1176" s="33" t="s">
        <v>16</v>
      </c>
      <c r="I1176" s="34" t="s">
        <v>370</v>
      </c>
      <c r="J1176" s="9" t="s">
        <v>16</v>
      </c>
      <c r="K1176" s="9" t="s">
        <v>2054</v>
      </c>
      <c r="L1176" s="9" t="s">
        <v>2014</v>
      </c>
      <c r="M1176" s="9" t="s">
        <v>2015</v>
      </c>
      <c r="N1176" s="9" t="s">
        <v>1370</v>
      </c>
      <c r="O1176" s="20" t="s">
        <v>2800</v>
      </c>
      <c r="P1176" s="112" t="s">
        <v>6820</v>
      </c>
      <c r="Q1176" s="11" t="s">
        <v>1934</v>
      </c>
      <c r="R1176" s="148" t="str">
        <f>Agencia[[#This Row],[territorio]]&amp;",regional,comuna,licencia,conducir,noprofesional,"&amp;Agencia[[#This Row],[coleccion]]&amp;","&amp;Agencia[[#This Row],[sector]]&amp;","&amp;Agencia[[#This Row],[tema]]&amp;","&amp;Agencia[[#This Row],[contenido]]</f>
        <v>Región de Atacama,regional,comuna,licencia,conducir,noprofesional,Agencia Información,Transporte y Tránsito,Licencias de Conducir,Tránsito</v>
      </c>
      <c r="S1176" s="37" t="s">
        <v>2475</v>
      </c>
      <c r="T1176" s="114" t="s">
        <v>1846</v>
      </c>
      <c r="U1176" s="95" t="s">
        <v>398</v>
      </c>
      <c r="V1176" s="93" t="str">
        <f>+Agencia[[#This Row],[idcoleccion]]&amp;"-"&amp;Agencia[[#This Row],[id]]</f>
        <v>990-1165</v>
      </c>
      <c r="W1176" s="93">
        <f>+VLOOKUP(Agencia[[#This Row],[Filtro URL]],Estructura!$X$4:$Y$500,2,0)</f>
        <v>99200003</v>
      </c>
      <c r="X1176" s="93" t="str">
        <f>+VLOOKUP(Agencia[[#This Row],[tema]],Estructura!$A$4:$C$500,3,0)</f>
        <v>T-1038</v>
      </c>
      <c r="Y1176" s="93" t="str">
        <f>+VLOOKUP(Agencia[[#This Row],[contenido]],Estructura!$E$4:$G$500,3,0)</f>
        <v>C-1016</v>
      </c>
      <c r="Z1176" s="93" t="str">
        <f>+VLOOKUP(Agencia[[#This Row],[Filtro Integrado]],Estructura!$I$4:$K$500,3,0)</f>
        <v>FI-992</v>
      </c>
      <c r="AA1176" s="93" t="str">
        <f>+VLOOKUP(Agencia[[#This Row],[Muestra]],Estructura!$M$4:$O$500,3,0)</f>
        <v>M-1014</v>
      </c>
    </row>
    <row r="1177" spans="1:27" ht="57.6" x14ac:dyDescent="0.3">
      <c r="A1177" s="21" t="s">
        <v>1981</v>
      </c>
      <c r="B1177" s="23">
        <v>990</v>
      </c>
      <c r="C1177" s="24" t="s">
        <v>400</v>
      </c>
      <c r="D1177" s="67" t="s">
        <v>2010</v>
      </c>
      <c r="E1177" s="19">
        <v>4</v>
      </c>
      <c r="F1177" s="10" t="s">
        <v>2012</v>
      </c>
      <c r="G1177" s="10" t="s">
        <v>2700</v>
      </c>
      <c r="H1177" s="33" t="s">
        <v>16</v>
      </c>
      <c r="I1177" s="34" t="s">
        <v>371</v>
      </c>
      <c r="J1177" s="9" t="s">
        <v>16</v>
      </c>
      <c r="K1177" s="9" t="s">
        <v>2054</v>
      </c>
      <c r="L1177" s="9" t="s">
        <v>2014</v>
      </c>
      <c r="M1177" s="9" t="s">
        <v>2015</v>
      </c>
      <c r="N1177" s="9" t="s">
        <v>1370</v>
      </c>
      <c r="O1177" s="20" t="s">
        <v>2801</v>
      </c>
      <c r="P1177" s="112" t="s">
        <v>6821</v>
      </c>
      <c r="Q1177" s="11" t="s">
        <v>1934</v>
      </c>
      <c r="R1177" s="148" t="str">
        <f>Agencia[[#This Row],[territorio]]&amp;",regional,comuna,licencia,conducir,noprofesional,"&amp;Agencia[[#This Row],[coleccion]]&amp;","&amp;Agencia[[#This Row],[sector]]&amp;","&amp;Agencia[[#This Row],[tema]]&amp;","&amp;Agencia[[#This Row],[contenido]]</f>
        <v>Región de Coquimbo,regional,comuna,licencia,conducir,noprofesional,Agencia Información,Transporte y Tránsito,Licencias de Conducir,Tránsito</v>
      </c>
      <c r="S1177" s="37" t="s">
        <v>2476</v>
      </c>
      <c r="T1177" s="114" t="s">
        <v>1848</v>
      </c>
      <c r="U1177" s="46" t="s">
        <v>398</v>
      </c>
      <c r="V1177" s="93" t="str">
        <f>+Agencia[[#This Row],[idcoleccion]]&amp;"-"&amp;Agencia[[#This Row],[id]]</f>
        <v>990-1166</v>
      </c>
      <c r="W1177" s="93">
        <f>+VLOOKUP(Agencia[[#This Row],[Filtro URL]],Estructura!$X$4:$Y$500,2,0)</f>
        <v>99200004</v>
      </c>
      <c r="X1177" s="93" t="str">
        <f>+VLOOKUP(Agencia[[#This Row],[tema]],Estructura!$A$4:$C$500,3,0)</f>
        <v>T-1038</v>
      </c>
      <c r="Y1177" s="93" t="str">
        <f>+VLOOKUP(Agencia[[#This Row],[contenido]],Estructura!$E$4:$G$500,3,0)</f>
        <v>C-1016</v>
      </c>
      <c r="Z1177" s="93" t="str">
        <f>+VLOOKUP(Agencia[[#This Row],[Filtro Integrado]],Estructura!$I$4:$K$500,3,0)</f>
        <v>FI-992</v>
      </c>
      <c r="AA1177" s="93" t="str">
        <f>+VLOOKUP(Agencia[[#This Row],[Muestra]],Estructura!$M$4:$O$500,3,0)</f>
        <v>M-1014</v>
      </c>
    </row>
    <row r="1178" spans="1:27" ht="57.6" x14ac:dyDescent="0.3">
      <c r="A1178" s="21" t="s">
        <v>1982</v>
      </c>
      <c r="B1178" s="23">
        <v>990</v>
      </c>
      <c r="C1178" s="24" t="s">
        <v>400</v>
      </c>
      <c r="D1178" s="67" t="s">
        <v>2010</v>
      </c>
      <c r="E1178" s="19">
        <v>5</v>
      </c>
      <c r="F1178" s="10" t="s">
        <v>2012</v>
      </c>
      <c r="G1178" s="10" t="s">
        <v>2700</v>
      </c>
      <c r="H1178" s="33" t="s">
        <v>16</v>
      </c>
      <c r="I1178" s="34" t="s">
        <v>372</v>
      </c>
      <c r="J1178" s="9" t="s">
        <v>16</v>
      </c>
      <c r="K1178" s="9" t="s">
        <v>2054</v>
      </c>
      <c r="L1178" s="9" t="s">
        <v>2014</v>
      </c>
      <c r="M1178" s="9" t="s">
        <v>2015</v>
      </c>
      <c r="N1178" s="9" t="s">
        <v>1370</v>
      </c>
      <c r="O1178" s="20" t="s">
        <v>2802</v>
      </c>
      <c r="P1178" s="112" t="s">
        <v>6822</v>
      </c>
      <c r="Q1178" s="11" t="s">
        <v>1934</v>
      </c>
      <c r="R1178" s="148" t="str">
        <f>Agencia[[#This Row],[territorio]]&amp;",regional,comuna,licencia,conducir,noprofesional,"&amp;Agencia[[#This Row],[coleccion]]&amp;","&amp;Agencia[[#This Row],[sector]]&amp;","&amp;Agencia[[#This Row],[tema]]&amp;","&amp;Agencia[[#This Row],[contenido]]</f>
        <v>Región de Valparaíso,regional,comuna,licencia,conducir,noprofesional,Agencia Información,Transporte y Tránsito,Licencias de Conducir,Tránsito</v>
      </c>
      <c r="S1178" s="37" t="s">
        <v>2477</v>
      </c>
      <c r="T1178" s="114" t="s">
        <v>1857</v>
      </c>
      <c r="U1178" s="46" t="s">
        <v>398</v>
      </c>
      <c r="V1178" s="93" t="str">
        <f>+Agencia[[#This Row],[idcoleccion]]&amp;"-"&amp;Agencia[[#This Row],[id]]</f>
        <v>990-1167</v>
      </c>
      <c r="W1178" s="93">
        <f>+VLOOKUP(Agencia[[#This Row],[Filtro URL]],Estructura!$X$4:$Y$500,2,0)</f>
        <v>99200005</v>
      </c>
      <c r="X1178" s="93" t="str">
        <f>+VLOOKUP(Agencia[[#This Row],[tema]],Estructura!$A$4:$C$500,3,0)</f>
        <v>T-1038</v>
      </c>
      <c r="Y1178" s="93" t="str">
        <f>+VLOOKUP(Agencia[[#This Row],[contenido]],Estructura!$E$4:$G$500,3,0)</f>
        <v>C-1016</v>
      </c>
      <c r="Z1178" s="93" t="str">
        <f>+VLOOKUP(Agencia[[#This Row],[Filtro Integrado]],Estructura!$I$4:$K$500,3,0)</f>
        <v>FI-992</v>
      </c>
      <c r="AA1178" s="93" t="str">
        <f>+VLOOKUP(Agencia[[#This Row],[Muestra]],Estructura!$M$4:$O$500,3,0)</f>
        <v>M-1014</v>
      </c>
    </row>
    <row r="1179" spans="1:27" ht="57.6" x14ac:dyDescent="0.3">
      <c r="A1179" s="21" t="s">
        <v>1983</v>
      </c>
      <c r="B1179" s="23">
        <v>990</v>
      </c>
      <c r="C1179" s="24" t="s">
        <v>400</v>
      </c>
      <c r="D1179" s="67" t="s">
        <v>2010</v>
      </c>
      <c r="E1179" s="19">
        <v>6</v>
      </c>
      <c r="F1179" s="10" t="s">
        <v>2012</v>
      </c>
      <c r="G1179" s="10" t="s">
        <v>2700</v>
      </c>
      <c r="H1179" s="33" t="s">
        <v>16</v>
      </c>
      <c r="I1179" s="34" t="s">
        <v>373</v>
      </c>
      <c r="J1179" s="9" t="s">
        <v>16</v>
      </c>
      <c r="K1179" s="9" t="s">
        <v>2054</v>
      </c>
      <c r="L1179" s="9" t="s">
        <v>2014</v>
      </c>
      <c r="M1179" s="9" t="s">
        <v>2015</v>
      </c>
      <c r="N1179" s="9" t="s">
        <v>1370</v>
      </c>
      <c r="O1179" s="20" t="s">
        <v>2803</v>
      </c>
      <c r="P1179" s="112" t="s">
        <v>6831</v>
      </c>
      <c r="Q1179" s="11" t="s">
        <v>1934</v>
      </c>
      <c r="R1179" s="148" t="str">
        <f>Agencia[[#This Row],[territorio]]&amp;",regional,comuna,licencia,conducir,noprofesional,"&amp;Agencia[[#This Row],[coleccion]]&amp;","&amp;Agencia[[#This Row],[sector]]&amp;","&amp;Agencia[[#This Row],[tema]]&amp;","&amp;Agencia[[#This Row],[contenido]]</f>
        <v>Región de O'Higgins,regional,comuna,licencia,conducir,noprofesional,Agencia Información,Transporte y Tránsito,Licencias de Conducir,Tránsito</v>
      </c>
      <c r="S1179" s="37" t="s">
        <v>2478</v>
      </c>
      <c r="T1179" s="114" t="s">
        <v>1855</v>
      </c>
      <c r="U1179" s="95" t="s">
        <v>398</v>
      </c>
      <c r="V1179" s="93" t="str">
        <f>+Agencia[[#This Row],[idcoleccion]]&amp;"-"&amp;Agencia[[#This Row],[id]]</f>
        <v>990-1168</v>
      </c>
      <c r="W1179" s="93">
        <f>+VLOOKUP(Agencia[[#This Row],[Filtro URL]],Estructura!$X$4:$Y$500,2,0)</f>
        <v>99200006</v>
      </c>
      <c r="X1179" s="93" t="str">
        <f>+VLOOKUP(Agencia[[#This Row],[tema]],Estructura!$A$4:$C$500,3,0)</f>
        <v>T-1038</v>
      </c>
      <c r="Y1179" s="93" t="str">
        <f>+VLOOKUP(Agencia[[#This Row],[contenido]],Estructura!$E$4:$G$500,3,0)</f>
        <v>C-1016</v>
      </c>
      <c r="Z1179" s="93" t="str">
        <f>+VLOOKUP(Agencia[[#This Row],[Filtro Integrado]],Estructura!$I$4:$K$500,3,0)</f>
        <v>FI-992</v>
      </c>
      <c r="AA1179" s="93" t="str">
        <f>+VLOOKUP(Agencia[[#This Row],[Muestra]],Estructura!$M$4:$O$500,3,0)</f>
        <v>M-1014</v>
      </c>
    </row>
    <row r="1180" spans="1:27" ht="57.6" x14ac:dyDescent="0.3">
      <c r="A1180" s="21" t="s">
        <v>1984</v>
      </c>
      <c r="B1180" s="23">
        <v>990</v>
      </c>
      <c r="C1180" s="24" t="s">
        <v>400</v>
      </c>
      <c r="D1180" s="67" t="s">
        <v>2010</v>
      </c>
      <c r="E1180" s="19">
        <v>7</v>
      </c>
      <c r="F1180" s="10" t="s">
        <v>2012</v>
      </c>
      <c r="G1180" s="10" t="s">
        <v>2700</v>
      </c>
      <c r="H1180" s="33" t="s">
        <v>16</v>
      </c>
      <c r="I1180" s="34" t="s">
        <v>374</v>
      </c>
      <c r="J1180" s="9" t="s">
        <v>16</v>
      </c>
      <c r="K1180" s="9" t="s">
        <v>2054</v>
      </c>
      <c r="L1180" s="9" t="s">
        <v>2014</v>
      </c>
      <c r="M1180" s="9" t="s">
        <v>2015</v>
      </c>
      <c r="N1180" s="9" t="s">
        <v>1370</v>
      </c>
      <c r="O1180" s="20" t="s">
        <v>2804</v>
      </c>
      <c r="P1180" s="112" t="s">
        <v>6823</v>
      </c>
      <c r="Q1180" s="11" t="s">
        <v>1934</v>
      </c>
      <c r="R1180" s="148" t="str">
        <f>Agencia[[#This Row],[territorio]]&amp;",regional,comuna,licencia,conducir,noprofesional,"&amp;Agencia[[#This Row],[coleccion]]&amp;","&amp;Agencia[[#This Row],[sector]]&amp;","&amp;Agencia[[#This Row],[tema]]&amp;","&amp;Agencia[[#This Row],[contenido]]</f>
        <v>Región de Maule,regional,comuna,licencia,conducir,noprofesional,Agencia Información,Transporte y Tránsito,Licencias de Conducir,Tránsito</v>
      </c>
      <c r="S1180" s="37" t="s">
        <v>2479</v>
      </c>
      <c r="T1180" s="114" t="s">
        <v>1853</v>
      </c>
      <c r="U1180" s="46" t="s">
        <v>398</v>
      </c>
      <c r="V1180" s="93" t="str">
        <f>+Agencia[[#This Row],[idcoleccion]]&amp;"-"&amp;Agencia[[#This Row],[id]]</f>
        <v>990-1169</v>
      </c>
      <c r="W1180" s="93">
        <f>+VLOOKUP(Agencia[[#This Row],[Filtro URL]],Estructura!$X$4:$Y$500,2,0)</f>
        <v>99200007</v>
      </c>
      <c r="X1180" s="93" t="str">
        <f>+VLOOKUP(Agencia[[#This Row],[tema]],Estructura!$A$4:$C$500,3,0)</f>
        <v>T-1038</v>
      </c>
      <c r="Y1180" s="93" t="str">
        <f>+VLOOKUP(Agencia[[#This Row],[contenido]],Estructura!$E$4:$G$500,3,0)</f>
        <v>C-1016</v>
      </c>
      <c r="Z1180" s="93" t="str">
        <f>+VLOOKUP(Agencia[[#This Row],[Filtro Integrado]],Estructura!$I$4:$K$500,3,0)</f>
        <v>FI-992</v>
      </c>
      <c r="AA1180" s="93" t="str">
        <f>+VLOOKUP(Agencia[[#This Row],[Muestra]],Estructura!$M$4:$O$500,3,0)</f>
        <v>M-1014</v>
      </c>
    </row>
    <row r="1181" spans="1:27" ht="57.6" x14ac:dyDescent="0.3">
      <c r="A1181" s="21" t="s">
        <v>1985</v>
      </c>
      <c r="B1181" s="23">
        <v>990</v>
      </c>
      <c r="C1181" s="24" t="s">
        <v>400</v>
      </c>
      <c r="D1181" s="67" t="s">
        <v>2010</v>
      </c>
      <c r="E1181" s="19">
        <v>8</v>
      </c>
      <c r="F1181" s="10" t="s">
        <v>2012</v>
      </c>
      <c r="G1181" s="10" t="s">
        <v>2700</v>
      </c>
      <c r="H1181" s="33" t="s">
        <v>16</v>
      </c>
      <c r="I1181" s="34" t="s">
        <v>375</v>
      </c>
      <c r="J1181" s="9" t="s">
        <v>16</v>
      </c>
      <c r="K1181" s="9" t="s">
        <v>2054</v>
      </c>
      <c r="L1181" s="9" t="s">
        <v>2014</v>
      </c>
      <c r="M1181" s="9" t="s">
        <v>2015</v>
      </c>
      <c r="N1181" s="9" t="s">
        <v>1370</v>
      </c>
      <c r="O1181" s="20" t="s">
        <v>2805</v>
      </c>
      <c r="P1181" s="112" t="s">
        <v>6832</v>
      </c>
      <c r="Q1181" s="11" t="s">
        <v>1934</v>
      </c>
      <c r="R1181" s="148" t="str">
        <f>Agencia[[#This Row],[territorio]]&amp;",regional,comuna,licencia,conducir,noprofesional,"&amp;Agencia[[#This Row],[coleccion]]&amp;","&amp;Agencia[[#This Row],[sector]]&amp;","&amp;Agencia[[#This Row],[tema]]&amp;","&amp;Agencia[[#This Row],[contenido]]</f>
        <v>Región del Biobío,regional,comuna,licencia,conducir,noprofesional,Agencia Información,Transporte y Tránsito,Licencias de Conducir,Tránsito</v>
      </c>
      <c r="S1181" s="37" t="s">
        <v>2480</v>
      </c>
      <c r="T1181" s="114" t="s">
        <v>1858</v>
      </c>
      <c r="U1181" s="46" t="s">
        <v>398</v>
      </c>
      <c r="V1181" s="93" t="str">
        <f>+Agencia[[#This Row],[idcoleccion]]&amp;"-"&amp;Agencia[[#This Row],[id]]</f>
        <v>990-1170</v>
      </c>
      <c r="W1181" s="93">
        <f>+VLOOKUP(Agencia[[#This Row],[Filtro URL]],Estructura!$X$4:$Y$500,2,0)</f>
        <v>99200008</v>
      </c>
      <c r="X1181" s="93" t="str">
        <f>+VLOOKUP(Agencia[[#This Row],[tema]],Estructura!$A$4:$C$500,3,0)</f>
        <v>T-1038</v>
      </c>
      <c r="Y1181" s="93" t="str">
        <f>+VLOOKUP(Agencia[[#This Row],[contenido]],Estructura!$E$4:$G$500,3,0)</f>
        <v>C-1016</v>
      </c>
      <c r="Z1181" s="93" t="str">
        <f>+VLOOKUP(Agencia[[#This Row],[Filtro Integrado]],Estructura!$I$4:$K$500,3,0)</f>
        <v>FI-992</v>
      </c>
      <c r="AA1181" s="93" t="str">
        <f>+VLOOKUP(Agencia[[#This Row],[Muestra]],Estructura!$M$4:$O$500,3,0)</f>
        <v>M-1014</v>
      </c>
    </row>
    <row r="1182" spans="1:27" ht="57.6" x14ac:dyDescent="0.3">
      <c r="A1182" s="21" t="s">
        <v>1986</v>
      </c>
      <c r="B1182" s="23">
        <v>990</v>
      </c>
      <c r="C1182" s="24" t="s">
        <v>400</v>
      </c>
      <c r="D1182" s="67" t="s">
        <v>2010</v>
      </c>
      <c r="E1182" s="19">
        <v>9</v>
      </c>
      <c r="F1182" s="10" t="s">
        <v>2012</v>
      </c>
      <c r="G1182" s="10" t="s">
        <v>2700</v>
      </c>
      <c r="H1182" s="33" t="s">
        <v>16</v>
      </c>
      <c r="I1182" s="34" t="s">
        <v>376</v>
      </c>
      <c r="J1182" s="9" t="s">
        <v>16</v>
      </c>
      <c r="K1182" s="9" t="s">
        <v>2054</v>
      </c>
      <c r="L1182" s="9" t="s">
        <v>2014</v>
      </c>
      <c r="M1182" s="9" t="s">
        <v>2015</v>
      </c>
      <c r="N1182" s="9" t="s">
        <v>1370</v>
      </c>
      <c r="O1182" s="20" t="s">
        <v>2806</v>
      </c>
      <c r="P1182" s="112" t="s">
        <v>6833</v>
      </c>
      <c r="Q1182" s="11" t="s">
        <v>1934</v>
      </c>
      <c r="R1182" s="148" t="str">
        <f>Agencia[[#This Row],[territorio]]&amp;",regional,comuna,licencia,conducir,noprofesional,"&amp;Agencia[[#This Row],[coleccion]]&amp;","&amp;Agencia[[#This Row],[sector]]&amp;","&amp;Agencia[[#This Row],[tema]]&amp;","&amp;Agencia[[#This Row],[contenido]]</f>
        <v>Región de La Araucanía,regional,comuna,licencia,conducir,noprofesional,Agencia Información,Transporte y Tránsito,Licencias de Conducir,Tránsito</v>
      </c>
      <c r="S1182" s="37" t="s">
        <v>2481</v>
      </c>
      <c r="T1182" s="114" t="s">
        <v>1849</v>
      </c>
      <c r="U1182" s="95" t="s">
        <v>398</v>
      </c>
      <c r="V1182" s="93" t="str">
        <f>+Agencia[[#This Row],[idcoleccion]]&amp;"-"&amp;Agencia[[#This Row],[id]]</f>
        <v>990-1171</v>
      </c>
      <c r="W1182" s="93">
        <f>+VLOOKUP(Agencia[[#This Row],[Filtro URL]],Estructura!$X$4:$Y$500,2,0)</f>
        <v>99200009</v>
      </c>
      <c r="X1182" s="93" t="str">
        <f>+VLOOKUP(Agencia[[#This Row],[tema]],Estructura!$A$4:$C$500,3,0)</f>
        <v>T-1038</v>
      </c>
      <c r="Y1182" s="93" t="str">
        <f>+VLOOKUP(Agencia[[#This Row],[contenido]],Estructura!$E$4:$G$500,3,0)</f>
        <v>C-1016</v>
      </c>
      <c r="Z1182" s="93" t="str">
        <f>+VLOOKUP(Agencia[[#This Row],[Filtro Integrado]],Estructura!$I$4:$K$500,3,0)</f>
        <v>FI-992</v>
      </c>
      <c r="AA1182" s="93" t="str">
        <f>+VLOOKUP(Agencia[[#This Row],[Muestra]],Estructura!$M$4:$O$500,3,0)</f>
        <v>M-1014</v>
      </c>
    </row>
    <row r="1183" spans="1:27" ht="57.6" x14ac:dyDescent="0.3">
      <c r="A1183" s="21" t="s">
        <v>1987</v>
      </c>
      <c r="B1183" s="23">
        <v>990</v>
      </c>
      <c r="C1183" s="24" t="s">
        <v>400</v>
      </c>
      <c r="D1183" s="67" t="s">
        <v>2010</v>
      </c>
      <c r="E1183" s="19">
        <v>10</v>
      </c>
      <c r="F1183" s="10" t="s">
        <v>2012</v>
      </c>
      <c r="G1183" s="10" t="s">
        <v>2700</v>
      </c>
      <c r="H1183" s="33" t="s">
        <v>16</v>
      </c>
      <c r="I1183" s="34" t="s">
        <v>377</v>
      </c>
      <c r="J1183" s="9" t="s">
        <v>16</v>
      </c>
      <c r="K1183" s="9" t="s">
        <v>2054</v>
      </c>
      <c r="L1183" s="9" t="s">
        <v>2014</v>
      </c>
      <c r="M1183" s="9" t="s">
        <v>2015</v>
      </c>
      <c r="N1183" s="9" t="s">
        <v>1370</v>
      </c>
      <c r="O1183" s="20" t="s">
        <v>2807</v>
      </c>
      <c r="P1183" s="112" t="s">
        <v>6824</v>
      </c>
      <c r="Q1183" s="11" t="s">
        <v>1934</v>
      </c>
      <c r="R1183" s="148" t="str">
        <f>Agencia[[#This Row],[territorio]]&amp;",regional,comuna,licencia,conducir,noprofesional,"&amp;Agencia[[#This Row],[coleccion]]&amp;","&amp;Agencia[[#This Row],[sector]]&amp;","&amp;Agencia[[#This Row],[tema]]&amp;","&amp;Agencia[[#This Row],[contenido]]</f>
        <v>Región de Los Lagos,regional,comuna,licencia,conducir,noprofesional,Agencia Información,Transporte y Tránsito,Licencias de Conducir,Tránsito</v>
      </c>
      <c r="S1183" s="37" t="s">
        <v>2482</v>
      </c>
      <c r="T1183" s="114" t="s">
        <v>1850</v>
      </c>
      <c r="U1183" s="46" t="s">
        <v>398</v>
      </c>
      <c r="V1183" s="93" t="str">
        <f>+Agencia[[#This Row],[idcoleccion]]&amp;"-"&amp;Agencia[[#This Row],[id]]</f>
        <v>990-1172</v>
      </c>
      <c r="W1183" s="93">
        <f>+VLOOKUP(Agencia[[#This Row],[Filtro URL]],Estructura!$X$4:$Y$500,2,0)</f>
        <v>99200010</v>
      </c>
      <c r="X1183" s="93" t="str">
        <f>+VLOOKUP(Agencia[[#This Row],[tema]],Estructura!$A$4:$C$500,3,0)</f>
        <v>T-1038</v>
      </c>
      <c r="Y1183" s="93" t="str">
        <f>+VLOOKUP(Agencia[[#This Row],[contenido]],Estructura!$E$4:$G$500,3,0)</f>
        <v>C-1016</v>
      </c>
      <c r="Z1183" s="93" t="str">
        <f>+VLOOKUP(Agencia[[#This Row],[Filtro Integrado]],Estructura!$I$4:$K$500,3,0)</f>
        <v>FI-992</v>
      </c>
      <c r="AA1183" s="93" t="str">
        <f>+VLOOKUP(Agencia[[#This Row],[Muestra]],Estructura!$M$4:$O$500,3,0)</f>
        <v>M-1014</v>
      </c>
    </row>
    <row r="1184" spans="1:27" ht="57.6" x14ac:dyDescent="0.3">
      <c r="A1184" s="21" t="s">
        <v>1988</v>
      </c>
      <c r="B1184" s="23">
        <v>990</v>
      </c>
      <c r="C1184" s="24" t="s">
        <v>400</v>
      </c>
      <c r="D1184" s="67" t="s">
        <v>2010</v>
      </c>
      <c r="E1184" s="19">
        <v>11</v>
      </c>
      <c r="F1184" s="10" t="s">
        <v>2012</v>
      </c>
      <c r="G1184" s="10" t="s">
        <v>2700</v>
      </c>
      <c r="H1184" s="33" t="s">
        <v>16</v>
      </c>
      <c r="I1184" s="34" t="s">
        <v>378</v>
      </c>
      <c r="J1184" s="9" t="s">
        <v>16</v>
      </c>
      <c r="K1184" s="9" t="s">
        <v>2054</v>
      </c>
      <c r="L1184" s="9" t="s">
        <v>2014</v>
      </c>
      <c r="M1184" s="9" t="s">
        <v>2015</v>
      </c>
      <c r="N1184" s="9" t="s">
        <v>1370</v>
      </c>
      <c r="O1184" s="20" t="s">
        <v>2808</v>
      </c>
      <c r="P1184" s="112" t="s">
        <v>6825</v>
      </c>
      <c r="Q1184" s="11" t="s">
        <v>1934</v>
      </c>
      <c r="R1184" s="148" t="str">
        <f>Agencia[[#This Row],[territorio]]&amp;",regional,comuna,licencia,conducir,noprofesional,"&amp;Agencia[[#This Row],[coleccion]]&amp;","&amp;Agencia[[#This Row],[sector]]&amp;","&amp;Agencia[[#This Row],[tema]]&amp;","&amp;Agencia[[#This Row],[contenido]]</f>
        <v>Región de Aysén,regional,comuna,licencia,conducir,noprofesional,Agencia Información,Transporte y Tránsito,Licencias de Conducir,Tránsito</v>
      </c>
      <c r="S1184" s="37" t="s">
        <v>2483</v>
      </c>
      <c r="T1184" s="114" t="s">
        <v>1847</v>
      </c>
      <c r="U1184" s="46" t="s">
        <v>398</v>
      </c>
      <c r="V1184" s="93" t="str">
        <f>+Agencia[[#This Row],[idcoleccion]]&amp;"-"&amp;Agencia[[#This Row],[id]]</f>
        <v>990-1173</v>
      </c>
      <c r="W1184" s="93">
        <f>+VLOOKUP(Agencia[[#This Row],[Filtro URL]],Estructura!$X$4:$Y$500,2,0)</f>
        <v>99200011</v>
      </c>
      <c r="X1184" s="93" t="str">
        <f>+VLOOKUP(Agencia[[#This Row],[tema]],Estructura!$A$4:$C$500,3,0)</f>
        <v>T-1038</v>
      </c>
      <c r="Y1184" s="93" t="str">
        <f>+VLOOKUP(Agencia[[#This Row],[contenido]],Estructura!$E$4:$G$500,3,0)</f>
        <v>C-1016</v>
      </c>
      <c r="Z1184" s="93" t="str">
        <f>+VLOOKUP(Agencia[[#This Row],[Filtro Integrado]],Estructura!$I$4:$K$500,3,0)</f>
        <v>FI-992</v>
      </c>
      <c r="AA1184" s="93" t="str">
        <f>+VLOOKUP(Agencia[[#This Row],[Muestra]],Estructura!$M$4:$O$500,3,0)</f>
        <v>M-1014</v>
      </c>
    </row>
    <row r="1185" spans="1:27" ht="57.6" x14ac:dyDescent="0.3">
      <c r="A1185" s="21" t="s">
        <v>1989</v>
      </c>
      <c r="B1185" s="23">
        <v>990</v>
      </c>
      <c r="C1185" s="24" t="s">
        <v>400</v>
      </c>
      <c r="D1185" s="67" t="s">
        <v>2010</v>
      </c>
      <c r="E1185" s="19">
        <v>12</v>
      </c>
      <c r="F1185" s="10" t="s">
        <v>2012</v>
      </c>
      <c r="G1185" s="10" t="s">
        <v>2700</v>
      </c>
      <c r="H1185" s="33" t="s">
        <v>16</v>
      </c>
      <c r="I1185" s="34" t="s">
        <v>379</v>
      </c>
      <c r="J1185" s="9" t="s">
        <v>16</v>
      </c>
      <c r="K1185" s="9" t="s">
        <v>2054</v>
      </c>
      <c r="L1185" s="9" t="s">
        <v>2014</v>
      </c>
      <c r="M1185" s="9" t="s">
        <v>2015</v>
      </c>
      <c r="N1185" s="9" t="s">
        <v>1370</v>
      </c>
      <c r="O1185" s="20" t="s">
        <v>2809</v>
      </c>
      <c r="P1185" s="112" t="s">
        <v>6826</v>
      </c>
      <c r="Q1185" s="11" t="s">
        <v>1934</v>
      </c>
      <c r="R1185" s="148" t="str">
        <f>Agencia[[#This Row],[territorio]]&amp;",regional,comuna,licencia,conducir,noprofesional,"&amp;Agencia[[#This Row],[coleccion]]&amp;","&amp;Agencia[[#This Row],[sector]]&amp;","&amp;Agencia[[#This Row],[tema]]&amp;","&amp;Agencia[[#This Row],[contenido]]</f>
        <v>Región de Magallanes,regional,comuna,licencia,conducir,noprofesional,Agencia Información,Transporte y Tránsito,Licencias de Conducir,Tránsito</v>
      </c>
      <c r="S1185" s="83" t="s">
        <v>2484</v>
      </c>
      <c r="T1185" s="114" t="s">
        <v>1852</v>
      </c>
      <c r="U1185" s="95" t="s">
        <v>398</v>
      </c>
      <c r="V1185" s="93" t="str">
        <f>+Agencia[[#This Row],[idcoleccion]]&amp;"-"&amp;Agencia[[#This Row],[id]]</f>
        <v>990-1174</v>
      </c>
      <c r="W1185" s="93">
        <f>+VLOOKUP(Agencia[[#This Row],[Filtro URL]],Estructura!$X$4:$Y$500,2,0)</f>
        <v>99200012</v>
      </c>
      <c r="X1185" s="93" t="str">
        <f>+VLOOKUP(Agencia[[#This Row],[tema]],Estructura!$A$4:$C$500,3,0)</f>
        <v>T-1038</v>
      </c>
      <c r="Y1185" s="93" t="str">
        <f>+VLOOKUP(Agencia[[#This Row],[contenido]],Estructura!$E$4:$G$500,3,0)</f>
        <v>C-1016</v>
      </c>
      <c r="Z1185" s="93" t="str">
        <f>+VLOOKUP(Agencia[[#This Row],[Filtro Integrado]],Estructura!$I$4:$K$500,3,0)</f>
        <v>FI-992</v>
      </c>
      <c r="AA1185" s="93" t="str">
        <f>+VLOOKUP(Agencia[[#This Row],[Muestra]],Estructura!$M$4:$O$500,3,0)</f>
        <v>M-1014</v>
      </c>
    </row>
    <row r="1186" spans="1:27" ht="57.6" x14ac:dyDescent="0.3">
      <c r="A1186" s="21" t="s">
        <v>1990</v>
      </c>
      <c r="B1186" s="23">
        <v>990</v>
      </c>
      <c r="C1186" s="24" t="s">
        <v>400</v>
      </c>
      <c r="D1186" s="67" t="s">
        <v>2010</v>
      </c>
      <c r="E1186" s="19">
        <v>13</v>
      </c>
      <c r="F1186" s="10" t="s">
        <v>2012</v>
      </c>
      <c r="G1186" s="10" t="s">
        <v>2700</v>
      </c>
      <c r="H1186" s="33" t="s">
        <v>16</v>
      </c>
      <c r="I1186" s="34" t="s">
        <v>380</v>
      </c>
      <c r="J1186" s="9" t="s">
        <v>16</v>
      </c>
      <c r="K1186" s="9" t="s">
        <v>2054</v>
      </c>
      <c r="L1186" s="9" t="s">
        <v>2014</v>
      </c>
      <c r="M1186" s="9" t="s">
        <v>2015</v>
      </c>
      <c r="N1186" s="9" t="s">
        <v>1370</v>
      </c>
      <c r="O1186" s="20" t="s">
        <v>2810</v>
      </c>
      <c r="P1186" s="112" t="s">
        <v>6827</v>
      </c>
      <c r="Q1186" s="11" t="s">
        <v>1934</v>
      </c>
      <c r="R1186" s="148" t="str">
        <f>Agencia[[#This Row],[territorio]]&amp;",regional,comuna,licencia,conducir,noprofesional,"&amp;Agencia[[#This Row],[coleccion]]&amp;","&amp;Agencia[[#This Row],[sector]]&amp;","&amp;Agencia[[#This Row],[tema]]&amp;","&amp;Agencia[[#This Row],[contenido]]</f>
        <v>Región Metropolitana,regional,comuna,licencia,conducir,noprofesional,Agencia Información,Transporte y Tránsito,Licencias de Conducir,Tránsito</v>
      </c>
      <c r="S1186" s="37" t="s">
        <v>2485</v>
      </c>
      <c r="T1186" s="114" t="s">
        <v>1859</v>
      </c>
      <c r="U1186" s="46" t="s">
        <v>398</v>
      </c>
      <c r="V1186" s="93" t="str">
        <f>+Agencia[[#This Row],[idcoleccion]]&amp;"-"&amp;Agencia[[#This Row],[id]]</f>
        <v>990-1175</v>
      </c>
      <c r="W1186" s="93">
        <f>+VLOOKUP(Agencia[[#This Row],[Filtro URL]],Estructura!$X$4:$Y$500,2,0)</f>
        <v>99200013</v>
      </c>
      <c r="X1186" s="93" t="str">
        <f>+VLOOKUP(Agencia[[#This Row],[tema]],Estructura!$A$4:$C$500,3,0)</f>
        <v>T-1038</v>
      </c>
      <c r="Y1186" s="93" t="str">
        <f>+VLOOKUP(Agencia[[#This Row],[contenido]],Estructura!$E$4:$G$500,3,0)</f>
        <v>C-1016</v>
      </c>
      <c r="Z1186" s="93" t="str">
        <f>+VLOOKUP(Agencia[[#This Row],[Filtro Integrado]],Estructura!$I$4:$K$500,3,0)</f>
        <v>FI-992</v>
      </c>
      <c r="AA1186" s="93" t="str">
        <f>+VLOOKUP(Agencia[[#This Row],[Muestra]],Estructura!$M$4:$O$500,3,0)</f>
        <v>M-1014</v>
      </c>
    </row>
    <row r="1187" spans="1:27" ht="57.6" x14ac:dyDescent="0.3">
      <c r="A1187" s="21" t="s">
        <v>1991</v>
      </c>
      <c r="B1187" s="23">
        <v>990</v>
      </c>
      <c r="C1187" s="24" t="s">
        <v>400</v>
      </c>
      <c r="D1187" s="67" t="s">
        <v>2010</v>
      </c>
      <c r="E1187" s="19">
        <v>14</v>
      </c>
      <c r="F1187" s="10" t="s">
        <v>2012</v>
      </c>
      <c r="G1187" s="10" t="s">
        <v>2700</v>
      </c>
      <c r="H1187" s="33" t="s">
        <v>16</v>
      </c>
      <c r="I1187" s="34" t="s">
        <v>381</v>
      </c>
      <c r="J1187" s="9" t="s">
        <v>16</v>
      </c>
      <c r="K1187" s="9" t="s">
        <v>2054</v>
      </c>
      <c r="L1187" s="9" t="s">
        <v>2014</v>
      </c>
      <c r="M1187" s="9" t="s">
        <v>2015</v>
      </c>
      <c r="N1187" s="9" t="s">
        <v>1370</v>
      </c>
      <c r="O1187" s="20" t="s">
        <v>2811</v>
      </c>
      <c r="P1187" s="112" t="s">
        <v>6828</v>
      </c>
      <c r="Q1187" s="11" t="s">
        <v>1934</v>
      </c>
      <c r="R1187" s="148" t="str">
        <f>Agencia[[#This Row],[territorio]]&amp;",regional,comuna,licencia,conducir,noprofesional,"&amp;Agencia[[#This Row],[coleccion]]&amp;","&amp;Agencia[[#This Row],[sector]]&amp;","&amp;Agencia[[#This Row],[tema]]&amp;","&amp;Agencia[[#This Row],[contenido]]</f>
        <v>Región de Los Ríos,regional,comuna,licencia,conducir,noprofesional,Agencia Información,Transporte y Tránsito,Licencias de Conducir,Tránsito</v>
      </c>
      <c r="S1187" s="37" t="s">
        <v>2486</v>
      </c>
      <c r="T1187" s="114" t="s">
        <v>1851</v>
      </c>
      <c r="U1187" s="46" t="s">
        <v>398</v>
      </c>
      <c r="V1187" s="93" t="str">
        <f>+Agencia[[#This Row],[idcoleccion]]&amp;"-"&amp;Agencia[[#This Row],[id]]</f>
        <v>990-1176</v>
      </c>
      <c r="W1187" s="93">
        <f>+VLOOKUP(Agencia[[#This Row],[Filtro URL]],Estructura!$X$4:$Y$500,2,0)</f>
        <v>99200014</v>
      </c>
      <c r="X1187" s="93" t="str">
        <f>+VLOOKUP(Agencia[[#This Row],[tema]],Estructura!$A$4:$C$500,3,0)</f>
        <v>T-1038</v>
      </c>
      <c r="Y1187" s="93" t="str">
        <f>+VLOOKUP(Agencia[[#This Row],[contenido]],Estructura!$E$4:$G$500,3,0)</f>
        <v>C-1016</v>
      </c>
      <c r="Z1187" s="93" t="str">
        <f>+VLOOKUP(Agencia[[#This Row],[Filtro Integrado]],Estructura!$I$4:$K$500,3,0)</f>
        <v>FI-992</v>
      </c>
      <c r="AA1187" s="93" t="str">
        <f>+VLOOKUP(Agencia[[#This Row],[Muestra]],Estructura!$M$4:$O$500,3,0)</f>
        <v>M-1014</v>
      </c>
    </row>
    <row r="1188" spans="1:27" ht="57.6" x14ac:dyDescent="0.3">
      <c r="A1188" s="21" t="s">
        <v>1993</v>
      </c>
      <c r="B1188" s="23">
        <v>990</v>
      </c>
      <c r="C1188" s="24" t="s">
        <v>400</v>
      </c>
      <c r="D1188" s="67" t="s">
        <v>2010</v>
      </c>
      <c r="E1188" s="19">
        <v>15</v>
      </c>
      <c r="F1188" s="10" t="s">
        <v>2012</v>
      </c>
      <c r="G1188" s="10" t="s">
        <v>2700</v>
      </c>
      <c r="H1188" s="33" t="s">
        <v>16</v>
      </c>
      <c r="I1188" s="34" t="s">
        <v>382</v>
      </c>
      <c r="J1188" s="9" t="s">
        <v>16</v>
      </c>
      <c r="K1188" s="9" t="s">
        <v>2054</v>
      </c>
      <c r="L1188" s="9" t="s">
        <v>2014</v>
      </c>
      <c r="M1188" s="9" t="s">
        <v>2015</v>
      </c>
      <c r="N1188" s="9" t="s">
        <v>1370</v>
      </c>
      <c r="O1188" s="20" t="s">
        <v>2812</v>
      </c>
      <c r="P1188" s="112" t="s">
        <v>6829</v>
      </c>
      <c r="Q1188" s="11" t="s">
        <v>1934</v>
      </c>
      <c r="R1188" s="148" t="str">
        <f>Agencia[[#This Row],[territorio]]&amp;",regional,comuna,licencia,conducir,noprofesional,"&amp;Agencia[[#This Row],[coleccion]]&amp;","&amp;Agencia[[#This Row],[sector]]&amp;","&amp;Agencia[[#This Row],[tema]]&amp;","&amp;Agencia[[#This Row],[contenido]]</f>
        <v>Región de Arica y Parinacota,regional,comuna,licencia,conducir,noprofesional,Agencia Información,Transporte y Tránsito,Licencias de Conducir,Tránsito</v>
      </c>
      <c r="S1188" s="37" t="s">
        <v>2487</v>
      </c>
      <c r="T1188" s="114" t="s">
        <v>1845</v>
      </c>
      <c r="U1188" s="95" t="s">
        <v>398</v>
      </c>
      <c r="V1188" s="93" t="str">
        <f>+Agencia[[#This Row],[idcoleccion]]&amp;"-"&amp;Agencia[[#This Row],[id]]</f>
        <v>990-1177</v>
      </c>
      <c r="W1188" s="93">
        <f>+VLOOKUP(Agencia[[#This Row],[Filtro URL]],Estructura!$X$4:$Y$500,2,0)</f>
        <v>99200015</v>
      </c>
      <c r="X1188" s="93" t="str">
        <f>+VLOOKUP(Agencia[[#This Row],[tema]],Estructura!$A$4:$C$500,3,0)</f>
        <v>T-1038</v>
      </c>
      <c r="Y1188" s="93" t="str">
        <f>+VLOOKUP(Agencia[[#This Row],[contenido]],Estructura!$E$4:$G$500,3,0)</f>
        <v>C-1016</v>
      </c>
      <c r="Z1188" s="93" t="str">
        <f>+VLOOKUP(Agencia[[#This Row],[Filtro Integrado]],Estructura!$I$4:$K$500,3,0)</f>
        <v>FI-992</v>
      </c>
      <c r="AA1188" s="93" t="str">
        <f>+VLOOKUP(Agencia[[#This Row],[Muestra]],Estructura!$M$4:$O$500,3,0)</f>
        <v>M-1014</v>
      </c>
    </row>
    <row r="1189" spans="1:27" ht="57.6" x14ac:dyDescent="0.3">
      <c r="A1189" s="21" t="s">
        <v>1994</v>
      </c>
      <c r="B1189" s="23">
        <v>990</v>
      </c>
      <c r="C1189" s="24" t="s">
        <v>400</v>
      </c>
      <c r="D1189" s="67" t="s">
        <v>2010</v>
      </c>
      <c r="E1189" s="19">
        <v>16</v>
      </c>
      <c r="F1189" s="10" t="s">
        <v>2012</v>
      </c>
      <c r="G1189" s="10" t="s">
        <v>2700</v>
      </c>
      <c r="H1189" s="33" t="s">
        <v>16</v>
      </c>
      <c r="I1189" s="34" t="s">
        <v>383</v>
      </c>
      <c r="J1189" s="9" t="s">
        <v>16</v>
      </c>
      <c r="K1189" s="9" t="s">
        <v>2054</v>
      </c>
      <c r="L1189" s="9" t="s">
        <v>2014</v>
      </c>
      <c r="M1189" s="9" t="s">
        <v>2015</v>
      </c>
      <c r="N1189" s="9" t="s">
        <v>1370</v>
      </c>
      <c r="O1189" s="20" t="s">
        <v>2813</v>
      </c>
      <c r="P1189" s="112" t="s">
        <v>6830</v>
      </c>
      <c r="Q1189" s="11" t="s">
        <v>1934</v>
      </c>
      <c r="R1189" s="148" t="str">
        <f>Agencia[[#This Row],[territorio]]&amp;",regional,comuna,licencia,conducir,noprofesional,"&amp;Agencia[[#This Row],[coleccion]]&amp;","&amp;Agencia[[#This Row],[sector]]&amp;","&amp;Agencia[[#This Row],[tema]]&amp;","&amp;Agencia[[#This Row],[contenido]]</f>
        <v>Región de Ñuble,regional,comuna,licencia,conducir,noprofesional,Agencia Información,Transporte y Tránsito,Licencias de Conducir,Tránsito</v>
      </c>
      <c r="S1189" s="37" t="s">
        <v>2814</v>
      </c>
      <c r="T1189" s="114" t="s">
        <v>1854</v>
      </c>
      <c r="U1189" s="46" t="s">
        <v>398</v>
      </c>
      <c r="V1189" s="93" t="str">
        <f>+Agencia[[#This Row],[idcoleccion]]&amp;"-"&amp;Agencia[[#This Row],[id]]</f>
        <v>990-1178</v>
      </c>
      <c r="W1189" s="93">
        <f>+VLOOKUP(Agencia[[#This Row],[Filtro URL]],Estructura!$X$4:$Y$500,2,0)</f>
        <v>99200016</v>
      </c>
      <c r="X1189" s="93" t="str">
        <f>+VLOOKUP(Agencia[[#This Row],[tema]],Estructura!$A$4:$C$500,3,0)</f>
        <v>T-1038</v>
      </c>
      <c r="Y1189" s="93" t="str">
        <f>+VLOOKUP(Agencia[[#This Row],[contenido]],Estructura!$E$4:$G$500,3,0)</f>
        <v>C-1016</v>
      </c>
      <c r="Z1189" s="93" t="str">
        <f>+VLOOKUP(Agencia[[#This Row],[Filtro Integrado]],Estructura!$I$4:$K$500,3,0)</f>
        <v>FI-992</v>
      </c>
      <c r="AA1189" s="93" t="str">
        <f>+VLOOKUP(Agencia[[#This Row],[Muestra]],Estructura!$M$4:$O$500,3,0)</f>
        <v>M-1014</v>
      </c>
    </row>
    <row r="1190" spans="1:27" ht="40.799999999999997" x14ac:dyDescent="0.3">
      <c r="A1190" s="21" t="s">
        <v>1995</v>
      </c>
      <c r="B1190" s="23">
        <v>990</v>
      </c>
      <c r="C1190" s="24" t="s">
        <v>400</v>
      </c>
      <c r="D1190" s="67" t="s">
        <v>2010</v>
      </c>
      <c r="E1190" s="14">
        <v>0</v>
      </c>
      <c r="F1190" s="10" t="s">
        <v>1376</v>
      </c>
      <c r="G1190" s="10" t="s">
        <v>2700</v>
      </c>
      <c r="H1190" s="31" t="s">
        <v>20</v>
      </c>
      <c r="I1190" s="32" t="s">
        <v>15</v>
      </c>
      <c r="J1190" s="9" t="s">
        <v>2053</v>
      </c>
      <c r="K1190" s="9" t="s">
        <v>2073</v>
      </c>
      <c r="L1190" s="9" t="s">
        <v>1378</v>
      </c>
      <c r="M1190" s="9" t="s">
        <v>1377</v>
      </c>
      <c r="N1190" s="9" t="s">
        <v>1370</v>
      </c>
      <c r="O1190" s="20" t="s">
        <v>2815</v>
      </c>
      <c r="P1190" s="112" t="s">
        <v>6850</v>
      </c>
      <c r="Q1190" s="11" t="s">
        <v>1934</v>
      </c>
      <c r="R1190" s="20" t="str">
        <f>Agencia[[#This Row],[territorio]]&amp;",nacional,región,comuna,permiso,circulación,tipo,transporte,colectivo,"&amp;Agencia[[#This Row],[coleccion]]&amp;","&amp;Agencia[[#This Row],[sector]]&amp;","&amp;Agencia[[#This Row],[tema]]&amp;","&amp;Agencia[[#This Row],[contenido]]</f>
        <v>Chile,nacional,región,comuna,permiso,circulación,tipo,transporte,colectivo,Agencia Información,Transporte y Tránsito,Permisos de circulación,Tránsito</v>
      </c>
      <c r="S1190" s="37" t="s">
        <v>2074</v>
      </c>
      <c r="T1190" s="114" t="s">
        <v>957</v>
      </c>
      <c r="U1190" s="46" t="s">
        <v>398</v>
      </c>
      <c r="V1190" s="93" t="str">
        <f>+Agencia[[#This Row],[idcoleccion]]&amp;"-"&amp;Agencia[[#This Row],[id]]</f>
        <v>990-1179</v>
      </c>
      <c r="W1190" s="93">
        <f>+VLOOKUP(Agencia[[#This Row],[Filtro URL]],Estructura!$X$4:$Y$500,2,0)</f>
        <v>99100000</v>
      </c>
      <c r="X1190" s="93" t="str">
        <f>+VLOOKUP(Agencia[[#This Row],[tema]],Estructura!$A$4:$C$500,3,0)</f>
        <v>T-1004</v>
      </c>
      <c r="Y1190" s="93" t="str">
        <f>+VLOOKUP(Agencia[[#This Row],[contenido]],Estructura!$E$4:$G$500,3,0)</f>
        <v>C-1016</v>
      </c>
      <c r="Z1190" s="93" t="str">
        <f>+VLOOKUP(Agencia[[#This Row],[Filtro Integrado]],Estructura!$I$4:$K$500,3,0)</f>
        <v>FI-1001</v>
      </c>
      <c r="AA1190" s="93" t="str">
        <f>+VLOOKUP(Agencia[[#This Row],[Muestra]],Estructura!$M$4:$O$500,3,0)</f>
        <v>M-1015</v>
      </c>
    </row>
    <row r="1191" spans="1:27" ht="57.6" x14ac:dyDescent="0.3">
      <c r="A1191" s="21" t="s">
        <v>1996</v>
      </c>
      <c r="B1191" s="23">
        <v>990</v>
      </c>
      <c r="C1191" s="24" t="s">
        <v>400</v>
      </c>
      <c r="D1191" s="67" t="s">
        <v>2010</v>
      </c>
      <c r="E1191" s="19">
        <v>1</v>
      </c>
      <c r="F1191" s="10" t="s">
        <v>1376</v>
      </c>
      <c r="G1191" s="10" t="s">
        <v>2700</v>
      </c>
      <c r="H1191" s="33" t="s">
        <v>16</v>
      </c>
      <c r="I1191" s="34" t="s">
        <v>368</v>
      </c>
      <c r="J1191" s="9" t="s">
        <v>2076</v>
      </c>
      <c r="K1191" s="9" t="s">
        <v>2073</v>
      </c>
      <c r="L1191" s="9" t="s">
        <v>1378</v>
      </c>
      <c r="M1191" s="9" t="s">
        <v>1377</v>
      </c>
      <c r="N1191" s="9" t="s">
        <v>1370</v>
      </c>
      <c r="O1191" s="20" t="s">
        <v>2816</v>
      </c>
      <c r="P1191" s="112" t="s">
        <v>6834</v>
      </c>
      <c r="Q1191" s="11" t="s">
        <v>1934</v>
      </c>
      <c r="R1191" s="148" t="str">
        <f>Agencia[[#This Row],[territorio]]&amp;",regional,comuna,permiso,circulación,tipo,transporte,colectivo,"&amp;Agencia[[#This Row],[coleccion]]&amp;","&amp;Agencia[[#This Row],[sector]]&amp;","&amp;Agencia[[#This Row],[tema]]&amp;","&amp;Agencia[[#This Row],[contenido]]</f>
        <v>Región de Tarapacá,regional,comuna,permiso,circulación,tipo,transporte,colectivo,Agencia Información,Transporte y Tránsito,Permisos de circulación,Tránsito</v>
      </c>
      <c r="S1191" s="83" t="s">
        <v>2488</v>
      </c>
      <c r="T1191" s="114" t="s">
        <v>1856</v>
      </c>
      <c r="U1191" s="95" t="s">
        <v>398</v>
      </c>
      <c r="V1191" s="93" t="str">
        <f>+Agencia[[#This Row],[idcoleccion]]&amp;"-"&amp;Agencia[[#This Row],[id]]</f>
        <v>990-1180</v>
      </c>
      <c r="W1191" s="93">
        <f>+VLOOKUP(Agencia[[#This Row],[Filtro URL]],Estructura!$X$4:$Y$500,2,0)</f>
        <v>99200001</v>
      </c>
      <c r="X1191" s="93" t="str">
        <f>+VLOOKUP(Agencia[[#This Row],[tema]],Estructura!$A$4:$C$500,3,0)</f>
        <v>T-1004</v>
      </c>
      <c r="Y1191" s="93" t="str">
        <f>+VLOOKUP(Agencia[[#This Row],[contenido]],Estructura!$E$4:$G$500,3,0)</f>
        <v>C-1016</v>
      </c>
      <c r="Z1191" s="93" t="str">
        <f>+VLOOKUP(Agencia[[#This Row],[Filtro Integrado]],Estructura!$I$4:$K$500,3,0)</f>
        <v>FI-1002</v>
      </c>
      <c r="AA1191" s="93" t="str">
        <f>+VLOOKUP(Agencia[[#This Row],[Muestra]],Estructura!$M$4:$O$500,3,0)</f>
        <v>M-1015</v>
      </c>
    </row>
    <row r="1192" spans="1:27" ht="57.6" x14ac:dyDescent="0.3">
      <c r="A1192" s="21" t="s">
        <v>1997</v>
      </c>
      <c r="B1192" s="23">
        <v>990</v>
      </c>
      <c r="C1192" s="24" t="s">
        <v>400</v>
      </c>
      <c r="D1192" s="67" t="s">
        <v>2010</v>
      </c>
      <c r="E1192" s="19">
        <v>2</v>
      </c>
      <c r="F1192" s="10" t="s">
        <v>1376</v>
      </c>
      <c r="G1192" s="10" t="s">
        <v>2700</v>
      </c>
      <c r="H1192" s="33" t="s">
        <v>16</v>
      </c>
      <c r="I1192" s="34" t="s">
        <v>369</v>
      </c>
      <c r="J1192" s="9" t="s">
        <v>2076</v>
      </c>
      <c r="K1192" s="9" t="s">
        <v>2073</v>
      </c>
      <c r="L1192" s="9" t="s">
        <v>1378</v>
      </c>
      <c r="M1192" s="9" t="s">
        <v>1377</v>
      </c>
      <c r="N1192" s="9" t="s">
        <v>1370</v>
      </c>
      <c r="O1192" s="20" t="s">
        <v>2817</v>
      </c>
      <c r="P1192" s="112" t="s">
        <v>6835</v>
      </c>
      <c r="Q1192" s="11" t="s">
        <v>1934</v>
      </c>
      <c r="R1192" s="148" t="str">
        <f>Agencia[[#This Row],[territorio]]&amp;",regional,comuna,permiso,circulación,tipo,transporte,colectivo,"&amp;Agencia[[#This Row],[coleccion]]&amp;","&amp;Agencia[[#This Row],[sector]]&amp;","&amp;Agencia[[#This Row],[tema]]&amp;","&amp;Agencia[[#This Row],[contenido]]</f>
        <v>Región de Antofagasta,regional,comuna,permiso,circulación,tipo,transporte,colectivo,Agencia Información,Transporte y Tránsito,Permisos de circulación,Tránsito</v>
      </c>
      <c r="S1192" s="37" t="s">
        <v>2489</v>
      </c>
      <c r="T1192" s="114" t="s">
        <v>1844</v>
      </c>
      <c r="U1192" s="46" t="s">
        <v>398</v>
      </c>
      <c r="V1192" s="93" t="str">
        <f>+Agencia[[#This Row],[idcoleccion]]&amp;"-"&amp;Agencia[[#This Row],[id]]</f>
        <v>990-1181</v>
      </c>
      <c r="W1192" s="93">
        <f>+VLOOKUP(Agencia[[#This Row],[Filtro URL]],Estructura!$X$4:$Y$500,2,0)</f>
        <v>99200002</v>
      </c>
      <c r="X1192" s="93" t="str">
        <f>+VLOOKUP(Agencia[[#This Row],[tema]],Estructura!$A$4:$C$500,3,0)</f>
        <v>T-1004</v>
      </c>
      <c r="Y1192" s="93" t="str">
        <f>+VLOOKUP(Agencia[[#This Row],[contenido]],Estructura!$E$4:$G$500,3,0)</f>
        <v>C-1016</v>
      </c>
      <c r="Z1192" s="93" t="str">
        <f>+VLOOKUP(Agencia[[#This Row],[Filtro Integrado]],Estructura!$I$4:$K$500,3,0)</f>
        <v>FI-1002</v>
      </c>
      <c r="AA1192" s="93" t="str">
        <f>+VLOOKUP(Agencia[[#This Row],[Muestra]],Estructura!$M$4:$O$500,3,0)</f>
        <v>M-1015</v>
      </c>
    </row>
    <row r="1193" spans="1:27" ht="57.6" x14ac:dyDescent="0.3">
      <c r="A1193" s="21" t="s">
        <v>1998</v>
      </c>
      <c r="B1193" s="23">
        <v>990</v>
      </c>
      <c r="C1193" s="24" t="s">
        <v>400</v>
      </c>
      <c r="D1193" s="67" t="s">
        <v>2010</v>
      </c>
      <c r="E1193" s="19">
        <v>3</v>
      </c>
      <c r="F1193" s="10" t="s">
        <v>1376</v>
      </c>
      <c r="G1193" s="10" t="s">
        <v>2700</v>
      </c>
      <c r="H1193" s="33" t="s">
        <v>16</v>
      </c>
      <c r="I1193" s="34" t="s">
        <v>370</v>
      </c>
      <c r="J1193" s="9" t="s">
        <v>2076</v>
      </c>
      <c r="K1193" s="9" t="s">
        <v>2073</v>
      </c>
      <c r="L1193" s="9" t="s">
        <v>1378</v>
      </c>
      <c r="M1193" s="9" t="s">
        <v>1377</v>
      </c>
      <c r="N1193" s="9" t="s">
        <v>1370</v>
      </c>
      <c r="O1193" s="20" t="s">
        <v>2818</v>
      </c>
      <c r="P1193" s="112" t="s">
        <v>6842</v>
      </c>
      <c r="Q1193" s="11" t="s">
        <v>1934</v>
      </c>
      <c r="R1193" s="148" t="str">
        <f>Agencia[[#This Row],[territorio]]&amp;",regional,comuna,permiso,circulación,tipo,transporte,colectivo,"&amp;Agencia[[#This Row],[coleccion]]&amp;","&amp;Agencia[[#This Row],[sector]]&amp;","&amp;Agencia[[#This Row],[tema]]&amp;","&amp;Agencia[[#This Row],[contenido]]</f>
        <v>Región de Atacama,regional,comuna,permiso,circulación,tipo,transporte,colectivo,Agencia Información,Transporte y Tránsito,Permisos de circulación,Tránsito</v>
      </c>
      <c r="S1193" s="37" t="s">
        <v>2490</v>
      </c>
      <c r="T1193" s="114" t="s">
        <v>1846</v>
      </c>
      <c r="U1193" s="46" t="s">
        <v>398</v>
      </c>
      <c r="V1193" s="93" t="str">
        <f>+Agencia[[#This Row],[idcoleccion]]&amp;"-"&amp;Agencia[[#This Row],[id]]</f>
        <v>990-1182</v>
      </c>
      <c r="W1193" s="93">
        <f>+VLOOKUP(Agencia[[#This Row],[Filtro URL]],Estructura!$X$4:$Y$500,2,0)</f>
        <v>99200003</v>
      </c>
      <c r="X1193" s="93" t="str">
        <f>+VLOOKUP(Agencia[[#This Row],[tema]],Estructura!$A$4:$C$500,3,0)</f>
        <v>T-1004</v>
      </c>
      <c r="Y1193" s="93" t="str">
        <f>+VLOOKUP(Agencia[[#This Row],[contenido]],Estructura!$E$4:$G$500,3,0)</f>
        <v>C-1016</v>
      </c>
      <c r="Z1193" s="93" t="str">
        <f>+VLOOKUP(Agencia[[#This Row],[Filtro Integrado]],Estructura!$I$4:$K$500,3,0)</f>
        <v>FI-1002</v>
      </c>
      <c r="AA1193" s="93" t="str">
        <f>+VLOOKUP(Agencia[[#This Row],[Muestra]],Estructura!$M$4:$O$500,3,0)</f>
        <v>M-1015</v>
      </c>
    </row>
    <row r="1194" spans="1:27" ht="57.6" x14ac:dyDescent="0.3">
      <c r="A1194" s="21" t="s">
        <v>1999</v>
      </c>
      <c r="B1194" s="23">
        <v>990</v>
      </c>
      <c r="C1194" s="24" t="s">
        <v>400</v>
      </c>
      <c r="D1194" s="67" t="s">
        <v>2010</v>
      </c>
      <c r="E1194" s="19">
        <v>4</v>
      </c>
      <c r="F1194" s="10" t="s">
        <v>1376</v>
      </c>
      <c r="G1194" s="10" t="s">
        <v>2700</v>
      </c>
      <c r="H1194" s="33" t="s">
        <v>16</v>
      </c>
      <c r="I1194" s="34" t="s">
        <v>371</v>
      </c>
      <c r="J1194" s="9" t="s">
        <v>2076</v>
      </c>
      <c r="K1194" s="9" t="s">
        <v>2073</v>
      </c>
      <c r="L1194" s="9" t="s">
        <v>1378</v>
      </c>
      <c r="M1194" s="9" t="s">
        <v>1377</v>
      </c>
      <c r="N1194" s="9" t="s">
        <v>1370</v>
      </c>
      <c r="O1194" s="20" t="s">
        <v>2819</v>
      </c>
      <c r="P1194" s="112" t="s">
        <v>6843</v>
      </c>
      <c r="Q1194" s="11" t="s">
        <v>1934</v>
      </c>
      <c r="R1194" s="148" t="str">
        <f>Agencia[[#This Row],[territorio]]&amp;",regional,comuna,permiso,circulación,tipo,transporte,colectivo,"&amp;Agencia[[#This Row],[coleccion]]&amp;","&amp;Agencia[[#This Row],[sector]]&amp;","&amp;Agencia[[#This Row],[tema]]&amp;","&amp;Agencia[[#This Row],[contenido]]</f>
        <v>Región de Coquimbo,regional,comuna,permiso,circulación,tipo,transporte,colectivo,Agencia Información,Transporte y Tránsito,Permisos de circulación,Tránsito</v>
      </c>
      <c r="S1194" s="37" t="s">
        <v>2491</v>
      </c>
      <c r="T1194" s="114" t="s">
        <v>1848</v>
      </c>
      <c r="U1194" s="95" t="s">
        <v>398</v>
      </c>
      <c r="V1194" s="93" t="str">
        <f>+Agencia[[#This Row],[idcoleccion]]&amp;"-"&amp;Agencia[[#This Row],[id]]</f>
        <v>990-1183</v>
      </c>
      <c r="W1194" s="93">
        <f>+VLOOKUP(Agencia[[#This Row],[Filtro URL]],Estructura!$X$4:$Y$500,2,0)</f>
        <v>99200004</v>
      </c>
      <c r="X1194" s="93" t="str">
        <f>+VLOOKUP(Agencia[[#This Row],[tema]],Estructura!$A$4:$C$500,3,0)</f>
        <v>T-1004</v>
      </c>
      <c r="Y1194" s="93" t="str">
        <f>+VLOOKUP(Agencia[[#This Row],[contenido]],Estructura!$E$4:$G$500,3,0)</f>
        <v>C-1016</v>
      </c>
      <c r="Z1194" s="93" t="str">
        <f>+VLOOKUP(Agencia[[#This Row],[Filtro Integrado]],Estructura!$I$4:$K$500,3,0)</f>
        <v>FI-1002</v>
      </c>
      <c r="AA1194" s="93" t="str">
        <f>+VLOOKUP(Agencia[[#This Row],[Muestra]],Estructura!$M$4:$O$500,3,0)</f>
        <v>M-1015</v>
      </c>
    </row>
    <row r="1195" spans="1:27" ht="57.6" x14ac:dyDescent="0.3">
      <c r="A1195" s="21" t="s">
        <v>2000</v>
      </c>
      <c r="B1195" s="23">
        <v>990</v>
      </c>
      <c r="C1195" s="24" t="s">
        <v>400</v>
      </c>
      <c r="D1195" s="67" t="s">
        <v>2010</v>
      </c>
      <c r="E1195" s="19">
        <v>5</v>
      </c>
      <c r="F1195" s="10" t="s">
        <v>1376</v>
      </c>
      <c r="G1195" s="10" t="s">
        <v>2700</v>
      </c>
      <c r="H1195" s="33" t="s">
        <v>16</v>
      </c>
      <c r="I1195" s="34" t="s">
        <v>372</v>
      </c>
      <c r="J1195" s="9" t="s">
        <v>2076</v>
      </c>
      <c r="K1195" s="9" t="s">
        <v>2073</v>
      </c>
      <c r="L1195" s="9" t="s">
        <v>1378</v>
      </c>
      <c r="M1195" s="9" t="s">
        <v>1377</v>
      </c>
      <c r="N1195" s="9" t="s">
        <v>1370</v>
      </c>
      <c r="O1195" s="20" t="s">
        <v>2820</v>
      </c>
      <c r="P1195" s="112" t="s">
        <v>6844</v>
      </c>
      <c r="Q1195" s="11" t="s">
        <v>1934</v>
      </c>
      <c r="R1195" s="148" t="str">
        <f>Agencia[[#This Row],[territorio]]&amp;",regional,comuna,permiso,circulación,tipo,transporte,colectivo,"&amp;Agencia[[#This Row],[coleccion]]&amp;","&amp;Agencia[[#This Row],[sector]]&amp;","&amp;Agencia[[#This Row],[tema]]&amp;","&amp;Agencia[[#This Row],[contenido]]</f>
        <v>Región de Valparaíso,regional,comuna,permiso,circulación,tipo,transporte,colectivo,Agencia Información,Transporte y Tránsito,Permisos de circulación,Tránsito</v>
      </c>
      <c r="S1195" s="37" t="s">
        <v>2492</v>
      </c>
      <c r="T1195" s="114" t="s">
        <v>1857</v>
      </c>
      <c r="U1195" s="46" t="s">
        <v>398</v>
      </c>
      <c r="V1195" s="93" t="str">
        <f>+Agencia[[#This Row],[idcoleccion]]&amp;"-"&amp;Agencia[[#This Row],[id]]</f>
        <v>990-1184</v>
      </c>
      <c r="W1195" s="93">
        <f>+VLOOKUP(Agencia[[#This Row],[Filtro URL]],Estructura!$X$4:$Y$500,2,0)</f>
        <v>99200005</v>
      </c>
      <c r="X1195" s="93" t="str">
        <f>+VLOOKUP(Agencia[[#This Row],[tema]],Estructura!$A$4:$C$500,3,0)</f>
        <v>T-1004</v>
      </c>
      <c r="Y1195" s="93" t="str">
        <f>+VLOOKUP(Agencia[[#This Row],[contenido]],Estructura!$E$4:$G$500,3,0)</f>
        <v>C-1016</v>
      </c>
      <c r="Z1195" s="93" t="str">
        <f>+VLOOKUP(Agencia[[#This Row],[Filtro Integrado]],Estructura!$I$4:$K$500,3,0)</f>
        <v>FI-1002</v>
      </c>
      <c r="AA1195" s="93" t="str">
        <f>+VLOOKUP(Agencia[[#This Row],[Muestra]],Estructura!$M$4:$O$500,3,0)</f>
        <v>M-1015</v>
      </c>
    </row>
    <row r="1196" spans="1:27" ht="57.6" x14ac:dyDescent="0.3">
      <c r="A1196" s="21" t="s">
        <v>2001</v>
      </c>
      <c r="B1196" s="23">
        <v>990</v>
      </c>
      <c r="C1196" s="24" t="s">
        <v>400</v>
      </c>
      <c r="D1196" s="67" t="s">
        <v>2010</v>
      </c>
      <c r="E1196" s="19">
        <v>6</v>
      </c>
      <c r="F1196" s="10" t="s">
        <v>1376</v>
      </c>
      <c r="G1196" s="10" t="s">
        <v>2700</v>
      </c>
      <c r="H1196" s="33" t="s">
        <v>16</v>
      </c>
      <c r="I1196" s="34" t="s">
        <v>373</v>
      </c>
      <c r="J1196" s="9" t="s">
        <v>2076</v>
      </c>
      <c r="K1196" s="9" t="s">
        <v>2073</v>
      </c>
      <c r="L1196" s="9" t="s">
        <v>1378</v>
      </c>
      <c r="M1196" s="9" t="s">
        <v>1377</v>
      </c>
      <c r="N1196" s="9" t="s">
        <v>1370</v>
      </c>
      <c r="O1196" s="20" t="s">
        <v>2821</v>
      </c>
      <c r="P1196" s="112" t="s">
        <v>6845</v>
      </c>
      <c r="Q1196" s="11" t="s">
        <v>1934</v>
      </c>
      <c r="R1196" s="148" t="str">
        <f>Agencia[[#This Row],[territorio]]&amp;",regional,comuna,permiso,circulación,tipo,transporte,colectivo,"&amp;Agencia[[#This Row],[coleccion]]&amp;","&amp;Agencia[[#This Row],[sector]]&amp;","&amp;Agencia[[#This Row],[tema]]&amp;","&amp;Agencia[[#This Row],[contenido]]</f>
        <v>Región de O'Higgins,regional,comuna,permiso,circulación,tipo,transporte,colectivo,Agencia Información,Transporte y Tránsito,Permisos de circulación,Tránsito</v>
      </c>
      <c r="S1196" s="37" t="s">
        <v>2493</v>
      </c>
      <c r="T1196" s="114" t="s">
        <v>1855</v>
      </c>
      <c r="U1196" s="46" t="s">
        <v>398</v>
      </c>
      <c r="V1196" s="93" t="str">
        <f>+Agencia[[#This Row],[idcoleccion]]&amp;"-"&amp;Agencia[[#This Row],[id]]</f>
        <v>990-1185</v>
      </c>
      <c r="W1196" s="93">
        <f>+VLOOKUP(Agencia[[#This Row],[Filtro URL]],Estructura!$X$4:$Y$500,2,0)</f>
        <v>99200006</v>
      </c>
      <c r="X1196" s="93" t="str">
        <f>+VLOOKUP(Agencia[[#This Row],[tema]],Estructura!$A$4:$C$500,3,0)</f>
        <v>T-1004</v>
      </c>
      <c r="Y1196" s="93" t="str">
        <f>+VLOOKUP(Agencia[[#This Row],[contenido]],Estructura!$E$4:$G$500,3,0)</f>
        <v>C-1016</v>
      </c>
      <c r="Z1196" s="93" t="str">
        <f>+VLOOKUP(Agencia[[#This Row],[Filtro Integrado]],Estructura!$I$4:$K$500,3,0)</f>
        <v>FI-1002</v>
      </c>
      <c r="AA1196" s="93" t="str">
        <f>+VLOOKUP(Agencia[[#This Row],[Muestra]],Estructura!$M$4:$O$500,3,0)</f>
        <v>M-1015</v>
      </c>
    </row>
    <row r="1197" spans="1:27" ht="57.6" x14ac:dyDescent="0.3">
      <c r="A1197" s="21" t="s">
        <v>2002</v>
      </c>
      <c r="B1197" s="23">
        <v>990</v>
      </c>
      <c r="C1197" s="24" t="s">
        <v>400</v>
      </c>
      <c r="D1197" s="67" t="s">
        <v>2010</v>
      </c>
      <c r="E1197" s="19">
        <v>7</v>
      </c>
      <c r="F1197" s="10" t="s">
        <v>1376</v>
      </c>
      <c r="G1197" s="10" t="s">
        <v>2700</v>
      </c>
      <c r="H1197" s="33" t="s">
        <v>16</v>
      </c>
      <c r="I1197" s="34" t="s">
        <v>374</v>
      </c>
      <c r="J1197" s="9" t="s">
        <v>2076</v>
      </c>
      <c r="K1197" s="9" t="s">
        <v>2073</v>
      </c>
      <c r="L1197" s="9" t="s">
        <v>1378</v>
      </c>
      <c r="M1197" s="9" t="s">
        <v>1377</v>
      </c>
      <c r="N1197" s="9" t="s">
        <v>1370</v>
      </c>
      <c r="O1197" s="20" t="s">
        <v>2822</v>
      </c>
      <c r="P1197" s="112" t="s">
        <v>6836</v>
      </c>
      <c r="Q1197" s="11" t="s">
        <v>1934</v>
      </c>
      <c r="R1197" s="148" t="str">
        <f>Agencia[[#This Row],[territorio]]&amp;",regional,comuna,permiso,circulación,tipo,transporte,colectivo,"&amp;Agencia[[#This Row],[coleccion]]&amp;","&amp;Agencia[[#This Row],[sector]]&amp;","&amp;Agencia[[#This Row],[tema]]&amp;","&amp;Agencia[[#This Row],[contenido]]</f>
        <v>Región de Maule,regional,comuna,permiso,circulación,tipo,transporte,colectivo,Agencia Información,Transporte y Tránsito,Permisos de circulación,Tránsito</v>
      </c>
      <c r="S1197" s="37" t="s">
        <v>2494</v>
      </c>
      <c r="T1197" s="114" t="s">
        <v>1853</v>
      </c>
      <c r="U1197" s="95" t="s">
        <v>398</v>
      </c>
      <c r="V1197" s="93" t="str">
        <f>+Agencia[[#This Row],[idcoleccion]]&amp;"-"&amp;Agencia[[#This Row],[id]]</f>
        <v>990-1186</v>
      </c>
      <c r="W1197" s="93">
        <f>+VLOOKUP(Agencia[[#This Row],[Filtro URL]],Estructura!$X$4:$Y$500,2,0)</f>
        <v>99200007</v>
      </c>
      <c r="X1197" s="93" t="str">
        <f>+VLOOKUP(Agencia[[#This Row],[tema]],Estructura!$A$4:$C$500,3,0)</f>
        <v>T-1004</v>
      </c>
      <c r="Y1197" s="93" t="str">
        <f>+VLOOKUP(Agencia[[#This Row],[contenido]],Estructura!$E$4:$G$500,3,0)</f>
        <v>C-1016</v>
      </c>
      <c r="Z1197" s="93" t="str">
        <f>+VLOOKUP(Agencia[[#This Row],[Filtro Integrado]],Estructura!$I$4:$K$500,3,0)</f>
        <v>FI-1002</v>
      </c>
      <c r="AA1197" s="93" t="str">
        <f>+VLOOKUP(Agencia[[#This Row],[Muestra]],Estructura!$M$4:$O$500,3,0)</f>
        <v>M-1015</v>
      </c>
    </row>
    <row r="1198" spans="1:27" ht="57.6" x14ac:dyDescent="0.3">
      <c r="A1198" s="21" t="s">
        <v>2003</v>
      </c>
      <c r="B1198" s="23">
        <v>990</v>
      </c>
      <c r="C1198" s="24" t="s">
        <v>400</v>
      </c>
      <c r="D1198" s="67" t="s">
        <v>2010</v>
      </c>
      <c r="E1198" s="19">
        <v>8</v>
      </c>
      <c r="F1198" s="10" t="s">
        <v>1376</v>
      </c>
      <c r="G1198" s="10" t="s">
        <v>2700</v>
      </c>
      <c r="H1198" s="33" t="s">
        <v>16</v>
      </c>
      <c r="I1198" s="34" t="s">
        <v>375</v>
      </c>
      <c r="J1198" s="9" t="s">
        <v>2076</v>
      </c>
      <c r="K1198" s="9" t="s">
        <v>2073</v>
      </c>
      <c r="L1198" s="9" t="s">
        <v>1378</v>
      </c>
      <c r="M1198" s="9" t="s">
        <v>1377</v>
      </c>
      <c r="N1198" s="9" t="s">
        <v>1370</v>
      </c>
      <c r="O1198" s="20" t="s">
        <v>2823</v>
      </c>
      <c r="P1198" s="112" t="s">
        <v>6846</v>
      </c>
      <c r="Q1198" s="11" t="s">
        <v>1934</v>
      </c>
      <c r="R1198" s="148" t="str">
        <f>Agencia[[#This Row],[territorio]]&amp;",regional,comuna,permiso,circulación,tipo,transporte,colectivo,"&amp;Agencia[[#This Row],[coleccion]]&amp;","&amp;Agencia[[#This Row],[sector]]&amp;","&amp;Agencia[[#This Row],[tema]]&amp;","&amp;Agencia[[#This Row],[contenido]]</f>
        <v>Región del Biobío,regional,comuna,permiso,circulación,tipo,transporte,colectivo,Agencia Información,Transporte y Tránsito,Permisos de circulación,Tránsito</v>
      </c>
      <c r="S1198" s="37" t="s">
        <v>2495</v>
      </c>
      <c r="T1198" s="114" t="s">
        <v>1858</v>
      </c>
      <c r="U1198" s="46" t="s">
        <v>398</v>
      </c>
      <c r="V1198" s="93" t="str">
        <f>+Agencia[[#This Row],[idcoleccion]]&amp;"-"&amp;Agencia[[#This Row],[id]]</f>
        <v>990-1187</v>
      </c>
      <c r="W1198" s="93">
        <f>+VLOOKUP(Agencia[[#This Row],[Filtro URL]],Estructura!$X$4:$Y$500,2,0)</f>
        <v>99200008</v>
      </c>
      <c r="X1198" s="93" t="str">
        <f>+VLOOKUP(Agencia[[#This Row],[tema]],Estructura!$A$4:$C$500,3,0)</f>
        <v>T-1004</v>
      </c>
      <c r="Y1198" s="93" t="str">
        <f>+VLOOKUP(Agencia[[#This Row],[contenido]],Estructura!$E$4:$G$500,3,0)</f>
        <v>C-1016</v>
      </c>
      <c r="Z1198" s="93" t="str">
        <f>+VLOOKUP(Agencia[[#This Row],[Filtro Integrado]],Estructura!$I$4:$K$500,3,0)</f>
        <v>FI-1002</v>
      </c>
      <c r="AA1198" s="93" t="str">
        <f>+VLOOKUP(Agencia[[#This Row],[Muestra]],Estructura!$M$4:$O$500,3,0)</f>
        <v>M-1015</v>
      </c>
    </row>
    <row r="1199" spans="1:27" ht="57.6" x14ac:dyDescent="0.3">
      <c r="A1199" s="21" t="s">
        <v>2004</v>
      </c>
      <c r="B1199" s="23">
        <v>990</v>
      </c>
      <c r="C1199" s="24" t="s">
        <v>400</v>
      </c>
      <c r="D1199" s="67" t="s">
        <v>2010</v>
      </c>
      <c r="E1199" s="19">
        <v>9</v>
      </c>
      <c r="F1199" s="10" t="s">
        <v>1376</v>
      </c>
      <c r="G1199" s="10" t="s">
        <v>2700</v>
      </c>
      <c r="H1199" s="33" t="s">
        <v>16</v>
      </c>
      <c r="I1199" s="34" t="s">
        <v>376</v>
      </c>
      <c r="J1199" s="9" t="s">
        <v>2076</v>
      </c>
      <c r="K1199" s="9" t="s">
        <v>2073</v>
      </c>
      <c r="L1199" s="9" t="s">
        <v>1378</v>
      </c>
      <c r="M1199" s="9" t="s">
        <v>1377</v>
      </c>
      <c r="N1199" s="9" t="s">
        <v>1370</v>
      </c>
      <c r="O1199" s="20" t="s">
        <v>2824</v>
      </c>
      <c r="P1199" s="112" t="s">
        <v>6837</v>
      </c>
      <c r="Q1199" s="11" t="s">
        <v>1934</v>
      </c>
      <c r="R1199" s="148" t="str">
        <f>Agencia[[#This Row],[territorio]]&amp;",regional,comuna,permiso,circulación,tipo,transporte,colectivo,"&amp;Agencia[[#This Row],[coleccion]]&amp;","&amp;Agencia[[#This Row],[sector]]&amp;","&amp;Agencia[[#This Row],[tema]]&amp;","&amp;Agencia[[#This Row],[contenido]]</f>
        <v>Región de La Araucanía,regional,comuna,permiso,circulación,tipo,transporte,colectivo,Agencia Información,Transporte y Tránsito,Permisos de circulación,Tránsito</v>
      </c>
      <c r="S1199" s="37" t="s">
        <v>2496</v>
      </c>
      <c r="T1199" s="114" t="s">
        <v>1849</v>
      </c>
      <c r="U1199" s="46" t="s">
        <v>398</v>
      </c>
      <c r="V1199" s="93" t="str">
        <f>+Agencia[[#This Row],[idcoleccion]]&amp;"-"&amp;Agencia[[#This Row],[id]]</f>
        <v>990-1188</v>
      </c>
      <c r="W1199" s="93">
        <f>+VLOOKUP(Agencia[[#This Row],[Filtro URL]],Estructura!$X$4:$Y$500,2,0)</f>
        <v>99200009</v>
      </c>
      <c r="X1199" s="93" t="str">
        <f>+VLOOKUP(Agencia[[#This Row],[tema]],Estructura!$A$4:$C$500,3,0)</f>
        <v>T-1004</v>
      </c>
      <c r="Y1199" s="93" t="str">
        <f>+VLOOKUP(Agencia[[#This Row],[contenido]],Estructura!$E$4:$G$500,3,0)</f>
        <v>C-1016</v>
      </c>
      <c r="Z1199" s="93" t="str">
        <f>+VLOOKUP(Agencia[[#This Row],[Filtro Integrado]],Estructura!$I$4:$K$500,3,0)</f>
        <v>FI-1002</v>
      </c>
      <c r="AA1199" s="93" t="str">
        <f>+VLOOKUP(Agencia[[#This Row],[Muestra]],Estructura!$M$4:$O$500,3,0)</f>
        <v>M-1015</v>
      </c>
    </row>
    <row r="1200" spans="1:27" ht="57.6" x14ac:dyDescent="0.3">
      <c r="A1200" s="21" t="s">
        <v>2005</v>
      </c>
      <c r="B1200" s="23">
        <v>990</v>
      </c>
      <c r="C1200" s="24" t="s">
        <v>400</v>
      </c>
      <c r="D1200" s="67" t="s">
        <v>2010</v>
      </c>
      <c r="E1200" s="19">
        <v>10</v>
      </c>
      <c r="F1200" s="10" t="s">
        <v>1376</v>
      </c>
      <c r="G1200" s="10" t="s">
        <v>2700</v>
      </c>
      <c r="H1200" s="33" t="s">
        <v>16</v>
      </c>
      <c r="I1200" s="34" t="s">
        <v>377</v>
      </c>
      <c r="J1200" s="9" t="s">
        <v>2076</v>
      </c>
      <c r="K1200" s="9" t="s">
        <v>2073</v>
      </c>
      <c r="L1200" s="9" t="s">
        <v>1378</v>
      </c>
      <c r="M1200" s="9" t="s">
        <v>1377</v>
      </c>
      <c r="N1200" s="9" t="s">
        <v>1370</v>
      </c>
      <c r="O1200" s="20" t="s">
        <v>2825</v>
      </c>
      <c r="P1200" s="112" t="s">
        <v>6838</v>
      </c>
      <c r="Q1200" s="11" t="s">
        <v>1934</v>
      </c>
      <c r="R1200" s="148" t="str">
        <f>Agencia[[#This Row],[territorio]]&amp;",regional,comuna,permiso,circulación,tipo,transporte,colectivo,"&amp;Agencia[[#This Row],[coleccion]]&amp;","&amp;Agencia[[#This Row],[sector]]&amp;","&amp;Agencia[[#This Row],[tema]]&amp;","&amp;Agencia[[#This Row],[contenido]]</f>
        <v>Región de Los Lagos,regional,comuna,permiso,circulación,tipo,transporte,colectivo,Agencia Información,Transporte y Tránsito,Permisos de circulación,Tránsito</v>
      </c>
      <c r="S1200" s="37" t="s">
        <v>2497</v>
      </c>
      <c r="T1200" s="114" t="s">
        <v>1850</v>
      </c>
      <c r="U1200" s="95" t="s">
        <v>398</v>
      </c>
      <c r="V1200" s="93" t="str">
        <f>+Agencia[[#This Row],[idcoleccion]]&amp;"-"&amp;Agencia[[#This Row],[id]]</f>
        <v>990-1189</v>
      </c>
      <c r="W1200" s="93">
        <f>+VLOOKUP(Agencia[[#This Row],[Filtro URL]],Estructura!$X$4:$Y$500,2,0)</f>
        <v>99200010</v>
      </c>
      <c r="X1200" s="93" t="str">
        <f>+VLOOKUP(Agencia[[#This Row],[tema]],Estructura!$A$4:$C$500,3,0)</f>
        <v>T-1004</v>
      </c>
      <c r="Y1200" s="93" t="str">
        <f>+VLOOKUP(Agencia[[#This Row],[contenido]],Estructura!$E$4:$G$500,3,0)</f>
        <v>C-1016</v>
      </c>
      <c r="Z1200" s="93" t="str">
        <f>+VLOOKUP(Agencia[[#This Row],[Filtro Integrado]],Estructura!$I$4:$K$500,3,0)</f>
        <v>FI-1002</v>
      </c>
      <c r="AA1200" s="93" t="str">
        <f>+VLOOKUP(Agencia[[#This Row],[Muestra]],Estructura!$M$4:$O$500,3,0)</f>
        <v>M-1015</v>
      </c>
    </row>
    <row r="1201" spans="1:27" ht="57.6" x14ac:dyDescent="0.3">
      <c r="A1201" s="21" t="s">
        <v>2006</v>
      </c>
      <c r="B1201" s="23">
        <v>990</v>
      </c>
      <c r="C1201" s="24" t="s">
        <v>400</v>
      </c>
      <c r="D1201" s="67" t="s">
        <v>2010</v>
      </c>
      <c r="E1201" s="19">
        <v>11</v>
      </c>
      <c r="F1201" s="10" t="s">
        <v>1376</v>
      </c>
      <c r="G1201" s="10" t="s">
        <v>2700</v>
      </c>
      <c r="H1201" s="33" t="s">
        <v>16</v>
      </c>
      <c r="I1201" s="34" t="s">
        <v>378</v>
      </c>
      <c r="J1201" s="9" t="s">
        <v>2076</v>
      </c>
      <c r="K1201" s="9" t="s">
        <v>2073</v>
      </c>
      <c r="L1201" s="9" t="s">
        <v>1378</v>
      </c>
      <c r="M1201" s="9" t="s">
        <v>1377</v>
      </c>
      <c r="N1201" s="9" t="s">
        <v>1370</v>
      </c>
      <c r="O1201" s="20" t="s">
        <v>2826</v>
      </c>
      <c r="P1201" s="112" t="s">
        <v>6847</v>
      </c>
      <c r="Q1201" s="11" t="s">
        <v>1934</v>
      </c>
      <c r="R1201" s="148" t="str">
        <f>Agencia[[#This Row],[territorio]]&amp;",regional,comuna,permiso,circulación,tipo,transporte,colectivo,"&amp;Agencia[[#This Row],[coleccion]]&amp;","&amp;Agencia[[#This Row],[sector]]&amp;","&amp;Agencia[[#This Row],[tema]]&amp;","&amp;Agencia[[#This Row],[contenido]]</f>
        <v>Región de Aysén,regional,comuna,permiso,circulación,tipo,transporte,colectivo,Agencia Información,Transporte y Tránsito,Permisos de circulación,Tránsito</v>
      </c>
      <c r="S1201" s="37" t="s">
        <v>2498</v>
      </c>
      <c r="T1201" s="114" t="s">
        <v>1847</v>
      </c>
      <c r="U1201" s="46" t="s">
        <v>398</v>
      </c>
      <c r="V1201" s="93" t="str">
        <f>+Agencia[[#This Row],[idcoleccion]]&amp;"-"&amp;Agencia[[#This Row],[id]]</f>
        <v>990-1190</v>
      </c>
      <c r="W1201" s="93">
        <f>+VLOOKUP(Agencia[[#This Row],[Filtro URL]],Estructura!$X$4:$Y$500,2,0)</f>
        <v>99200011</v>
      </c>
      <c r="X1201" s="93" t="str">
        <f>+VLOOKUP(Agencia[[#This Row],[tema]],Estructura!$A$4:$C$500,3,0)</f>
        <v>T-1004</v>
      </c>
      <c r="Y1201" s="93" t="str">
        <f>+VLOOKUP(Agencia[[#This Row],[contenido]],Estructura!$E$4:$G$500,3,0)</f>
        <v>C-1016</v>
      </c>
      <c r="Z1201" s="93" t="str">
        <f>+VLOOKUP(Agencia[[#This Row],[Filtro Integrado]],Estructura!$I$4:$K$500,3,0)</f>
        <v>FI-1002</v>
      </c>
      <c r="AA1201" s="93" t="str">
        <f>+VLOOKUP(Agencia[[#This Row],[Muestra]],Estructura!$M$4:$O$500,3,0)</f>
        <v>M-1015</v>
      </c>
    </row>
    <row r="1202" spans="1:27" ht="57.6" x14ac:dyDescent="0.3">
      <c r="A1202" s="21" t="s">
        <v>2007</v>
      </c>
      <c r="B1202" s="23">
        <v>990</v>
      </c>
      <c r="C1202" s="24" t="s">
        <v>400</v>
      </c>
      <c r="D1202" s="67" t="s">
        <v>2010</v>
      </c>
      <c r="E1202" s="19">
        <v>12</v>
      </c>
      <c r="F1202" s="10" t="s">
        <v>1376</v>
      </c>
      <c r="G1202" s="10" t="s">
        <v>2700</v>
      </c>
      <c r="H1202" s="33" t="s">
        <v>16</v>
      </c>
      <c r="I1202" s="34" t="s">
        <v>379</v>
      </c>
      <c r="J1202" s="9" t="s">
        <v>2076</v>
      </c>
      <c r="K1202" s="9" t="s">
        <v>2073</v>
      </c>
      <c r="L1202" s="9" t="s">
        <v>1378</v>
      </c>
      <c r="M1202" s="9" t="s">
        <v>1377</v>
      </c>
      <c r="N1202" s="9" t="s">
        <v>1370</v>
      </c>
      <c r="O1202" s="20" t="s">
        <v>2827</v>
      </c>
      <c r="P1202" s="112" t="s">
        <v>6848</v>
      </c>
      <c r="Q1202" s="11" t="s">
        <v>1934</v>
      </c>
      <c r="R1202" s="148" t="str">
        <f>Agencia[[#This Row],[territorio]]&amp;",regional,comuna,permiso,circulación,tipo,transporte,colectivo,"&amp;Agencia[[#This Row],[coleccion]]&amp;","&amp;Agencia[[#This Row],[sector]]&amp;","&amp;Agencia[[#This Row],[tema]]&amp;","&amp;Agencia[[#This Row],[contenido]]</f>
        <v>Región de Magallanes,regional,comuna,permiso,circulación,tipo,transporte,colectivo,Agencia Información,Transporte y Tránsito,Permisos de circulación,Tránsito</v>
      </c>
      <c r="S1202" s="37" t="s">
        <v>2499</v>
      </c>
      <c r="T1202" s="114" t="s">
        <v>1852</v>
      </c>
      <c r="U1202" s="46" t="s">
        <v>398</v>
      </c>
      <c r="V1202" s="93" t="str">
        <f>+Agencia[[#This Row],[idcoleccion]]&amp;"-"&amp;Agencia[[#This Row],[id]]</f>
        <v>990-1191</v>
      </c>
      <c r="W1202" s="93">
        <f>+VLOOKUP(Agencia[[#This Row],[Filtro URL]],Estructura!$X$4:$Y$500,2,0)</f>
        <v>99200012</v>
      </c>
      <c r="X1202" s="93" t="str">
        <f>+VLOOKUP(Agencia[[#This Row],[tema]],Estructura!$A$4:$C$500,3,0)</f>
        <v>T-1004</v>
      </c>
      <c r="Y1202" s="93" t="str">
        <f>+VLOOKUP(Agencia[[#This Row],[contenido]],Estructura!$E$4:$G$500,3,0)</f>
        <v>C-1016</v>
      </c>
      <c r="Z1202" s="93" t="str">
        <f>+VLOOKUP(Agencia[[#This Row],[Filtro Integrado]],Estructura!$I$4:$K$500,3,0)</f>
        <v>FI-1002</v>
      </c>
      <c r="AA1202" s="93" t="str">
        <f>+VLOOKUP(Agencia[[#This Row],[Muestra]],Estructura!$M$4:$O$500,3,0)</f>
        <v>M-1015</v>
      </c>
    </row>
    <row r="1203" spans="1:27" ht="57.6" x14ac:dyDescent="0.3">
      <c r="A1203" s="21" t="s">
        <v>2008</v>
      </c>
      <c r="B1203" s="23">
        <v>990</v>
      </c>
      <c r="C1203" s="24" t="s">
        <v>400</v>
      </c>
      <c r="D1203" s="67" t="s">
        <v>2010</v>
      </c>
      <c r="E1203" s="19">
        <v>13</v>
      </c>
      <c r="F1203" s="10" t="s">
        <v>1376</v>
      </c>
      <c r="G1203" s="10" t="s">
        <v>2700</v>
      </c>
      <c r="H1203" s="33" t="s">
        <v>16</v>
      </c>
      <c r="I1203" s="34" t="s">
        <v>380</v>
      </c>
      <c r="J1203" s="9" t="s">
        <v>2076</v>
      </c>
      <c r="K1203" s="9" t="s">
        <v>2073</v>
      </c>
      <c r="L1203" s="9" t="s">
        <v>1378</v>
      </c>
      <c r="M1203" s="9" t="s">
        <v>1377</v>
      </c>
      <c r="N1203" s="9" t="s">
        <v>1370</v>
      </c>
      <c r="O1203" s="20" t="s">
        <v>2828</v>
      </c>
      <c r="P1203" s="112" t="s">
        <v>6839</v>
      </c>
      <c r="Q1203" s="11" t="s">
        <v>1934</v>
      </c>
      <c r="R1203" s="148" t="str">
        <f>Agencia[[#This Row],[territorio]]&amp;",regional,comuna,permiso,circulación,tipo,transporte,colectivo,"&amp;Agencia[[#This Row],[coleccion]]&amp;","&amp;Agencia[[#This Row],[sector]]&amp;","&amp;Agencia[[#This Row],[tema]]&amp;","&amp;Agencia[[#This Row],[contenido]]</f>
        <v>Región Metropolitana,regional,comuna,permiso,circulación,tipo,transporte,colectivo,Agencia Información,Transporte y Tránsito,Permisos de circulación,Tránsito</v>
      </c>
      <c r="S1203" s="37" t="s">
        <v>2500</v>
      </c>
      <c r="T1203" s="114" t="s">
        <v>1859</v>
      </c>
      <c r="U1203" s="95" t="s">
        <v>398</v>
      </c>
      <c r="V1203" s="93" t="str">
        <f>+Agencia[[#This Row],[idcoleccion]]&amp;"-"&amp;Agencia[[#This Row],[id]]</f>
        <v>990-1192</v>
      </c>
      <c r="W1203" s="93">
        <f>+VLOOKUP(Agencia[[#This Row],[Filtro URL]],Estructura!$X$4:$Y$500,2,0)</f>
        <v>99200013</v>
      </c>
      <c r="X1203" s="93" t="str">
        <f>+VLOOKUP(Agencia[[#This Row],[tema]],Estructura!$A$4:$C$500,3,0)</f>
        <v>T-1004</v>
      </c>
      <c r="Y1203" s="93" t="str">
        <f>+VLOOKUP(Agencia[[#This Row],[contenido]],Estructura!$E$4:$G$500,3,0)</f>
        <v>C-1016</v>
      </c>
      <c r="Z1203" s="93" t="str">
        <f>+VLOOKUP(Agencia[[#This Row],[Filtro Integrado]],Estructura!$I$4:$K$500,3,0)</f>
        <v>FI-1002</v>
      </c>
      <c r="AA1203" s="93" t="str">
        <f>+VLOOKUP(Agencia[[#This Row],[Muestra]],Estructura!$M$4:$O$500,3,0)</f>
        <v>M-1015</v>
      </c>
    </row>
    <row r="1204" spans="1:27" ht="57.6" x14ac:dyDescent="0.3">
      <c r="A1204" s="21" t="s">
        <v>2009</v>
      </c>
      <c r="B1204" s="23">
        <v>990</v>
      </c>
      <c r="C1204" s="24" t="s">
        <v>400</v>
      </c>
      <c r="D1204" s="67" t="s">
        <v>2010</v>
      </c>
      <c r="E1204" s="19">
        <v>14</v>
      </c>
      <c r="F1204" s="10" t="s">
        <v>1376</v>
      </c>
      <c r="G1204" s="10" t="s">
        <v>2700</v>
      </c>
      <c r="H1204" s="33" t="s">
        <v>16</v>
      </c>
      <c r="I1204" s="34" t="s">
        <v>381</v>
      </c>
      <c r="J1204" s="9" t="s">
        <v>2076</v>
      </c>
      <c r="K1204" s="9" t="s">
        <v>2073</v>
      </c>
      <c r="L1204" s="9" t="s">
        <v>1378</v>
      </c>
      <c r="M1204" s="9" t="s">
        <v>1377</v>
      </c>
      <c r="N1204" s="9" t="s">
        <v>1370</v>
      </c>
      <c r="O1204" s="20" t="s">
        <v>2829</v>
      </c>
      <c r="P1204" s="112" t="s">
        <v>6849</v>
      </c>
      <c r="Q1204" s="11" t="s">
        <v>1934</v>
      </c>
      <c r="R1204" s="148" t="str">
        <f>Agencia[[#This Row],[territorio]]&amp;",regional,comuna,permiso,circulación,tipo,transporte,colectivo,"&amp;Agencia[[#This Row],[coleccion]]&amp;","&amp;Agencia[[#This Row],[sector]]&amp;","&amp;Agencia[[#This Row],[tema]]&amp;","&amp;Agencia[[#This Row],[contenido]]</f>
        <v>Región de Los Ríos,regional,comuna,permiso,circulación,tipo,transporte,colectivo,Agencia Información,Transporte y Tránsito,Permisos de circulación,Tránsito</v>
      </c>
      <c r="S1204" s="37" t="s">
        <v>2501</v>
      </c>
      <c r="T1204" s="114" t="s">
        <v>1851</v>
      </c>
      <c r="U1204" s="46" t="s">
        <v>398</v>
      </c>
      <c r="V1204" s="93" t="str">
        <f>+Agencia[[#This Row],[idcoleccion]]&amp;"-"&amp;Agencia[[#This Row],[id]]</f>
        <v>990-1193</v>
      </c>
      <c r="W1204" s="93">
        <f>+VLOOKUP(Agencia[[#This Row],[Filtro URL]],Estructura!$X$4:$Y$500,2,0)</f>
        <v>99200014</v>
      </c>
      <c r="X1204" s="93" t="str">
        <f>+VLOOKUP(Agencia[[#This Row],[tema]],Estructura!$A$4:$C$500,3,0)</f>
        <v>T-1004</v>
      </c>
      <c r="Y1204" s="93" t="str">
        <f>+VLOOKUP(Agencia[[#This Row],[contenido]],Estructura!$E$4:$G$500,3,0)</f>
        <v>C-1016</v>
      </c>
      <c r="Z1204" s="93" t="str">
        <f>+VLOOKUP(Agencia[[#This Row],[Filtro Integrado]],Estructura!$I$4:$K$500,3,0)</f>
        <v>FI-1002</v>
      </c>
      <c r="AA1204" s="93" t="str">
        <f>+VLOOKUP(Agencia[[#This Row],[Muestra]],Estructura!$M$4:$O$500,3,0)</f>
        <v>M-1015</v>
      </c>
    </row>
    <row r="1205" spans="1:27" ht="57.6" x14ac:dyDescent="0.3">
      <c r="A1205" s="21" t="s">
        <v>2017</v>
      </c>
      <c r="B1205" s="23">
        <v>990</v>
      </c>
      <c r="C1205" s="24" t="s">
        <v>400</v>
      </c>
      <c r="D1205" s="67" t="s">
        <v>2010</v>
      </c>
      <c r="E1205" s="19">
        <v>15</v>
      </c>
      <c r="F1205" s="10" t="s">
        <v>1376</v>
      </c>
      <c r="G1205" s="10" t="s">
        <v>2700</v>
      </c>
      <c r="H1205" s="33" t="s">
        <v>16</v>
      </c>
      <c r="I1205" s="34" t="s">
        <v>382</v>
      </c>
      <c r="J1205" s="9" t="s">
        <v>2076</v>
      </c>
      <c r="K1205" s="9" t="s">
        <v>2073</v>
      </c>
      <c r="L1205" s="9" t="s">
        <v>1378</v>
      </c>
      <c r="M1205" s="9" t="s">
        <v>1377</v>
      </c>
      <c r="N1205" s="9" t="s">
        <v>1370</v>
      </c>
      <c r="O1205" s="20" t="s">
        <v>2830</v>
      </c>
      <c r="P1205" s="112" t="s">
        <v>6840</v>
      </c>
      <c r="Q1205" s="11" t="s">
        <v>1934</v>
      </c>
      <c r="R1205" s="148" t="str">
        <f>Agencia[[#This Row],[territorio]]&amp;",regional,comuna,permiso,circulación,tipo,transporte,colectivo,"&amp;Agencia[[#This Row],[coleccion]]&amp;","&amp;Agencia[[#This Row],[sector]]&amp;","&amp;Agencia[[#This Row],[tema]]&amp;","&amp;Agencia[[#This Row],[contenido]]</f>
        <v>Región de Arica y Parinacota,regional,comuna,permiso,circulación,tipo,transporte,colectivo,Agencia Información,Transporte y Tránsito,Permisos de circulación,Tránsito</v>
      </c>
      <c r="S1205" s="37" t="s">
        <v>2502</v>
      </c>
      <c r="T1205" s="114" t="s">
        <v>1845</v>
      </c>
      <c r="U1205" s="46" t="s">
        <v>398</v>
      </c>
      <c r="V1205" s="93" t="str">
        <f>+Agencia[[#This Row],[idcoleccion]]&amp;"-"&amp;Agencia[[#This Row],[id]]</f>
        <v>990-1194</v>
      </c>
      <c r="W1205" s="93">
        <f>+VLOOKUP(Agencia[[#This Row],[Filtro URL]],Estructura!$X$4:$Y$500,2,0)</f>
        <v>99200015</v>
      </c>
      <c r="X1205" s="93" t="str">
        <f>+VLOOKUP(Agencia[[#This Row],[tema]],Estructura!$A$4:$C$500,3,0)</f>
        <v>T-1004</v>
      </c>
      <c r="Y1205" s="93" t="str">
        <f>+VLOOKUP(Agencia[[#This Row],[contenido]],Estructura!$E$4:$G$500,3,0)</f>
        <v>C-1016</v>
      </c>
      <c r="Z1205" s="93" t="str">
        <f>+VLOOKUP(Agencia[[#This Row],[Filtro Integrado]],Estructura!$I$4:$K$500,3,0)</f>
        <v>FI-1002</v>
      </c>
      <c r="AA1205" s="93" t="str">
        <f>+VLOOKUP(Agencia[[#This Row],[Muestra]],Estructura!$M$4:$O$500,3,0)</f>
        <v>M-1015</v>
      </c>
    </row>
    <row r="1206" spans="1:27" ht="57.6" x14ac:dyDescent="0.3">
      <c r="A1206" s="21" t="s">
        <v>2018</v>
      </c>
      <c r="B1206" s="23">
        <v>990</v>
      </c>
      <c r="C1206" s="24" t="s">
        <v>400</v>
      </c>
      <c r="D1206" s="67" t="s">
        <v>2010</v>
      </c>
      <c r="E1206" s="19">
        <v>16</v>
      </c>
      <c r="F1206" s="10" t="s">
        <v>1376</v>
      </c>
      <c r="G1206" s="10" t="s">
        <v>2700</v>
      </c>
      <c r="H1206" s="33" t="s">
        <v>16</v>
      </c>
      <c r="I1206" s="34" t="s">
        <v>383</v>
      </c>
      <c r="J1206" s="9" t="s">
        <v>2076</v>
      </c>
      <c r="K1206" s="9" t="s">
        <v>2073</v>
      </c>
      <c r="L1206" s="9" t="s">
        <v>1378</v>
      </c>
      <c r="M1206" s="9" t="s">
        <v>1377</v>
      </c>
      <c r="N1206" s="9" t="s">
        <v>1370</v>
      </c>
      <c r="O1206" s="20" t="s">
        <v>2831</v>
      </c>
      <c r="P1206" s="112" t="s">
        <v>6841</v>
      </c>
      <c r="Q1206" s="11" t="s">
        <v>1934</v>
      </c>
      <c r="R1206" s="148" t="str">
        <f>Agencia[[#This Row],[territorio]]&amp;",regional,comuna,permiso,circulación,tipo,transporte,colectivo,"&amp;Agencia[[#This Row],[coleccion]]&amp;","&amp;Agencia[[#This Row],[sector]]&amp;","&amp;Agencia[[#This Row],[tema]]&amp;","&amp;Agencia[[#This Row],[contenido]]</f>
        <v>Región de Ñuble,regional,comuna,permiso,circulación,tipo,transporte,colectivo,Agencia Información,Transporte y Tránsito,Permisos de circulación,Tránsito</v>
      </c>
      <c r="S1206" s="37" t="s">
        <v>2832</v>
      </c>
      <c r="T1206" s="114" t="s">
        <v>1854</v>
      </c>
      <c r="U1206" s="95" t="s">
        <v>398</v>
      </c>
      <c r="V1206" s="93" t="str">
        <f>+Agencia[[#This Row],[idcoleccion]]&amp;"-"&amp;Agencia[[#This Row],[id]]</f>
        <v>990-1195</v>
      </c>
      <c r="W1206" s="93">
        <f>+VLOOKUP(Agencia[[#This Row],[Filtro URL]],Estructura!$X$4:$Y$500,2,0)</f>
        <v>99200016</v>
      </c>
      <c r="X1206" s="93" t="str">
        <f>+VLOOKUP(Agencia[[#This Row],[tema]],Estructura!$A$4:$C$500,3,0)</f>
        <v>T-1004</v>
      </c>
      <c r="Y1206" s="93" t="str">
        <f>+VLOOKUP(Agencia[[#This Row],[contenido]],Estructura!$E$4:$G$500,3,0)</f>
        <v>C-1016</v>
      </c>
      <c r="Z1206" s="93" t="str">
        <f>+VLOOKUP(Agencia[[#This Row],[Filtro Integrado]],Estructura!$I$4:$K$500,3,0)</f>
        <v>FI-1002</v>
      </c>
      <c r="AA1206" s="93" t="str">
        <f>+VLOOKUP(Agencia[[#This Row],[Muestra]],Estructura!$M$4:$O$500,3,0)</f>
        <v>M-1015</v>
      </c>
    </row>
    <row r="1207" spans="1:27" ht="51" x14ac:dyDescent="0.3">
      <c r="A1207" s="21" t="s">
        <v>2019</v>
      </c>
      <c r="B1207" s="23">
        <v>990</v>
      </c>
      <c r="C1207" s="24" t="s">
        <v>400</v>
      </c>
      <c r="D1207" s="67" t="s">
        <v>2010</v>
      </c>
      <c r="E1207" s="14">
        <v>0</v>
      </c>
      <c r="F1207" s="10" t="s">
        <v>2012</v>
      </c>
      <c r="G1207" s="10" t="s">
        <v>2700</v>
      </c>
      <c r="H1207" s="31" t="s">
        <v>20</v>
      </c>
      <c r="I1207" s="32" t="s">
        <v>15</v>
      </c>
      <c r="J1207" s="9" t="s">
        <v>956</v>
      </c>
      <c r="K1207" s="9" t="s">
        <v>2985</v>
      </c>
      <c r="L1207" s="9" t="s">
        <v>2014</v>
      </c>
      <c r="M1207" s="9" t="s">
        <v>2015</v>
      </c>
      <c r="N1207" s="9" t="s">
        <v>1370</v>
      </c>
      <c r="O1207" s="20" t="s">
        <v>2833</v>
      </c>
      <c r="P1207" s="112" t="s">
        <v>6867</v>
      </c>
      <c r="Q1207" s="11" t="s">
        <v>784</v>
      </c>
      <c r="R1207" s="148" t="str">
        <f>Agencia[[#This Row],[territorio]]&amp;",nacional,región,comuna,licencia,de conducir,clase,evolución,profesional,no profesional,especial,A1,A2,A3,A4,A5,B,C,D,E,F,"&amp;Agencia[[#This Row],[coleccion]]&amp;","&amp;Agencia[[#This Row],[sector]]&amp;","&amp;Agencia[[#This Row],[tema]]&amp;","&amp;Agencia[[#This Row],[contenido]]</f>
        <v>Chile,nacional,región,comuna,licencia,de conducir,clase,evolución,profesional,no profesional,especial,A1,A2,A3,A4,A5,B,C,D,E,F,Agencia Información,Transporte y Tránsito,Licencias de Conducir,Tránsito</v>
      </c>
      <c r="S1207" s="37" t="s">
        <v>2093</v>
      </c>
      <c r="T1207" s="114" t="s">
        <v>957</v>
      </c>
      <c r="U1207" s="46" t="s">
        <v>398</v>
      </c>
      <c r="V1207" s="93" t="str">
        <f>+Agencia[[#This Row],[idcoleccion]]&amp;"-"&amp;Agencia[[#This Row],[id]]</f>
        <v>990-1196</v>
      </c>
      <c r="W1207" s="93">
        <f>+VLOOKUP(Agencia[[#This Row],[Filtro URL]],Estructura!$X$4:$Y$500,2,0)</f>
        <v>99100000</v>
      </c>
      <c r="X1207" s="93" t="str">
        <f>+VLOOKUP(Agencia[[#This Row],[tema]],Estructura!$A$4:$C$500,3,0)</f>
        <v>T-1038</v>
      </c>
      <c r="Y1207" s="93" t="str">
        <f>+VLOOKUP(Agencia[[#This Row],[contenido]],Estructura!$E$4:$G$500,3,0)</f>
        <v>C-1016</v>
      </c>
      <c r="Z1207" s="93" t="str">
        <f>+VLOOKUP(Agencia[[#This Row],[Filtro Integrado]],Estructura!$I$4:$K$500,3,0)</f>
        <v>FI-994</v>
      </c>
      <c r="AA1207" s="93" t="str">
        <f>+VLOOKUP(Agencia[[#This Row],[Muestra]],Estructura!$M$4:$O$500,3,0)</f>
        <v>M-1016</v>
      </c>
    </row>
    <row r="1208" spans="1:27" ht="57.6" x14ac:dyDescent="0.3">
      <c r="A1208" s="21" t="s">
        <v>2020</v>
      </c>
      <c r="B1208" s="23">
        <v>990</v>
      </c>
      <c r="C1208" s="24" t="s">
        <v>400</v>
      </c>
      <c r="D1208" s="67" t="s">
        <v>2010</v>
      </c>
      <c r="E1208" s="19">
        <v>1</v>
      </c>
      <c r="F1208" s="10" t="s">
        <v>2012</v>
      </c>
      <c r="G1208" s="10" t="s">
        <v>2700</v>
      </c>
      <c r="H1208" s="33" t="s">
        <v>16</v>
      </c>
      <c r="I1208" s="34" t="s">
        <v>368</v>
      </c>
      <c r="J1208" s="9" t="s">
        <v>16</v>
      </c>
      <c r="K1208" s="9" t="s">
        <v>2985</v>
      </c>
      <c r="L1208" s="9" t="s">
        <v>2014</v>
      </c>
      <c r="M1208" s="9" t="s">
        <v>2015</v>
      </c>
      <c r="N1208" s="9" t="s">
        <v>1370</v>
      </c>
      <c r="O1208" s="20" t="s">
        <v>2834</v>
      </c>
      <c r="P1208" s="112" t="s">
        <v>6851</v>
      </c>
      <c r="Q1208" s="11" t="s">
        <v>784</v>
      </c>
      <c r="R1208" s="148" t="str">
        <f>Agencia[[#This Row],[territorio]]&amp;",regional,comuna,licencia,de conducir,clase,evolución,profesional,no profesional,especial,A1,A2,A3,A4,A5,B,C,D,E,F,"&amp;Agencia[[#This Row],[coleccion]]&amp;","&amp;Agencia[[#This Row],[sector]]&amp;","&amp;Agencia[[#This Row],[tema]]&amp;","&amp;Agencia[[#This Row],[contenido]]</f>
        <v>Región de Tarapacá,regional,comuna,licencia,de conducir,clase,evolución,profesional,no profesional,especial,A1,A2,A3,A4,A5,B,C,D,E,F,Agencia Información,Transporte y Tránsito,Licencias de Conducir,Tránsito</v>
      </c>
      <c r="S1208" s="83" t="s">
        <v>2503</v>
      </c>
      <c r="T1208" s="114" t="s">
        <v>1856</v>
      </c>
      <c r="U1208" s="46" t="s">
        <v>398</v>
      </c>
      <c r="V1208" s="93" t="str">
        <f>+Agencia[[#This Row],[idcoleccion]]&amp;"-"&amp;Agencia[[#This Row],[id]]</f>
        <v>990-1197</v>
      </c>
      <c r="W1208" s="93">
        <f>+VLOOKUP(Agencia[[#This Row],[Filtro URL]],Estructura!$X$4:$Y$500,2,0)</f>
        <v>99200001</v>
      </c>
      <c r="X1208" s="93" t="str">
        <f>+VLOOKUP(Agencia[[#This Row],[tema]],Estructura!$A$4:$C$500,3,0)</f>
        <v>T-1038</v>
      </c>
      <c r="Y1208" s="93" t="str">
        <f>+VLOOKUP(Agencia[[#This Row],[contenido]],Estructura!$E$4:$G$500,3,0)</f>
        <v>C-1016</v>
      </c>
      <c r="Z1208" s="93" t="str">
        <f>+VLOOKUP(Agencia[[#This Row],[Filtro Integrado]],Estructura!$I$4:$K$500,3,0)</f>
        <v>FI-992</v>
      </c>
      <c r="AA1208" s="93" t="str">
        <f>+VLOOKUP(Agencia[[#This Row],[Muestra]],Estructura!$M$4:$O$500,3,0)</f>
        <v>M-1016</v>
      </c>
    </row>
    <row r="1209" spans="1:27" ht="61.2" x14ac:dyDescent="0.3">
      <c r="A1209" s="21" t="s">
        <v>2021</v>
      </c>
      <c r="B1209" s="23">
        <v>990</v>
      </c>
      <c r="C1209" s="24" t="s">
        <v>400</v>
      </c>
      <c r="D1209" s="67" t="s">
        <v>2010</v>
      </c>
      <c r="E1209" s="19">
        <v>2</v>
      </c>
      <c r="F1209" s="10" t="s">
        <v>2012</v>
      </c>
      <c r="G1209" s="10" t="s">
        <v>2700</v>
      </c>
      <c r="H1209" s="33" t="s">
        <v>16</v>
      </c>
      <c r="I1209" s="34" t="s">
        <v>369</v>
      </c>
      <c r="J1209" s="9" t="s">
        <v>16</v>
      </c>
      <c r="K1209" s="9" t="s">
        <v>2985</v>
      </c>
      <c r="L1209" s="9" t="s">
        <v>2014</v>
      </c>
      <c r="M1209" s="9" t="s">
        <v>2015</v>
      </c>
      <c r="N1209" s="9" t="s">
        <v>1370</v>
      </c>
      <c r="O1209" s="20" t="s">
        <v>2835</v>
      </c>
      <c r="P1209" s="112" t="s">
        <v>6852</v>
      </c>
      <c r="Q1209" s="11" t="s">
        <v>784</v>
      </c>
      <c r="R1209" s="148" t="str">
        <f>Agencia[[#This Row],[territorio]]&amp;",regional,comuna,licencia,de conducir,clase,evolución,profesional,no profesional,especial,A1,A2,A3,A4,A5,B,C,D,E,F,"&amp;Agencia[[#This Row],[coleccion]]&amp;","&amp;Agencia[[#This Row],[sector]]&amp;","&amp;Agencia[[#This Row],[tema]]&amp;","&amp;Agencia[[#This Row],[contenido]]</f>
        <v>Región de Antofagasta,regional,comuna,licencia,de conducir,clase,evolución,profesional,no profesional,especial,A1,A2,A3,A4,A5,B,C,D,E,F,Agencia Información,Transporte y Tránsito,Licencias de Conducir,Tránsito</v>
      </c>
      <c r="S1209" s="37" t="s">
        <v>2504</v>
      </c>
      <c r="T1209" s="114" t="s">
        <v>1844</v>
      </c>
      <c r="U1209" s="95" t="s">
        <v>398</v>
      </c>
      <c r="V1209" s="93" t="str">
        <f>+Agencia[[#This Row],[idcoleccion]]&amp;"-"&amp;Agencia[[#This Row],[id]]</f>
        <v>990-1198</v>
      </c>
      <c r="W1209" s="93">
        <f>+VLOOKUP(Agencia[[#This Row],[Filtro URL]],Estructura!$X$4:$Y$500,2,0)</f>
        <v>99200002</v>
      </c>
      <c r="X1209" s="93" t="str">
        <f>+VLOOKUP(Agencia[[#This Row],[tema]],Estructura!$A$4:$C$500,3,0)</f>
        <v>T-1038</v>
      </c>
      <c r="Y1209" s="93" t="str">
        <f>+VLOOKUP(Agencia[[#This Row],[contenido]],Estructura!$E$4:$G$500,3,0)</f>
        <v>C-1016</v>
      </c>
      <c r="Z1209" s="93" t="str">
        <f>+VLOOKUP(Agencia[[#This Row],[Filtro Integrado]],Estructura!$I$4:$K$500,3,0)</f>
        <v>FI-992</v>
      </c>
      <c r="AA1209" s="93" t="str">
        <f>+VLOOKUP(Agencia[[#This Row],[Muestra]],Estructura!$M$4:$O$500,3,0)</f>
        <v>M-1016</v>
      </c>
    </row>
    <row r="1210" spans="1:27" ht="57.6" x14ac:dyDescent="0.3">
      <c r="A1210" s="21" t="s">
        <v>2022</v>
      </c>
      <c r="B1210" s="23">
        <v>990</v>
      </c>
      <c r="C1210" s="24" t="s">
        <v>400</v>
      </c>
      <c r="D1210" s="67" t="s">
        <v>2010</v>
      </c>
      <c r="E1210" s="19">
        <v>3</v>
      </c>
      <c r="F1210" s="10" t="s">
        <v>2012</v>
      </c>
      <c r="G1210" s="10" t="s">
        <v>2700</v>
      </c>
      <c r="H1210" s="33" t="s">
        <v>16</v>
      </c>
      <c r="I1210" s="34" t="s">
        <v>370</v>
      </c>
      <c r="J1210" s="9" t="s">
        <v>16</v>
      </c>
      <c r="K1210" s="9" t="s">
        <v>2985</v>
      </c>
      <c r="L1210" s="9" t="s">
        <v>2014</v>
      </c>
      <c r="M1210" s="9" t="s">
        <v>2015</v>
      </c>
      <c r="N1210" s="9" t="s">
        <v>1370</v>
      </c>
      <c r="O1210" s="20" t="s">
        <v>2836</v>
      </c>
      <c r="P1210" s="112" t="s">
        <v>6853</v>
      </c>
      <c r="Q1210" s="11" t="s">
        <v>784</v>
      </c>
      <c r="R1210" s="148" t="str">
        <f>Agencia[[#This Row],[territorio]]&amp;",regional,comuna,licencia,de conducir,clase,evolución,profesional,no profesional,especial,A1,A2,A3,A4,A5,B,C,D,E,F,"&amp;Agencia[[#This Row],[coleccion]]&amp;","&amp;Agencia[[#This Row],[sector]]&amp;","&amp;Agencia[[#This Row],[tema]]&amp;","&amp;Agencia[[#This Row],[contenido]]</f>
        <v>Región de Atacama,regional,comuna,licencia,de conducir,clase,evolución,profesional,no profesional,especial,A1,A2,A3,A4,A5,B,C,D,E,F,Agencia Información,Transporte y Tránsito,Licencias de Conducir,Tránsito</v>
      </c>
      <c r="S1210" s="37" t="s">
        <v>2505</v>
      </c>
      <c r="T1210" s="114" t="s">
        <v>1846</v>
      </c>
      <c r="U1210" s="46" t="s">
        <v>398</v>
      </c>
      <c r="V1210" s="93" t="str">
        <f>+Agencia[[#This Row],[idcoleccion]]&amp;"-"&amp;Agencia[[#This Row],[id]]</f>
        <v>990-1199</v>
      </c>
      <c r="W1210" s="93">
        <f>+VLOOKUP(Agencia[[#This Row],[Filtro URL]],Estructura!$X$4:$Y$500,2,0)</f>
        <v>99200003</v>
      </c>
      <c r="X1210" s="93" t="str">
        <f>+VLOOKUP(Agencia[[#This Row],[tema]],Estructura!$A$4:$C$500,3,0)</f>
        <v>T-1038</v>
      </c>
      <c r="Y1210" s="93" t="str">
        <f>+VLOOKUP(Agencia[[#This Row],[contenido]],Estructura!$E$4:$G$500,3,0)</f>
        <v>C-1016</v>
      </c>
      <c r="Z1210" s="93" t="str">
        <f>+VLOOKUP(Agencia[[#This Row],[Filtro Integrado]],Estructura!$I$4:$K$500,3,0)</f>
        <v>FI-992</v>
      </c>
      <c r="AA1210" s="93" t="str">
        <f>+VLOOKUP(Agencia[[#This Row],[Muestra]],Estructura!$M$4:$O$500,3,0)</f>
        <v>M-1016</v>
      </c>
    </row>
    <row r="1211" spans="1:27" ht="61.2" x14ac:dyDescent="0.3">
      <c r="A1211" s="21" t="s">
        <v>2023</v>
      </c>
      <c r="B1211" s="23">
        <v>990</v>
      </c>
      <c r="C1211" s="24" t="s">
        <v>400</v>
      </c>
      <c r="D1211" s="67" t="s">
        <v>2010</v>
      </c>
      <c r="E1211" s="19">
        <v>4</v>
      </c>
      <c r="F1211" s="10" t="s">
        <v>2012</v>
      </c>
      <c r="G1211" s="10" t="s">
        <v>2700</v>
      </c>
      <c r="H1211" s="33" t="s">
        <v>16</v>
      </c>
      <c r="I1211" s="34" t="s">
        <v>371</v>
      </c>
      <c r="J1211" s="9" t="s">
        <v>16</v>
      </c>
      <c r="K1211" s="9" t="s">
        <v>2985</v>
      </c>
      <c r="L1211" s="9" t="s">
        <v>2014</v>
      </c>
      <c r="M1211" s="9" t="s">
        <v>2015</v>
      </c>
      <c r="N1211" s="9" t="s">
        <v>1370</v>
      </c>
      <c r="O1211" s="20" t="s">
        <v>2837</v>
      </c>
      <c r="P1211" s="112" t="s">
        <v>6854</v>
      </c>
      <c r="Q1211" s="11" t="s">
        <v>784</v>
      </c>
      <c r="R1211" s="148" t="str">
        <f>Agencia[[#This Row],[territorio]]&amp;",regional,comuna,licencia,de conducir,clase,evolución,profesional,no profesional,especial,A1,A2,A3,A4,A5,B,C,D,E,F,"&amp;Agencia[[#This Row],[coleccion]]&amp;","&amp;Agencia[[#This Row],[sector]]&amp;","&amp;Agencia[[#This Row],[tema]]&amp;","&amp;Agencia[[#This Row],[contenido]]</f>
        <v>Región de Coquimbo,regional,comuna,licencia,de conducir,clase,evolución,profesional,no profesional,especial,A1,A2,A3,A4,A5,B,C,D,E,F,Agencia Información,Transporte y Tránsito,Licencias de Conducir,Tránsito</v>
      </c>
      <c r="S1211" s="37" t="s">
        <v>2506</v>
      </c>
      <c r="T1211" s="114" t="s">
        <v>1848</v>
      </c>
      <c r="U1211" s="46" t="s">
        <v>398</v>
      </c>
      <c r="V1211" s="93" t="str">
        <f>+Agencia[[#This Row],[idcoleccion]]&amp;"-"&amp;Agencia[[#This Row],[id]]</f>
        <v>990-1200</v>
      </c>
      <c r="W1211" s="93">
        <f>+VLOOKUP(Agencia[[#This Row],[Filtro URL]],Estructura!$X$4:$Y$500,2,0)</f>
        <v>99200004</v>
      </c>
      <c r="X1211" s="93" t="str">
        <f>+VLOOKUP(Agencia[[#This Row],[tema]],Estructura!$A$4:$C$500,3,0)</f>
        <v>T-1038</v>
      </c>
      <c r="Y1211" s="93" t="str">
        <f>+VLOOKUP(Agencia[[#This Row],[contenido]],Estructura!$E$4:$G$500,3,0)</f>
        <v>C-1016</v>
      </c>
      <c r="Z1211" s="93" t="str">
        <f>+VLOOKUP(Agencia[[#This Row],[Filtro Integrado]],Estructura!$I$4:$K$500,3,0)</f>
        <v>FI-992</v>
      </c>
      <c r="AA1211" s="93" t="str">
        <f>+VLOOKUP(Agencia[[#This Row],[Muestra]],Estructura!$M$4:$O$500,3,0)</f>
        <v>M-1016</v>
      </c>
    </row>
    <row r="1212" spans="1:27" ht="61.2" x14ac:dyDescent="0.3">
      <c r="A1212" s="21" t="s">
        <v>2024</v>
      </c>
      <c r="B1212" s="23">
        <v>990</v>
      </c>
      <c r="C1212" s="24" t="s">
        <v>400</v>
      </c>
      <c r="D1212" s="67" t="s">
        <v>2010</v>
      </c>
      <c r="E1212" s="19">
        <v>5</v>
      </c>
      <c r="F1212" s="10" t="s">
        <v>2012</v>
      </c>
      <c r="G1212" s="10" t="s">
        <v>2700</v>
      </c>
      <c r="H1212" s="33" t="s">
        <v>16</v>
      </c>
      <c r="I1212" s="34" t="s">
        <v>372</v>
      </c>
      <c r="J1212" s="9" t="s">
        <v>16</v>
      </c>
      <c r="K1212" s="9" t="s">
        <v>2985</v>
      </c>
      <c r="L1212" s="9" t="s">
        <v>2014</v>
      </c>
      <c r="M1212" s="9" t="s">
        <v>2015</v>
      </c>
      <c r="N1212" s="9" t="s">
        <v>1370</v>
      </c>
      <c r="O1212" s="20" t="s">
        <v>2838</v>
      </c>
      <c r="P1212" s="112" t="s">
        <v>6855</v>
      </c>
      <c r="Q1212" s="11" t="s">
        <v>784</v>
      </c>
      <c r="R1212" s="148" t="str">
        <f>Agencia[[#This Row],[territorio]]&amp;",regional,comuna,licencia,de conducir,clase,evolución,profesional,no profesional,especial,A1,A2,A3,A4,A5,B,C,D,E,F,"&amp;Agencia[[#This Row],[coleccion]]&amp;","&amp;Agencia[[#This Row],[sector]]&amp;","&amp;Agencia[[#This Row],[tema]]&amp;","&amp;Agencia[[#This Row],[contenido]]</f>
        <v>Región de Valparaíso,regional,comuna,licencia,de conducir,clase,evolución,profesional,no profesional,especial,A1,A2,A3,A4,A5,B,C,D,E,F,Agencia Información,Transporte y Tránsito,Licencias de Conducir,Tránsito</v>
      </c>
      <c r="S1212" s="37" t="s">
        <v>2507</v>
      </c>
      <c r="T1212" s="114" t="s">
        <v>1857</v>
      </c>
      <c r="U1212" s="95" t="s">
        <v>398</v>
      </c>
      <c r="V1212" s="93" t="str">
        <f>+Agencia[[#This Row],[idcoleccion]]&amp;"-"&amp;Agencia[[#This Row],[id]]</f>
        <v>990-1201</v>
      </c>
      <c r="W1212" s="93">
        <f>+VLOOKUP(Agencia[[#This Row],[Filtro URL]],Estructura!$X$4:$Y$500,2,0)</f>
        <v>99200005</v>
      </c>
      <c r="X1212" s="93" t="str">
        <f>+VLOOKUP(Agencia[[#This Row],[tema]],Estructura!$A$4:$C$500,3,0)</f>
        <v>T-1038</v>
      </c>
      <c r="Y1212" s="93" t="str">
        <f>+VLOOKUP(Agencia[[#This Row],[contenido]],Estructura!$E$4:$G$500,3,0)</f>
        <v>C-1016</v>
      </c>
      <c r="Z1212" s="93" t="str">
        <f>+VLOOKUP(Agencia[[#This Row],[Filtro Integrado]],Estructura!$I$4:$K$500,3,0)</f>
        <v>FI-992</v>
      </c>
      <c r="AA1212" s="93" t="str">
        <f>+VLOOKUP(Agencia[[#This Row],[Muestra]],Estructura!$M$4:$O$500,3,0)</f>
        <v>M-1016</v>
      </c>
    </row>
    <row r="1213" spans="1:27" ht="57.6" x14ac:dyDescent="0.3">
      <c r="A1213" s="21" t="s">
        <v>2025</v>
      </c>
      <c r="B1213" s="23">
        <v>990</v>
      </c>
      <c r="C1213" s="24" t="s">
        <v>400</v>
      </c>
      <c r="D1213" s="67" t="s">
        <v>2010</v>
      </c>
      <c r="E1213" s="19">
        <v>6</v>
      </c>
      <c r="F1213" s="10" t="s">
        <v>2012</v>
      </c>
      <c r="G1213" s="10" t="s">
        <v>2700</v>
      </c>
      <c r="H1213" s="33" t="s">
        <v>16</v>
      </c>
      <c r="I1213" s="34" t="s">
        <v>373</v>
      </c>
      <c r="J1213" s="9" t="s">
        <v>16</v>
      </c>
      <c r="K1213" s="9" t="s">
        <v>2985</v>
      </c>
      <c r="L1213" s="9" t="s">
        <v>2014</v>
      </c>
      <c r="M1213" s="9" t="s">
        <v>2015</v>
      </c>
      <c r="N1213" s="9" t="s">
        <v>1370</v>
      </c>
      <c r="O1213" s="20" t="s">
        <v>2839</v>
      </c>
      <c r="P1213" s="112" t="s">
        <v>6864</v>
      </c>
      <c r="Q1213" s="11" t="s">
        <v>784</v>
      </c>
      <c r="R1213" s="148" t="str">
        <f>Agencia[[#This Row],[territorio]]&amp;",regional,comuna,licencia,de conducir,clase,evolución,profesional,no profesional,especial,A1,A2,A3,A4,A5,B,C,D,E,F,"&amp;Agencia[[#This Row],[coleccion]]&amp;","&amp;Agencia[[#This Row],[sector]]&amp;","&amp;Agencia[[#This Row],[tema]]&amp;","&amp;Agencia[[#This Row],[contenido]]</f>
        <v>Región de O'Higgins,regional,comuna,licencia,de conducir,clase,evolución,profesional,no profesional,especial,A1,A2,A3,A4,A5,B,C,D,E,F,Agencia Información,Transporte y Tránsito,Licencias de Conducir,Tránsito</v>
      </c>
      <c r="S1213" s="37" t="s">
        <v>2508</v>
      </c>
      <c r="T1213" s="114" t="s">
        <v>1855</v>
      </c>
      <c r="U1213" s="46" t="s">
        <v>398</v>
      </c>
      <c r="V1213" s="93" t="str">
        <f>+Agencia[[#This Row],[idcoleccion]]&amp;"-"&amp;Agencia[[#This Row],[id]]</f>
        <v>990-1202</v>
      </c>
      <c r="W1213" s="93">
        <f>+VLOOKUP(Agencia[[#This Row],[Filtro URL]],Estructura!$X$4:$Y$500,2,0)</f>
        <v>99200006</v>
      </c>
      <c r="X1213" s="93" t="str">
        <f>+VLOOKUP(Agencia[[#This Row],[tema]],Estructura!$A$4:$C$500,3,0)</f>
        <v>T-1038</v>
      </c>
      <c r="Y1213" s="93" t="str">
        <f>+VLOOKUP(Agencia[[#This Row],[contenido]],Estructura!$E$4:$G$500,3,0)</f>
        <v>C-1016</v>
      </c>
      <c r="Z1213" s="93" t="str">
        <f>+VLOOKUP(Agencia[[#This Row],[Filtro Integrado]],Estructura!$I$4:$K$500,3,0)</f>
        <v>FI-992</v>
      </c>
      <c r="AA1213" s="93" t="str">
        <f>+VLOOKUP(Agencia[[#This Row],[Muestra]],Estructura!$M$4:$O$500,3,0)</f>
        <v>M-1016</v>
      </c>
    </row>
    <row r="1214" spans="1:27" ht="57.6" x14ac:dyDescent="0.3">
      <c r="A1214" s="21" t="s">
        <v>2026</v>
      </c>
      <c r="B1214" s="23">
        <v>990</v>
      </c>
      <c r="C1214" s="24" t="s">
        <v>400</v>
      </c>
      <c r="D1214" s="67" t="s">
        <v>2010</v>
      </c>
      <c r="E1214" s="19">
        <v>7</v>
      </c>
      <c r="F1214" s="10" t="s">
        <v>2012</v>
      </c>
      <c r="G1214" s="10" t="s">
        <v>2700</v>
      </c>
      <c r="H1214" s="33" t="s">
        <v>16</v>
      </c>
      <c r="I1214" s="34" t="s">
        <v>374</v>
      </c>
      <c r="J1214" s="9" t="s">
        <v>16</v>
      </c>
      <c r="K1214" s="9" t="s">
        <v>2985</v>
      </c>
      <c r="L1214" s="9" t="s">
        <v>2014</v>
      </c>
      <c r="M1214" s="9" t="s">
        <v>2015</v>
      </c>
      <c r="N1214" s="9" t="s">
        <v>1370</v>
      </c>
      <c r="O1214" s="20" t="s">
        <v>2840</v>
      </c>
      <c r="P1214" s="112" t="s">
        <v>6856</v>
      </c>
      <c r="Q1214" s="11" t="s">
        <v>784</v>
      </c>
      <c r="R1214" s="148" t="str">
        <f>Agencia[[#This Row],[territorio]]&amp;",regional,comuna,licencia,de conducir,clase,evolución,profesional,no profesional,especial,A1,A2,A3,A4,A5,B,C,D,E,F,"&amp;Agencia[[#This Row],[coleccion]]&amp;","&amp;Agencia[[#This Row],[sector]]&amp;","&amp;Agencia[[#This Row],[tema]]&amp;","&amp;Agencia[[#This Row],[contenido]]</f>
        <v>Región de Maule,regional,comuna,licencia,de conducir,clase,evolución,profesional,no profesional,especial,A1,A2,A3,A4,A5,B,C,D,E,F,Agencia Información,Transporte y Tránsito,Licencias de Conducir,Tránsito</v>
      </c>
      <c r="S1214" s="37" t="s">
        <v>2509</v>
      </c>
      <c r="T1214" s="114" t="s">
        <v>1853</v>
      </c>
      <c r="U1214" s="46" t="s">
        <v>398</v>
      </c>
      <c r="V1214" s="93" t="str">
        <f>+Agencia[[#This Row],[idcoleccion]]&amp;"-"&amp;Agencia[[#This Row],[id]]</f>
        <v>990-1203</v>
      </c>
      <c r="W1214" s="93">
        <f>+VLOOKUP(Agencia[[#This Row],[Filtro URL]],Estructura!$X$4:$Y$500,2,0)</f>
        <v>99200007</v>
      </c>
      <c r="X1214" s="93" t="str">
        <f>+VLOOKUP(Agencia[[#This Row],[tema]],Estructura!$A$4:$C$500,3,0)</f>
        <v>T-1038</v>
      </c>
      <c r="Y1214" s="93" t="str">
        <f>+VLOOKUP(Agencia[[#This Row],[contenido]],Estructura!$E$4:$G$500,3,0)</f>
        <v>C-1016</v>
      </c>
      <c r="Z1214" s="93" t="str">
        <f>+VLOOKUP(Agencia[[#This Row],[Filtro Integrado]],Estructura!$I$4:$K$500,3,0)</f>
        <v>FI-992</v>
      </c>
      <c r="AA1214" s="93" t="str">
        <f>+VLOOKUP(Agencia[[#This Row],[Muestra]],Estructura!$M$4:$O$500,3,0)</f>
        <v>M-1016</v>
      </c>
    </row>
    <row r="1215" spans="1:27" ht="57.6" x14ac:dyDescent="0.3">
      <c r="A1215" s="21" t="s">
        <v>2027</v>
      </c>
      <c r="B1215" s="23">
        <v>990</v>
      </c>
      <c r="C1215" s="24" t="s">
        <v>400</v>
      </c>
      <c r="D1215" s="67" t="s">
        <v>2010</v>
      </c>
      <c r="E1215" s="19">
        <v>8</v>
      </c>
      <c r="F1215" s="10" t="s">
        <v>2012</v>
      </c>
      <c r="G1215" s="10" t="s">
        <v>2700</v>
      </c>
      <c r="H1215" s="33" t="s">
        <v>16</v>
      </c>
      <c r="I1215" s="34" t="s">
        <v>375</v>
      </c>
      <c r="J1215" s="9" t="s">
        <v>16</v>
      </c>
      <c r="K1215" s="9" t="s">
        <v>2985</v>
      </c>
      <c r="L1215" s="9" t="s">
        <v>2014</v>
      </c>
      <c r="M1215" s="9" t="s">
        <v>2015</v>
      </c>
      <c r="N1215" s="9" t="s">
        <v>1370</v>
      </c>
      <c r="O1215" s="20" t="s">
        <v>2841</v>
      </c>
      <c r="P1215" s="112" t="s">
        <v>6865</v>
      </c>
      <c r="Q1215" s="11" t="s">
        <v>784</v>
      </c>
      <c r="R1215" s="148" t="str">
        <f>Agencia[[#This Row],[territorio]]&amp;",regional,comuna,licencia,de conducir,clase,evolución,profesional,no profesional,especial,A1,A2,A3,A4,A5,B,C,D,E,F,"&amp;Agencia[[#This Row],[coleccion]]&amp;","&amp;Agencia[[#This Row],[sector]]&amp;","&amp;Agencia[[#This Row],[tema]]&amp;","&amp;Agencia[[#This Row],[contenido]]</f>
        <v>Región del Biobío,regional,comuna,licencia,de conducir,clase,evolución,profesional,no profesional,especial,A1,A2,A3,A4,A5,B,C,D,E,F,Agencia Información,Transporte y Tránsito,Licencias de Conducir,Tránsito</v>
      </c>
      <c r="S1215" s="37" t="s">
        <v>2510</v>
      </c>
      <c r="T1215" s="114" t="s">
        <v>1858</v>
      </c>
      <c r="U1215" s="95" t="s">
        <v>398</v>
      </c>
      <c r="V1215" s="93" t="str">
        <f>+Agencia[[#This Row],[idcoleccion]]&amp;"-"&amp;Agencia[[#This Row],[id]]</f>
        <v>990-1204</v>
      </c>
      <c r="W1215" s="93">
        <f>+VLOOKUP(Agencia[[#This Row],[Filtro URL]],Estructura!$X$4:$Y$500,2,0)</f>
        <v>99200008</v>
      </c>
      <c r="X1215" s="93" t="str">
        <f>+VLOOKUP(Agencia[[#This Row],[tema]],Estructura!$A$4:$C$500,3,0)</f>
        <v>T-1038</v>
      </c>
      <c r="Y1215" s="93" t="str">
        <f>+VLOOKUP(Agencia[[#This Row],[contenido]],Estructura!$E$4:$G$500,3,0)</f>
        <v>C-1016</v>
      </c>
      <c r="Z1215" s="93" t="str">
        <f>+VLOOKUP(Agencia[[#This Row],[Filtro Integrado]],Estructura!$I$4:$K$500,3,0)</f>
        <v>FI-992</v>
      </c>
      <c r="AA1215" s="93" t="str">
        <f>+VLOOKUP(Agencia[[#This Row],[Muestra]],Estructura!$M$4:$O$500,3,0)</f>
        <v>M-1016</v>
      </c>
    </row>
    <row r="1216" spans="1:27" ht="61.2" x14ac:dyDescent="0.3">
      <c r="A1216" s="21" t="s">
        <v>2028</v>
      </c>
      <c r="B1216" s="23">
        <v>990</v>
      </c>
      <c r="C1216" s="24" t="s">
        <v>400</v>
      </c>
      <c r="D1216" s="67" t="s">
        <v>2010</v>
      </c>
      <c r="E1216" s="19">
        <v>9</v>
      </c>
      <c r="F1216" s="10" t="s">
        <v>2012</v>
      </c>
      <c r="G1216" s="10" t="s">
        <v>2700</v>
      </c>
      <c r="H1216" s="33" t="s">
        <v>16</v>
      </c>
      <c r="I1216" s="34" t="s">
        <v>376</v>
      </c>
      <c r="J1216" s="9" t="s">
        <v>16</v>
      </c>
      <c r="K1216" s="9" t="s">
        <v>2985</v>
      </c>
      <c r="L1216" s="9" t="s">
        <v>2014</v>
      </c>
      <c r="M1216" s="9" t="s">
        <v>2015</v>
      </c>
      <c r="N1216" s="9" t="s">
        <v>1370</v>
      </c>
      <c r="O1216" s="20" t="s">
        <v>2842</v>
      </c>
      <c r="P1216" s="112" t="s">
        <v>6866</v>
      </c>
      <c r="Q1216" s="11" t="s">
        <v>784</v>
      </c>
      <c r="R1216" s="148" t="str">
        <f>Agencia[[#This Row],[territorio]]&amp;",regional,comuna,licencia,de conducir,clase,evolución,profesional,no profesional,especial,A1,A2,A3,A4,A5,B,C,D,E,F,"&amp;Agencia[[#This Row],[coleccion]]&amp;","&amp;Agencia[[#This Row],[sector]]&amp;","&amp;Agencia[[#This Row],[tema]]&amp;","&amp;Agencia[[#This Row],[contenido]]</f>
        <v>Región de La Araucanía,regional,comuna,licencia,de conducir,clase,evolución,profesional,no profesional,especial,A1,A2,A3,A4,A5,B,C,D,E,F,Agencia Información,Transporte y Tránsito,Licencias de Conducir,Tránsito</v>
      </c>
      <c r="S1216" s="37" t="s">
        <v>2511</v>
      </c>
      <c r="T1216" s="114" t="s">
        <v>1849</v>
      </c>
      <c r="U1216" s="46" t="s">
        <v>398</v>
      </c>
      <c r="V1216" s="93" t="str">
        <f>+Agencia[[#This Row],[idcoleccion]]&amp;"-"&amp;Agencia[[#This Row],[id]]</f>
        <v>990-1205</v>
      </c>
      <c r="W1216" s="93">
        <f>+VLOOKUP(Agencia[[#This Row],[Filtro URL]],Estructura!$X$4:$Y$500,2,0)</f>
        <v>99200009</v>
      </c>
      <c r="X1216" s="93" t="str">
        <f>+VLOOKUP(Agencia[[#This Row],[tema]],Estructura!$A$4:$C$500,3,0)</f>
        <v>T-1038</v>
      </c>
      <c r="Y1216" s="93" t="str">
        <f>+VLOOKUP(Agencia[[#This Row],[contenido]],Estructura!$E$4:$G$500,3,0)</f>
        <v>C-1016</v>
      </c>
      <c r="Z1216" s="93" t="str">
        <f>+VLOOKUP(Agencia[[#This Row],[Filtro Integrado]],Estructura!$I$4:$K$500,3,0)</f>
        <v>FI-992</v>
      </c>
      <c r="AA1216" s="93" t="str">
        <f>+VLOOKUP(Agencia[[#This Row],[Muestra]],Estructura!$M$4:$O$500,3,0)</f>
        <v>M-1016</v>
      </c>
    </row>
    <row r="1217" spans="1:27" ht="57.6" x14ac:dyDescent="0.3">
      <c r="A1217" s="21" t="s">
        <v>2029</v>
      </c>
      <c r="B1217" s="23">
        <v>990</v>
      </c>
      <c r="C1217" s="24" t="s">
        <v>400</v>
      </c>
      <c r="D1217" s="67" t="s">
        <v>2010</v>
      </c>
      <c r="E1217" s="19">
        <v>10</v>
      </c>
      <c r="F1217" s="10" t="s">
        <v>2012</v>
      </c>
      <c r="G1217" s="10" t="s">
        <v>2700</v>
      </c>
      <c r="H1217" s="33" t="s">
        <v>16</v>
      </c>
      <c r="I1217" s="34" t="s">
        <v>377</v>
      </c>
      <c r="J1217" s="9" t="s">
        <v>16</v>
      </c>
      <c r="K1217" s="9" t="s">
        <v>2985</v>
      </c>
      <c r="L1217" s="9" t="s">
        <v>2014</v>
      </c>
      <c r="M1217" s="9" t="s">
        <v>2015</v>
      </c>
      <c r="N1217" s="9" t="s">
        <v>1370</v>
      </c>
      <c r="O1217" s="20" t="s">
        <v>2843</v>
      </c>
      <c r="P1217" s="112" t="s">
        <v>6857</v>
      </c>
      <c r="Q1217" s="11" t="s">
        <v>784</v>
      </c>
      <c r="R1217" s="148" t="str">
        <f>Agencia[[#This Row],[territorio]]&amp;",regional,comuna,licencia,de conducir,clase,evolución,profesional,no profesional,especial,A1,A2,A3,A4,A5,B,C,D,E,F,"&amp;Agencia[[#This Row],[coleccion]]&amp;","&amp;Agencia[[#This Row],[sector]]&amp;","&amp;Agencia[[#This Row],[tema]]&amp;","&amp;Agencia[[#This Row],[contenido]]</f>
        <v>Región de Los Lagos,regional,comuna,licencia,de conducir,clase,evolución,profesional,no profesional,especial,A1,A2,A3,A4,A5,B,C,D,E,F,Agencia Información,Transporte y Tránsito,Licencias de Conducir,Tránsito</v>
      </c>
      <c r="S1217" s="37" t="s">
        <v>2512</v>
      </c>
      <c r="T1217" s="114" t="s">
        <v>1850</v>
      </c>
      <c r="U1217" s="46" t="s">
        <v>398</v>
      </c>
      <c r="V1217" s="93" t="str">
        <f>+Agencia[[#This Row],[idcoleccion]]&amp;"-"&amp;Agencia[[#This Row],[id]]</f>
        <v>990-1206</v>
      </c>
      <c r="W1217" s="93">
        <f>+VLOOKUP(Agencia[[#This Row],[Filtro URL]],Estructura!$X$4:$Y$500,2,0)</f>
        <v>99200010</v>
      </c>
      <c r="X1217" s="93" t="str">
        <f>+VLOOKUP(Agencia[[#This Row],[tema]],Estructura!$A$4:$C$500,3,0)</f>
        <v>T-1038</v>
      </c>
      <c r="Y1217" s="93" t="str">
        <f>+VLOOKUP(Agencia[[#This Row],[contenido]],Estructura!$E$4:$G$500,3,0)</f>
        <v>C-1016</v>
      </c>
      <c r="Z1217" s="93" t="str">
        <f>+VLOOKUP(Agencia[[#This Row],[Filtro Integrado]],Estructura!$I$4:$K$500,3,0)</f>
        <v>FI-992</v>
      </c>
      <c r="AA1217" s="93" t="str">
        <f>+VLOOKUP(Agencia[[#This Row],[Muestra]],Estructura!$M$4:$O$500,3,0)</f>
        <v>M-1016</v>
      </c>
    </row>
    <row r="1218" spans="1:27" ht="57.6" x14ac:dyDescent="0.3">
      <c r="A1218" s="21" t="s">
        <v>2030</v>
      </c>
      <c r="B1218" s="23">
        <v>990</v>
      </c>
      <c r="C1218" s="24" t="s">
        <v>400</v>
      </c>
      <c r="D1218" s="67" t="s">
        <v>2010</v>
      </c>
      <c r="E1218" s="19">
        <v>11</v>
      </c>
      <c r="F1218" s="10" t="s">
        <v>2012</v>
      </c>
      <c r="G1218" s="10" t="s">
        <v>2700</v>
      </c>
      <c r="H1218" s="33" t="s">
        <v>16</v>
      </c>
      <c r="I1218" s="34" t="s">
        <v>378</v>
      </c>
      <c r="J1218" s="9" t="s">
        <v>16</v>
      </c>
      <c r="K1218" s="9" t="s">
        <v>2985</v>
      </c>
      <c r="L1218" s="9" t="s">
        <v>2014</v>
      </c>
      <c r="M1218" s="9" t="s">
        <v>2015</v>
      </c>
      <c r="N1218" s="9" t="s">
        <v>1370</v>
      </c>
      <c r="O1218" s="20" t="s">
        <v>2844</v>
      </c>
      <c r="P1218" s="112" t="s">
        <v>6858</v>
      </c>
      <c r="Q1218" s="11" t="s">
        <v>784</v>
      </c>
      <c r="R1218" s="148" t="str">
        <f>Agencia[[#This Row],[territorio]]&amp;",regional,comuna,licencia,de conducir,clase,evolución,profesional,no profesional,especial,A1,A2,A3,A4,A5,B,C,D,E,F,"&amp;Agencia[[#This Row],[coleccion]]&amp;","&amp;Agencia[[#This Row],[sector]]&amp;","&amp;Agencia[[#This Row],[tema]]&amp;","&amp;Agencia[[#This Row],[contenido]]</f>
        <v>Región de Aysén,regional,comuna,licencia,de conducir,clase,evolución,profesional,no profesional,especial,A1,A2,A3,A4,A5,B,C,D,E,F,Agencia Información,Transporte y Tránsito,Licencias de Conducir,Tránsito</v>
      </c>
      <c r="S1218" s="37" t="s">
        <v>2513</v>
      </c>
      <c r="T1218" s="114" t="s">
        <v>1847</v>
      </c>
      <c r="U1218" s="95" t="s">
        <v>398</v>
      </c>
      <c r="V1218" s="93" t="str">
        <f>+Agencia[[#This Row],[idcoleccion]]&amp;"-"&amp;Agencia[[#This Row],[id]]</f>
        <v>990-1207</v>
      </c>
      <c r="W1218" s="93">
        <f>+VLOOKUP(Agencia[[#This Row],[Filtro URL]],Estructura!$X$4:$Y$500,2,0)</f>
        <v>99200011</v>
      </c>
      <c r="X1218" s="93" t="str">
        <f>+VLOOKUP(Agencia[[#This Row],[tema]],Estructura!$A$4:$C$500,3,0)</f>
        <v>T-1038</v>
      </c>
      <c r="Y1218" s="93" t="str">
        <f>+VLOOKUP(Agencia[[#This Row],[contenido]],Estructura!$E$4:$G$500,3,0)</f>
        <v>C-1016</v>
      </c>
      <c r="Z1218" s="93" t="str">
        <f>+VLOOKUP(Agencia[[#This Row],[Filtro Integrado]],Estructura!$I$4:$K$500,3,0)</f>
        <v>FI-992</v>
      </c>
      <c r="AA1218" s="93" t="str">
        <f>+VLOOKUP(Agencia[[#This Row],[Muestra]],Estructura!$M$4:$O$500,3,0)</f>
        <v>M-1016</v>
      </c>
    </row>
    <row r="1219" spans="1:27" ht="61.2" x14ac:dyDescent="0.3">
      <c r="A1219" s="21" t="s">
        <v>2031</v>
      </c>
      <c r="B1219" s="23">
        <v>990</v>
      </c>
      <c r="C1219" s="24" t="s">
        <v>400</v>
      </c>
      <c r="D1219" s="67" t="s">
        <v>2010</v>
      </c>
      <c r="E1219" s="19">
        <v>12</v>
      </c>
      <c r="F1219" s="10" t="s">
        <v>2012</v>
      </c>
      <c r="G1219" s="10" t="s">
        <v>2700</v>
      </c>
      <c r="H1219" s="33" t="s">
        <v>16</v>
      </c>
      <c r="I1219" s="34" t="s">
        <v>379</v>
      </c>
      <c r="J1219" s="9" t="s">
        <v>16</v>
      </c>
      <c r="K1219" s="9" t="s">
        <v>2985</v>
      </c>
      <c r="L1219" s="9" t="s">
        <v>2014</v>
      </c>
      <c r="M1219" s="9" t="s">
        <v>2015</v>
      </c>
      <c r="N1219" s="9" t="s">
        <v>1370</v>
      </c>
      <c r="O1219" s="20" t="s">
        <v>2845</v>
      </c>
      <c r="P1219" s="112" t="s">
        <v>6859</v>
      </c>
      <c r="Q1219" s="11" t="s">
        <v>784</v>
      </c>
      <c r="R1219" s="148" t="str">
        <f>Agencia[[#This Row],[territorio]]&amp;",regional,comuna,licencia,de conducir,clase,evolución,profesional,no profesional,especial,A1,A2,A3,A4,A5,B,C,D,E,F,"&amp;Agencia[[#This Row],[coleccion]]&amp;","&amp;Agencia[[#This Row],[sector]]&amp;","&amp;Agencia[[#This Row],[tema]]&amp;","&amp;Agencia[[#This Row],[contenido]]</f>
        <v>Región de Magallanes,regional,comuna,licencia,de conducir,clase,evolución,profesional,no profesional,especial,A1,A2,A3,A4,A5,B,C,D,E,F,Agencia Información,Transporte y Tránsito,Licencias de Conducir,Tránsito</v>
      </c>
      <c r="S1219" s="37" t="s">
        <v>2514</v>
      </c>
      <c r="T1219" s="114" t="s">
        <v>1852</v>
      </c>
      <c r="U1219" s="46" t="s">
        <v>398</v>
      </c>
      <c r="V1219" s="93" t="str">
        <f>+Agencia[[#This Row],[idcoleccion]]&amp;"-"&amp;Agencia[[#This Row],[id]]</f>
        <v>990-1208</v>
      </c>
      <c r="W1219" s="93">
        <f>+VLOOKUP(Agencia[[#This Row],[Filtro URL]],Estructura!$X$4:$Y$500,2,0)</f>
        <v>99200012</v>
      </c>
      <c r="X1219" s="93" t="str">
        <f>+VLOOKUP(Agencia[[#This Row],[tema]],Estructura!$A$4:$C$500,3,0)</f>
        <v>T-1038</v>
      </c>
      <c r="Y1219" s="93" t="str">
        <f>+VLOOKUP(Agencia[[#This Row],[contenido]],Estructura!$E$4:$G$500,3,0)</f>
        <v>C-1016</v>
      </c>
      <c r="Z1219" s="93" t="str">
        <f>+VLOOKUP(Agencia[[#This Row],[Filtro Integrado]],Estructura!$I$4:$K$500,3,0)</f>
        <v>FI-992</v>
      </c>
      <c r="AA1219" s="93" t="str">
        <f>+VLOOKUP(Agencia[[#This Row],[Muestra]],Estructura!$M$4:$O$500,3,0)</f>
        <v>M-1016</v>
      </c>
    </row>
    <row r="1220" spans="1:27" ht="61.2" x14ac:dyDescent="0.3">
      <c r="A1220" s="21" t="s">
        <v>2032</v>
      </c>
      <c r="B1220" s="23">
        <v>990</v>
      </c>
      <c r="C1220" s="24" t="s">
        <v>400</v>
      </c>
      <c r="D1220" s="67" t="s">
        <v>2010</v>
      </c>
      <c r="E1220" s="19">
        <v>13</v>
      </c>
      <c r="F1220" s="10" t="s">
        <v>2012</v>
      </c>
      <c r="G1220" s="10" t="s">
        <v>2700</v>
      </c>
      <c r="H1220" s="33" t="s">
        <v>16</v>
      </c>
      <c r="I1220" s="34" t="s">
        <v>380</v>
      </c>
      <c r="J1220" s="9" t="s">
        <v>16</v>
      </c>
      <c r="K1220" s="9" t="s">
        <v>2985</v>
      </c>
      <c r="L1220" s="9" t="s">
        <v>2014</v>
      </c>
      <c r="M1220" s="9" t="s">
        <v>2015</v>
      </c>
      <c r="N1220" s="9" t="s">
        <v>1370</v>
      </c>
      <c r="O1220" s="20" t="s">
        <v>2846</v>
      </c>
      <c r="P1220" s="112" t="s">
        <v>6860</v>
      </c>
      <c r="Q1220" s="11" t="s">
        <v>784</v>
      </c>
      <c r="R1220" s="148" t="str">
        <f>Agencia[[#This Row],[territorio]]&amp;",regional,comuna,licencia,de conducir,clase,evolución,profesional,no profesional,especial,A1,A2,A3,A4,A5,B,C,D,E,F,"&amp;Agencia[[#This Row],[coleccion]]&amp;","&amp;Agencia[[#This Row],[sector]]&amp;","&amp;Agencia[[#This Row],[tema]]&amp;","&amp;Agencia[[#This Row],[contenido]]</f>
        <v>Región Metropolitana,regional,comuna,licencia,de conducir,clase,evolución,profesional,no profesional,especial,A1,A2,A3,A4,A5,B,C,D,E,F,Agencia Información,Transporte y Tránsito,Licencias de Conducir,Tránsito</v>
      </c>
      <c r="S1220" s="37" t="s">
        <v>2515</v>
      </c>
      <c r="T1220" s="114" t="s">
        <v>1859</v>
      </c>
      <c r="U1220" s="46" t="s">
        <v>398</v>
      </c>
      <c r="V1220" s="93" t="str">
        <f>+Agencia[[#This Row],[idcoleccion]]&amp;"-"&amp;Agencia[[#This Row],[id]]</f>
        <v>990-1209</v>
      </c>
      <c r="W1220" s="93">
        <f>+VLOOKUP(Agencia[[#This Row],[Filtro URL]],Estructura!$X$4:$Y$500,2,0)</f>
        <v>99200013</v>
      </c>
      <c r="X1220" s="93" t="str">
        <f>+VLOOKUP(Agencia[[#This Row],[tema]],Estructura!$A$4:$C$500,3,0)</f>
        <v>T-1038</v>
      </c>
      <c r="Y1220" s="93" t="str">
        <f>+VLOOKUP(Agencia[[#This Row],[contenido]],Estructura!$E$4:$G$500,3,0)</f>
        <v>C-1016</v>
      </c>
      <c r="Z1220" s="93" t="str">
        <f>+VLOOKUP(Agencia[[#This Row],[Filtro Integrado]],Estructura!$I$4:$K$500,3,0)</f>
        <v>FI-992</v>
      </c>
      <c r="AA1220" s="93" t="str">
        <f>+VLOOKUP(Agencia[[#This Row],[Muestra]],Estructura!$M$4:$O$500,3,0)</f>
        <v>M-1016</v>
      </c>
    </row>
    <row r="1221" spans="1:27" ht="57.6" x14ac:dyDescent="0.3">
      <c r="A1221" s="21" t="s">
        <v>2033</v>
      </c>
      <c r="B1221" s="23">
        <v>990</v>
      </c>
      <c r="C1221" s="24" t="s">
        <v>400</v>
      </c>
      <c r="D1221" s="67" t="s">
        <v>2010</v>
      </c>
      <c r="E1221" s="19">
        <v>14</v>
      </c>
      <c r="F1221" s="10" t="s">
        <v>2012</v>
      </c>
      <c r="G1221" s="10" t="s">
        <v>2700</v>
      </c>
      <c r="H1221" s="33" t="s">
        <v>16</v>
      </c>
      <c r="I1221" s="34" t="s">
        <v>381</v>
      </c>
      <c r="J1221" s="9" t="s">
        <v>16</v>
      </c>
      <c r="K1221" s="9" t="s">
        <v>2985</v>
      </c>
      <c r="L1221" s="9" t="s">
        <v>2014</v>
      </c>
      <c r="M1221" s="9" t="s">
        <v>2015</v>
      </c>
      <c r="N1221" s="9" t="s">
        <v>1370</v>
      </c>
      <c r="O1221" s="20" t="s">
        <v>2847</v>
      </c>
      <c r="P1221" s="112" t="s">
        <v>6861</v>
      </c>
      <c r="Q1221" s="11" t="s">
        <v>784</v>
      </c>
      <c r="R1221" s="148" t="str">
        <f>Agencia[[#This Row],[territorio]]&amp;",regional,comuna,licencia,de conducir,clase,evolución,profesional,no profesional,especial,A1,A2,A3,A4,A5,B,C,D,E,F,"&amp;Agencia[[#This Row],[coleccion]]&amp;","&amp;Agencia[[#This Row],[sector]]&amp;","&amp;Agencia[[#This Row],[tema]]&amp;","&amp;Agencia[[#This Row],[contenido]]</f>
        <v>Región de Los Ríos,regional,comuna,licencia,de conducir,clase,evolución,profesional,no profesional,especial,A1,A2,A3,A4,A5,B,C,D,E,F,Agencia Información,Transporte y Tránsito,Licencias de Conducir,Tránsito</v>
      </c>
      <c r="S1221" s="37" t="s">
        <v>2516</v>
      </c>
      <c r="T1221" s="114" t="s">
        <v>1851</v>
      </c>
      <c r="U1221" s="95" t="s">
        <v>398</v>
      </c>
      <c r="V1221" s="93" t="str">
        <f>+Agencia[[#This Row],[idcoleccion]]&amp;"-"&amp;Agencia[[#This Row],[id]]</f>
        <v>990-1210</v>
      </c>
      <c r="W1221" s="93">
        <f>+VLOOKUP(Agencia[[#This Row],[Filtro URL]],Estructura!$X$4:$Y$500,2,0)</f>
        <v>99200014</v>
      </c>
      <c r="X1221" s="93" t="str">
        <f>+VLOOKUP(Agencia[[#This Row],[tema]],Estructura!$A$4:$C$500,3,0)</f>
        <v>T-1038</v>
      </c>
      <c r="Y1221" s="93" t="str">
        <f>+VLOOKUP(Agencia[[#This Row],[contenido]],Estructura!$E$4:$G$500,3,0)</f>
        <v>C-1016</v>
      </c>
      <c r="Z1221" s="93" t="str">
        <f>+VLOOKUP(Agencia[[#This Row],[Filtro Integrado]],Estructura!$I$4:$K$500,3,0)</f>
        <v>FI-992</v>
      </c>
      <c r="AA1221" s="93" t="str">
        <f>+VLOOKUP(Agencia[[#This Row],[Muestra]],Estructura!$M$4:$O$500,3,0)</f>
        <v>M-1016</v>
      </c>
    </row>
    <row r="1222" spans="1:27" ht="61.2" x14ac:dyDescent="0.3">
      <c r="A1222" s="21" t="s">
        <v>2036</v>
      </c>
      <c r="B1222" s="23">
        <v>990</v>
      </c>
      <c r="C1222" s="24" t="s">
        <v>400</v>
      </c>
      <c r="D1222" s="67" t="s">
        <v>2010</v>
      </c>
      <c r="E1222" s="19">
        <v>15</v>
      </c>
      <c r="F1222" s="10" t="s">
        <v>2012</v>
      </c>
      <c r="G1222" s="10" t="s">
        <v>2700</v>
      </c>
      <c r="H1222" s="33" t="s">
        <v>16</v>
      </c>
      <c r="I1222" s="34" t="s">
        <v>382</v>
      </c>
      <c r="J1222" s="9" t="s">
        <v>16</v>
      </c>
      <c r="K1222" s="9" t="s">
        <v>2985</v>
      </c>
      <c r="L1222" s="9" t="s">
        <v>2014</v>
      </c>
      <c r="M1222" s="9" t="s">
        <v>2015</v>
      </c>
      <c r="N1222" s="9" t="s">
        <v>1370</v>
      </c>
      <c r="O1222" s="20" t="s">
        <v>2848</v>
      </c>
      <c r="P1222" s="112" t="s">
        <v>6862</v>
      </c>
      <c r="Q1222" s="11" t="s">
        <v>784</v>
      </c>
      <c r="R1222" s="148" t="str">
        <f>Agencia[[#This Row],[territorio]]&amp;",regional,comuna,licencia,de conducir,clase,evolución,profesional,no profesional,especial,A1,A2,A3,A4,A5,B,C,D,E,F,"&amp;Agencia[[#This Row],[coleccion]]&amp;","&amp;Agencia[[#This Row],[sector]]&amp;","&amp;Agencia[[#This Row],[tema]]&amp;","&amp;Agencia[[#This Row],[contenido]]</f>
        <v>Región de Arica y Parinacota,regional,comuna,licencia,de conducir,clase,evolución,profesional,no profesional,especial,A1,A2,A3,A4,A5,B,C,D,E,F,Agencia Información,Transporte y Tránsito,Licencias de Conducir,Tránsito</v>
      </c>
      <c r="S1222" s="37" t="s">
        <v>2517</v>
      </c>
      <c r="T1222" s="114" t="s">
        <v>1845</v>
      </c>
      <c r="U1222" s="46" t="s">
        <v>398</v>
      </c>
      <c r="V1222" s="93" t="str">
        <f>+Agencia[[#This Row],[idcoleccion]]&amp;"-"&amp;Agencia[[#This Row],[id]]</f>
        <v>990-1211</v>
      </c>
      <c r="W1222" s="93">
        <f>+VLOOKUP(Agencia[[#This Row],[Filtro URL]],Estructura!$X$4:$Y$500,2,0)</f>
        <v>99200015</v>
      </c>
      <c r="X1222" s="93" t="str">
        <f>+VLOOKUP(Agencia[[#This Row],[tema]],Estructura!$A$4:$C$500,3,0)</f>
        <v>T-1038</v>
      </c>
      <c r="Y1222" s="93" t="str">
        <f>+VLOOKUP(Agencia[[#This Row],[contenido]],Estructura!$E$4:$G$500,3,0)</f>
        <v>C-1016</v>
      </c>
      <c r="Z1222" s="93" t="str">
        <f>+VLOOKUP(Agencia[[#This Row],[Filtro Integrado]],Estructura!$I$4:$K$500,3,0)</f>
        <v>FI-992</v>
      </c>
      <c r="AA1222" s="93" t="str">
        <f>+VLOOKUP(Agencia[[#This Row],[Muestra]],Estructura!$M$4:$O$500,3,0)</f>
        <v>M-1016</v>
      </c>
    </row>
    <row r="1223" spans="1:27" ht="57.6" x14ac:dyDescent="0.3">
      <c r="A1223" s="21" t="s">
        <v>2037</v>
      </c>
      <c r="B1223" s="23">
        <v>990</v>
      </c>
      <c r="C1223" s="24" t="s">
        <v>400</v>
      </c>
      <c r="D1223" s="67" t="s">
        <v>2010</v>
      </c>
      <c r="E1223" s="19">
        <v>16</v>
      </c>
      <c r="F1223" s="10" t="s">
        <v>2012</v>
      </c>
      <c r="G1223" s="10" t="s">
        <v>2700</v>
      </c>
      <c r="H1223" s="33" t="s">
        <v>16</v>
      </c>
      <c r="I1223" s="34" t="s">
        <v>383</v>
      </c>
      <c r="J1223" s="9" t="s">
        <v>16</v>
      </c>
      <c r="K1223" s="9" t="s">
        <v>2985</v>
      </c>
      <c r="L1223" s="9" t="s">
        <v>2014</v>
      </c>
      <c r="M1223" s="9" t="s">
        <v>2015</v>
      </c>
      <c r="N1223" s="9" t="s">
        <v>1370</v>
      </c>
      <c r="O1223" s="20" t="s">
        <v>2849</v>
      </c>
      <c r="P1223" s="112" t="s">
        <v>6863</v>
      </c>
      <c r="Q1223" s="11" t="s">
        <v>784</v>
      </c>
      <c r="R1223" s="148" t="str">
        <f>Agencia[[#This Row],[territorio]]&amp;",regional,comuna,licencia,de conducir,clase,evolución,profesional,no profesional,especial,A1,A2,A3,A4,A5,B,C,D,E,F,"&amp;Agencia[[#This Row],[coleccion]]&amp;","&amp;Agencia[[#This Row],[sector]]&amp;","&amp;Agencia[[#This Row],[tema]]&amp;","&amp;Agencia[[#This Row],[contenido]]</f>
        <v>Región de Ñuble,regional,comuna,licencia,de conducir,clase,evolución,profesional,no profesional,especial,A1,A2,A3,A4,A5,B,C,D,E,F,Agencia Información,Transporte y Tránsito,Licencias de Conducir,Tránsito</v>
      </c>
      <c r="S1223" s="37" t="s">
        <v>2850</v>
      </c>
      <c r="T1223" s="114" t="s">
        <v>1854</v>
      </c>
      <c r="U1223" s="46" t="s">
        <v>398</v>
      </c>
      <c r="V1223" s="93" t="str">
        <f>+Agencia[[#This Row],[idcoleccion]]&amp;"-"&amp;Agencia[[#This Row],[id]]</f>
        <v>990-1212</v>
      </c>
      <c r="W1223" s="93">
        <f>+VLOOKUP(Agencia[[#This Row],[Filtro URL]],Estructura!$X$4:$Y$500,2,0)</f>
        <v>99200016</v>
      </c>
      <c r="X1223" s="93" t="str">
        <f>+VLOOKUP(Agencia[[#This Row],[tema]],Estructura!$A$4:$C$500,3,0)</f>
        <v>T-1038</v>
      </c>
      <c r="Y1223" s="93" t="str">
        <f>+VLOOKUP(Agencia[[#This Row],[contenido]],Estructura!$E$4:$G$500,3,0)</f>
        <v>C-1016</v>
      </c>
      <c r="Z1223" s="93" t="str">
        <f>+VLOOKUP(Agencia[[#This Row],[Filtro Integrado]],Estructura!$I$4:$K$500,3,0)</f>
        <v>FI-992</v>
      </c>
      <c r="AA1223" s="93" t="str">
        <f>+VLOOKUP(Agencia[[#This Row],[Muestra]],Estructura!$M$4:$O$500,3,0)</f>
        <v>M-1016</v>
      </c>
    </row>
    <row r="1224" spans="1:27" ht="51" x14ac:dyDescent="0.3">
      <c r="A1224" s="21" t="s">
        <v>2038</v>
      </c>
      <c r="B1224" s="23">
        <v>990</v>
      </c>
      <c r="C1224" s="24" t="s">
        <v>400</v>
      </c>
      <c r="D1224" s="67" t="s">
        <v>866</v>
      </c>
      <c r="E1224" s="14">
        <v>0</v>
      </c>
      <c r="F1224" s="10" t="s">
        <v>1418</v>
      </c>
      <c r="G1224" s="10" t="s">
        <v>866</v>
      </c>
      <c r="H1224" s="31" t="s">
        <v>20</v>
      </c>
      <c r="I1224" s="32" t="s">
        <v>15</v>
      </c>
      <c r="J1224" s="9" t="s">
        <v>403</v>
      </c>
      <c r="K1224" s="9" t="s">
        <v>9267</v>
      </c>
      <c r="L1224" s="9" t="s">
        <v>596</v>
      </c>
      <c r="M1224" s="9" t="s">
        <v>867</v>
      </c>
      <c r="N1224" s="9" t="s">
        <v>868</v>
      </c>
      <c r="O1224" s="20" t="s">
        <v>2851</v>
      </c>
      <c r="P1224" s="112" t="s">
        <v>2111</v>
      </c>
      <c r="Q1224" s="11" t="s">
        <v>576</v>
      </c>
      <c r="R1224" s="20" t="str">
        <f>Agencia[[#This Row],[territorio]]&amp;",nacional,región,capacidad,instalada,potencia,neta,MW,ernc,tipo,gas,natural,solar,geotérmica,mini,hidráulica,pasada,petróleo,diesel,biogas,"&amp;Agencia[[#This Row],[coleccion]]&amp;","&amp;Agencia[[#This Row],[sector]]&amp;","&amp;Agencia[[#This Row],[tema]]&amp;","&amp;Agencia[[#This Row],[contenido]]</f>
        <v>Chile,nacional,región,capacidad,instalada,potencia,neta,MW,ernc,tipo,gas,natural,solar,geotérmica,mini,hidráulica,pasada,petróleo,diesel,biogas,Agencia Información,Energía,Capacidad Instalada ,Energía</v>
      </c>
      <c r="S1224" s="83" t="s">
        <v>2112</v>
      </c>
      <c r="T1224" s="114" t="s">
        <v>805</v>
      </c>
      <c r="U1224" s="95" t="s">
        <v>398</v>
      </c>
      <c r="V1224" s="93" t="str">
        <f>+Agencia[[#This Row],[idcoleccion]]&amp;"-"&amp;Agencia[[#This Row],[id]]</f>
        <v>990-1213</v>
      </c>
      <c r="W1224" s="93">
        <f>+VLOOKUP(Agencia[[#This Row],[Filtro URL]],Estructura!$X$4:$Y$500,2,0)</f>
        <v>99100000</v>
      </c>
      <c r="X1224" s="93" t="str">
        <f>+VLOOKUP(Agencia[[#This Row],[tema]],Estructura!$A$4:$C$500,3,0)</f>
        <v>T-1030</v>
      </c>
      <c r="Y1224" s="93" t="str">
        <f>+VLOOKUP(Agencia[[#This Row],[contenido]],Estructura!$E$4:$G$500,3,0)</f>
        <v>C-1000</v>
      </c>
      <c r="Z1224" s="93" t="str">
        <f>+VLOOKUP(Agencia[[#This Row],[Filtro Integrado]],Estructura!$I$4:$K$500,3,0)</f>
        <v>FI-993</v>
      </c>
      <c r="AA1224" s="93" t="str">
        <f>+VLOOKUP(Agencia[[#This Row],[Muestra]],Estructura!$M$4:$O$500,3,0)</f>
        <v>M-1049</v>
      </c>
    </row>
    <row r="1225" spans="1:27" ht="72" x14ac:dyDescent="0.3">
      <c r="A1225" s="21" t="s">
        <v>2039</v>
      </c>
      <c r="B1225" s="23">
        <v>990</v>
      </c>
      <c r="C1225" s="24" t="s">
        <v>400</v>
      </c>
      <c r="D1225" s="67" t="s">
        <v>866</v>
      </c>
      <c r="E1225" s="19">
        <v>1</v>
      </c>
      <c r="F1225" s="10" t="s">
        <v>1418</v>
      </c>
      <c r="G1225" s="10" t="s">
        <v>866</v>
      </c>
      <c r="H1225" s="33" t="s">
        <v>16</v>
      </c>
      <c r="I1225" s="34" t="s">
        <v>368</v>
      </c>
      <c r="J1225" s="9" t="s">
        <v>403</v>
      </c>
      <c r="K1225" s="142" t="s">
        <v>9267</v>
      </c>
      <c r="L1225" s="9" t="s">
        <v>596</v>
      </c>
      <c r="M1225" s="9" t="s">
        <v>867</v>
      </c>
      <c r="N1225" s="9" t="s">
        <v>868</v>
      </c>
      <c r="O1225" s="20" t="s">
        <v>2518</v>
      </c>
      <c r="P1225" s="112" t="s">
        <v>6052</v>
      </c>
      <c r="Q1225" s="11" t="s">
        <v>576</v>
      </c>
      <c r="R1225" s="148" t="str">
        <f>Agencia[[#This Row],[territorio]]&amp;",regional,capacidad,instalada,potencia,neta,MW,ernc,tipo,gas,natural,solar,geotérmica,mini,hidráulica,pasada,petróleo,diesel,biogas,"&amp;Agencia[[#This Row],[coleccion]]&amp;","&amp;Agencia[[#This Row],[sector]]&amp;","&amp;Agencia[[#This Row],[tema]]&amp;","&amp;Agencia[[#This Row],[contenido]]</f>
        <v>Región de Tarapacá,regional,capacidad,instalada,potencia,neta,MW,ernc,tipo,gas,natural,solar,geotérmica,mini,hidráulica,pasada,petróleo,diesel,biogas,Agencia Información,Energía,Capacidad Instalada ,Energía</v>
      </c>
      <c r="S1225" s="83" t="s">
        <v>2519</v>
      </c>
      <c r="T1225" s="114" t="s">
        <v>1872</v>
      </c>
      <c r="U1225" s="46" t="s">
        <v>398</v>
      </c>
      <c r="V1225" s="93" t="str">
        <f>+Agencia[[#This Row],[idcoleccion]]&amp;"-"&amp;Agencia[[#This Row],[id]]</f>
        <v>990-1214</v>
      </c>
      <c r="W1225" s="93">
        <f>+VLOOKUP(Agencia[[#This Row],[Filtro URL]],Estructura!$X$4:$Y$500,2,0)</f>
        <v>99200001</v>
      </c>
      <c r="X1225" s="93" t="str">
        <f>+VLOOKUP(Agencia[[#This Row],[tema]],Estructura!$A$4:$C$500,3,0)</f>
        <v>T-1030</v>
      </c>
      <c r="Y1225" s="93" t="str">
        <f>+VLOOKUP(Agencia[[#This Row],[contenido]],Estructura!$E$4:$G$500,3,0)</f>
        <v>C-1000</v>
      </c>
      <c r="Z1225" s="93" t="str">
        <f>+VLOOKUP(Agencia[[#This Row],[Filtro Integrado]],Estructura!$I$4:$K$500,3,0)</f>
        <v>FI-993</v>
      </c>
      <c r="AA1225" s="93" t="str">
        <f>+VLOOKUP(Agencia[[#This Row],[Muestra]],Estructura!$M$4:$O$500,3,0)</f>
        <v>M-1049</v>
      </c>
    </row>
    <row r="1226" spans="1:27" ht="72" x14ac:dyDescent="0.3">
      <c r="A1226" s="21" t="s">
        <v>2040</v>
      </c>
      <c r="B1226" s="23">
        <v>990</v>
      </c>
      <c r="C1226" s="24" t="s">
        <v>400</v>
      </c>
      <c r="D1226" s="67" t="s">
        <v>866</v>
      </c>
      <c r="E1226" s="19">
        <v>2</v>
      </c>
      <c r="F1226" s="10" t="s">
        <v>1418</v>
      </c>
      <c r="G1226" s="10" t="s">
        <v>866</v>
      </c>
      <c r="H1226" s="33" t="s">
        <v>16</v>
      </c>
      <c r="I1226" s="34" t="s">
        <v>369</v>
      </c>
      <c r="J1226" s="9" t="s">
        <v>403</v>
      </c>
      <c r="K1226" s="142" t="s">
        <v>9267</v>
      </c>
      <c r="L1226" s="9" t="s">
        <v>596</v>
      </c>
      <c r="M1226" s="9" t="s">
        <v>867</v>
      </c>
      <c r="N1226" s="9" t="s">
        <v>868</v>
      </c>
      <c r="O1226" s="20" t="s">
        <v>2520</v>
      </c>
      <c r="P1226" s="112" t="s">
        <v>6051</v>
      </c>
      <c r="Q1226" s="11" t="s">
        <v>576</v>
      </c>
      <c r="R1226"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Antofagasta,regional,capacidad,instalada,potencia,neta,MW,ernc,tipo,gas,natural,solar,geotérmica,mini,hidráulica,pasada,petróleo,diesel,biogas,Agencia Información,Energía,Capacidad Instalada ,Energía</v>
      </c>
      <c r="S1226" s="83" t="s">
        <v>2521</v>
      </c>
      <c r="T1226" s="114" t="s">
        <v>1860</v>
      </c>
      <c r="U1226" s="46" t="s">
        <v>398</v>
      </c>
      <c r="V1226" s="93" t="str">
        <f>+Agencia[[#This Row],[idcoleccion]]&amp;"-"&amp;Agencia[[#This Row],[id]]</f>
        <v>990-1215</v>
      </c>
      <c r="W1226" s="93">
        <f>+VLOOKUP(Agencia[[#This Row],[Filtro URL]],Estructura!$X$4:$Y$500,2,0)</f>
        <v>99200002</v>
      </c>
      <c r="X1226" s="93" t="str">
        <f>+VLOOKUP(Agencia[[#This Row],[tema]],Estructura!$A$4:$C$500,3,0)</f>
        <v>T-1030</v>
      </c>
      <c r="Y1226" s="93" t="str">
        <f>+VLOOKUP(Agencia[[#This Row],[contenido]],Estructura!$E$4:$G$500,3,0)</f>
        <v>C-1000</v>
      </c>
      <c r="Z1226" s="93" t="str">
        <f>+VLOOKUP(Agencia[[#This Row],[Filtro Integrado]],Estructura!$I$4:$K$500,3,0)</f>
        <v>FI-993</v>
      </c>
      <c r="AA1226" s="93" t="str">
        <f>+VLOOKUP(Agencia[[#This Row],[Muestra]],Estructura!$M$4:$O$500,3,0)</f>
        <v>M-1049</v>
      </c>
    </row>
    <row r="1227" spans="1:27" ht="72" x14ac:dyDescent="0.3">
      <c r="A1227" s="21" t="s">
        <v>2041</v>
      </c>
      <c r="B1227" s="23">
        <v>990</v>
      </c>
      <c r="C1227" s="24" t="s">
        <v>400</v>
      </c>
      <c r="D1227" s="67" t="s">
        <v>866</v>
      </c>
      <c r="E1227" s="19">
        <v>3</v>
      </c>
      <c r="F1227" s="10" t="s">
        <v>1418</v>
      </c>
      <c r="G1227" s="10" t="s">
        <v>866</v>
      </c>
      <c r="H1227" s="33" t="s">
        <v>16</v>
      </c>
      <c r="I1227" s="34" t="s">
        <v>370</v>
      </c>
      <c r="J1227" s="9" t="s">
        <v>403</v>
      </c>
      <c r="K1227" s="142" t="s">
        <v>9267</v>
      </c>
      <c r="L1227" s="9" t="s">
        <v>596</v>
      </c>
      <c r="M1227" s="9" t="s">
        <v>867</v>
      </c>
      <c r="N1227" s="9" t="s">
        <v>868</v>
      </c>
      <c r="O1227" s="20" t="s">
        <v>2522</v>
      </c>
      <c r="P1227" s="112" t="s">
        <v>6053</v>
      </c>
      <c r="Q1227" s="11" t="s">
        <v>576</v>
      </c>
      <c r="R1227"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Atacama,regional,capacidad,instalada,potencia,neta,MW,ernc,tipo,gas,natural,solar,geotérmica,mini,hidráulica,pasada,petróleo,diesel,biogas,Agencia Información,Energía,Capacidad Instalada ,Energía</v>
      </c>
      <c r="S1227" s="83" t="s">
        <v>2523</v>
      </c>
      <c r="T1227" s="114" t="s">
        <v>1862</v>
      </c>
      <c r="U1227" s="95" t="s">
        <v>398</v>
      </c>
      <c r="V1227" s="93" t="str">
        <f>+Agencia[[#This Row],[idcoleccion]]&amp;"-"&amp;Agencia[[#This Row],[id]]</f>
        <v>990-1216</v>
      </c>
      <c r="W1227" s="93">
        <f>+VLOOKUP(Agencia[[#This Row],[Filtro URL]],Estructura!$X$4:$Y$500,2,0)</f>
        <v>99200003</v>
      </c>
      <c r="X1227" s="93" t="str">
        <f>+VLOOKUP(Agencia[[#This Row],[tema]],Estructura!$A$4:$C$500,3,0)</f>
        <v>T-1030</v>
      </c>
      <c r="Y1227" s="93" t="str">
        <f>+VLOOKUP(Agencia[[#This Row],[contenido]],Estructura!$E$4:$G$500,3,0)</f>
        <v>C-1000</v>
      </c>
      <c r="Z1227" s="93" t="str">
        <f>+VLOOKUP(Agencia[[#This Row],[Filtro Integrado]],Estructura!$I$4:$K$500,3,0)</f>
        <v>FI-993</v>
      </c>
      <c r="AA1227" s="93" t="str">
        <f>+VLOOKUP(Agencia[[#This Row],[Muestra]],Estructura!$M$4:$O$500,3,0)</f>
        <v>M-1049</v>
      </c>
    </row>
    <row r="1228" spans="1:27" ht="72" x14ac:dyDescent="0.3">
      <c r="A1228" s="21" t="s">
        <v>2042</v>
      </c>
      <c r="B1228" s="23">
        <v>990</v>
      </c>
      <c r="C1228" s="24" t="s">
        <v>400</v>
      </c>
      <c r="D1228" s="67" t="s">
        <v>866</v>
      </c>
      <c r="E1228" s="19">
        <v>4</v>
      </c>
      <c r="F1228" s="10" t="s">
        <v>1418</v>
      </c>
      <c r="G1228" s="10" t="s">
        <v>866</v>
      </c>
      <c r="H1228" s="33" t="s">
        <v>16</v>
      </c>
      <c r="I1228" s="34" t="s">
        <v>371</v>
      </c>
      <c r="J1228" s="9" t="s">
        <v>403</v>
      </c>
      <c r="K1228" s="142" t="s">
        <v>9267</v>
      </c>
      <c r="L1228" s="9" t="s">
        <v>596</v>
      </c>
      <c r="M1228" s="9" t="s">
        <v>867</v>
      </c>
      <c r="N1228" s="9" t="s">
        <v>868</v>
      </c>
      <c r="O1228" s="20" t="s">
        <v>2524</v>
      </c>
      <c r="P1228" s="112" t="s">
        <v>6054</v>
      </c>
      <c r="Q1228" s="11" t="s">
        <v>576</v>
      </c>
      <c r="R1228" s="148" t="str">
        <f>Agencia[[#This Row],[territorio]]&amp;",regional,capacidad,instalada,potencia,neta,MW,ernc,tipo,gas,natural,solar,geotérmica,mini,hidráulica,pasada,petróleo,diesel,biogas,"&amp;Agencia[[#This Row],[coleccion]]&amp;","&amp;Agencia[[#This Row],[sector]]&amp;","&amp;Agencia[[#This Row],[tema]]&amp;","&amp;Agencia[[#This Row],[contenido]]</f>
        <v>Región de Coquimbo,regional,capacidad,instalada,potencia,neta,MW,ernc,tipo,gas,natural,solar,geotérmica,mini,hidráulica,pasada,petróleo,diesel,biogas,Agencia Información,Energía,Capacidad Instalada ,Energía</v>
      </c>
      <c r="S1228" s="83" t="s">
        <v>2525</v>
      </c>
      <c r="T1228" s="114" t="s">
        <v>1864</v>
      </c>
      <c r="U1228" s="46" t="s">
        <v>398</v>
      </c>
      <c r="V1228" s="93" t="str">
        <f>+Agencia[[#This Row],[idcoleccion]]&amp;"-"&amp;Agencia[[#This Row],[id]]</f>
        <v>990-1217</v>
      </c>
      <c r="W1228" s="93">
        <f>+VLOOKUP(Agencia[[#This Row],[Filtro URL]],Estructura!$X$4:$Y$500,2,0)</f>
        <v>99200004</v>
      </c>
      <c r="X1228" s="93" t="str">
        <f>+VLOOKUP(Agencia[[#This Row],[tema]],Estructura!$A$4:$C$500,3,0)</f>
        <v>T-1030</v>
      </c>
      <c r="Y1228" s="93" t="str">
        <f>+VLOOKUP(Agencia[[#This Row],[contenido]],Estructura!$E$4:$G$500,3,0)</f>
        <v>C-1000</v>
      </c>
      <c r="Z1228" s="93" t="str">
        <f>+VLOOKUP(Agencia[[#This Row],[Filtro Integrado]],Estructura!$I$4:$K$500,3,0)</f>
        <v>FI-993</v>
      </c>
      <c r="AA1228" s="93" t="str">
        <f>+VLOOKUP(Agencia[[#This Row],[Muestra]],Estructura!$M$4:$O$500,3,0)</f>
        <v>M-1049</v>
      </c>
    </row>
    <row r="1229" spans="1:27" ht="72" x14ac:dyDescent="0.3">
      <c r="A1229" s="21" t="s">
        <v>2043</v>
      </c>
      <c r="B1229" s="23">
        <v>990</v>
      </c>
      <c r="C1229" s="24" t="s">
        <v>400</v>
      </c>
      <c r="D1229" s="67" t="s">
        <v>866</v>
      </c>
      <c r="E1229" s="19">
        <v>5</v>
      </c>
      <c r="F1229" s="10" t="s">
        <v>1418</v>
      </c>
      <c r="G1229" s="10" t="s">
        <v>866</v>
      </c>
      <c r="H1229" s="33" t="s">
        <v>16</v>
      </c>
      <c r="I1229" s="34" t="s">
        <v>372</v>
      </c>
      <c r="J1229" s="9" t="s">
        <v>403</v>
      </c>
      <c r="K1229" s="142" t="s">
        <v>9267</v>
      </c>
      <c r="L1229" s="9" t="s">
        <v>596</v>
      </c>
      <c r="M1229" s="9" t="s">
        <v>867</v>
      </c>
      <c r="N1229" s="9" t="s">
        <v>868</v>
      </c>
      <c r="O1229" s="20" t="s">
        <v>2526</v>
      </c>
      <c r="P1229" s="112" t="s">
        <v>6055</v>
      </c>
      <c r="Q1229" s="11" t="s">
        <v>576</v>
      </c>
      <c r="R1229" s="148" t="str">
        <f>Agencia[[#This Row],[territorio]]&amp;",regional,capacidad,instalada,potencia,neta,MW,ernc,tipo,gas,natural,solar,geotérmica,mini,hidráulica,pasada,petróleo,diesel,biogas,"&amp;Agencia[[#This Row],[coleccion]]&amp;","&amp;Agencia[[#This Row],[sector]]&amp;","&amp;Agencia[[#This Row],[tema]]&amp;","&amp;Agencia[[#This Row],[contenido]]</f>
        <v>Región de Valparaíso,regional,capacidad,instalada,potencia,neta,MW,ernc,tipo,gas,natural,solar,geotérmica,mini,hidráulica,pasada,petróleo,diesel,biogas,Agencia Información,Energía,Capacidad Instalada ,Energía</v>
      </c>
      <c r="S1229" s="83" t="s">
        <v>2527</v>
      </c>
      <c r="T1229" s="114" t="s">
        <v>1873</v>
      </c>
      <c r="U1229" s="46" t="s">
        <v>398</v>
      </c>
      <c r="V1229" s="93" t="str">
        <f>+Agencia[[#This Row],[idcoleccion]]&amp;"-"&amp;Agencia[[#This Row],[id]]</f>
        <v>990-1218</v>
      </c>
      <c r="W1229" s="93">
        <f>+VLOOKUP(Agencia[[#This Row],[Filtro URL]],Estructura!$X$4:$Y$500,2,0)</f>
        <v>99200005</v>
      </c>
      <c r="X1229" s="93" t="str">
        <f>+VLOOKUP(Agencia[[#This Row],[tema]],Estructura!$A$4:$C$500,3,0)</f>
        <v>T-1030</v>
      </c>
      <c r="Y1229" s="93" t="str">
        <f>+VLOOKUP(Agencia[[#This Row],[contenido]],Estructura!$E$4:$G$500,3,0)</f>
        <v>C-1000</v>
      </c>
      <c r="Z1229" s="93" t="str">
        <f>+VLOOKUP(Agencia[[#This Row],[Filtro Integrado]],Estructura!$I$4:$K$500,3,0)</f>
        <v>FI-993</v>
      </c>
      <c r="AA1229" s="93" t="str">
        <f>+VLOOKUP(Agencia[[#This Row],[Muestra]],Estructura!$M$4:$O$500,3,0)</f>
        <v>M-1049</v>
      </c>
    </row>
    <row r="1230" spans="1:27" ht="72" x14ac:dyDescent="0.3">
      <c r="A1230" s="21" t="s">
        <v>2044</v>
      </c>
      <c r="B1230" s="23">
        <v>990</v>
      </c>
      <c r="C1230" s="24" t="s">
        <v>400</v>
      </c>
      <c r="D1230" s="67" t="s">
        <v>866</v>
      </c>
      <c r="E1230" s="19">
        <v>6</v>
      </c>
      <c r="F1230" s="10" t="s">
        <v>1418</v>
      </c>
      <c r="G1230" s="10" t="s">
        <v>866</v>
      </c>
      <c r="H1230" s="33" t="s">
        <v>16</v>
      </c>
      <c r="I1230" s="34" t="s">
        <v>373</v>
      </c>
      <c r="J1230" s="9" t="s">
        <v>403</v>
      </c>
      <c r="K1230" s="142" t="s">
        <v>9267</v>
      </c>
      <c r="L1230" s="9" t="s">
        <v>596</v>
      </c>
      <c r="M1230" s="9" t="s">
        <v>867</v>
      </c>
      <c r="N1230" s="9" t="s">
        <v>868</v>
      </c>
      <c r="O1230" s="20" t="s">
        <v>2528</v>
      </c>
      <c r="P1230" s="112" t="s">
        <v>6056</v>
      </c>
      <c r="Q1230" s="11" t="s">
        <v>576</v>
      </c>
      <c r="R1230" s="148" t="str">
        <f>Agencia[[#This Row],[territorio]]&amp;",regional,capacidad,instalada,potencia,neta,MW,ernc,tipo,gas,natural,solar,geotérmica,mini,hidráulica,pasada,petróleo,diesel,biogas,"&amp;Agencia[[#This Row],[coleccion]]&amp;","&amp;Agencia[[#This Row],[sector]]&amp;","&amp;Agencia[[#This Row],[tema]]&amp;","&amp;Agencia[[#This Row],[contenido]]</f>
        <v>Región de O'Higgins,regional,capacidad,instalada,potencia,neta,MW,ernc,tipo,gas,natural,solar,geotérmica,mini,hidráulica,pasada,petróleo,diesel,biogas,Agencia Información,Energía,Capacidad Instalada ,Energía</v>
      </c>
      <c r="S1230" s="83" t="s">
        <v>2529</v>
      </c>
      <c r="T1230" s="114" t="s">
        <v>1871</v>
      </c>
      <c r="U1230" s="95" t="s">
        <v>398</v>
      </c>
      <c r="V1230" s="93" t="str">
        <f>+Agencia[[#This Row],[idcoleccion]]&amp;"-"&amp;Agencia[[#This Row],[id]]</f>
        <v>990-1219</v>
      </c>
      <c r="W1230" s="93">
        <f>+VLOOKUP(Agencia[[#This Row],[Filtro URL]],Estructura!$X$4:$Y$500,2,0)</f>
        <v>99200006</v>
      </c>
      <c r="X1230" s="93" t="str">
        <f>+VLOOKUP(Agencia[[#This Row],[tema]],Estructura!$A$4:$C$500,3,0)</f>
        <v>T-1030</v>
      </c>
      <c r="Y1230" s="93" t="str">
        <f>+VLOOKUP(Agencia[[#This Row],[contenido]],Estructura!$E$4:$G$500,3,0)</f>
        <v>C-1000</v>
      </c>
      <c r="Z1230" s="93" t="str">
        <f>+VLOOKUP(Agencia[[#This Row],[Filtro Integrado]],Estructura!$I$4:$K$500,3,0)</f>
        <v>FI-993</v>
      </c>
      <c r="AA1230" s="93" t="str">
        <f>+VLOOKUP(Agencia[[#This Row],[Muestra]],Estructura!$M$4:$O$500,3,0)</f>
        <v>M-1049</v>
      </c>
    </row>
    <row r="1231" spans="1:27" ht="72" x14ac:dyDescent="0.3">
      <c r="A1231" s="21" t="s">
        <v>2045</v>
      </c>
      <c r="B1231" s="23">
        <v>990</v>
      </c>
      <c r="C1231" s="24" t="s">
        <v>400</v>
      </c>
      <c r="D1231" s="67" t="s">
        <v>866</v>
      </c>
      <c r="E1231" s="19">
        <v>7</v>
      </c>
      <c r="F1231" s="10" t="s">
        <v>1418</v>
      </c>
      <c r="G1231" s="10" t="s">
        <v>866</v>
      </c>
      <c r="H1231" s="33" t="s">
        <v>16</v>
      </c>
      <c r="I1231" s="34" t="s">
        <v>374</v>
      </c>
      <c r="J1231" s="9" t="s">
        <v>403</v>
      </c>
      <c r="K1231" s="142" t="s">
        <v>9267</v>
      </c>
      <c r="L1231" s="9" t="s">
        <v>596</v>
      </c>
      <c r="M1231" s="9" t="s">
        <v>867</v>
      </c>
      <c r="N1231" s="9" t="s">
        <v>868</v>
      </c>
      <c r="O1231" s="20" t="s">
        <v>2530</v>
      </c>
      <c r="P1231" s="112" t="s">
        <v>6057</v>
      </c>
      <c r="Q1231" s="11" t="s">
        <v>576</v>
      </c>
      <c r="R1231" s="148" t="str">
        <f>Agencia[[#This Row],[territorio]]&amp;",regional,capacidad,instalada,potencia,neta,MW,ernc,tipo,gas,natural,solar,geotérmica,mini,hidráulica,pasada,petróleo,diesel,biogas,"&amp;Agencia[[#This Row],[coleccion]]&amp;","&amp;Agencia[[#This Row],[sector]]&amp;","&amp;Agencia[[#This Row],[tema]]&amp;","&amp;Agencia[[#This Row],[contenido]]</f>
        <v>Región de Maule,regional,capacidad,instalada,potencia,neta,MW,ernc,tipo,gas,natural,solar,geotérmica,mini,hidráulica,pasada,petróleo,diesel,biogas,Agencia Información,Energía,Capacidad Instalada ,Energía</v>
      </c>
      <c r="S1231" s="83" t="s">
        <v>2531</v>
      </c>
      <c r="T1231" s="114" t="s">
        <v>1869</v>
      </c>
      <c r="U1231" s="46" t="s">
        <v>398</v>
      </c>
      <c r="V1231" s="93" t="str">
        <f>+Agencia[[#This Row],[idcoleccion]]&amp;"-"&amp;Agencia[[#This Row],[id]]</f>
        <v>990-1220</v>
      </c>
      <c r="W1231" s="93">
        <f>+VLOOKUP(Agencia[[#This Row],[Filtro URL]],Estructura!$X$4:$Y$500,2,0)</f>
        <v>99200007</v>
      </c>
      <c r="X1231" s="93" t="str">
        <f>+VLOOKUP(Agencia[[#This Row],[tema]],Estructura!$A$4:$C$500,3,0)</f>
        <v>T-1030</v>
      </c>
      <c r="Y1231" s="93" t="str">
        <f>+VLOOKUP(Agencia[[#This Row],[contenido]],Estructura!$E$4:$G$500,3,0)</f>
        <v>C-1000</v>
      </c>
      <c r="Z1231" s="93" t="str">
        <f>+VLOOKUP(Agencia[[#This Row],[Filtro Integrado]],Estructura!$I$4:$K$500,3,0)</f>
        <v>FI-993</v>
      </c>
      <c r="AA1231" s="93" t="str">
        <f>+VLOOKUP(Agencia[[#This Row],[Muestra]],Estructura!$M$4:$O$500,3,0)</f>
        <v>M-1049</v>
      </c>
    </row>
    <row r="1232" spans="1:27" ht="72" x14ac:dyDescent="0.3">
      <c r="A1232" s="21" t="s">
        <v>2046</v>
      </c>
      <c r="B1232" s="23">
        <v>990</v>
      </c>
      <c r="C1232" s="24" t="s">
        <v>400</v>
      </c>
      <c r="D1232" s="67" t="s">
        <v>866</v>
      </c>
      <c r="E1232" s="19">
        <v>8</v>
      </c>
      <c r="F1232" s="10" t="s">
        <v>1418</v>
      </c>
      <c r="G1232" s="10" t="s">
        <v>866</v>
      </c>
      <c r="H1232" s="33" t="s">
        <v>16</v>
      </c>
      <c r="I1232" s="34" t="s">
        <v>375</v>
      </c>
      <c r="J1232" s="9" t="s">
        <v>403</v>
      </c>
      <c r="K1232" s="142" t="s">
        <v>9267</v>
      </c>
      <c r="L1232" s="9" t="s">
        <v>596</v>
      </c>
      <c r="M1232" s="9" t="s">
        <v>867</v>
      </c>
      <c r="N1232" s="9" t="s">
        <v>868</v>
      </c>
      <c r="O1232" s="20" t="s">
        <v>2532</v>
      </c>
      <c r="P1232" s="112" t="s">
        <v>6058</v>
      </c>
      <c r="Q1232" s="11" t="s">
        <v>576</v>
      </c>
      <c r="R1232" s="148" t="str">
        <f>Agencia[[#This Row],[territorio]]&amp;",regional,capacidad,instalada,potencia,neta,MW,ernc,tipo,gas,natural,solar,geotérmica,mini,hidráulica,pasada,petróleo,diesel,biogas,"&amp;Agencia[[#This Row],[coleccion]]&amp;","&amp;Agencia[[#This Row],[sector]]&amp;","&amp;Agencia[[#This Row],[tema]]&amp;","&amp;Agencia[[#This Row],[contenido]]</f>
        <v>Región del Biobío,regional,capacidad,instalada,potencia,neta,MW,ernc,tipo,gas,natural,solar,geotérmica,mini,hidráulica,pasada,petróleo,diesel,biogas,Agencia Información,Energía,Capacidad Instalada ,Energía</v>
      </c>
      <c r="S1232" s="83" t="s">
        <v>2533</v>
      </c>
      <c r="T1232" s="114" t="s">
        <v>1874</v>
      </c>
      <c r="U1232" s="46" t="s">
        <v>398</v>
      </c>
      <c r="V1232" s="93" t="str">
        <f>+Agencia[[#This Row],[idcoleccion]]&amp;"-"&amp;Agencia[[#This Row],[id]]</f>
        <v>990-1221</v>
      </c>
      <c r="W1232" s="93">
        <f>+VLOOKUP(Agencia[[#This Row],[Filtro URL]],Estructura!$X$4:$Y$500,2,0)</f>
        <v>99200008</v>
      </c>
      <c r="X1232" s="93" t="str">
        <f>+VLOOKUP(Agencia[[#This Row],[tema]],Estructura!$A$4:$C$500,3,0)</f>
        <v>T-1030</v>
      </c>
      <c r="Y1232" s="93" t="str">
        <f>+VLOOKUP(Agencia[[#This Row],[contenido]],Estructura!$E$4:$G$500,3,0)</f>
        <v>C-1000</v>
      </c>
      <c r="Z1232" s="93" t="str">
        <f>+VLOOKUP(Agencia[[#This Row],[Filtro Integrado]],Estructura!$I$4:$K$500,3,0)</f>
        <v>FI-993</v>
      </c>
      <c r="AA1232" s="93" t="str">
        <f>+VLOOKUP(Agencia[[#This Row],[Muestra]],Estructura!$M$4:$O$500,3,0)</f>
        <v>M-1049</v>
      </c>
    </row>
    <row r="1233" spans="1:27" ht="72" x14ac:dyDescent="0.3">
      <c r="A1233" s="21" t="s">
        <v>2047</v>
      </c>
      <c r="B1233" s="23">
        <v>990</v>
      </c>
      <c r="C1233" s="24" t="s">
        <v>400</v>
      </c>
      <c r="D1233" s="67" t="s">
        <v>866</v>
      </c>
      <c r="E1233" s="19">
        <v>9</v>
      </c>
      <c r="F1233" s="10" t="s">
        <v>1418</v>
      </c>
      <c r="G1233" s="10" t="s">
        <v>866</v>
      </c>
      <c r="H1233" s="33" t="s">
        <v>16</v>
      </c>
      <c r="I1233" s="34" t="s">
        <v>376</v>
      </c>
      <c r="J1233" s="9" t="s">
        <v>403</v>
      </c>
      <c r="K1233" s="142" t="s">
        <v>9267</v>
      </c>
      <c r="L1233" s="9" t="s">
        <v>596</v>
      </c>
      <c r="M1233" s="9" t="s">
        <v>867</v>
      </c>
      <c r="N1233" s="9" t="s">
        <v>868</v>
      </c>
      <c r="O1233" s="20" t="s">
        <v>2534</v>
      </c>
      <c r="P1233" s="112" t="s">
        <v>6059</v>
      </c>
      <c r="Q1233" s="11" t="s">
        <v>576</v>
      </c>
      <c r="R1233" s="148" t="str">
        <f>Agencia[[#This Row],[territorio]]&amp;",regional,capacidad,instalada,potencia,neta,MW,ernc,tipo,gas,natural,solar,geotérmica,mini,hidráulica,pasada,petróleo,diesel,biogas,"&amp;Agencia[[#This Row],[coleccion]]&amp;","&amp;Agencia[[#This Row],[sector]]&amp;","&amp;Agencia[[#This Row],[tema]]&amp;","&amp;Agencia[[#This Row],[contenido]]</f>
        <v>Región de La Araucanía,regional,capacidad,instalada,potencia,neta,MW,ernc,tipo,gas,natural,solar,geotérmica,mini,hidráulica,pasada,petróleo,diesel,biogas,Agencia Información,Energía,Capacidad Instalada ,Energía</v>
      </c>
      <c r="S1233" s="83" t="s">
        <v>2535</v>
      </c>
      <c r="T1233" s="114" t="s">
        <v>1865</v>
      </c>
      <c r="U1233" s="95" t="s">
        <v>398</v>
      </c>
      <c r="V1233" s="93" t="str">
        <f>+Agencia[[#This Row],[idcoleccion]]&amp;"-"&amp;Agencia[[#This Row],[id]]</f>
        <v>990-1222</v>
      </c>
      <c r="W1233" s="93">
        <f>+VLOOKUP(Agencia[[#This Row],[Filtro URL]],Estructura!$X$4:$Y$500,2,0)</f>
        <v>99200009</v>
      </c>
      <c r="X1233" s="93" t="str">
        <f>+VLOOKUP(Agencia[[#This Row],[tema]],Estructura!$A$4:$C$500,3,0)</f>
        <v>T-1030</v>
      </c>
      <c r="Y1233" s="93" t="str">
        <f>+VLOOKUP(Agencia[[#This Row],[contenido]],Estructura!$E$4:$G$500,3,0)</f>
        <v>C-1000</v>
      </c>
      <c r="Z1233" s="93" t="str">
        <f>+VLOOKUP(Agencia[[#This Row],[Filtro Integrado]],Estructura!$I$4:$K$500,3,0)</f>
        <v>FI-993</v>
      </c>
      <c r="AA1233" s="93" t="str">
        <f>+VLOOKUP(Agencia[[#This Row],[Muestra]],Estructura!$M$4:$O$500,3,0)</f>
        <v>M-1049</v>
      </c>
    </row>
    <row r="1234" spans="1:27" ht="72" x14ac:dyDescent="0.3">
      <c r="A1234" s="21" t="s">
        <v>2048</v>
      </c>
      <c r="B1234" s="23">
        <v>990</v>
      </c>
      <c r="C1234" s="24" t="s">
        <v>400</v>
      </c>
      <c r="D1234" s="67" t="s">
        <v>866</v>
      </c>
      <c r="E1234" s="19">
        <v>10</v>
      </c>
      <c r="F1234" s="10" t="s">
        <v>1418</v>
      </c>
      <c r="G1234" s="10" t="s">
        <v>866</v>
      </c>
      <c r="H1234" s="33" t="s">
        <v>16</v>
      </c>
      <c r="I1234" s="34" t="s">
        <v>377</v>
      </c>
      <c r="J1234" s="9" t="s">
        <v>403</v>
      </c>
      <c r="K1234" s="142" t="s">
        <v>9267</v>
      </c>
      <c r="L1234" s="9" t="s">
        <v>596</v>
      </c>
      <c r="M1234" s="9" t="s">
        <v>867</v>
      </c>
      <c r="N1234" s="9" t="s">
        <v>868</v>
      </c>
      <c r="O1234" s="20" t="s">
        <v>2536</v>
      </c>
      <c r="P1234" s="112" t="s">
        <v>6060</v>
      </c>
      <c r="Q1234" s="11" t="s">
        <v>576</v>
      </c>
      <c r="R1234" s="148" t="str">
        <f>Agencia[[#This Row],[territorio]]&amp;",regional,capacidad,instalada,potencia,neta,MW,ernc,tipo,gas,natural,solar,geotérmica,mini,hidráulica,pasada,petróleo,diesel,biogas,"&amp;Agencia[[#This Row],[coleccion]]&amp;","&amp;Agencia[[#This Row],[sector]]&amp;","&amp;Agencia[[#This Row],[tema]]&amp;","&amp;Agencia[[#This Row],[contenido]]</f>
        <v>Región de Los Lagos,regional,capacidad,instalada,potencia,neta,MW,ernc,tipo,gas,natural,solar,geotérmica,mini,hidráulica,pasada,petróleo,diesel,biogas,Agencia Información,Energía,Capacidad Instalada ,Energía</v>
      </c>
      <c r="S1234" s="83" t="s">
        <v>2537</v>
      </c>
      <c r="T1234" s="114" t="s">
        <v>1866</v>
      </c>
      <c r="U1234" s="46" t="s">
        <v>398</v>
      </c>
      <c r="V1234" s="93" t="str">
        <f>+Agencia[[#This Row],[idcoleccion]]&amp;"-"&amp;Agencia[[#This Row],[id]]</f>
        <v>990-1223</v>
      </c>
      <c r="W1234" s="93">
        <f>+VLOOKUP(Agencia[[#This Row],[Filtro URL]],Estructura!$X$4:$Y$500,2,0)</f>
        <v>99200010</v>
      </c>
      <c r="X1234" s="93" t="str">
        <f>+VLOOKUP(Agencia[[#This Row],[tema]],Estructura!$A$4:$C$500,3,0)</f>
        <v>T-1030</v>
      </c>
      <c r="Y1234" s="93" t="str">
        <f>+VLOOKUP(Agencia[[#This Row],[contenido]],Estructura!$E$4:$G$500,3,0)</f>
        <v>C-1000</v>
      </c>
      <c r="Z1234" s="93" t="str">
        <f>+VLOOKUP(Agencia[[#This Row],[Filtro Integrado]],Estructura!$I$4:$K$500,3,0)</f>
        <v>FI-993</v>
      </c>
      <c r="AA1234" s="93" t="str">
        <f>+VLOOKUP(Agencia[[#This Row],[Muestra]],Estructura!$M$4:$O$500,3,0)</f>
        <v>M-1049</v>
      </c>
    </row>
    <row r="1235" spans="1:27" ht="72" x14ac:dyDescent="0.3">
      <c r="A1235" s="21" t="s">
        <v>2049</v>
      </c>
      <c r="B1235" s="23">
        <v>990</v>
      </c>
      <c r="C1235" s="24" t="s">
        <v>400</v>
      </c>
      <c r="D1235" s="67" t="s">
        <v>866</v>
      </c>
      <c r="E1235" s="19">
        <v>11</v>
      </c>
      <c r="F1235" s="10" t="s">
        <v>1418</v>
      </c>
      <c r="G1235" s="10" t="s">
        <v>866</v>
      </c>
      <c r="H1235" s="33" t="s">
        <v>16</v>
      </c>
      <c r="I1235" s="34" t="s">
        <v>378</v>
      </c>
      <c r="J1235" s="9" t="s">
        <v>403</v>
      </c>
      <c r="K1235" s="142" t="s">
        <v>9267</v>
      </c>
      <c r="L1235" s="9" t="s">
        <v>596</v>
      </c>
      <c r="M1235" s="9" t="s">
        <v>867</v>
      </c>
      <c r="N1235" s="9" t="s">
        <v>868</v>
      </c>
      <c r="O1235" s="20" t="s">
        <v>2538</v>
      </c>
      <c r="P1235" s="112" t="s">
        <v>6061</v>
      </c>
      <c r="Q1235" s="11" t="s">
        <v>576</v>
      </c>
      <c r="R1235"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Aysén,regional,capacidad,instalada,potencia,neta,MW,ernc,tipo,gas,natural,solar,geotérmica,mini,hidráulica,pasada,petróleo,diesel,biogas,Agencia Información,Energía,Capacidad Instalada ,Energía</v>
      </c>
      <c r="S1235" s="83" t="s">
        <v>2539</v>
      </c>
      <c r="T1235" s="114" t="s">
        <v>1863</v>
      </c>
      <c r="U1235" s="46" t="s">
        <v>398</v>
      </c>
      <c r="V1235" s="93" t="str">
        <f>+Agencia[[#This Row],[idcoleccion]]&amp;"-"&amp;Agencia[[#This Row],[id]]</f>
        <v>990-1224</v>
      </c>
      <c r="W1235" s="93">
        <f>+VLOOKUP(Agencia[[#This Row],[Filtro URL]],Estructura!$X$4:$Y$500,2,0)</f>
        <v>99200011</v>
      </c>
      <c r="X1235" s="93" t="str">
        <f>+VLOOKUP(Agencia[[#This Row],[tema]],Estructura!$A$4:$C$500,3,0)</f>
        <v>T-1030</v>
      </c>
      <c r="Y1235" s="93" t="str">
        <f>+VLOOKUP(Agencia[[#This Row],[contenido]],Estructura!$E$4:$G$500,3,0)</f>
        <v>C-1000</v>
      </c>
      <c r="Z1235" s="93" t="str">
        <f>+VLOOKUP(Agencia[[#This Row],[Filtro Integrado]],Estructura!$I$4:$K$500,3,0)</f>
        <v>FI-993</v>
      </c>
      <c r="AA1235" s="93" t="str">
        <f>+VLOOKUP(Agencia[[#This Row],[Muestra]],Estructura!$M$4:$O$500,3,0)</f>
        <v>M-1049</v>
      </c>
    </row>
    <row r="1236" spans="1:27" ht="72" x14ac:dyDescent="0.3">
      <c r="A1236" s="21" t="s">
        <v>2050</v>
      </c>
      <c r="B1236" s="23">
        <v>990</v>
      </c>
      <c r="C1236" s="24" t="s">
        <v>400</v>
      </c>
      <c r="D1236" s="67" t="s">
        <v>866</v>
      </c>
      <c r="E1236" s="19">
        <v>12</v>
      </c>
      <c r="F1236" s="10" t="s">
        <v>1418</v>
      </c>
      <c r="G1236" s="10" t="s">
        <v>866</v>
      </c>
      <c r="H1236" s="33" t="s">
        <v>16</v>
      </c>
      <c r="I1236" s="34" t="s">
        <v>379</v>
      </c>
      <c r="J1236" s="9" t="s">
        <v>403</v>
      </c>
      <c r="K1236" s="142" t="s">
        <v>9267</v>
      </c>
      <c r="L1236" s="9" t="s">
        <v>596</v>
      </c>
      <c r="M1236" s="9" t="s">
        <v>867</v>
      </c>
      <c r="N1236" s="9" t="s">
        <v>868</v>
      </c>
      <c r="O1236" s="20" t="s">
        <v>2540</v>
      </c>
      <c r="P1236" s="112" t="s">
        <v>6062</v>
      </c>
      <c r="Q1236" s="11" t="s">
        <v>576</v>
      </c>
      <c r="R1236" s="148" t="str">
        <f>Agencia[[#This Row],[territorio]]&amp;",regional,capacidad,instalada,potencia,neta,MW,ernc,tipo,gas,natural,solar,geotérmica,mini,hidráulica,pasada,petróleo,diesel,biogas,"&amp;Agencia[[#This Row],[coleccion]]&amp;","&amp;Agencia[[#This Row],[sector]]&amp;","&amp;Agencia[[#This Row],[tema]]&amp;","&amp;Agencia[[#This Row],[contenido]]</f>
        <v>Región de Magallanes,regional,capacidad,instalada,potencia,neta,MW,ernc,tipo,gas,natural,solar,geotérmica,mini,hidráulica,pasada,petróleo,diesel,biogas,Agencia Información,Energía,Capacidad Instalada ,Energía</v>
      </c>
      <c r="S1236" s="83" t="s">
        <v>2541</v>
      </c>
      <c r="T1236" s="114" t="s">
        <v>1868</v>
      </c>
      <c r="U1236" s="95" t="s">
        <v>398</v>
      </c>
      <c r="V1236" s="93" t="str">
        <f>+Agencia[[#This Row],[idcoleccion]]&amp;"-"&amp;Agencia[[#This Row],[id]]</f>
        <v>990-1225</v>
      </c>
      <c r="W1236" s="93">
        <f>+VLOOKUP(Agencia[[#This Row],[Filtro URL]],Estructura!$X$4:$Y$500,2,0)</f>
        <v>99200012</v>
      </c>
      <c r="X1236" s="93" t="str">
        <f>+VLOOKUP(Agencia[[#This Row],[tema]],Estructura!$A$4:$C$500,3,0)</f>
        <v>T-1030</v>
      </c>
      <c r="Y1236" s="93" t="str">
        <f>+VLOOKUP(Agencia[[#This Row],[contenido]],Estructura!$E$4:$G$500,3,0)</f>
        <v>C-1000</v>
      </c>
      <c r="Z1236" s="93" t="str">
        <f>+VLOOKUP(Agencia[[#This Row],[Filtro Integrado]],Estructura!$I$4:$K$500,3,0)</f>
        <v>FI-993</v>
      </c>
      <c r="AA1236" s="93" t="str">
        <f>+VLOOKUP(Agencia[[#This Row],[Muestra]],Estructura!$M$4:$O$500,3,0)</f>
        <v>M-1049</v>
      </c>
    </row>
    <row r="1237" spans="1:27" ht="72" x14ac:dyDescent="0.3">
      <c r="A1237" s="21" t="s">
        <v>2051</v>
      </c>
      <c r="B1237" s="23">
        <v>990</v>
      </c>
      <c r="C1237" s="24" t="s">
        <v>400</v>
      </c>
      <c r="D1237" s="67" t="s">
        <v>866</v>
      </c>
      <c r="E1237" s="19">
        <v>13</v>
      </c>
      <c r="F1237" s="10" t="s">
        <v>1418</v>
      </c>
      <c r="G1237" s="10" t="s">
        <v>866</v>
      </c>
      <c r="H1237" s="33" t="s">
        <v>16</v>
      </c>
      <c r="I1237" s="34" t="s">
        <v>380</v>
      </c>
      <c r="J1237" s="9" t="s">
        <v>403</v>
      </c>
      <c r="K1237" s="142" t="s">
        <v>9267</v>
      </c>
      <c r="L1237" s="9" t="s">
        <v>596</v>
      </c>
      <c r="M1237" s="9" t="s">
        <v>867</v>
      </c>
      <c r="N1237" s="9" t="s">
        <v>868</v>
      </c>
      <c r="O1237" s="20" t="s">
        <v>2542</v>
      </c>
      <c r="P1237" s="112" t="s">
        <v>6063</v>
      </c>
      <c r="Q1237" s="11" t="s">
        <v>576</v>
      </c>
      <c r="R1237" s="148" t="str">
        <f>Agencia[[#This Row],[territorio]]&amp;",regional,capacidad,instalada,potencia,neta,MW,ernc,tipo,gas,natural,solar,geotérmica,mini,hidráulica,pasada,petróleo,diesel,biogas,"&amp;Agencia[[#This Row],[coleccion]]&amp;","&amp;Agencia[[#This Row],[sector]]&amp;","&amp;Agencia[[#This Row],[tema]]&amp;","&amp;Agencia[[#This Row],[contenido]]</f>
        <v>Región Metropolitana,regional,capacidad,instalada,potencia,neta,MW,ernc,tipo,gas,natural,solar,geotérmica,mini,hidráulica,pasada,petróleo,diesel,biogas,Agencia Información,Energía,Capacidad Instalada ,Energía</v>
      </c>
      <c r="S1237" s="83" t="s">
        <v>2543</v>
      </c>
      <c r="T1237" s="114" t="s">
        <v>1875</v>
      </c>
      <c r="U1237" s="46" t="s">
        <v>398</v>
      </c>
      <c r="V1237" s="93" t="str">
        <f>+Agencia[[#This Row],[idcoleccion]]&amp;"-"&amp;Agencia[[#This Row],[id]]</f>
        <v>990-1226</v>
      </c>
      <c r="W1237" s="93">
        <f>+VLOOKUP(Agencia[[#This Row],[Filtro URL]],Estructura!$X$4:$Y$500,2,0)</f>
        <v>99200013</v>
      </c>
      <c r="X1237" s="93" t="str">
        <f>+VLOOKUP(Agencia[[#This Row],[tema]],Estructura!$A$4:$C$500,3,0)</f>
        <v>T-1030</v>
      </c>
      <c r="Y1237" s="93" t="str">
        <f>+VLOOKUP(Agencia[[#This Row],[contenido]],Estructura!$E$4:$G$500,3,0)</f>
        <v>C-1000</v>
      </c>
      <c r="Z1237" s="93" t="str">
        <f>+VLOOKUP(Agencia[[#This Row],[Filtro Integrado]],Estructura!$I$4:$K$500,3,0)</f>
        <v>FI-993</v>
      </c>
      <c r="AA1237" s="93" t="str">
        <f>+VLOOKUP(Agencia[[#This Row],[Muestra]],Estructura!$M$4:$O$500,3,0)</f>
        <v>M-1049</v>
      </c>
    </row>
    <row r="1238" spans="1:27" ht="72" x14ac:dyDescent="0.3">
      <c r="A1238" s="21" t="s">
        <v>2052</v>
      </c>
      <c r="B1238" s="23">
        <v>990</v>
      </c>
      <c r="C1238" s="24" t="s">
        <v>400</v>
      </c>
      <c r="D1238" s="67" t="s">
        <v>866</v>
      </c>
      <c r="E1238" s="19">
        <v>14</v>
      </c>
      <c r="F1238" s="10" t="s">
        <v>1418</v>
      </c>
      <c r="G1238" s="10" t="s">
        <v>866</v>
      </c>
      <c r="H1238" s="33" t="s">
        <v>16</v>
      </c>
      <c r="I1238" s="34" t="s">
        <v>381</v>
      </c>
      <c r="J1238" s="9" t="s">
        <v>403</v>
      </c>
      <c r="K1238" s="142" t="s">
        <v>9267</v>
      </c>
      <c r="L1238" s="9" t="s">
        <v>596</v>
      </c>
      <c r="M1238" s="9" t="s">
        <v>867</v>
      </c>
      <c r="N1238" s="9" t="s">
        <v>868</v>
      </c>
      <c r="O1238" s="20" t="s">
        <v>2852</v>
      </c>
      <c r="P1238" s="112" t="s">
        <v>6064</v>
      </c>
      <c r="Q1238" s="11" t="s">
        <v>576</v>
      </c>
      <c r="R1238" s="148" t="str">
        <f>Agencia[[#This Row],[territorio]]&amp;",regional,capacidad,instalada,potencia,neta,MW,ernc,tipo,gas,natural,solar,geotérmica,mini,hidráulica,pasada,petróleo,diesel,biogas,"&amp;Agencia[[#This Row],[coleccion]]&amp;","&amp;Agencia[[#This Row],[sector]]&amp;","&amp;Agencia[[#This Row],[tema]]&amp;","&amp;Agencia[[#This Row],[contenido]]</f>
        <v>Región de Los Ríos,regional,capacidad,instalada,potencia,neta,MW,ernc,tipo,gas,natural,solar,geotérmica,mini,hidráulica,pasada,petróleo,diesel,biogas,Agencia Información,Energía,Capacidad Instalada ,Energía</v>
      </c>
      <c r="S1238" s="83" t="s">
        <v>2853</v>
      </c>
      <c r="T1238" s="114" t="s">
        <v>1867</v>
      </c>
      <c r="U1238" s="46" t="s">
        <v>398</v>
      </c>
      <c r="V1238" s="93" t="str">
        <f>+Agencia[[#This Row],[idcoleccion]]&amp;"-"&amp;Agencia[[#This Row],[id]]</f>
        <v>990-1227</v>
      </c>
      <c r="W1238" s="93">
        <f>+VLOOKUP(Agencia[[#This Row],[Filtro URL]],Estructura!$X$4:$Y$500,2,0)</f>
        <v>99200014</v>
      </c>
      <c r="X1238" s="93" t="str">
        <f>+VLOOKUP(Agencia[[#This Row],[tema]],Estructura!$A$4:$C$500,3,0)</f>
        <v>T-1030</v>
      </c>
      <c r="Y1238" s="93" t="str">
        <f>+VLOOKUP(Agencia[[#This Row],[contenido]],Estructura!$E$4:$G$500,3,0)</f>
        <v>C-1000</v>
      </c>
      <c r="Z1238" s="93" t="str">
        <f>+VLOOKUP(Agencia[[#This Row],[Filtro Integrado]],Estructura!$I$4:$K$500,3,0)</f>
        <v>FI-993</v>
      </c>
      <c r="AA1238" s="93" t="str">
        <f>+VLOOKUP(Agencia[[#This Row],[Muestra]],Estructura!$M$4:$O$500,3,0)</f>
        <v>M-1049</v>
      </c>
    </row>
    <row r="1239" spans="1:27" ht="72" x14ac:dyDescent="0.3">
      <c r="A1239" s="21" t="s">
        <v>2056</v>
      </c>
      <c r="B1239" s="23">
        <v>990</v>
      </c>
      <c r="C1239" s="24" t="s">
        <v>400</v>
      </c>
      <c r="D1239" s="67" t="s">
        <v>866</v>
      </c>
      <c r="E1239" s="19">
        <v>15</v>
      </c>
      <c r="F1239" s="10" t="s">
        <v>1418</v>
      </c>
      <c r="G1239" s="10" t="s">
        <v>866</v>
      </c>
      <c r="H1239" s="33" t="s">
        <v>16</v>
      </c>
      <c r="I1239" s="34" t="s">
        <v>382</v>
      </c>
      <c r="J1239" s="9" t="s">
        <v>403</v>
      </c>
      <c r="K1239" s="142" t="s">
        <v>9267</v>
      </c>
      <c r="L1239" s="9" t="s">
        <v>596</v>
      </c>
      <c r="M1239" s="9" t="s">
        <v>867</v>
      </c>
      <c r="N1239" s="9" t="s">
        <v>868</v>
      </c>
      <c r="O1239" s="20" t="s">
        <v>2854</v>
      </c>
      <c r="P1239" s="112" t="s">
        <v>6065</v>
      </c>
      <c r="Q1239" s="11" t="s">
        <v>576</v>
      </c>
      <c r="R1239" s="148" t="str">
        <f>Agencia[[#This Row],[territorio]]&amp;",regional,capacidad,instalada,potencia,neta,MW,ernc,tipo,gas,natural,solar,geotérmica,mini,hidráulica,pasada,petróleo,diesel,biogas,"&amp;Agencia[[#This Row],[coleccion]]&amp;","&amp;Agencia[[#This Row],[sector]]&amp;","&amp;Agencia[[#This Row],[tema]]&amp;","&amp;Agencia[[#This Row],[contenido]]</f>
        <v>Región de Arica y Parinacota,regional,capacidad,instalada,potencia,neta,MW,ernc,tipo,gas,natural,solar,geotérmica,mini,hidráulica,pasada,petróleo,diesel,biogas,Agencia Información,Energía,Capacidad Instalada ,Energía</v>
      </c>
      <c r="S1239" s="83" t="s">
        <v>2855</v>
      </c>
      <c r="T1239" s="114" t="s">
        <v>1861</v>
      </c>
      <c r="U1239" s="95" t="s">
        <v>398</v>
      </c>
      <c r="V1239" s="93" t="str">
        <f>+Agencia[[#This Row],[idcoleccion]]&amp;"-"&amp;Agencia[[#This Row],[id]]</f>
        <v>990-1228</v>
      </c>
      <c r="W1239" s="93">
        <f>+VLOOKUP(Agencia[[#This Row],[Filtro URL]],Estructura!$X$4:$Y$500,2,0)</f>
        <v>99200015</v>
      </c>
      <c r="X1239" s="93" t="str">
        <f>+VLOOKUP(Agencia[[#This Row],[tema]],Estructura!$A$4:$C$500,3,0)</f>
        <v>T-1030</v>
      </c>
      <c r="Y1239" s="93" t="str">
        <f>+VLOOKUP(Agencia[[#This Row],[contenido]],Estructura!$E$4:$G$500,3,0)</f>
        <v>C-1000</v>
      </c>
      <c r="Z1239" s="93" t="str">
        <f>+VLOOKUP(Agencia[[#This Row],[Filtro Integrado]],Estructura!$I$4:$K$500,3,0)</f>
        <v>FI-993</v>
      </c>
      <c r="AA1239" s="93" t="str">
        <f>+VLOOKUP(Agencia[[#This Row],[Muestra]],Estructura!$M$4:$O$500,3,0)</f>
        <v>M-1049</v>
      </c>
    </row>
    <row r="1240" spans="1:27" ht="72" x14ac:dyDescent="0.3">
      <c r="A1240" s="21" t="s">
        <v>2057</v>
      </c>
      <c r="B1240" s="23">
        <v>990</v>
      </c>
      <c r="C1240" s="24" t="s">
        <v>400</v>
      </c>
      <c r="D1240" s="67" t="s">
        <v>866</v>
      </c>
      <c r="E1240" s="19">
        <v>16</v>
      </c>
      <c r="F1240" s="10" t="s">
        <v>1418</v>
      </c>
      <c r="G1240" s="10" t="s">
        <v>866</v>
      </c>
      <c r="H1240" s="33" t="s">
        <v>16</v>
      </c>
      <c r="I1240" s="34" t="s">
        <v>383</v>
      </c>
      <c r="J1240" s="9" t="s">
        <v>403</v>
      </c>
      <c r="K1240" s="142" t="s">
        <v>9267</v>
      </c>
      <c r="L1240" s="9" t="s">
        <v>596</v>
      </c>
      <c r="M1240" s="9" t="s">
        <v>867</v>
      </c>
      <c r="N1240" s="9" t="s">
        <v>868</v>
      </c>
      <c r="O1240" s="20" t="s">
        <v>2856</v>
      </c>
      <c r="P1240" s="112" t="s">
        <v>6066</v>
      </c>
      <c r="Q1240" s="11" t="s">
        <v>576</v>
      </c>
      <c r="R1240" s="148" t="str">
        <f>Agencia[[#This Row],[territorio]]&amp;",regional,capacidad,instalada,potencia,neta,MW,ernc,tipo,gas,natural,solar,geotérmica,mini,hidráulica,pasada,petróleo,diesel,biogas,"&amp;Agencia[[#This Row],[coleccion]]&amp;","&amp;Agencia[[#This Row],[sector]]&amp;","&amp;Agencia[[#This Row],[tema]]&amp;","&amp;Agencia[[#This Row],[contenido]]</f>
        <v>Región de Ñuble,regional,capacidad,instalada,potencia,neta,MW,ernc,tipo,gas,natural,solar,geotérmica,mini,hidráulica,pasada,petróleo,diesel,biogas,Agencia Información,Energía,Capacidad Instalada ,Energía</v>
      </c>
      <c r="S1240" s="83" t="s">
        <v>2857</v>
      </c>
      <c r="T1240" s="114" t="s">
        <v>1870</v>
      </c>
      <c r="U1240" s="46" t="s">
        <v>398</v>
      </c>
      <c r="V1240" s="93" t="str">
        <f>+Agencia[[#This Row],[idcoleccion]]&amp;"-"&amp;Agencia[[#This Row],[id]]</f>
        <v>990-1229</v>
      </c>
      <c r="W1240" s="93">
        <f>+VLOOKUP(Agencia[[#This Row],[Filtro URL]],Estructura!$X$4:$Y$500,2,0)</f>
        <v>99200016</v>
      </c>
      <c r="X1240" s="93" t="str">
        <f>+VLOOKUP(Agencia[[#This Row],[tema]],Estructura!$A$4:$C$500,3,0)</f>
        <v>T-1030</v>
      </c>
      <c r="Y1240" s="93" t="str">
        <f>+VLOOKUP(Agencia[[#This Row],[contenido]],Estructura!$E$4:$G$500,3,0)</f>
        <v>C-1000</v>
      </c>
      <c r="Z1240" s="93" t="str">
        <f>+VLOOKUP(Agencia[[#This Row],[Filtro Integrado]],Estructura!$I$4:$K$500,3,0)</f>
        <v>FI-993</v>
      </c>
      <c r="AA1240" s="93" t="str">
        <f>+VLOOKUP(Agencia[[#This Row],[Muestra]],Estructura!$M$4:$O$500,3,0)</f>
        <v>M-1049</v>
      </c>
    </row>
    <row r="1241" spans="1:27" ht="40.799999999999997" x14ac:dyDescent="0.3">
      <c r="A1241" s="21" t="s">
        <v>2058</v>
      </c>
      <c r="B1241" s="23">
        <v>990</v>
      </c>
      <c r="C1241" s="24" t="s">
        <v>400</v>
      </c>
      <c r="D1241" s="67" t="s">
        <v>866</v>
      </c>
      <c r="E1241" s="14">
        <v>0</v>
      </c>
      <c r="F1241" s="10" t="s">
        <v>2987</v>
      </c>
      <c r="G1241" s="10" t="s">
        <v>866</v>
      </c>
      <c r="H1241" s="31" t="s">
        <v>20</v>
      </c>
      <c r="I1241" s="32" t="s">
        <v>15</v>
      </c>
      <c r="J1241" s="9" t="s">
        <v>403</v>
      </c>
      <c r="K1241" s="9" t="s">
        <v>9280</v>
      </c>
      <c r="L1241" s="9" t="s">
        <v>596</v>
      </c>
      <c r="M1241" s="9" t="s">
        <v>867</v>
      </c>
      <c r="N1241" s="9" t="s">
        <v>868</v>
      </c>
      <c r="O1241" s="20" t="s">
        <v>2858</v>
      </c>
      <c r="P1241" s="112" t="s">
        <v>6029</v>
      </c>
      <c r="Q1241" s="11" t="s">
        <v>504</v>
      </c>
      <c r="R1241" s="20" t="str">
        <f>Agencia[[#This Row],[territorio]]&amp;",nacional,centrales,capacidad,instalada,dueños,propietarios,mayor,"&amp;Agencia[[#This Row],[coleccion]]&amp;","&amp;Agencia[[#This Row],[sector]]&amp;","&amp;Agencia[[#This Row],[tema]]&amp;","&amp;Agencia[[#This Row],[contenido]]</f>
        <v>Chile,nacional,centrales,capacidad,instalada,dueños,propietarios,mayor,Agencia Información,Energía,Propietarios de Centrales,Energía</v>
      </c>
      <c r="S1241" s="37" t="s">
        <v>2130</v>
      </c>
      <c r="T1241" s="114">
        <v>0</v>
      </c>
      <c r="U1241" s="46" t="s">
        <v>398</v>
      </c>
      <c r="V1241" s="93" t="str">
        <f>+Agencia[[#This Row],[idcoleccion]]&amp;"-"&amp;Agencia[[#This Row],[id]]</f>
        <v>990-1230</v>
      </c>
      <c r="W1241" s="93">
        <f>+VLOOKUP(Agencia[[#This Row],[Filtro URL]],Estructura!$X$4:$Y$500,2,0)</f>
        <v>99100000</v>
      </c>
      <c r="X1241" s="93" t="str">
        <f>+VLOOKUP(Agencia[[#This Row],[tema]],Estructura!$A$4:$C$500,3,0)</f>
        <v>T-1045</v>
      </c>
      <c r="Y1241" s="93" t="str">
        <f>+VLOOKUP(Agencia[[#This Row],[contenido]],Estructura!$E$4:$G$500,3,0)</f>
        <v>C-1000</v>
      </c>
      <c r="Z1241" s="93" t="str">
        <f>+VLOOKUP(Agencia[[#This Row],[Filtro Integrado]],Estructura!$I$4:$K$500,3,0)</f>
        <v>FI-993</v>
      </c>
      <c r="AA1241" s="93" t="str">
        <f>+VLOOKUP(Agencia[[#This Row],[Muestra]],Estructura!$M$4:$O$500,3,0)</f>
        <v>M-1080</v>
      </c>
    </row>
    <row r="1242" spans="1:27" ht="40.799999999999997" x14ac:dyDescent="0.3">
      <c r="A1242" s="21" t="s">
        <v>2059</v>
      </c>
      <c r="B1242" s="23">
        <v>990</v>
      </c>
      <c r="C1242" s="24" t="s">
        <v>400</v>
      </c>
      <c r="D1242" s="67" t="s">
        <v>866</v>
      </c>
      <c r="E1242" s="14">
        <v>0</v>
      </c>
      <c r="F1242" s="10" t="s">
        <v>2986</v>
      </c>
      <c r="G1242" s="10" t="s">
        <v>866</v>
      </c>
      <c r="H1242" s="31" t="s">
        <v>20</v>
      </c>
      <c r="I1242" s="32" t="s">
        <v>15</v>
      </c>
      <c r="J1242" s="9" t="s">
        <v>403</v>
      </c>
      <c r="K1242" s="9" t="s">
        <v>9281</v>
      </c>
      <c r="L1242" s="9" t="s">
        <v>596</v>
      </c>
      <c r="M1242" s="9" t="s">
        <v>2132</v>
      </c>
      <c r="N1242" s="9" t="s">
        <v>868</v>
      </c>
      <c r="O1242" s="20" t="s">
        <v>6049</v>
      </c>
      <c r="P1242" s="112" t="s">
        <v>6030</v>
      </c>
      <c r="Q1242" s="11" t="s">
        <v>576</v>
      </c>
      <c r="R1242" s="20" t="str">
        <f>Agencia[[#This Row],[territorio]]&amp;",nacional,región,centrales,renovable,no renovable,comparación,"&amp;Agencia[[#This Row],[coleccion]]&amp;","&amp;Agencia[[#This Row],[sector]]&amp;","&amp;Agencia[[#This Row],[tema]]&amp;","&amp;Agencia[[#This Row],[contenido]]</f>
        <v>Chile,nacional,región,centrales,renovable,no renovable,comparación,Agencia Información,Energía,Cantidad de Centrales,Energía</v>
      </c>
      <c r="S1242" s="37" t="s">
        <v>2133</v>
      </c>
      <c r="T1242" s="114">
        <v>0</v>
      </c>
      <c r="U1242" s="46" t="s">
        <v>398</v>
      </c>
      <c r="V1242" s="93" t="str">
        <f>+Agencia[[#This Row],[idcoleccion]]&amp;"-"&amp;Agencia[[#This Row],[id]]</f>
        <v>990-1231</v>
      </c>
      <c r="W1242" s="93">
        <f>+VLOOKUP(Agencia[[#This Row],[Filtro URL]],Estructura!$X$4:$Y$500,2,0)</f>
        <v>99100000</v>
      </c>
      <c r="X1242" s="93" t="str">
        <f>+VLOOKUP(Agencia[[#This Row],[tema]],Estructura!$A$4:$C$500,3,0)</f>
        <v>T-1046</v>
      </c>
      <c r="Y1242" s="93" t="str">
        <f>+VLOOKUP(Agencia[[#This Row],[contenido]],Estructura!$E$4:$G$500,3,0)</f>
        <v>C-1000</v>
      </c>
      <c r="Z1242" s="93" t="str">
        <f>+VLOOKUP(Agencia[[#This Row],[Filtro Integrado]],Estructura!$I$4:$K$500,3,0)</f>
        <v>FI-993</v>
      </c>
      <c r="AA1242" s="93" t="str">
        <f>+VLOOKUP(Agencia[[#This Row],[Muestra]],Estructura!$M$4:$O$500,3,0)</f>
        <v>M-1081</v>
      </c>
    </row>
    <row r="1243" spans="1:27" ht="51" x14ac:dyDescent="0.3">
      <c r="A1243" s="21" t="s">
        <v>2060</v>
      </c>
      <c r="B1243" s="23">
        <v>990</v>
      </c>
      <c r="C1243" s="24" t="s">
        <v>400</v>
      </c>
      <c r="D1243" s="67" t="s">
        <v>866</v>
      </c>
      <c r="E1243" s="14">
        <v>0</v>
      </c>
      <c r="F1243" s="10" t="s">
        <v>2135</v>
      </c>
      <c r="G1243" s="10" t="s">
        <v>866</v>
      </c>
      <c r="H1243" s="31" t="s">
        <v>20</v>
      </c>
      <c r="I1243" s="32" t="s">
        <v>15</v>
      </c>
      <c r="J1243" s="9" t="s">
        <v>956</v>
      </c>
      <c r="K1243" s="142" t="s">
        <v>9281</v>
      </c>
      <c r="L1243" s="9" t="s">
        <v>596</v>
      </c>
      <c r="M1243" s="9" t="s">
        <v>2132</v>
      </c>
      <c r="N1243" s="9" t="s">
        <v>868</v>
      </c>
      <c r="O1243" s="20" t="s">
        <v>6032</v>
      </c>
      <c r="P1243" s="112" t="s">
        <v>6031</v>
      </c>
      <c r="Q1243" s="11" t="s">
        <v>1934</v>
      </c>
      <c r="R1243" s="20" t="str">
        <f>Agencia[[#This Row],[territorio]]&amp;",nacional,región,comuna,centrales,eléctrica,renovable,no renovable,convencional,ERNC,"&amp;Agencia[[#This Row],[coleccion]]&amp;","&amp;Agencia[[#This Row],[sector]]&amp;","&amp;Agencia[[#This Row],[tema]]&amp;","&amp;Agencia[[#This Row],[contenido]]</f>
        <v>Chile,nacional,región,comuna,centrales,eléctrica,renovable,no renovable,convencional,ERNC,Agencia Información,Energía,Centrales ERNC,Energía</v>
      </c>
      <c r="S1243" s="83" t="s">
        <v>2136</v>
      </c>
      <c r="T1243" s="114" t="s">
        <v>957</v>
      </c>
      <c r="U1243" s="46" t="s">
        <v>398</v>
      </c>
      <c r="V1243" s="93" t="str">
        <f>+Agencia[[#This Row],[idcoleccion]]&amp;"-"&amp;Agencia[[#This Row],[id]]</f>
        <v>990-1232</v>
      </c>
      <c r="W1243" s="93">
        <f>+VLOOKUP(Agencia[[#This Row],[Filtro URL]],Estructura!$X$4:$Y$500,2,0)</f>
        <v>99100000</v>
      </c>
      <c r="X1243" s="93" t="str">
        <f>+VLOOKUP(Agencia[[#This Row],[tema]],Estructura!$A$4:$C$500,3,0)</f>
        <v>T-1039</v>
      </c>
      <c r="Y1243" s="93" t="str">
        <f>+VLOOKUP(Agencia[[#This Row],[contenido]],Estructura!$E$4:$G$500,3,0)</f>
        <v>C-1000</v>
      </c>
      <c r="Z1243" s="93" t="str">
        <f>+VLOOKUP(Agencia[[#This Row],[Filtro Integrado]],Estructura!$I$4:$K$500,3,0)</f>
        <v>FI-994</v>
      </c>
      <c r="AA1243" s="93" t="str">
        <f>+VLOOKUP(Agencia[[#This Row],[Muestra]],Estructura!$M$4:$O$500,3,0)</f>
        <v>M-1081</v>
      </c>
    </row>
    <row r="1244" spans="1:27" ht="72" x14ac:dyDescent="0.3">
      <c r="A1244" s="21" t="s">
        <v>2061</v>
      </c>
      <c r="B1244" s="23">
        <v>990</v>
      </c>
      <c r="C1244" s="24" t="s">
        <v>400</v>
      </c>
      <c r="D1244" s="67" t="s">
        <v>866</v>
      </c>
      <c r="E1244" s="19">
        <v>1</v>
      </c>
      <c r="F1244" s="10" t="s">
        <v>2135</v>
      </c>
      <c r="G1244" s="10" t="s">
        <v>866</v>
      </c>
      <c r="H1244" s="33" t="s">
        <v>16</v>
      </c>
      <c r="I1244" s="34" t="s">
        <v>368</v>
      </c>
      <c r="J1244" s="9" t="s">
        <v>18</v>
      </c>
      <c r="K1244" s="142" t="s">
        <v>9281</v>
      </c>
      <c r="L1244" s="9" t="s">
        <v>596</v>
      </c>
      <c r="M1244" s="9" t="s">
        <v>2132</v>
      </c>
      <c r="N1244" s="9" t="s">
        <v>868</v>
      </c>
      <c r="O1244" s="20" t="s">
        <v>6033</v>
      </c>
      <c r="P1244" s="112" t="s">
        <v>6013</v>
      </c>
      <c r="Q1244" s="11" t="s">
        <v>1934</v>
      </c>
      <c r="R1244" s="148" t="str">
        <f>Agencia[[#This Row],[territorio]]&amp;",regional,comuna,centrales,eléctrica,renovable,no renovable,convencional,ERNC,"&amp;Agencia[[#This Row],[coleccion]]&amp;","&amp;Agencia[[#This Row],[sector]]&amp;","&amp;Agencia[[#This Row],[tema]]&amp;","&amp;Agencia[[#This Row],[contenido]]</f>
        <v>Región de Tarapacá,regional,comuna,centrales,eléctrica,renovable,no renovable,convencional,ERNC,Agencia Información,Energía,Centrales ERNC,Energía</v>
      </c>
      <c r="S1244" s="83" t="s">
        <v>2544</v>
      </c>
      <c r="T1244" s="114" t="s">
        <v>1856</v>
      </c>
      <c r="U1244" s="95" t="s">
        <v>398</v>
      </c>
      <c r="V1244" s="93" t="str">
        <f>+Agencia[[#This Row],[idcoleccion]]&amp;"-"&amp;Agencia[[#This Row],[id]]</f>
        <v>990-1233</v>
      </c>
      <c r="W1244" s="93">
        <f>+VLOOKUP(Agencia[[#This Row],[Filtro URL]],Estructura!$X$4:$Y$500,2,0)</f>
        <v>99200001</v>
      </c>
      <c r="X1244" s="93" t="str">
        <f>+VLOOKUP(Agencia[[#This Row],[tema]],Estructura!$A$4:$C$500,3,0)</f>
        <v>T-1039</v>
      </c>
      <c r="Y1244" s="93" t="str">
        <f>+VLOOKUP(Agencia[[#This Row],[contenido]],Estructura!$E$4:$G$500,3,0)</f>
        <v>C-1000</v>
      </c>
      <c r="Z1244" s="93" t="str">
        <f>+VLOOKUP(Agencia[[#This Row],[Filtro Integrado]],Estructura!$I$4:$K$500,3,0)</f>
        <v>FI-991</v>
      </c>
      <c r="AA1244" s="93" t="str">
        <f>+VLOOKUP(Agencia[[#This Row],[Muestra]],Estructura!$M$4:$O$500,3,0)</f>
        <v>M-1081</v>
      </c>
    </row>
    <row r="1245" spans="1:27" ht="72" x14ac:dyDescent="0.3">
      <c r="A1245" s="21" t="s">
        <v>2062</v>
      </c>
      <c r="B1245" s="23">
        <v>990</v>
      </c>
      <c r="C1245" s="24" t="s">
        <v>400</v>
      </c>
      <c r="D1245" s="67" t="s">
        <v>866</v>
      </c>
      <c r="E1245" s="19">
        <v>2</v>
      </c>
      <c r="F1245" s="10" t="s">
        <v>2135</v>
      </c>
      <c r="G1245" s="10" t="s">
        <v>866</v>
      </c>
      <c r="H1245" s="33" t="s">
        <v>16</v>
      </c>
      <c r="I1245" s="34" t="s">
        <v>369</v>
      </c>
      <c r="J1245" s="9" t="s">
        <v>18</v>
      </c>
      <c r="K1245" s="142" t="s">
        <v>9281</v>
      </c>
      <c r="L1245" s="9" t="s">
        <v>596</v>
      </c>
      <c r="M1245" s="9" t="s">
        <v>2132</v>
      </c>
      <c r="N1245" s="9" t="s">
        <v>868</v>
      </c>
      <c r="O1245" s="20" t="s">
        <v>6034</v>
      </c>
      <c r="P1245" s="112" t="s">
        <v>6014</v>
      </c>
      <c r="Q1245" s="11" t="s">
        <v>1934</v>
      </c>
      <c r="R1245" s="148" t="str">
        <f>Agencia[[#This Row],[territorio]]&amp;",regional,comuna,centrales,eléctrica,renovable,no renovable,convencional,ERNC,"&amp;Agencia[[#This Row],[coleccion]]&amp;","&amp;Agencia[[#This Row],[sector]]&amp;","&amp;Agencia[[#This Row],[tema]]&amp;","&amp;Agencia[[#This Row],[contenido]]</f>
        <v>Región de Antofagasta,regional,comuna,centrales,eléctrica,renovable,no renovable,convencional,ERNC,Agencia Información,Energía,Centrales ERNC,Energía</v>
      </c>
      <c r="S1245" s="83" t="s">
        <v>2545</v>
      </c>
      <c r="T1245" s="114" t="s">
        <v>1844</v>
      </c>
      <c r="U1245" s="46" t="s">
        <v>398</v>
      </c>
      <c r="V1245" s="93" t="str">
        <f>+Agencia[[#This Row],[idcoleccion]]&amp;"-"&amp;Agencia[[#This Row],[id]]</f>
        <v>990-1234</v>
      </c>
      <c r="W1245" s="93">
        <f>+VLOOKUP(Agencia[[#This Row],[Filtro URL]],Estructura!$X$4:$Y$500,2,0)</f>
        <v>99200002</v>
      </c>
      <c r="X1245" s="93" t="str">
        <f>+VLOOKUP(Agencia[[#This Row],[tema]],Estructura!$A$4:$C$500,3,0)</f>
        <v>T-1039</v>
      </c>
      <c r="Y1245" s="93" t="str">
        <f>+VLOOKUP(Agencia[[#This Row],[contenido]],Estructura!$E$4:$G$500,3,0)</f>
        <v>C-1000</v>
      </c>
      <c r="Z1245" s="93" t="str">
        <f>+VLOOKUP(Agencia[[#This Row],[Filtro Integrado]],Estructura!$I$4:$K$500,3,0)</f>
        <v>FI-991</v>
      </c>
      <c r="AA1245" s="93" t="str">
        <f>+VLOOKUP(Agencia[[#This Row],[Muestra]],Estructura!$M$4:$O$500,3,0)</f>
        <v>M-1081</v>
      </c>
    </row>
    <row r="1246" spans="1:27" ht="72" x14ac:dyDescent="0.3">
      <c r="A1246" s="21" t="s">
        <v>2063</v>
      </c>
      <c r="B1246" s="23">
        <v>990</v>
      </c>
      <c r="C1246" s="24" t="s">
        <v>400</v>
      </c>
      <c r="D1246" s="67" t="s">
        <v>866</v>
      </c>
      <c r="E1246" s="19">
        <v>3</v>
      </c>
      <c r="F1246" s="10" t="s">
        <v>2135</v>
      </c>
      <c r="G1246" s="10" t="s">
        <v>866</v>
      </c>
      <c r="H1246" s="33" t="s">
        <v>16</v>
      </c>
      <c r="I1246" s="34" t="s">
        <v>370</v>
      </c>
      <c r="J1246" s="9" t="s">
        <v>18</v>
      </c>
      <c r="K1246" s="142" t="s">
        <v>9281</v>
      </c>
      <c r="L1246" s="9" t="s">
        <v>596</v>
      </c>
      <c r="M1246" s="9" t="s">
        <v>2132</v>
      </c>
      <c r="N1246" s="9" t="s">
        <v>868</v>
      </c>
      <c r="O1246" s="20" t="s">
        <v>6035</v>
      </c>
      <c r="P1246" s="112" t="s">
        <v>6015</v>
      </c>
      <c r="Q1246" s="11" t="s">
        <v>1934</v>
      </c>
      <c r="R1246" s="148" t="str">
        <f>Agencia[[#This Row],[territorio]]&amp;",regional,comuna,centrales,eléctrica,renovable,no renovable,convencional,ERNC,"&amp;Agencia[[#This Row],[coleccion]]&amp;","&amp;Agencia[[#This Row],[sector]]&amp;","&amp;Agencia[[#This Row],[tema]]&amp;","&amp;Agencia[[#This Row],[contenido]]</f>
        <v>Región de Atacama,regional,comuna,centrales,eléctrica,renovable,no renovable,convencional,ERNC,Agencia Información,Energía,Centrales ERNC,Energía</v>
      </c>
      <c r="S1246" s="83" t="s">
        <v>2546</v>
      </c>
      <c r="T1246" s="114" t="s">
        <v>1846</v>
      </c>
      <c r="U1246" s="46" t="s">
        <v>398</v>
      </c>
      <c r="V1246" s="93" t="str">
        <f>+Agencia[[#This Row],[idcoleccion]]&amp;"-"&amp;Agencia[[#This Row],[id]]</f>
        <v>990-1235</v>
      </c>
      <c r="W1246" s="93">
        <f>+VLOOKUP(Agencia[[#This Row],[Filtro URL]],Estructura!$X$4:$Y$500,2,0)</f>
        <v>99200003</v>
      </c>
      <c r="X1246" s="93" t="str">
        <f>+VLOOKUP(Agencia[[#This Row],[tema]],Estructura!$A$4:$C$500,3,0)</f>
        <v>T-1039</v>
      </c>
      <c r="Y1246" s="93" t="str">
        <f>+VLOOKUP(Agencia[[#This Row],[contenido]],Estructura!$E$4:$G$500,3,0)</f>
        <v>C-1000</v>
      </c>
      <c r="Z1246" s="93" t="str">
        <f>+VLOOKUP(Agencia[[#This Row],[Filtro Integrado]],Estructura!$I$4:$K$500,3,0)</f>
        <v>FI-991</v>
      </c>
      <c r="AA1246" s="93" t="str">
        <f>+VLOOKUP(Agencia[[#This Row],[Muestra]],Estructura!$M$4:$O$500,3,0)</f>
        <v>M-1081</v>
      </c>
    </row>
    <row r="1247" spans="1:27" ht="72" x14ac:dyDescent="0.3">
      <c r="A1247" s="21" t="s">
        <v>2064</v>
      </c>
      <c r="B1247" s="23">
        <v>990</v>
      </c>
      <c r="C1247" s="24" t="s">
        <v>400</v>
      </c>
      <c r="D1247" s="67" t="s">
        <v>866</v>
      </c>
      <c r="E1247" s="19">
        <v>4</v>
      </c>
      <c r="F1247" s="10" t="s">
        <v>2135</v>
      </c>
      <c r="G1247" s="10" t="s">
        <v>866</v>
      </c>
      <c r="H1247" s="33" t="s">
        <v>16</v>
      </c>
      <c r="I1247" s="34" t="s">
        <v>371</v>
      </c>
      <c r="J1247" s="9" t="s">
        <v>18</v>
      </c>
      <c r="K1247" s="142" t="s">
        <v>9281</v>
      </c>
      <c r="L1247" s="9" t="s">
        <v>596</v>
      </c>
      <c r="M1247" s="9" t="s">
        <v>2132</v>
      </c>
      <c r="N1247" s="9" t="s">
        <v>868</v>
      </c>
      <c r="O1247" s="20" t="s">
        <v>6036</v>
      </c>
      <c r="P1247" s="112" t="s">
        <v>6016</v>
      </c>
      <c r="Q1247" s="11" t="s">
        <v>1934</v>
      </c>
      <c r="R1247" s="148" t="str">
        <f>Agencia[[#This Row],[territorio]]&amp;",regional,comuna,centrales,eléctrica,renovable,no renovable,convencional,ERNC,"&amp;Agencia[[#This Row],[coleccion]]&amp;","&amp;Agencia[[#This Row],[sector]]&amp;","&amp;Agencia[[#This Row],[tema]]&amp;","&amp;Agencia[[#This Row],[contenido]]</f>
        <v>Región de Coquimbo,regional,comuna,centrales,eléctrica,renovable,no renovable,convencional,ERNC,Agencia Información,Energía,Centrales ERNC,Energía</v>
      </c>
      <c r="S1247" s="83" t="s">
        <v>2547</v>
      </c>
      <c r="T1247" s="114" t="s">
        <v>1848</v>
      </c>
      <c r="U1247" s="95" t="s">
        <v>398</v>
      </c>
      <c r="V1247" s="93" t="str">
        <f>+Agencia[[#This Row],[idcoleccion]]&amp;"-"&amp;Agencia[[#This Row],[id]]</f>
        <v>990-1236</v>
      </c>
      <c r="W1247" s="93">
        <f>+VLOOKUP(Agencia[[#This Row],[Filtro URL]],Estructura!$X$4:$Y$500,2,0)</f>
        <v>99200004</v>
      </c>
      <c r="X1247" s="93" t="str">
        <f>+VLOOKUP(Agencia[[#This Row],[tema]],Estructura!$A$4:$C$500,3,0)</f>
        <v>T-1039</v>
      </c>
      <c r="Y1247" s="93" t="str">
        <f>+VLOOKUP(Agencia[[#This Row],[contenido]],Estructura!$E$4:$G$500,3,0)</f>
        <v>C-1000</v>
      </c>
      <c r="Z1247" s="93" t="str">
        <f>+VLOOKUP(Agencia[[#This Row],[Filtro Integrado]],Estructura!$I$4:$K$500,3,0)</f>
        <v>FI-991</v>
      </c>
      <c r="AA1247" s="93" t="str">
        <f>+VLOOKUP(Agencia[[#This Row],[Muestra]],Estructura!$M$4:$O$500,3,0)</f>
        <v>M-1081</v>
      </c>
    </row>
    <row r="1248" spans="1:27" ht="72" x14ac:dyDescent="0.3">
      <c r="A1248" s="21" t="s">
        <v>2065</v>
      </c>
      <c r="B1248" s="23">
        <v>990</v>
      </c>
      <c r="C1248" s="24" t="s">
        <v>400</v>
      </c>
      <c r="D1248" s="67" t="s">
        <v>866</v>
      </c>
      <c r="E1248" s="19">
        <v>5</v>
      </c>
      <c r="F1248" s="10" t="s">
        <v>2135</v>
      </c>
      <c r="G1248" s="10" t="s">
        <v>866</v>
      </c>
      <c r="H1248" s="33" t="s">
        <v>16</v>
      </c>
      <c r="I1248" s="34" t="s">
        <v>372</v>
      </c>
      <c r="J1248" s="9" t="s">
        <v>18</v>
      </c>
      <c r="K1248" s="142" t="s">
        <v>9281</v>
      </c>
      <c r="L1248" s="9" t="s">
        <v>596</v>
      </c>
      <c r="M1248" s="9" t="s">
        <v>2132</v>
      </c>
      <c r="N1248" s="9" t="s">
        <v>868</v>
      </c>
      <c r="O1248" s="20" t="s">
        <v>6037</v>
      </c>
      <c r="P1248" s="112" t="s">
        <v>6017</v>
      </c>
      <c r="Q1248" s="11" t="s">
        <v>1934</v>
      </c>
      <c r="R1248" s="148" t="str">
        <f>Agencia[[#This Row],[territorio]]&amp;",regional,comuna,centrales,eléctrica,renovable,no renovable,convencional,ERNC,"&amp;Agencia[[#This Row],[coleccion]]&amp;","&amp;Agencia[[#This Row],[sector]]&amp;","&amp;Agencia[[#This Row],[tema]]&amp;","&amp;Agencia[[#This Row],[contenido]]</f>
        <v>Región de Valparaíso,regional,comuna,centrales,eléctrica,renovable,no renovable,convencional,ERNC,Agencia Información,Energía,Centrales ERNC,Energía</v>
      </c>
      <c r="S1248" s="83" t="s">
        <v>2548</v>
      </c>
      <c r="T1248" s="114" t="s">
        <v>1857</v>
      </c>
      <c r="U1248" s="46" t="s">
        <v>398</v>
      </c>
      <c r="V1248" s="93" t="str">
        <f>+Agencia[[#This Row],[idcoleccion]]&amp;"-"&amp;Agencia[[#This Row],[id]]</f>
        <v>990-1237</v>
      </c>
      <c r="W1248" s="93">
        <f>+VLOOKUP(Agencia[[#This Row],[Filtro URL]],Estructura!$X$4:$Y$500,2,0)</f>
        <v>99200005</v>
      </c>
      <c r="X1248" s="93" t="str">
        <f>+VLOOKUP(Agencia[[#This Row],[tema]],Estructura!$A$4:$C$500,3,0)</f>
        <v>T-1039</v>
      </c>
      <c r="Y1248" s="93" t="str">
        <f>+VLOOKUP(Agencia[[#This Row],[contenido]],Estructura!$E$4:$G$500,3,0)</f>
        <v>C-1000</v>
      </c>
      <c r="Z1248" s="93" t="str">
        <f>+VLOOKUP(Agencia[[#This Row],[Filtro Integrado]],Estructura!$I$4:$K$500,3,0)</f>
        <v>FI-991</v>
      </c>
      <c r="AA1248" s="93" t="str">
        <f>+VLOOKUP(Agencia[[#This Row],[Muestra]],Estructura!$M$4:$O$500,3,0)</f>
        <v>M-1081</v>
      </c>
    </row>
    <row r="1249" spans="1:27" ht="72" x14ac:dyDescent="0.3">
      <c r="A1249" s="21" t="s">
        <v>2066</v>
      </c>
      <c r="B1249" s="23">
        <v>990</v>
      </c>
      <c r="C1249" s="24" t="s">
        <v>400</v>
      </c>
      <c r="D1249" s="67" t="s">
        <v>866</v>
      </c>
      <c r="E1249" s="19">
        <v>6</v>
      </c>
      <c r="F1249" s="10" t="s">
        <v>2135</v>
      </c>
      <c r="G1249" s="10" t="s">
        <v>866</v>
      </c>
      <c r="H1249" s="33" t="s">
        <v>16</v>
      </c>
      <c r="I1249" s="34" t="s">
        <v>373</v>
      </c>
      <c r="J1249" s="9" t="s">
        <v>18</v>
      </c>
      <c r="K1249" s="142" t="s">
        <v>9281</v>
      </c>
      <c r="L1249" s="9" t="s">
        <v>596</v>
      </c>
      <c r="M1249" s="9" t="s">
        <v>2132</v>
      </c>
      <c r="N1249" s="9" t="s">
        <v>868</v>
      </c>
      <c r="O1249" s="20" t="s">
        <v>6038</v>
      </c>
      <c r="P1249" s="112" t="s">
        <v>6026</v>
      </c>
      <c r="Q1249" s="11" t="s">
        <v>1934</v>
      </c>
      <c r="R1249" s="148" t="str">
        <f>Agencia[[#This Row],[territorio]]&amp;",regional,comuna,centrales,eléctrica,renovable,no renovable,convencional,ERNC,"&amp;Agencia[[#This Row],[coleccion]]&amp;","&amp;Agencia[[#This Row],[sector]]&amp;","&amp;Agencia[[#This Row],[tema]]&amp;","&amp;Agencia[[#This Row],[contenido]]</f>
        <v>Región de O'Higgins,regional,comuna,centrales,eléctrica,renovable,no renovable,convencional,ERNC,Agencia Información,Energía,Centrales ERNC,Energía</v>
      </c>
      <c r="S1249" s="83" t="s">
        <v>2549</v>
      </c>
      <c r="T1249" s="114" t="s">
        <v>1855</v>
      </c>
      <c r="U1249" s="46" t="s">
        <v>398</v>
      </c>
      <c r="V1249" s="93" t="str">
        <f>+Agencia[[#This Row],[idcoleccion]]&amp;"-"&amp;Agencia[[#This Row],[id]]</f>
        <v>990-1238</v>
      </c>
      <c r="W1249" s="93">
        <f>+VLOOKUP(Agencia[[#This Row],[Filtro URL]],Estructura!$X$4:$Y$500,2,0)</f>
        <v>99200006</v>
      </c>
      <c r="X1249" s="93" t="str">
        <f>+VLOOKUP(Agencia[[#This Row],[tema]],Estructura!$A$4:$C$500,3,0)</f>
        <v>T-1039</v>
      </c>
      <c r="Y1249" s="93" t="str">
        <f>+VLOOKUP(Agencia[[#This Row],[contenido]],Estructura!$E$4:$G$500,3,0)</f>
        <v>C-1000</v>
      </c>
      <c r="Z1249" s="93" t="str">
        <f>+VLOOKUP(Agencia[[#This Row],[Filtro Integrado]],Estructura!$I$4:$K$500,3,0)</f>
        <v>FI-991</v>
      </c>
      <c r="AA1249" s="93" t="str">
        <f>+VLOOKUP(Agencia[[#This Row],[Muestra]],Estructura!$M$4:$O$500,3,0)</f>
        <v>M-1081</v>
      </c>
    </row>
    <row r="1250" spans="1:27" ht="72" x14ac:dyDescent="0.3">
      <c r="A1250" s="21" t="s">
        <v>2067</v>
      </c>
      <c r="B1250" s="23">
        <v>990</v>
      </c>
      <c r="C1250" s="24" t="s">
        <v>400</v>
      </c>
      <c r="D1250" s="67" t="s">
        <v>866</v>
      </c>
      <c r="E1250" s="19">
        <v>7</v>
      </c>
      <c r="F1250" s="10" t="s">
        <v>2135</v>
      </c>
      <c r="G1250" s="10" t="s">
        <v>866</v>
      </c>
      <c r="H1250" s="33" t="s">
        <v>16</v>
      </c>
      <c r="I1250" s="34" t="s">
        <v>374</v>
      </c>
      <c r="J1250" s="9" t="s">
        <v>18</v>
      </c>
      <c r="K1250" s="142" t="s">
        <v>9281</v>
      </c>
      <c r="L1250" s="9" t="s">
        <v>596</v>
      </c>
      <c r="M1250" s="9" t="s">
        <v>2132</v>
      </c>
      <c r="N1250" s="9" t="s">
        <v>868</v>
      </c>
      <c r="O1250" s="20" t="s">
        <v>6039</v>
      </c>
      <c r="P1250" s="112" t="s">
        <v>6027</v>
      </c>
      <c r="Q1250" s="11" t="s">
        <v>1934</v>
      </c>
      <c r="R1250" s="148" t="str">
        <f>Agencia[[#This Row],[territorio]]&amp;",regional,comuna,centrales,eléctrica,renovable,no renovable,convencional,ERNC,"&amp;Agencia[[#This Row],[coleccion]]&amp;","&amp;Agencia[[#This Row],[sector]]&amp;","&amp;Agencia[[#This Row],[tema]]&amp;","&amp;Agencia[[#This Row],[contenido]]</f>
        <v>Región de Maule,regional,comuna,centrales,eléctrica,renovable,no renovable,convencional,ERNC,Agencia Información,Energía,Centrales ERNC,Energía</v>
      </c>
      <c r="S1250" s="83" t="s">
        <v>2550</v>
      </c>
      <c r="T1250" s="114" t="s">
        <v>1853</v>
      </c>
      <c r="U1250" s="95" t="s">
        <v>398</v>
      </c>
      <c r="V1250" s="93" t="str">
        <f>+Agencia[[#This Row],[idcoleccion]]&amp;"-"&amp;Agencia[[#This Row],[id]]</f>
        <v>990-1239</v>
      </c>
      <c r="W1250" s="93">
        <f>+VLOOKUP(Agencia[[#This Row],[Filtro URL]],Estructura!$X$4:$Y$500,2,0)</f>
        <v>99200007</v>
      </c>
      <c r="X1250" s="93" t="str">
        <f>+VLOOKUP(Agencia[[#This Row],[tema]],Estructura!$A$4:$C$500,3,0)</f>
        <v>T-1039</v>
      </c>
      <c r="Y1250" s="93" t="str">
        <f>+VLOOKUP(Agencia[[#This Row],[contenido]],Estructura!$E$4:$G$500,3,0)</f>
        <v>C-1000</v>
      </c>
      <c r="Z1250" s="93" t="str">
        <f>+VLOOKUP(Agencia[[#This Row],[Filtro Integrado]],Estructura!$I$4:$K$500,3,0)</f>
        <v>FI-991</v>
      </c>
      <c r="AA1250" s="93" t="str">
        <f>+VLOOKUP(Agencia[[#This Row],[Muestra]],Estructura!$M$4:$O$500,3,0)</f>
        <v>M-1081</v>
      </c>
    </row>
    <row r="1251" spans="1:27" ht="72" x14ac:dyDescent="0.3">
      <c r="A1251" s="21" t="s">
        <v>2068</v>
      </c>
      <c r="B1251" s="23">
        <v>990</v>
      </c>
      <c r="C1251" s="24" t="s">
        <v>400</v>
      </c>
      <c r="D1251" s="67" t="s">
        <v>866</v>
      </c>
      <c r="E1251" s="19">
        <v>8</v>
      </c>
      <c r="F1251" s="10" t="s">
        <v>2135</v>
      </c>
      <c r="G1251" s="10" t="s">
        <v>866</v>
      </c>
      <c r="H1251" s="33" t="s">
        <v>16</v>
      </c>
      <c r="I1251" s="34" t="s">
        <v>375</v>
      </c>
      <c r="J1251" s="9" t="s">
        <v>18</v>
      </c>
      <c r="K1251" s="142" t="s">
        <v>9281</v>
      </c>
      <c r="L1251" s="9" t="s">
        <v>596</v>
      </c>
      <c r="M1251" s="9" t="s">
        <v>2132</v>
      </c>
      <c r="N1251" s="9" t="s">
        <v>868</v>
      </c>
      <c r="O1251" s="20" t="s">
        <v>6040</v>
      </c>
      <c r="P1251" s="112" t="s">
        <v>6028</v>
      </c>
      <c r="Q1251" s="11" t="s">
        <v>1934</v>
      </c>
      <c r="R1251" s="148" t="str">
        <f>Agencia[[#This Row],[territorio]]&amp;",regional,comuna,centrales,eléctrica,renovable,no renovable,convencional,ERNC,"&amp;Agencia[[#This Row],[coleccion]]&amp;","&amp;Agencia[[#This Row],[sector]]&amp;","&amp;Agencia[[#This Row],[tema]]&amp;","&amp;Agencia[[#This Row],[contenido]]</f>
        <v>Región del Biobío,regional,comuna,centrales,eléctrica,renovable,no renovable,convencional,ERNC,Agencia Información,Energía,Centrales ERNC,Energía</v>
      </c>
      <c r="S1251" s="83" t="s">
        <v>2551</v>
      </c>
      <c r="T1251" s="114" t="s">
        <v>1858</v>
      </c>
      <c r="U1251" s="46" t="s">
        <v>398</v>
      </c>
      <c r="V1251" s="93" t="str">
        <f>+Agencia[[#This Row],[idcoleccion]]&amp;"-"&amp;Agencia[[#This Row],[id]]</f>
        <v>990-1240</v>
      </c>
      <c r="W1251" s="93">
        <f>+VLOOKUP(Agencia[[#This Row],[Filtro URL]],Estructura!$X$4:$Y$500,2,0)</f>
        <v>99200008</v>
      </c>
      <c r="X1251" s="93" t="str">
        <f>+VLOOKUP(Agencia[[#This Row],[tema]],Estructura!$A$4:$C$500,3,0)</f>
        <v>T-1039</v>
      </c>
      <c r="Y1251" s="93" t="str">
        <f>+VLOOKUP(Agencia[[#This Row],[contenido]],Estructura!$E$4:$G$500,3,0)</f>
        <v>C-1000</v>
      </c>
      <c r="Z1251" s="93" t="str">
        <f>+VLOOKUP(Agencia[[#This Row],[Filtro Integrado]],Estructura!$I$4:$K$500,3,0)</f>
        <v>FI-991</v>
      </c>
      <c r="AA1251" s="93" t="str">
        <f>+VLOOKUP(Agencia[[#This Row],[Muestra]],Estructura!$M$4:$O$500,3,0)</f>
        <v>M-1081</v>
      </c>
    </row>
    <row r="1252" spans="1:27" ht="72" x14ac:dyDescent="0.3">
      <c r="A1252" s="21" t="s">
        <v>2069</v>
      </c>
      <c r="B1252" s="23">
        <v>990</v>
      </c>
      <c r="C1252" s="24" t="s">
        <v>400</v>
      </c>
      <c r="D1252" s="67" t="s">
        <v>866</v>
      </c>
      <c r="E1252" s="19">
        <v>9</v>
      </c>
      <c r="F1252" s="10" t="s">
        <v>2135</v>
      </c>
      <c r="G1252" s="10" t="s">
        <v>866</v>
      </c>
      <c r="H1252" s="33" t="s">
        <v>16</v>
      </c>
      <c r="I1252" s="34" t="s">
        <v>376</v>
      </c>
      <c r="J1252" s="9" t="s">
        <v>18</v>
      </c>
      <c r="K1252" s="142" t="s">
        <v>9281</v>
      </c>
      <c r="L1252" s="9" t="s">
        <v>596</v>
      </c>
      <c r="M1252" s="9" t="s">
        <v>2132</v>
      </c>
      <c r="N1252" s="9" t="s">
        <v>868</v>
      </c>
      <c r="O1252" s="20" t="s">
        <v>6041</v>
      </c>
      <c r="P1252" s="112" t="s">
        <v>6018</v>
      </c>
      <c r="Q1252" s="11" t="s">
        <v>1934</v>
      </c>
      <c r="R1252" s="148" t="str">
        <f>Agencia[[#This Row],[territorio]]&amp;",regional,comuna,centrales,eléctrica,renovable,no renovable,convencional,ERNC,"&amp;Agencia[[#This Row],[coleccion]]&amp;","&amp;Agencia[[#This Row],[sector]]&amp;","&amp;Agencia[[#This Row],[tema]]&amp;","&amp;Agencia[[#This Row],[contenido]]</f>
        <v>Región de La Araucanía,regional,comuna,centrales,eléctrica,renovable,no renovable,convencional,ERNC,Agencia Información,Energía,Centrales ERNC,Energía</v>
      </c>
      <c r="S1252" s="83" t="s">
        <v>2552</v>
      </c>
      <c r="T1252" s="114" t="s">
        <v>1849</v>
      </c>
      <c r="U1252" s="46" t="s">
        <v>398</v>
      </c>
      <c r="V1252" s="93" t="str">
        <f>+Agencia[[#This Row],[idcoleccion]]&amp;"-"&amp;Agencia[[#This Row],[id]]</f>
        <v>990-1241</v>
      </c>
      <c r="W1252" s="93">
        <f>+VLOOKUP(Agencia[[#This Row],[Filtro URL]],Estructura!$X$4:$Y$500,2,0)</f>
        <v>99200009</v>
      </c>
      <c r="X1252" s="93" t="str">
        <f>+VLOOKUP(Agencia[[#This Row],[tema]],Estructura!$A$4:$C$500,3,0)</f>
        <v>T-1039</v>
      </c>
      <c r="Y1252" s="93" t="str">
        <f>+VLOOKUP(Agencia[[#This Row],[contenido]],Estructura!$E$4:$G$500,3,0)</f>
        <v>C-1000</v>
      </c>
      <c r="Z1252" s="93" t="str">
        <f>+VLOOKUP(Agencia[[#This Row],[Filtro Integrado]],Estructura!$I$4:$K$500,3,0)</f>
        <v>FI-991</v>
      </c>
      <c r="AA1252" s="93" t="str">
        <f>+VLOOKUP(Agencia[[#This Row],[Muestra]],Estructura!$M$4:$O$500,3,0)</f>
        <v>M-1081</v>
      </c>
    </row>
    <row r="1253" spans="1:27" ht="72" x14ac:dyDescent="0.3">
      <c r="A1253" s="21" t="s">
        <v>2070</v>
      </c>
      <c r="B1253" s="23">
        <v>990</v>
      </c>
      <c r="C1253" s="24" t="s">
        <v>400</v>
      </c>
      <c r="D1253" s="67" t="s">
        <v>866</v>
      </c>
      <c r="E1253" s="19">
        <v>10</v>
      </c>
      <c r="F1253" s="10" t="s">
        <v>2135</v>
      </c>
      <c r="G1253" s="10" t="s">
        <v>866</v>
      </c>
      <c r="H1253" s="33" t="s">
        <v>16</v>
      </c>
      <c r="I1253" s="34" t="s">
        <v>377</v>
      </c>
      <c r="J1253" s="9" t="s">
        <v>18</v>
      </c>
      <c r="K1253" s="142" t="s">
        <v>9281</v>
      </c>
      <c r="L1253" s="9" t="s">
        <v>596</v>
      </c>
      <c r="M1253" s="9" t="s">
        <v>2132</v>
      </c>
      <c r="N1253" s="9" t="s">
        <v>868</v>
      </c>
      <c r="O1253" s="20" t="s">
        <v>6042</v>
      </c>
      <c r="P1253" s="112" t="s">
        <v>6019</v>
      </c>
      <c r="Q1253" s="11" t="s">
        <v>1934</v>
      </c>
      <c r="R1253" s="148" t="str">
        <f>Agencia[[#This Row],[territorio]]&amp;",regional,comuna,centrales,eléctrica,renovable,no renovable,convencional,ERNC,"&amp;Agencia[[#This Row],[coleccion]]&amp;","&amp;Agencia[[#This Row],[sector]]&amp;","&amp;Agencia[[#This Row],[tema]]&amp;","&amp;Agencia[[#This Row],[contenido]]</f>
        <v>Región de Los Lagos,regional,comuna,centrales,eléctrica,renovable,no renovable,convencional,ERNC,Agencia Información,Energía,Centrales ERNC,Energía</v>
      </c>
      <c r="S1253" s="83" t="s">
        <v>2553</v>
      </c>
      <c r="T1253" s="114" t="s">
        <v>1850</v>
      </c>
      <c r="U1253" s="95" t="s">
        <v>398</v>
      </c>
      <c r="V1253" s="93" t="str">
        <f>+Agencia[[#This Row],[idcoleccion]]&amp;"-"&amp;Agencia[[#This Row],[id]]</f>
        <v>990-1242</v>
      </c>
      <c r="W1253" s="93">
        <f>+VLOOKUP(Agencia[[#This Row],[Filtro URL]],Estructura!$X$4:$Y$500,2,0)</f>
        <v>99200010</v>
      </c>
      <c r="X1253" s="93" t="str">
        <f>+VLOOKUP(Agencia[[#This Row],[tema]],Estructura!$A$4:$C$500,3,0)</f>
        <v>T-1039</v>
      </c>
      <c r="Y1253" s="93" t="str">
        <f>+VLOOKUP(Agencia[[#This Row],[contenido]],Estructura!$E$4:$G$500,3,0)</f>
        <v>C-1000</v>
      </c>
      <c r="Z1253" s="93" t="str">
        <f>+VLOOKUP(Agencia[[#This Row],[Filtro Integrado]],Estructura!$I$4:$K$500,3,0)</f>
        <v>FI-991</v>
      </c>
      <c r="AA1253" s="93" t="str">
        <f>+VLOOKUP(Agencia[[#This Row],[Muestra]],Estructura!$M$4:$O$500,3,0)</f>
        <v>M-1081</v>
      </c>
    </row>
    <row r="1254" spans="1:27" ht="72" x14ac:dyDescent="0.3">
      <c r="A1254" s="21" t="s">
        <v>2071</v>
      </c>
      <c r="B1254" s="23">
        <v>990</v>
      </c>
      <c r="C1254" s="24" t="s">
        <v>400</v>
      </c>
      <c r="D1254" s="67" t="s">
        <v>866</v>
      </c>
      <c r="E1254" s="19">
        <v>11</v>
      </c>
      <c r="F1254" s="10" t="s">
        <v>2135</v>
      </c>
      <c r="G1254" s="10" t="s">
        <v>866</v>
      </c>
      <c r="H1254" s="33" t="s">
        <v>16</v>
      </c>
      <c r="I1254" s="34" t="s">
        <v>378</v>
      </c>
      <c r="J1254" s="9" t="s">
        <v>18</v>
      </c>
      <c r="K1254" s="142" t="s">
        <v>9281</v>
      </c>
      <c r="L1254" s="9" t="s">
        <v>596</v>
      </c>
      <c r="M1254" s="9" t="s">
        <v>2132</v>
      </c>
      <c r="N1254" s="9" t="s">
        <v>868</v>
      </c>
      <c r="O1254" s="20" t="s">
        <v>6043</v>
      </c>
      <c r="P1254" s="112" t="s">
        <v>6020</v>
      </c>
      <c r="Q1254" s="11" t="s">
        <v>1934</v>
      </c>
      <c r="R1254" s="148" t="str">
        <f>Agencia[[#This Row],[territorio]]&amp;",regional,comuna,centrales,eléctrica,renovable,no renovable,convencional,ERNC,"&amp;Agencia[[#This Row],[coleccion]]&amp;","&amp;Agencia[[#This Row],[sector]]&amp;","&amp;Agencia[[#This Row],[tema]]&amp;","&amp;Agencia[[#This Row],[contenido]]</f>
        <v>Región de Aysén,regional,comuna,centrales,eléctrica,renovable,no renovable,convencional,ERNC,Agencia Información,Energía,Centrales ERNC,Energía</v>
      </c>
      <c r="S1254" s="83" t="s">
        <v>2554</v>
      </c>
      <c r="T1254" s="114" t="s">
        <v>1847</v>
      </c>
      <c r="U1254" s="46" t="s">
        <v>398</v>
      </c>
      <c r="V1254" s="93" t="str">
        <f>+Agencia[[#This Row],[idcoleccion]]&amp;"-"&amp;Agencia[[#This Row],[id]]</f>
        <v>990-1243</v>
      </c>
      <c r="W1254" s="93">
        <f>+VLOOKUP(Agencia[[#This Row],[Filtro URL]],Estructura!$X$4:$Y$500,2,0)</f>
        <v>99200011</v>
      </c>
      <c r="X1254" s="93" t="str">
        <f>+VLOOKUP(Agencia[[#This Row],[tema]],Estructura!$A$4:$C$500,3,0)</f>
        <v>T-1039</v>
      </c>
      <c r="Y1254" s="93" t="str">
        <f>+VLOOKUP(Agencia[[#This Row],[contenido]],Estructura!$E$4:$G$500,3,0)</f>
        <v>C-1000</v>
      </c>
      <c r="Z1254" s="93" t="str">
        <f>+VLOOKUP(Agencia[[#This Row],[Filtro Integrado]],Estructura!$I$4:$K$500,3,0)</f>
        <v>FI-991</v>
      </c>
      <c r="AA1254" s="93" t="str">
        <f>+VLOOKUP(Agencia[[#This Row],[Muestra]],Estructura!$M$4:$O$500,3,0)</f>
        <v>M-1081</v>
      </c>
    </row>
    <row r="1255" spans="1:27" ht="72" x14ac:dyDescent="0.3">
      <c r="A1255" s="21" t="s">
        <v>2072</v>
      </c>
      <c r="B1255" s="23">
        <v>990</v>
      </c>
      <c r="C1255" s="24" t="s">
        <v>400</v>
      </c>
      <c r="D1255" s="67" t="s">
        <v>866</v>
      </c>
      <c r="E1255" s="19">
        <v>12</v>
      </c>
      <c r="F1255" s="10" t="s">
        <v>2135</v>
      </c>
      <c r="G1255" s="10" t="s">
        <v>866</v>
      </c>
      <c r="H1255" s="33" t="s">
        <v>16</v>
      </c>
      <c r="I1255" s="34" t="s">
        <v>379</v>
      </c>
      <c r="J1255" s="9" t="s">
        <v>18</v>
      </c>
      <c r="K1255" s="142" t="s">
        <v>9281</v>
      </c>
      <c r="L1255" s="9" t="s">
        <v>596</v>
      </c>
      <c r="M1255" s="9" t="s">
        <v>2132</v>
      </c>
      <c r="N1255" s="9" t="s">
        <v>868</v>
      </c>
      <c r="O1255" s="20" t="s">
        <v>6044</v>
      </c>
      <c r="P1255" s="112" t="s">
        <v>6021</v>
      </c>
      <c r="Q1255" s="11" t="s">
        <v>1934</v>
      </c>
      <c r="R1255" s="148" t="str">
        <f>Agencia[[#This Row],[territorio]]&amp;",regional,comuna,centrales,eléctrica,renovable,no renovable,convencional,ERNC,"&amp;Agencia[[#This Row],[coleccion]]&amp;","&amp;Agencia[[#This Row],[sector]]&amp;","&amp;Agencia[[#This Row],[tema]]&amp;","&amp;Agencia[[#This Row],[contenido]]</f>
        <v>Región de Magallanes,regional,comuna,centrales,eléctrica,renovable,no renovable,convencional,ERNC,Agencia Información,Energía,Centrales ERNC,Energía</v>
      </c>
      <c r="S1255" s="83" t="s">
        <v>2555</v>
      </c>
      <c r="T1255" s="114" t="s">
        <v>1852</v>
      </c>
      <c r="U1255" s="46" t="s">
        <v>398</v>
      </c>
      <c r="V1255" s="93" t="str">
        <f>+Agencia[[#This Row],[idcoleccion]]&amp;"-"&amp;Agencia[[#This Row],[id]]</f>
        <v>990-1244</v>
      </c>
      <c r="W1255" s="93">
        <f>+VLOOKUP(Agencia[[#This Row],[Filtro URL]],Estructura!$X$4:$Y$500,2,0)</f>
        <v>99200012</v>
      </c>
      <c r="X1255" s="93" t="str">
        <f>+VLOOKUP(Agencia[[#This Row],[tema]],Estructura!$A$4:$C$500,3,0)</f>
        <v>T-1039</v>
      </c>
      <c r="Y1255" s="93" t="str">
        <f>+VLOOKUP(Agencia[[#This Row],[contenido]],Estructura!$E$4:$G$500,3,0)</f>
        <v>C-1000</v>
      </c>
      <c r="Z1255" s="93" t="str">
        <f>+VLOOKUP(Agencia[[#This Row],[Filtro Integrado]],Estructura!$I$4:$K$500,3,0)</f>
        <v>FI-991</v>
      </c>
      <c r="AA1255" s="93" t="str">
        <f>+VLOOKUP(Agencia[[#This Row],[Muestra]],Estructura!$M$4:$O$500,3,0)</f>
        <v>M-1081</v>
      </c>
    </row>
    <row r="1256" spans="1:27" ht="72" x14ac:dyDescent="0.3">
      <c r="A1256" s="21" t="s">
        <v>2075</v>
      </c>
      <c r="B1256" s="23">
        <v>990</v>
      </c>
      <c r="C1256" s="24" t="s">
        <v>400</v>
      </c>
      <c r="D1256" s="67" t="s">
        <v>866</v>
      </c>
      <c r="E1256" s="19">
        <v>13</v>
      </c>
      <c r="F1256" s="10" t="s">
        <v>2135</v>
      </c>
      <c r="G1256" s="10" t="s">
        <v>866</v>
      </c>
      <c r="H1256" s="33" t="s">
        <v>16</v>
      </c>
      <c r="I1256" s="34" t="s">
        <v>380</v>
      </c>
      <c r="J1256" s="9" t="s">
        <v>18</v>
      </c>
      <c r="K1256" s="142" t="s">
        <v>9281</v>
      </c>
      <c r="L1256" s="9" t="s">
        <v>596</v>
      </c>
      <c r="M1256" s="9" t="s">
        <v>2132</v>
      </c>
      <c r="N1256" s="9" t="s">
        <v>868</v>
      </c>
      <c r="O1256" s="20" t="s">
        <v>6045</v>
      </c>
      <c r="P1256" s="112" t="s">
        <v>6022</v>
      </c>
      <c r="Q1256" s="11" t="s">
        <v>1934</v>
      </c>
      <c r="R1256" s="148" t="str">
        <f>Agencia[[#This Row],[territorio]]&amp;",regional,comuna,centrales,eléctrica,renovable,no renovable,convencional,ERNC,"&amp;Agencia[[#This Row],[coleccion]]&amp;","&amp;Agencia[[#This Row],[sector]]&amp;","&amp;Agencia[[#This Row],[tema]]&amp;","&amp;Agencia[[#This Row],[contenido]]</f>
        <v>Región Metropolitana,regional,comuna,centrales,eléctrica,renovable,no renovable,convencional,ERNC,Agencia Información,Energía,Centrales ERNC,Energía</v>
      </c>
      <c r="S1256" s="83" t="s">
        <v>2859</v>
      </c>
      <c r="T1256" s="114" t="s">
        <v>1859</v>
      </c>
      <c r="U1256" s="95" t="s">
        <v>398</v>
      </c>
      <c r="V1256" s="93" t="str">
        <f>+Agencia[[#This Row],[idcoleccion]]&amp;"-"&amp;Agencia[[#This Row],[id]]</f>
        <v>990-1245</v>
      </c>
      <c r="W1256" s="93">
        <f>+VLOOKUP(Agencia[[#This Row],[Filtro URL]],Estructura!$X$4:$Y$500,2,0)</f>
        <v>99200013</v>
      </c>
      <c r="X1256" s="93" t="str">
        <f>+VLOOKUP(Agencia[[#This Row],[tema]],Estructura!$A$4:$C$500,3,0)</f>
        <v>T-1039</v>
      </c>
      <c r="Y1256" s="93" t="str">
        <f>+VLOOKUP(Agencia[[#This Row],[contenido]],Estructura!$E$4:$G$500,3,0)</f>
        <v>C-1000</v>
      </c>
      <c r="Z1256" s="93" t="str">
        <f>+VLOOKUP(Agencia[[#This Row],[Filtro Integrado]],Estructura!$I$4:$K$500,3,0)</f>
        <v>FI-991</v>
      </c>
      <c r="AA1256" s="93" t="str">
        <f>+VLOOKUP(Agencia[[#This Row],[Muestra]],Estructura!$M$4:$O$500,3,0)</f>
        <v>M-1081</v>
      </c>
    </row>
    <row r="1257" spans="1:27" ht="72" x14ac:dyDescent="0.3">
      <c r="A1257" s="21" t="s">
        <v>2077</v>
      </c>
      <c r="B1257" s="23">
        <v>990</v>
      </c>
      <c r="C1257" s="24" t="s">
        <v>400</v>
      </c>
      <c r="D1257" s="67" t="s">
        <v>866</v>
      </c>
      <c r="E1257" s="19">
        <v>14</v>
      </c>
      <c r="F1257" s="10" t="s">
        <v>2135</v>
      </c>
      <c r="G1257" s="10" t="s">
        <v>866</v>
      </c>
      <c r="H1257" s="33" t="s">
        <v>16</v>
      </c>
      <c r="I1257" s="34" t="s">
        <v>381</v>
      </c>
      <c r="J1257" s="9" t="s">
        <v>18</v>
      </c>
      <c r="K1257" s="142" t="s">
        <v>9281</v>
      </c>
      <c r="L1257" s="9" t="s">
        <v>596</v>
      </c>
      <c r="M1257" s="9" t="s">
        <v>2132</v>
      </c>
      <c r="N1257" s="9" t="s">
        <v>868</v>
      </c>
      <c r="O1257" s="20" t="s">
        <v>6046</v>
      </c>
      <c r="P1257" s="112" t="s">
        <v>6023</v>
      </c>
      <c r="Q1257" s="11" t="s">
        <v>1934</v>
      </c>
      <c r="R1257" s="148" t="str">
        <f>Agencia[[#This Row],[territorio]]&amp;",regional,comuna,centrales,eléctrica,renovable,no renovable,convencional,ERNC,"&amp;Agencia[[#This Row],[coleccion]]&amp;","&amp;Agencia[[#This Row],[sector]]&amp;","&amp;Agencia[[#This Row],[tema]]&amp;","&amp;Agencia[[#This Row],[contenido]]</f>
        <v>Región de Los Ríos,regional,comuna,centrales,eléctrica,renovable,no renovable,convencional,ERNC,Agencia Información,Energía,Centrales ERNC,Energía</v>
      </c>
      <c r="S1257" s="83" t="s">
        <v>2860</v>
      </c>
      <c r="T1257" s="114" t="s">
        <v>1851</v>
      </c>
      <c r="U1257" s="46" t="s">
        <v>398</v>
      </c>
      <c r="V1257" s="93" t="str">
        <f>+Agencia[[#This Row],[idcoleccion]]&amp;"-"&amp;Agencia[[#This Row],[id]]</f>
        <v>990-1246</v>
      </c>
      <c r="W1257" s="93">
        <f>+VLOOKUP(Agencia[[#This Row],[Filtro URL]],Estructura!$X$4:$Y$500,2,0)</f>
        <v>99200014</v>
      </c>
      <c r="X1257" s="93" t="str">
        <f>+VLOOKUP(Agencia[[#This Row],[tema]],Estructura!$A$4:$C$500,3,0)</f>
        <v>T-1039</v>
      </c>
      <c r="Y1257" s="93" t="str">
        <f>+VLOOKUP(Agencia[[#This Row],[contenido]],Estructura!$E$4:$G$500,3,0)</f>
        <v>C-1000</v>
      </c>
      <c r="Z1257" s="93" t="str">
        <f>+VLOOKUP(Agencia[[#This Row],[Filtro Integrado]],Estructura!$I$4:$K$500,3,0)</f>
        <v>FI-991</v>
      </c>
      <c r="AA1257" s="93" t="str">
        <f>+VLOOKUP(Agencia[[#This Row],[Muestra]],Estructura!$M$4:$O$500,3,0)</f>
        <v>M-1081</v>
      </c>
    </row>
    <row r="1258" spans="1:27" ht="72" x14ac:dyDescent="0.3">
      <c r="A1258" s="21" t="s">
        <v>2078</v>
      </c>
      <c r="B1258" s="23">
        <v>990</v>
      </c>
      <c r="C1258" s="24" t="s">
        <v>400</v>
      </c>
      <c r="D1258" s="67" t="s">
        <v>866</v>
      </c>
      <c r="E1258" s="19">
        <v>15</v>
      </c>
      <c r="F1258" s="10" t="s">
        <v>2135</v>
      </c>
      <c r="G1258" s="10" t="s">
        <v>866</v>
      </c>
      <c r="H1258" s="33" t="s">
        <v>16</v>
      </c>
      <c r="I1258" s="34" t="s">
        <v>382</v>
      </c>
      <c r="J1258" s="9" t="s">
        <v>18</v>
      </c>
      <c r="K1258" s="142" t="s">
        <v>9281</v>
      </c>
      <c r="L1258" s="9" t="s">
        <v>596</v>
      </c>
      <c r="M1258" s="9" t="s">
        <v>2132</v>
      </c>
      <c r="N1258" s="9" t="s">
        <v>868</v>
      </c>
      <c r="O1258" s="20" t="s">
        <v>6047</v>
      </c>
      <c r="P1258" s="112" t="s">
        <v>6024</v>
      </c>
      <c r="Q1258" s="11" t="s">
        <v>1934</v>
      </c>
      <c r="R1258" s="148" t="str">
        <f>Agencia[[#This Row],[territorio]]&amp;",regional,comuna,centrales,eléctrica,renovable,no renovable,convencional,ERNC,"&amp;Agencia[[#This Row],[coleccion]]&amp;","&amp;Agencia[[#This Row],[sector]]&amp;","&amp;Agencia[[#This Row],[tema]]&amp;","&amp;Agencia[[#This Row],[contenido]]</f>
        <v>Región de Arica y Parinacota,regional,comuna,centrales,eléctrica,renovable,no renovable,convencional,ERNC,Agencia Información,Energía,Centrales ERNC,Energía</v>
      </c>
      <c r="S1258" s="83" t="s">
        <v>2861</v>
      </c>
      <c r="T1258" s="114" t="s">
        <v>1845</v>
      </c>
      <c r="U1258" s="46" t="s">
        <v>398</v>
      </c>
      <c r="V1258" s="93" t="str">
        <f>+Agencia[[#This Row],[idcoleccion]]&amp;"-"&amp;Agencia[[#This Row],[id]]</f>
        <v>990-1247</v>
      </c>
      <c r="W1258" s="93">
        <f>+VLOOKUP(Agencia[[#This Row],[Filtro URL]],Estructura!$X$4:$Y$500,2,0)</f>
        <v>99200015</v>
      </c>
      <c r="X1258" s="93" t="str">
        <f>+VLOOKUP(Agencia[[#This Row],[tema]],Estructura!$A$4:$C$500,3,0)</f>
        <v>T-1039</v>
      </c>
      <c r="Y1258" s="93" t="str">
        <f>+VLOOKUP(Agencia[[#This Row],[contenido]],Estructura!$E$4:$G$500,3,0)</f>
        <v>C-1000</v>
      </c>
      <c r="Z1258" s="93" t="str">
        <f>+VLOOKUP(Agencia[[#This Row],[Filtro Integrado]],Estructura!$I$4:$K$500,3,0)</f>
        <v>FI-991</v>
      </c>
      <c r="AA1258" s="93" t="str">
        <f>+VLOOKUP(Agencia[[#This Row],[Muestra]],Estructura!$M$4:$O$500,3,0)</f>
        <v>M-1081</v>
      </c>
    </row>
    <row r="1259" spans="1:27" ht="72" x14ac:dyDescent="0.3">
      <c r="A1259" s="21" t="s">
        <v>2079</v>
      </c>
      <c r="B1259" s="23">
        <v>990</v>
      </c>
      <c r="C1259" s="24" t="s">
        <v>400</v>
      </c>
      <c r="D1259" s="67" t="s">
        <v>866</v>
      </c>
      <c r="E1259" s="19">
        <v>16</v>
      </c>
      <c r="F1259" s="10" t="s">
        <v>2135</v>
      </c>
      <c r="G1259" s="10" t="s">
        <v>866</v>
      </c>
      <c r="H1259" s="33" t="s">
        <v>16</v>
      </c>
      <c r="I1259" s="34" t="s">
        <v>383</v>
      </c>
      <c r="J1259" s="9" t="s">
        <v>18</v>
      </c>
      <c r="K1259" s="142" t="s">
        <v>9281</v>
      </c>
      <c r="L1259" s="9" t="s">
        <v>596</v>
      </c>
      <c r="M1259" s="9" t="s">
        <v>2132</v>
      </c>
      <c r="N1259" s="9" t="s">
        <v>868</v>
      </c>
      <c r="O1259" s="20" t="s">
        <v>6048</v>
      </c>
      <c r="P1259" s="112" t="s">
        <v>6025</v>
      </c>
      <c r="Q1259" s="11" t="s">
        <v>1934</v>
      </c>
      <c r="R1259" s="148" t="str">
        <f>Agencia[[#This Row],[territorio]]&amp;",regional,comuna,centrales,eléctrica,renovable,no renovable,convencional,ERNC,"&amp;Agencia[[#This Row],[coleccion]]&amp;","&amp;Agencia[[#This Row],[sector]]&amp;","&amp;Agencia[[#This Row],[tema]]&amp;","&amp;Agencia[[#This Row],[contenido]]</f>
        <v>Región de Ñuble,regional,comuna,centrales,eléctrica,renovable,no renovable,convencional,ERNC,Agencia Información,Energía,Centrales ERNC,Energía</v>
      </c>
      <c r="S1259" s="83" t="s">
        <v>2862</v>
      </c>
      <c r="T1259" s="114" t="s">
        <v>1854</v>
      </c>
      <c r="U1259" s="95" t="s">
        <v>398</v>
      </c>
      <c r="V1259" s="93" t="str">
        <f>+Agencia[[#This Row],[idcoleccion]]&amp;"-"&amp;Agencia[[#This Row],[id]]</f>
        <v>990-1248</v>
      </c>
      <c r="W1259" s="93">
        <f>+VLOOKUP(Agencia[[#This Row],[Filtro URL]],Estructura!$X$4:$Y$500,2,0)</f>
        <v>99200016</v>
      </c>
      <c r="X1259" s="93" t="str">
        <f>+VLOOKUP(Agencia[[#This Row],[tema]],Estructura!$A$4:$C$500,3,0)</f>
        <v>T-1039</v>
      </c>
      <c r="Y1259" s="93" t="str">
        <f>+VLOOKUP(Agencia[[#This Row],[contenido]],Estructura!$E$4:$G$500,3,0)</f>
        <v>C-1000</v>
      </c>
      <c r="Z1259" s="93" t="str">
        <f>+VLOOKUP(Agencia[[#This Row],[Filtro Integrado]],Estructura!$I$4:$K$500,3,0)</f>
        <v>FI-991</v>
      </c>
      <c r="AA1259" s="93" t="str">
        <f>+VLOOKUP(Agencia[[#This Row],[Muestra]],Estructura!$M$4:$O$500,3,0)</f>
        <v>M-1081</v>
      </c>
    </row>
    <row r="1260" spans="1:27" ht="51" x14ac:dyDescent="0.3">
      <c r="A1260" s="21" t="s">
        <v>2080</v>
      </c>
      <c r="B1260" s="23">
        <v>990</v>
      </c>
      <c r="C1260" s="24" t="s">
        <v>400</v>
      </c>
      <c r="D1260" s="67" t="s">
        <v>866</v>
      </c>
      <c r="E1260" s="14">
        <v>0</v>
      </c>
      <c r="F1260" s="10" t="s">
        <v>1418</v>
      </c>
      <c r="G1260" s="10" t="s">
        <v>866</v>
      </c>
      <c r="H1260" s="31" t="s">
        <v>20</v>
      </c>
      <c r="I1260" s="32" t="s">
        <v>15</v>
      </c>
      <c r="J1260" s="9" t="s">
        <v>403</v>
      </c>
      <c r="K1260" s="9" t="s">
        <v>9267</v>
      </c>
      <c r="L1260" s="9" t="s">
        <v>596</v>
      </c>
      <c r="M1260" s="9" t="s">
        <v>867</v>
      </c>
      <c r="N1260" s="9" t="s">
        <v>868</v>
      </c>
      <c r="O1260" s="20" t="s">
        <v>2863</v>
      </c>
      <c r="P1260" s="112" t="s">
        <v>6050</v>
      </c>
      <c r="Q1260" s="11" t="s">
        <v>576</v>
      </c>
      <c r="R1260" s="20" t="str">
        <f>Agencia[[#This Row],[territorio]]&amp;"nacional,región,capacidad,instalada,MW,centrales,eléctricas,generación,proporción,"&amp;Agencia[[#This Row],[coleccion]]&amp;","&amp;Agencia[[#This Row],[sector]]&amp;","&amp;Agencia[[#This Row],[tema]]&amp;","&amp;Agencia[[#This Row],[contenido]]</f>
        <v>Chilenacional,región,capacidad,instalada,MW,centrales,eléctricas,generación,proporción,Agencia Información,Energía,Capacidad Instalada ,Energía</v>
      </c>
      <c r="S1260" s="37" t="s">
        <v>2154</v>
      </c>
      <c r="T1260" s="114">
        <v>0</v>
      </c>
      <c r="U1260" s="46" t="s">
        <v>398</v>
      </c>
      <c r="V1260" s="93" t="str">
        <f>+Agencia[[#This Row],[idcoleccion]]&amp;"-"&amp;Agencia[[#This Row],[id]]</f>
        <v>990-1249</v>
      </c>
      <c r="W1260" s="93">
        <f>+VLOOKUP(Agencia[[#This Row],[Filtro URL]],Estructura!$X$4:$Y$500,2,0)</f>
        <v>99100000</v>
      </c>
      <c r="X1260" s="93" t="str">
        <f>+VLOOKUP(Agencia[[#This Row],[tema]],Estructura!$A$4:$C$500,3,0)</f>
        <v>T-1030</v>
      </c>
      <c r="Y1260" s="93" t="str">
        <f>+VLOOKUP(Agencia[[#This Row],[contenido]],Estructura!$E$4:$G$500,3,0)</f>
        <v>C-1000</v>
      </c>
      <c r="Z1260" s="93" t="str">
        <f>+VLOOKUP(Agencia[[#This Row],[Filtro Integrado]],Estructura!$I$4:$K$500,3,0)</f>
        <v>FI-993</v>
      </c>
      <c r="AA1260" s="93" t="str">
        <f>+VLOOKUP(Agencia[[#This Row],[Muestra]],Estructura!$M$4:$O$500,3,0)</f>
        <v>M-1049</v>
      </c>
    </row>
    <row r="1261" spans="1:27" ht="66.900000000000006" customHeight="1" x14ac:dyDescent="0.3">
      <c r="A1261" s="21" t="s">
        <v>2081</v>
      </c>
      <c r="B1261" s="23">
        <v>990</v>
      </c>
      <c r="C1261" s="24" t="s">
        <v>400</v>
      </c>
      <c r="D1261" s="67" t="s">
        <v>568</v>
      </c>
      <c r="E1261" s="14">
        <v>0</v>
      </c>
      <c r="F1261" s="10" t="s">
        <v>2156</v>
      </c>
      <c r="G1261" s="10" t="s">
        <v>1914</v>
      </c>
      <c r="H1261" s="31" t="s">
        <v>20</v>
      </c>
      <c r="I1261" s="32" t="s">
        <v>15</v>
      </c>
      <c r="J1261" s="9" t="s">
        <v>403</v>
      </c>
      <c r="K1261" s="142" t="s">
        <v>2156</v>
      </c>
      <c r="L1261" s="9" t="s">
        <v>596</v>
      </c>
      <c r="M1261" s="9" t="s">
        <v>2157</v>
      </c>
      <c r="N1261" s="9" t="s">
        <v>2158</v>
      </c>
      <c r="O1261" s="20" t="s">
        <v>5161</v>
      </c>
      <c r="P1261" s="118" t="s">
        <v>6402</v>
      </c>
      <c r="Q1261" s="11" t="s">
        <v>504</v>
      </c>
      <c r="R1261" s="20" t="str">
        <f>Agencia[[#This Row],[territorio]]&amp;",nacional,región,establecimientos,farmacias,número,cantidad,ranking,top 10,"&amp;Agencia[[#This Row],[coleccion]]&amp;","&amp;Agencia[[#This Row],[sector]]&amp;","&amp;Agencia[[#This Row],[tema]]&amp;","&amp;Agencia[[#This Row],[contenido]]</f>
        <v>Chile,nacional,región,establecimientos,farmacias,número,cantidad,ranking,top 10,Agencia Información,Salud,Farmacias,Establecimientos de Salud</v>
      </c>
      <c r="S1261" s="83" t="s">
        <v>2159</v>
      </c>
      <c r="T1261" s="114">
        <v>0</v>
      </c>
      <c r="U1261" s="46" t="s">
        <v>398</v>
      </c>
      <c r="V1261" s="93" t="str">
        <f>+Agencia[[#This Row],[idcoleccion]]&amp;"-"&amp;Agencia[[#This Row],[id]]</f>
        <v>990-1250</v>
      </c>
      <c r="W1261" s="93">
        <f>+VLOOKUP(Agencia[[#This Row],[Filtro URL]],Estructura!$X$4:$Y$500,2,0)</f>
        <v>99100000</v>
      </c>
      <c r="X1261" s="93" t="str">
        <f>+VLOOKUP(Agencia[[#This Row],[tema]],Estructura!$A$4:$C$500,3,0)</f>
        <v>T-1040</v>
      </c>
      <c r="Y1261" s="93" t="str">
        <f>+VLOOKUP(Agencia[[#This Row],[contenido]],Estructura!$E$4:$G$500,3,0)</f>
        <v>C-1013</v>
      </c>
      <c r="Z1261" s="93" t="str">
        <f>+VLOOKUP(Agencia[[#This Row],[Filtro Integrado]],Estructura!$I$4:$K$500,3,0)</f>
        <v>FI-993</v>
      </c>
      <c r="AA1261" s="93" t="str">
        <f>+VLOOKUP(Agencia[[#This Row],[Muestra]],Estructura!$M$4:$O$500,3,0)</f>
        <v>M-1082</v>
      </c>
    </row>
    <row r="1262" spans="1:27" ht="74.400000000000006" customHeight="1" x14ac:dyDescent="0.3">
      <c r="A1262" s="21" t="s">
        <v>2082</v>
      </c>
      <c r="B1262" s="23">
        <v>990</v>
      </c>
      <c r="C1262" s="24" t="s">
        <v>400</v>
      </c>
      <c r="D1262" s="67" t="s">
        <v>568</v>
      </c>
      <c r="E1262" s="14">
        <v>0</v>
      </c>
      <c r="F1262" s="10" t="s">
        <v>2156</v>
      </c>
      <c r="G1262" s="10" t="s">
        <v>1914</v>
      </c>
      <c r="H1262" s="31" t="s">
        <v>20</v>
      </c>
      <c r="I1262" s="32" t="s">
        <v>15</v>
      </c>
      <c r="J1262" s="9" t="s">
        <v>16</v>
      </c>
      <c r="K1262" s="9" t="s">
        <v>2156</v>
      </c>
      <c r="L1262" s="9" t="s">
        <v>596</v>
      </c>
      <c r="M1262" s="9" t="s">
        <v>2157</v>
      </c>
      <c r="N1262" s="9" t="s">
        <v>2158</v>
      </c>
      <c r="O1262" s="20" t="s">
        <v>2864</v>
      </c>
      <c r="P1262" s="118" t="s">
        <v>6403</v>
      </c>
      <c r="Q1262" s="11" t="s">
        <v>1934</v>
      </c>
      <c r="R1262" s="20" t="str">
        <f>Agencia[[#This Row],[territorio]]&amp;",nacional,región,establecimientos,salud,farmacias,número,cantidad,"&amp;Agencia[[#This Row],[coleccion]]&amp;","&amp;Agencia[[#This Row],[sector]]&amp;","&amp;Agencia[[#This Row],[tema]]&amp;","&amp;Agencia[[#This Row],[contenido]]</f>
        <v>Chile,nacional,región,establecimientos,salud,farmacias,número,cantidad,Agencia Información,Salud,Farmacias,Establecimientos de Salud</v>
      </c>
      <c r="S1262" s="37" t="s">
        <v>2161</v>
      </c>
      <c r="T1262" s="114">
        <v>0</v>
      </c>
      <c r="U1262" s="46" t="s">
        <v>398</v>
      </c>
      <c r="V1262" s="93" t="str">
        <f>+Agencia[[#This Row],[idcoleccion]]&amp;"-"&amp;Agencia[[#This Row],[id]]</f>
        <v>990-1251</v>
      </c>
      <c r="W1262" s="93">
        <f>+VLOOKUP(Agencia[[#This Row],[Filtro URL]],Estructura!$X$4:$Y$500,2,0)</f>
        <v>99100000</v>
      </c>
      <c r="X1262" s="93" t="str">
        <f>+VLOOKUP(Agencia[[#This Row],[tema]],Estructura!$A$4:$C$500,3,0)</f>
        <v>T-1040</v>
      </c>
      <c r="Y1262" s="93" t="str">
        <f>+VLOOKUP(Agencia[[#This Row],[contenido]],Estructura!$E$4:$G$500,3,0)</f>
        <v>C-1013</v>
      </c>
      <c r="Z1262" s="93" t="str">
        <f>+VLOOKUP(Agencia[[#This Row],[Filtro Integrado]],Estructura!$I$4:$K$500,3,0)</f>
        <v>FI-992</v>
      </c>
      <c r="AA1262" s="93" t="str">
        <f>+VLOOKUP(Agencia[[#This Row],[Muestra]],Estructura!$M$4:$O$500,3,0)</f>
        <v>M-1082</v>
      </c>
    </row>
    <row r="1263" spans="1:27" ht="40.799999999999997" x14ac:dyDescent="0.3">
      <c r="A1263" s="21" t="s">
        <v>2083</v>
      </c>
      <c r="B1263" s="23">
        <v>990</v>
      </c>
      <c r="C1263" s="24" t="s">
        <v>400</v>
      </c>
      <c r="D1263" s="67" t="s">
        <v>568</v>
      </c>
      <c r="E1263" s="14">
        <v>0</v>
      </c>
      <c r="F1263" s="10" t="s">
        <v>2156</v>
      </c>
      <c r="G1263" s="10" t="s">
        <v>1914</v>
      </c>
      <c r="H1263" s="31" t="s">
        <v>20</v>
      </c>
      <c r="I1263" s="32" t="s">
        <v>15</v>
      </c>
      <c r="J1263" s="9" t="s">
        <v>956</v>
      </c>
      <c r="K1263" s="9" t="s">
        <v>9268</v>
      </c>
      <c r="L1263" s="9" t="s">
        <v>596</v>
      </c>
      <c r="M1263" s="9" t="s">
        <v>2157</v>
      </c>
      <c r="N1263" s="9" t="s">
        <v>2158</v>
      </c>
      <c r="O1263" s="20" t="s">
        <v>2865</v>
      </c>
      <c r="P1263" s="119" t="s">
        <v>6404</v>
      </c>
      <c r="Q1263" s="11" t="s">
        <v>1934</v>
      </c>
      <c r="R1263" s="20" t="str">
        <f>Agencia[[#This Row],[territorio]]&amp;",nacional,región,comuna,establecimientos,farmacias,turno,urgencias,"&amp;Agencia[[#This Row],[coleccion]]&amp;","&amp;Agencia[[#This Row],[sector]]&amp;","&amp;Agencia[[#This Row],[tema]]&amp;","&amp;Agencia[[#This Row],[contenido]]</f>
        <v>Chile,nacional,región,comuna,establecimientos,farmacias,turno,urgencias,Agencia Información,Salud,Farmacias,Establecimientos de Salud</v>
      </c>
      <c r="S1263" s="37" t="s">
        <v>2163</v>
      </c>
      <c r="T1263" s="114" t="s">
        <v>957</v>
      </c>
      <c r="U1263" s="46" t="s">
        <v>398</v>
      </c>
      <c r="V1263" s="93" t="str">
        <f>+Agencia[[#This Row],[idcoleccion]]&amp;"-"&amp;Agencia[[#This Row],[id]]</f>
        <v>990-1252</v>
      </c>
      <c r="W1263" s="93">
        <f>+VLOOKUP(Agencia[[#This Row],[Filtro URL]],Estructura!$X$4:$Y$500,2,0)</f>
        <v>99100000</v>
      </c>
      <c r="X1263" s="93" t="str">
        <f>+VLOOKUP(Agencia[[#This Row],[tema]],Estructura!$A$4:$C$500,3,0)</f>
        <v>T-1040</v>
      </c>
      <c r="Y1263" s="93" t="str">
        <f>+VLOOKUP(Agencia[[#This Row],[contenido]],Estructura!$E$4:$G$500,3,0)</f>
        <v>C-1013</v>
      </c>
      <c r="Z1263" s="93" t="str">
        <f>+VLOOKUP(Agencia[[#This Row],[Filtro Integrado]],Estructura!$I$4:$K$500,3,0)</f>
        <v>FI-994</v>
      </c>
      <c r="AA1263" s="93" t="str">
        <f>+VLOOKUP(Agencia[[#This Row],[Muestra]],Estructura!$M$4:$O$500,3,0)</f>
        <v>M-1083</v>
      </c>
    </row>
    <row r="1264" spans="1:27" ht="57.6" x14ac:dyDescent="0.3">
      <c r="A1264" s="21" t="s">
        <v>2084</v>
      </c>
      <c r="B1264" s="23">
        <v>990</v>
      </c>
      <c r="C1264" s="24" t="s">
        <v>400</v>
      </c>
      <c r="D1264" s="67" t="s">
        <v>568</v>
      </c>
      <c r="E1264" s="19">
        <v>1</v>
      </c>
      <c r="F1264" s="10" t="s">
        <v>2156</v>
      </c>
      <c r="G1264" s="10" t="s">
        <v>1914</v>
      </c>
      <c r="H1264" s="33" t="s">
        <v>16</v>
      </c>
      <c r="I1264" s="34" t="s">
        <v>368</v>
      </c>
      <c r="J1264" s="9" t="s">
        <v>16</v>
      </c>
      <c r="K1264" s="142" t="s">
        <v>9268</v>
      </c>
      <c r="L1264" s="9" t="s">
        <v>596</v>
      </c>
      <c r="M1264" s="9" t="s">
        <v>2157</v>
      </c>
      <c r="N1264" s="9" t="s">
        <v>2158</v>
      </c>
      <c r="O1264" s="20" t="s">
        <v>2866</v>
      </c>
      <c r="P1264" s="119" t="s">
        <v>6404</v>
      </c>
      <c r="Q1264" s="11" t="s">
        <v>1934</v>
      </c>
      <c r="R1264" s="148" t="str">
        <f>Agencia[[#This Row],[territorio]]&amp;",regional,comuna,establecimientos,farmacias,turno,urgencias,"&amp;Agencia[[#This Row],[coleccion]]&amp;","&amp;Agencia[[#This Row],[sector]]&amp;","&amp;Agencia[[#This Row],[tema]]&amp;","&amp;Agencia[[#This Row],[contenido]]</f>
        <v>Región de Tarapacá,regional,comuna,establecimientos,farmacias,turno,urgencias,Agencia Información,Salud,Farmacias,Establecimientos de Salud</v>
      </c>
      <c r="S1264" s="83" t="s">
        <v>2556</v>
      </c>
      <c r="T1264" s="114" t="s">
        <v>1856</v>
      </c>
      <c r="U1264" s="46" t="s">
        <v>398</v>
      </c>
      <c r="V1264" s="93" t="str">
        <f>+Agencia[[#This Row],[idcoleccion]]&amp;"-"&amp;Agencia[[#This Row],[id]]</f>
        <v>990-1253</v>
      </c>
      <c r="W1264" s="93">
        <f>+VLOOKUP(Agencia[[#This Row],[Filtro URL]],Estructura!$X$4:$Y$500,2,0)</f>
        <v>99200001</v>
      </c>
      <c r="X1264" s="93" t="str">
        <f>+VLOOKUP(Agencia[[#This Row],[tema]],Estructura!$A$4:$C$500,3,0)</f>
        <v>T-1040</v>
      </c>
      <c r="Y1264" s="93" t="str">
        <f>+VLOOKUP(Agencia[[#This Row],[contenido]],Estructura!$E$4:$G$500,3,0)</f>
        <v>C-1013</v>
      </c>
      <c r="Z1264" s="93" t="str">
        <f>+VLOOKUP(Agencia[[#This Row],[Filtro Integrado]],Estructura!$I$4:$K$500,3,0)</f>
        <v>FI-992</v>
      </c>
      <c r="AA1264" s="93" t="str">
        <f>+VLOOKUP(Agencia[[#This Row],[Muestra]],Estructura!$M$4:$O$500,3,0)</f>
        <v>M-1083</v>
      </c>
    </row>
    <row r="1265" spans="1:27" ht="57.6" x14ac:dyDescent="0.3">
      <c r="A1265" s="21" t="s">
        <v>2085</v>
      </c>
      <c r="B1265" s="23">
        <v>990</v>
      </c>
      <c r="C1265" s="24" t="s">
        <v>400</v>
      </c>
      <c r="D1265" s="67" t="s">
        <v>568</v>
      </c>
      <c r="E1265" s="19">
        <v>2</v>
      </c>
      <c r="F1265" s="10" t="s">
        <v>2156</v>
      </c>
      <c r="G1265" s="10" t="s">
        <v>1914</v>
      </c>
      <c r="H1265" s="33" t="s">
        <v>16</v>
      </c>
      <c r="I1265" s="34" t="s">
        <v>369</v>
      </c>
      <c r="J1265" s="9" t="s">
        <v>16</v>
      </c>
      <c r="K1265" s="142" t="s">
        <v>9268</v>
      </c>
      <c r="L1265" s="9" t="s">
        <v>596</v>
      </c>
      <c r="M1265" s="9" t="s">
        <v>2157</v>
      </c>
      <c r="N1265" s="9" t="s">
        <v>2158</v>
      </c>
      <c r="O1265" s="20" t="s">
        <v>2867</v>
      </c>
      <c r="P1265" s="119" t="s">
        <v>6404</v>
      </c>
      <c r="Q1265" s="11" t="s">
        <v>1934</v>
      </c>
      <c r="R1265" s="148" t="str">
        <f>Agencia[[#This Row],[territorio]]&amp;",regional,comuna,establecimientos,farmacias,turno,urgencias,"&amp;Agencia[[#This Row],[coleccion]]&amp;","&amp;Agencia[[#This Row],[sector]]&amp;","&amp;Agencia[[#This Row],[tema]]&amp;","&amp;Agencia[[#This Row],[contenido]]</f>
        <v>Región de Antofagasta,regional,comuna,establecimientos,farmacias,turno,urgencias,Agencia Información,Salud,Farmacias,Establecimientos de Salud</v>
      </c>
      <c r="S1265" s="83" t="s">
        <v>2557</v>
      </c>
      <c r="T1265" s="114" t="s">
        <v>1844</v>
      </c>
      <c r="U1265" s="95" t="s">
        <v>398</v>
      </c>
      <c r="V1265" s="93" t="str">
        <f>+Agencia[[#This Row],[idcoleccion]]&amp;"-"&amp;Agencia[[#This Row],[id]]</f>
        <v>990-1254</v>
      </c>
      <c r="W1265" s="93">
        <f>+VLOOKUP(Agencia[[#This Row],[Filtro URL]],Estructura!$X$4:$Y$500,2,0)</f>
        <v>99200002</v>
      </c>
      <c r="X1265" s="93" t="str">
        <f>+VLOOKUP(Agencia[[#This Row],[tema]],Estructura!$A$4:$C$500,3,0)</f>
        <v>T-1040</v>
      </c>
      <c r="Y1265" s="93" t="str">
        <f>+VLOOKUP(Agencia[[#This Row],[contenido]],Estructura!$E$4:$G$500,3,0)</f>
        <v>C-1013</v>
      </c>
      <c r="Z1265" s="93" t="str">
        <f>+VLOOKUP(Agencia[[#This Row],[Filtro Integrado]],Estructura!$I$4:$K$500,3,0)</f>
        <v>FI-992</v>
      </c>
      <c r="AA1265" s="93" t="str">
        <f>+VLOOKUP(Agencia[[#This Row],[Muestra]],Estructura!$M$4:$O$500,3,0)</f>
        <v>M-1083</v>
      </c>
    </row>
    <row r="1266" spans="1:27" ht="57.6" x14ac:dyDescent="0.3">
      <c r="A1266" s="21" t="s">
        <v>2086</v>
      </c>
      <c r="B1266" s="23">
        <v>990</v>
      </c>
      <c r="C1266" s="24" t="s">
        <v>400</v>
      </c>
      <c r="D1266" s="67" t="s">
        <v>568</v>
      </c>
      <c r="E1266" s="19">
        <v>3</v>
      </c>
      <c r="F1266" s="10" t="s">
        <v>2156</v>
      </c>
      <c r="G1266" s="10" t="s">
        <v>1914</v>
      </c>
      <c r="H1266" s="33" t="s">
        <v>16</v>
      </c>
      <c r="I1266" s="34" t="s">
        <v>370</v>
      </c>
      <c r="J1266" s="9" t="s">
        <v>16</v>
      </c>
      <c r="K1266" s="142" t="s">
        <v>9268</v>
      </c>
      <c r="L1266" s="9" t="s">
        <v>596</v>
      </c>
      <c r="M1266" s="9" t="s">
        <v>2157</v>
      </c>
      <c r="N1266" s="9" t="s">
        <v>2158</v>
      </c>
      <c r="O1266" s="20" t="s">
        <v>2868</v>
      </c>
      <c r="P1266" s="119" t="s">
        <v>6404</v>
      </c>
      <c r="Q1266" s="11" t="s">
        <v>1934</v>
      </c>
      <c r="R1266" s="148" t="str">
        <f>Agencia[[#This Row],[territorio]]&amp;",regional,comuna,establecimientos,farmacias,turno,urgencias,"&amp;Agencia[[#This Row],[coleccion]]&amp;","&amp;Agencia[[#This Row],[sector]]&amp;","&amp;Agencia[[#This Row],[tema]]&amp;","&amp;Agencia[[#This Row],[contenido]]</f>
        <v>Región de Atacama,regional,comuna,establecimientos,farmacias,turno,urgencias,Agencia Información,Salud,Farmacias,Establecimientos de Salud</v>
      </c>
      <c r="S1266" s="83" t="s">
        <v>2558</v>
      </c>
      <c r="T1266" s="114" t="s">
        <v>1846</v>
      </c>
      <c r="U1266" s="46" t="s">
        <v>398</v>
      </c>
      <c r="V1266" s="93" t="str">
        <f>+Agencia[[#This Row],[idcoleccion]]&amp;"-"&amp;Agencia[[#This Row],[id]]</f>
        <v>990-1255</v>
      </c>
      <c r="W1266" s="93">
        <f>+VLOOKUP(Agencia[[#This Row],[Filtro URL]],Estructura!$X$4:$Y$500,2,0)</f>
        <v>99200003</v>
      </c>
      <c r="X1266" s="93" t="str">
        <f>+VLOOKUP(Agencia[[#This Row],[tema]],Estructura!$A$4:$C$500,3,0)</f>
        <v>T-1040</v>
      </c>
      <c r="Y1266" s="93" t="str">
        <f>+VLOOKUP(Agencia[[#This Row],[contenido]],Estructura!$E$4:$G$500,3,0)</f>
        <v>C-1013</v>
      </c>
      <c r="Z1266" s="93" t="str">
        <f>+VLOOKUP(Agencia[[#This Row],[Filtro Integrado]],Estructura!$I$4:$K$500,3,0)</f>
        <v>FI-992</v>
      </c>
      <c r="AA1266" s="93" t="str">
        <f>+VLOOKUP(Agencia[[#This Row],[Muestra]],Estructura!$M$4:$O$500,3,0)</f>
        <v>M-1083</v>
      </c>
    </row>
    <row r="1267" spans="1:27" ht="57.6" x14ac:dyDescent="0.3">
      <c r="A1267" s="21" t="s">
        <v>2087</v>
      </c>
      <c r="B1267" s="23">
        <v>990</v>
      </c>
      <c r="C1267" s="24" t="s">
        <v>400</v>
      </c>
      <c r="D1267" s="67" t="s">
        <v>568</v>
      </c>
      <c r="E1267" s="19">
        <v>4</v>
      </c>
      <c r="F1267" s="10" t="s">
        <v>2156</v>
      </c>
      <c r="G1267" s="10" t="s">
        <v>1914</v>
      </c>
      <c r="H1267" s="33" t="s">
        <v>16</v>
      </c>
      <c r="I1267" s="34" t="s">
        <v>371</v>
      </c>
      <c r="J1267" s="9" t="s">
        <v>16</v>
      </c>
      <c r="K1267" s="142" t="s">
        <v>9268</v>
      </c>
      <c r="L1267" s="9" t="s">
        <v>596</v>
      </c>
      <c r="M1267" s="9" t="s">
        <v>2157</v>
      </c>
      <c r="N1267" s="9" t="s">
        <v>2158</v>
      </c>
      <c r="O1267" s="20" t="s">
        <v>2869</v>
      </c>
      <c r="P1267" s="119" t="s">
        <v>6404</v>
      </c>
      <c r="Q1267" s="11" t="s">
        <v>1934</v>
      </c>
      <c r="R1267" s="148" t="str">
        <f>Agencia[[#This Row],[territorio]]&amp;",regional,comuna,establecimientos,farmacias,turno,urgencias,"&amp;Agencia[[#This Row],[coleccion]]&amp;","&amp;Agencia[[#This Row],[sector]]&amp;","&amp;Agencia[[#This Row],[tema]]&amp;","&amp;Agencia[[#This Row],[contenido]]</f>
        <v>Región de Coquimbo,regional,comuna,establecimientos,farmacias,turno,urgencias,Agencia Información,Salud,Farmacias,Establecimientos de Salud</v>
      </c>
      <c r="S1267" s="37" t="s">
        <v>2559</v>
      </c>
      <c r="T1267" s="114" t="s">
        <v>1848</v>
      </c>
      <c r="U1267" s="46" t="s">
        <v>398</v>
      </c>
      <c r="V1267" s="93" t="str">
        <f>+Agencia[[#This Row],[idcoleccion]]&amp;"-"&amp;Agencia[[#This Row],[id]]</f>
        <v>990-1256</v>
      </c>
      <c r="W1267" s="93">
        <f>+VLOOKUP(Agencia[[#This Row],[Filtro URL]],Estructura!$X$4:$Y$500,2,0)</f>
        <v>99200004</v>
      </c>
      <c r="X1267" s="93" t="str">
        <f>+VLOOKUP(Agencia[[#This Row],[tema]],Estructura!$A$4:$C$500,3,0)</f>
        <v>T-1040</v>
      </c>
      <c r="Y1267" s="93" t="str">
        <f>+VLOOKUP(Agencia[[#This Row],[contenido]],Estructura!$E$4:$G$500,3,0)</f>
        <v>C-1013</v>
      </c>
      <c r="Z1267" s="93" t="str">
        <f>+VLOOKUP(Agencia[[#This Row],[Filtro Integrado]],Estructura!$I$4:$K$500,3,0)</f>
        <v>FI-992</v>
      </c>
      <c r="AA1267" s="93" t="str">
        <f>+VLOOKUP(Agencia[[#This Row],[Muestra]],Estructura!$M$4:$O$500,3,0)</f>
        <v>M-1083</v>
      </c>
    </row>
    <row r="1268" spans="1:27" ht="57.6" x14ac:dyDescent="0.3">
      <c r="A1268" s="21" t="s">
        <v>2088</v>
      </c>
      <c r="B1268" s="23">
        <v>990</v>
      </c>
      <c r="C1268" s="24" t="s">
        <v>400</v>
      </c>
      <c r="D1268" s="67" t="s">
        <v>568</v>
      </c>
      <c r="E1268" s="19">
        <v>5</v>
      </c>
      <c r="F1268" s="10" t="s">
        <v>2156</v>
      </c>
      <c r="G1268" s="10" t="s">
        <v>1914</v>
      </c>
      <c r="H1268" s="33" t="s">
        <v>16</v>
      </c>
      <c r="I1268" s="34" t="s">
        <v>372</v>
      </c>
      <c r="J1268" s="9" t="s">
        <v>16</v>
      </c>
      <c r="K1268" s="142" t="s">
        <v>9268</v>
      </c>
      <c r="L1268" s="9" t="s">
        <v>596</v>
      </c>
      <c r="M1268" s="9" t="s">
        <v>2157</v>
      </c>
      <c r="N1268" s="9" t="s">
        <v>2158</v>
      </c>
      <c r="O1268" s="20" t="s">
        <v>2870</v>
      </c>
      <c r="P1268" s="119" t="s">
        <v>6404</v>
      </c>
      <c r="Q1268" s="11" t="s">
        <v>1934</v>
      </c>
      <c r="R1268" s="148" t="str">
        <f>Agencia[[#This Row],[territorio]]&amp;",regional,comuna,establecimientos,farmacias,turno,urgencias,"&amp;Agencia[[#This Row],[coleccion]]&amp;","&amp;Agencia[[#This Row],[sector]]&amp;","&amp;Agencia[[#This Row],[tema]]&amp;","&amp;Agencia[[#This Row],[contenido]]</f>
        <v>Región de Valparaíso,regional,comuna,establecimientos,farmacias,turno,urgencias,Agencia Información,Salud,Farmacias,Establecimientos de Salud</v>
      </c>
      <c r="S1268" s="83" t="s">
        <v>2560</v>
      </c>
      <c r="T1268" s="114" t="s">
        <v>1857</v>
      </c>
      <c r="U1268" s="95" t="s">
        <v>398</v>
      </c>
      <c r="V1268" s="93" t="str">
        <f>+Agencia[[#This Row],[idcoleccion]]&amp;"-"&amp;Agencia[[#This Row],[id]]</f>
        <v>990-1257</v>
      </c>
      <c r="W1268" s="93">
        <f>+VLOOKUP(Agencia[[#This Row],[Filtro URL]],Estructura!$X$4:$Y$500,2,0)</f>
        <v>99200005</v>
      </c>
      <c r="X1268" s="93" t="str">
        <f>+VLOOKUP(Agencia[[#This Row],[tema]],Estructura!$A$4:$C$500,3,0)</f>
        <v>T-1040</v>
      </c>
      <c r="Y1268" s="93" t="str">
        <f>+VLOOKUP(Agencia[[#This Row],[contenido]],Estructura!$E$4:$G$500,3,0)</f>
        <v>C-1013</v>
      </c>
      <c r="Z1268" s="93" t="str">
        <f>+VLOOKUP(Agencia[[#This Row],[Filtro Integrado]],Estructura!$I$4:$K$500,3,0)</f>
        <v>FI-992</v>
      </c>
      <c r="AA1268" s="93" t="str">
        <f>+VLOOKUP(Agencia[[#This Row],[Muestra]],Estructura!$M$4:$O$500,3,0)</f>
        <v>M-1083</v>
      </c>
    </row>
    <row r="1269" spans="1:27" ht="57.6" x14ac:dyDescent="0.3">
      <c r="A1269" s="21" t="s">
        <v>2089</v>
      </c>
      <c r="B1269" s="23">
        <v>990</v>
      </c>
      <c r="C1269" s="24" t="s">
        <v>400</v>
      </c>
      <c r="D1269" s="67" t="s">
        <v>568</v>
      </c>
      <c r="E1269" s="19">
        <v>6</v>
      </c>
      <c r="F1269" s="10" t="s">
        <v>2156</v>
      </c>
      <c r="G1269" s="10" t="s">
        <v>1914</v>
      </c>
      <c r="H1269" s="33" t="s">
        <v>16</v>
      </c>
      <c r="I1269" s="34" t="s">
        <v>373</v>
      </c>
      <c r="J1269" s="9" t="s">
        <v>16</v>
      </c>
      <c r="K1269" s="142" t="s">
        <v>9268</v>
      </c>
      <c r="L1269" s="9" t="s">
        <v>596</v>
      </c>
      <c r="M1269" s="9" t="s">
        <v>2157</v>
      </c>
      <c r="N1269" s="9" t="s">
        <v>2158</v>
      </c>
      <c r="O1269" s="20" t="s">
        <v>2871</v>
      </c>
      <c r="P1269" s="119" t="s">
        <v>6404</v>
      </c>
      <c r="Q1269" s="11" t="s">
        <v>1934</v>
      </c>
      <c r="R1269" s="148" t="str">
        <f>Agencia[[#This Row],[territorio]]&amp;",regional,comuna,establecimientos,farmacias,turno,urgencias,"&amp;Agencia[[#This Row],[coleccion]]&amp;","&amp;Agencia[[#This Row],[sector]]&amp;","&amp;Agencia[[#This Row],[tema]]&amp;","&amp;Agencia[[#This Row],[contenido]]</f>
        <v>Región de O'Higgins,regional,comuna,establecimientos,farmacias,turno,urgencias,Agencia Información,Salud,Farmacias,Establecimientos de Salud</v>
      </c>
      <c r="S1269" s="37" t="s">
        <v>2561</v>
      </c>
      <c r="T1269" s="114" t="s">
        <v>1855</v>
      </c>
      <c r="U1269" s="46" t="s">
        <v>398</v>
      </c>
      <c r="V1269" s="93" t="str">
        <f>+Agencia[[#This Row],[idcoleccion]]&amp;"-"&amp;Agencia[[#This Row],[id]]</f>
        <v>990-1258</v>
      </c>
      <c r="W1269" s="93">
        <f>+VLOOKUP(Agencia[[#This Row],[Filtro URL]],Estructura!$X$4:$Y$500,2,0)</f>
        <v>99200006</v>
      </c>
      <c r="X1269" s="93" t="str">
        <f>+VLOOKUP(Agencia[[#This Row],[tema]],Estructura!$A$4:$C$500,3,0)</f>
        <v>T-1040</v>
      </c>
      <c r="Y1269" s="93" t="str">
        <f>+VLOOKUP(Agencia[[#This Row],[contenido]],Estructura!$E$4:$G$500,3,0)</f>
        <v>C-1013</v>
      </c>
      <c r="Z1269" s="93" t="str">
        <f>+VLOOKUP(Agencia[[#This Row],[Filtro Integrado]],Estructura!$I$4:$K$500,3,0)</f>
        <v>FI-992</v>
      </c>
      <c r="AA1269" s="93" t="str">
        <f>+VLOOKUP(Agencia[[#This Row],[Muestra]],Estructura!$M$4:$O$500,3,0)</f>
        <v>M-1083</v>
      </c>
    </row>
    <row r="1270" spans="1:27" ht="57.6" x14ac:dyDescent="0.3">
      <c r="A1270" s="21" t="s">
        <v>2090</v>
      </c>
      <c r="B1270" s="23">
        <v>990</v>
      </c>
      <c r="C1270" s="24" t="s">
        <v>400</v>
      </c>
      <c r="D1270" s="67" t="s">
        <v>568</v>
      </c>
      <c r="E1270" s="19">
        <v>7</v>
      </c>
      <c r="F1270" s="10" t="s">
        <v>2156</v>
      </c>
      <c r="G1270" s="10" t="s">
        <v>1914</v>
      </c>
      <c r="H1270" s="33" t="s">
        <v>16</v>
      </c>
      <c r="I1270" s="34" t="s">
        <v>374</v>
      </c>
      <c r="J1270" s="9" t="s">
        <v>16</v>
      </c>
      <c r="K1270" s="142" t="s">
        <v>9268</v>
      </c>
      <c r="L1270" s="9" t="s">
        <v>596</v>
      </c>
      <c r="M1270" s="9" t="s">
        <v>2157</v>
      </c>
      <c r="N1270" s="9" t="s">
        <v>2158</v>
      </c>
      <c r="O1270" s="20" t="s">
        <v>2872</v>
      </c>
      <c r="P1270" s="119" t="s">
        <v>6404</v>
      </c>
      <c r="Q1270" s="11" t="s">
        <v>1934</v>
      </c>
      <c r="R1270" s="148" t="str">
        <f>Agencia[[#This Row],[territorio]]&amp;",regional,comuna,establecimientos,farmacias,turno,urgencias,"&amp;Agencia[[#This Row],[coleccion]]&amp;","&amp;Agencia[[#This Row],[sector]]&amp;","&amp;Agencia[[#This Row],[tema]]&amp;","&amp;Agencia[[#This Row],[contenido]]</f>
        <v>Región de Maule,regional,comuna,establecimientos,farmacias,turno,urgencias,Agencia Información,Salud,Farmacias,Establecimientos de Salud</v>
      </c>
      <c r="S1270" s="37" t="s">
        <v>2562</v>
      </c>
      <c r="T1270" s="114" t="s">
        <v>1853</v>
      </c>
      <c r="U1270" s="46" t="s">
        <v>398</v>
      </c>
      <c r="V1270" s="93" t="str">
        <f>+Agencia[[#This Row],[idcoleccion]]&amp;"-"&amp;Agencia[[#This Row],[id]]</f>
        <v>990-1259</v>
      </c>
      <c r="W1270" s="93">
        <f>+VLOOKUP(Agencia[[#This Row],[Filtro URL]],Estructura!$X$4:$Y$500,2,0)</f>
        <v>99200007</v>
      </c>
      <c r="X1270" s="93" t="str">
        <f>+VLOOKUP(Agencia[[#This Row],[tema]],Estructura!$A$4:$C$500,3,0)</f>
        <v>T-1040</v>
      </c>
      <c r="Y1270" s="93" t="str">
        <f>+VLOOKUP(Agencia[[#This Row],[contenido]],Estructura!$E$4:$G$500,3,0)</f>
        <v>C-1013</v>
      </c>
      <c r="Z1270" s="93" t="str">
        <f>+VLOOKUP(Agencia[[#This Row],[Filtro Integrado]],Estructura!$I$4:$K$500,3,0)</f>
        <v>FI-992</v>
      </c>
      <c r="AA1270" s="93" t="str">
        <f>+VLOOKUP(Agencia[[#This Row],[Muestra]],Estructura!$M$4:$O$500,3,0)</f>
        <v>M-1083</v>
      </c>
    </row>
    <row r="1271" spans="1:27" ht="57.6" x14ac:dyDescent="0.3">
      <c r="A1271" s="21" t="s">
        <v>2091</v>
      </c>
      <c r="B1271" s="23">
        <v>990</v>
      </c>
      <c r="C1271" s="24" t="s">
        <v>400</v>
      </c>
      <c r="D1271" s="67" t="s">
        <v>568</v>
      </c>
      <c r="E1271" s="19">
        <v>8</v>
      </c>
      <c r="F1271" s="10" t="s">
        <v>2156</v>
      </c>
      <c r="G1271" s="10" t="s">
        <v>1914</v>
      </c>
      <c r="H1271" s="33" t="s">
        <v>16</v>
      </c>
      <c r="I1271" s="34" t="s">
        <v>375</v>
      </c>
      <c r="J1271" s="9" t="s">
        <v>16</v>
      </c>
      <c r="K1271" s="142" t="s">
        <v>9268</v>
      </c>
      <c r="L1271" s="9" t="s">
        <v>596</v>
      </c>
      <c r="M1271" s="9" t="s">
        <v>2157</v>
      </c>
      <c r="N1271" s="9" t="s">
        <v>2158</v>
      </c>
      <c r="O1271" s="20" t="s">
        <v>2873</v>
      </c>
      <c r="P1271" s="119" t="s">
        <v>6404</v>
      </c>
      <c r="Q1271" s="11" t="s">
        <v>1934</v>
      </c>
      <c r="R1271" s="148" t="str">
        <f>Agencia[[#This Row],[territorio]]&amp;",regional,comuna,establecimientos,farmacias,turno,urgencias,"&amp;Agencia[[#This Row],[coleccion]]&amp;","&amp;Agencia[[#This Row],[sector]]&amp;","&amp;Agencia[[#This Row],[tema]]&amp;","&amp;Agencia[[#This Row],[contenido]]</f>
        <v>Región del Biobío,regional,comuna,establecimientos,farmacias,turno,urgencias,Agencia Información,Salud,Farmacias,Establecimientos de Salud</v>
      </c>
      <c r="S1271" s="37" t="s">
        <v>2563</v>
      </c>
      <c r="T1271" s="114" t="s">
        <v>1858</v>
      </c>
      <c r="U1271" s="95" t="s">
        <v>398</v>
      </c>
      <c r="V1271" s="93" t="str">
        <f>+Agencia[[#This Row],[idcoleccion]]&amp;"-"&amp;Agencia[[#This Row],[id]]</f>
        <v>990-1260</v>
      </c>
      <c r="W1271" s="93">
        <f>+VLOOKUP(Agencia[[#This Row],[Filtro URL]],Estructura!$X$4:$Y$500,2,0)</f>
        <v>99200008</v>
      </c>
      <c r="X1271" s="93" t="str">
        <f>+VLOOKUP(Agencia[[#This Row],[tema]],Estructura!$A$4:$C$500,3,0)</f>
        <v>T-1040</v>
      </c>
      <c r="Y1271" s="93" t="str">
        <f>+VLOOKUP(Agencia[[#This Row],[contenido]],Estructura!$E$4:$G$500,3,0)</f>
        <v>C-1013</v>
      </c>
      <c r="Z1271" s="93" t="str">
        <f>+VLOOKUP(Agencia[[#This Row],[Filtro Integrado]],Estructura!$I$4:$K$500,3,0)</f>
        <v>FI-992</v>
      </c>
      <c r="AA1271" s="93" t="str">
        <f>+VLOOKUP(Agencia[[#This Row],[Muestra]],Estructura!$M$4:$O$500,3,0)</f>
        <v>M-1083</v>
      </c>
    </row>
    <row r="1272" spans="1:27" ht="57.6" x14ac:dyDescent="0.3">
      <c r="A1272" s="21" t="s">
        <v>2092</v>
      </c>
      <c r="B1272" s="23">
        <v>990</v>
      </c>
      <c r="C1272" s="24" t="s">
        <v>400</v>
      </c>
      <c r="D1272" s="67" t="s">
        <v>568</v>
      </c>
      <c r="E1272" s="19">
        <v>9</v>
      </c>
      <c r="F1272" s="10" t="s">
        <v>2156</v>
      </c>
      <c r="G1272" s="10" t="s">
        <v>1914</v>
      </c>
      <c r="H1272" s="33" t="s">
        <v>16</v>
      </c>
      <c r="I1272" s="34" t="s">
        <v>376</v>
      </c>
      <c r="J1272" s="9" t="s">
        <v>16</v>
      </c>
      <c r="K1272" s="142" t="s">
        <v>9268</v>
      </c>
      <c r="L1272" s="9" t="s">
        <v>596</v>
      </c>
      <c r="M1272" s="9" t="s">
        <v>2157</v>
      </c>
      <c r="N1272" s="9" t="s">
        <v>2158</v>
      </c>
      <c r="O1272" s="20" t="s">
        <v>2874</v>
      </c>
      <c r="P1272" s="119" t="s">
        <v>6404</v>
      </c>
      <c r="Q1272" s="11" t="s">
        <v>1934</v>
      </c>
      <c r="R1272" s="148" t="str">
        <f>Agencia[[#This Row],[territorio]]&amp;",regional,comuna,establecimientos,farmacias,turno,urgencias,"&amp;Agencia[[#This Row],[coleccion]]&amp;","&amp;Agencia[[#This Row],[sector]]&amp;","&amp;Agencia[[#This Row],[tema]]&amp;","&amp;Agencia[[#This Row],[contenido]]</f>
        <v>Región de La Araucanía,regional,comuna,establecimientos,farmacias,turno,urgencias,Agencia Información,Salud,Farmacias,Establecimientos de Salud</v>
      </c>
      <c r="S1272" s="37" t="s">
        <v>2564</v>
      </c>
      <c r="T1272" s="114" t="s">
        <v>1849</v>
      </c>
      <c r="U1272" s="46" t="s">
        <v>398</v>
      </c>
      <c r="V1272" s="93" t="str">
        <f>+Agencia[[#This Row],[idcoleccion]]&amp;"-"&amp;Agencia[[#This Row],[id]]</f>
        <v>990-1261</v>
      </c>
      <c r="W1272" s="93">
        <f>+VLOOKUP(Agencia[[#This Row],[Filtro URL]],Estructura!$X$4:$Y$500,2,0)</f>
        <v>99200009</v>
      </c>
      <c r="X1272" s="93" t="str">
        <f>+VLOOKUP(Agencia[[#This Row],[tema]],Estructura!$A$4:$C$500,3,0)</f>
        <v>T-1040</v>
      </c>
      <c r="Y1272" s="93" t="str">
        <f>+VLOOKUP(Agencia[[#This Row],[contenido]],Estructura!$E$4:$G$500,3,0)</f>
        <v>C-1013</v>
      </c>
      <c r="Z1272" s="93" t="str">
        <f>+VLOOKUP(Agencia[[#This Row],[Filtro Integrado]],Estructura!$I$4:$K$500,3,0)</f>
        <v>FI-992</v>
      </c>
      <c r="AA1272" s="93" t="str">
        <f>+VLOOKUP(Agencia[[#This Row],[Muestra]],Estructura!$M$4:$O$500,3,0)</f>
        <v>M-1083</v>
      </c>
    </row>
    <row r="1273" spans="1:27" ht="57.6" x14ac:dyDescent="0.3">
      <c r="A1273" s="21" t="s">
        <v>2094</v>
      </c>
      <c r="B1273" s="23">
        <v>990</v>
      </c>
      <c r="C1273" s="24" t="s">
        <v>400</v>
      </c>
      <c r="D1273" s="67" t="s">
        <v>568</v>
      </c>
      <c r="E1273" s="19">
        <v>10</v>
      </c>
      <c r="F1273" s="10" t="s">
        <v>2156</v>
      </c>
      <c r="G1273" s="10" t="s">
        <v>1914</v>
      </c>
      <c r="H1273" s="33" t="s">
        <v>16</v>
      </c>
      <c r="I1273" s="34" t="s">
        <v>377</v>
      </c>
      <c r="J1273" s="9" t="s">
        <v>16</v>
      </c>
      <c r="K1273" s="142" t="s">
        <v>9268</v>
      </c>
      <c r="L1273" s="9" t="s">
        <v>596</v>
      </c>
      <c r="M1273" s="9" t="s">
        <v>2157</v>
      </c>
      <c r="N1273" s="9" t="s">
        <v>2158</v>
      </c>
      <c r="O1273" s="20" t="s">
        <v>2875</v>
      </c>
      <c r="P1273" s="119" t="s">
        <v>6404</v>
      </c>
      <c r="Q1273" s="11" t="s">
        <v>1934</v>
      </c>
      <c r="R1273" s="148" t="str">
        <f>Agencia[[#This Row],[territorio]]&amp;",regional,comuna,establecimientos,farmacias,turno,urgencias,"&amp;Agencia[[#This Row],[coleccion]]&amp;","&amp;Agencia[[#This Row],[sector]]&amp;","&amp;Agencia[[#This Row],[tema]]&amp;","&amp;Agencia[[#This Row],[contenido]]</f>
        <v>Región de Los Lagos,regional,comuna,establecimientos,farmacias,turno,urgencias,Agencia Información,Salud,Farmacias,Establecimientos de Salud</v>
      </c>
      <c r="S1273" s="37" t="s">
        <v>2565</v>
      </c>
      <c r="T1273" s="114" t="s">
        <v>1850</v>
      </c>
      <c r="U1273" s="46" t="s">
        <v>398</v>
      </c>
      <c r="V1273" s="93" t="str">
        <f>+Agencia[[#This Row],[idcoleccion]]&amp;"-"&amp;Agencia[[#This Row],[id]]</f>
        <v>990-1262</v>
      </c>
      <c r="W1273" s="93">
        <f>+VLOOKUP(Agencia[[#This Row],[Filtro URL]],Estructura!$X$4:$Y$500,2,0)</f>
        <v>99200010</v>
      </c>
      <c r="X1273" s="93" t="str">
        <f>+VLOOKUP(Agencia[[#This Row],[tema]],Estructura!$A$4:$C$500,3,0)</f>
        <v>T-1040</v>
      </c>
      <c r="Y1273" s="93" t="str">
        <f>+VLOOKUP(Agencia[[#This Row],[contenido]],Estructura!$E$4:$G$500,3,0)</f>
        <v>C-1013</v>
      </c>
      <c r="Z1273" s="93" t="str">
        <f>+VLOOKUP(Agencia[[#This Row],[Filtro Integrado]],Estructura!$I$4:$K$500,3,0)</f>
        <v>FI-992</v>
      </c>
      <c r="AA1273" s="93" t="str">
        <f>+VLOOKUP(Agencia[[#This Row],[Muestra]],Estructura!$M$4:$O$500,3,0)</f>
        <v>M-1083</v>
      </c>
    </row>
    <row r="1274" spans="1:27" ht="57.6" x14ac:dyDescent="0.3">
      <c r="A1274" s="21" t="s">
        <v>2095</v>
      </c>
      <c r="B1274" s="23">
        <v>990</v>
      </c>
      <c r="C1274" s="24" t="s">
        <v>400</v>
      </c>
      <c r="D1274" s="67" t="s">
        <v>568</v>
      </c>
      <c r="E1274" s="19">
        <v>11</v>
      </c>
      <c r="F1274" s="10" t="s">
        <v>2156</v>
      </c>
      <c r="G1274" s="10" t="s">
        <v>1914</v>
      </c>
      <c r="H1274" s="33" t="s">
        <v>16</v>
      </c>
      <c r="I1274" s="34" t="s">
        <v>378</v>
      </c>
      <c r="J1274" s="9" t="s">
        <v>16</v>
      </c>
      <c r="K1274" s="142" t="s">
        <v>9268</v>
      </c>
      <c r="L1274" s="9" t="s">
        <v>596</v>
      </c>
      <c r="M1274" s="9" t="s">
        <v>2157</v>
      </c>
      <c r="N1274" s="9" t="s">
        <v>2158</v>
      </c>
      <c r="O1274" s="20" t="s">
        <v>2876</v>
      </c>
      <c r="P1274" s="119" t="s">
        <v>6404</v>
      </c>
      <c r="Q1274" s="11" t="s">
        <v>1934</v>
      </c>
      <c r="R1274" s="148" t="str">
        <f>Agencia[[#This Row],[territorio]]&amp;",regional,comuna,establecimientos,farmacias,turno,urgencias,"&amp;Agencia[[#This Row],[coleccion]]&amp;","&amp;Agencia[[#This Row],[sector]]&amp;","&amp;Agencia[[#This Row],[tema]]&amp;","&amp;Agencia[[#This Row],[contenido]]</f>
        <v>Región de Aysén,regional,comuna,establecimientos,farmacias,turno,urgencias,Agencia Información,Salud,Farmacias,Establecimientos de Salud</v>
      </c>
      <c r="S1274" s="37" t="s">
        <v>2566</v>
      </c>
      <c r="T1274" s="114" t="s">
        <v>1847</v>
      </c>
      <c r="U1274" s="95" t="s">
        <v>398</v>
      </c>
      <c r="V1274" s="93" t="str">
        <f>+Agencia[[#This Row],[idcoleccion]]&amp;"-"&amp;Agencia[[#This Row],[id]]</f>
        <v>990-1263</v>
      </c>
      <c r="W1274" s="93">
        <f>+VLOOKUP(Agencia[[#This Row],[Filtro URL]],Estructura!$X$4:$Y$500,2,0)</f>
        <v>99200011</v>
      </c>
      <c r="X1274" s="93" t="str">
        <f>+VLOOKUP(Agencia[[#This Row],[tema]],Estructura!$A$4:$C$500,3,0)</f>
        <v>T-1040</v>
      </c>
      <c r="Y1274" s="93" t="str">
        <f>+VLOOKUP(Agencia[[#This Row],[contenido]],Estructura!$E$4:$G$500,3,0)</f>
        <v>C-1013</v>
      </c>
      <c r="Z1274" s="93" t="str">
        <f>+VLOOKUP(Agencia[[#This Row],[Filtro Integrado]],Estructura!$I$4:$K$500,3,0)</f>
        <v>FI-992</v>
      </c>
      <c r="AA1274" s="93" t="str">
        <f>+VLOOKUP(Agencia[[#This Row],[Muestra]],Estructura!$M$4:$O$500,3,0)</f>
        <v>M-1083</v>
      </c>
    </row>
    <row r="1275" spans="1:27" ht="57.6" x14ac:dyDescent="0.3">
      <c r="A1275" s="21" t="s">
        <v>2096</v>
      </c>
      <c r="B1275" s="23">
        <v>990</v>
      </c>
      <c r="C1275" s="24" t="s">
        <v>400</v>
      </c>
      <c r="D1275" s="67" t="s">
        <v>568</v>
      </c>
      <c r="E1275" s="19">
        <v>12</v>
      </c>
      <c r="F1275" s="10" t="s">
        <v>2156</v>
      </c>
      <c r="G1275" s="10" t="s">
        <v>1914</v>
      </c>
      <c r="H1275" s="33" t="s">
        <v>16</v>
      </c>
      <c r="I1275" s="34" t="s">
        <v>379</v>
      </c>
      <c r="J1275" s="9" t="s">
        <v>16</v>
      </c>
      <c r="K1275" s="142" t="s">
        <v>9268</v>
      </c>
      <c r="L1275" s="9" t="s">
        <v>596</v>
      </c>
      <c r="M1275" s="9" t="s">
        <v>2157</v>
      </c>
      <c r="N1275" s="9" t="s">
        <v>2158</v>
      </c>
      <c r="O1275" s="20" t="s">
        <v>2877</v>
      </c>
      <c r="P1275" s="119" t="s">
        <v>6404</v>
      </c>
      <c r="Q1275" s="11" t="s">
        <v>1934</v>
      </c>
      <c r="R1275" s="148" t="str">
        <f>Agencia[[#This Row],[territorio]]&amp;",regional,comuna,establecimientos,farmacias,turno,urgencias,"&amp;Agencia[[#This Row],[coleccion]]&amp;","&amp;Agencia[[#This Row],[sector]]&amp;","&amp;Agencia[[#This Row],[tema]]&amp;","&amp;Agencia[[#This Row],[contenido]]</f>
        <v>Región de Magallanes,regional,comuna,establecimientos,farmacias,turno,urgencias,Agencia Información,Salud,Farmacias,Establecimientos de Salud</v>
      </c>
      <c r="S1275" s="37" t="s">
        <v>2878</v>
      </c>
      <c r="T1275" s="114" t="s">
        <v>1852</v>
      </c>
      <c r="U1275" s="46" t="s">
        <v>398</v>
      </c>
      <c r="V1275" s="93" t="str">
        <f>+Agencia[[#This Row],[idcoleccion]]&amp;"-"&amp;Agencia[[#This Row],[id]]</f>
        <v>990-1264</v>
      </c>
      <c r="W1275" s="93">
        <f>+VLOOKUP(Agencia[[#This Row],[Filtro URL]],Estructura!$X$4:$Y$500,2,0)</f>
        <v>99200012</v>
      </c>
      <c r="X1275" s="93" t="str">
        <f>+VLOOKUP(Agencia[[#This Row],[tema]],Estructura!$A$4:$C$500,3,0)</f>
        <v>T-1040</v>
      </c>
      <c r="Y1275" s="93" t="str">
        <f>+VLOOKUP(Agencia[[#This Row],[contenido]],Estructura!$E$4:$G$500,3,0)</f>
        <v>C-1013</v>
      </c>
      <c r="Z1275" s="93" t="str">
        <f>+VLOOKUP(Agencia[[#This Row],[Filtro Integrado]],Estructura!$I$4:$K$500,3,0)</f>
        <v>FI-992</v>
      </c>
      <c r="AA1275" s="93" t="str">
        <f>+VLOOKUP(Agencia[[#This Row],[Muestra]],Estructura!$M$4:$O$500,3,0)</f>
        <v>M-1083</v>
      </c>
    </row>
    <row r="1276" spans="1:27" ht="57.6" x14ac:dyDescent="0.3">
      <c r="A1276" s="21" t="s">
        <v>2097</v>
      </c>
      <c r="B1276" s="23">
        <v>990</v>
      </c>
      <c r="C1276" s="24" t="s">
        <v>400</v>
      </c>
      <c r="D1276" s="67" t="s">
        <v>568</v>
      </c>
      <c r="E1276" s="19">
        <v>13</v>
      </c>
      <c r="F1276" s="10" t="s">
        <v>2156</v>
      </c>
      <c r="G1276" s="10" t="s">
        <v>1914</v>
      </c>
      <c r="H1276" s="33" t="s">
        <v>16</v>
      </c>
      <c r="I1276" s="34" t="s">
        <v>380</v>
      </c>
      <c r="J1276" s="9" t="s">
        <v>16</v>
      </c>
      <c r="K1276" s="142" t="s">
        <v>9268</v>
      </c>
      <c r="L1276" s="9" t="s">
        <v>596</v>
      </c>
      <c r="M1276" s="9" t="s">
        <v>2157</v>
      </c>
      <c r="N1276" s="9" t="s">
        <v>2158</v>
      </c>
      <c r="O1276" s="20" t="s">
        <v>2879</v>
      </c>
      <c r="P1276" s="119" t="s">
        <v>6404</v>
      </c>
      <c r="Q1276" s="11" t="s">
        <v>1934</v>
      </c>
      <c r="R1276" s="148" t="str">
        <f>Agencia[[#This Row],[territorio]]&amp;",regional,comuna,establecimientos,farmacias,turno,urgencias,"&amp;Agencia[[#This Row],[coleccion]]&amp;","&amp;Agencia[[#This Row],[sector]]&amp;","&amp;Agencia[[#This Row],[tema]]&amp;","&amp;Agencia[[#This Row],[contenido]]</f>
        <v>Región Metropolitana,regional,comuna,establecimientos,farmacias,turno,urgencias,Agencia Información,Salud,Farmacias,Establecimientos de Salud</v>
      </c>
      <c r="S1276" s="37" t="s">
        <v>2880</v>
      </c>
      <c r="T1276" s="114" t="s">
        <v>1859</v>
      </c>
      <c r="U1276" s="46" t="s">
        <v>398</v>
      </c>
      <c r="V1276" s="93" t="str">
        <f>+Agencia[[#This Row],[idcoleccion]]&amp;"-"&amp;Agencia[[#This Row],[id]]</f>
        <v>990-1265</v>
      </c>
      <c r="W1276" s="93">
        <f>+VLOOKUP(Agencia[[#This Row],[Filtro URL]],Estructura!$X$4:$Y$500,2,0)</f>
        <v>99200013</v>
      </c>
      <c r="X1276" s="93" t="str">
        <f>+VLOOKUP(Agencia[[#This Row],[tema]],Estructura!$A$4:$C$500,3,0)</f>
        <v>T-1040</v>
      </c>
      <c r="Y1276" s="93" t="str">
        <f>+VLOOKUP(Agencia[[#This Row],[contenido]],Estructura!$E$4:$G$500,3,0)</f>
        <v>C-1013</v>
      </c>
      <c r="Z1276" s="93" t="str">
        <f>+VLOOKUP(Agencia[[#This Row],[Filtro Integrado]],Estructura!$I$4:$K$500,3,0)</f>
        <v>FI-992</v>
      </c>
      <c r="AA1276" s="93" t="str">
        <f>+VLOOKUP(Agencia[[#This Row],[Muestra]],Estructura!$M$4:$O$500,3,0)</f>
        <v>M-1083</v>
      </c>
    </row>
    <row r="1277" spans="1:27" ht="57.6" x14ac:dyDescent="0.3">
      <c r="A1277" s="21" t="s">
        <v>2098</v>
      </c>
      <c r="B1277" s="23">
        <v>990</v>
      </c>
      <c r="C1277" s="24" t="s">
        <v>400</v>
      </c>
      <c r="D1277" s="67" t="s">
        <v>568</v>
      </c>
      <c r="E1277" s="19">
        <v>14</v>
      </c>
      <c r="F1277" s="10" t="s">
        <v>2156</v>
      </c>
      <c r="G1277" s="10" t="s">
        <v>1914</v>
      </c>
      <c r="H1277" s="33" t="s">
        <v>16</v>
      </c>
      <c r="I1277" s="34" t="s">
        <v>381</v>
      </c>
      <c r="J1277" s="9" t="s">
        <v>16</v>
      </c>
      <c r="K1277" s="142" t="s">
        <v>9268</v>
      </c>
      <c r="L1277" s="9" t="s">
        <v>596</v>
      </c>
      <c r="M1277" s="9" t="s">
        <v>2157</v>
      </c>
      <c r="N1277" s="9" t="s">
        <v>2158</v>
      </c>
      <c r="O1277" s="20" t="s">
        <v>2881</v>
      </c>
      <c r="P1277" s="119" t="s">
        <v>6404</v>
      </c>
      <c r="Q1277" s="11" t="s">
        <v>1934</v>
      </c>
      <c r="R1277" s="148" t="str">
        <f>Agencia[[#This Row],[territorio]]&amp;",regional,comuna,establecimientos,farmacias,turno,urgencias,"&amp;Agencia[[#This Row],[coleccion]]&amp;","&amp;Agencia[[#This Row],[sector]]&amp;","&amp;Agencia[[#This Row],[tema]]&amp;","&amp;Agencia[[#This Row],[contenido]]</f>
        <v>Región de Los Ríos,regional,comuna,establecimientos,farmacias,turno,urgencias,Agencia Información,Salud,Farmacias,Establecimientos de Salud</v>
      </c>
      <c r="S1277" s="37" t="s">
        <v>2882</v>
      </c>
      <c r="T1277" s="114" t="s">
        <v>1851</v>
      </c>
      <c r="U1277" s="95" t="s">
        <v>398</v>
      </c>
      <c r="V1277" s="93" t="str">
        <f>+Agencia[[#This Row],[idcoleccion]]&amp;"-"&amp;Agencia[[#This Row],[id]]</f>
        <v>990-1266</v>
      </c>
      <c r="W1277" s="93">
        <f>+VLOOKUP(Agencia[[#This Row],[Filtro URL]],Estructura!$X$4:$Y$500,2,0)</f>
        <v>99200014</v>
      </c>
      <c r="X1277" s="93" t="str">
        <f>+VLOOKUP(Agencia[[#This Row],[tema]],Estructura!$A$4:$C$500,3,0)</f>
        <v>T-1040</v>
      </c>
      <c r="Y1277" s="93" t="str">
        <f>+VLOOKUP(Agencia[[#This Row],[contenido]],Estructura!$E$4:$G$500,3,0)</f>
        <v>C-1013</v>
      </c>
      <c r="Z1277" s="93" t="str">
        <f>+VLOOKUP(Agencia[[#This Row],[Filtro Integrado]],Estructura!$I$4:$K$500,3,0)</f>
        <v>FI-992</v>
      </c>
      <c r="AA1277" s="93" t="str">
        <f>+VLOOKUP(Agencia[[#This Row],[Muestra]],Estructura!$M$4:$O$500,3,0)</f>
        <v>M-1083</v>
      </c>
    </row>
    <row r="1278" spans="1:27" ht="57.6" x14ac:dyDescent="0.3">
      <c r="A1278" s="21" t="s">
        <v>2099</v>
      </c>
      <c r="B1278" s="23">
        <v>990</v>
      </c>
      <c r="C1278" s="24" t="s">
        <v>400</v>
      </c>
      <c r="D1278" s="67" t="s">
        <v>568</v>
      </c>
      <c r="E1278" s="19">
        <v>16</v>
      </c>
      <c r="F1278" s="10" t="s">
        <v>2156</v>
      </c>
      <c r="G1278" s="10" t="s">
        <v>1914</v>
      </c>
      <c r="H1278" s="33" t="s">
        <v>16</v>
      </c>
      <c r="I1278" s="34" t="s">
        <v>383</v>
      </c>
      <c r="J1278" s="9" t="s">
        <v>16</v>
      </c>
      <c r="K1278" s="142" t="s">
        <v>9268</v>
      </c>
      <c r="L1278" s="9" t="s">
        <v>596</v>
      </c>
      <c r="M1278" s="9" t="s">
        <v>2157</v>
      </c>
      <c r="N1278" s="9" t="s">
        <v>2158</v>
      </c>
      <c r="O1278" s="20" t="s">
        <v>2883</v>
      </c>
      <c r="P1278" s="119" t="s">
        <v>6404</v>
      </c>
      <c r="Q1278" s="11" t="s">
        <v>1934</v>
      </c>
      <c r="R1278" s="148" t="str">
        <f>Agencia[[#This Row],[territorio]]&amp;",regional,comuna,establecimientos,farmacias,turno,urgencias,"&amp;Agencia[[#This Row],[coleccion]]&amp;","&amp;Agencia[[#This Row],[sector]]&amp;","&amp;Agencia[[#This Row],[tema]]&amp;","&amp;Agencia[[#This Row],[contenido]]</f>
        <v>Región de Ñuble,regional,comuna,establecimientos,farmacias,turno,urgencias,Agencia Información,Salud,Farmacias,Establecimientos de Salud</v>
      </c>
      <c r="S1278" s="37" t="s">
        <v>2884</v>
      </c>
      <c r="T1278" s="114" t="s">
        <v>1854</v>
      </c>
      <c r="U1278" s="46" t="s">
        <v>398</v>
      </c>
      <c r="V1278" s="93" t="str">
        <f>+Agencia[[#This Row],[idcoleccion]]&amp;"-"&amp;Agencia[[#This Row],[id]]</f>
        <v>990-1267</v>
      </c>
      <c r="W1278" s="93">
        <f>+VLOOKUP(Agencia[[#This Row],[Filtro URL]],Estructura!$X$4:$Y$500,2,0)</f>
        <v>99200016</v>
      </c>
      <c r="X1278" s="93" t="str">
        <f>+VLOOKUP(Agencia[[#This Row],[tema]],Estructura!$A$4:$C$500,3,0)</f>
        <v>T-1040</v>
      </c>
      <c r="Y1278" s="93" t="str">
        <f>+VLOOKUP(Agencia[[#This Row],[contenido]],Estructura!$E$4:$G$500,3,0)</f>
        <v>C-1013</v>
      </c>
      <c r="Z1278" s="93" t="str">
        <f>+VLOOKUP(Agencia[[#This Row],[Filtro Integrado]],Estructura!$I$4:$K$500,3,0)</f>
        <v>FI-992</v>
      </c>
      <c r="AA1278" s="93" t="str">
        <f>+VLOOKUP(Agencia[[#This Row],[Muestra]],Estructura!$M$4:$O$500,3,0)</f>
        <v>M-1083</v>
      </c>
    </row>
    <row r="1279" spans="1:27" ht="40.799999999999997" x14ac:dyDescent="0.3">
      <c r="A1279" s="21" t="s">
        <v>2100</v>
      </c>
      <c r="B1279" s="23">
        <v>990</v>
      </c>
      <c r="C1279" s="24" t="s">
        <v>400</v>
      </c>
      <c r="D1279" s="67" t="s">
        <v>568</v>
      </c>
      <c r="E1279" s="14">
        <v>0</v>
      </c>
      <c r="F1279" s="10" t="s">
        <v>2156</v>
      </c>
      <c r="G1279" s="10" t="s">
        <v>1914</v>
      </c>
      <c r="H1279" s="31" t="s">
        <v>20</v>
      </c>
      <c r="I1279" s="32" t="s">
        <v>15</v>
      </c>
      <c r="J1279" s="9" t="s">
        <v>16</v>
      </c>
      <c r="K1279" s="142" t="s">
        <v>9268</v>
      </c>
      <c r="L1279" s="9" t="s">
        <v>596</v>
      </c>
      <c r="M1279" s="9" t="s">
        <v>2157</v>
      </c>
      <c r="N1279" s="9" t="s">
        <v>2158</v>
      </c>
      <c r="O1279" s="20" t="s">
        <v>2885</v>
      </c>
      <c r="P1279" s="119" t="s">
        <v>6405</v>
      </c>
      <c r="Q1279" s="11" t="s">
        <v>1934</v>
      </c>
      <c r="R1279" s="20" t="str">
        <f>Agencia[[#This Row],[territorio]]&amp;"nacional,región,establecimientos,farmacias,turno,urgencias,"&amp;Agencia[[#This Row],[coleccion]]&amp;","&amp;Agencia[[#This Row],[sector]]&amp;","&amp;Agencia[[#This Row],[tema]]&amp;","&amp;Agencia[[#This Row],[contenido]]</f>
        <v>Chilenacional,región,establecimientos,farmacias,turno,urgencias,Agencia Información,Salud,Farmacias,Establecimientos de Salud</v>
      </c>
      <c r="S1279" s="37" t="s">
        <v>2181</v>
      </c>
      <c r="T1279" s="114">
        <v>0</v>
      </c>
      <c r="U1279" s="95" t="s">
        <v>398</v>
      </c>
      <c r="V1279" s="93" t="str">
        <f>+Agencia[[#This Row],[idcoleccion]]&amp;"-"&amp;Agencia[[#This Row],[id]]</f>
        <v>990-1268</v>
      </c>
      <c r="W1279" s="93">
        <f>+VLOOKUP(Agencia[[#This Row],[Filtro URL]],Estructura!$X$4:$Y$500,2,0)</f>
        <v>99100000</v>
      </c>
      <c r="X1279" s="93" t="str">
        <f>+VLOOKUP(Agencia[[#This Row],[tema]],Estructura!$A$4:$C$500,3,0)</f>
        <v>T-1040</v>
      </c>
      <c r="Y1279" s="93" t="str">
        <f>+VLOOKUP(Agencia[[#This Row],[contenido]],Estructura!$E$4:$G$500,3,0)</f>
        <v>C-1013</v>
      </c>
      <c r="Z1279" s="93" t="str">
        <f>+VLOOKUP(Agencia[[#This Row],[Filtro Integrado]],Estructura!$I$4:$K$500,3,0)</f>
        <v>FI-992</v>
      </c>
      <c r="AA1279" s="93" t="str">
        <f>+VLOOKUP(Agencia[[#This Row],[Muestra]],Estructura!$M$4:$O$500,3,0)</f>
        <v>M-1083</v>
      </c>
    </row>
    <row r="1280" spans="1:27" ht="80.099999999999994" customHeight="1" x14ac:dyDescent="0.3">
      <c r="A1280" s="21" t="s">
        <v>2101</v>
      </c>
      <c r="B1280" s="23">
        <v>990</v>
      </c>
      <c r="C1280" s="24" t="s">
        <v>400</v>
      </c>
      <c r="D1280" s="67" t="s">
        <v>823</v>
      </c>
      <c r="E1280" s="14">
        <v>0</v>
      </c>
      <c r="F1280" s="10" t="s">
        <v>572</v>
      </c>
      <c r="G1280" s="10" t="s">
        <v>2183</v>
      </c>
      <c r="H1280" s="31" t="s">
        <v>20</v>
      </c>
      <c r="I1280" s="32" t="s">
        <v>15</v>
      </c>
      <c r="J1280" s="9" t="s">
        <v>2184</v>
      </c>
      <c r="K1280" s="9" t="s">
        <v>9258</v>
      </c>
      <c r="L1280" s="9" t="s">
        <v>1440</v>
      </c>
      <c r="M1280" s="9" t="s">
        <v>864</v>
      </c>
      <c r="N1280" s="9" t="s">
        <v>575</v>
      </c>
      <c r="O1280" s="20" t="s">
        <v>2886</v>
      </c>
      <c r="P1280" s="112" t="s">
        <v>5994</v>
      </c>
      <c r="Q1280" s="11" t="s">
        <v>784</v>
      </c>
      <c r="R1280" s="20" t="str">
        <f>Agencia[[#This Row],[territorio]]&amp;",nacional,comercio,exterior,exportación,USD,valor,dólar,dólares,productos del mar,productos marinos,mariscos,salmón,truchas,"&amp;Agencia[[#This Row],[coleccion]]&amp;","&amp;Agencia[[#This Row],[sector]]&amp;","&amp;Agencia[[#This Row],[tema]]&amp;","&amp;Agencia[[#This Row],[contenido]]</f>
        <v>Chile,nacional,comercio,exterior,exportación,USD,valor,dólar,dólares,productos del mar,productos marinos,mariscos,salmón,truchas,Agencia Información,Economía,Exportaciones,Comercio Exterior</v>
      </c>
      <c r="S1280" s="37" t="s">
        <v>2186</v>
      </c>
      <c r="T1280" s="114">
        <v>0</v>
      </c>
      <c r="U1280" s="46" t="s">
        <v>398</v>
      </c>
      <c r="V1280" s="93" t="str">
        <f>+Agencia[[#This Row],[idcoleccion]]&amp;"-"&amp;Agencia[[#This Row],[id]]</f>
        <v>990-1269</v>
      </c>
      <c r="W1280" s="93">
        <f>+VLOOKUP(Agencia[[#This Row],[Filtro URL]],Estructura!$X$4:$Y$500,2,0)</f>
        <v>99100000</v>
      </c>
      <c r="X1280" s="93" t="str">
        <f>+VLOOKUP(Agencia[[#This Row],[tema]],Estructura!$A$4:$C$500,3,0)</f>
        <v>T-1020</v>
      </c>
      <c r="Y1280" s="93" t="str">
        <f>+VLOOKUP(Agencia[[#This Row],[contenido]],Estructura!$E$4:$G$500,3,0)</f>
        <v>C-1014</v>
      </c>
      <c r="Z1280" s="93" t="str">
        <f>+VLOOKUP(Agencia[[#This Row],[Filtro Integrado]],Estructura!$I$4:$K$500,3,0)</f>
        <v>FI-1003</v>
      </c>
      <c r="AA1280" s="93" t="str">
        <f>+VLOOKUP(Agencia[[#This Row],[Muestra]],Estructura!$M$4:$O$500,3,0)</f>
        <v>M-1084</v>
      </c>
    </row>
    <row r="1281" spans="1:27" ht="51" x14ac:dyDescent="0.3">
      <c r="A1281" s="21" t="s">
        <v>2102</v>
      </c>
      <c r="B1281" s="23">
        <v>990</v>
      </c>
      <c r="C1281" s="24" t="s">
        <v>400</v>
      </c>
      <c r="D1281" s="67" t="s">
        <v>823</v>
      </c>
      <c r="E1281" s="14">
        <v>0</v>
      </c>
      <c r="F1281" s="10" t="s">
        <v>572</v>
      </c>
      <c r="G1281" s="10" t="s">
        <v>2183</v>
      </c>
      <c r="H1281" s="31" t="s">
        <v>20</v>
      </c>
      <c r="I1281" s="32" t="s">
        <v>15</v>
      </c>
      <c r="J1281" s="9" t="s">
        <v>2188</v>
      </c>
      <c r="K1281" s="9" t="s">
        <v>9261</v>
      </c>
      <c r="L1281" s="9" t="s">
        <v>2189</v>
      </c>
      <c r="M1281" s="9" t="s">
        <v>864</v>
      </c>
      <c r="N1281" s="9" t="s">
        <v>575</v>
      </c>
      <c r="O1281" s="20" t="s">
        <v>2887</v>
      </c>
      <c r="P1281" s="112" t="s">
        <v>6510</v>
      </c>
      <c r="Q1281" s="11" t="s">
        <v>784</v>
      </c>
      <c r="R1281" s="20" t="str">
        <f>Agencia[[#This Row],[territorio]]&amp;",nacional,comercio,exterior,exportación,USD,valor,dólar,dólares,productos,tipo,minería,mar,salmón,cobre,fruta,"&amp;Agencia[[#This Row],[coleccion]]&amp;","&amp;Agencia[[#This Row],[sector]]&amp;","&amp;Agencia[[#This Row],[tema]]&amp;","&amp;Agencia[[#This Row],[contenido]]</f>
        <v>Chile,nacional,comercio,exterior,exportación,USD,valor,dólar,dólares,productos,tipo,minería,mar,salmón,cobre,fruta,Agencia Información,Economía,Exportaciones,Comercio Exterior</v>
      </c>
      <c r="S1281" s="37" t="s">
        <v>2190</v>
      </c>
      <c r="T1281" s="114">
        <v>0</v>
      </c>
      <c r="U1281" s="46" t="s">
        <v>398</v>
      </c>
      <c r="V1281" s="93" t="str">
        <f>+Agencia[[#This Row],[idcoleccion]]&amp;"-"&amp;Agencia[[#This Row],[id]]</f>
        <v>990-1270</v>
      </c>
      <c r="W1281" s="93">
        <f>+VLOOKUP(Agencia[[#This Row],[Filtro URL]],Estructura!$X$4:$Y$500,2,0)</f>
        <v>99100000</v>
      </c>
      <c r="X1281" s="93" t="str">
        <f>+VLOOKUP(Agencia[[#This Row],[tema]],Estructura!$A$4:$C$500,3,0)</f>
        <v>T-1020</v>
      </c>
      <c r="Y1281" s="93" t="str">
        <f>+VLOOKUP(Agencia[[#This Row],[contenido]],Estructura!$E$4:$G$500,3,0)</f>
        <v>C-1014</v>
      </c>
      <c r="Z1281" s="93" t="str">
        <f>+VLOOKUP(Agencia[[#This Row],[Filtro Integrado]],Estructura!$I$4:$K$500,3,0)</f>
        <v>FI-1004</v>
      </c>
      <c r="AA1281" s="93" t="str">
        <f>+VLOOKUP(Agencia[[#This Row],[Muestra]],Estructura!$M$4:$O$500,3,0)</f>
        <v>M-1085</v>
      </c>
    </row>
    <row r="1282" spans="1:27" ht="40.799999999999997" x14ac:dyDescent="0.3">
      <c r="A1282" s="21" t="s">
        <v>2103</v>
      </c>
      <c r="B1282" s="23">
        <v>990</v>
      </c>
      <c r="C1282" s="24" t="s">
        <v>400</v>
      </c>
      <c r="D1282" s="67" t="s">
        <v>823</v>
      </c>
      <c r="E1282" s="14">
        <v>0</v>
      </c>
      <c r="F1282" s="10" t="s">
        <v>940</v>
      </c>
      <c r="G1282" s="10" t="s">
        <v>2183</v>
      </c>
      <c r="H1282" s="31" t="s">
        <v>20</v>
      </c>
      <c r="I1282" s="32" t="s">
        <v>15</v>
      </c>
      <c r="J1282" s="9" t="s">
        <v>403</v>
      </c>
      <c r="K1282" s="9" t="s">
        <v>9256</v>
      </c>
      <c r="L1282" s="9" t="s">
        <v>596</v>
      </c>
      <c r="M1282" s="9" t="s">
        <v>864</v>
      </c>
      <c r="N1282" s="9" t="s">
        <v>575</v>
      </c>
      <c r="O1282" s="20" t="s">
        <v>2888</v>
      </c>
      <c r="P1282" s="112" t="s">
        <v>2192</v>
      </c>
      <c r="Q1282" s="11" t="s">
        <v>1934</v>
      </c>
      <c r="R1282" s="20" t="str">
        <f>Agencia[[#This Row],[territorio]]&amp;"nacional,región,importación,valor,dólar,USDdólares,comercio,exterior,"&amp;Agencia[[#This Row],[coleccion]]&amp;","&amp;Agencia[[#This Row],[sector]]&amp;","&amp;Agencia[[#This Row],[tema]]&amp;","&amp;Agencia[[#This Row],[contenido]]</f>
        <v>Chilenacional,región,importación,valor,dólar,USDdólares,comercio,exterior,Agencia Información,Economía,Importaciones,Comercio Exterior</v>
      </c>
      <c r="S1282" s="83" t="s">
        <v>2193</v>
      </c>
      <c r="T1282" s="114">
        <v>0</v>
      </c>
      <c r="U1282" s="46" t="s">
        <v>398</v>
      </c>
      <c r="V1282" s="93" t="str">
        <f>+Agencia[[#This Row],[idcoleccion]]&amp;"-"&amp;Agencia[[#This Row],[id]]</f>
        <v>990-1271</v>
      </c>
      <c r="W1282" s="93">
        <f>+VLOOKUP(Agencia[[#This Row],[Filtro URL]],Estructura!$X$4:$Y$500,2,0)</f>
        <v>99100000</v>
      </c>
      <c r="X1282" s="93" t="str">
        <f>+VLOOKUP(Agencia[[#This Row],[tema]],Estructura!$A$4:$C$500,3,0)</f>
        <v>T-1031</v>
      </c>
      <c r="Y1282" s="93" t="str">
        <f>+VLOOKUP(Agencia[[#This Row],[contenido]],Estructura!$E$4:$G$500,3,0)</f>
        <v>C-1014</v>
      </c>
      <c r="Z1282" s="93" t="str">
        <f>+VLOOKUP(Agencia[[#This Row],[Filtro Integrado]],Estructura!$I$4:$K$500,3,0)</f>
        <v>FI-993</v>
      </c>
      <c r="AA1282" s="93" t="str">
        <f>+VLOOKUP(Agencia[[#This Row],[Muestra]],Estructura!$M$4:$O$500,3,0)</f>
        <v>M-1086</v>
      </c>
    </row>
    <row r="1283" spans="1:27" ht="51" x14ac:dyDescent="0.3">
      <c r="A1283" s="21" t="s">
        <v>2104</v>
      </c>
      <c r="B1283" s="23">
        <v>990</v>
      </c>
      <c r="C1283" s="24" t="s">
        <v>400</v>
      </c>
      <c r="D1283" s="67" t="s">
        <v>823</v>
      </c>
      <c r="E1283" s="14">
        <v>0</v>
      </c>
      <c r="F1283" s="10" t="s">
        <v>940</v>
      </c>
      <c r="G1283" s="10" t="s">
        <v>2183</v>
      </c>
      <c r="H1283" s="31" t="s">
        <v>20</v>
      </c>
      <c r="I1283" s="32" t="s">
        <v>15</v>
      </c>
      <c r="J1283" s="9" t="s">
        <v>16</v>
      </c>
      <c r="K1283" s="9" t="s">
        <v>9257</v>
      </c>
      <c r="L1283" s="9" t="s">
        <v>2189</v>
      </c>
      <c r="M1283" s="9" t="s">
        <v>2983</v>
      </c>
      <c r="N1283" s="9" t="s">
        <v>575</v>
      </c>
      <c r="O1283" s="20" t="s">
        <v>2567</v>
      </c>
      <c r="P1283" s="112" t="s">
        <v>6509</v>
      </c>
      <c r="Q1283" s="11" t="s">
        <v>784</v>
      </c>
      <c r="R1283" s="20" t="str">
        <f>Agencia[[#This Row],[territorio]]&amp;",nacional,región,comercio,exterior,importación,volúmen,kilogramo,entrada,terminal,ingreso,transporte,marítimo,aéreo,terrestre,"&amp;Agencia[[#This Row],[coleccion]]&amp;","&amp;Agencia[[#This Row],[sector]]&amp;","&amp;Agencia[[#This Row],[tema]]&amp;","&amp;Agencia[[#This Row],[contenido]]</f>
        <v>Chile,nacional,región,comercio,exterior,importación,volúmen,kilogramo,entrada,terminal,ingreso,transporte,marítimo,aéreo,terrestre,Agencia Información,Economía,Importaciones,Comercio Exterior</v>
      </c>
      <c r="S1283" s="37" t="s">
        <v>2195</v>
      </c>
      <c r="T1283" s="114" t="s">
        <v>805</v>
      </c>
      <c r="U1283" s="46" t="s">
        <v>398</v>
      </c>
      <c r="V1283" s="93" t="str">
        <f>+Agencia[[#This Row],[idcoleccion]]&amp;"-"&amp;Agencia[[#This Row],[id]]</f>
        <v>990-1272</v>
      </c>
      <c r="W1283" s="93">
        <f>+VLOOKUP(Agencia[[#This Row],[Filtro URL]],Estructura!$X$4:$Y$500,2,0)</f>
        <v>99100000</v>
      </c>
      <c r="X1283" s="93" t="str">
        <f>+VLOOKUP(Agencia[[#This Row],[tema]],Estructura!$A$4:$C$500,3,0)</f>
        <v>T-1031</v>
      </c>
      <c r="Y1283" s="93" t="str">
        <f>+VLOOKUP(Agencia[[#This Row],[contenido]],Estructura!$E$4:$G$500,3,0)</f>
        <v>C-1014</v>
      </c>
      <c r="Z1283" s="93" t="str">
        <f>+VLOOKUP(Agencia[[#This Row],[Filtro Integrado]],Estructura!$I$4:$K$500,3,0)</f>
        <v>FI-992</v>
      </c>
      <c r="AA1283" s="93" t="str">
        <f>+VLOOKUP(Agencia[[#This Row],[Muestra]],Estructura!$M$4:$O$500,3,0)</f>
        <v>M-1087</v>
      </c>
    </row>
    <row r="1284" spans="1:27" ht="72" x14ac:dyDescent="0.3">
      <c r="A1284" s="21" t="s">
        <v>2105</v>
      </c>
      <c r="B1284" s="23">
        <v>990</v>
      </c>
      <c r="C1284" s="24" t="s">
        <v>400</v>
      </c>
      <c r="D1284" s="67" t="s">
        <v>823</v>
      </c>
      <c r="E1284" s="19">
        <v>1</v>
      </c>
      <c r="F1284" s="10" t="s">
        <v>940</v>
      </c>
      <c r="G1284" s="10" t="s">
        <v>2183</v>
      </c>
      <c r="H1284" s="33" t="s">
        <v>16</v>
      </c>
      <c r="I1284" s="34" t="s">
        <v>368</v>
      </c>
      <c r="J1284" s="9" t="s">
        <v>403</v>
      </c>
      <c r="K1284" s="9" t="s">
        <v>9257</v>
      </c>
      <c r="L1284" s="9" t="s">
        <v>2189</v>
      </c>
      <c r="M1284" s="9" t="s">
        <v>2983</v>
      </c>
      <c r="N1284" s="9" t="s">
        <v>575</v>
      </c>
      <c r="O1284" s="20" t="s">
        <v>2568</v>
      </c>
      <c r="P1284" s="112" t="s">
        <v>6527</v>
      </c>
      <c r="Q1284" s="11" t="s">
        <v>784</v>
      </c>
      <c r="R1284" s="148" t="str">
        <f>Agencia[[#This Row],[territorio]]&amp;",regional,comercio,exterior,importación,volúmen,kilogramo,entrada,terminal,ingreso,transporte,marítimo,aéreo,terrestre,"&amp;Agencia[[#This Row],[coleccion]]&amp;","&amp;Agencia[[#This Row],[sector]]&amp;","&amp;Agencia[[#This Row],[tema]]&amp;","&amp;Agencia[[#This Row],[contenido]]</f>
        <v>Región de Tarapacá,regional,comercio,exterior,importación,volúmen,kilogramo,entrada,terminal,ingreso,transporte,marítimo,aéreo,terrestre,Agencia Información,Economía,Importaciones,Comercio Exterior</v>
      </c>
      <c r="S1284" s="83" t="s">
        <v>2569</v>
      </c>
      <c r="T1284" s="114" t="s">
        <v>1872</v>
      </c>
      <c r="U1284" s="46" t="s">
        <v>398</v>
      </c>
      <c r="V1284" s="93" t="str">
        <f>+Agencia[[#This Row],[idcoleccion]]&amp;"-"&amp;Agencia[[#This Row],[id]]</f>
        <v>990-1273</v>
      </c>
      <c r="W1284" s="93">
        <f>+VLOOKUP(Agencia[[#This Row],[Filtro URL]],Estructura!$X$4:$Y$500,2,0)</f>
        <v>99200001</v>
      </c>
      <c r="X1284" s="93" t="str">
        <f>+VLOOKUP(Agencia[[#This Row],[tema]],Estructura!$A$4:$C$500,3,0)</f>
        <v>T-1031</v>
      </c>
      <c r="Y1284" s="93" t="str">
        <f>+VLOOKUP(Agencia[[#This Row],[contenido]],Estructura!$E$4:$G$500,3,0)</f>
        <v>C-1014</v>
      </c>
      <c r="Z1284" s="93" t="str">
        <f>+VLOOKUP(Agencia[[#This Row],[Filtro Integrado]],Estructura!$I$4:$K$500,3,0)</f>
        <v>FI-993</v>
      </c>
      <c r="AA1284" s="93" t="str">
        <f>+VLOOKUP(Agencia[[#This Row],[Muestra]],Estructura!$M$4:$O$500,3,0)</f>
        <v>M-1087</v>
      </c>
    </row>
    <row r="1285" spans="1:27" ht="72" x14ac:dyDescent="0.3">
      <c r="A1285" s="21" t="s">
        <v>2106</v>
      </c>
      <c r="B1285" s="23">
        <v>990</v>
      </c>
      <c r="C1285" s="24" t="s">
        <v>400</v>
      </c>
      <c r="D1285" s="67" t="s">
        <v>823</v>
      </c>
      <c r="E1285" s="19">
        <v>2</v>
      </c>
      <c r="F1285" s="10" t="s">
        <v>940</v>
      </c>
      <c r="G1285" s="10" t="s">
        <v>2183</v>
      </c>
      <c r="H1285" s="33" t="s">
        <v>16</v>
      </c>
      <c r="I1285" s="34" t="s">
        <v>369</v>
      </c>
      <c r="J1285" s="9" t="s">
        <v>403</v>
      </c>
      <c r="K1285" s="142" t="s">
        <v>9257</v>
      </c>
      <c r="L1285" s="9" t="s">
        <v>2189</v>
      </c>
      <c r="M1285" s="9" t="s">
        <v>2983</v>
      </c>
      <c r="N1285" s="9" t="s">
        <v>575</v>
      </c>
      <c r="O1285" s="20" t="s">
        <v>2570</v>
      </c>
      <c r="P1285" s="112" t="s">
        <v>6528</v>
      </c>
      <c r="Q1285" s="11" t="s">
        <v>784</v>
      </c>
      <c r="R1285" s="148" t="str">
        <f>Agencia[[#This Row],[territorio]]&amp;",regional,comercio,exterior,importación,volúmen,kilogramo,entrada,terminal,ingreso,transporte,marítimo,aéreo,terrestre,"&amp;Agencia[[#This Row],[coleccion]]&amp;","&amp;Agencia[[#This Row],[sector]]&amp;","&amp;Agencia[[#This Row],[tema]]&amp;","&amp;Agencia[[#This Row],[contenido]]</f>
        <v>Región de Antofagasta,regional,comercio,exterior,importación,volúmen,kilogramo,entrada,terminal,ingreso,transporte,marítimo,aéreo,terrestre,Agencia Información,Economía,Importaciones,Comercio Exterior</v>
      </c>
      <c r="S1285" s="37" t="s">
        <v>2571</v>
      </c>
      <c r="T1285" s="114" t="s">
        <v>1860</v>
      </c>
      <c r="U1285" s="46" t="s">
        <v>398</v>
      </c>
      <c r="V1285" s="93" t="str">
        <f>+Agencia[[#This Row],[idcoleccion]]&amp;"-"&amp;Agencia[[#This Row],[id]]</f>
        <v>990-1274</v>
      </c>
      <c r="W1285" s="93">
        <f>+VLOOKUP(Agencia[[#This Row],[Filtro URL]],Estructura!$X$4:$Y$500,2,0)</f>
        <v>99200002</v>
      </c>
      <c r="X1285" s="93" t="str">
        <f>+VLOOKUP(Agencia[[#This Row],[tema]],Estructura!$A$4:$C$500,3,0)</f>
        <v>T-1031</v>
      </c>
      <c r="Y1285" s="93" t="str">
        <f>+VLOOKUP(Agencia[[#This Row],[contenido]],Estructura!$E$4:$G$500,3,0)</f>
        <v>C-1014</v>
      </c>
      <c r="Z1285" s="93" t="str">
        <f>+VLOOKUP(Agencia[[#This Row],[Filtro Integrado]],Estructura!$I$4:$K$500,3,0)</f>
        <v>FI-993</v>
      </c>
      <c r="AA1285" s="93" t="str">
        <f>+VLOOKUP(Agencia[[#This Row],[Muestra]],Estructura!$M$4:$O$500,3,0)</f>
        <v>M-1087</v>
      </c>
    </row>
    <row r="1286" spans="1:27" ht="72" x14ac:dyDescent="0.3">
      <c r="A1286" s="21" t="s">
        <v>2107</v>
      </c>
      <c r="B1286" s="23">
        <v>990</v>
      </c>
      <c r="C1286" s="24" t="s">
        <v>400</v>
      </c>
      <c r="D1286" s="67" t="s">
        <v>823</v>
      </c>
      <c r="E1286" s="19">
        <v>3</v>
      </c>
      <c r="F1286" s="10" t="s">
        <v>940</v>
      </c>
      <c r="G1286" s="10" t="s">
        <v>2183</v>
      </c>
      <c r="H1286" s="33" t="s">
        <v>16</v>
      </c>
      <c r="I1286" s="34" t="s">
        <v>370</v>
      </c>
      <c r="J1286" s="9" t="s">
        <v>403</v>
      </c>
      <c r="K1286" s="142" t="s">
        <v>9257</v>
      </c>
      <c r="L1286" s="9" t="s">
        <v>2189</v>
      </c>
      <c r="M1286" s="9" t="s">
        <v>2983</v>
      </c>
      <c r="N1286" s="9" t="s">
        <v>575</v>
      </c>
      <c r="O1286" s="20" t="s">
        <v>2572</v>
      </c>
      <c r="P1286" s="112" t="s">
        <v>6529</v>
      </c>
      <c r="Q1286" s="11" t="s">
        <v>784</v>
      </c>
      <c r="R1286" s="148" t="str">
        <f>Agencia[[#This Row],[territorio]]&amp;",regional,comercio,exterior,importación,volúmen,kilogramo,entrada,terminal,ingreso,transporte,marítimo,aéreo,terrestre,"&amp;Agencia[[#This Row],[coleccion]]&amp;","&amp;Agencia[[#This Row],[sector]]&amp;","&amp;Agencia[[#This Row],[tema]]&amp;","&amp;Agencia[[#This Row],[contenido]]</f>
        <v>Región de Atacama,regional,comercio,exterior,importación,volúmen,kilogramo,entrada,terminal,ingreso,transporte,marítimo,aéreo,terrestre,Agencia Información,Economía,Importaciones,Comercio Exterior</v>
      </c>
      <c r="S1286" s="37" t="s">
        <v>2573</v>
      </c>
      <c r="T1286" s="114" t="s">
        <v>1862</v>
      </c>
      <c r="U1286" s="46" t="s">
        <v>398</v>
      </c>
      <c r="V1286" s="93" t="str">
        <f>+Agencia[[#This Row],[idcoleccion]]&amp;"-"&amp;Agencia[[#This Row],[id]]</f>
        <v>990-1275</v>
      </c>
      <c r="W1286" s="93">
        <f>+VLOOKUP(Agencia[[#This Row],[Filtro URL]],Estructura!$X$4:$Y$500,2,0)</f>
        <v>99200003</v>
      </c>
      <c r="X1286" s="93" t="str">
        <f>+VLOOKUP(Agencia[[#This Row],[tema]],Estructura!$A$4:$C$500,3,0)</f>
        <v>T-1031</v>
      </c>
      <c r="Y1286" s="93" t="str">
        <f>+VLOOKUP(Agencia[[#This Row],[contenido]],Estructura!$E$4:$G$500,3,0)</f>
        <v>C-1014</v>
      </c>
      <c r="Z1286" s="93" t="str">
        <f>+VLOOKUP(Agencia[[#This Row],[Filtro Integrado]],Estructura!$I$4:$K$500,3,0)</f>
        <v>FI-993</v>
      </c>
      <c r="AA1286" s="93" t="str">
        <f>+VLOOKUP(Agencia[[#This Row],[Muestra]],Estructura!$M$4:$O$500,3,0)</f>
        <v>M-1087</v>
      </c>
    </row>
    <row r="1287" spans="1:27" ht="72" x14ac:dyDescent="0.3">
      <c r="A1287" s="21" t="s">
        <v>2108</v>
      </c>
      <c r="B1287" s="23">
        <v>990</v>
      </c>
      <c r="C1287" s="24" t="s">
        <v>400</v>
      </c>
      <c r="D1287" s="67" t="s">
        <v>823</v>
      </c>
      <c r="E1287" s="19">
        <v>4</v>
      </c>
      <c r="F1287" s="10" t="s">
        <v>940</v>
      </c>
      <c r="G1287" s="10" t="s">
        <v>2183</v>
      </c>
      <c r="H1287" s="33" t="s">
        <v>16</v>
      </c>
      <c r="I1287" s="34" t="s">
        <v>371</v>
      </c>
      <c r="J1287" s="9" t="s">
        <v>403</v>
      </c>
      <c r="K1287" s="142" t="s">
        <v>9257</v>
      </c>
      <c r="L1287" s="9" t="s">
        <v>2189</v>
      </c>
      <c r="M1287" s="9" t="s">
        <v>2983</v>
      </c>
      <c r="N1287" s="9" t="s">
        <v>575</v>
      </c>
      <c r="O1287" s="20" t="s">
        <v>2574</v>
      </c>
      <c r="P1287" s="112" t="s">
        <v>6530</v>
      </c>
      <c r="Q1287" s="11" t="s">
        <v>784</v>
      </c>
      <c r="R1287" s="148" t="str">
        <f>Agencia[[#This Row],[territorio]]&amp;",regional,comercio,exterior,importación,volúmen,kilogramo,entrada,terminal,ingreso,transporte,marítimo,aéreo,terrestre,"&amp;Agencia[[#This Row],[coleccion]]&amp;","&amp;Agencia[[#This Row],[sector]]&amp;","&amp;Agencia[[#This Row],[tema]]&amp;","&amp;Agencia[[#This Row],[contenido]]</f>
        <v>Región de Coquimbo,regional,comercio,exterior,importación,volúmen,kilogramo,entrada,terminal,ingreso,transporte,marítimo,aéreo,terrestre,Agencia Información,Economía,Importaciones,Comercio Exterior</v>
      </c>
      <c r="S1287" s="37" t="s">
        <v>2575</v>
      </c>
      <c r="T1287" s="114" t="s">
        <v>1864</v>
      </c>
      <c r="U1287" s="46" t="s">
        <v>398</v>
      </c>
      <c r="V1287" s="93" t="str">
        <f>+Agencia[[#This Row],[idcoleccion]]&amp;"-"&amp;Agencia[[#This Row],[id]]</f>
        <v>990-1276</v>
      </c>
      <c r="W1287" s="93">
        <f>+VLOOKUP(Agencia[[#This Row],[Filtro URL]],Estructura!$X$4:$Y$500,2,0)</f>
        <v>99200004</v>
      </c>
      <c r="X1287" s="93" t="str">
        <f>+VLOOKUP(Agencia[[#This Row],[tema]],Estructura!$A$4:$C$500,3,0)</f>
        <v>T-1031</v>
      </c>
      <c r="Y1287" s="93" t="str">
        <f>+VLOOKUP(Agencia[[#This Row],[contenido]],Estructura!$E$4:$G$500,3,0)</f>
        <v>C-1014</v>
      </c>
      <c r="Z1287" s="93" t="str">
        <f>+VLOOKUP(Agencia[[#This Row],[Filtro Integrado]],Estructura!$I$4:$K$500,3,0)</f>
        <v>FI-993</v>
      </c>
      <c r="AA1287" s="93" t="str">
        <f>+VLOOKUP(Agencia[[#This Row],[Muestra]],Estructura!$M$4:$O$500,3,0)</f>
        <v>M-1087</v>
      </c>
    </row>
    <row r="1288" spans="1:27" ht="72" x14ac:dyDescent="0.3">
      <c r="A1288" s="21" t="s">
        <v>2109</v>
      </c>
      <c r="B1288" s="23">
        <v>990</v>
      </c>
      <c r="C1288" s="24" t="s">
        <v>400</v>
      </c>
      <c r="D1288" s="67" t="s">
        <v>823</v>
      </c>
      <c r="E1288" s="19">
        <v>5</v>
      </c>
      <c r="F1288" s="10" t="s">
        <v>940</v>
      </c>
      <c r="G1288" s="10" t="s">
        <v>2183</v>
      </c>
      <c r="H1288" s="33" t="s">
        <v>16</v>
      </c>
      <c r="I1288" s="34" t="s">
        <v>372</v>
      </c>
      <c r="J1288" s="9" t="s">
        <v>403</v>
      </c>
      <c r="K1288" s="142" t="s">
        <v>9257</v>
      </c>
      <c r="L1288" s="9" t="s">
        <v>2189</v>
      </c>
      <c r="M1288" s="9" t="s">
        <v>2983</v>
      </c>
      <c r="N1288" s="9" t="s">
        <v>575</v>
      </c>
      <c r="O1288" s="20" t="s">
        <v>2576</v>
      </c>
      <c r="P1288" s="112" t="s">
        <v>6531</v>
      </c>
      <c r="Q1288" s="11" t="s">
        <v>784</v>
      </c>
      <c r="R1288" s="148" t="str">
        <f>Agencia[[#This Row],[territorio]]&amp;",regional,comercio,exterior,importación,volúmen,kilogramo,entrada,terminal,ingreso,transporte,marítimo,aéreo,terrestre,"&amp;Agencia[[#This Row],[coleccion]]&amp;","&amp;Agencia[[#This Row],[sector]]&amp;","&amp;Agencia[[#This Row],[tema]]&amp;","&amp;Agencia[[#This Row],[contenido]]</f>
        <v>Región de Valparaíso,regional,comercio,exterior,importación,volúmen,kilogramo,entrada,terminal,ingreso,transporte,marítimo,aéreo,terrestre,Agencia Información,Economía,Importaciones,Comercio Exterior</v>
      </c>
      <c r="S1288" s="37" t="s">
        <v>2577</v>
      </c>
      <c r="T1288" s="114" t="s">
        <v>1873</v>
      </c>
      <c r="U1288" s="46" t="s">
        <v>398</v>
      </c>
      <c r="V1288" s="93" t="str">
        <f>+Agencia[[#This Row],[idcoleccion]]&amp;"-"&amp;Agencia[[#This Row],[id]]</f>
        <v>990-1277</v>
      </c>
      <c r="W1288" s="93">
        <f>+VLOOKUP(Agencia[[#This Row],[Filtro URL]],Estructura!$X$4:$Y$500,2,0)</f>
        <v>99200005</v>
      </c>
      <c r="X1288" s="93" t="str">
        <f>+VLOOKUP(Agencia[[#This Row],[tema]],Estructura!$A$4:$C$500,3,0)</f>
        <v>T-1031</v>
      </c>
      <c r="Y1288" s="93" t="str">
        <f>+VLOOKUP(Agencia[[#This Row],[contenido]],Estructura!$E$4:$G$500,3,0)</f>
        <v>C-1014</v>
      </c>
      <c r="Z1288" s="93" t="str">
        <f>+VLOOKUP(Agencia[[#This Row],[Filtro Integrado]],Estructura!$I$4:$K$500,3,0)</f>
        <v>FI-993</v>
      </c>
      <c r="AA1288" s="93" t="str">
        <f>+VLOOKUP(Agencia[[#This Row],[Muestra]],Estructura!$M$4:$O$500,3,0)</f>
        <v>M-1087</v>
      </c>
    </row>
    <row r="1289" spans="1:27" ht="72" x14ac:dyDescent="0.3">
      <c r="A1289" s="21" t="s">
        <v>2110</v>
      </c>
      <c r="B1289" s="23">
        <v>990</v>
      </c>
      <c r="C1289" s="24" t="s">
        <v>400</v>
      </c>
      <c r="D1289" s="67" t="s">
        <v>823</v>
      </c>
      <c r="E1289" s="19">
        <v>6</v>
      </c>
      <c r="F1289" s="10" t="s">
        <v>940</v>
      </c>
      <c r="G1289" s="10" t="s">
        <v>2183</v>
      </c>
      <c r="H1289" s="33" t="s">
        <v>16</v>
      </c>
      <c r="I1289" s="34" t="s">
        <v>373</v>
      </c>
      <c r="J1289" s="9" t="s">
        <v>403</v>
      </c>
      <c r="K1289" s="142" t="s">
        <v>9257</v>
      </c>
      <c r="L1289" s="9" t="s">
        <v>2189</v>
      </c>
      <c r="M1289" s="9" t="s">
        <v>2983</v>
      </c>
      <c r="N1289" s="9" t="s">
        <v>575</v>
      </c>
      <c r="O1289" s="20" t="s">
        <v>2578</v>
      </c>
      <c r="P1289" s="112" t="s">
        <v>6532</v>
      </c>
      <c r="Q1289" s="11" t="s">
        <v>784</v>
      </c>
      <c r="R1289" s="148" t="str">
        <f>Agencia[[#This Row],[territorio]]&amp;",regional,comercio,exterior,importación,volúmen,kilogramo,entrada,terminal,ingreso,transporte,marítimo,aéreo,terrestre,"&amp;Agencia[[#This Row],[coleccion]]&amp;","&amp;Agencia[[#This Row],[sector]]&amp;","&amp;Agencia[[#This Row],[tema]]&amp;","&amp;Agencia[[#This Row],[contenido]]</f>
        <v>Región de O'Higgins,regional,comercio,exterior,importación,volúmen,kilogramo,entrada,terminal,ingreso,transporte,marítimo,aéreo,terrestre,Agencia Información,Economía,Importaciones,Comercio Exterior</v>
      </c>
      <c r="S1289" s="37" t="s">
        <v>2579</v>
      </c>
      <c r="T1289" s="114" t="s">
        <v>1871</v>
      </c>
      <c r="U1289" s="46" t="s">
        <v>398</v>
      </c>
      <c r="V1289" s="93" t="str">
        <f>+Agencia[[#This Row],[idcoleccion]]&amp;"-"&amp;Agencia[[#This Row],[id]]</f>
        <v>990-1278</v>
      </c>
      <c r="W1289" s="93">
        <f>+VLOOKUP(Agencia[[#This Row],[Filtro URL]],Estructura!$X$4:$Y$500,2,0)</f>
        <v>99200006</v>
      </c>
      <c r="X1289" s="93" t="str">
        <f>+VLOOKUP(Agencia[[#This Row],[tema]],Estructura!$A$4:$C$500,3,0)</f>
        <v>T-1031</v>
      </c>
      <c r="Y1289" s="93" t="str">
        <f>+VLOOKUP(Agencia[[#This Row],[contenido]],Estructura!$E$4:$G$500,3,0)</f>
        <v>C-1014</v>
      </c>
      <c r="Z1289" s="93" t="str">
        <f>+VLOOKUP(Agencia[[#This Row],[Filtro Integrado]],Estructura!$I$4:$K$500,3,0)</f>
        <v>FI-993</v>
      </c>
      <c r="AA1289" s="93" t="str">
        <f>+VLOOKUP(Agencia[[#This Row],[Muestra]],Estructura!$M$4:$O$500,3,0)</f>
        <v>M-1087</v>
      </c>
    </row>
    <row r="1290" spans="1:27" ht="72" x14ac:dyDescent="0.3">
      <c r="A1290" s="21" t="s">
        <v>2113</v>
      </c>
      <c r="B1290" s="23">
        <v>990</v>
      </c>
      <c r="C1290" s="24" t="s">
        <v>400</v>
      </c>
      <c r="D1290" s="67" t="s">
        <v>823</v>
      </c>
      <c r="E1290" s="19">
        <v>7</v>
      </c>
      <c r="F1290" s="10" t="s">
        <v>940</v>
      </c>
      <c r="G1290" s="10" t="s">
        <v>2183</v>
      </c>
      <c r="H1290" s="33" t="s">
        <v>16</v>
      </c>
      <c r="I1290" s="34" t="s">
        <v>374</v>
      </c>
      <c r="J1290" s="9" t="s">
        <v>403</v>
      </c>
      <c r="K1290" s="142" t="s">
        <v>9257</v>
      </c>
      <c r="L1290" s="9" t="s">
        <v>2189</v>
      </c>
      <c r="M1290" s="9" t="s">
        <v>2983</v>
      </c>
      <c r="N1290" s="9" t="s">
        <v>575</v>
      </c>
      <c r="O1290" s="20" t="s">
        <v>2580</v>
      </c>
      <c r="P1290" s="112" t="s">
        <v>6533</v>
      </c>
      <c r="Q1290" s="11" t="s">
        <v>784</v>
      </c>
      <c r="R1290" s="148" t="str">
        <f>Agencia[[#This Row],[territorio]]&amp;",regional,comercio,exterior,importación,volúmen,kilogramo,entrada,terminal,ingreso,transporte,marítimo,aéreo,terrestre,"&amp;Agencia[[#This Row],[coleccion]]&amp;","&amp;Agencia[[#This Row],[sector]]&amp;","&amp;Agencia[[#This Row],[tema]]&amp;","&amp;Agencia[[#This Row],[contenido]]</f>
        <v>Región de Maule,regional,comercio,exterior,importación,volúmen,kilogramo,entrada,terminal,ingreso,transporte,marítimo,aéreo,terrestre,Agencia Información,Economía,Importaciones,Comercio Exterior</v>
      </c>
      <c r="S1290" s="37" t="s">
        <v>2581</v>
      </c>
      <c r="T1290" s="114" t="s">
        <v>1869</v>
      </c>
      <c r="U1290" s="46" t="s">
        <v>398</v>
      </c>
      <c r="V1290" s="93" t="str">
        <f>+Agencia[[#This Row],[idcoleccion]]&amp;"-"&amp;Agencia[[#This Row],[id]]</f>
        <v>990-1279</v>
      </c>
      <c r="W1290" s="93">
        <f>+VLOOKUP(Agencia[[#This Row],[Filtro URL]],Estructura!$X$4:$Y$500,2,0)</f>
        <v>99200007</v>
      </c>
      <c r="X1290" s="93" t="str">
        <f>+VLOOKUP(Agencia[[#This Row],[tema]],Estructura!$A$4:$C$500,3,0)</f>
        <v>T-1031</v>
      </c>
      <c r="Y1290" s="93" t="str">
        <f>+VLOOKUP(Agencia[[#This Row],[contenido]],Estructura!$E$4:$G$500,3,0)</f>
        <v>C-1014</v>
      </c>
      <c r="Z1290" s="93" t="str">
        <f>+VLOOKUP(Agencia[[#This Row],[Filtro Integrado]],Estructura!$I$4:$K$500,3,0)</f>
        <v>FI-993</v>
      </c>
      <c r="AA1290" s="93" t="str">
        <f>+VLOOKUP(Agencia[[#This Row],[Muestra]],Estructura!$M$4:$O$500,3,0)</f>
        <v>M-1087</v>
      </c>
    </row>
    <row r="1291" spans="1:27" ht="72" x14ac:dyDescent="0.3">
      <c r="A1291" s="21" t="s">
        <v>2114</v>
      </c>
      <c r="B1291" s="23">
        <v>990</v>
      </c>
      <c r="C1291" s="24" t="s">
        <v>400</v>
      </c>
      <c r="D1291" s="67" t="s">
        <v>823</v>
      </c>
      <c r="E1291" s="19">
        <v>8</v>
      </c>
      <c r="F1291" s="10" t="s">
        <v>940</v>
      </c>
      <c r="G1291" s="10" t="s">
        <v>2183</v>
      </c>
      <c r="H1291" s="33" t="s">
        <v>16</v>
      </c>
      <c r="I1291" s="34" t="s">
        <v>375</v>
      </c>
      <c r="J1291" s="9" t="s">
        <v>403</v>
      </c>
      <c r="K1291" s="142" t="s">
        <v>9257</v>
      </c>
      <c r="L1291" s="9" t="s">
        <v>2189</v>
      </c>
      <c r="M1291" s="9" t="s">
        <v>2983</v>
      </c>
      <c r="N1291" s="9" t="s">
        <v>575</v>
      </c>
      <c r="O1291" s="20" t="s">
        <v>2582</v>
      </c>
      <c r="P1291" s="112" t="s">
        <v>6534</v>
      </c>
      <c r="Q1291" s="11" t="s">
        <v>784</v>
      </c>
      <c r="R1291" s="148" t="str">
        <f>Agencia[[#This Row],[territorio]]&amp;",regional,comercio,exterior,importación,volúmen,kilogramo,entrada,terminal,ingreso,transporte,marítimo,aéreo,terrestre,"&amp;Agencia[[#This Row],[coleccion]]&amp;","&amp;Agencia[[#This Row],[sector]]&amp;","&amp;Agencia[[#This Row],[tema]]&amp;","&amp;Agencia[[#This Row],[contenido]]</f>
        <v>Región del Biobío,regional,comercio,exterior,importación,volúmen,kilogramo,entrada,terminal,ingreso,transporte,marítimo,aéreo,terrestre,Agencia Información,Economía,Importaciones,Comercio Exterior</v>
      </c>
      <c r="S1291" s="37" t="s">
        <v>2583</v>
      </c>
      <c r="T1291" s="114" t="s">
        <v>1874</v>
      </c>
      <c r="U1291" s="46" t="s">
        <v>398</v>
      </c>
      <c r="V1291" s="93" t="str">
        <f>+Agencia[[#This Row],[idcoleccion]]&amp;"-"&amp;Agencia[[#This Row],[id]]</f>
        <v>990-1280</v>
      </c>
      <c r="W1291" s="93">
        <f>+VLOOKUP(Agencia[[#This Row],[Filtro URL]],Estructura!$X$4:$Y$500,2,0)</f>
        <v>99200008</v>
      </c>
      <c r="X1291" s="93" t="str">
        <f>+VLOOKUP(Agencia[[#This Row],[tema]],Estructura!$A$4:$C$500,3,0)</f>
        <v>T-1031</v>
      </c>
      <c r="Y1291" s="93" t="str">
        <f>+VLOOKUP(Agencia[[#This Row],[contenido]],Estructura!$E$4:$G$500,3,0)</f>
        <v>C-1014</v>
      </c>
      <c r="Z1291" s="93" t="str">
        <f>+VLOOKUP(Agencia[[#This Row],[Filtro Integrado]],Estructura!$I$4:$K$500,3,0)</f>
        <v>FI-993</v>
      </c>
      <c r="AA1291" s="93" t="str">
        <f>+VLOOKUP(Agencia[[#This Row],[Muestra]],Estructura!$M$4:$O$500,3,0)</f>
        <v>M-1087</v>
      </c>
    </row>
    <row r="1292" spans="1:27" ht="72" x14ac:dyDescent="0.3">
      <c r="A1292" s="21" t="s">
        <v>2115</v>
      </c>
      <c r="B1292" s="23">
        <v>990</v>
      </c>
      <c r="C1292" s="24" t="s">
        <v>400</v>
      </c>
      <c r="D1292" s="67" t="s">
        <v>823</v>
      </c>
      <c r="E1292" s="19">
        <v>9</v>
      </c>
      <c r="F1292" s="10" t="s">
        <v>940</v>
      </c>
      <c r="G1292" s="10" t="s">
        <v>2183</v>
      </c>
      <c r="H1292" s="33" t="s">
        <v>16</v>
      </c>
      <c r="I1292" s="34" t="s">
        <v>376</v>
      </c>
      <c r="J1292" s="9" t="s">
        <v>403</v>
      </c>
      <c r="K1292" s="142" t="s">
        <v>9257</v>
      </c>
      <c r="L1292" s="9" t="s">
        <v>2189</v>
      </c>
      <c r="M1292" s="9" t="s">
        <v>2983</v>
      </c>
      <c r="N1292" s="9" t="s">
        <v>575</v>
      </c>
      <c r="O1292" s="20" t="s">
        <v>2584</v>
      </c>
      <c r="P1292" s="112" t="s">
        <v>6535</v>
      </c>
      <c r="Q1292" s="11" t="s">
        <v>784</v>
      </c>
      <c r="R1292" s="148" t="str">
        <f>Agencia[[#This Row],[territorio]]&amp;",regional,comercio,exterior,importación,volúmen,kilogramo,entrada,terminal,ingreso,transporte,marítimo,aéreo,terrestre,"&amp;Agencia[[#This Row],[coleccion]]&amp;","&amp;Agencia[[#This Row],[sector]]&amp;","&amp;Agencia[[#This Row],[tema]]&amp;","&amp;Agencia[[#This Row],[contenido]]</f>
        <v>Región de La Araucanía,regional,comercio,exterior,importación,volúmen,kilogramo,entrada,terminal,ingreso,transporte,marítimo,aéreo,terrestre,Agencia Información,Economía,Importaciones,Comercio Exterior</v>
      </c>
      <c r="S1292" s="37" t="s">
        <v>2585</v>
      </c>
      <c r="T1292" s="114" t="s">
        <v>1865</v>
      </c>
      <c r="U1292" s="46" t="s">
        <v>398</v>
      </c>
      <c r="V1292" s="93" t="str">
        <f>+Agencia[[#This Row],[idcoleccion]]&amp;"-"&amp;Agencia[[#This Row],[id]]</f>
        <v>990-1281</v>
      </c>
      <c r="W1292" s="93">
        <f>+VLOOKUP(Agencia[[#This Row],[Filtro URL]],Estructura!$X$4:$Y$500,2,0)</f>
        <v>99200009</v>
      </c>
      <c r="X1292" s="93" t="str">
        <f>+VLOOKUP(Agencia[[#This Row],[tema]],Estructura!$A$4:$C$500,3,0)</f>
        <v>T-1031</v>
      </c>
      <c r="Y1292" s="93" t="str">
        <f>+VLOOKUP(Agencia[[#This Row],[contenido]],Estructura!$E$4:$G$500,3,0)</f>
        <v>C-1014</v>
      </c>
      <c r="Z1292" s="93" t="str">
        <f>+VLOOKUP(Agencia[[#This Row],[Filtro Integrado]],Estructura!$I$4:$K$500,3,0)</f>
        <v>FI-993</v>
      </c>
      <c r="AA1292" s="93" t="str">
        <f>+VLOOKUP(Agencia[[#This Row],[Muestra]],Estructura!$M$4:$O$500,3,0)</f>
        <v>M-1087</v>
      </c>
    </row>
    <row r="1293" spans="1:27" ht="72" x14ac:dyDescent="0.3">
      <c r="A1293" s="21" t="s">
        <v>2116</v>
      </c>
      <c r="B1293" s="23">
        <v>990</v>
      </c>
      <c r="C1293" s="24" t="s">
        <v>400</v>
      </c>
      <c r="D1293" s="67" t="s">
        <v>823</v>
      </c>
      <c r="E1293" s="19">
        <v>10</v>
      </c>
      <c r="F1293" s="10" t="s">
        <v>940</v>
      </c>
      <c r="G1293" s="10" t="s">
        <v>2183</v>
      </c>
      <c r="H1293" s="33" t="s">
        <v>16</v>
      </c>
      <c r="I1293" s="34" t="s">
        <v>377</v>
      </c>
      <c r="J1293" s="9" t="s">
        <v>403</v>
      </c>
      <c r="K1293" s="142" t="s">
        <v>9257</v>
      </c>
      <c r="L1293" s="9" t="s">
        <v>2189</v>
      </c>
      <c r="M1293" s="9" t="s">
        <v>2983</v>
      </c>
      <c r="N1293" s="9" t="s">
        <v>575</v>
      </c>
      <c r="O1293" s="20" t="s">
        <v>2586</v>
      </c>
      <c r="P1293" s="112" t="s">
        <v>6536</v>
      </c>
      <c r="Q1293" s="11" t="s">
        <v>784</v>
      </c>
      <c r="R1293" s="148" t="str">
        <f>Agencia[[#This Row],[territorio]]&amp;",regional,comercio,exterior,importación,volúmen,kilogramo,entrada,terminal,ingreso,transporte,marítimo,aéreo,terrestre,"&amp;Agencia[[#This Row],[coleccion]]&amp;","&amp;Agencia[[#This Row],[sector]]&amp;","&amp;Agencia[[#This Row],[tema]]&amp;","&amp;Agencia[[#This Row],[contenido]]</f>
        <v>Región de Los Lagos,regional,comercio,exterior,importación,volúmen,kilogramo,entrada,terminal,ingreso,transporte,marítimo,aéreo,terrestre,Agencia Información,Economía,Importaciones,Comercio Exterior</v>
      </c>
      <c r="S1293" s="37" t="s">
        <v>2587</v>
      </c>
      <c r="T1293" s="114" t="s">
        <v>1866</v>
      </c>
      <c r="U1293" s="46" t="s">
        <v>398</v>
      </c>
      <c r="V1293" s="93" t="str">
        <f>+Agencia[[#This Row],[idcoleccion]]&amp;"-"&amp;Agencia[[#This Row],[id]]</f>
        <v>990-1282</v>
      </c>
      <c r="W1293" s="93">
        <f>+VLOOKUP(Agencia[[#This Row],[Filtro URL]],Estructura!$X$4:$Y$500,2,0)</f>
        <v>99200010</v>
      </c>
      <c r="X1293" s="93" t="str">
        <f>+VLOOKUP(Agencia[[#This Row],[tema]],Estructura!$A$4:$C$500,3,0)</f>
        <v>T-1031</v>
      </c>
      <c r="Y1293" s="93" t="str">
        <f>+VLOOKUP(Agencia[[#This Row],[contenido]],Estructura!$E$4:$G$500,3,0)</f>
        <v>C-1014</v>
      </c>
      <c r="Z1293" s="93" t="str">
        <f>+VLOOKUP(Agencia[[#This Row],[Filtro Integrado]],Estructura!$I$4:$K$500,3,0)</f>
        <v>FI-993</v>
      </c>
      <c r="AA1293" s="93" t="str">
        <f>+VLOOKUP(Agencia[[#This Row],[Muestra]],Estructura!$M$4:$O$500,3,0)</f>
        <v>M-1087</v>
      </c>
    </row>
    <row r="1294" spans="1:27" ht="72" x14ac:dyDescent="0.3">
      <c r="A1294" s="21" t="s">
        <v>2117</v>
      </c>
      <c r="B1294" s="23">
        <v>990</v>
      </c>
      <c r="C1294" s="24" t="s">
        <v>400</v>
      </c>
      <c r="D1294" s="67" t="s">
        <v>823</v>
      </c>
      <c r="E1294" s="19">
        <v>11</v>
      </c>
      <c r="F1294" s="10" t="s">
        <v>940</v>
      </c>
      <c r="G1294" s="10" t="s">
        <v>2183</v>
      </c>
      <c r="H1294" s="33" t="s">
        <v>16</v>
      </c>
      <c r="I1294" s="34" t="s">
        <v>378</v>
      </c>
      <c r="J1294" s="9" t="s">
        <v>403</v>
      </c>
      <c r="K1294" s="142" t="s">
        <v>9257</v>
      </c>
      <c r="L1294" s="9" t="s">
        <v>2189</v>
      </c>
      <c r="M1294" s="9" t="s">
        <v>2983</v>
      </c>
      <c r="N1294" s="9" t="s">
        <v>575</v>
      </c>
      <c r="O1294" s="20" t="s">
        <v>2588</v>
      </c>
      <c r="P1294" s="112" t="s">
        <v>6537</v>
      </c>
      <c r="Q1294" s="11" t="s">
        <v>784</v>
      </c>
      <c r="R1294" s="148" t="str">
        <f>Agencia[[#This Row],[territorio]]&amp;",regional,comercio,exterior,importación,volúmen,kilogramo,entrada,terminal,ingreso,transporte,marítimo,aéreo,terrestre,"&amp;Agencia[[#This Row],[coleccion]]&amp;","&amp;Agencia[[#This Row],[sector]]&amp;","&amp;Agencia[[#This Row],[tema]]&amp;","&amp;Agencia[[#This Row],[contenido]]</f>
        <v>Región de Aysén,regional,comercio,exterior,importación,volúmen,kilogramo,entrada,terminal,ingreso,transporte,marítimo,aéreo,terrestre,Agencia Información,Economía,Importaciones,Comercio Exterior</v>
      </c>
      <c r="S1294" s="37" t="s">
        <v>2589</v>
      </c>
      <c r="T1294" s="114" t="s">
        <v>1863</v>
      </c>
      <c r="U1294" s="46" t="s">
        <v>398</v>
      </c>
      <c r="V1294" s="93" t="str">
        <f>+Agencia[[#This Row],[idcoleccion]]&amp;"-"&amp;Agencia[[#This Row],[id]]</f>
        <v>990-1283</v>
      </c>
      <c r="W1294" s="93">
        <f>+VLOOKUP(Agencia[[#This Row],[Filtro URL]],Estructura!$X$4:$Y$500,2,0)</f>
        <v>99200011</v>
      </c>
      <c r="X1294" s="93" t="str">
        <f>+VLOOKUP(Agencia[[#This Row],[tema]],Estructura!$A$4:$C$500,3,0)</f>
        <v>T-1031</v>
      </c>
      <c r="Y1294" s="93" t="str">
        <f>+VLOOKUP(Agencia[[#This Row],[contenido]],Estructura!$E$4:$G$500,3,0)</f>
        <v>C-1014</v>
      </c>
      <c r="Z1294" s="93" t="str">
        <f>+VLOOKUP(Agencia[[#This Row],[Filtro Integrado]],Estructura!$I$4:$K$500,3,0)</f>
        <v>FI-993</v>
      </c>
      <c r="AA1294" s="93" t="str">
        <f>+VLOOKUP(Agencia[[#This Row],[Muestra]],Estructura!$M$4:$O$500,3,0)</f>
        <v>M-1087</v>
      </c>
    </row>
    <row r="1295" spans="1:27" ht="72" x14ac:dyDescent="0.3">
      <c r="A1295" s="21" t="s">
        <v>2118</v>
      </c>
      <c r="B1295" s="23">
        <v>990</v>
      </c>
      <c r="C1295" s="24" t="s">
        <v>400</v>
      </c>
      <c r="D1295" s="67" t="s">
        <v>823</v>
      </c>
      <c r="E1295" s="19">
        <v>12</v>
      </c>
      <c r="F1295" s="10" t="s">
        <v>940</v>
      </c>
      <c r="G1295" s="10" t="s">
        <v>2183</v>
      </c>
      <c r="H1295" s="33" t="s">
        <v>16</v>
      </c>
      <c r="I1295" s="34" t="s">
        <v>379</v>
      </c>
      <c r="J1295" s="9" t="s">
        <v>403</v>
      </c>
      <c r="K1295" s="142" t="s">
        <v>9257</v>
      </c>
      <c r="L1295" s="9" t="s">
        <v>2189</v>
      </c>
      <c r="M1295" s="9" t="s">
        <v>2983</v>
      </c>
      <c r="N1295" s="9" t="s">
        <v>575</v>
      </c>
      <c r="O1295" s="20" t="s">
        <v>2590</v>
      </c>
      <c r="P1295" s="112" t="s">
        <v>6538</v>
      </c>
      <c r="Q1295" s="11" t="s">
        <v>784</v>
      </c>
      <c r="R1295" s="148" t="str">
        <f>Agencia[[#This Row],[territorio]]&amp;",regional,comercio,exterior,importación,volúmen,kilogramo,entrada,terminal,ingreso,transporte,marítimo,aéreo,terrestre,"&amp;Agencia[[#This Row],[coleccion]]&amp;","&amp;Agencia[[#This Row],[sector]]&amp;","&amp;Agencia[[#This Row],[tema]]&amp;","&amp;Agencia[[#This Row],[contenido]]</f>
        <v>Región de Magallanes,regional,comercio,exterior,importación,volúmen,kilogramo,entrada,terminal,ingreso,transporte,marítimo,aéreo,terrestre,Agencia Información,Economía,Importaciones,Comercio Exterior</v>
      </c>
      <c r="S1295" s="37" t="s">
        <v>2591</v>
      </c>
      <c r="T1295" s="114" t="s">
        <v>1868</v>
      </c>
      <c r="U1295" s="46" t="s">
        <v>398</v>
      </c>
      <c r="V1295" s="93" t="str">
        <f>+Agencia[[#This Row],[idcoleccion]]&amp;"-"&amp;Agencia[[#This Row],[id]]</f>
        <v>990-1284</v>
      </c>
      <c r="W1295" s="93">
        <f>+VLOOKUP(Agencia[[#This Row],[Filtro URL]],Estructura!$X$4:$Y$500,2,0)</f>
        <v>99200012</v>
      </c>
      <c r="X1295" s="93" t="str">
        <f>+VLOOKUP(Agencia[[#This Row],[tema]],Estructura!$A$4:$C$500,3,0)</f>
        <v>T-1031</v>
      </c>
      <c r="Y1295" s="93" t="str">
        <f>+VLOOKUP(Agencia[[#This Row],[contenido]],Estructura!$E$4:$G$500,3,0)</f>
        <v>C-1014</v>
      </c>
      <c r="Z1295" s="93" t="str">
        <f>+VLOOKUP(Agencia[[#This Row],[Filtro Integrado]],Estructura!$I$4:$K$500,3,0)</f>
        <v>FI-993</v>
      </c>
      <c r="AA1295" s="93" t="str">
        <f>+VLOOKUP(Agencia[[#This Row],[Muestra]],Estructura!$M$4:$O$500,3,0)</f>
        <v>M-1087</v>
      </c>
    </row>
    <row r="1296" spans="1:27" ht="72" x14ac:dyDescent="0.3">
      <c r="A1296" s="21" t="s">
        <v>2119</v>
      </c>
      <c r="B1296" s="23">
        <v>990</v>
      </c>
      <c r="C1296" s="24" t="s">
        <v>400</v>
      </c>
      <c r="D1296" s="67" t="s">
        <v>823</v>
      </c>
      <c r="E1296" s="19">
        <v>13</v>
      </c>
      <c r="F1296" s="10" t="s">
        <v>940</v>
      </c>
      <c r="G1296" s="10" t="s">
        <v>2183</v>
      </c>
      <c r="H1296" s="33" t="s">
        <v>16</v>
      </c>
      <c r="I1296" s="34" t="s">
        <v>380</v>
      </c>
      <c r="J1296" s="9" t="s">
        <v>403</v>
      </c>
      <c r="K1296" s="142" t="s">
        <v>9257</v>
      </c>
      <c r="L1296" s="9" t="s">
        <v>2189</v>
      </c>
      <c r="M1296" s="9" t="s">
        <v>2983</v>
      </c>
      <c r="N1296" s="9" t="s">
        <v>575</v>
      </c>
      <c r="O1296" s="20" t="s">
        <v>2592</v>
      </c>
      <c r="P1296" s="112" t="s">
        <v>6539</v>
      </c>
      <c r="Q1296" s="11" t="s">
        <v>784</v>
      </c>
      <c r="R1296" s="148" t="str">
        <f>Agencia[[#This Row],[territorio]]&amp;",regional,comercio,exterior,importación,volúmen,kilogramo,entrada,terminal,ingreso,transporte,marítimo,aéreo,terrestre,"&amp;Agencia[[#This Row],[coleccion]]&amp;","&amp;Agencia[[#This Row],[sector]]&amp;","&amp;Agencia[[#This Row],[tema]]&amp;","&amp;Agencia[[#This Row],[contenido]]</f>
        <v>Región Metropolitana,regional,comercio,exterior,importación,volúmen,kilogramo,entrada,terminal,ingreso,transporte,marítimo,aéreo,terrestre,Agencia Información,Economía,Importaciones,Comercio Exterior</v>
      </c>
      <c r="S1296" s="37" t="s">
        <v>2593</v>
      </c>
      <c r="T1296" s="114" t="s">
        <v>1875</v>
      </c>
      <c r="U1296" s="46" t="s">
        <v>398</v>
      </c>
      <c r="V1296" s="93" t="str">
        <f>+Agencia[[#This Row],[idcoleccion]]&amp;"-"&amp;Agencia[[#This Row],[id]]</f>
        <v>990-1285</v>
      </c>
      <c r="W1296" s="93">
        <f>+VLOOKUP(Agencia[[#This Row],[Filtro URL]],Estructura!$X$4:$Y$500,2,0)</f>
        <v>99200013</v>
      </c>
      <c r="X1296" s="93" t="str">
        <f>+VLOOKUP(Agencia[[#This Row],[tema]],Estructura!$A$4:$C$500,3,0)</f>
        <v>T-1031</v>
      </c>
      <c r="Y1296" s="93" t="str">
        <f>+VLOOKUP(Agencia[[#This Row],[contenido]],Estructura!$E$4:$G$500,3,0)</f>
        <v>C-1014</v>
      </c>
      <c r="Z1296" s="93" t="str">
        <f>+VLOOKUP(Agencia[[#This Row],[Filtro Integrado]],Estructura!$I$4:$K$500,3,0)</f>
        <v>FI-993</v>
      </c>
      <c r="AA1296" s="93" t="str">
        <f>+VLOOKUP(Agencia[[#This Row],[Muestra]],Estructura!$M$4:$O$500,3,0)</f>
        <v>M-1087</v>
      </c>
    </row>
    <row r="1297" spans="1:27" ht="72" x14ac:dyDescent="0.3">
      <c r="A1297" s="21" t="s">
        <v>2120</v>
      </c>
      <c r="B1297" s="23">
        <v>990</v>
      </c>
      <c r="C1297" s="24" t="s">
        <v>400</v>
      </c>
      <c r="D1297" s="67" t="s">
        <v>823</v>
      </c>
      <c r="E1297" s="19">
        <v>14</v>
      </c>
      <c r="F1297" s="10" t="s">
        <v>940</v>
      </c>
      <c r="G1297" s="10" t="s">
        <v>2183</v>
      </c>
      <c r="H1297" s="33" t="s">
        <v>16</v>
      </c>
      <c r="I1297" s="34" t="s">
        <v>381</v>
      </c>
      <c r="J1297" s="9" t="s">
        <v>403</v>
      </c>
      <c r="K1297" s="142" t="s">
        <v>9257</v>
      </c>
      <c r="L1297" s="9" t="s">
        <v>2189</v>
      </c>
      <c r="M1297" s="9" t="s">
        <v>2983</v>
      </c>
      <c r="N1297" s="9" t="s">
        <v>575</v>
      </c>
      <c r="O1297" s="20" t="s">
        <v>2594</v>
      </c>
      <c r="P1297" s="112" t="s">
        <v>6540</v>
      </c>
      <c r="Q1297" s="11" t="s">
        <v>784</v>
      </c>
      <c r="R1297" s="148" t="str">
        <f>Agencia[[#This Row],[territorio]]&amp;",regional,comercio,exterior,importación,volúmen,kilogramo,entrada,terminal,ingreso,transporte,marítimo,aéreo,terrestre,"&amp;Agencia[[#This Row],[coleccion]]&amp;","&amp;Agencia[[#This Row],[sector]]&amp;","&amp;Agencia[[#This Row],[tema]]&amp;","&amp;Agencia[[#This Row],[contenido]]</f>
        <v>Región de Los Ríos,regional,comercio,exterior,importación,volúmen,kilogramo,entrada,terminal,ingreso,transporte,marítimo,aéreo,terrestre,Agencia Información,Economía,Importaciones,Comercio Exterior</v>
      </c>
      <c r="S1297" s="37" t="s">
        <v>2595</v>
      </c>
      <c r="T1297" s="114" t="s">
        <v>1867</v>
      </c>
      <c r="U1297" s="46" t="s">
        <v>398</v>
      </c>
      <c r="V1297" s="93" t="str">
        <f>+Agencia[[#This Row],[idcoleccion]]&amp;"-"&amp;Agencia[[#This Row],[id]]</f>
        <v>990-1286</v>
      </c>
      <c r="W1297" s="93">
        <f>+VLOOKUP(Agencia[[#This Row],[Filtro URL]],Estructura!$X$4:$Y$500,2,0)</f>
        <v>99200014</v>
      </c>
      <c r="X1297" s="93" t="str">
        <f>+VLOOKUP(Agencia[[#This Row],[tema]],Estructura!$A$4:$C$500,3,0)</f>
        <v>T-1031</v>
      </c>
      <c r="Y1297" s="93" t="str">
        <f>+VLOOKUP(Agencia[[#This Row],[contenido]],Estructura!$E$4:$G$500,3,0)</f>
        <v>C-1014</v>
      </c>
      <c r="Z1297" s="93" t="str">
        <f>+VLOOKUP(Agencia[[#This Row],[Filtro Integrado]],Estructura!$I$4:$K$500,3,0)</f>
        <v>FI-993</v>
      </c>
      <c r="AA1297" s="93" t="str">
        <f>+VLOOKUP(Agencia[[#This Row],[Muestra]],Estructura!$M$4:$O$500,3,0)</f>
        <v>M-1087</v>
      </c>
    </row>
    <row r="1298" spans="1:27" ht="72" x14ac:dyDescent="0.3">
      <c r="A1298" s="21" t="s">
        <v>2121</v>
      </c>
      <c r="B1298" s="23">
        <v>990</v>
      </c>
      <c r="C1298" s="24" t="s">
        <v>400</v>
      </c>
      <c r="D1298" s="67" t="s">
        <v>823</v>
      </c>
      <c r="E1298" s="19">
        <v>15</v>
      </c>
      <c r="F1298" s="10" t="s">
        <v>940</v>
      </c>
      <c r="G1298" s="10" t="s">
        <v>2183</v>
      </c>
      <c r="H1298" s="33" t="s">
        <v>16</v>
      </c>
      <c r="I1298" s="34" t="s">
        <v>382</v>
      </c>
      <c r="J1298" s="9" t="s">
        <v>403</v>
      </c>
      <c r="K1298" s="142" t="s">
        <v>9257</v>
      </c>
      <c r="L1298" s="9" t="s">
        <v>2189</v>
      </c>
      <c r="M1298" s="9" t="s">
        <v>2983</v>
      </c>
      <c r="N1298" s="9" t="s">
        <v>575</v>
      </c>
      <c r="O1298" s="20" t="s">
        <v>2596</v>
      </c>
      <c r="P1298" s="112" t="s">
        <v>6541</v>
      </c>
      <c r="Q1298" s="11" t="s">
        <v>784</v>
      </c>
      <c r="R1298" s="148" t="str">
        <f>Agencia[[#This Row],[territorio]]&amp;",regional,comercio,exterior,importación,volúmen,kilogramo,entrada,terminal,ingreso,transporte,marítimo,aéreo,terrestre,"&amp;Agencia[[#This Row],[coleccion]]&amp;","&amp;Agencia[[#This Row],[sector]]&amp;","&amp;Agencia[[#This Row],[tema]]&amp;","&amp;Agencia[[#This Row],[contenido]]</f>
        <v>Región de Arica y Parinacota,regional,comercio,exterior,importación,volúmen,kilogramo,entrada,terminal,ingreso,transporte,marítimo,aéreo,terrestre,Agencia Información,Economía,Importaciones,Comercio Exterior</v>
      </c>
      <c r="S1298" s="37" t="s">
        <v>2597</v>
      </c>
      <c r="T1298" s="114" t="s">
        <v>1861</v>
      </c>
      <c r="U1298" s="46" t="s">
        <v>398</v>
      </c>
      <c r="V1298" s="93" t="str">
        <f>+Agencia[[#This Row],[idcoleccion]]&amp;"-"&amp;Agencia[[#This Row],[id]]</f>
        <v>990-1287</v>
      </c>
      <c r="W1298" s="93">
        <f>+VLOOKUP(Agencia[[#This Row],[Filtro URL]],Estructura!$X$4:$Y$500,2,0)</f>
        <v>99200015</v>
      </c>
      <c r="X1298" s="93" t="str">
        <f>+VLOOKUP(Agencia[[#This Row],[tema]],Estructura!$A$4:$C$500,3,0)</f>
        <v>T-1031</v>
      </c>
      <c r="Y1298" s="93" t="str">
        <f>+VLOOKUP(Agencia[[#This Row],[contenido]],Estructura!$E$4:$G$500,3,0)</f>
        <v>C-1014</v>
      </c>
      <c r="Z1298" s="93" t="str">
        <f>+VLOOKUP(Agencia[[#This Row],[Filtro Integrado]],Estructura!$I$4:$K$500,3,0)</f>
        <v>FI-993</v>
      </c>
      <c r="AA1298" s="93" t="str">
        <f>+VLOOKUP(Agencia[[#This Row],[Muestra]],Estructura!$M$4:$O$500,3,0)</f>
        <v>M-1087</v>
      </c>
    </row>
    <row r="1299" spans="1:27" ht="51" x14ac:dyDescent="0.3">
      <c r="A1299" s="21" t="s">
        <v>2122</v>
      </c>
      <c r="B1299" s="23">
        <v>990</v>
      </c>
      <c r="C1299" s="24" t="s">
        <v>400</v>
      </c>
      <c r="D1299" s="67" t="s">
        <v>823</v>
      </c>
      <c r="E1299" s="14">
        <v>0</v>
      </c>
      <c r="F1299" s="10" t="s">
        <v>572</v>
      </c>
      <c r="G1299" s="10" t="s">
        <v>2183</v>
      </c>
      <c r="H1299" s="31" t="s">
        <v>20</v>
      </c>
      <c r="I1299" s="32" t="s">
        <v>15</v>
      </c>
      <c r="J1299" s="9" t="s">
        <v>16</v>
      </c>
      <c r="K1299" s="9" t="s">
        <v>9258</v>
      </c>
      <c r="L1299" s="9" t="s">
        <v>2189</v>
      </c>
      <c r="M1299" s="9" t="s">
        <v>864</v>
      </c>
      <c r="N1299" s="9" t="s">
        <v>575</v>
      </c>
      <c r="O1299" s="20" t="s">
        <v>2598</v>
      </c>
      <c r="P1299" s="112" t="s">
        <v>6508</v>
      </c>
      <c r="Q1299" s="11" t="s">
        <v>784</v>
      </c>
      <c r="R1299" s="20" t="str">
        <f>Agencia[[#This Row],[territorio]]&amp;",nacional,región,comercio,exterior,exportación,valor,dólar,dólares,USD,salida,lugar,terminal,puerto,paso,aeropuerto,"&amp;Agencia[[#This Row],[coleccion]]&amp;","&amp;Agencia[[#This Row],[sector]]&amp;","&amp;Agencia[[#This Row],[tema]]&amp;","&amp;Agencia[[#This Row],[contenido]]</f>
        <v>Chile,nacional,región,comercio,exterior,exportación,valor,dólar,dólares,USD,salida,lugar,terminal,puerto,paso,aeropuerto,Agencia Información,Economía,Exportaciones,Comercio Exterior</v>
      </c>
      <c r="S1299" s="83" t="s">
        <v>2212</v>
      </c>
      <c r="T1299" s="114" t="s">
        <v>805</v>
      </c>
      <c r="U1299" s="46" t="s">
        <v>398</v>
      </c>
      <c r="V1299" s="93" t="str">
        <f>+Agencia[[#This Row],[idcoleccion]]&amp;"-"&amp;Agencia[[#This Row],[id]]</f>
        <v>990-1288</v>
      </c>
      <c r="W1299" s="93">
        <f>+VLOOKUP(Agencia[[#This Row],[Filtro URL]],Estructura!$X$4:$Y$500,2,0)</f>
        <v>99100000</v>
      </c>
      <c r="X1299" s="93" t="str">
        <f>+VLOOKUP(Agencia[[#This Row],[tema]],Estructura!$A$4:$C$500,3,0)</f>
        <v>T-1020</v>
      </c>
      <c r="Y1299" s="93" t="str">
        <f>+VLOOKUP(Agencia[[#This Row],[contenido]],Estructura!$E$4:$G$500,3,0)</f>
        <v>C-1014</v>
      </c>
      <c r="Z1299" s="93" t="str">
        <f>+VLOOKUP(Agencia[[#This Row],[Filtro Integrado]],Estructura!$I$4:$K$500,3,0)</f>
        <v>FI-992</v>
      </c>
      <c r="AA1299" s="93" t="str">
        <f>+VLOOKUP(Agencia[[#This Row],[Muestra]],Estructura!$M$4:$O$500,3,0)</f>
        <v>M-1084</v>
      </c>
    </row>
    <row r="1300" spans="1:27" ht="72" x14ac:dyDescent="0.3">
      <c r="A1300" s="21" t="s">
        <v>2123</v>
      </c>
      <c r="B1300" s="23">
        <v>990</v>
      </c>
      <c r="C1300" s="24" t="s">
        <v>400</v>
      </c>
      <c r="D1300" s="67" t="s">
        <v>823</v>
      </c>
      <c r="E1300" s="19">
        <v>1</v>
      </c>
      <c r="F1300" s="10" t="s">
        <v>572</v>
      </c>
      <c r="G1300" s="10" t="s">
        <v>2183</v>
      </c>
      <c r="H1300" s="33" t="s">
        <v>16</v>
      </c>
      <c r="I1300" s="34" t="s">
        <v>368</v>
      </c>
      <c r="J1300" s="9" t="s">
        <v>403</v>
      </c>
      <c r="K1300" s="9" t="s">
        <v>9258</v>
      </c>
      <c r="L1300" s="9" t="s">
        <v>2189</v>
      </c>
      <c r="M1300" s="9" t="s">
        <v>864</v>
      </c>
      <c r="N1300" s="9" t="s">
        <v>575</v>
      </c>
      <c r="O1300" s="20" t="s">
        <v>2599</v>
      </c>
      <c r="P1300" s="112" t="s">
        <v>6513</v>
      </c>
      <c r="Q1300" s="11" t="s">
        <v>784</v>
      </c>
      <c r="R1300" s="148" t="str">
        <f>Agencia[[#This Row],[territorio]]&amp;",regional,comercio,exterior,exportación,valor,dólar,dólares,USD,salida,lugar,terminal,puerto,paso,aeropuerto,"&amp;Agencia[[#This Row],[coleccion]]&amp;","&amp;Agencia[[#This Row],[sector]]&amp;","&amp;Agencia[[#This Row],[tema]]&amp;","&amp;Agencia[[#This Row],[contenido]]</f>
        <v>Región de Tarapacá,regional,comercio,exterior,exportación,valor,dólar,dólares,USD,salida,lugar,terminal,puerto,paso,aeropuerto,Agencia Información,Economía,Exportaciones,Comercio Exterior</v>
      </c>
      <c r="S1300" s="83" t="s">
        <v>2600</v>
      </c>
      <c r="T1300" s="114" t="s">
        <v>1872</v>
      </c>
      <c r="U1300" s="46" t="s">
        <v>398</v>
      </c>
      <c r="V1300" s="93" t="str">
        <f>+Agencia[[#This Row],[idcoleccion]]&amp;"-"&amp;Agencia[[#This Row],[id]]</f>
        <v>990-1289</v>
      </c>
      <c r="W1300" s="93">
        <f>+VLOOKUP(Agencia[[#This Row],[Filtro URL]],Estructura!$X$4:$Y$500,2,0)</f>
        <v>99200001</v>
      </c>
      <c r="X1300" s="93" t="str">
        <f>+VLOOKUP(Agencia[[#This Row],[tema]],Estructura!$A$4:$C$500,3,0)</f>
        <v>T-1020</v>
      </c>
      <c r="Y1300" s="93" t="str">
        <f>+VLOOKUP(Agencia[[#This Row],[contenido]],Estructura!$E$4:$G$500,3,0)</f>
        <v>C-1014</v>
      </c>
      <c r="Z1300" s="93" t="str">
        <f>+VLOOKUP(Agencia[[#This Row],[Filtro Integrado]],Estructura!$I$4:$K$500,3,0)</f>
        <v>FI-993</v>
      </c>
      <c r="AA1300" s="93" t="str">
        <f>+VLOOKUP(Agencia[[#This Row],[Muestra]],Estructura!$M$4:$O$500,3,0)</f>
        <v>M-1084</v>
      </c>
    </row>
    <row r="1301" spans="1:27" ht="72" x14ac:dyDescent="0.3">
      <c r="A1301" s="21" t="s">
        <v>2124</v>
      </c>
      <c r="B1301" s="23">
        <v>990</v>
      </c>
      <c r="C1301" s="24" t="s">
        <v>400</v>
      </c>
      <c r="D1301" s="67" t="s">
        <v>823</v>
      </c>
      <c r="E1301" s="19">
        <v>2</v>
      </c>
      <c r="F1301" s="10" t="s">
        <v>572</v>
      </c>
      <c r="G1301" s="10" t="s">
        <v>2183</v>
      </c>
      <c r="H1301" s="33" t="s">
        <v>16</v>
      </c>
      <c r="I1301" s="34" t="s">
        <v>369</v>
      </c>
      <c r="J1301" s="9" t="s">
        <v>403</v>
      </c>
      <c r="K1301" s="9" t="s">
        <v>9258</v>
      </c>
      <c r="L1301" s="9" t="s">
        <v>2189</v>
      </c>
      <c r="M1301" s="9" t="s">
        <v>864</v>
      </c>
      <c r="N1301" s="9" t="s">
        <v>575</v>
      </c>
      <c r="O1301" s="20" t="s">
        <v>2601</v>
      </c>
      <c r="P1301" s="112" t="s">
        <v>6514</v>
      </c>
      <c r="Q1301" s="11" t="s">
        <v>784</v>
      </c>
      <c r="R1301" s="148" t="str">
        <f>Agencia[[#This Row],[territorio]]&amp;",regional,comercio,exterior,exportación,valor,dólar,dólares,USD,salida,lugar,terminal,puerto,paso,aeropuerto,"&amp;Agencia[[#This Row],[coleccion]]&amp;","&amp;Agencia[[#This Row],[sector]]&amp;","&amp;Agencia[[#This Row],[tema]]&amp;","&amp;Agencia[[#This Row],[contenido]]</f>
        <v>Región de Antofagasta,regional,comercio,exterior,exportación,valor,dólar,dólares,USD,salida,lugar,terminal,puerto,paso,aeropuerto,Agencia Información,Economía,Exportaciones,Comercio Exterior</v>
      </c>
      <c r="S1301" s="83" t="s">
        <v>2602</v>
      </c>
      <c r="T1301" s="114" t="s">
        <v>1860</v>
      </c>
      <c r="U1301" s="46" t="s">
        <v>398</v>
      </c>
      <c r="V1301" s="93" t="str">
        <f>+Agencia[[#This Row],[idcoleccion]]&amp;"-"&amp;Agencia[[#This Row],[id]]</f>
        <v>990-1290</v>
      </c>
      <c r="W1301" s="93">
        <f>+VLOOKUP(Agencia[[#This Row],[Filtro URL]],Estructura!$X$4:$Y$500,2,0)</f>
        <v>99200002</v>
      </c>
      <c r="X1301" s="93" t="str">
        <f>+VLOOKUP(Agencia[[#This Row],[tema]],Estructura!$A$4:$C$500,3,0)</f>
        <v>T-1020</v>
      </c>
      <c r="Y1301" s="93" t="str">
        <f>+VLOOKUP(Agencia[[#This Row],[contenido]],Estructura!$E$4:$G$500,3,0)</f>
        <v>C-1014</v>
      </c>
      <c r="Z1301" s="93" t="str">
        <f>+VLOOKUP(Agencia[[#This Row],[Filtro Integrado]],Estructura!$I$4:$K$500,3,0)</f>
        <v>FI-993</v>
      </c>
      <c r="AA1301" s="93" t="str">
        <f>+VLOOKUP(Agencia[[#This Row],[Muestra]],Estructura!$M$4:$O$500,3,0)</f>
        <v>M-1084</v>
      </c>
    </row>
    <row r="1302" spans="1:27" ht="72" x14ac:dyDescent="0.3">
      <c r="A1302" s="21" t="s">
        <v>2125</v>
      </c>
      <c r="B1302" s="23">
        <v>990</v>
      </c>
      <c r="C1302" s="24" t="s">
        <v>400</v>
      </c>
      <c r="D1302" s="67" t="s">
        <v>823</v>
      </c>
      <c r="E1302" s="19">
        <v>3</v>
      </c>
      <c r="F1302" s="10" t="s">
        <v>572</v>
      </c>
      <c r="G1302" s="10" t="s">
        <v>2183</v>
      </c>
      <c r="H1302" s="33" t="s">
        <v>16</v>
      </c>
      <c r="I1302" s="34" t="s">
        <v>370</v>
      </c>
      <c r="J1302" s="9" t="s">
        <v>403</v>
      </c>
      <c r="K1302" s="9" t="s">
        <v>9258</v>
      </c>
      <c r="L1302" s="9" t="s">
        <v>2189</v>
      </c>
      <c r="M1302" s="9" t="s">
        <v>864</v>
      </c>
      <c r="N1302" s="9" t="s">
        <v>575</v>
      </c>
      <c r="O1302" s="20" t="s">
        <v>2603</v>
      </c>
      <c r="P1302" s="112" t="s">
        <v>6515</v>
      </c>
      <c r="Q1302" s="11" t="s">
        <v>784</v>
      </c>
      <c r="R1302" s="148" t="str">
        <f>Agencia[[#This Row],[territorio]]&amp;",regional,comercio,exterior,exportación,valor,dólar,dólares,USD,salida,lugar,terminal,puerto,paso,aeropuerto,"&amp;Agencia[[#This Row],[coleccion]]&amp;","&amp;Agencia[[#This Row],[sector]]&amp;","&amp;Agencia[[#This Row],[tema]]&amp;","&amp;Agencia[[#This Row],[contenido]]</f>
        <v>Región de Atacama,regional,comercio,exterior,exportación,valor,dólar,dólares,USD,salida,lugar,terminal,puerto,paso,aeropuerto,Agencia Información,Economía,Exportaciones,Comercio Exterior</v>
      </c>
      <c r="S1302" s="83" t="s">
        <v>2604</v>
      </c>
      <c r="T1302" s="114" t="s">
        <v>1862</v>
      </c>
      <c r="U1302" s="46" t="s">
        <v>398</v>
      </c>
      <c r="V1302" s="93" t="str">
        <f>+Agencia[[#This Row],[idcoleccion]]&amp;"-"&amp;Agencia[[#This Row],[id]]</f>
        <v>990-1291</v>
      </c>
      <c r="W1302" s="93">
        <f>+VLOOKUP(Agencia[[#This Row],[Filtro URL]],Estructura!$X$4:$Y$500,2,0)</f>
        <v>99200003</v>
      </c>
      <c r="X1302" s="93" t="str">
        <f>+VLOOKUP(Agencia[[#This Row],[tema]],Estructura!$A$4:$C$500,3,0)</f>
        <v>T-1020</v>
      </c>
      <c r="Y1302" s="93" t="str">
        <f>+VLOOKUP(Agencia[[#This Row],[contenido]],Estructura!$E$4:$G$500,3,0)</f>
        <v>C-1014</v>
      </c>
      <c r="Z1302" s="93" t="str">
        <f>+VLOOKUP(Agencia[[#This Row],[Filtro Integrado]],Estructura!$I$4:$K$500,3,0)</f>
        <v>FI-993</v>
      </c>
      <c r="AA1302" s="93" t="str">
        <f>+VLOOKUP(Agencia[[#This Row],[Muestra]],Estructura!$M$4:$O$500,3,0)</f>
        <v>M-1084</v>
      </c>
    </row>
    <row r="1303" spans="1:27" ht="72" x14ac:dyDescent="0.3">
      <c r="A1303" s="21" t="s">
        <v>2126</v>
      </c>
      <c r="B1303" s="23">
        <v>990</v>
      </c>
      <c r="C1303" s="24" t="s">
        <v>400</v>
      </c>
      <c r="D1303" s="67" t="s">
        <v>823</v>
      </c>
      <c r="E1303" s="19">
        <v>4</v>
      </c>
      <c r="F1303" s="10" t="s">
        <v>572</v>
      </c>
      <c r="G1303" s="10" t="s">
        <v>2183</v>
      </c>
      <c r="H1303" s="33" t="s">
        <v>16</v>
      </c>
      <c r="I1303" s="34" t="s">
        <v>371</v>
      </c>
      <c r="J1303" s="9" t="s">
        <v>403</v>
      </c>
      <c r="K1303" s="9" t="s">
        <v>9258</v>
      </c>
      <c r="L1303" s="9" t="s">
        <v>2189</v>
      </c>
      <c r="M1303" s="9" t="s">
        <v>864</v>
      </c>
      <c r="N1303" s="9" t="s">
        <v>575</v>
      </c>
      <c r="O1303" s="20" t="s">
        <v>2605</v>
      </c>
      <c r="P1303" s="112" t="s">
        <v>6516</v>
      </c>
      <c r="Q1303" s="11" t="s">
        <v>784</v>
      </c>
      <c r="R1303" s="148" t="str">
        <f>Agencia[[#This Row],[territorio]]&amp;",regional,comercio,exterior,exportación,valor,dólar,dólares,USD,salida,lugar,terminal,puerto,paso,aeropuerto,"&amp;Agencia[[#This Row],[coleccion]]&amp;","&amp;Agencia[[#This Row],[sector]]&amp;","&amp;Agencia[[#This Row],[tema]]&amp;","&amp;Agencia[[#This Row],[contenido]]</f>
        <v>Región de Coquimbo,regional,comercio,exterior,exportación,valor,dólar,dólares,USD,salida,lugar,terminal,puerto,paso,aeropuerto,Agencia Información,Economía,Exportaciones,Comercio Exterior</v>
      </c>
      <c r="S1303" s="37" t="s">
        <v>2606</v>
      </c>
      <c r="T1303" s="114" t="s">
        <v>1864</v>
      </c>
      <c r="U1303" s="46" t="s">
        <v>398</v>
      </c>
      <c r="V1303" s="93" t="str">
        <f>+Agencia[[#This Row],[idcoleccion]]&amp;"-"&amp;Agencia[[#This Row],[id]]</f>
        <v>990-1292</v>
      </c>
      <c r="W1303" s="93">
        <f>+VLOOKUP(Agencia[[#This Row],[Filtro URL]],Estructura!$X$4:$Y$500,2,0)</f>
        <v>99200004</v>
      </c>
      <c r="X1303" s="93" t="str">
        <f>+VLOOKUP(Agencia[[#This Row],[tema]],Estructura!$A$4:$C$500,3,0)</f>
        <v>T-1020</v>
      </c>
      <c r="Y1303" s="93" t="str">
        <f>+VLOOKUP(Agencia[[#This Row],[contenido]],Estructura!$E$4:$G$500,3,0)</f>
        <v>C-1014</v>
      </c>
      <c r="Z1303" s="93" t="str">
        <f>+VLOOKUP(Agencia[[#This Row],[Filtro Integrado]],Estructura!$I$4:$K$500,3,0)</f>
        <v>FI-993</v>
      </c>
      <c r="AA1303" s="93" t="str">
        <f>+VLOOKUP(Agencia[[#This Row],[Muestra]],Estructura!$M$4:$O$500,3,0)</f>
        <v>M-1084</v>
      </c>
    </row>
    <row r="1304" spans="1:27" ht="72" x14ac:dyDescent="0.3">
      <c r="A1304" s="21" t="s">
        <v>2127</v>
      </c>
      <c r="B1304" s="23">
        <v>990</v>
      </c>
      <c r="C1304" s="24" t="s">
        <v>400</v>
      </c>
      <c r="D1304" s="67" t="s">
        <v>823</v>
      </c>
      <c r="E1304" s="19">
        <v>5</v>
      </c>
      <c r="F1304" s="10" t="s">
        <v>572</v>
      </c>
      <c r="G1304" s="10" t="s">
        <v>2183</v>
      </c>
      <c r="H1304" s="33" t="s">
        <v>16</v>
      </c>
      <c r="I1304" s="34" t="s">
        <v>372</v>
      </c>
      <c r="J1304" s="9" t="s">
        <v>403</v>
      </c>
      <c r="K1304" s="9" t="s">
        <v>9258</v>
      </c>
      <c r="L1304" s="9" t="s">
        <v>2189</v>
      </c>
      <c r="M1304" s="9" t="s">
        <v>864</v>
      </c>
      <c r="N1304" s="9" t="s">
        <v>575</v>
      </c>
      <c r="O1304" s="20" t="s">
        <v>2607</v>
      </c>
      <c r="P1304" s="112" t="s">
        <v>6517</v>
      </c>
      <c r="Q1304" s="11" t="s">
        <v>784</v>
      </c>
      <c r="R1304" s="148" t="str">
        <f>Agencia[[#This Row],[territorio]]&amp;",regional,comercio,exterior,exportación,valor,dólar,dólares,USD,salida,lugar,terminal,puerto,paso,aeropuerto,"&amp;Agencia[[#This Row],[coleccion]]&amp;","&amp;Agencia[[#This Row],[sector]]&amp;","&amp;Agencia[[#This Row],[tema]]&amp;","&amp;Agencia[[#This Row],[contenido]]</f>
        <v>Región de Valparaíso,regional,comercio,exterior,exportación,valor,dólar,dólares,USD,salida,lugar,terminal,puerto,paso,aeropuerto,Agencia Información,Economía,Exportaciones,Comercio Exterior</v>
      </c>
      <c r="S1304" s="83" t="s">
        <v>2608</v>
      </c>
      <c r="T1304" s="114" t="s">
        <v>1873</v>
      </c>
      <c r="U1304" s="46" t="s">
        <v>398</v>
      </c>
      <c r="V1304" s="93" t="str">
        <f>+Agencia[[#This Row],[idcoleccion]]&amp;"-"&amp;Agencia[[#This Row],[id]]</f>
        <v>990-1293</v>
      </c>
      <c r="W1304" s="93">
        <f>+VLOOKUP(Agencia[[#This Row],[Filtro URL]],Estructura!$X$4:$Y$500,2,0)</f>
        <v>99200005</v>
      </c>
      <c r="X1304" s="93" t="str">
        <f>+VLOOKUP(Agencia[[#This Row],[tema]],Estructura!$A$4:$C$500,3,0)</f>
        <v>T-1020</v>
      </c>
      <c r="Y1304" s="93" t="str">
        <f>+VLOOKUP(Agencia[[#This Row],[contenido]],Estructura!$E$4:$G$500,3,0)</f>
        <v>C-1014</v>
      </c>
      <c r="Z1304" s="93" t="str">
        <f>+VLOOKUP(Agencia[[#This Row],[Filtro Integrado]],Estructura!$I$4:$K$500,3,0)</f>
        <v>FI-993</v>
      </c>
      <c r="AA1304" s="93" t="str">
        <f>+VLOOKUP(Agencia[[#This Row],[Muestra]],Estructura!$M$4:$O$500,3,0)</f>
        <v>M-1084</v>
      </c>
    </row>
    <row r="1305" spans="1:27" ht="72" x14ac:dyDescent="0.3">
      <c r="A1305" s="21" t="s">
        <v>2128</v>
      </c>
      <c r="B1305" s="23">
        <v>990</v>
      </c>
      <c r="C1305" s="24" t="s">
        <v>400</v>
      </c>
      <c r="D1305" s="67" t="s">
        <v>823</v>
      </c>
      <c r="E1305" s="19">
        <v>6</v>
      </c>
      <c r="F1305" s="10" t="s">
        <v>572</v>
      </c>
      <c r="G1305" s="10" t="s">
        <v>2183</v>
      </c>
      <c r="H1305" s="33" t="s">
        <v>16</v>
      </c>
      <c r="I1305" s="34" t="s">
        <v>373</v>
      </c>
      <c r="J1305" s="9" t="s">
        <v>403</v>
      </c>
      <c r="K1305" s="9" t="s">
        <v>9258</v>
      </c>
      <c r="L1305" s="9" t="s">
        <v>2189</v>
      </c>
      <c r="M1305" s="9" t="s">
        <v>864</v>
      </c>
      <c r="N1305" s="9" t="s">
        <v>575</v>
      </c>
      <c r="O1305" s="20" t="s">
        <v>2609</v>
      </c>
      <c r="P1305" s="112" t="s">
        <v>6518</v>
      </c>
      <c r="Q1305" s="11" t="s">
        <v>784</v>
      </c>
      <c r="R1305" s="148" t="str">
        <f>Agencia[[#This Row],[territorio]]&amp;",regional,comercio,exterior,exportación,valor,dólar,dólares,USD,salida,lugar,terminal,puerto,paso,aeropuerto,"&amp;Agencia[[#This Row],[coleccion]]&amp;","&amp;Agencia[[#This Row],[sector]]&amp;","&amp;Agencia[[#This Row],[tema]]&amp;","&amp;Agencia[[#This Row],[contenido]]</f>
        <v>Región de O'Higgins,regional,comercio,exterior,exportación,valor,dólar,dólares,USD,salida,lugar,terminal,puerto,paso,aeropuerto,Agencia Información,Economía,Exportaciones,Comercio Exterior</v>
      </c>
      <c r="S1305" s="37" t="s">
        <v>2610</v>
      </c>
      <c r="T1305" s="114" t="s">
        <v>1871</v>
      </c>
      <c r="U1305" s="46" t="s">
        <v>398</v>
      </c>
      <c r="V1305" s="93" t="str">
        <f>+Agencia[[#This Row],[idcoleccion]]&amp;"-"&amp;Agencia[[#This Row],[id]]</f>
        <v>990-1294</v>
      </c>
      <c r="W1305" s="93">
        <f>+VLOOKUP(Agencia[[#This Row],[Filtro URL]],Estructura!$X$4:$Y$500,2,0)</f>
        <v>99200006</v>
      </c>
      <c r="X1305" s="93" t="str">
        <f>+VLOOKUP(Agencia[[#This Row],[tema]],Estructura!$A$4:$C$500,3,0)</f>
        <v>T-1020</v>
      </c>
      <c r="Y1305" s="93" t="str">
        <f>+VLOOKUP(Agencia[[#This Row],[contenido]],Estructura!$E$4:$G$500,3,0)</f>
        <v>C-1014</v>
      </c>
      <c r="Z1305" s="93" t="str">
        <f>+VLOOKUP(Agencia[[#This Row],[Filtro Integrado]],Estructura!$I$4:$K$500,3,0)</f>
        <v>FI-993</v>
      </c>
      <c r="AA1305" s="93" t="str">
        <f>+VLOOKUP(Agencia[[#This Row],[Muestra]],Estructura!$M$4:$O$500,3,0)</f>
        <v>M-1084</v>
      </c>
    </row>
    <row r="1306" spans="1:27" ht="72" x14ac:dyDescent="0.3">
      <c r="A1306" s="21" t="s">
        <v>2129</v>
      </c>
      <c r="B1306" s="23">
        <v>990</v>
      </c>
      <c r="C1306" s="24" t="s">
        <v>400</v>
      </c>
      <c r="D1306" s="67" t="s">
        <v>823</v>
      </c>
      <c r="E1306" s="19">
        <v>7</v>
      </c>
      <c r="F1306" s="10" t="s">
        <v>572</v>
      </c>
      <c r="G1306" s="10" t="s">
        <v>2183</v>
      </c>
      <c r="H1306" s="33" t="s">
        <v>16</v>
      </c>
      <c r="I1306" s="34" t="s">
        <v>374</v>
      </c>
      <c r="J1306" s="9" t="s">
        <v>403</v>
      </c>
      <c r="K1306" s="9" t="s">
        <v>9258</v>
      </c>
      <c r="L1306" s="9" t="s">
        <v>2189</v>
      </c>
      <c r="M1306" s="9" t="s">
        <v>864</v>
      </c>
      <c r="N1306" s="9" t="s">
        <v>575</v>
      </c>
      <c r="O1306" s="20" t="s">
        <v>2611</v>
      </c>
      <c r="P1306" s="112" t="s">
        <v>6519</v>
      </c>
      <c r="Q1306" s="11" t="s">
        <v>784</v>
      </c>
      <c r="R1306" s="148" t="str">
        <f>Agencia[[#This Row],[territorio]]&amp;",regional,comercio,exterior,exportación,valor,dólar,dólares,USD,salida,lugar,terminal,puerto,paso,aeropuerto,"&amp;Agencia[[#This Row],[coleccion]]&amp;","&amp;Agencia[[#This Row],[sector]]&amp;","&amp;Agencia[[#This Row],[tema]]&amp;","&amp;Agencia[[#This Row],[contenido]]</f>
        <v>Región de Maule,regional,comercio,exterior,exportación,valor,dólar,dólares,USD,salida,lugar,terminal,puerto,paso,aeropuerto,Agencia Información,Economía,Exportaciones,Comercio Exterior</v>
      </c>
      <c r="S1306" s="37" t="s">
        <v>2612</v>
      </c>
      <c r="T1306" s="114" t="s">
        <v>1869</v>
      </c>
      <c r="U1306" s="46" t="s">
        <v>398</v>
      </c>
      <c r="V1306" s="93" t="str">
        <f>+Agencia[[#This Row],[idcoleccion]]&amp;"-"&amp;Agencia[[#This Row],[id]]</f>
        <v>990-1295</v>
      </c>
      <c r="W1306" s="93">
        <f>+VLOOKUP(Agencia[[#This Row],[Filtro URL]],Estructura!$X$4:$Y$500,2,0)</f>
        <v>99200007</v>
      </c>
      <c r="X1306" s="93" t="str">
        <f>+VLOOKUP(Agencia[[#This Row],[tema]],Estructura!$A$4:$C$500,3,0)</f>
        <v>T-1020</v>
      </c>
      <c r="Y1306" s="93" t="str">
        <f>+VLOOKUP(Agencia[[#This Row],[contenido]],Estructura!$E$4:$G$500,3,0)</f>
        <v>C-1014</v>
      </c>
      <c r="Z1306" s="93" t="str">
        <f>+VLOOKUP(Agencia[[#This Row],[Filtro Integrado]],Estructura!$I$4:$K$500,3,0)</f>
        <v>FI-993</v>
      </c>
      <c r="AA1306" s="93" t="str">
        <f>+VLOOKUP(Agencia[[#This Row],[Muestra]],Estructura!$M$4:$O$500,3,0)</f>
        <v>M-1084</v>
      </c>
    </row>
    <row r="1307" spans="1:27" ht="72" x14ac:dyDescent="0.3">
      <c r="A1307" s="21" t="s">
        <v>2131</v>
      </c>
      <c r="B1307" s="23">
        <v>990</v>
      </c>
      <c r="C1307" s="24" t="s">
        <v>400</v>
      </c>
      <c r="D1307" s="67" t="s">
        <v>823</v>
      </c>
      <c r="E1307" s="19">
        <v>8</v>
      </c>
      <c r="F1307" s="10" t="s">
        <v>572</v>
      </c>
      <c r="G1307" s="10" t="s">
        <v>2183</v>
      </c>
      <c r="H1307" s="33" t="s">
        <v>16</v>
      </c>
      <c r="I1307" s="34" t="s">
        <v>375</v>
      </c>
      <c r="J1307" s="9" t="s">
        <v>403</v>
      </c>
      <c r="K1307" s="9" t="s">
        <v>9258</v>
      </c>
      <c r="L1307" s="9" t="s">
        <v>2189</v>
      </c>
      <c r="M1307" s="9" t="s">
        <v>864</v>
      </c>
      <c r="N1307" s="9" t="s">
        <v>575</v>
      </c>
      <c r="O1307" s="20" t="s">
        <v>2613</v>
      </c>
      <c r="P1307" s="112" t="s">
        <v>6520</v>
      </c>
      <c r="Q1307" s="11" t="s">
        <v>784</v>
      </c>
      <c r="R1307" s="148" t="str">
        <f>Agencia[[#This Row],[territorio]]&amp;",regional,comercio,exterior,exportación,valor,dólar,dólares,USD,salida,lugar,terminal,puerto,paso,aeropuerto,"&amp;Agencia[[#This Row],[coleccion]]&amp;","&amp;Agencia[[#This Row],[sector]]&amp;","&amp;Agencia[[#This Row],[tema]]&amp;","&amp;Agencia[[#This Row],[contenido]]</f>
        <v>Región del Biobío,regional,comercio,exterior,exportación,valor,dólar,dólares,USD,salida,lugar,terminal,puerto,paso,aeropuerto,Agencia Información,Economía,Exportaciones,Comercio Exterior</v>
      </c>
      <c r="S1307" s="37" t="s">
        <v>2614</v>
      </c>
      <c r="T1307" s="114" t="s">
        <v>1874</v>
      </c>
      <c r="U1307" s="46" t="s">
        <v>398</v>
      </c>
      <c r="V1307" s="93" t="str">
        <f>+Agencia[[#This Row],[idcoleccion]]&amp;"-"&amp;Agencia[[#This Row],[id]]</f>
        <v>990-1296</v>
      </c>
      <c r="W1307" s="93">
        <f>+VLOOKUP(Agencia[[#This Row],[Filtro URL]],Estructura!$X$4:$Y$500,2,0)</f>
        <v>99200008</v>
      </c>
      <c r="X1307" s="93" t="str">
        <f>+VLOOKUP(Agencia[[#This Row],[tema]],Estructura!$A$4:$C$500,3,0)</f>
        <v>T-1020</v>
      </c>
      <c r="Y1307" s="93" t="str">
        <f>+VLOOKUP(Agencia[[#This Row],[contenido]],Estructura!$E$4:$G$500,3,0)</f>
        <v>C-1014</v>
      </c>
      <c r="Z1307" s="93" t="str">
        <f>+VLOOKUP(Agencia[[#This Row],[Filtro Integrado]],Estructura!$I$4:$K$500,3,0)</f>
        <v>FI-993</v>
      </c>
      <c r="AA1307" s="93" t="str">
        <f>+VLOOKUP(Agencia[[#This Row],[Muestra]],Estructura!$M$4:$O$500,3,0)</f>
        <v>M-1084</v>
      </c>
    </row>
    <row r="1308" spans="1:27" ht="72" x14ac:dyDescent="0.3">
      <c r="A1308" s="21" t="s">
        <v>2134</v>
      </c>
      <c r="B1308" s="23">
        <v>990</v>
      </c>
      <c r="C1308" s="24" t="s">
        <v>400</v>
      </c>
      <c r="D1308" s="67" t="s">
        <v>823</v>
      </c>
      <c r="E1308" s="19">
        <v>9</v>
      </c>
      <c r="F1308" s="10" t="s">
        <v>572</v>
      </c>
      <c r="G1308" s="10" t="s">
        <v>2183</v>
      </c>
      <c r="H1308" s="33" t="s">
        <v>16</v>
      </c>
      <c r="I1308" s="34" t="s">
        <v>376</v>
      </c>
      <c r="J1308" s="9" t="s">
        <v>403</v>
      </c>
      <c r="K1308" s="9" t="s">
        <v>9258</v>
      </c>
      <c r="L1308" s="9" t="s">
        <v>2189</v>
      </c>
      <c r="M1308" s="9" t="s">
        <v>864</v>
      </c>
      <c r="N1308" s="9" t="s">
        <v>575</v>
      </c>
      <c r="O1308" s="20" t="s">
        <v>2615</v>
      </c>
      <c r="P1308" s="112" t="s">
        <v>6521</v>
      </c>
      <c r="Q1308" s="11" t="s">
        <v>784</v>
      </c>
      <c r="R1308" s="148" t="str">
        <f>Agencia[[#This Row],[territorio]]&amp;",regional,comercio,exterior,exportación,valor,dólar,dólares,USD,salida,lugar,terminal,puerto,paso,aeropuerto,"&amp;Agencia[[#This Row],[coleccion]]&amp;","&amp;Agencia[[#This Row],[sector]]&amp;","&amp;Agencia[[#This Row],[tema]]&amp;","&amp;Agencia[[#This Row],[contenido]]</f>
        <v>Región de La Araucanía,regional,comercio,exterior,exportación,valor,dólar,dólares,USD,salida,lugar,terminal,puerto,paso,aeropuerto,Agencia Información,Economía,Exportaciones,Comercio Exterior</v>
      </c>
      <c r="S1308" s="37" t="s">
        <v>2616</v>
      </c>
      <c r="T1308" s="114" t="s">
        <v>1865</v>
      </c>
      <c r="U1308" s="46" t="s">
        <v>398</v>
      </c>
      <c r="V1308" s="93" t="str">
        <f>+Agencia[[#This Row],[idcoleccion]]&amp;"-"&amp;Agencia[[#This Row],[id]]</f>
        <v>990-1297</v>
      </c>
      <c r="W1308" s="93">
        <f>+VLOOKUP(Agencia[[#This Row],[Filtro URL]],Estructura!$X$4:$Y$500,2,0)</f>
        <v>99200009</v>
      </c>
      <c r="X1308" s="93" t="str">
        <f>+VLOOKUP(Agencia[[#This Row],[tema]],Estructura!$A$4:$C$500,3,0)</f>
        <v>T-1020</v>
      </c>
      <c r="Y1308" s="93" t="str">
        <f>+VLOOKUP(Agencia[[#This Row],[contenido]],Estructura!$E$4:$G$500,3,0)</f>
        <v>C-1014</v>
      </c>
      <c r="Z1308" s="93" t="str">
        <f>+VLOOKUP(Agencia[[#This Row],[Filtro Integrado]],Estructura!$I$4:$K$500,3,0)</f>
        <v>FI-993</v>
      </c>
      <c r="AA1308" s="93" t="str">
        <f>+VLOOKUP(Agencia[[#This Row],[Muestra]],Estructura!$M$4:$O$500,3,0)</f>
        <v>M-1084</v>
      </c>
    </row>
    <row r="1309" spans="1:27" ht="72" x14ac:dyDescent="0.3">
      <c r="A1309" s="21" t="s">
        <v>2137</v>
      </c>
      <c r="B1309" s="23">
        <v>990</v>
      </c>
      <c r="C1309" s="24" t="s">
        <v>400</v>
      </c>
      <c r="D1309" s="67" t="s">
        <v>823</v>
      </c>
      <c r="E1309" s="19">
        <v>10</v>
      </c>
      <c r="F1309" s="10" t="s">
        <v>572</v>
      </c>
      <c r="G1309" s="10" t="s">
        <v>2183</v>
      </c>
      <c r="H1309" s="33" t="s">
        <v>16</v>
      </c>
      <c r="I1309" s="34" t="s">
        <v>377</v>
      </c>
      <c r="J1309" s="9" t="s">
        <v>403</v>
      </c>
      <c r="K1309" s="9" t="s">
        <v>9258</v>
      </c>
      <c r="L1309" s="9" t="s">
        <v>2189</v>
      </c>
      <c r="M1309" s="9" t="s">
        <v>864</v>
      </c>
      <c r="N1309" s="9" t="s">
        <v>575</v>
      </c>
      <c r="O1309" s="20" t="s">
        <v>2617</v>
      </c>
      <c r="P1309" s="112" t="s">
        <v>6522</v>
      </c>
      <c r="Q1309" s="11" t="s">
        <v>784</v>
      </c>
      <c r="R1309" s="148" t="str">
        <f>Agencia[[#This Row],[territorio]]&amp;",regional,comercio,exterior,exportación,valor,dólar,dólares,USD,salida,lugar,terminal,puerto,paso,aeropuerto,"&amp;Agencia[[#This Row],[coleccion]]&amp;","&amp;Agencia[[#This Row],[sector]]&amp;","&amp;Agencia[[#This Row],[tema]]&amp;","&amp;Agencia[[#This Row],[contenido]]</f>
        <v>Región de Los Lagos,regional,comercio,exterior,exportación,valor,dólar,dólares,USD,salida,lugar,terminal,puerto,paso,aeropuerto,Agencia Información,Economía,Exportaciones,Comercio Exterior</v>
      </c>
      <c r="S1309" s="37" t="s">
        <v>2618</v>
      </c>
      <c r="T1309" s="114" t="s">
        <v>1866</v>
      </c>
      <c r="U1309" s="46" t="s">
        <v>398</v>
      </c>
      <c r="V1309" s="93" t="str">
        <f>+Agencia[[#This Row],[idcoleccion]]&amp;"-"&amp;Agencia[[#This Row],[id]]</f>
        <v>990-1298</v>
      </c>
      <c r="W1309" s="93">
        <f>+VLOOKUP(Agencia[[#This Row],[Filtro URL]],Estructura!$X$4:$Y$500,2,0)</f>
        <v>99200010</v>
      </c>
      <c r="X1309" s="93" t="str">
        <f>+VLOOKUP(Agencia[[#This Row],[tema]],Estructura!$A$4:$C$500,3,0)</f>
        <v>T-1020</v>
      </c>
      <c r="Y1309" s="93" t="str">
        <f>+VLOOKUP(Agencia[[#This Row],[contenido]],Estructura!$E$4:$G$500,3,0)</f>
        <v>C-1014</v>
      </c>
      <c r="Z1309" s="93" t="str">
        <f>+VLOOKUP(Agencia[[#This Row],[Filtro Integrado]],Estructura!$I$4:$K$500,3,0)</f>
        <v>FI-993</v>
      </c>
      <c r="AA1309" s="93" t="str">
        <f>+VLOOKUP(Agencia[[#This Row],[Muestra]],Estructura!$M$4:$O$500,3,0)</f>
        <v>M-1084</v>
      </c>
    </row>
    <row r="1310" spans="1:27" ht="72" x14ac:dyDescent="0.3">
      <c r="A1310" s="21" t="s">
        <v>2138</v>
      </c>
      <c r="B1310" s="23">
        <v>990</v>
      </c>
      <c r="C1310" s="24" t="s">
        <v>400</v>
      </c>
      <c r="D1310" s="67" t="s">
        <v>823</v>
      </c>
      <c r="E1310" s="19">
        <v>11</v>
      </c>
      <c r="F1310" s="10" t="s">
        <v>572</v>
      </c>
      <c r="G1310" s="10" t="s">
        <v>2183</v>
      </c>
      <c r="H1310" s="33" t="s">
        <v>16</v>
      </c>
      <c r="I1310" s="34" t="s">
        <v>378</v>
      </c>
      <c r="J1310" s="9" t="s">
        <v>403</v>
      </c>
      <c r="K1310" s="9" t="s">
        <v>9258</v>
      </c>
      <c r="L1310" s="9" t="s">
        <v>2189</v>
      </c>
      <c r="M1310" s="9" t="s">
        <v>864</v>
      </c>
      <c r="N1310" s="9" t="s">
        <v>575</v>
      </c>
      <c r="O1310" s="20" t="s">
        <v>2619</v>
      </c>
      <c r="P1310" s="112" t="s">
        <v>6523</v>
      </c>
      <c r="Q1310" s="11" t="s">
        <v>784</v>
      </c>
      <c r="R1310" s="148" t="str">
        <f>Agencia[[#This Row],[territorio]]&amp;",regional,comercio,exterior,exportación,valor,dólar,dólares,USD,salida,lugar,terminal,puerto,paso,aeropuerto,"&amp;Agencia[[#This Row],[coleccion]]&amp;","&amp;Agencia[[#This Row],[sector]]&amp;","&amp;Agencia[[#This Row],[tema]]&amp;","&amp;Agencia[[#This Row],[contenido]]</f>
        <v>Región de Aysén,regional,comercio,exterior,exportación,valor,dólar,dólares,USD,salida,lugar,terminal,puerto,paso,aeropuerto,Agencia Información,Economía,Exportaciones,Comercio Exterior</v>
      </c>
      <c r="S1310" s="37" t="s">
        <v>2620</v>
      </c>
      <c r="T1310" s="114" t="s">
        <v>1863</v>
      </c>
      <c r="U1310" s="46" t="s">
        <v>398</v>
      </c>
      <c r="V1310" s="93" t="str">
        <f>+Agencia[[#This Row],[idcoleccion]]&amp;"-"&amp;Agencia[[#This Row],[id]]</f>
        <v>990-1299</v>
      </c>
      <c r="W1310" s="93">
        <f>+VLOOKUP(Agencia[[#This Row],[Filtro URL]],Estructura!$X$4:$Y$500,2,0)</f>
        <v>99200011</v>
      </c>
      <c r="X1310" s="93" t="str">
        <f>+VLOOKUP(Agencia[[#This Row],[tema]],Estructura!$A$4:$C$500,3,0)</f>
        <v>T-1020</v>
      </c>
      <c r="Y1310" s="93" t="str">
        <f>+VLOOKUP(Agencia[[#This Row],[contenido]],Estructura!$E$4:$G$500,3,0)</f>
        <v>C-1014</v>
      </c>
      <c r="Z1310" s="93" t="str">
        <f>+VLOOKUP(Agencia[[#This Row],[Filtro Integrado]],Estructura!$I$4:$K$500,3,0)</f>
        <v>FI-993</v>
      </c>
      <c r="AA1310" s="93" t="str">
        <f>+VLOOKUP(Agencia[[#This Row],[Muestra]],Estructura!$M$4:$O$500,3,0)</f>
        <v>M-1084</v>
      </c>
    </row>
    <row r="1311" spans="1:27" ht="72" x14ac:dyDescent="0.3">
      <c r="A1311" s="21" t="s">
        <v>2139</v>
      </c>
      <c r="B1311" s="23">
        <v>990</v>
      </c>
      <c r="C1311" s="24" t="s">
        <v>400</v>
      </c>
      <c r="D1311" s="67" t="s">
        <v>823</v>
      </c>
      <c r="E1311" s="19">
        <v>12</v>
      </c>
      <c r="F1311" s="10" t="s">
        <v>572</v>
      </c>
      <c r="G1311" s="10" t="s">
        <v>2183</v>
      </c>
      <c r="H1311" s="33" t="s">
        <v>16</v>
      </c>
      <c r="I1311" s="34" t="s">
        <v>379</v>
      </c>
      <c r="J1311" s="9" t="s">
        <v>403</v>
      </c>
      <c r="K1311" s="9" t="s">
        <v>9258</v>
      </c>
      <c r="L1311" s="9" t="s">
        <v>2189</v>
      </c>
      <c r="M1311" s="9" t="s">
        <v>864</v>
      </c>
      <c r="N1311" s="9" t="s">
        <v>575</v>
      </c>
      <c r="O1311" s="20" t="s">
        <v>2621</v>
      </c>
      <c r="P1311" s="112" t="s">
        <v>6524</v>
      </c>
      <c r="Q1311" s="11" t="s">
        <v>784</v>
      </c>
      <c r="R1311" s="148" t="str">
        <f>Agencia[[#This Row],[territorio]]&amp;",regional,comercio,exterior,exportación,valor,dólar,dólares,USD,salida,lugar,terminal,puerto,paso,aeropuerto,"&amp;Agencia[[#This Row],[coleccion]]&amp;","&amp;Agencia[[#This Row],[sector]]&amp;","&amp;Agencia[[#This Row],[tema]]&amp;","&amp;Agencia[[#This Row],[contenido]]</f>
        <v>Región de Magallanes,regional,comercio,exterior,exportación,valor,dólar,dólares,USD,salida,lugar,terminal,puerto,paso,aeropuerto,Agencia Información,Economía,Exportaciones,Comercio Exterior</v>
      </c>
      <c r="S1311" s="37" t="s">
        <v>2622</v>
      </c>
      <c r="T1311" s="114" t="s">
        <v>1868</v>
      </c>
      <c r="U1311" s="46" t="s">
        <v>398</v>
      </c>
      <c r="V1311" s="93" t="str">
        <f>+Agencia[[#This Row],[idcoleccion]]&amp;"-"&amp;Agencia[[#This Row],[id]]</f>
        <v>990-1300</v>
      </c>
      <c r="W1311" s="93">
        <f>+VLOOKUP(Agencia[[#This Row],[Filtro URL]],Estructura!$X$4:$Y$500,2,0)</f>
        <v>99200012</v>
      </c>
      <c r="X1311" s="93" t="str">
        <f>+VLOOKUP(Agencia[[#This Row],[tema]],Estructura!$A$4:$C$500,3,0)</f>
        <v>T-1020</v>
      </c>
      <c r="Y1311" s="93" t="str">
        <f>+VLOOKUP(Agencia[[#This Row],[contenido]],Estructura!$E$4:$G$500,3,0)</f>
        <v>C-1014</v>
      </c>
      <c r="Z1311" s="93" t="str">
        <f>+VLOOKUP(Agencia[[#This Row],[Filtro Integrado]],Estructura!$I$4:$K$500,3,0)</f>
        <v>FI-993</v>
      </c>
      <c r="AA1311" s="93" t="str">
        <f>+VLOOKUP(Agencia[[#This Row],[Muestra]],Estructura!$M$4:$O$500,3,0)</f>
        <v>M-1084</v>
      </c>
    </row>
    <row r="1312" spans="1:27" ht="72" x14ac:dyDescent="0.3">
      <c r="A1312" s="21" t="s">
        <v>2140</v>
      </c>
      <c r="B1312" s="23">
        <v>990</v>
      </c>
      <c r="C1312" s="24" t="s">
        <v>400</v>
      </c>
      <c r="D1312" s="67" t="s">
        <v>823</v>
      </c>
      <c r="E1312" s="19">
        <v>13</v>
      </c>
      <c r="F1312" s="10" t="s">
        <v>572</v>
      </c>
      <c r="G1312" s="10" t="s">
        <v>2183</v>
      </c>
      <c r="H1312" s="33" t="s">
        <v>16</v>
      </c>
      <c r="I1312" s="34" t="s">
        <v>380</v>
      </c>
      <c r="J1312" s="9" t="s">
        <v>403</v>
      </c>
      <c r="K1312" s="9" t="s">
        <v>9258</v>
      </c>
      <c r="L1312" s="9" t="s">
        <v>2189</v>
      </c>
      <c r="M1312" s="9" t="s">
        <v>864</v>
      </c>
      <c r="N1312" s="9" t="s">
        <v>575</v>
      </c>
      <c r="O1312" s="20" t="s">
        <v>2623</v>
      </c>
      <c r="P1312" s="112" t="s">
        <v>6525</v>
      </c>
      <c r="Q1312" s="11" t="s">
        <v>784</v>
      </c>
      <c r="R1312" s="148" t="str">
        <f>Agencia[[#This Row],[territorio]]&amp;",regional,comercio,exterior,exportación,valor,dólar,dólares,USD,salida,lugar,terminal,puerto,paso,aeropuerto,"&amp;Agencia[[#This Row],[coleccion]]&amp;","&amp;Agencia[[#This Row],[sector]]&amp;","&amp;Agencia[[#This Row],[tema]]&amp;","&amp;Agencia[[#This Row],[contenido]]</f>
        <v>Región Metropolitana,regional,comercio,exterior,exportación,valor,dólar,dólares,USD,salida,lugar,terminal,puerto,paso,aeropuerto,Agencia Información,Economía,Exportaciones,Comercio Exterior</v>
      </c>
      <c r="S1312" s="83" t="s">
        <v>2624</v>
      </c>
      <c r="T1312" s="114" t="s">
        <v>1875</v>
      </c>
      <c r="U1312" s="46" t="s">
        <v>398</v>
      </c>
      <c r="V1312" s="93" t="str">
        <f>+Agencia[[#This Row],[idcoleccion]]&amp;"-"&amp;Agencia[[#This Row],[id]]</f>
        <v>990-1301</v>
      </c>
      <c r="W1312" s="93">
        <f>+VLOOKUP(Agencia[[#This Row],[Filtro URL]],Estructura!$X$4:$Y$500,2,0)</f>
        <v>99200013</v>
      </c>
      <c r="X1312" s="93" t="str">
        <f>+VLOOKUP(Agencia[[#This Row],[tema]],Estructura!$A$4:$C$500,3,0)</f>
        <v>T-1020</v>
      </c>
      <c r="Y1312" s="93" t="str">
        <f>+VLOOKUP(Agencia[[#This Row],[contenido]],Estructura!$E$4:$G$500,3,0)</f>
        <v>C-1014</v>
      </c>
      <c r="Z1312" s="93" t="str">
        <f>+VLOOKUP(Agencia[[#This Row],[Filtro Integrado]],Estructura!$I$4:$K$500,3,0)</f>
        <v>FI-993</v>
      </c>
      <c r="AA1312" s="93" t="str">
        <f>+VLOOKUP(Agencia[[#This Row],[Muestra]],Estructura!$M$4:$O$500,3,0)</f>
        <v>M-1084</v>
      </c>
    </row>
    <row r="1313" spans="1:27" ht="72" x14ac:dyDescent="0.3">
      <c r="A1313" s="21" t="s">
        <v>2141</v>
      </c>
      <c r="B1313" s="23">
        <v>990</v>
      </c>
      <c r="C1313" s="24" t="s">
        <v>400</v>
      </c>
      <c r="D1313" s="67" t="s">
        <v>823</v>
      </c>
      <c r="E1313" s="19">
        <v>14</v>
      </c>
      <c r="F1313" s="10" t="s">
        <v>572</v>
      </c>
      <c r="G1313" s="10" t="s">
        <v>2183</v>
      </c>
      <c r="H1313" s="33" t="s">
        <v>16</v>
      </c>
      <c r="I1313" s="34" t="s">
        <v>381</v>
      </c>
      <c r="J1313" s="9" t="s">
        <v>403</v>
      </c>
      <c r="K1313" s="9" t="s">
        <v>9258</v>
      </c>
      <c r="L1313" s="9" t="s">
        <v>2189</v>
      </c>
      <c r="M1313" s="9" t="s">
        <v>864</v>
      </c>
      <c r="N1313" s="9" t="s">
        <v>575</v>
      </c>
      <c r="O1313" s="20" t="s">
        <v>2625</v>
      </c>
      <c r="P1313" s="112" t="s">
        <v>6511</v>
      </c>
      <c r="Q1313" s="11" t="s">
        <v>784</v>
      </c>
      <c r="R1313" s="148" t="str">
        <f>Agencia[[#This Row],[territorio]]&amp;",regional,comercio,exterior,exportación,valor,dólar,dólares,USD,salida,lugar,terminal,puerto,paso,aeropuerto,"&amp;Agencia[[#This Row],[coleccion]]&amp;","&amp;Agencia[[#This Row],[sector]]&amp;","&amp;Agencia[[#This Row],[tema]]&amp;","&amp;Agencia[[#This Row],[contenido]]</f>
        <v>Región de Los Ríos,regional,comercio,exterior,exportación,valor,dólar,dólares,USD,salida,lugar,terminal,puerto,paso,aeropuerto,Agencia Información,Economía,Exportaciones,Comercio Exterior</v>
      </c>
      <c r="S1313" s="83" t="s">
        <v>2626</v>
      </c>
      <c r="T1313" s="114" t="s">
        <v>1867</v>
      </c>
      <c r="U1313" s="46" t="s">
        <v>398</v>
      </c>
      <c r="V1313" s="93" t="str">
        <f>+Agencia[[#This Row],[idcoleccion]]&amp;"-"&amp;Agencia[[#This Row],[id]]</f>
        <v>990-1302</v>
      </c>
      <c r="W1313" s="93">
        <f>+VLOOKUP(Agencia[[#This Row],[Filtro URL]],Estructura!$X$4:$Y$500,2,0)</f>
        <v>99200014</v>
      </c>
      <c r="X1313" s="93" t="str">
        <f>+VLOOKUP(Agencia[[#This Row],[tema]],Estructura!$A$4:$C$500,3,0)</f>
        <v>T-1020</v>
      </c>
      <c r="Y1313" s="93" t="str">
        <f>+VLOOKUP(Agencia[[#This Row],[contenido]],Estructura!$E$4:$G$500,3,0)</f>
        <v>C-1014</v>
      </c>
      <c r="Z1313" s="93" t="str">
        <f>+VLOOKUP(Agencia[[#This Row],[Filtro Integrado]],Estructura!$I$4:$K$500,3,0)</f>
        <v>FI-993</v>
      </c>
      <c r="AA1313" s="93" t="str">
        <f>+VLOOKUP(Agencia[[#This Row],[Muestra]],Estructura!$M$4:$O$500,3,0)</f>
        <v>M-1084</v>
      </c>
    </row>
    <row r="1314" spans="1:27" ht="72" x14ac:dyDescent="0.3">
      <c r="A1314" s="21" t="s">
        <v>2142</v>
      </c>
      <c r="B1314" s="23">
        <v>990</v>
      </c>
      <c r="C1314" s="24" t="s">
        <v>400</v>
      </c>
      <c r="D1314" s="67" t="s">
        <v>823</v>
      </c>
      <c r="E1314" s="19">
        <v>15</v>
      </c>
      <c r="F1314" s="10" t="s">
        <v>572</v>
      </c>
      <c r="G1314" s="10" t="s">
        <v>2183</v>
      </c>
      <c r="H1314" s="33" t="s">
        <v>16</v>
      </c>
      <c r="I1314" s="34" t="s">
        <v>382</v>
      </c>
      <c r="J1314" s="9" t="s">
        <v>403</v>
      </c>
      <c r="K1314" s="9" t="s">
        <v>9258</v>
      </c>
      <c r="L1314" s="9" t="s">
        <v>2189</v>
      </c>
      <c r="M1314" s="9" t="s">
        <v>864</v>
      </c>
      <c r="N1314" s="9" t="s">
        <v>575</v>
      </c>
      <c r="O1314" s="20" t="s">
        <v>2889</v>
      </c>
      <c r="P1314" s="112" t="s">
        <v>6512</v>
      </c>
      <c r="Q1314" s="11" t="s">
        <v>784</v>
      </c>
      <c r="R1314" s="148" t="str">
        <f>Agencia[[#This Row],[territorio]]&amp;",regional,comercio,exterior,exportación,valor,dólar,dólares,USD,salida,lugar,terminal,puerto,paso,aeropuerto,"&amp;Agencia[[#This Row],[coleccion]]&amp;","&amp;Agencia[[#This Row],[sector]]&amp;","&amp;Agencia[[#This Row],[tema]]&amp;","&amp;Agencia[[#This Row],[contenido]]</f>
        <v>Región de Arica y Parinacota,regional,comercio,exterior,exportación,valor,dólar,dólares,USD,salida,lugar,terminal,puerto,paso,aeropuerto,Agencia Información,Economía,Exportaciones,Comercio Exterior</v>
      </c>
      <c r="S1314" s="37" t="s">
        <v>2890</v>
      </c>
      <c r="T1314" s="114" t="s">
        <v>1861</v>
      </c>
      <c r="U1314" s="46" t="s">
        <v>398</v>
      </c>
      <c r="V1314" s="93" t="str">
        <f>+Agencia[[#This Row],[idcoleccion]]&amp;"-"&amp;Agencia[[#This Row],[id]]</f>
        <v>990-1303</v>
      </c>
      <c r="W1314" s="93">
        <f>+VLOOKUP(Agencia[[#This Row],[Filtro URL]],Estructura!$X$4:$Y$500,2,0)</f>
        <v>99200015</v>
      </c>
      <c r="X1314" s="93" t="str">
        <f>+VLOOKUP(Agencia[[#This Row],[tema]],Estructura!$A$4:$C$500,3,0)</f>
        <v>T-1020</v>
      </c>
      <c r="Y1314" s="93" t="str">
        <f>+VLOOKUP(Agencia[[#This Row],[contenido]],Estructura!$E$4:$G$500,3,0)</f>
        <v>C-1014</v>
      </c>
      <c r="Z1314" s="93" t="str">
        <f>+VLOOKUP(Agencia[[#This Row],[Filtro Integrado]],Estructura!$I$4:$K$500,3,0)</f>
        <v>FI-993</v>
      </c>
      <c r="AA1314" s="93" t="str">
        <f>+VLOOKUP(Agencia[[#This Row],[Muestra]],Estructura!$M$4:$O$500,3,0)</f>
        <v>M-1084</v>
      </c>
    </row>
    <row r="1315" spans="1:27" ht="51" x14ac:dyDescent="0.3">
      <c r="A1315" s="21" t="s">
        <v>2143</v>
      </c>
      <c r="B1315" s="23">
        <v>990</v>
      </c>
      <c r="C1315" s="24" t="s">
        <v>400</v>
      </c>
      <c r="D1315" s="67" t="s">
        <v>823</v>
      </c>
      <c r="E1315" s="14">
        <v>0</v>
      </c>
      <c r="F1315" s="10" t="s">
        <v>572</v>
      </c>
      <c r="G1315" s="10" t="s">
        <v>2183</v>
      </c>
      <c r="H1315" s="31" t="s">
        <v>20</v>
      </c>
      <c r="I1315" s="32" t="s">
        <v>15</v>
      </c>
      <c r="J1315" s="9" t="s">
        <v>16</v>
      </c>
      <c r="K1315" s="9" t="s">
        <v>9259</v>
      </c>
      <c r="L1315" s="9" t="s">
        <v>2189</v>
      </c>
      <c r="M1315" s="9" t="s">
        <v>2983</v>
      </c>
      <c r="N1315" s="9" t="s">
        <v>575</v>
      </c>
      <c r="O1315" s="20" t="s">
        <v>2891</v>
      </c>
      <c r="P1315" s="112" t="s">
        <v>6507</v>
      </c>
      <c r="Q1315" s="11" t="s">
        <v>784</v>
      </c>
      <c r="R1315" s="20" t="str">
        <f>Agencia[[#This Row],[territorio]]&amp;",nacional,región,comercio,exterior,exportación,peso,volumen,kilogramo,kg,evolución,"&amp;Agencia[[#This Row],[coleccion]]&amp;","&amp;Agencia[[#This Row],[sector]]&amp;","&amp;Agencia[[#This Row],[tema]]&amp;","&amp;Agencia[[#This Row],[contenido]]</f>
        <v>Chile,nacional,región,comercio,exterior,exportación,peso,volumen,kilogramo,kg,evolución,Agencia Información,Economía,Exportaciones,Comercio Exterior</v>
      </c>
      <c r="S1315" s="37" t="s">
        <v>2229</v>
      </c>
      <c r="T1315" s="114" t="s">
        <v>805</v>
      </c>
      <c r="U1315" s="46" t="s">
        <v>398</v>
      </c>
      <c r="V1315" s="93" t="str">
        <f>+Agencia[[#This Row],[idcoleccion]]&amp;"-"&amp;Agencia[[#This Row],[id]]</f>
        <v>990-1304</v>
      </c>
      <c r="W1315" s="93">
        <f>+VLOOKUP(Agencia[[#This Row],[Filtro URL]],Estructura!$X$4:$Y$500,2,0)</f>
        <v>99100000</v>
      </c>
      <c r="X1315" s="93" t="str">
        <f>+VLOOKUP(Agencia[[#This Row],[tema]],Estructura!$A$4:$C$500,3,0)</f>
        <v>T-1020</v>
      </c>
      <c r="Y1315" s="93" t="str">
        <f>+VLOOKUP(Agencia[[#This Row],[contenido]],Estructura!$E$4:$G$500,3,0)</f>
        <v>C-1014</v>
      </c>
      <c r="Z1315" s="93" t="str">
        <f>+VLOOKUP(Agencia[[#This Row],[Filtro Integrado]],Estructura!$I$4:$K$500,3,0)</f>
        <v>FI-992</v>
      </c>
      <c r="AA1315" s="93" t="str">
        <f>+VLOOKUP(Agencia[[#This Row],[Muestra]],Estructura!$M$4:$O$500,3,0)</f>
        <v>M-1088</v>
      </c>
    </row>
    <row r="1316" spans="1:27" ht="61.2" x14ac:dyDescent="0.3">
      <c r="A1316" s="21" t="s">
        <v>2144</v>
      </c>
      <c r="B1316" s="23">
        <v>990</v>
      </c>
      <c r="C1316" s="24" t="s">
        <v>400</v>
      </c>
      <c r="D1316" s="67" t="s">
        <v>823</v>
      </c>
      <c r="E1316" s="14">
        <v>0</v>
      </c>
      <c r="F1316" s="10" t="s">
        <v>2231</v>
      </c>
      <c r="G1316" s="10" t="s">
        <v>2183</v>
      </c>
      <c r="H1316" s="31" t="s">
        <v>20</v>
      </c>
      <c r="I1316" s="32" t="s">
        <v>15</v>
      </c>
      <c r="J1316" s="9" t="s">
        <v>16</v>
      </c>
      <c r="K1316" s="9" t="s">
        <v>9260</v>
      </c>
      <c r="L1316" s="9" t="s">
        <v>2189</v>
      </c>
      <c r="M1316" s="9" t="s">
        <v>2983</v>
      </c>
      <c r="N1316" s="9" t="s">
        <v>575</v>
      </c>
      <c r="O1316" s="20" t="s">
        <v>2892</v>
      </c>
      <c r="P1316" s="112" t="s">
        <v>2232</v>
      </c>
      <c r="Q1316" s="11" t="s">
        <v>784</v>
      </c>
      <c r="R1316" s="20" t="str">
        <f>Agencia[[#This Row],[territorio]]&amp;",nacional,región,comercio,exterior,exportaciones,importaciones,peso,volumen,kilogramos,kg,evolución,diferencia,exportación,importación,"&amp;Agencia[[#This Row],[coleccion]]&amp;","&amp;Agencia[[#This Row],[sector]]&amp;","&amp;Agencia[[#This Row],[tema]]&amp;","&amp;Agencia[[#This Row],[contenido]]</f>
        <v>Chile,nacional,región,comercio,exterior,exportaciones,importaciones,peso,volumen,kilogramos,kg,evolución,diferencia,exportación,importación,Agencia Información,Economía,Balanza,Comercio Exterior</v>
      </c>
      <c r="S1316" s="37" t="s">
        <v>2233</v>
      </c>
      <c r="T1316" s="114" t="s">
        <v>805</v>
      </c>
      <c r="U1316" s="46" t="s">
        <v>398</v>
      </c>
      <c r="V1316" s="93" t="str">
        <f>+Agencia[[#This Row],[idcoleccion]]&amp;"-"&amp;Agencia[[#This Row],[id]]</f>
        <v>990-1305</v>
      </c>
      <c r="W1316" s="93">
        <f>+VLOOKUP(Agencia[[#This Row],[Filtro URL]],Estructura!$X$4:$Y$500,2,0)</f>
        <v>99100000</v>
      </c>
      <c r="X1316" s="93" t="str">
        <f>+VLOOKUP(Agencia[[#This Row],[tema]],Estructura!$A$4:$C$500,3,0)</f>
        <v>T-1041</v>
      </c>
      <c r="Y1316" s="93" t="str">
        <f>+VLOOKUP(Agencia[[#This Row],[contenido]],Estructura!$E$4:$G$500,3,0)</f>
        <v>C-1014</v>
      </c>
      <c r="Z1316" s="93" t="str">
        <f>+VLOOKUP(Agencia[[#This Row],[Filtro Integrado]],Estructura!$I$4:$K$500,3,0)</f>
        <v>FI-992</v>
      </c>
      <c r="AA1316" s="93" t="str">
        <f>+VLOOKUP(Agencia[[#This Row],[Muestra]],Estructura!$M$4:$O$500,3,0)</f>
        <v>M-1089</v>
      </c>
    </row>
    <row r="1317" spans="1:27" ht="72" x14ac:dyDescent="0.3">
      <c r="A1317" s="21" t="s">
        <v>2145</v>
      </c>
      <c r="B1317" s="23">
        <v>990</v>
      </c>
      <c r="C1317" s="24" t="s">
        <v>400</v>
      </c>
      <c r="D1317" s="67" t="s">
        <v>823</v>
      </c>
      <c r="E1317" s="19">
        <v>1</v>
      </c>
      <c r="F1317" s="10" t="s">
        <v>2231</v>
      </c>
      <c r="G1317" s="10" t="s">
        <v>2183</v>
      </c>
      <c r="H1317" s="33" t="s">
        <v>16</v>
      </c>
      <c r="I1317" s="34" t="s">
        <v>368</v>
      </c>
      <c r="J1317" s="9" t="s">
        <v>403</v>
      </c>
      <c r="K1317" s="9" t="s">
        <v>9260</v>
      </c>
      <c r="L1317" s="9" t="s">
        <v>2189</v>
      </c>
      <c r="M1317" s="9" t="s">
        <v>2983</v>
      </c>
      <c r="N1317" s="9" t="s">
        <v>575</v>
      </c>
      <c r="O1317" s="20" t="s">
        <v>2893</v>
      </c>
      <c r="P1317" s="112" t="s">
        <v>5978</v>
      </c>
      <c r="Q1317" s="11" t="s">
        <v>784</v>
      </c>
      <c r="R1317"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Tarapacá,regional,comercio,exterior,exportaciones,importaciones,peso,volumen,kilogramos,kg,evolución,diferencia,exportación,importación,Agencia Información,Economía,Balanza,Comercio Exterior</v>
      </c>
      <c r="S1317" s="83" t="s">
        <v>2627</v>
      </c>
      <c r="T1317" s="114" t="s">
        <v>1872</v>
      </c>
      <c r="U1317" s="46" t="s">
        <v>398</v>
      </c>
      <c r="V1317" s="93" t="str">
        <f>+Agencia[[#This Row],[idcoleccion]]&amp;"-"&amp;Agencia[[#This Row],[id]]</f>
        <v>990-1306</v>
      </c>
      <c r="W1317" s="93">
        <f>+VLOOKUP(Agencia[[#This Row],[Filtro URL]],Estructura!$X$4:$Y$500,2,0)</f>
        <v>99200001</v>
      </c>
      <c r="X1317" s="93" t="str">
        <f>+VLOOKUP(Agencia[[#This Row],[tema]],Estructura!$A$4:$C$500,3,0)</f>
        <v>T-1041</v>
      </c>
      <c r="Y1317" s="93" t="str">
        <f>+VLOOKUP(Agencia[[#This Row],[contenido]],Estructura!$E$4:$G$500,3,0)</f>
        <v>C-1014</v>
      </c>
      <c r="Z1317" s="93" t="str">
        <f>+VLOOKUP(Agencia[[#This Row],[Filtro Integrado]],Estructura!$I$4:$K$500,3,0)</f>
        <v>FI-993</v>
      </c>
      <c r="AA1317" s="93" t="str">
        <f>+VLOOKUP(Agencia[[#This Row],[Muestra]],Estructura!$M$4:$O$500,3,0)</f>
        <v>M-1089</v>
      </c>
    </row>
    <row r="1318" spans="1:27" ht="72" x14ac:dyDescent="0.3">
      <c r="A1318" s="21" t="s">
        <v>2146</v>
      </c>
      <c r="B1318" s="23">
        <v>990</v>
      </c>
      <c r="C1318" s="24" t="s">
        <v>400</v>
      </c>
      <c r="D1318" s="67" t="s">
        <v>823</v>
      </c>
      <c r="E1318" s="19">
        <v>2</v>
      </c>
      <c r="F1318" s="10" t="s">
        <v>2231</v>
      </c>
      <c r="G1318" s="10" t="s">
        <v>2183</v>
      </c>
      <c r="H1318" s="33" t="s">
        <v>16</v>
      </c>
      <c r="I1318" s="34" t="s">
        <v>369</v>
      </c>
      <c r="J1318" s="9" t="s">
        <v>403</v>
      </c>
      <c r="K1318" s="9" t="s">
        <v>9260</v>
      </c>
      <c r="L1318" s="9" t="s">
        <v>2189</v>
      </c>
      <c r="M1318" s="9" t="s">
        <v>2983</v>
      </c>
      <c r="N1318" s="9" t="s">
        <v>575</v>
      </c>
      <c r="O1318" s="20" t="s">
        <v>2894</v>
      </c>
      <c r="P1318" s="112" t="s">
        <v>5979</v>
      </c>
      <c r="Q1318" s="11" t="s">
        <v>784</v>
      </c>
      <c r="R1318"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Antofagasta,regional,comercio,exterior,exportaciones,importaciones,peso,volumen,kilogramos,kg,evolución,diferencia,exportación,importación,Agencia Información,Economía,Balanza,Comercio Exterior</v>
      </c>
      <c r="S1318" s="37" t="s">
        <v>2628</v>
      </c>
      <c r="T1318" s="114" t="s">
        <v>1860</v>
      </c>
      <c r="U1318" s="46" t="s">
        <v>398</v>
      </c>
      <c r="V1318" s="93" t="str">
        <f>+Agencia[[#This Row],[idcoleccion]]&amp;"-"&amp;Agencia[[#This Row],[id]]</f>
        <v>990-1307</v>
      </c>
      <c r="W1318" s="93">
        <f>+VLOOKUP(Agencia[[#This Row],[Filtro URL]],Estructura!$X$4:$Y$500,2,0)</f>
        <v>99200002</v>
      </c>
      <c r="X1318" s="93" t="str">
        <f>+VLOOKUP(Agencia[[#This Row],[tema]],Estructura!$A$4:$C$500,3,0)</f>
        <v>T-1041</v>
      </c>
      <c r="Y1318" s="93" t="str">
        <f>+VLOOKUP(Agencia[[#This Row],[contenido]],Estructura!$E$4:$G$500,3,0)</f>
        <v>C-1014</v>
      </c>
      <c r="Z1318" s="93" t="str">
        <f>+VLOOKUP(Agencia[[#This Row],[Filtro Integrado]],Estructura!$I$4:$K$500,3,0)</f>
        <v>FI-993</v>
      </c>
      <c r="AA1318" s="93" t="str">
        <f>+VLOOKUP(Agencia[[#This Row],[Muestra]],Estructura!$M$4:$O$500,3,0)</f>
        <v>M-1089</v>
      </c>
    </row>
    <row r="1319" spans="1:27" ht="72" x14ac:dyDescent="0.3">
      <c r="A1319" s="21" t="s">
        <v>2147</v>
      </c>
      <c r="B1319" s="23">
        <v>990</v>
      </c>
      <c r="C1319" s="24" t="s">
        <v>400</v>
      </c>
      <c r="D1319" s="67" t="s">
        <v>823</v>
      </c>
      <c r="E1319" s="19">
        <v>3</v>
      </c>
      <c r="F1319" s="10" t="s">
        <v>2231</v>
      </c>
      <c r="G1319" s="10" t="s">
        <v>2183</v>
      </c>
      <c r="H1319" s="33" t="s">
        <v>16</v>
      </c>
      <c r="I1319" s="34" t="s">
        <v>370</v>
      </c>
      <c r="J1319" s="9" t="s">
        <v>403</v>
      </c>
      <c r="K1319" s="9" t="s">
        <v>9260</v>
      </c>
      <c r="L1319" s="9" t="s">
        <v>2189</v>
      </c>
      <c r="M1319" s="9" t="s">
        <v>2983</v>
      </c>
      <c r="N1319" s="9" t="s">
        <v>575</v>
      </c>
      <c r="O1319" s="20" t="s">
        <v>2895</v>
      </c>
      <c r="P1319" s="112" t="s">
        <v>5980</v>
      </c>
      <c r="Q1319" s="11" t="s">
        <v>784</v>
      </c>
      <c r="R1319"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Atacama,regional,comercio,exterior,exportaciones,importaciones,peso,volumen,kilogramos,kg,evolución,diferencia,exportación,importación,Agencia Información,Economía,Balanza,Comercio Exterior</v>
      </c>
      <c r="S1319" s="37" t="s">
        <v>2629</v>
      </c>
      <c r="T1319" s="114" t="s">
        <v>1862</v>
      </c>
      <c r="U1319" s="46" t="s">
        <v>398</v>
      </c>
      <c r="V1319" s="93" t="str">
        <f>+Agencia[[#This Row],[idcoleccion]]&amp;"-"&amp;Agencia[[#This Row],[id]]</f>
        <v>990-1308</v>
      </c>
      <c r="W1319" s="93">
        <f>+VLOOKUP(Agencia[[#This Row],[Filtro URL]],Estructura!$X$4:$Y$500,2,0)</f>
        <v>99200003</v>
      </c>
      <c r="X1319" s="93" t="str">
        <f>+VLOOKUP(Agencia[[#This Row],[tema]],Estructura!$A$4:$C$500,3,0)</f>
        <v>T-1041</v>
      </c>
      <c r="Y1319" s="93" t="str">
        <f>+VLOOKUP(Agencia[[#This Row],[contenido]],Estructura!$E$4:$G$500,3,0)</f>
        <v>C-1014</v>
      </c>
      <c r="Z1319" s="93" t="str">
        <f>+VLOOKUP(Agencia[[#This Row],[Filtro Integrado]],Estructura!$I$4:$K$500,3,0)</f>
        <v>FI-993</v>
      </c>
      <c r="AA1319" s="93" t="str">
        <f>+VLOOKUP(Agencia[[#This Row],[Muestra]],Estructura!$M$4:$O$500,3,0)</f>
        <v>M-1089</v>
      </c>
    </row>
    <row r="1320" spans="1:27" ht="72" x14ac:dyDescent="0.3">
      <c r="A1320" s="21" t="s">
        <v>2148</v>
      </c>
      <c r="B1320" s="23">
        <v>990</v>
      </c>
      <c r="C1320" s="24" t="s">
        <v>400</v>
      </c>
      <c r="D1320" s="67" t="s">
        <v>823</v>
      </c>
      <c r="E1320" s="19">
        <v>4</v>
      </c>
      <c r="F1320" s="10" t="s">
        <v>2231</v>
      </c>
      <c r="G1320" s="10" t="s">
        <v>2183</v>
      </c>
      <c r="H1320" s="33" t="s">
        <v>16</v>
      </c>
      <c r="I1320" s="34" t="s">
        <v>371</v>
      </c>
      <c r="J1320" s="9" t="s">
        <v>403</v>
      </c>
      <c r="K1320" s="9" t="s">
        <v>9260</v>
      </c>
      <c r="L1320" s="9" t="s">
        <v>2189</v>
      </c>
      <c r="M1320" s="9" t="s">
        <v>2983</v>
      </c>
      <c r="N1320" s="9" t="s">
        <v>575</v>
      </c>
      <c r="O1320" s="20" t="s">
        <v>2896</v>
      </c>
      <c r="P1320" s="112" t="s">
        <v>5981</v>
      </c>
      <c r="Q1320" s="11" t="s">
        <v>784</v>
      </c>
      <c r="R1320"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Coquimbo,regional,comercio,exterior,exportaciones,importaciones,peso,volumen,kilogramos,kg,evolución,diferencia,exportación,importación,Agencia Información,Economía,Balanza,Comercio Exterior</v>
      </c>
      <c r="S1320" s="37" t="s">
        <v>2630</v>
      </c>
      <c r="T1320" s="114" t="s">
        <v>1864</v>
      </c>
      <c r="U1320" s="46" t="s">
        <v>398</v>
      </c>
      <c r="V1320" s="93" t="str">
        <f>+Agencia[[#This Row],[idcoleccion]]&amp;"-"&amp;Agencia[[#This Row],[id]]</f>
        <v>990-1309</v>
      </c>
      <c r="W1320" s="93">
        <f>+VLOOKUP(Agencia[[#This Row],[Filtro URL]],Estructura!$X$4:$Y$500,2,0)</f>
        <v>99200004</v>
      </c>
      <c r="X1320" s="93" t="str">
        <f>+VLOOKUP(Agencia[[#This Row],[tema]],Estructura!$A$4:$C$500,3,0)</f>
        <v>T-1041</v>
      </c>
      <c r="Y1320" s="93" t="str">
        <f>+VLOOKUP(Agencia[[#This Row],[contenido]],Estructura!$E$4:$G$500,3,0)</f>
        <v>C-1014</v>
      </c>
      <c r="Z1320" s="93" t="str">
        <f>+VLOOKUP(Agencia[[#This Row],[Filtro Integrado]],Estructura!$I$4:$K$500,3,0)</f>
        <v>FI-993</v>
      </c>
      <c r="AA1320" s="93" t="str">
        <f>+VLOOKUP(Agencia[[#This Row],[Muestra]],Estructura!$M$4:$O$500,3,0)</f>
        <v>M-1089</v>
      </c>
    </row>
    <row r="1321" spans="1:27" ht="72" x14ac:dyDescent="0.3">
      <c r="A1321" s="21" t="s">
        <v>2149</v>
      </c>
      <c r="B1321" s="23">
        <v>990</v>
      </c>
      <c r="C1321" s="24" t="s">
        <v>400</v>
      </c>
      <c r="D1321" s="67" t="s">
        <v>823</v>
      </c>
      <c r="E1321" s="19">
        <v>5</v>
      </c>
      <c r="F1321" s="10" t="s">
        <v>2231</v>
      </c>
      <c r="G1321" s="10" t="s">
        <v>2183</v>
      </c>
      <c r="H1321" s="33" t="s">
        <v>16</v>
      </c>
      <c r="I1321" s="34" t="s">
        <v>372</v>
      </c>
      <c r="J1321" s="9" t="s">
        <v>403</v>
      </c>
      <c r="K1321" s="9" t="s">
        <v>9260</v>
      </c>
      <c r="L1321" s="9" t="s">
        <v>2189</v>
      </c>
      <c r="M1321" s="9" t="s">
        <v>2983</v>
      </c>
      <c r="N1321" s="9" t="s">
        <v>575</v>
      </c>
      <c r="O1321" s="20" t="s">
        <v>2897</v>
      </c>
      <c r="P1321" s="112" t="s">
        <v>5982</v>
      </c>
      <c r="Q1321" s="11" t="s">
        <v>784</v>
      </c>
      <c r="R1321"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Valparaíso,regional,comercio,exterior,exportaciones,importaciones,peso,volumen,kilogramos,kg,evolución,diferencia,exportación,importación,Agencia Información,Economía,Balanza,Comercio Exterior</v>
      </c>
      <c r="S1321" s="37" t="s">
        <v>2631</v>
      </c>
      <c r="T1321" s="114" t="s">
        <v>1873</v>
      </c>
      <c r="U1321" s="46" t="s">
        <v>398</v>
      </c>
      <c r="V1321" s="93" t="str">
        <f>+Agencia[[#This Row],[idcoleccion]]&amp;"-"&amp;Agencia[[#This Row],[id]]</f>
        <v>990-1310</v>
      </c>
      <c r="W1321" s="93">
        <f>+VLOOKUP(Agencia[[#This Row],[Filtro URL]],Estructura!$X$4:$Y$500,2,0)</f>
        <v>99200005</v>
      </c>
      <c r="X1321" s="93" t="str">
        <f>+VLOOKUP(Agencia[[#This Row],[tema]],Estructura!$A$4:$C$500,3,0)</f>
        <v>T-1041</v>
      </c>
      <c r="Y1321" s="93" t="str">
        <f>+VLOOKUP(Agencia[[#This Row],[contenido]],Estructura!$E$4:$G$500,3,0)</f>
        <v>C-1014</v>
      </c>
      <c r="Z1321" s="93" t="str">
        <f>+VLOOKUP(Agencia[[#This Row],[Filtro Integrado]],Estructura!$I$4:$K$500,3,0)</f>
        <v>FI-993</v>
      </c>
      <c r="AA1321" s="93" t="str">
        <f>+VLOOKUP(Agencia[[#This Row],[Muestra]],Estructura!$M$4:$O$500,3,0)</f>
        <v>M-1089</v>
      </c>
    </row>
    <row r="1322" spans="1:27" ht="72" x14ac:dyDescent="0.3">
      <c r="A1322" s="21" t="s">
        <v>2150</v>
      </c>
      <c r="B1322" s="23">
        <v>990</v>
      </c>
      <c r="C1322" s="24" t="s">
        <v>400</v>
      </c>
      <c r="D1322" s="67" t="s">
        <v>823</v>
      </c>
      <c r="E1322" s="19">
        <v>6</v>
      </c>
      <c r="F1322" s="10" t="s">
        <v>2231</v>
      </c>
      <c r="G1322" s="10" t="s">
        <v>2183</v>
      </c>
      <c r="H1322" s="33" t="s">
        <v>16</v>
      </c>
      <c r="I1322" s="34" t="s">
        <v>373</v>
      </c>
      <c r="J1322" s="9" t="s">
        <v>403</v>
      </c>
      <c r="K1322" s="9" t="s">
        <v>9260</v>
      </c>
      <c r="L1322" s="9" t="s">
        <v>2189</v>
      </c>
      <c r="M1322" s="9" t="s">
        <v>2983</v>
      </c>
      <c r="N1322" s="9" t="s">
        <v>575</v>
      </c>
      <c r="O1322" s="20" t="s">
        <v>2898</v>
      </c>
      <c r="P1322" s="112" t="s">
        <v>5983</v>
      </c>
      <c r="Q1322" s="11" t="s">
        <v>784</v>
      </c>
      <c r="R1322"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O'Higgins,regional,comercio,exterior,exportaciones,importaciones,peso,volumen,kilogramos,kg,evolución,diferencia,exportación,importación,Agencia Información,Economía,Balanza,Comercio Exterior</v>
      </c>
      <c r="S1322" s="37" t="s">
        <v>2632</v>
      </c>
      <c r="T1322" s="114" t="s">
        <v>1871</v>
      </c>
      <c r="U1322" s="46" t="s">
        <v>398</v>
      </c>
      <c r="V1322" s="93" t="str">
        <f>+Agencia[[#This Row],[idcoleccion]]&amp;"-"&amp;Agencia[[#This Row],[id]]</f>
        <v>990-1311</v>
      </c>
      <c r="W1322" s="93">
        <f>+VLOOKUP(Agencia[[#This Row],[Filtro URL]],Estructura!$X$4:$Y$500,2,0)</f>
        <v>99200006</v>
      </c>
      <c r="X1322" s="93" t="str">
        <f>+VLOOKUP(Agencia[[#This Row],[tema]],Estructura!$A$4:$C$500,3,0)</f>
        <v>T-1041</v>
      </c>
      <c r="Y1322" s="93" t="str">
        <f>+VLOOKUP(Agencia[[#This Row],[contenido]],Estructura!$E$4:$G$500,3,0)</f>
        <v>C-1014</v>
      </c>
      <c r="Z1322" s="93" t="str">
        <f>+VLOOKUP(Agencia[[#This Row],[Filtro Integrado]],Estructura!$I$4:$K$500,3,0)</f>
        <v>FI-993</v>
      </c>
      <c r="AA1322" s="93" t="str">
        <f>+VLOOKUP(Agencia[[#This Row],[Muestra]],Estructura!$M$4:$O$500,3,0)</f>
        <v>M-1089</v>
      </c>
    </row>
    <row r="1323" spans="1:27" ht="72" x14ac:dyDescent="0.3">
      <c r="A1323" s="21" t="s">
        <v>2151</v>
      </c>
      <c r="B1323" s="23">
        <v>990</v>
      </c>
      <c r="C1323" s="24" t="s">
        <v>400</v>
      </c>
      <c r="D1323" s="67" t="s">
        <v>823</v>
      </c>
      <c r="E1323" s="19">
        <v>7</v>
      </c>
      <c r="F1323" s="10" t="s">
        <v>2231</v>
      </c>
      <c r="G1323" s="10" t="s">
        <v>2183</v>
      </c>
      <c r="H1323" s="33" t="s">
        <v>16</v>
      </c>
      <c r="I1323" s="34" t="s">
        <v>374</v>
      </c>
      <c r="J1323" s="9" t="s">
        <v>403</v>
      </c>
      <c r="K1323" s="9" t="s">
        <v>9260</v>
      </c>
      <c r="L1323" s="9" t="s">
        <v>2189</v>
      </c>
      <c r="M1323" s="9" t="s">
        <v>2983</v>
      </c>
      <c r="N1323" s="9" t="s">
        <v>575</v>
      </c>
      <c r="O1323" s="20" t="s">
        <v>2899</v>
      </c>
      <c r="P1323" s="112" t="s">
        <v>6526</v>
      </c>
      <c r="Q1323" s="11" t="s">
        <v>784</v>
      </c>
      <c r="R1323"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Maule,regional,comercio,exterior,exportaciones,importaciones,peso,volumen,kilogramos,kg,evolución,diferencia,exportación,importación,Agencia Información,Economía,Balanza,Comercio Exterior</v>
      </c>
      <c r="S1323" s="83" t="s">
        <v>2633</v>
      </c>
      <c r="T1323" s="114" t="s">
        <v>1869</v>
      </c>
      <c r="U1323" s="46" t="s">
        <v>398</v>
      </c>
      <c r="V1323" s="93" t="str">
        <f>+Agencia[[#This Row],[idcoleccion]]&amp;"-"&amp;Agencia[[#This Row],[id]]</f>
        <v>990-1312</v>
      </c>
      <c r="W1323" s="93">
        <f>+VLOOKUP(Agencia[[#This Row],[Filtro URL]],Estructura!$X$4:$Y$500,2,0)</f>
        <v>99200007</v>
      </c>
      <c r="X1323" s="93" t="str">
        <f>+VLOOKUP(Agencia[[#This Row],[tema]],Estructura!$A$4:$C$500,3,0)</f>
        <v>T-1041</v>
      </c>
      <c r="Y1323" s="93" t="str">
        <f>+VLOOKUP(Agencia[[#This Row],[contenido]],Estructura!$E$4:$G$500,3,0)</f>
        <v>C-1014</v>
      </c>
      <c r="Z1323" s="93" t="str">
        <f>+VLOOKUP(Agencia[[#This Row],[Filtro Integrado]],Estructura!$I$4:$K$500,3,0)</f>
        <v>FI-993</v>
      </c>
      <c r="AA1323" s="93" t="str">
        <f>+VLOOKUP(Agencia[[#This Row],[Muestra]],Estructura!$M$4:$O$500,3,0)</f>
        <v>M-1089</v>
      </c>
    </row>
    <row r="1324" spans="1:27" ht="72" x14ac:dyDescent="0.3">
      <c r="A1324" s="21" t="s">
        <v>2152</v>
      </c>
      <c r="B1324" s="23">
        <v>990</v>
      </c>
      <c r="C1324" s="24" t="s">
        <v>400</v>
      </c>
      <c r="D1324" s="67" t="s">
        <v>823</v>
      </c>
      <c r="E1324" s="19">
        <v>8</v>
      </c>
      <c r="F1324" s="10" t="s">
        <v>2231</v>
      </c>
      <c r="G1324" s="10" t="s">
        <v>2183</v>
      </c>
      <c r="H1324" s="33" t="s">
        <v>16</v>
      </c>
      <c r="I1324" s="34" t="s">
        <v>375</v>
      </c>
      <c r="J1324" s="9" t="s">
        <v>403</v>
      </c>
      <c r="K1324" s="9" t="s">
        <v>9260</v>
      </c>
      <c r="L1324" s="9" t="s">
        <v>2189</v>
      </c>
      <c r="M1324" s="9" t="s">
        <v>2983</v>
      </c>
      <c r="N1324" s="9" t="s">
        <v>575</v>
      </c>
      <c r="O1324" s="20" t="s">
        <v>2900</v>
      </c>
      <c r="P1324" s="112" t="s">
        <v>5984</v>
      </c>
      <c r="Q1324" s="11" t="s">
        <v>784</v>
      </c>
      <c r="R1324" s="148" t="str">
        <f>Agencia[[#This Row],[territorio]]&amp;",regional,comercio,exterior,exportaciones,importaciones,peso,volumen,kilogramos,kg,evolución,diferencia,exportación,importación,"&amp;Agencia[[#This Row],[coleccion]]&amp;","&amp;Agencia[[#This Row],[sector]]&amp;","&amp;Agencia[[#This Row],[tema]]&amp;","&amp;Agencia[[#This Row],[contenido]]</f>
        <v>Región del Biobío,regional,comercio,exterior,exportaciones,importaciones,peso,volumen,kilogramos,kg,evolución,diferencia,exportación,importación,Agencia Información,Economía,Balanza,Comercio Exterior</v>
      </c>
      <c r="S1324" s="37" t="s">
        <v>2634</v>
      </c>
      <c r="T1324" s="114" t="s">
        <v>1874</v>
      </c>
      <c r="U1324" s="46" t="s">
        <v>398</v>
      </c>
      <c r="V1324" s="93" t="str">
        <f>+Agencia[[#This Row],[idcoleccion]]&amp;"-"&amp;Agencia[[#This Row],[id]]</f>
        <v>990-1313</v>
      </c>
      <c r="W1324" s="93">
        <f>+VLOOKUP(Agencia[[#This Row],[Filtro URL]],Estructura!$X$4:$Y$500,2,0)</f>
        <v>99200008</v>
      </c>
      <c r="X1324" s="93" t="str">
        <f>+VLOOKUP(Agencia[[#This Row],[tema]],Estructura!$A$4:$C$500,3,0)</f>
        <v>T-1041</v>
      </c>
      <c r="Y1324" s="93" t="str">
        <f>+VLOOKUP(Agencia[[#This Row],[contenido]],Estructura!$E$4:$G$500,3,0)</f>
        <v>C-1014</v>
      </c>
      <c r="Z1324" s="93" t="str">
        <f>+VLOOKUP(Agencia[[#This Row],[Filtro Integrado]],Estructura!$I$4:$K$500,3,0)</f>
        <v>FI-993</v>
      </c>
      <c r="AA1324" s="93" t="str">
        <f>+VLOOKUP(Agencia[[#This Row],[Muestra]],Estructura!$M$4:$O$500,3,0)</f>
        <v>M-1089</v>
      </c>
    </row>
    <row r="1325" spans="1:27" ht="72" x14ac:dyDescent="0.3">
      <c r="A1325" s="21" t="s">
        <v>2153</v>
      </c>
      <c r="B1325" s="23">
        <v>990</v>
      </c>
      <c r="C1325" s="24" t="s">
        <v>400</v>
      </c>
      <c r="D1325" s="67" t="s">
        <v>823</v>
      </c>
      <c r="E1325" s="19">
        <v>9</v>
      </c>
      <c r="F1325" s="10" t="s">
        <v>2231</v>
      </c>
      <c r="G1325" s="10" t="s">
        <v>2183</v>
      </c>
      <c r="H1325" s="33" t="s">
        <v>16</v>
      </c>
      <c r="I1325" s="34" t="s">
        <v>376</v>
      </c>
      <c r="J1325" s="9" t="s">
        <v>403</v>
      </c>
      <c r="K1325" s="9" t="s">
        <v>9260</v>
      </c>
      <c r="L1325" s="9" t="s">
        <v>2189</v>
      </c>
      <c r="M1325" s="9" t="s">
        <v>2983</v>
      </c>
      <c r="N1325" s="9" t="s">
        <v>575</v>
      </c>
      <c r="O1325" s="20" t="s">
        <v>2901</v>
      </c>
      <c r="P1325" s="112" t="s">
        <v>5985</v>
      </c>
      <c r="Q1325" s="11" t="s">
        <v>784</v>
      </c>
      <c r="R1325"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La Araucanía,regional,comercio,exterior,exportaciones,importaciones,peso,volumen,kilogramos,kg,evolución,diferencia,exportación,importación,Agencia Información,Economía,Balanza,Comercio Exterior</v>
      </c>
      <c r="S1325" s="37" t="s">
        <v>2635</v>
      </c>
      <c r="T1325" s="114" t="s">
        <v>1865</v>
      </c>
      <c r="U1325" s="46" t="s">
        <v>398</v>
      </c>
      <c r="V1325" s="93" t="str">
        <f>+Agencia[[#This Row],[idcoleccion]]&amp;"-"&amp;Agencia[[#This Row],[id]]</f>
        <v>990-1314</v>
      </c>
      <c r="W1325" s="93">
        <f>+VLOOKUP(Agencia[[#This Row],[Filtro URL]],Estructura!$X$4:$Y$500,2,0)</f>
        <v>99200009</v>
      </c>
      <c r="X1325" s="93" t="str">
        <f>+VLOOKUP(Agencia[[#This Row],[tema]],Estructura!$A$4:$C$500,3,0)</f>
        <v>T-1041</v>
      </c>
      <c r="Y1325" s="93" t="str">
        <f>+VLOOKUP(Agencia[[#This Row],[contenido]],Estructura!$E$4:$G$500,3,0)</f>
        <v>C-1014</v>
      </c>
      <c r="Z1325" s="93" t="str">
        <f>+VLOOKUP(Agencia[[#This Row],[Filtro Integrado]],Estructura!$I$4:$K$500,3,0)</f>
        <v>FI-993</v>
      </c>
      <c r="AA1325" s="93" t="str">
        <f>+VLOOKUP(Agencia[[#This Row],[Muestra]],Estructura!$M$4:$O$500,3,0)</f>
        <v>M-1089</v>
      </c>
    </row>
    <row r="1326" spans="1:27" ht="72" x14ac:dyDescent="0.3">
      <c r="A1326" s="21" t="s">
        <v>2155</v>
      </c>
      <c r="B1326" s="23">
        <v>990</v>
      </c>
      <c r="C1326" s="24" t="s">
        <v>400</v>
      </c>
      <c r="D1326" s="67" t="s">
        <v>823</v>
      </c>
      <c r="E1326" s="19">
        <v>10</v>
      </c>
      <c r="F1326" s="10" t="s">
        <v>2231</v>
      </c>
      <c r="G1326" s="10" t="s">
        <v>2183</v>
      </c>
      <c r="H1326" s="33" t="s">
        <v>16</v>
      </c>
      <c r="I1326" s="34" t="s">
        <v>377</v>
      </c>
      <c r="J1326" s="9" t="s">
        <v>403</v>
      </c>
      <c r="K1326" s="9" t="s">
        <v>9260</v>
      </c>
      <c r="L1326" s="9" t="s">
        <v>2189</v>
      </c>
      <c r="M1326" s="9" t="s">
        <v>2983</v>
      </c>
      <c r="N1326" s="9" t="s">
        <v>575</v>
      </c>
      <c r="O1326" s="20" t="s">
        <v>2902</v>
      </c>
      <c r="P1326" s="112" t="s">
        <v>5986</v>
      </c>
      <c r="Q1326" s="11" t="s">
        <v>784</v>
      </c>
      <c r="R1326"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Los Lagos,regional,comercio,exterior,exportaciones,importaciones,peso,volumen,kilogramos,kg,evolución,diferencia,exportación,importación,Agencia Información,Economía,Balanza,Comercio Exterior</v>
      </c>
      <c r="S1326" s="37" t="s">
        <v>2636</v>
      </c>
      <c r="T1326" s="114" t="s">
        <v>1866</v>
      </c>
      <c r="U1326" s="46" t="s">
        <v>398</v>
      </c>
      <c r="V1326" s="93" t="str">
        <f>+Agencia[[#This Row],[idcoleccion]]&amp;"-"&amp;Agencia[[#This Row],[id]]</f>
        <v>990-1315</v>
      </c>
      <c r="W1326" s="93">
        <f>+VLOOKUP(Agencia[[#This Row],[Filtro URL]],Estructura!$X$4:$Y$500,2,0)</f>
        <v>99200010</v>
      </c>
      <c r="X1326" s="93" t="str">
        <f>+VLOOKUP(Agencia[[#This Row],[tema]],Estructura!$A$4:$C$500,3,0)</f>
        <v>T-1041</v>
      </c>
      <c r="Y1326" s="93" t="str">
        <f>+VLOOKUP(Agencia[[#This Row],[contenido]],Estructura!$E$4:$G$500,3,0)</f>
        <v>C-1014</v>
      </c>
      <c r="Z1326" s="93" t="str">
        <f>+VLOOKUP(Agencia[[#This Row],[Filtro Integrado]],Estructura!$I$4:$K$500,3,0)</f>
        <v>FI-993</v>
      </c>
      <c r="AA1326" s="93" t="str">
        <f>+VLOOKUP(Agencia[[#This Row],[Muestra]],Estructura!$M$4:$O$500,3,0)</f>
        <v>M-1089</v>
      </c>
    </row>
    <row r="1327" spans="1:27" ht="72" x14ac:dyDescent="0.3">
      <c r="A1327" s="21" t="s">
        <v>2160</v>
      </c>
      <c r="B1327" s="23">
        <v>990</v>
      </c>
      <c r="C1327" s="24" t="s">
        <v>400</v>
      </c>
      <c r="D1327" s="67" t="s">
        <v>823</v>
      </c>
      <c r="E1327" s="19">
        <v>11</v>
      </c>
      <c r="F1327" s="10" t="s">
        <v>2231</v>
      </c>
      <c r="G1327" s="10" t="s">
        <v>2183</v>
      </c>
      <c r="H1327" s="33" t="s">
        <v>16</v>
      </c>
      <c r="I1327" s="34" t="s">
        <v>378</v>
      </c>
      <c r="J1327" s="9" t="s">
        <v>403</v>
      </c>
      <c r="K1327" s="9" t="s">
        <v>9260</v>
      </c>
      <c r="L1327" s="9" t="s">
        <v>2189</v>
      </c>
      <c r="M1327" s="9" t="s">
        <v>2983</v>
      </c>
      <c r="N1327" s="9" t="s">
        <v>575</v>
      </c>
      <c r="O1327" s="20" t="s">
        <v>2903</v>
      </c>
      <c r="P1327" s="112" t="s">
        <v>5987</v>
      </c>
      <c r="Q1327" s="11" t="s">
        <v>784</v>
      </c>
      <c r="R1327"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Aysén,regional,comercio,exterior,exportaciones,importaciones,peso,volumen,kilogramos,kg,evolución,diferencia,exportación,importación,Agencia Información,Economía,Balanza,Comercio Exterior</v>
      </c>
      <c r="S1327" s="37" t="s">
        <v>2637</v>
      </c>
      <c r="T1327" s="114" t="s">
        <v>1863</v>
      </c>
      <c r="U1327" s="46" t="s">
        <v>398</v>
      </c>
      <c r="V1327" s="93" t="str">
        <f>+Agencia[[#This Row],[idcoleccion]]&amp;"-"&amp;Agencia[[#This Row],[id]]</f>
        <v>990-1316</v>
      </c>
      <c r="W1327" s="93">
        <f>+VLOOKUP(Agencia[[#This Row],[Filtro URL]],Estructura!$X$4:$Y$500,2,0)</f>
        <v>99200011</v>
      </c>
      <c r="X1327" s="93" t="str">
        <f>+VLOOKUP(Agencia[[#This Row],[tema]],Estructura!$A$4:$C$500,3,0)</f>
        <v>T-1041</v>
      </c>
      <c r="Y1327" s="93" t="str">
        <f>+VLOOKUP(Agencia[[#This Row],[contenido]],Estructura!$E$4:$G$500,3,0)</f>
        <v>C-1014</v>
      </c>
      <c r="Z1327" s="93" t="str">
        <f>+VLOOKUP(Agencia[[#This Row],[Filtro Integrado]],Estructura!$I$4:$K$500,3,0)</f>
        <v>FI-993</v>
      </c>
      <c r="AA1327" s="93" t="str">
        <f>+VLOOKUP(Agencia[[#This Row],[Muestra]],Estructura!$M$4:$O$500,3,0)</f>
        <v>M-1089</v>
      </c>
    </row>
    <row r="1328" spans="1:27" ht="72" x14ac:dyDescent="0.3">
      <c r="A1328" s="21" t="s">
        <v>2162</v>
      </c>
      <c r="B1328" s="23">
        <v>990</v>
      </c>
      <c r="C1328" s="24" t="s">
        <v>400</v>
      </c>
      <c r="D1328" s="67" t="s">
        <v>823</v>
      </c>
      <c r="E1328" s="19">
        <v>12</v>
      </c>
      <c r="F1328" s="10" t="s">
        <v>2231</v>
      </c>
      <c r="G1328" s="10" t="s">
        <v>2183</v>
      </c>
      <c r="H1328" s="33" t="s">
        <v>16</v>
      </c>
      <c r="I1328" s="34" t="s">
        <v>379</v>
      </c>
      <c r="J1328" s="9" t="s">
        <v>403</v>
      </c>
      <c r="K1328" s="9" t="s">
        <v>9260</v>
      </c>
      <c r="L1328" s="9" t="s">
        <v>2189</v>
      </c>
      <c r="M1328" s="9" t="s">
        <v>2983</v>
      </c>
      <c r="N1328" s="9" t="s">
        <v>575</v>
      </c>
      <c r="O1328" s="20" t="s">
        <v>2904</v>
      </c>
      <c r="P1328" s="112" t="s">
        <v>5988</v>
      </c>
      <c r="Q1328" s="11" t="s">
        <v>784</v>
      </c>
      <c r="R1328"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Magallanes,regional,comercio,exterior,exportaciones,importaciones,peso,volumen,kilogramos,kg,evolución,diferencia,exportación,importación,Agencia Información,Economía,Balanza,Comercio Exterior</v>
      </c>
      <c r="S1328" s="37" t="s">
        <v>2638</v>
      </c>
      <c r="T1328" s="114" t="s">
        <v>1868</v>
      </c>
      <c r="U1328" s="46" t="s">
        <v>398</v>
      </c>
      <c r="V1328" s="93" t="str">
        <f>+Agencia[[#This Row],[idcoleccion]]&amp;"-"&amp;Agencia[[#This Row],[id]]</f>
        <v>990-1317</v>
      </c>
      <c r="W1328" s="93">
        <f>+VLOOKUP(Agencia[[#This Row],[Filtro URL]],Estructura!$X$4:$Y$500,2,0)</f>
        <v>99200012</v>
      </c>
      <c r="X1328" s="93" t="str">
        <f>+VLOOKUP(Agencia[[#This Row],[tema]],Estructura!$A$4:$C$500,3,0)</f>
        <v>T-1041</v>
      </c>
      <c r="Y1328" s="93" t="str">
        <f>+VLOOKUP(Agencia[[#This Row],[contenido]],Estructura!$E$4:$G$500,3,0)</f>
        <v>C-1014</v>
      </c>
      <c r="Z1328" s="93" t="str">
        <f>+VLOOKUP(Agencia[[#This Row],[Filtro Integrado]],Estructura!$I$4:$K$500,3,0)</f>
        <v>FI-993</v>
      </c>
      <c r="AA1328" s="93" t="str">
        <f>+VLOOKUP(Agencia[[#This Row],[Muestra]],Estructura!$M$4:$O$500,3,0)</f>
        <v>M-1089</v>
      </c>
    </row>
    <row r="1329" spans="1:27" ht="72" x14ac:dyDescent="0.3">
      <c r="A1329" s="21" t="s">
        <v>2164</v>
      </c>
      <c r="B1329" s="23">
        <v>990</v>
      </c>
      <c r="C1329" s="24" t="s">
        <v>400</v>
      </c>
      <c r="D1329" s="67" t="s">
        <v>823</v>
      </c>
      <c r="E1329" s="19">
        <v>13</v>
      </c>
      <c r="F1329" s="10" t="s">
        <v>2231</v>
      </c>
      <c r="G1329" s="10" t="s">
        <v>2183</v>
      </c>
      <c r="H1329" s="33" t="s">
        <v>16</v>
      </c>
      <c r="I1329" s="34" t="s">
        <v>380</v>
      </c>
      <c r="J1329" s="9" t="s">
        <v>403</v>
      </c>
      <c r="K1329" s="9" t="s">
        <v>9260</v>
      </c>
      <c r="L1329" s="9" t="s">
        <v>2189</v>
      </c>
      <c r="M1329" s="9" t="s">
        <v>2983</v>
      </c>
      <c r="N1329" s="9" t="s">
        <v>575</v>
      </c>
      <c r="O1329" s="20" t="s">
        <v>2905</v>
      </c>
      <c r="P1329" s="112" t="s">
        <v>5989</v>
      </c>
      <c r="Q1329" s="11" t="s">
        <v>784</v>
      </c>
      <c r="R1329" s="148" t="str">
        <f>Agencia[[#This Row],[territorio]]&amp;",regional,comercio,exterior,exportaciones,importaciones,peso,volumen,kilogramos,kg,evolución,diferencia,exportación,importación,"&amp;Agencia[[#This Row],[coleccion]]&amp;","&amp;Agencia[[#This Row],[sector]]&amp;","&amp;Agencia[[#This Row],[tema]]&amp;","&amp;Agencia[[#This Row],[contenido]]</f>
        <v>Región Metropolitana,regional,comercio,exterior,exportaciones,importaciones,peso,volumen,kilogramos,kg,evolución,diferencia,exportación,importación,Agencia Información,Economía,Balanza,Comercio Exterior</v>
      </c>
      <c r="S1329" s="83" t="s">
        <v>2639</v>
      </c>
      <c r="T1329" s="114" t="s">
        <v>1875</v>
      </c>
      <c r="U1329" s="46" t="s">
        <v>398</v>
      </c>
      <c r="V1329" s="93" t="str">
        <f>+Agencia[[#This Row],[idcoleccion]]&amp;"-"&amp;Agencia[[#This Row],[id]]</f>
        <v>990-1318</v>
      </c>
      <c r="W1329" s="93">
        <f>+VLOOKUP(Agencia[[#This Row],[Filtro URL]],Estructura!$X$4:$Y$500,2,0)</f>
        <v>99200013</v>
      </c>
      <c r="X1329" s="93" t="str">
        <f>+VLOOKUP(Agencia[[#This Row],[tema]],Estructura!$A$4:$C$500,3,0)</f>
        <v>T-1041</v>
      </c>
      <c r="Y1329" s="93" t="str">
        <f>+VLOOKUP(Agencia[[#This Row],[contenido]],Estructura!$E$4:$G$500,3,0)</f>
        <v>C-1014</v>
      </c>
      <c r="Z1329" s="93" t="str">
        <f>+VLOOKUP(Agencia[[#This Row],[Filtro Integrado]],Estructura!$I$4:$K$500,3,0)</f>
        <v>FI-993</v>
      </c>
      <c r="AA1329" s="93" t="str">
        <f>+VLOOKUP(Agencia[[#This Row],[Muestra]],Estructura!$M$4:$O$500,3,0)</f>
        <v>M-1089</v>
      </c>
    </row>
    <row r="1330" spans="1:27" ht="72" x14ac:dyDescent="0.3">
      <c r="A1330" s="21" t="s">
        <v>2165</v>
      </c>
      <c r="B1330" s="23">
        <v>990</v>
      </c>
      <c r="C1330" s="24" t="s">
        <v>400</v>
      </c>
      <c r="D1330" s="67" t="s">
        <v>823</v>
      </c>
      <c r="E1330" s="19">
        <v>14</v>
      </c>
      <c r="F1330" s="10" t="s">
        <v>2231</v>
      </c>
      <c r="G1330" s="10" t="s">
        <v>2183</v>
      </c>
      <c r="H1330" s="33" t="s">
        <v>16</v>
      </c>
      <c r="I1330" s="34" t="s">
        <v>381</v>
      </c>
      <c r="J1330" s="9" t="s">
        <v>403</v>
      </c>
      <c r="K1330" s="9" t="s">
        <v>9260</v>
      </c>
      <c r="L1330" s="9" t="s">
        <v>2189</v>
      </c>
      <c r="M1330" s="9" t="s">
        <v>2983</v>
      </c>
      <c r="N1330" s="9" t="s">
        <v>575</v>
      </c>
      <c r="O1330" s="20" t="s">
        <v>2906</v>
      </c>
      <c r="P1330" s="112" t="s">
        <v>5990</v>
      </c>
      <c r="Q1330" s="11" t="s">
        <v>784</v>
      </c>
      <c r="R1330"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Los Ríos,regional,comercio,exterior,exportaciones,importaciones,peso,volumen,kilogramos,kg,evolución,diferencia,exportación,importación,Agencia Información,Economía,Balanza,Comercio Exterior</v>
      </c>
      <c r="S1330" s="83" t="s">
        <v>2640</v>
      </c>
      <c r="T1330" s="114" t="s">
        <v>1867</v>
      </c>
      <c r="U1330" s="46" t="s">
        <v>398</v>
      </c>
      <c r="V1330" s="93" t="str">
        <f>+Agencia[[#This Row],[idcoleccion]]&amp;"-"&amp;Agencia[[#This Row],[id]]</f>
        <v>990-1319</v>
      </c>
      <c r="W1330" s="93">
        <f>+VLOOKUP(Agencia[[#This Row],[Filtro URL]],Estructura!$X$4:$Y$500,2,0)</f>
        <v>99200014</v>
      </c>
      <c r="X1330" s="93" t="str">
        <f>+VLOOKUP(Agencia[[#This Row],[tema]],Estructura!$A$4:$C$500,3,0)</f>
        <v>T-1041</v>
      </c>
      <c r="Y1330" s="93" t="str">
        <f>+VLOOKUP(Agencia[[#This Row],[contenido]],Estructura!$E$4:$G$500,3,0)</f>
        <v>C-1014</v>
      </c>
      <c r="Z1330" s="93" t="str">
        <f>+VLOOKUP(Agencia[[#This Row],[Filtro Integrado]],Estructura!$I$4:$K$500,3,0)</f>
        <v>FI-993</v>
      </c>
      <c r="AA1330" s="93" t="str">
        <f>+VLOOKUP(Agencia[[#This Row],[Muestra]],Estructura!$M$4:$O$500,3,0)</f>
        <v>M-1089</v>
      </c>
    </row>
    <row r="1331" spans="1:27" ht="72" x14ac:dyDescent="0.3">
      <c r="A1331" s="21" t="s">
        <v>2166</v>
      </c>
      <c r="B1331" s="23">
        <v>990</v>
      </c>
      <c r="C1331" s="24" t="s">
        <v>400</v>
      </c>
      <c r="D1331" s="67" t="s">
        <v>823</v>
      </c>
      <c r="E1331" s="19">
        <v>15</v>
      </c>
      <c r="F1331" s="10" t="s">
        <v>2231</v>
      </c>
      <c r="G1331" s="10" t="s">
        <v>2183</v>
      </c>
      <c r="H1331" s="33" t="s">
        <v>16</v>
      </c>
      <c r="I1331" s="34" t="s">
        <v>382</v>
      </c>
      <c r="J1331" s="9" t="s">
        <v>403</v>
      </c>
      <c r="K1331" s="9" t="s">
        <v>9260</v>
      </c>
      <c r="L1331" s="9" t="s">
        <v>2189</v>
      </c>
      <c r="M1331" s="9" t="s">
        <v>2983</v>
      </c>
      <c r="N1331" s="9" t="s">
        <v>575</v>
      </c>
      <c r="O1331" s="20" t="s">
        <v>2907</v>
      </c>
      <c r="P1331" s="112" t="s">
        <v>5991</v>
      </c>
      <c r="Q1331" s="11" t="s">
        <v>784</v>
      </c>
      <c r="R1331" s="148" t="str">
        <f>Agencia[[#This Row],[territorio]]&amp;",regional,comercio,exterior,exportaciones,importaciones,peso,volumen,kilogramos,kg,evolución,diferencia,exportación,importación,"&amp;Agencia[[#This Row],[coleccion]]&amp;","&amp;Agencia[[#This Row],[sector]]&amp;","&amp;Agencia[[#This Row],[tema]]&amp;","&amp;Agencia[[#This Row],[contenido]]</f>
        <v>Región de Arica y Parinacota,regional,comercio,exterior,exportaciones,importaciones,peso,volumen,kilogramos,kg,evolución,diferencia,exportación,importación,Agencia Información,Economía,Balanza,Comercio Exterior</v>
      </c>
      <c r="S1331" s="83" t="s">
        <v>2641</v>
      </c>
      <c r="T1331" s="114" t="s">
        <v>1861</v>
      </c>
      <c r="U1331" s="46" t="s">
        <v>398</v>
      </c>
      <c r="V1331" s="93" t="str">
        <f>+Agencia[[#This Row],[idcoleccion]]&amp;"-"&amp;Agencia[[#This Row],[id]]</f>
        <v>990-1320</v>
      </c>
      <c r="W1331" s="93">
        <f>+VLOOKUP(Agencia[[#This Row],[Filtro URL]],Estructura!$X$4:$Y$500,2,0)</f>
        <v>99200015</v>
      </c>
      <c r="X1331" s="93" t="str">
        <f>+VLOOKUP(Agencia[[#This Row],[tema]],Estructura!$A$4:$C$500,3,0)</f>
        <v>T-1041</v>
      </c>
      <c r="Y1331" s="93" t="str">
        <f>+VLOOKUP(Agencia[[#This Row],[contenido]],Estructura!$E$4:$G$500,3,0)</f>
        <v>C-1014</v>
      </c>
      <c r="Z1331" s="93" t="str">
        <f>+VLOOKUP(Agencia[[#This Row],[Filtro Integrado]],Estructura!$I$4:$K$500,3,0)</f>
        <v>FI-993</v>
      </c>
      <c r="AA1331" s="93" t="str">
        <f>+VLOOKUP(Agencia[[#This Row],[Muestra]],Estructura!$M$4:$O$500,3,0)</f>
        <v>M-1089</v>
      </c>
    </row>
    <row r="1332" spans="1:27" ht="51" x14ac:dyDescent="0.3">
      <c r="A1332" s="21" t="s">
        <v>2167</v>
      </c>
      <c r="B1332" s="23">
        <v>990</v>
      </c>
      <c r="C1332" s="24" t="s">
        <v>400</v>
      </c>
      <c r="D1332" s="67" t="s">
        <v>2250</v>
      </c>
      <c r="E1332" s="14">
        <v>0</v>
      </c>
      <c r="F1332" s="10" t="s">
        <v>2251</v>
      </c>
      <c r="G1332" s="10" t="s">
        <v>1909</v>
      </c>
      <c r="H1332" s="31" t="s">
        <v>20</v>
      </c>
      <c r="I1332" s="32" t="s">
        <v>15</v>
      </c>
      <c r="J1332" s="9" t="s">
        <v>956</v>
      </c>
      <c r="K1332" s="9" t="s">
        <v>2251</v>
      </c>
      <c r="L1332" s="9" t="s">
        <v>457</v>
      </c>
      <c r="M1332" s="9" t="s">
        <v>2252</v>
      </c>
      <c r="N1332" s="9" t="s">
        <v>428</v>
      </c>
      <c r="O1332" s="20" t="s">
        <v>2908</v>
      </c>
      <c r="P1332" s="76" t="s">
        <v>7114</v>
      </c>
      <c r="Q1332" s="11" t="s">
        <v>1934</v>
      </c>
      <c r="R1332" s="20" t="str">
        <f>Agencia[[#This Row],[territorio]]&amp;",nacional,región,comuna,parques,urbanos,gestión,municipal,territorial,gobierno,regional,municipal,municipalidad,"&amp;Agencia[[#This Row],[coleccion]]&amp;","&amp;Agencia[[#This Row],[sector]]&amp;","&amp;Agencia[[#This Row],[tema]]&amp;","&amp;Agencia[[#This Row],[contenido]]</f>
        <v>Chile,nacional,región,comuna,parques,urbanos,gestión,municipal,territorial,gobierno,regional,municipal,municipalidad,Agencia Información,Gobiernos Locales,Parques Urbanos,Gestión Municipal Territorial</v>
      </c>
      <c r="S1332" s="37" t="s">
        <v>2253</v>
      </c>
      <c r="T1332" s="114" t="s">
        <v>957</v>
      </c>
      <c r="U1332" s="46" t="s">
        <v>398</v>
      </c>
      <c r="V1332" s="93" t="str">
        <f>+Agencia[[#This Row],[idcoleccion]]&amp;"-"&amp;Agencia[[#This Row],[id]]</f>
        <v>990-1321</v>
      </c>
      <c r="W1332" s="93">
        <f>+VLOOKUP(Agencia[[#This Row],[Filtro URL]],Estructura!$X$4:$Y$500,2,0)</f>
        <v>99100000</v>
      </c>
      <c r="X1332" s="93" t="str">
        <f>+VLOOKUP(Agencia[[#This Row],[tema]],Estructura!$A$4:$C$500,3,0)</f>
        <v>T-1042</v>
      </c>
      <c r="Y1332" s="93" t="str">
        <f>+VLOOKUP(Agencia[[#This Row],[contenido]],Estructura!$E$4:$G$500,3,0)</f>
        <v>C-1015</v>
      </c>
      <c r="Z1332" s="93" t="str">
        <f>+VLOOKUP(Agencia[[#This Row],[Filtro Integrado]],Estructura!$I$4:$K$500,3,0)</f>
        <v>FI-994</v>
      </c>
      <c r="AA1332" s="93" t="str">
        <f>+VLOOKUP(Agencia[[#This Row],[Muestra]],Estructura!$M$4:$O$500,3,0)</f>
        <v>M-1090</v>
      </c>
    </row>
    <row r="1333" spans="1:27" ht="68.400000000000006" customHeight="1" x14ac:dyDescent="0.3">
      <c r="A1333" s="21" t="s">
        <v>2168</v>
      </c>
      <c r="B1333" s="23">
        <v>990</v>
      </c>
      <c r="C1333" s="24" t="s">
        <v>400</v>
      </c>
      <c r="D1333" s="67" t="s">
        <v>2250</v>
      </c>
      <c r="E1333" s="19">
        <v>1</v>
      </c>
      <c r="F1333" s="10" t="s">
        <v>2251</v>
      </c>
      <c r="G1333" s="10" t="s">
        <v>1909</v>
      </c>
      <c r="H1333" s="33" t="s">
        <v>16</v>
      </c>
      <c r="I1333" s="34" t="s">
        <v>368</v>
      </c>
      <c r="J1333" s="9" t="s">
        <v>18</v>
      </c>
      <c r="K1333" s="142" t="s">
        <v>2251</v>
      </c>
      <c r="L1333" s="9" t="s">
        <v>457</v>
      </c>
      <c r="M1333" s="9" t="s">
        <v>2252</v>
      </c>
      <c r="N1333" s="9" t="s">
        <v>428</v>
      </c>
      <c r="O1333" s="20" t="s">
        <v>2642</v>
      </c>
      <c r="P1333" s="76" t="s">
        <v>7115</v>
      </c>
      <c r="Q1333" s="11" t="s">
        <v>1934</v>
      </c>
      <c r="R1333" s="148" t="str">
        <f>Agencia[[#This Row],[territorio]]&amp;",regional,comuna,parques,urbanos,gestión,municipal,territorial,gobierno,regional,municipal,municipalidad,"&amp;Agencia[[#This Row],[coleccion]]&amp;","&amp;Agencia[[#This Row],[sector]]&amp;","&amp;Agencia[[#This Row],[tema]]&amp;","&amp;Agencia[[#This Row],[contenido]]</f>
        <v>Región de Tarapacá,regional,comuna,parques,urbanos,gestión,municipal,territorial,gobierno,regional,municipal,municipalidad,Agencia Información,Gobiernos Locales,Parques Urbanos,Gestión Municipal Territorial</v>
      </c>
      <c r="S1333" s="83" t="s">
        <v>2643</v>
      </c>
      <c r="T1333" s="114" t="s">
        <v>1856</v>
      </c>
      <c r="U1333" s="46" t="s">
        <v>398</v>
      </c>
      <c r="V1333" s="93" t="str">
        <f>+Agencia[[#This Row],[idcoleccion]]&amp;"-"&amp;Agencia[[#This Row],[id]]</f>
        <v>990-1322</v>
      </c>
      <c r="W1333" s="93">
        <f>+VLOOKUP(Agencia[[#This Row],[Filtro URL]],Estructura!$X$4:$Y$500,2,0)</f>
        <v>99200001</v>
      </c>
      <c r="X1333" s="93" t="str">
        <f>+VLOOKUP(Agencia[[#This Row],[tema]],Estructura!$A$4:$C$500,3,0)</f>
        <v>T-1042</v>
      </c>
      <c r="Y1333" s="93" t="str">
        <f>+VLOOKUP(Agencia[[#This Row],[contenido]],Estructura!$E$4:$G$500,3,0)</f>
        <v>C-1015</v>
      </c>
      <c r="Z1333" s="93" t="str">
        <f>+VLOOKUP(Agencia[[#This Row],[Filtro Integrado]],Estructura!$I$4:$K$500,3,0)</f>
        <v>FI-991</v>
      </c>
      <c r="AA1333" s="93" t="str">
        <f>+VLOOKUP(Agencia[[#This Row],[Muestra]],Estructura!$M$4:$O$500,3,0)</f>
        <v>M-1090</v>
      </c>
    </row>
    <row r="1334" spans="1:27" ht="61.2" x14ac:dyDescent="0.3">
      <c r="A1334" s="21" t="s">
        <v>2169</v>
      </c>
      <c r="B1334" s="23">
        <v>990</v>
      </c>
      <c r="C1334" s="24" t="s">
        <v>400</v>
      </c>
      <c r="D1334" s="67" t="s">
        <v>2250</v>
      </c>
      <c r="E1334" s="19">
        <v>2</v>
      </c>
      <c r="F1334" s="10" t="s">
        <v>2251</v>
      </c>
      <c r="G1334" s="10" t="s">
        <v>1909</v>
      </c>
      <c r="H1334" s="33" t="s">
        <v>16</v>
      </c>
      <c r="I1334" s="34" t="s">
        <v>369</v>
      </c>
      <c r="J1334" s="9" t="s">
        <v>18</v>
      </c>
      <c r="K1334" s="142" t="s">
        <v>2251</v>
      </c>
      <c r="L1334" s="9" t="s">
        <v>457</v>
      </c>
      <c r="M1334" s="9" t="s">
        <v>2252</v>
      </c>
      <c r="N1334" s="9" t="s">
        <v>428</v>
      </c>
      <c r="O1334" s="20" t="s">
        <v>2644</v>
      </c>
      <c r="P1334" s="76" t="s">
        <v>7116</v>
      </c>
      <c r="Q1334" s="11" t="s">
        <v>1934</v>
      </c>
      <c r="R1334" s="148" t="str">
        <f>Agencia[[#This Row],[territorio]]&amp;",regional,comuna,parques,urbanos,gestión,municipal,territorial,gobierno,regional,municipal,municipalidad,"&amp;Agencia[[#This Row],[coleccion]]&amp;","&amp;Agencia[[#This Row],[sector]]&amp;","&amp;Agencia[[#This Row],[tema]]&amp;","&amp;Agencia[[#This Row],[contenido]]</f>
        <v>Región de Antofagasta,regional,comuna,parques,urbanos,gestión,municipal,territorial,gobierno,regional,municipal,municipalidad,Agencia Información,Gobiernos Locales,Parques Urbanos,Gestión Municipal Territorial</v>
      </c>
      <c r="S1334" s="37" t="s">
        <v>2645</v>
      </c>
      <c r="T1334" s="114" t="s">
        <v>1844</v>
      </c>
      <c r="U1334" s="46" t="s">
        <v>398</v>
      </c>
      <c r="V1334" s="93" t="str">
        <f>+Agencia[[#This Row],[idcoleccion]]&amp;"-"&amp;Agencia[[#This Row],[id]]</f>
        <v>990-1323</v>
      </c>
      <c r="W1334" s="93">
        <f>+VLOOKUP(Agencia[[#This Row],[Filtro URL]],Estructura!$X$4:$Y$500,2,0)</f>
        <v>99200002</v>
      </c>
      <c r="X1334" s="93" t="str">
        <f>+VLOOKUP(Agencia[[#This Row],[tema]],Estructura!$A$4:$C$500,3,0)</f>
        <v>T-1042</v>
      </c>
      <c r="Y1334" s="93" t="str">
        <f>+VLOOKUP(Agencia[[#This Row],[contenido]],Estructura!$E$4:$G$500,3,0)</f>
        <v>C-1015</v>
      </c>
      <c r="Z1334" s="93" t="str">
        <f>+VLOOKUP(Agencia[[#This Row],[Filtro Integrado]],Estructura!$I$4:$K$500,3,0)</f>
        <v>FI-991</v>
      </c>
      <c r="AA1334" s="93" t="str">
        <f>+VLOOKUP(Agencia[[#This Row],[Muestra]],Estructura!$M$4:$O$500,3,0)</f>
        <v>M-1090</v>
      </c>
    </row>
    <row r="1335" spans="1:27" ht="61.2" x14ac:dyDescent="0.3">
      <c r="A1335" s="21" t="s">
        <v>2170</v>
      </c>
      <c r="B1335" s="23">
        <v>990</v>
      </c>
      <c r="C1335" s="24" t="s">
        <v>400</v>
      </c>
      <c r="D1335" s="67" t="s">
        <v>2250</v>
      </c>
      <c r="E1335" s="19">
        <v>3</v>
      </c>
      <c r="F1335" s="10" t="s">
        <v>2251</v>
      </c>
      <c r="G1335" s="10" t="s">
        <v>1909</v>
      </c>
      <c r="H1335" s="33" t="s">
        <v>16</v>
      </c>
      <c r="I1335" s="34" t="s">
        <v>370</v>
      </c>
      <c r="J1335" s="9" t="s">
        <v>18</v>
      </c>
      <c r="K1335" s="142" t="s">
        <v>2251</v>
      </c>
      <c r="L1335" s="9" t="s">
        <v>457</v>
      </c>
      <c r="M1335" s="9" t="s">
        <v>2252</v>
      </c>
      <c r="N1335" s="9" t="s">
        <v>428</v>
      </c>
      <c r="O1335" s="20" t="s">
        <v>2646</v>
      </c>
      <c r="P1335" s="76" t="s">
        <v>7117</v>
      </c>
      <c r="Q1335" s="11" t="s">
        <v>1934</v>
      </c>
      <c r="R1335" s="148" t="str">
        <f>Agencia[[#This Row],[territorio]]&amp;",regional,comuna,parques,urbanos,gestión,municipal,territorial,gobierno,regional,municipal,municipalidad,"&amp;Agencia[[#This Row],[coleccion]]&amp;","&amp;Agencia[[#This Row],[sector]]&amp;","&amp;Agencia[[#This Row],[tema]]&amp;","&amp;Agencia[[#This Row],[contenido]]</f>
        <v>Región de Atacama,regional,comuna,parques,urbanos,gestión,municipal,territorial,gobierno,regional,municipal,municipalidad,Agencia Información,Gobiernos Locales,Parques Urbanos,Gestión Municipal Territorial</v>
      </c>
      <c r="S1335" s="37" t="s">
        <v>2647</v>
      </c>
      <c r="T1335" s="114" t="s">
        <v>1846</v>
      </c>
      <c r="U1335" s="46" t="s">
        <v>398</v>
      </c>
      <c r="V1335" s="93" t="str">
        <f>+Agencia[[#This Row],[idcoleccion]]&amp;"-"&amp;Agencia[[#This Row],[id]]</f>
        <v>990-1324</v>
      </c>
      <c r="W1335" s="93">
        <f>+VLOOKUP(Agencia[[#This Row],[Filtro URL]],Estructura!$X$4:$Y$500,2,0)</f>
        <v>99200003</v>
      </c>
      <c r="X1335" s="93" t="str">
        <f>+VLOOKUP(Agencia[[#This Row],[tema]],Estructura!$A$4:$C$500,3,0)</f>
        <v>T-1042</v>
      </c>
      <c r="Y1335" s="93" t="str">
        <f>+VLOOKUP(Agencia[[#This Row],[contenido]],Estructura!$E$4:$G$500,3,0)</f>
        <v>C-1015</v>
      </c>
      <c r="Z1335" s="93" t="str">
        <f>+VLOOKUP(Agencia[[#This Row],[Filtro Integrado]],Estructura!$I$4:$K$500,3,0)</f>
        <v>FI-991</v>
      </c>
      <c r="AA1335" s="93" t="str">
        <f>+VLOOKUP(Agencia[[#This Row],[Muestra]],Estructura!$M$4:$O$500,3,0)</f>
        <v>M-1090</v>
      </c>
    </row>
    <row r="1336" spans="1:27" ht="61.2" x14ac:dyDescent="0.3">
      <c r="A1336" s="21" t="s">
        <v>2171</v>
      </c>
      <c r="B1336" s="23">
        <v>990</v>
      </c>
      <c r="C1336" s="24" t="s">
        <v>400</v>
      </c>
      <c r="D1336" s="67" t="s">
        <v>2250</v>
      </c>
      <c r="E1336" s="19">
        <v>4</v>
      </c>
      <c r="F1336" s="10" t="s">
        <v>2251</v>
      </c>
      <c r="G1336" s="10" t="s">
        <v>1909</v>
      </c>
      <c r="H1336" s="33" t="s">
        <v>16</v>
      </c>
      <c r="I1336" s="34" t="s">
        <v>371</v>
      </c>
      <c r="J1336" s="9" t="s">
        <v>18</v>
      </c>
      <c r="K1336" s="142" t="s">
        <v>2251</v>
      </c>
      <c r="L1336" s="9" t="s">
        <v>457</v>
      </c>
      <c r="M1336" s="9" t="s">
        <v>2252</v>
      </c>
      <c r="N1336" s="9" t="s">
        <v>428</v>
      </c>
      <c r="O1336" s="20" t="s">
        <v>2648</v>
      </c>
      <c r="P1336" s="76" t="s">
        <v>7118</v>
      </c>
      <c r="Q1336" s="11" t="s">
        <v>1934</v>
      </c>
      <c r="R1336" s="148" t="str">
        <f>Agencia[[#This Row],[territorio]]&amp;",regional,comuna,parques,urbanos,gestión,municipal,territorial,gobierno,regional,municipal,municipalidad,"&amp;Agencia[[#This Row],[coleccion]]&amp;","&amp;Agencia[[#This Row],[sector]]&amp;","&amp;Agencia[[#This Row],[tema]]&amp;","&amp;Agencia[[#This Row],[contenido]]</f>
        <v>Región de Coquimbo,regional,comuna,parques,urbanos,gestión,municipal,territorial,gobierno,regional,municipal,municipalidad,Agencia Información,Gobiernos Locales,Parques Urbanos,Gestión Municipal Territorial</v>
      </c>
      <c r="S1336" s="132" t="s">
        <v>2649</v>
      </c>
      <c r="T1336" s="114" t="s">
        <v>1848</v>
      </c>
      <c r="U1336" s="46" t="s">
        <v>398</v>
      </c>
      <c r="V1336" s="93" t="str">
        <f>+Agencia[[#This Row],[idcoleccion]]&amp;"-"&amp;Agencia[[#This Row],[id]]</f>
        <v>990-1325</v>
      </c>
      <c r="W1336" s="93">
        <f>+VLOOKUP(Agencia[[#This Row],[Filtro URL]],Estructura!$X$4:$Y$500,2,0)</f>
        <v>99200004</v>
      </c>
      <c r="X1336" s="93" t="str">
        <f>+VLOOKUP(Agencia[[#This Row],[tema]],Estructura!$A$4:$C$500,3,0)</f>
        <v>T-1042</v>
      </c>
      <c r="Y1336" s="93" t="str">
        <f>+VLOOKUP(Agencia[[#This Row],[contenido]],Estructura!$E$4:$G$500,3,0)</f>
        <v>C-1015</v>
      </c>
      <c r="Z1336" s="93" t="str">
        <f>+VLOOKUP(Agencia[[#This Row],[Filtro Integrado]],Estructura!$I$4:$K$500,3,0)</f>
        <v>FI-991</v>
      </c>
      <c r="AA1336" s="93" t="str">
        <f>+VLOOKUP(Agencia[[#This Row],[Muestra]],Estructura!$M$4:$O$500,3,0)</f>
        <v>M-1090</v>
      </c>
    </row>
    <row r="1337" spans="1:27" ht="61.2" x14ac:dyDescent="0.3">
      <c r="A1337" s="21" t="s">
        <v>2172</v>
      </c>
      <c r="B1337" s="23">
        <v>990</v>
      </c>
      <c r="C1337" s="24" t="s">
        <v>400</v>
      </c>
      <c r="D1337" s="67" t="s">
        <v>2250</v>
      </c>
      <c r="E1337" s="19">
        <v>5</v>
      </c>
      <c r="F1337" s="10" t="s">
        <v>2251</v>
      </c>
      <c r="G1337" s="10" t="s">
        <v>1909</v>
      </c>
      <c r="H1337" s="33" t="s">
        <v>16</v>
      </c>
      <c r="I1337" s="34" t="s">
        <v>372</v>
      </c>
      <c r="J1337" s="9" t="s">
        <v>18</v>
      </c>
      <c r="K1337" s="142" t="s">
        <v>2251</v>
      </c>
      <c r="L1337" s="9" t="s">
        <v>457</v>
      </c>
      <c r="M1337" s="9" t="s">
        <v>2252</v>
      </c>
      <c r="N1337" s="9" t="s">
        <v>428</v>
      </c>
      <c r="O1337" s="20" t="s">
        <v>2650</v>
      </c>
      <c r="P1337" s="76" t="s">
        <v>7119</v>
      </c>
      <c r="Q1337" s="11" t="s">
        <v>1934</v>
      </c>
      <c r="R1337" s="148" t="str">
        <f>Agencia[[#This Row],[territorio]]&amp;",regional,comuna,parques,urbanos,gestión,municipal,territorial,gobierno,regional,municipal,municipalidad,"&amp;Agencia[[#This Row],[coleccion]]&amp;","&amp;Agencia[[#This Row],[sector]]&amp;","&amp;Agencia[[#This Row],[tema]]&amp;","&amp;Agencia[[#This Row],[contenido]]</f>
        <v>Región de Valparaíso,regional,comuna,parques,urbanos,gestión,municipal,territorial,gobierno,regional,municipal,municipalidad,Agencia Información,Gobiernos Locales,Parques Urbanos,Gestión Municipal Territorial</v>
      </c>
      <c r="S1337" s="37" t="s">
        <v>2651</v>
      </c>
      <c r="T1337" s="114" t="s">
        <v>1857</v>
      </c>
      <c r="U1337" s="46" t="s">
        <v>398</v>
      </c>
      <c r="V1337" s="93" t="str">
        <f>+Agencia[[#This Row],[idcoleccion]]&amp;"-"&amp;Agencia[[#This Row],[id]]</f>
        <v>990-1326</v>
      </c>
      <c r="W1337" s="93">
        <f>+VLOOKUP(Agencia[[#This Row],[Filtro URL]],Estructura!$X$4:$Y$500,2,0)</f>
        <v>99200005</v>
      </c>
      <c r="X1337" s="93" t="str">
        <f>+VLOOKUP(Agencia[[#This Row],[tema]],Estructura!$A$4:$C$500,3,0)</f>
        <v>T-1042</v>
      </c>
      <c r="Y1337" s="93" t="str">
        <f>+VLOOKUP(Agencia[[#This Row],[contenido]],Estructura!$E$4:$G$500,3,0)</f>
        <v>C-1015</v>
      </c>
      <c r="Z1337" s="93" t="str">
        <f>+VLOOKUP(Agencia[[#This Row],[Filtro Integrado]],Estructura!$I$4:$K$500,3,0)</f>
        <v>FI-991</v>
      </c>
      <c r="AA1337" s="93" t="str">
        <f>+VLOOKUP(Agencia[[#This Row],[Muestra]],Estructura!$M$4:$O$500,3,0)</f>
        <v>M-1090</v>
      </c>
    </row>
    <row r="1338" spans="1:27" ht="61.2" x14ac:dyDescent="0.3">
      <c r="A1338" s="21" t="s">
        <v>2173</v>
      </c>
      <c r="B1338" s="23">
        <v>990</v>
      </c>
      <c r="C1338" s="24" t="s">
        <v>400</v>
      </c>
      <c r="D1338" s="67" t="s">
        <v>2250</v>
      </c>
      <c r="E1338" s="19">
        <v>6</v>
      </c>
      <c r="F1338" s="10" t="s">
        <v>2251</v>
      </c>
      <c r="G1338" s="10" t="s">
        <v>1909</v>
      </c>
      <c r="H1338" s="33" t="s">
        <v>16</v>
      </c>
      <c r="I1338" s="34" t="s">
        <v>373</v>
      </c>
      <c r="J1338" s="9" t="s">
        <v>18</v>
      </c>
      <c r="K1338" s="142" t="s">
        <v>2251</v>
      </c>
      <c r="L1338" s="9" t="s">
        <v>457</v>
      </c>
      <c r="M1338" s="9" t="s">
        <v>2252</v>
      </c>
      <c r="N1338" s="9" t="s">
        <v>428</v>
      </c>
      <c r="O1338" s="20" t="s">
        <v>2652</v>
      </c>
      <c r="P1338" s="76" t="s">
        <v>7129</v>
      </c>
      <c r="Q1338" s="11" t="s">
        <v>1934</v>
      </c>
      <c r="R1338" s="148" t="str">
        <f>Agencia[[#This Row],[territorio]]&amp;",regional,comuna,parques,urbanos,gestión,municipal,territorial,gobierno,regional,municipal,municipalidad,"&amp;Agencia[[#This Row],[coleccion]]&amp;","&amp;Agencia[[#This Row],[sector]]&amp;","&amp;Agencia[[#This Row],[tema]]&amp;","&amp;Agencia[[#This Row],[contenido]]</f>
        <v>Región de O'Higgins,regional,comuna,parques,urbanos,gestión,municipal,territorial,gobierno,regional,municipal,municipalidad,Agencia Información,Gobiernos Locales,Parques Urbanos,Gestión Municipal Territorial</v>
      </c>
      <c r="S1338" s="37" t="s">
        <v>2653</v>
      </c>
      <c r="T1338" s="114" t="s">
        <v>1855</v>
      </c>
      <c r="U1338" s="46" t="s">
        <v>398</v>
      </c>
      <c r="V1338" s="93" t="str">
        <f>+Agencia[[#This Row],[idcoleccion]]&amp;"-"&amp;Agencia[[#This Row],[id]]</f>
        <v>990-1327</v>
      </c>
      <c r="W1338" s="93">
        <f>+VLOOKUP(Agencia[[#This Row],[Filtro URL]],Estructura!$X$4:$Y$500,2,0)</f>
        <v>99200006</v>
      </c>
      <c r="X1338" s="93" t="str">
        <f>+VLOOKUP(Agencia[[#This Row],[tema]],Estructura!$A$4:$C$500,3,0)</f>
        <v>T-1042</v>
      </c>
      <c r="Y1338" s="93" t="str">
        <f>+VLOOKUP(Agencia[[#This Row],[contenido]],Estructura!$E$4:$G$500,3,0)</f>
        <v>C-1015</v>
      </c>
      <c r="Z1338" s="93" t="str">
        <f>+VLOOKUP(Agencia[[#This Row],[Filtro Integrado]],Estructura!$I$4:$K$500,3,0)</f>
        <v>FI-991</v>
      </c>
      <c r="AA1338" s="93" t="str">
        <f>+VLOOKUP(Agencia[[#This Row],[Muestra]],Estructura!$M$4:$O$500,3,0)</f>
        <v>M-1090</v>
      </c>
    </row>
    <row r="1339" spans="1:27" ht="61.2" x14ac:dyDescent="0.3">
      <c r="A1339" s="21" t="s">
        <v>2174</v>
      </c>
      <c r="B1339" s="23">
        <v>990</v>
      </c>
      <c r="C1339" s="24" t="s">
        <v>400</v>
      </c>
      <c r="D1339" s="67" t="s">
        <v>2250</v>
      </c>
      <c r="E1339" s="19">
        <v>7</v>
      </c>
      <c r="F1339" s="10" t="s">
        <v>2251</v>
      </c>
      <c r="G1339" s="10" t="s">
        <v>1909</v>
      </c>
      <c r="H1339" s="33" t="s">
        <v>16</v>
      </c>
      <c r="I1339" s="34" t="s">
        <v>374</v>
      </c>
      <c r="J1339" s="9" t="s">
        <v>18</v>
      </c>
      <c r="K1339" s="142" t="s">
        <v>2251</v>
      </c>
      <c r="L1339" s="9" t="s">
        <v>457</v>
      </c>
      <c r="M1339" s="9" t="s">
        <v>2252</v>
      </c>
      <c r="N1339" s="9" t="s">
        <v>428</v>
      </c>
      <c r="O1339" s="20" t="s">
        <v>2654</v>
      </c>
      <c r="P1339" s="76" t="s">
        <v>7120</v>
      </c>
      <c r="Q1339" s="11" t="s">
        <v>1934</v>
      </c>
      <c r="R1339" s="148" t="str">
        <f>Agencia[[#This Row],[territorio]]&amp;",regional,comuna,parques,urbanos,gestión,municipal,territorial,gobierno,regional,municipal,municipalidad,"&amp;Agencia[[#This Row],[coleccion]]&amp;","&amp;Agencia[[#This Row],[sector]]&amp;","&amp;Agencia[[#This Row],[tema]]&amp;","&amp;Agencia[[#This Row],[contenido]]</f>
        <v>Región de Maule,regional,comuna,parques,urbanos,gestión,municipal,territorial,gobierno,regional,municipal,municipalidad,Agencia Información,Gobiernos Locales,Parques Urbanos,Gestión Municipal Territorial</v>
      </c>
      <c r="S1339" s="37" t="s">
        <v>2655</v>
      </c>
      <c r="T1339" s="114" t="s">
        <v>1853</v>
      </c>
      <c r="U1339" s="46" t="s">
        <v>398</v>
      </c>
      <c r="V1339" s="93" t="str">
        <f>+Agencia[[#This Row],[idcoleccion]]&amp;"-"&amp;Agencia[[#This Row],[id]]</f>
        <v>990-1328</v>
      </c>
      <c r="W1339" s="93">
        <f>+VLOOKUP(Agencia[[#This Row],[Filtro URL]],Estructura!$X$4:$Y$500,2,0)</f>
        <v>99200007</v>
      </c>
      <c r="X1339" s="93" t="str">
        <f>+VLOOKUP(Agencia[[#This Row],[tema]],Estructura!$A$4:$C$500,3,0)</f>
        <v>T-1042</v>
      </c>
      <c r="Y1339" s="93" t="str">
        <f>+VLOOKUP(Agencia[[#This Row],[contenido]],Estructura!$E$4:$G$500,3,0)</f>
        <v>C-1015</v>
      </c>
      <c r="Z1339" s="93" t="str">
        <f>+VLOOKUP(Agencia[[#This Row],[Filtro Integrado]],Estructura!$I$4:$K$500,3,0)</f>
        <v>FI-991</v>
      </c>
      <c r="AA1339" s="93" t="str">
        <f>+VLOOKUP(Agencia[[#This Row],[Muestra]],Estructura!$M$4:$O$500,3,0)</f>
        <v>M-1090</v>
      </c>
    </row>
    <row r="1340" spans="1:27" ht="61.2" x14ac:dyDescent="0.3">
      <c r="A1340" s="21" t="s">
        <v>2175</v>
      </c>
      <c r="B1340" s="23">
        <v>990</v>
      </c>
      <c r="C1340" s="24" t="s">
        <v>400</v>
      </c>
      <c r="D1340" s="67" t="s">
        <v>2250</v>
      </c>
      <c r="E1340" s="19">
        <v>8</v>
      </c>
      <c r="F1340" s="10" t="s">
        <v>2251</v>
      </c>
      <c r="G1340" s="10" t="s">
        <v>1909</v>
      </c>
      <c r="H1340" s="33" t="s">
        <v>16</v>
      </c>
      <c r="I1340" s="34" t="s">
        <v>375</v>
      </c>
      <c r="J1340" s="9" t="s">
        <v>18</v>
      </c>
      <c r="K1340" s="142" t="s">
        <v>2251</v>
      </c>
      <c r="L1340" s="9" t="s">
        <v>457</v>
      </c>
      <c r="M1340" s="9" t="s">
        <v>2252</v>
      </c>
      <c r="N1340" s="9" t="s">
        <v>428</v>
      </c>
      <c r="O1340" s="20" t="s">
        <v>2656</v>
      </c>
      <c r="P1340" s="76" t="s">
        <v>7128</v>
      </c>
      <c r="Q1340" s="11" t="s">
        <v>1934</v>
      </c>
      <c r="R1340" s="148" t="str">
        <f>Agencia[[#This Row],[territorio]]&amp;",regional,comuna,parques,urbanos,gestión,municipal,territorial,gobierno,regional,municipal,municipalidad,"&amp;Agencia[[#This Row],[coleccion]]&amp;","&amp;Agencia[[#This Row],[sector]]&amp;","&amp;Agencia[[#This Row],[tema]]&amp;","&amp;Agencia[[#This Row],[contenido]]</f>
        <v>Región del Biobío,regional,comuna,parques,urbanos,gestión,municipal,territorial,gobierno,regional,municipal,municipalidad,Agencia Información,Gobiernos Locales,Parques Urbanos,Gestión Municipal Territorial</v>
      </c>
      <c r="S1340" s="37" t="s">
        <v>2657</v>
      </c>
      <c r="T1340" s="114" t="s">
        <v>1858</v>
      </c>
      <c r="U1340" s="46" t="s">
        <v>398</v>
      </c>
      <c r="V1340" s="93" t="str">
        <f>+Agencia[[#This Row],[idcoleccion]]&amp;"-"&amp;Agencia[[#This Row],[id]]</f>
        <v>990-1329</v>
      </c>
      <c r="W1340" s="93">
        <f>+VLOOKUP(Agencia[[#This Row],[Filtro URL]],Estructura!$X$4:$Y$500,2,0)</f>
        <v>99200008</v>
      </c>
      <c r="X1340" s="93" t="str">
        <f>+VLOOKUP(Agencia[[#This Row],[tema]],Estructura!$A$4:$C$500,3,0)</f>
        <v>T-1042</v>
      </c>
      <c r="Y1340" s="93" t="str">
        <f>+VLOOKUP(Agencia[[#This Row],[contenido]],Estructura!$E$4:$G$500,3,0)</f>
        <v>C-1015</v>
      </c>
      <c r="Z1340" s="93" t="str">
        <f>+VLOOKUP(Agencia[[#This Row],[Filtro Integrado]],Estructura!$I$4:$K$500,3,0)</f>
        <v>FI-991</v>
      </c>
      <c r="AA1340" s="93" t="str">
        <f>+VLOOKUP(Agencia[[#This Row],[Muestra]],Estructura!$M$4:$O$500,3,0)</f>
        <v>M-1090</v>
      </c>
    </row>
    <row r="1341" spans="1:27" ht="61.2" x14ac:dyDescent="0.3">
      <c r="A1341" s="21" t="s">
        <v>2176</v>
      </c>
      <c r="B1341" s="23">
        <v>990</v>
      </c>
      <c r="C1341" s="24" t="s">
        <v>400</v>
      </c>
      <c r="D1341" s="67" t="s">
        <v>2250</v>
      </c>
      <c r="E1341" s="19">
        <v>9</v>
      </c>
      <c r="F1341" s="10" t="s">
        <v>2251</v>
      </c>
      <c r="G1341" s="10" t="s">
        <v>1909</v>
      </c>
      <c r="H1341" s="33" t="s">
        <v>16</v>
      </c>
      <c r="I1341" s="34" t="s">
        <v>376</v>
      </c>
      <c r="J1341" s="9" t="s">
        <v>18</v>
      </c>
      <c r="K1341" s="142" t="s">
        <v>2251</v>
      </c>
      <c r="L1341" s="9" t="s">
        <v>457</v>
      </c>
      <c r="M1341" s="9" t="s">
        <v>2252</v>
      </c>
      <c r="N1341" s="9" t="s">
        <v>428</v>
      </c>
      <c r="O1341" s="20" t="s">
        <v>2658</v>
      </c>
      <c r="P1341" s="76" t="s">
        <v>7130</v>
      </c>
      <c r="Q1341" s="11" t="s">
        <v>1934</v>
      </c>
      <c r="R1341" s="148" t="str">
        <f>Agencia[[#This Row],[territorio]]&amp;",regional,comuna,parques,urbanos,gestión,municipal,territorial,gobierno,regional,municipal,municipalidad,"&amp;Agencia[[#This Row],[coleccion]]&amp;","&amp;Agencia[[#This Row],[sector]]&amp;","&amp;Agencia[[#This Row],[tema]]&amp;","&amp;Agencia[[#This Row],[contenido]]</f>
        <v>Región de La Araucanía,regional,comuna,parques,urbanos,gestión,municipal,territorial,gobierno,regional,municipal,municipalidad,Agencia Información,Gobiernos Locales,Parques Urbanos,Gestión Municipal Territorial</v>
      </c>
      <c r="S1341" s="37" t="s">
        <v>2659</v>
      </c>
      <c r="T1341" s="114" t="s">
        <v>1849</v>
      </c>
      <c r="U1341" s="46" t="s">
        <v>398</v>
      </c>
      <c r="V1341" s="93" t="str">
        <f>+Agencia[[#This Row],[idcoleccion]]&amp;"-"&amp;Agencia[[#This Row],[id]]</f>
        <v>990-1330</v>
      </c>
      <c r="W1341" s="93">
        <f>+VLOOKUP(Agencia[[#This Row],[Filtro URL]],Estructura!$X$4:$Y$500,2,0)</f>
        <v>99200009</v>
      </c>
      <c r="X1341" s="93" t="str">
        <f>+VLOOKUP(Agencia[[#This Row],[tema]],Estructura!$A$4:$C$500,3,0)</f>
        <v>T-1042</v>
      </c>
      <c r="Y1341" s="93" t="str">
        <f>+VLOOKUP(Agencia[[#This Row],[contenido]],Estructura!$E$4:$G$500,3,0)</f>
        <v>C-1015</v>
      </c>
      <c r="Z1341" s="93" t="str">
        <f>+VLOOKUP(Agencia[[#This Row],[Filtro Integrado]],Estructura!$I$4:$K$500,3,0)</f>
        <v>FI-991</v>
      </c>
      <c r="AA1341" s="93" t="str">
        <f>+VLOOKUP(Agencia[[#This Row],[Muestra]],Estructura!$M$4:$O$500,3,0)</f>
        <v>M-1090</v>
      </c>
    </row>
    <row r="1342" spans="1:27" ht="61.2" x14ac:dyDescent="0.3">
      <c r="A1342" s="21" t="s">
        <v>2177</v>
      </c>
      <c r="B1342" s="23">
        <v>990</v>
      </c>
      <c r="C1342" s="24" t="s">
        <v>400</v>
      </c>
      <c r="D1342" s="67" t="s">
        <v>2250</v>
      </c>
      <c r="E1342" s="19">
        <v>10</v>
      </c>
      <c r="F1342" s="10" t="s">
        <v>2251</v>
      </c>
      <c r="G1342" s="10" t="s">
        <v>1909</v>
      </c>
      <c r="H1342" s="33" t="s">
        <v>16</v>
      </c>
      <c r="I1342" s="34" t="s">
        <v>377</v>
      </c>
      <c r="J1342" s="9" t="s">
        <v>18</v>
      </c>
      <c r="K1342" s="142" t="s">
        <v>2251</v>
      </c>
      <c r="L1342" s="9" t="s">
        <v>457</v>
      </c>
      <c r="M1342" s="9" t="s">
        <v>2252</v>
      </c>
      <c r="N1342" s="9" t="s">
        <v>428</v>
      </c>
      <c r="O1342" s="20" t="s">
        <v>2660</v>
      </c>
      <c r="P1342" s="76" t="s">
        <v>7121</v>
      </c>
      <c r="Q1342" s="11" t="s">
        <v>1934</v>
      </c>
      <c r="R1342" s="148" t="str">
        <f>Agencia[[#This Row],[territorio]]&amp;",regional,comuna,parques,urbanos,gestión,municipal,territorial,gobierno,regional,municipal,municipalidad,"&amp;Agencia[[#This Row],[coleccion]]&amp;","&amp;Agencia[[#This Row],[sector]]&amp;","&amp;Agencia[[#This Row],[tema]]&amp;","&amp;Agencia[[#This Row],[contenido]]</f>
        <v>Región de Los Lagos,regional,comuna,parques,urbanos,gestión,municipal,territorial,gobierno,regional,municipal,municipalidad,Agencia Información,Gobiernos Locales,Parques Urbanos,Gestión Municipal Territorial</v>
      </c>
      <c r="S1342" s="37" t="s">
        <v>2661</v>
      </c>
      <c r="T1342" s="114" t="s">
        <v>1850</v>
      </c>
      <c r="U1342" s="46" t="s">
        <v>398</v>
      </c>
      <c r="V1342" s="93" t="str">
        <f>+Agencia[[#This Row],[idcoleccion]]&amp;"-"&amp;Agencia[[#This Row],[id]]</f>
        <v>990-1331</v>
      </c>
      <c r="W1342" s="93">
        <f>+VLOOKUP(Agencia[[#This Row],[Filtro URL]],Estructura!$X$4:$Y$500,2,0)</f>
        <v>99200010</v>
      </c>
      <c r="X1342" s="93" t="str">
        <f>+VLOOKUP(Agencia[[#This Row],[tema]],Estructura!$A$4:$C$500,3,0)</f>
        <v>T-1042</v>
      </c>
      <c r="Y1342" s="93" t="str">
        <f>+VLOOKUP(Agencia[[#This Row],[contenido]],Estructura!$E$4:$G$500,3,0)</f>
        <v>C-1015</v>
      </c>
      <c r="Z1342" s="93" t="str">
        <f>+VLOOKUP(Agencia[[#This Row],[Filtro Integrado]],Estructura!$I$4:$K$500,3,0)</f>
        <v>FI-991</v>
      </c>
      <c r="AA1342" s="93" t="str">
        <f>+VLOOKUP(Agencia[[#This Row],[Muestra]],Estructura!$M$4:$O$500,3,0)</f>
        <v>M-1090</v>
      </c>
    </row>
    <row r="1343" spans="1:27" ht="61.2" x14ac:dyDescent="0.3">
      <c r="A1343" s="21" t="s">
        <v>2178</v>
      </c>
      <c r="B1343" s="23">
        <v>990</v>
      </c>
      <c r="C1343" s="24" t="s">
        <v>400</v>
      </c>
      <c r="D1343" s="67" t="s">
        <v>2250</v>
      </c>
      <c r="E1343" s="19">
        <v>11</v>
      </c>
      <c r="F1343" s="10" t="s">
        <v>2251</v>
      </c>
      <c r="G1343" s="10" t="s">
        <v>1909</v>
      </c>
      <c r="H1343" s="33" t="s">
        <v>16</v>
      </c>
      <c r="I1343" s="34" t="s">
        <v>378</v>
      </c>
      <c r="J1343" s="9" t="s">
        <v>18</v>
      </c>
      <c r="K1343" s="142" t="s">
        <v>2251</v>
      </c>
      <c r="L1343" s="9" t="s">
        <v>457</v>
      </c>
      <c r="M1343" s="9" t="s">
        <v>2252</v>
      </c>
      <c r="N1343" s="9" t="s">
        <v>428</v>
      </c>
      <c r="O1343" s="20" t="s">
        <v>2662</v>
      </c>
      <c r="P1343" s="76" t="s">
        <v>7122</v>
      </c>
      <c r="Q1343" s="11" t="s">
        <v>1934</v>
      </c>
      <c r="R1343" s="148" t="str">
        <f>Agencia[[#This Row],[territorio]]&amp;",regional,comuna,parques,urbanos,gestión,municipal,territorial,gobierno,regional,municipal,municipalidad,"&amp;Agencia[[#This Row],[coleccion]]&amp;","&amp;Agencia[[#This Row],[sector]]&amp;","&amp;Agencia[[#This Row],[tema]]&amp;","&amp;Agencia[[#This Row],[contenido]]</f>
        <v>Región de Aysén,regional,comuna,parques,urbanos,gestión,municipal,territorial,gobierno,regional,municipal,municipalidad,Agencia Información,Gobiernos Locales,Parques Urbanos,Gestión Municipal Territorial</v>
      </c>
      <c r="S1343" s="37" t="s">
        <v>2663</v>
      </c>
      <c r="T1343" s="114" t="s">
        <v>1847</v>
      </c>
      <c r="U1343" s="46" t="s">
        <v>398</v>
      </c>
      <c r="V1343" s="93" t="str">
        <f>+Agencia[[#This Row],[idcoleccion]]&amp;"-"&amp;Agencia[[#This Row],[id]]</f>
        <v>990-1332</v>
      </c>
      <c r="W1343" s="93">
        <f>+VLOOKUP(Agencia[[#This Row],[Filtro URL]],Estructura!$X$4:$Y$500,2,0)</f>
        <v>99200011</v>
      </c>
      <c r="X1343" s="93" t="str">
        <f>+VLOOKUP(Agencia[[#This Row],[tema]],Estructura!$A$4:$C$500,3,0)</f>
        <v>T-1042</v>
      </c>
      <c r="Y1343" s="93" t="str">
        <f>+VLOOKUP(Agencia[[#This Row],[contenido]],Estructura!$E$4:$G$500,3,0)</f>
        <v>C-1015</v>
      </c>
      <c r="Z1343" s="93" t="str">
        <f>+VLOOKUP(Agencia[[#This Row],[Filtro Integrado]],Estructura!$I$4:$K$500,3,0)</f>
        <v>FI-991</v>
      </c>
      <c r="AA1343" s="93" t="str">
        <f>+VLOOKUP(Agencia[[#This Row],[Muestra]],Estructura!$M$4:$O$500,3,0)</f>
        <v>M-1090</v>
      </c>
    </row>
    <row r="1344" spans="1:27" ht="61.2" x14ac:dyDescent="0.3">
      <c r="A1344" s="21" t="s">
        <v>2179</v>
      </c>
      <c r="B1344" s="23">
        <v>990</v>
      </c>
      <c r="C1344" s="24" t="s">
        <v>400</v>
      </c>
      <c r="D1344" s="67" t="s">
        <v>2250</v>
      </c>
      <c r="E1344" s="19">
        <v>12</v>
      </c>
      <c r="F1344" s="10" t="s">
        <v>2251</v>
      </c>
      <c r="G1344" s="10" t="s">
        <v>1909</v>
      </c>
      <c r="H1344" s="33" t="s">
        <v>16</v>
      </c>
      <c r="I1344" s="34" t="s">
        <v>379</v>
      </c>
      <c r="J1344" s="9" t="s">
        <v>18</v>
      </c>
      <c r="K1344" s="142" t="s">
        <v>2251</v>
      </c>
      <c r="L1344" s="9" t="s">
        <v>457</v>
      </c>
      <c r="M1344" s="9" t="s">
        <v>2252</v>
      </c>
      <c r="N1344" s="9" t="s">
        <v>428</v>
      </c>
      <c r="O1344" s="20" t="s">
        <v>2664</v>
      </c>
      <c r="P1344" s="76" t="s">
        <v>7123</v>
      </c>
      <c r="Q1344" s="11" t="s">
        <v>1934</v>
      </c>
      <c r="R1344" s="148" t="str">
        <f>Agencia[[#This Row],[territorio]]&amp;",regional,comuna,parques,urbanos,gestión,municipal,territorial,gobierno,regional,municipal,municipalidad,"&amp;Agencia[[#This Row],[coleccion]]&amp;","&amp;Agencia[[#This Row],[sector]]&amp;","&amp;Agencia[[#This Row],[tema]]&amp;","&amp;Agencia[[#This Row],[contenido]]</f>
        <v>Región de Magallanes,regional,comuna,parques,urbanos,gestión,municipal,territorial,gobierno,regional,municipal,municipalidad,Agencia Información,Gobiernos Locales,Parques Urbanos,Gestión Municipal Territorial</v>
      </c>
      <c r="S1344" s="37" t="s">
        <v>2665</v>
      </c>
      <c r="T1344" s="114" t="s">
        <v>1852</v>
      </c>
      <c r="U1344" s="46" t="s">
        <v>398</v>
      </c>
      <c r="V1344" s="93" t="str">
        <f>+Agencia[[#This Row],[idcoleccion]]&amp;"-"&amp;Agencia[[#This Row],[id]]</f>
        <v>990-1333</v>
      </c>
      <c r="W1344" s="93">
        <f>+VLOOKUP(Agencia[[#This Row],[Filtro URL]],Estructura!$X$4:$Y$500,2,0)</f>
        <v>99200012</v>
      </c>
      <c r="X1344" s="93" t="str">
        <f>+VLOOKUP(Agencia[[#This Row],[tema]],Estructura!$A$4:$C$500,3,0)</f>
        <v>T-1042</v>
      </c>
      <c r="Y1344" s="93" t="str">
        <f>+VLOOKUP(Agencia[[#This Row],[contenido]],Estructura!$E$4:$G$500,3,0)</f>
        <v>C-1015</v>
      </c>
      <c r="Z1344" s="93" t="str">
        <f>+VLOOKUP(Agencia[[#This Row],[Filtro Integrado]],Estructura!$I$4:$K$500,3,0)</f>
        <v>FI-991</v>
      </c>
      <c r="AA1344" s="93" t="str">
        <f>+VLOOKUP(Agencia[[#This Row],[Muestra]],Estructura!$M$4:$O$500,3,0)</f>
        <v>M-1090</v>
      </c>
    </row>
    <row r="1345" spans="1:27" ht="61.2" x14ac:dyDescent="0.3">
      <c r="A1345" s="21" t="s">
        <v>2180</v>
      </c>
      <c r="B1345" s="23">
        <v>990</v>
      </c>
      <c r="C1345" s="24" t="s">
        <v>400</v>
      </c>
      <c r="D1345" s="67" t="s">
        <v>2250</v>
      </c>
      <c r="E1345" s="19">
        <v>13</v>
      </c>
      <c r="F1345" s="10" t="s">
        <v>2251</v>
      </c>
      <c r="G1345" s="10" t="s">
        <v>1909</v>
      </c>
      <c r="H1345" s="33" t="s">
        <v>16</v>
      </c>
      <c r="I1345" s="34" t="s">
        <v>380</v>
      </c>
      <c r="J1345" s="9" t="s">
        <v>18</v>
      </c>
      <c r="K1345" s="142" t="s">
        <v>2251</v>
      </c>
      <c r="L1345" s="9" t="s">
        <v>457</v>
      </c>
      <c r="M1345" s="9" t="s">
        <v>2252</v>
      </c>
      <c r="N1345" s="9" t="s">
        <v>428</v>
      </c>
      <c r="O1345" s="20" t="s">
        <v>2666</v>
      </c>
      <c r="P1345" s="76" t="s">
        <v>7124</v>
      </c>
      <c r="Q1345" s="11" t="s">
        <v>1934</v>
      </c>
      <c r="R1345" s="148" t="str">
        <f>Agencia[[#This Row],[territorio]]&amp;",regional,comuna,parques,urbanos,gestión,municipal,territorial,gobierno,regional,municipal,municipalidad,"&amp;Agencia[[#This Row],[coleccion]]&amp;","&amp;Agencia[[#This Row],[sector]]&amp;","&amp;Agencia[[#This Row],[tema]]&amp;","&amp;Agencia[[#This Row],[contenido]]</f>
        <v>Región Metropolitana,regional,comuna,parques,urbanos,gestión,municipal,territorial,gobierno,regional,municipal,municipalidad,Agencia Información,Gobiernos Locales,Parques Urbanos,Gestión Municipal Territorial</v>
      </c>
      <c r="S1345" s="37" t="s">
        <v>2667</v>
      </c>
      <c r="T1345" s="114" t="s">
        <v>1859</v>
      </c>
      <c r="U1345" s="46" t="s">
        <v>398</v>
      </c>
      <c r="V1345" s="93" t="str">
        <f>+Agencia[[#This Row],[idcoleccion]]&amp;"-"&amp;Agencia[[#This Row],[id]]</f>
        <v>990-1334</v>
      </c>
      <c r="W1345" s="93">
        <f>+VLOOKUP(Agencia[[#This Row],[Filtro URL]],Estructura!$X$4:$Y$500,2,0)</f>
        <v>99200013</v>
      </c>
      <c r="X1345" s="93" t="str">
        <f>+VLOOKUP(Agencia[[#This Row],[tema]],Estructura!$A$4:$C$500,3,0)</f>
        <v>T-1042</v>
      </c>
      <c r="Y1345" s="93" t="str">
        <f>+VLOOKUP(Agencia[[#This Row],[contenido]],Estructura!$E$4:$G$500,3,0)</f>
        <v>C-1015</v>
      </c>
      <c r="Z1345" s="93" t="str">
        <f>+VLOOKUP(Agencia[[#This Row],[Filtro Integrado]],Estructura!$I$4:$K$500,3,0)</f>
        <v>FI-991</v>
      </c>
      <c r="AA1345" s="93" t="str">
        <f>+VLOOKUP(Agencia[[#This Row],[Muestra]],Estructura!$M$4:$O$500,3,0)</f>
        <v>M-1090</v>
      </c>
    </row>
    <row r="1346" spans="1:27" ht="61.2" x14ac:dyDescent="0.3">
      <c r="A1346" s="21" t="s">
        <v>2182</v>
      </c>
      <c r="B1346" s="23">
        <v>990</v>
      </c>
      <c r="C1346" s="24" t="s">
        <v>400</v>
      </c>
      <c r="D1346" s="67" t="s">
        <v>2250</v>
      </c>
      <c r="E1346" s="19">
        <v>14</v>
      </c>
      <c r="F1346" s="10" t="s">
        <v>2251</v>
      </c>
      <c r="G1346" s="10" t="s">
        <v>1909</v>
      </c>
      <c r="H1346" s="33" t="s">
        <v>16</v>
      </c>
      <c r="I1346" s="34" t="s">
        <v>381</v>
      </c>
      <c r="J1346" s="9" t="s">
        <v>18</v>
      </c>
      <c r="K1346" s="142" t="s">
        <v>2251</v>
      </c>
      <c r="L1346" s="9" t="s">
        <v>457</v>
      </c>
      <c r="M1346" s="9" t="s">
        <v>2252</v>
      </c>
      <c r="N1346" s="9" t="s">
        <v>428</v>
      </c>
      <c r="O1346" s="20" t="s">
        <v>2668</v>
      </c>
      <c r="P1346" s="76" t="s">
        <v>7125</v>
      </c>
      <c r="Q1346" s="11" t="s">
        <v>1934</v>
      </c>
      <c r="R1346" s="148" t="str">
        <f>Agencia[[#This Row],[territorio]]&amp;",regional,comuna,parques,urbanos,gestión,municipal,territorial,gobierno,regional,municipal,municipalidad,"&amp;Agencia[[#This Row],[coleccion]]&amp;","&amp;Agencia[[#This Row],[sector]]&amp;","&amp;Agencia[[#This Row],[tema]]&amp;","&amp;Agencia[[#This Row],[contenido]]</f>
        <v>Región de Los Ríos,regional,comuna,parques,urbanos,gestión,municipal,territorial,gobierno,regional,municipal,municipalidad,Agencia Información,Gobiernos Locales,Parques Urbanos,Gestión Municipal Territorial</v>
      </c>
      <c r="S1346" s="37" t="s">
        <v>2669</v>
      </c>
      <c r="T1346" s="114" t="s">
        <v>1851</v>
      </c>
      <c r="U1346" s="46" t="s">
        <v>398</v>
      </c>
      <c r="V1346" s="93" t="str">
        <f>+Agencia[[#This Row],[idcoleccion]]&amp;"-"&amp;Agencia[[#This Row],[id]]</f>
        <v>990-1335</v>
      </c>
      <c r="W1346" s="93">
        <f>+VLOOKUP(Agencia[[#This Row],[Filtro URL]],Estructura!$X$4:$Y$500,2,0)</f>
        <v>99200014</v>
      </c>
      <c r="X1346" s="93" t="str">
        <f>+VLOOKUP(Agencia[[#This Row],[tema]],Estructura!$A$4:$C$500,3,0)</f>
        <v>T-1042</v>
      </c>
      <c r="Y1346" s="93" t="str">
        <f>+VLOOKUP(Agencia[[#This Row],[contenido]],Estructura!$E$4:$G$500,3,0)</f>
        <v>C-1015</v>
      </c>
      <c r="Z1346" s="93" t="str">
        <f>+VLOOKUP(Agencia[[#This Row],[Filtro Integrado]],Estructura!$I$4:$K$500,3,0)</f>
        <v>FI-991</v>
      </c>
      <c r="AA1346" s="93" t="str">
        <f>+VLOOKUP(Agencia[[#This Row],[Muestra]],Estructura!$M$4:$O$500,3,0)</f>
        <v>M-1090</v>
      </c>
    </row>
    <row r="1347" spans="1:27" ht="61.2" x14ac:dyDescent="0.3">
      <c r="A1347" s="21" t="s">
        <v>2187</v>
      </c>
      <c r="B1347" s="23">
        <v>990</v>
      </c>
      <c r="C1347" s="24" t="s">
        <v>400</v>
      </c>
      <c r="D1347" s="67" t="s">
        <v>2250</v>
      </c>
      <c r="E1347" s="19">
        <v>15</v>
      </c>
      <c r="F1347" s="10" t="s">
        <v>2251</v>
      </c>
      <c r="G1347" s="10" t="s">
        <v>1909</v>
      </c>
      <c r="H1347" s="33" t="s">
        <v>16</v>
      </c>
      <c r="I1347" s="34" t="s">
        <v>382</v>
      </c>
      <c r="J1347" s="9" t="s">
        <v>18</v>
      </c>
      <c r="K1347" s="142" t="s">
        <v>2251</v>
      </c>
      <c r="L1347" s="9" t="s">
        <v>457</v>
      </c>
      <c r="M1347" s="9" t="s">
        <v>2252</v>
      </c>
      <c r="N1347" s="9" t="s">
        <v>428</v>
      </c>
      <c r="O1347" s="20" t="s">
        <v>2670</v>
      </c>
      <c r="P1347" s="76" t="s">
        <v>7126</v>
      </c>
      <c r="Q1347" s="11" t="s">
        <v>1934</v>
      </c>
      <c r="R1347" s="148" t="str">
        <f>Agencia[[#This Row],[territorio]]&amp;",regional,comuna,parques,urbanos,gestión,municipal,territorial,gobierno,regional,municipal,municipalidad,"&amp;Agencia[[#This Row],[coleccion]]&amp;","&amp;Agencia[[#This Row],[sector]]&amp;","&amp;Agencia[[#This Row],[tema]]&amp;","&amp;Agencia[[#This Row],[contenido]]</f>
        <v>Región de Arica y Parinacota,regional,comuna,parques,urbanos,gestión,municipal,territorial,gobierno,regional,municipal,municipalidad,Agencia Información,Gobiernos Locales,Parques Urbanos,Gestión Municipal Territorial</v>
      </c>
      <c r="S1347" s="37" t="s">
        <v>2671</v>
      </c>
      <c r="T1347" s="114" t="s">
        <v>1845</v>
      </c>
      <c r="U1347" s="46" t="s">
        <v>398</v>
      </c>
      <c r="V1347" s="93" t="str">
        <f>+Agencia[[#This Row],[idcoleccion]]&amp;"-"&amp;Agencia[[#This Row],[id]]</f>
        <v>990-1336</v>
      </c>
      <c r="W1347" s="93">
        <f>+VLOOKUP(Agencia[[#This Row],[Filtro URL]],Estructura!$X$4:$Y$500,2,0)</f>
        <v>99200015</v>
      </c>
      <c r="X1347" s="93" t="str">
        <f>+VLOOKUP(Agencia[[#This Row],[tema]],Estructura!$A$4:$C$500,3,0)</f>
        <v>T-1042</v>
      </c>
      <c r="Y1347" s="93" t="str">
        <f>+VLOOKUP(Agencia[[#This Row],[contenido]],Estructura!$E$4:$G$500,3,0)</f>
        <v>C-1015</v>
      </c>
      <c r="Z1347" s="93" t="str">
        <f>+VLOOKUP(Agencia[[#This Row],[Filtro Integrado]],Estructura!$I$4:$K$500,3,0)</f>
        <v>FI-991</v>
      </c>
      <c r="AA1347" s="93" t="str">
        <f>+VLOOKUP(Agencia[[#This Row],[Muestra]],Estructura!$M$4:$O$500,3,0)</f>
        <v>M-1090</v>
      </c>
    </row>
    <row r="1348" spans="1:27" ht="61.2" x14ac:dyDescent="0.3">
      <c r="A1348" s="21" t="s">
        <v>2191</v>
      </c>
      <c r="B1348" s="23">
        <v>990</v>
      </c>
      <c r="C1348" s="24" t="s">
        <v>400</v>
      </c>
      <c r="D1348" s="67" t="s">
        <v>2250</v>
      </c>
      <c r="E1348" s="19">
        <v>16</v>
      </c>
      <c r="F1348" s="10" t="s">
        <v>2251</v>
      </c>
      <c r="G1348" s="10" t="s">
        <v>1909</v>
      </c>
      <c r="H1348" s="33" t="s">
        <v>16</v>
      </c>
      <c r="I1348" s="34" t="s">
        <v>383</v>
      </c>
      <c r="J1348" s="9" t="s">
        <v>18</v>
      </c>
      <c r="K1348" s="142" t="s">
        <v>2251</v>
      </c>
      <c r="L1348" s="9" t="s">
        <v>457</v>
      </c>
      <c r="M1348" s="9" t="s">
        <v>2252</v>
      </c>
      <c r="N1348" s="9" t="s">
        <v>428</v>
      </c>
      <c r="O1348" s="20" t="s">
        <v>2909</v>
      </c>
      <c r="P1348" s="76" t="s">
        <v>7127</v>
      </c>
      <c r="Q1348" s="11" t="s">
        <v>1934</v>
      </c>
      <c r="R1348" s="148" t="str">
        <f>Agencia[[#This Row],[territorio]]&amp;",regional,comuna,parques,urbanos,gestión,municipal,territorial,gobierno,regional,municipal,municipalidad,"&amp;Agencia[[#This Row],[coleccion]]&amp;","&amp;Agencia[[#This Row],[sector]]&amp;","&amp;Agencia[[#This Row],[tema]]&amp;","&amp;Agencia[[#This Row],[contenido]]</f>
        <v>Región de Ñuble,regional,comuna,parques,urbanos,gestión,municipal,territorial,gobierno,regional,municipal,municipalidad,Agencia Información,Gobiernos Locales,Parques Urbanos,Gestión Municipal Territorial</v>
      </c>
      <c r="S1348" s="37" t="s">
        <v>2910</v>
      </c>
      <c r="T1348" s="114" t="s">
        <v>1854</v>
      </c>
      <c r="U1348" s="46" t="s">
        <v>398</v>
      </c>
      <c r="V1348" s="93" t="str">
        <f>+Agencia[[#This Row],[idcoleccion]]&amp;"-"&amp;Agencia[[#This Row],[id]]</f>
        <v>990-1337</v>
      </c>
      <c r="W1348" s="93">
        <f>+VLOOKUP(Agencia[[#This Row],[Filtro URL]],Estructura!$X$4:$Y$500,2,0)</f>
        <v>99200016</v>
      </c>
      <c r="X1348" s="93" t="str">
        <f>+VLOOKUP(Agencia[[#This Row],[tema]],Estructura!$A$4:$C$500,3,0)</f>
        <v>T-1042</v>
      </c>
      <c r="Y1348" s="93" t="str">
        <f>+VLOOKUP(Agencia[[#This Row],[contenido]],Estructura!$E$4:$G$500,3,0)</f>
        <v>C-1015</v>
      </c>
      <c r="Z1348" s="93" t="str">
        <f>+VLOOKUP(Agencia[[#This Row],[Filtro Integrado]],Estructura!$I$4:$K$500,3,0)</f>
        <v>FI-991</v>
      </c>
      <c r="AA1348" s="93" t="str">
        <f>+VLOOKUP(Agencia[[#This Row],[Muestra]],Estructura!$M$4:$O$500,3,0)</f>
        <v>M-1090</v>
      </c>
    </row>
    <row r="1349" spans="1:27" ht="60.9" customHeight="1" x14ac:dyDescent="0.3">
      <c r="A1349" s="21" t="s">
        <v>2194</v>
      </c>
      <c r="B1349" s="23">
        <v>990</v>
      </c>
      <c r="C1349" s="24" t="s">
        <v>400</v>
      </c>
      <c r="D1349" s="67" t="s">
        <v>2250</v>
      </c>
      <c r="E1349" s="14">
        <v>0</v>
      </c>
      <c r="F1349" s="10" t="s">
        <v>2271</v>
      </c>
      <c r="G1349" s="10" t="s">
        <v>1909</v>
      </c>
      <c r="H1349" s="31" t="s">
        <v>20</v>
      </c>
      <c r="I1349" s="32" t="s">
        <v>15</v>
      </c>
      <c r="J1349" s="9" t="s">
        <v>956</v>
      </c>
      <c r="K1349" s="9" t="s">
        <v>2271</v>
      </c>
      <c r="L1349" s="9" t="s">
        <v>457</v>
      </c>
      <c r="M1349" s="9" t="s">
        <v>2272</v>
      </c>
      <c r="N1349" s="9" t="s">
        <v>428</v>
      </c>
      <c r="O1349" s="20" t="s">
        <v>2911</v>
      </c>
      <c r="P1349" s="76" t="s">
        <v>7131</v>
      </c>
      <c r="Q1349" s="11" t="s">
        <v>1934</v>
      </c>
      <c r="R1349" s="20" t="str">
        <f>Agencia[[#This Row],[territorio]]&amp;",nacional,región,comuna,plazas,públicas,gestión,municipal,territorial,gobierno,regional,municipal,municipalidad,"&amp;Agencia[[#This Row],[coleccion]]&amp;","&amp;Agencia[[#This Row],[sector]]&amp;","&amp;Agencia[[#This Row],[tema]]&amp;","&amp;Agencia[[#This Row],[contenido]]</f>
        <v>Chile,nacional,región,comuna,plazas,públicas,gestión,municipal,territorial,gobierno,regional,municipal,municipalidad,Agencia Información,Gobiernos Locales,Plazas Públicas,Gestión Municipal Territorial</v>
      </c>
      <c r="S1349" s="37" t="s">
        <v>2273</v>
      </c>
      <c r="T1349" s="114" t="s">
        <v>957</v>
      </c>
      <c r="U1349" s="46" t="s">
        <v>398</v>
      </c>
      <c r="V1349" s="93" t="str">
        <f>+Agencia[[#This Row],[idcoleccion]]&amp;"-"&amp;Agencia[[#This Row],[id]]</f>
        <v>990-1338</v>
      </c>
      <c r="W1349" s="93">
        <f>+VLOOKUP(Agencia[[#This Row],[Filtro URL]],Estructura!$X$4:$Y$500,2,0)</f>
        <v>99100000</v>
      </c>
      <c r="X1349" s="93" t="str">
        <f>+VLOOKUP(Agencia[[#This Row],[tema]],Estructura!$A$4:$C$500,3,0)</f>
        <v>T-1043</v>
      </c>
      <c r="Y1349" s="93" t="str">
        <f>+VLOOKUP(Agencia[[#This Row],[contenido]],Estructura!$E$4:$G$500,3,0)</f>
        <v>C-1015</v>
      </c>
      <c r="Z1349" s="93" t="str">
        <f>+VLOOKUP(Agencia[[#This Row],[Filtro Integrado]],Estructura!$I$4:$K$500,3,0)</f>
        <v>FI-994</v>
      </c>
      <c r="AA1349" s="93" t="str">
        <f>+VLOOKUP(Agencia[[#This Row],[Muestra]],Estructura!$M$4:$O$500,3,0)</f>
        <v>M-1091</v>
      </c>
    </row>
    <row r="1350" spans="1:27" ht="61.2" x14ac:dyDescent="0.3">
      <c r="A1350" s="21" t="s">
        <v>2196</v>
      </c>
      <c r="B1350" s="23">
        <v>990</v>
      </c>
      <c r="C1350" s="24" t="s">
        <v>400</v>
      </c>
      <c r="D1350" s="67" t="s">
        <v>2250</v>
      </c>
      <c r="E1350" s="19">
        <v>1</v>
      </c>
      <c r="F1350" s="10" t="s">
        <v>2271</v>
      </c>
      <c r="G1350" s="10" t="s">
        <v>1909</v>
      </c>
      <c r="H1350" s="33" t="s">
        <v>16</v>
      </c>
      <c r="I1350" s="34" t="s">
        <v>368</v>
      </c>
      <c r="J1350" s="9" t="s">
        <v>18</v>
      </c>
      <c r="K1350" s="142" t="s">
        <v>2271</v>
      </c>
      <c r="L1350" s="9" t="s">
        <v>457</v>
      </c>
      <c r="M1350" s="9" t="s">
        <v>2272</v>
      </c>
      <c r="N1350" s="9" t="s">
        <v>428</v>
      </c>
      <c r="O1350" s="20" t="s">
        <v>2912</v>
      </c>
      <c r="P1350" s="76" t="s">
        <v>7132</v>
      </c>
      <c r="Q1350" s="11" t="s">
        <v>1934</v>
      </c>
      <c r="R1350" s="148" t="str">
        <f>Agencia[[#This Row],[territorio]]&amp;",nacional,región,comuna,plazas,públicas,gestión,municipal,territorial,gobierno,regional,municipal,municipalidad,"&amp;Agencia[[#This Row],[coleccion]]&amp;","&amp;Agencia[[#This Row],[sector]]&amp;","&amp;Agencia[[#This Row],[tema]]&amp;","&amp;Agencia[[#This Row],[contenido]]</f>
        <v>Región de Tarapacá,nacional,región,comuna,plazas,públicas,gestión,municipal,territorial,gobierno,regional,municipal,municipalidad,Agencia Información,Gobiernos Locales,Plazas Públicas,Gestión Municipal Territorial</v>
      </c>
      <c r="S1350" s="83" t="s">
        <v>2672</v>
      </c>
      <c r="T1350" s="114" t="s">
        <v>1856</v>
      </c>
      <c r="U1350" s="46" t="s">
        <v>398</v>
      </c>
      <c r="V1350" s="93" t="str">
        <f>+Agencia[[#This Row],[idcoleccion]]&amp;"-"&amp;Agencia[[#This Row],[id]]</f>
        <v>990-1339</v>
      </c>
      <c r="W1350" s="93">
        <f>+VLOOKUP(Agencia[[#This Row],[Filtro URL]],Estructura!$X$4:$Y$500,2,0)</f>
        <v>99200001</v>
      </c>
      <c r="X1350" s="93" t="str">
        <f>+VLOOKUP(Agencia[[#This Row],[tema]],Estructura!$A$4:$C$500,3,0)</f>
        <v>T-1043</v>
      </c>
      <c r="Y1350" s="93" t="str">
        <f>+VLOOKUP(Agencia[[#This Row],[contenido]],Estructura!$E$4:$G$500,3,0)</f>
        <v>C-1015</v>
      </c>
      <c r="Z1350" s="93" t="str">
        <f>+VLOOKUP(Agencia[[#This Row],[Filtro Integrado]],Estructura!$I$4:$K$500,3,0)</f>
        <v>FI-991</v>
      </c>
      <c r="AA1350" s="93" t="str">
        <f>+VLOOKUP(Agencia[[#This Row],[Muestra]],Estructura!$M$4:$O$500,3,0)</f>
        <v>M-1091</v>
      </c>
    </row>
    <row r="1351" spans="1:27" ht="61.2" x14ac:dyDescent="0.3">
      <c r="A1351" s="21" t="s">
        <v>2197</v>
      </c>
      <c r="B1351" s="23">
        <v>990</v>
      </c>
      <c r="C1351" s="24" t="s">
        <v>400</v>
      </c>
      <c r="D1351" s="67" t="s">
        <v>2250</v>
      </c>
      <c r="E1351" s="19">
        <v>2</v>
      </c>
      <c r="F1351" s="10" t="s">
        <v>2271</v>
      </c>
      <c r="G1351" s="10" t="s">
        <v>1909</v>
      </c>
      <c r="H1351" s="33" t="s">
        <v>16</v>
      </c>
      <c r="I1351" s="34" t="s">
        <v>369</v>
      </c>
      <c r="J1351" s="9" t="s">
        <v>18</v>
      </c>
      <c r="K1351" s="142" t="s">
        <v>2271</v>
      </c>
      <c r="L1351" s="9" t="s">
        <v>457</v>
      </c>
      <c r="M1351" s="9" t="s">
        <v>2272</v>
      </c>
      <c r="N1351" s="9" t="s">
        <v>428</v>
      </c>
      <c r="O1351" s="20" t="s">
        <v>2913</v>
      </c>
      <c r="P1351" s="76" t="s">
        <v>7133</v>
      </c>
      <c r="Q1351" s="11" t="s">
        <v>1934</v>
      </c>
      <c r="R1351" s="148" t="str">
        <f>Agencia[[#This Row],[territorio]]&amp;",nacional,región,comuna,plazas,públicas,gestión,municipal,territorial,gobierno,regional,municipal,municipalidad,"&amp;Agencia[[#This Row],[coleccion]]&amp;","&amp;Agencia[[#This Row],[sector]]&amp;","&amp;Agencia[[#This Row],[tema]]&amp;","&amp;Agencia[[#This Row],[contenido]]</f>
        <v>Región de Antofagasta,nacional,región,comuna,plazas,públicas,gestión,municipal,territorial,gobierno,regional,municipal,municipalidad,Agencia Información,Gobiernos Locales,Plazas Públicas,Gestión Municipal Territorial</v>
      </c>
      <c r="S1351" s="37" t="s">
        <v>2673</v>
      </c>
      <c r="T1351" s="114" t="s">
        <v>1844</v>
      </c>
      <c r="U1351" s="46" t="s">
        <v>398</v>
      </c>
      <c r="V1351" s="93" t="str">
        <f>+Agencia[[#This Row],[idcoleccion]]&amp;"-"&amp;Agencia[[#This Row],[id]]</f>
        <v>990-1340</v>
      </c>
      <c r="W1351" s="93">
        <f>+VLOOKUP(Agencia[[#This Row],[Filtro URL]],Estructura!$X$4:$Y$500,2,0)</f>
        <v>99200002</v>
      </c>
      <c r="X1351" s="93" t="str">
        <f>+VLOOKUP(Agencia[[#This Row],[tema]],Estructura!$A$4:$C$500,3,0)</f>
        <v>T-1043</v>
      </c>
      <c r="Y1351" s="93" t="str">
        <f>+VLOOKUP(Agencia[[#This Row],[contenido]],Estructura!$E$4:$G$500,3,0)</f>
        <v>C-1015</v>
      </c>
      <c r="Z1351" s="93" t="str">
        <f>+VLOOKUP(Agencia[[#This Row],[Filtro Integrado]],Estructura!$I$4:$K$500,3,0)</f>
        <v>FI-991</v>
      </c>
      <c r="AA1351" s="93" t="str">
        <f>+VLOOKUP(Agencia[[#This Row],[Muestra]],Estructura!$M$4:$O$500,3,0)</f>
        <v>M-1091</v>
      </c>
    </row>
    <row r="1352" spans="1:27" ht="61.2" x14ac:dyDescent="0.3">
      <c r="A1352" s="21" t="s">
        <v>2198</v>
      </c>
      <c r="B1352" s="23">
        <v>990</v>
      </c>
      <c r="C1352" s="24" t="s">
        <v>400</v>
      </c>
      <c r="D1352" s="67" t="s">
        <v>2250</v>
      </c>
      <c r="E1352" s="19">
        <v>3</v>
      </c>
      <c r="F1352" s="10" t="s">
        <v>2271</v>
      </c>
      <c r="G1352" s="10" t="s">
        <v>1909</v>
      </c>
      <c r="H1352" s="33" t="s">
        <v>16</v>
      </c>
      <c r="I1352" s="34" t="s">
        <v>370</v>
      </c>
      <c r="J1352" s="9" t="s">
        <v>18</v>
      </c>
      <c r="K1352" s="142" t="s">
        <v>2271</v>
      </c>
      <c r="L1352" s="9" t="s">
        <v>457</v>
      </c>
      <c r="M1352" s="9" t="s">
        <v>2272</v>
      </c>
      <c r="N1352" s="9" t="s">
        <v>428</v>
      </c>
      <c r="O1352" s="20" t="s">
        <v>2914</v>
      </c>
      <c r="P1352" s="76" t="s">
        <v>7134</v>
      </c>
      <c r="Q1352" s="11" t="s">
        <v>1934</v>
      </c>
      <c r="R1352" s="148" t="str">
        <f>Agencia[[#This Row],[territorio]]&amp;",nacional,región,comuna,plazas,públicas,gestión,municipal,territorial,gobierno,regional,municipal,municipalidad,"&amp;Agencia[[#This Row],[coleccion]]&amp;","&amp;Agencia[[#This Row],[sector]]&amp;","&amp;Agencia[[#This Row],[tema]]&amp;","&amp;Agencia[[#This Row],[contenido]]</f>
        <v>Región de Atacama,nacional,región,comuna,plazas,públicas,gestión,municipal,territorial,gobierno,regional,municipal,municipalidad,Agencia Información,Gobiernos Locales,Plazas Públicas,Gestión Municipal Territorial</v>
      </c>
      <c r="S1352" s="37" t="s">
        <v>2674</v>
      </c>
      <c r="T1352" s="114" t="s">
        <v>1846</v>
      </c>
      <c r="U1352" s="46" t="s">
        <v>398</v>
      </c>
      <c r="V1352" s="93" t="str">
        <f>+Agencia[[#This Row],[idcoleccion]]&amp;"-"&amp;Agencia[[#This Row],[id]]</f>
        <v>990-1341</v>
      </c>
      <c r="W1352" s="93">
        <f>+VLOOKUP(Agencia[[#This Row],[Filtro URL]],Estructura!$X$4:$Y$500,2,0)</f>
        <v>99200003</v>
      </c>
      <c r="X1352" s="93" t="str">
        <f>+VLOOKUP(Agencia[[#This Row],[tema]],Estructura!$A$4:$C$500,3,0)</f>
        <v>T-1043</v>
      </c>
      <c r="Y1352" s="93" t="str">
        <f>+VLOOKUP(Agencia[[#This Row],[contenido]],Estructura!$E$4:$G$500,3,0)</f>
        <v>C-1015</v>
      </c>
      <c r="Z1352" s="93" t="str">
        <f>+VLOOKUP(Agencia[[#This Row],[Filtro Integrado]],Estructura!$I$4:$K$500,3,0)</f>
        <v>FI-991</v>
      </c>
      <c r="AA1352" s="93" t="str">
        <f>+VLOOKUP(Agencia[[#This Row],[Muestra]],Estructura!$M$4:$O$500,3,0)</f>
        <v>M-1091</v>
      </c>
    </row>
    <row r="1353" spans="1:27" ht="61.2" x14ac:dyDescent="0.3">
      <c r="A1353" s="21" t="s">
        <v>2199</v>
      </c>
      <c r="B1353" s="23">
        <v>990</v>
      </c>
      <c r="C1353" s="24" t="s">
        <v>400</v>
      </c>
      <c r="D1353" s="67" t="s">
        <v>2250</v>
      </c>
      <c r="E1353" s="19">
        <v>4</v>
      </c>
      <c r="F1353" s="10" t="s">
        <v>2271</v>
      </c>
      <c r="G1353" s="10" t="s">
        <v>1909</v>
      </c>
      <c r="H1353" s="33" t="s">
        <v>16</v>
      </c>
      <c r="I1353" s="34" t="s">
        <v>371</v>
      </c>
      <c r="J1353" s="9" t="s">
        <v>18</v>
      </c>
      <c r="K1353" s="142" t="s">
        <v>2271</v>
      </c>
      <c r="L1353" s="9" t="s">
        <v>457</v>
      </c>
      <c r="M1353" s="9" t="s">
        <v>2272</v>
      </c>
      <c r="N1353" s="9" t="s">
        <v>428</v>
      </c>
      <c r="O1353" s="20" t="s">
        <v>2915</v>
      </c>
      <c r="P1353" s="76" t="s">
        <v>7135</v>
      </c>
      <c r="Q1353" s="11" t="s">
        <v>1934</v>
      </c>
      <c r="R1353" s="148" t="str">
        <f>Agencia[[#This Row],[territorio]]&amp;",nacional,región,comuna,plazas,públicas,gestión,municipal,territorial,gobierno,regional,municipal,municipalidad,"&amp;Agencia[[#This Row],[coleccion]]&amp;","&amp;Agencia[[#This Row],[sector]]&amp;","&amp;Agencia[[#This Row],[tema]]&amp;","&amp;Agencia[[#This Row],[contenido]]</f>
        <v>Región de Coquimbo,nacional,región,comuna,plazas,públicas,gestión,municipal,territorial,gobierno,regional,municipal,municipalidad,Agencia Información,Gobiernos Locales,Plazas Públicas,Gestión Municipal Territorial</v>
      </c>
      <c r="S1353" s="37" t="s">
        <v>2675</v>
      </c>
      <c r="T1353" s="114" t="s">
        <v>1848</v>
      </c>
      <c r="U1353" s="46" t="s">
        <v>398</v>
      </c>
      <c r="V1353" s="93" t="str">
        <f>+Agencia[[#This Row],[idcoleccion]]&amp;"-"&amp;Agencia[[#This Row],[id]]</f>
        <v>990-1342</v>
      </c>
      <c r="W1353" s="93">
        <f>+VLOOKUP(Agencia[[#This Row],[Filtro URL]],Estructura!$X$4:$Y$500,2,0)</f>
        <v>99200004</v>
      </c>
      <c r="X1353" s="93" t="str">
        <f>+VLOOKUP(Agencia[[#This Row],[tema]],Estructura!$A$4:$C$500,3,0)</f>
        <v>T-1043</v>
      </c>
      <c r="Y1353" s="93" t="str">
        <f>+VLOOKUP(Agencia[[#This Row],[contenido]],Estructura!$E$4:$G$500,3,0)</f>
        <v>C-1015</v>
      </c>
      <c r="Z1353" s="93" t="str">
        <f>+VLOOKUP(Agencia[[#This Row],[Filtro Integrado]],Estructura!$I$4:$K$500,3,0)</f>
        <v>FI-991</v>
      </c>
      <c r="AA1353" s="93" t="str">
        <f>+VLOOKUP(Agencia[[#This Row],[Muestra]],Estructura!$M$4:$O$500,3,0)</f>
        <v>M-1091</v>
      </c>
    </row>
    <row r="1354" spans="1:27" ht="61.2" x14ac:dyDescent="0.3">
      <c r="A1354" s="21" t="s">
        <v>2200</v>
      </c>
      <c r="B1354" s="23">
        <v>990</v>
      </c>
      <c r="C1354" s="24" t="s">
        <v>400</v>
      </c>
      <c r="D1354" s="67" t="s">
        <v>2250</v>
      </c>
      <c r="E1354" s="19">
        <v>5</v>
      </c>
      <c r="F1354" s="10" t="s">
        <v>2271</v>
      </c>
      <c r="G1354" s="10" t="s">
        <v>1909</v>
      </c>
      <c r="H1354" s="33" t="s">
        <v>16</v>
      </c>
      <c r="I1354" s="34" t="s">
        <v>372</v>
      </c>
      <c r="J1354" s="9" t="s">
        <v>18</v>
      </c>
      <c r="K1354" s="142" t="s">
        <v>2271</v>
      </c>
      <c r="L1354" s="9" t="s">
        <v>457</v>
      </c>
      <c r="M1354" s="9" t="s">
        <v>2272</v>
      </c>
      <c r="N1354" s="9" t="s">
        <v>428</v>
      </c>
      <c r="O1354" s="20" t="s">
        <v>2916</v>
      </c>
      <c r="P1354" s="76" t="s">
        <v>7136</v>
      </c>
      <c r="Q1354" s="11" t="s">
        <v>1934</v>
      </c>
      <c r="R1354" s="148" t="str">
        <f>Agencia[[#This Row],[territorio]]&amp;",nacional,región,comuna,plazas,públicas,gestión,municipal,territorial,gobierno,regional,municipal,municipalidad,"&amp;Agencia[[#This Row],[coleccion]]&amp;","&amp;Agencia[[#This Row],[sector]]&amp;","&amp;Agencia[[#This Row],[tema]]&amp;","&amp;Agencia[[#This Row],[contenido]]</f>
        <v>Región de Valparaíso,nacional,región,comuna,plazas,públicas,gestión,municipal,territorial,gobierno,regional,municipal,municipalidad,Agencia Información,Gobiernos Locales,Plazas Públicas,Gestión Municipal Territorial</v>
      </c>
      <c r="S1354" s="132" t="s">
        <v>2676</v>
      </c>
      <c r="T1354" s="114" t="s">
        <v>1857</v>
      </c>
      <c r="U1354" s="46" t="s">
        <v>398</v>
      </c>
      <c r="V1354" s="93" t="str">
        <f>+Agencia[[#This Row],[idcoleccion]]&amp;"-"&amp;Agencia[[#This Row],[id]]</f>
        <v>990-1343</v>
      </c>
      <c r="W1354" s="93">
        <f>+VLOOKUP(Agencia[[#This Row],[Filtro URL]],Estructura!$X$4:$Y$500,2,0)</f>
        <v>99200005</v>
      </c>
      <c r="X1354" s="93" t="str">
        <f>+VLOOKUP(Agencia[[#This Row],[tema]],Estructura!$A$4:$C$500,3,0)</f>
        <v>T-1043</v>
      </c>
      <c r="Y1354" s="93" t="str">
        <f>+VLOOKUP(Agencia[[#This Row],[contenido]],Estructura!$E$4:$G$500,3,0)</f>
        <v>C-1015</v>
      </c>
      <c r="Z1354" s="93" t="str">
        <f>+VLOOKUP(Agencia[[#This Row],[Filtro Integrado]],Estructura!$I$4:$K$500,3,0)</f>
        <v>FI-991</v>
      </c>
      <c r="AA1354" s="93" t="str">
        <f>+VLOOKUP(Agencia[[#This Row],[Muestra]],Estructura!$M$4:$O$500,3,0)</f>
        <v>M-1091</v>
      </c>
    </row>
    <row r="1355" spans="1:27" ht="61.2" x14ac:dyDescent="0.3">
      <c r="A1355" s="21" t="s">
        <v>2201</v>
      </c>
      <c r="B1355" s="23">
        <v>990</v>
      </c>
      <c r="C1355" s="24" t="s">
        <v>400</v>
      </c>
      <c r="D1355" s="67" t="s">
        <v>2250</v>
      </c>
      <c r="E1355" s="19">
        <v>6</v>
      </c>
      <c r="F1355" s="10" t="s">
        <v>2271</v>
      </c>
      <c r="G1355" s="10" t="s">
        <v>1909</v>
      </c>
      <c r="H1355" s="33" t="s">
        <v>16</v>
      </c>
      <c r="I1355" s="34" t="s">
        <v>373</v>
      </c>
      <c r="J1355" s="9" t="s">
        <v>18</v>
      </c>
      <c r="K1355" s="142" t="s">
        <v>2271</v>
      </c>
      <c r="L1355" s="9" t="s">
        <v>457</v>
      </c>
      <c r="M1355" s="9" t="s">
        <v>2272</v>
      </c>
      <c r="N1355" s="9" t="s">
        <v>428</v>
      </c>
      <c r="O1355" s="20" t="s">
        <v>2917</v>
      </c>
      <c r="P1355" s="76" t="s">
        <v>7147</v>
      </c>
      <c r="Q1355" s="11" t="s">
        <v>1934</v>
      </c>
      <c r="R1355" s="148" t="str">
        <f>Agencia[[#This Row],[territorio]]&amp;",nacional,región,comuna,plazas,públicas,gestión,municipal,territorial,gobierno,regional,municipal,municipalidad,"&amp;Agencia[[#This Row],[coleccion]]&amp;","&amp;Agencia[[#This Row],[sector]]&amp;","&amp;Agencia[[#This Row],[tema]]&amp;","&amp;Agencia[[#This Row],[contenido]]</f>
        <v>Región de O'Higgins,nacional,región,comuna,plazas,públicas,gestión,municipal,territorial,gobierno,regional,municipal,municipalidad,Agencia Información,Gobiernos Locales,Plazas Públicas,Gestión Municipal Territorial</v>
      </c>
      <c r="S1355" s="37" t="s">
        <v>2677</v>
      </c>
      <c r="T1355" s="114" t="s">
        <v>1855</v>
      </c>
      <c r="U1355" s="46" t="s">
        <v>398</v>
      </c>
      <c r="V1355" s="93" t="str">
        <f>+Agencia[[#This Row],[idcoleccion]]&amp;"-"&amp;Agencia[[#This Row],[id]]</f>
        <v>990-1344</v>
      </c>
      <c r="W1355" s="93">
        <f>+VLOOKUP(Agencia[[#This Row],[Filtro URL]],Estructura!$X$4:$Y$500,2,0)</f>
        <v>99200006</v>
      </c>
      <c r="X1355" s="93" t="str">
        <f>+VLOOKUP(Agencia[[#This Row],[tema]],Estructura!$A$4:$C$500,3,0)</f>
        <v>T-1043</v>
      </c>
      <c r="Y1355" s="93" t="str">
        <f>+VLOOKUP(Agencia[[#This Row],[contenido]],Estructura!$E$4:$G$500,3,0)</f>
        <v>C-1015</v>
      </c>
      <c r="Z1355" s="93" t="str">
        <f>+VLOOKUP(Agencia[[#This Row],[Filtro Integrado]],Estructura!$I$4:$K$500,3,0)</f>
        <v>FI-991</v>
      </c>
      <c r="AA1355" s="93" t="str">
        <f>+VLOOKUP(Agencia[[#This Row],[Muestra]],Estructura!$M$4:$O$500,3,0)</f>
        <v>M-1091</v>
      </c>
    </row>
    <row r="1356" spans="1:27" ht="61.2" x14ac:dyDescent="0.3">
      <c r="A1356" s="21" t="s">
        <v>2202</v>
      </c>
      <c r="B1356" s="23">
        <v>990</v>
      </c>
      <c r="C1356" s="24" t="s">
        <v>400</v>
      </c>
      <c r="D1356" s="67" t="s">
        <v>2250</v>
      </c>
      <c r="E1356" s="19">
        <v>7</v>
      </c>
      <c r="F1356" s="10" t="s">
        <v>2271</v>
      </c>
      <c r="G1356" s="10" t="s">
        <v>1909</v>
      </c>
      <c r="H1356" s="33" t="s">
        <v>16</v>
      </c>
      <c r="I1356" s="34" t="s">
        <v>374</v>
      </c>
      <c r="J1356" s="9" t="s">
        <v>18</v>
      </c>
      <c r="K1356" s="142" t="s">
        <v>2271</v>
      </c>
      <c r="L1356" s="9" t="s">
        <v>457</v>
      </c>
      <c r="M1356" s="9" t="s">
        <v>2272</v>
      </c>
      <c r="N1356" s="9" t="s">
        <v>428</v>
      </c>
      <c r="O1356" s="20" t="s">
        <v>2918</v>
      </c>
      <c r="P1356" s="76" t="s">
        <v>7137</v>
      </c>
      <c r="Q1356" s="11" t="s">
        <v>1934</v>
      </c>
      <c r="R1356" s="148" t="str">
        <f>Agencia[[#This Row],[territorio]]&amp;",nacional,región,comuna,plazas,públicas,gestión,municipal,territorial,gobierno,regional,municipal,municipalidad,"&amp;Agencia[[#This Row],[coleccion]]&amp;","&amp;Agencia[[#This Row],[sector]]&amp;","&amp;Agencia[[#This Row],[tema]]&amp;","&amp;Agencia[[#This Row],[contenido]]</f>
        <v>Región de Maule,nacional,región,comuna,plazas,públicas,gestión,municipal,territorial,gobierno,regional,municipal,municipalidad,Agencia Información,Gobiernos Locales,Plazas Públicas,Gestión Municipal Territorial</v>
      </c>
      <c r="S1356" s="37" t="s">
        <v>2678</v>
      </c>
      <c r="T1356" s="114" t="s">
        <v>1853</v>
      </c>
      <c r="U1356" s="46" t="s">
        <v>398</v>
      </c>
      <c r="V1356" s="93" t="str">
        <f>+Agencia[[#This Row],[idcoleccion]]&amp;"-"&amp;Agencia[[#This Row],[id]]</f>
        <v>990-1345</v>
      </c>
      <c r="W1356" s="93">
        <f>+VLOOKUP(Agencia[[#This Row],[Filtro URL]],Estructura!$X$4:$Y$500,2,0)</f>
        <v>99200007</v>
      </c>
      <c r="X1356" s="93" t="str">
        <f>+VLOOKUP(Agencia[[#This Row],[tema]],Estructura!$A$4:$C$500,3,0)</f>
        <v>T-1043</v>
      </c>
      <c r="Y1356" s="93" t="str">
        <f>+VLOOKUP(Agencia[[#This Row],[contenido]],Estructura!$E$4:$G$500,3,0)</f>
        <v>C-1015</v>
      </c>
      <c r="Z1356" s="93" t="str">
        <f>+VLOOKUP(Agencia[[#This Row],[Filtro Integrado]],Estructura!$I$4:$K$500,3,0)</f>
        <v>FI-991</v>
      </c>
      <c r="AA1356" s="93" t="str">
        <f>+VLOOKUP(Agencia[[#This Row],[Muestra]],Estructura!$M$4:$O$500,3,0)</f>
        <v>M-1091</v>
      </c>
    </row>
    <row r="1357" spans="1:27" ht="61.2" x14ac:dyDescent="0.3">
      <c r="A1357" s="21" t="s">
        <v>2203</v>
      </c>
      <c r="B1357" s="23">
        <v>990</v>
      </c>
      <c r="C1357" s="24" t="s">
        <v>400</v>
      </c>
      <c r="D1357" s="67" t="s">
        <v>2250</v>
      </c>
      <c r="E1357" s="19">
        <v>8</v>
      </c>
      <c r="F1357" s="10" t="s">
        <v>2271</v>
      </c>
      <c r="G1357" s="10" t="s">
        <v>1909</v>
      </c>
      <c r="H1357" s="33" t="s">
        <v>16</v>
      </c>
      <c r="I1357" s="34" t="s">
        <v>375</v>
      </c>
      <c r="J1357" s="9" t="s">
        <v>18</v>
      </c>
      <c r="K1357" s="142" t="s">
        <v>2271</v>
      </c>
      <c r="L1357" s="9" t="s">
        <v>457</v>
      </c>
      <c r="M1357" s="9" t="s">
        <v>2272</v>
      </c>
      <c r="N1357" s="9" t="s">
        <v>428</v>
      </c>
      <c r="O1357" s="20" t="s">
        <v>2919</v>
      </c>
      <c r="P1357" s="76" t="s">
        <v>7146</v>
      </c>
      <c r="Q1357" s="11" t="s">
        <v>1934</v>
      </c>
      <c r="R1357" s="148" t="str">
        <f>Agencia[[#This Row],[territorio]]&amp;",nacional,región,comuna,plazas,públicas,gestión,municipal,territorial,gobierno,regional,municipal,municipalidad,"&amp;Agencia[[#This Row],[coleccion]]&amp;","&amp;Agencia[[#This Row],[sector]]&amp;","&amp;Agencia[[#This Row],[tema]]&amp;","&amp;Agencia[[#This Row],[contenido]]</f>
        <v>Región del Biobío,nacional,región,comuna,plazas,públicas,gestión,municipal,territorial,gobierno,regional,municipal,municipalidad,Agencia Información,Gobiernos Locales,Plazas Públicas,Gestión Municipal Territorial</v>
      </c>
      <c r="S1357" s="37" t="s">
        <v>2679</v>
      </c>
      <c r="T1357" s="114" t="s">
        <v>1858</v>
      </c>
      <c r="U1357" s="46" t="s">
        <v>398</v>
      </c>
      <c r="V1357" s="93" t="str">
        <f>+Agencia[[#This Row],[idcoleccion]]&amp;"-"&amp;Agencia[[#This Row],[id]]</f>
        <v>990-1346</v>
      </c>
      <c r="W1357" s="93">
        <f>+VLOOKUP(Agencia[[#This Row],[Filtro URL]],Estructura!$X$4:$Y$500,2,0)</f>
        <v>99200008</v>
      </c>
      <c r="X1357" s="93" t="str">
        <f>+VLOOKUP(Agencia[[#This Row],[tema]],Estructura!$A$4:$C$500,3,0)</f>
        <v>T-1043</v>
      </c>
      <c r="Y1357" s="93" t="str">
        <f>+VLOOKUP(Agencia[[#This Row],[contenido]],Estructura!$E$4:$G$500,3,0)</f>
        <v>C-1015</v>
      </c>
      <c r="Z1357" s="93" t="str">
        <f>+VLOOKUP(Agencia[[#This Row],[Filtro Integrado]],Estructura!$I$4:$K$500,3,0)</f>
        <v>FI-991</v>
      </c>
      <c r="AA1357" s="93" t="str">
        <f>+VLOOKUP(Agencia[[#This Row],[Muestra]],Estructura!$M$4:$O$500,3,0)</f>
        <v>M-1091</v>
      </c>
    </row>
    <row r="1358" spans="1:27" ht="61.2" x14ac:dyDescent="0.3">
      <c r="A1358" s="21" t="s">
        <v>2204</v>
      </c>
      <c r="B1358" s="23">
        <v>990</v>
      </c>
      <c r="C1358" s="24" t="s">
        <v>400</v>
      </c>
      <c r="D1358" s="67" t="s">
        <v>2250</v>
      </c>
      <c r="E1358" s="19">
        <v>9</v>
      </c>
      <c r="F1358" s="10" t="s">
        <v>2271</v>
      </c>
      <c r="G1358" s="10" t="s">
        <v>1909</v>
      </c>
      <c r="H1358" s="33" t="s">
        <v>16</v>
      </c>
      <c r="I1358" s="34" t="s">
        <v>376</v>
      </c>
      <c r="J1358" s="9" t="s">
        <v>18</v>
      </c>
      <c r="K1358" s="142" t="s">
        <v>2271</v>
      </c>
      <c r="L1358" s="9" t="s">
        <v>457</v>
      </c>
      <c r="M1358" s="9" t="s">
        <v>2272</v>
      </c>
      <c r="N1358" s="9" t="s">
        <v>428</v>
      </c>
      <c r="O1358" s="20" t="s">
        <v>2920</v>
      </c>
      <c r="P1358" s="76" t="s">
        <v>7145</v>
      </c>
      <c r="Q1358" s="11" t="s">
        <v>1934</v>
      </c>
      <c r="R1358" s="148" t="str">
        <f>Agencia[[#This Row],[territorio]]&amp;",nacional,región,comuna,plazas,públicas,gestión,municipal,territorial,gobierno,regional,municipal,municipalidad,"&amp;Agencia[[#This Row],[coleccion]]&amp;","&amp;Agencia[[#This Row],[sector]]&amp;","&amp;Agencia[[#This Row],[tema]]&amp;","&amp;Agencia[[#This Row],[contenido]]</f>
        <v>Región de La Araucanía,nacional,región,comuna,plazas,públicas,gestión,municipal,territorial,gobierno,regional,municipal,municipalidad,Agencia Información,Gobiernos Locales,Plazas Públicas,Gestión Municipal Territorial</v>
      </c>
      <c r="S1358" s="37" t="s">
        <v>2680</v>
      </c>
      <c r="T1358" s="114" t="s">
        <v>1849</v>
      </c>
      <c r="U1358" s="46" t="s">
        <v>398</v>
      </c>
      <c r="V1358" s="93" t="str">
        <f>+Agencia[[#This Row],[idcoleccion]]&amp;"-"&amp;Agencia[[#This Row],[id]]</f>
        <v>990-1347</v>
      </c>
      <c r="W1358" s="93">
        <f>+VLOOKUP(Agencia[[#This Row],[Filtro URL]],Estructura!$X$4:$Y$500,2,0)</f>
        <v>99200009</v>
      </c>
      <c r="X1358" s="93" t="str">
        <f>+VLOOKUP(Agencia[[#This Row],[tema]],Estructura!$A$4:$C$500,3,0)</f>
        <v>T-1043</v>
      </c>
      <c r="Y1358" s="93" t="str">
        <f>+VLOOKUP(Agencia[[#This Row],[contenido]],Estructura!$E$4:$G$500,3,0)</f>
        <v>C-1015</v>
      </c>
      <c r="Z1358" s="93" t="str">
        <f>+VLOOKUP(Agencia[[#This Row],[Filtro Integrado]],Estructura!$I$4:$K$500,3,0)</f>
        <v>FI-991</v>
      </c>
      <c r="AA1358" s="93" t="str">
        <f>+VLOOKUP(Agencia[[#This Row],[Muestra]],Estructura!$M$4:$O$500,3,0)</f>
        <v>M-1091</v>
      </c>
    </row>
    <row r="1359" spans="1:27" ht="61.2" x14ac:dyDescent="0.3">
      <c r="A1359" s="21" t="s">
        <v>2205</v>
      </c>
      <c r="B1359" s="23">
        <v>990</v>
      </c>
      <c r="C1359" s="24" t="s">
        <v>400</v>
      </c>
      <c r="D1359" s="67" t="s">
        <v>2250</v>
      </c>
      <c r="E1359" s="19">
        <v>10</v>
      </c>
      <c r="F1359" s="10" t="s">
        <v>2271</v>
      </c>
      <c r="G1359" s="10" t="s">
        <v>1909</v>
      </c>
      <c r="H1359" s="33" t="s">
        <v>16</v>
      </c>
      <c r="I1359" s="34" t="s">
        <v>377</v>
      </c>
      <c r="J1359" s="9" t="s">
        <v>18</v>
      </c>
      <c r="K1359" s="142" t="s">
        <v>2271</v>
      </c>
      <c r="L1359" s="9" t="s">
        <v>457</v>
      </c>
      <c r="M1359" s="9" t="s">
        <v>2272</v>
      </c>
      <c r="N1359" s="9" t="s">
        <v>428</v>
      </c>
      <c r="O1359" s="20" t="s">
        <v>2921</v>
      </c>
      <c r="P1359" s="76" t="s">
        <v>7138</v>
      </c>
      <c r="Q1359" s="11" t="s">
        <v>1934</v>
      </c>
      <c r="R1359" s="148" t="str">
        <f>Agencia[[#This Row],[territorio]]&amp;",nacional,región,comuna,plazas,públicas,gestión,municipal,territorial,gobierno,regional,municipal,municipalidad,"&amp;Agencia[[#This Row],[coleccion]]&amp;","&amp;Agencia[[#This Row],[sector]]&amp;","&amp;Agencia[[#This Row],[tema]]&amp;","&amp;Agencia[[#This Row],[contenido]]</f>
        <v>Región de Los Lagos,nacional,región,comuna,plazas,públicas,gestión,municipal,territorial,gobierno,regional,municipal,municipalidad,Agencia Información,Gobiernos Locales,Plazas Públicas,Gestión Municipal Territorial</v>
      </c>
      <c r="S1359" s="37" t="s">
        <v>2681</v>
      </c>
      <c r="T1359" s="114" t="s">
        <v>1850</v>
      </c>
      <c r="U1359" s="46" t="s">
        <v>398</v>
      </c>
      <c r="V1359" s="93" t="str">
        <f>+Agencia[[#This Row],[idcoleccion]]&amp;"-"&amp;Agencia[[#This Row],[id]]</f>
        <v>990-1348</v>
      </c>
      <c r="W1359" s="93">
        <f>+VLOOKUP(Agencia[[#This Row],[Filtro URL]],Estructura!$X$4:$Y$500,2,0)</f>
        <v>99200010</v>
      </c>
      <c r="X1359" s="93" t="str">
        <f>+VLOOKUP(Agencia[[#This Row],[tema]],Estructura!$A$4:$C$500,3,0)</f>
        <v>T-1043</v>
      </c>
      <c r="Y1359" s="93" t="str">
        <f>+VLOOKUP(Agencia[[#This Row],[contenido]],Estructura!$E$4:$G$500,3,0)</f>
        <v>C-1015</v>
      </c>
      <c r="Z1359" s="93" t="str">
        <f>+VLOOKUP(Agencia[[#This Row],[Filtro Integrado]],Estructura!$I$4:$K$500,3,0)</f>
        <v>FI-991</v>
      </c>
      <c r="AA1359" s="93" t="str">
        <f>+VLOOKUP(Agencia[[#This Row],[Muestra]],Estructura!$M$4:$O$500,3,0)</f>
        <v>M-1091</v>
      </c>
    </row>
    <row r="1360" spans="1:27" ht="61.2" x14ac:dyDescent="0.3">
      <c r="A1360" s="21" t="s">
        <v>2206</v>
      </c>
      <c r="B1360" s="23">
        <v>990</v>
      </c>
      <c r="C1360" s="24" t="s">
        <v>400</v>
      </c>
      <c r="D1360" s="67" t="s">
        <v>2250</v>
      </c>
      <c r="E1360" s="19">
        <v>11</v>
      </c>
      <c r="F1360" s="10" t="s">
        <v>2271</v>
      </c>
      <c r="G1360" s="10" t="s">
        <v>1909</v>
      </c>
      <c r="H1360" s="33" t="s">
        <v>16</v>
      </c>
      <c r="I1360" s="34" t="s">
        <v>378</v>
      </c>
      <c r="J1360" s="9" t="s">
        <v>18</v>
      </c>
      <c r="K1360" s="142" t="s">
        <v>2271</v>
      </c>
      <c r="L1360" s="9" t="s">
        <v>457</v>
      </c>
      <c r="M1360" s="9" t="s">
        <v>2272</v>
      </c>
      <c r="N1360" s="9" t="s">
        <v>428</v>
      </c>
      <c r="O1360" s="20" t="s">
        <v>2922</v>
      </c>
      <c r="P1360" s="76" t="s">
        <v>7139</v>
      </c>
      <c r="Q1360" s="11" t="s">
        <v>1934</v>
      </c>
      <c r="R1360" s="148" t="str">
        <f>Agencia[[#This Row],[territorio]]&amp;",nacional,región,comuna,plazas,públicas,gestión,municipal,territorial,gobierno,regional,municipal,municipalidad,"&amp;Agencia[[#This Row],[coleccion]]&amp;","&amp;Agencia[[#This Row],[sector]]&amp;","&amp;Agencia[[#This Row],[tema]]&amp;","&amp;Agencia[[#This Row],[contenido]]</f>
        <v>Región de Aysén,nacional,región,comuna,plazas,públicas,gestión,municipal,territorial,gobierno,regional,municipal,municipalidad,Agencia Información,Gobiernos Locales,Plazas Públicas,Gestión Municipal Territorial</v>
      </c>
      <c r="S1360" s="37" t="s">
        <v>2682</v>
      </c>
      <c r="T1360" s="114" t="s">
        <v>1847</v>
      </c>
      <c r="U1360" s="46" t="s">
        <v>398</v>
      </c>
      <c r="V1360" s="93" t="str">
        <f>+Agencia[[#This Row],[idcoleccion]]&amp;"-"&amp;Agencia[[#This Row],[id]]</f>
        <v>990-1349</v>
      </c>
      <c r="W1360" s="93">
        <f>+VLOOKUP(Agencia[[#This Row],[Filtro URL]],Estructura!$X$4:$Y$500,2,0)</f>
        <v>99200011</v>
      </c>
      <c r="X1360" s="93" t="str">
        <f>+VLOOKUP(Agencia[[#This Row],[tema]],Estructura!$A$4:$C$500,3,0)</f>
        <v>T-1043</v>
      </c>
      <c r="Y1360" s="93" t="str">
        <f>+VLOOKUP(Agencia[[#This Row],[contenido]],Estructura!$E$4:$G$500,3,0)</f>
        <v>C-1015</v>
      </c>
      <c r="Z1360" s="93" t="str">
        <f>+VLOOKUP(Agencia[[#This Row],[Filtro Integrado]],Estructura!$I$4:$K$500,3,0)</f>
        <v>FI-991</v>
      </c>
      <c r="AA1360" s="93" t="str">
        <f>+VLOOKUP(Agencia[[#This Row],[Muestra]],Estructura!$M$4:$O$500,3,0)</f>
        <v>M-1091</v>
      </c>
    </row>
    <row r="1361" spans="1:27" ht="61.2" x14ac:dyDescent="0.3">
      <c r="A1361" s="21" t="s">
        <v>2207</v>
      </c>
      <c r="B1361" s="23">
        <v>990</v>
      </c>
      <c r="C1361" s="24" t="s">
        <v>400</v>
      </c>
      <c r="D1361" s="67" t="s">
        <v>2250</v>
      </c>
      <c r="E1361" s="19">
        <v>12</v>
      </c>
      <c r="F1361" s="10" t="s">
        <v>2271</v>
      </c>
      <c r="G1361" s="10" t="s">
        <v>1909</v>
      </c>
      <c r="H1361" s="33" t="s">
        <v>16</v>
      </c>
      <c r="I1361" s="34" t="s">
        <v>379</v>
      </c>
      <c r="J1361" s="9" t="s">
        <v>18</v>
      </c>
      <c r="K1361" s="142" t="s">
        <v>2271</v>
      </c>
      <c r="L1361" s="9" t="s">
        <v>457</v>
      </c>
      <c r="M1361" s="9" t="s">
        <v>2272</v>
      </c>
      <c r="N1361" s="9" t="s">
        <v>428</v>
      </c>
      <c r="O1361" s="20" t="s">
        <v>2923</v>
      </c>
      <c r="P1361" s="76" t="s">
        <v>7140</v>
      </c>
      <c r="Q1361" s="11" t="s">
        <v>1934</v>
      </c>
      <c r="R1361" s="148" t="str">
        <f>Agencia[[#This Row],[territorio]]&amp;",nacional,región,comuna,plazas,públicas,gestión,municipal,territorial,gobierno,regional,municipal,municipalidad,"&amp;Agencia[[#This Row],[coleccion]]&amp;","&amp;Agencia[[#This Row],[sector]]&amp;","&amp;Agencia[[#This Row],[tema]]&amp;","&amp;Agencia[[#This Row],[contenido]]</f>
        <v>Región de Magallanes,nacional,región,comuna,plazas,públicas,gestión,municipal,territorial,gobierno,regional,municipal,municipalidad,Agencia Información,Gobiernos Locales,Plazas Públicas,Gestión Municipal Territorial</v>
      </c>
      <c r="S1361" s="37" t="s">
        <v>2683</v>
      </c>
      <c r="T1361" s="114" t="s">
        <v>1852</v>
      </c>
      <c r="U1361" s="46" t="s">
        <v>398</v>
      </c>
      <c r="V1361" s="93" t="str">
        <f>+Agencia[[#This Row],[idcoleccion]]&amp;"-"&amp;Agencia[[#This Row],[id]]</f>
        <v>990-1350</v>
      </c>
      <c r="W1361" s="93">
        <f>+VLOOKUP(Agencia[[#This Row],[Filtro URL]],Estructura!$X$4:$Y$500,2,0)</f>
        <v>99200012</v>
      </c>
      <c r="X1361" s="93" t="str">
        <f>+VLOOKUP(Agencia[[#This Row],[tema]],Estructura!$A$4:$C$500,3,0)</f>
        <v>T-1043</v>
      </c>
      <c r="Y1361" s="93" t="str">
        <f>+VLOOKUP(Agencia[[#This Row],[contenido]],Estructura!$E$4:$G$500,3,0)</f>
        <v>C-1015</v>
      </c>
      <c r="Z1361" s="93" t="str">
        <f>+VLOOKUP(Agencia[[#This Row],[Filtro Integrado]],Estructura!$I$4:$K$500,3,0)</f>
        <v>FI-991</v>
      </c>
      <c r="AA1361" s="93" t="str">
        <f>+VLOOKUP(Agencia[[#This Row],[Muestra]],Estructura!$M$4:$O$500,3,0)</f>
        <v>M-1091</v>
      </c>
    </row>
    <row r="1362" spans="1:27" ht="61.2" x14ac:dyDescent="0.3">
      <c r="A1362" s="21" t="s">
        <v>2208</v>
      </c>
      <c r="B1362" s="23">
        <v>990</v>
      </c>
      <c r="C1362" s="24" t="s">
        <v>400</v>
      </c>
      <c r="D1362" s="67" t="s">
        <v>2250</v>
      </c>
      <c r="E1362" s="19">
        <v>13</v>
      </c>
      <c r="F1362" s="10" t="s">
        <v>2271</v>
      </c>
      <c r="G1362" s="10" t="s">
        <v>1909</v>
      </c>
      <c r="H1362" s="33" t="s">
        <v>16</v>
      </c>
      <c r="I1362" s="34" t="s">
        <v>380</v>
      </c>
      <c r="J1362" s="9" t="s">
        <v>18</v>
      </c>
      <c r="K1362" s="142" t="s">
        <v>2271</v>
      </c>
      <c r="L1362" s="9" t="s">
        <v>457</v>
      </c>
      <c r="M1362" s="9" t="s">
        <v>2272</v>
      </c>
      <c r="N1362" s="9" t="s">
        <v>428</v>
      </c>
      <c r="O1362" s="20" t="s">
        <v>2924</v>
      </c>
      <c r="P1362" s="76" t="s">
        <v>7141</v>
      </c>
      <c r="Q1362" s="11" t="s">
        <v>1934</v>
      </c>
      <c r="R1362" s="148" t="str">
        <f>Agencia[[#This Row],[territorio]]&amp;",nacional,región,comuna,plazas,públicas,gestión,municipal,territorial,gobierno,regional,municipal,municipalidad,"&amp;Agencia[[#This Row],[coleccion]]&amp;","&amp;Agencia[[#This Row],[sector]]&amp;","&amp;Agencia[[#This Row],[tema]]&amp;","&amp;Agencia[[#This Row],[contenido]]</f>
        <v>Región Metropolitana,nacional,región,comuna,plazas,públicas,gestión,municipal,territorial,gobierno,regional,municipal,municipalidad,Agencia Información,Gobiernos Locales,Plazas Públicas,Gestión Municipal Territorial</v>
      </c>
      <c r="S1362" s="37" t="s">
        <v>2684</v>
      </c>
      <c r="T1362" s="114" t="s">
        <v>1859</v>
      </c>
      <c r="U1362" s="46" t="s">
        <v>398</v>
      </c>
      <c r="V1362" s="93" t="str">
        <f>+Agencia[[#This Row],[idcoleccion]]&amp;"-"&amp;Agencia[[#This Row],[id]]</f>
        <v>990-1351</v>
      </c>
      <c r="W1362" s="93">
        <f>+VLOOKUP(Agencia[[#This Row],[Filtro URL]],Estructura!$X$4:$Y$500,2,0)</f>
        <v>99200013</v>
      </c>
      <c r="X1362" s="93" t="str">
        <f>+VLOOKUP(Agencia[[#This Row],[tema]],Estructura!$A$4:$C$500,3,0)</f>
        <v>T-1043</v>
      </c>
      <c r="Y1362" s="93" t="str">
        <f>+VLOOKUP(Agencia[[#This Row],[contenido]],Estructura!$E$4:$G$500,3,0)</f>
        <v>C-1015</v>
      </c>
      <c r="Z1362" s="93" t="str">
        <f>+VLOOKUP(Agencia[[#This Row],[Filtro Integrado]],Estructura!$I$4:$K$500,3,0)</f>
        <v>FI-991</v>
      </c>
      <c r="AA1362" s="93" t="str">
        <f>+VLOOKUP(Agencia[[#This Row],[Muestra]],Estructura!$M$4:$O$500,3,0)</f>
        <v>M-1091</v>
      </c>
    </row>
    <row r="1363" spans="1:27" ht="61.2" x14ac:dyDescent="0.3">
      <c r="A1363" s="21" t="s">
        <v>2209</v>
      </c>
      <c r="B1363" s="23">
        <v>990</v>
      </c>
      <c r="C1363" s="24" t="s">
        <v>400</v>
      </c>
      <c r="D1363" s="67" t="s">
        <v>2250</v>
      </c>
      <c r="E1363" s="19">
        <v>14</v>
      </c>
      <c r="F1363" s="10" t="s">
        <v>2271</v>
      </c>
      <c r="G1363" s="10" t="s">
        <v>1909</v>
      </c>
      <c r="H1363" s="33" t="s">
        <v>16</v>
      </c>
      <c r="I1363" s="34" t="s">
        <v>381</v>
      </c>
      <c r="J1363" s="9" t="s">
        <v>18</v>
      </c>
      <c r="K1363" s="142" t="s">
        <v>2271</v>
      </c>
      <c r="L1363" s="9" t="s">
        <v>457</v>
      </c>
      <c r="M1363" s="9" t="s">
        <v>2272</v>
      </c>
      <c r="N1363" s="9" t="s">
        <v>428</v>
      </c>
      <c r="O1363" s="20" t="s">
        <v>2925</v>
      </c>
      <c r="P1363" s="76" t="s">
        <v>7142</v>
      </c>
      <c r="Q1363" s="11" t="s">
        <v>1934</v>
      </c>
      <c r="R1363" s="148" t="str">
        <f>Agencia[[#This Row],[territorio]]&amp;",nacional,región,comuna,plazas,públicas,gestión,municipal,territorial,gobierno,regional,municipal,municipalidad,"&amp;Agencia[[#This Row],[coleccion]]&amp;","&amp;Agencia[[#This Row],[sector]]&amp;","&amp;Agencia[[#This Row],[tema]]&amp;","&amp;Agencia[[#This Row],[contenido]]</f>
        <v>Región de Los Ríos,nacional,región,comuna,plazas,públicas,gestión,municipal,territorial,gobierno,regional,municipal,municipalidad,Agencia Información,Gobiernos Locales,Plazas Públicas,Gestión Municipal Territorial</v>
      </c>
      <c r="S1363" s="37" t="s">
        <v>2685</v>
      </c>
      <c r="T1363" s="114" t="s">
        <v>1851</v>
      </c>
      <c r="U1363" s="46" t="s">
        <v>398</v>
      </c>
      <c r="V1363" s="93" t="str">
        <f>+Agencia[[#This Row],[idcoleccion]]&amp;"-"&amp;Agencia[[#This Row],[id]]</f>
        <v>990-1352</v>
      </c>
      <c r="W1363" s="93">
        <f>+VLOOKUP(Agencia[[#This Row],[Filtro URL]],Estructura!$X$4:$Y$500,2,0)</f>
        <v>99200014</v>
      </c>
      <c r="X1363" s="93" t="str">
        <f>+VLOOKUP(Agencia[[#This Row],[tema]],Estructura!$A$4:$C$500,3,0)</f>
        <v>T-1043</v>
      </c>
      <c r="Y1363" s="93" t="str">
        <f>+VLOOKUP(Agencia[[#This Row],[contenido]],Estructura!$E$4:$G$500,3,0)</f>
        <v>C-1015</v>
      </c>
      <c r="Z1363" s="93" t="str">
        <f>+VLOOKUP(Agencia[[#This Row],[Filtro Integrado]],Estructura!$I$4:$K$500,3,0)</f>
        <v>FI-991</v>
      </c>
      <c r="AA1363" s="93" t="str">
        <f>+VLOOKUP(Agencia[[#This Row],[Muestra]],Estructura!$M$4:$O$500,3,0)</f>
        <v>M-1091</v>
      </c>
    </row>
    <row r="1364" spans="1:27" ht="61.2" x14ac:dyDescent="0.3">
      <c r="A1364" s="21" t="s">
        <v>2210</v>
      </c>
      <c r="B1364" s="23">
        <v>990</v>
      </c>
      <c r="C1364" s="24" t="s">
        <v>400</v>
      </c>
      <c r="D1364" s="67" t="s">
        <v>2250</v>
      </c>
      <c r="E1364" s="19">
        <v>15</v>
      </c>
      <c r="F1364" s="10" t="s">
        <v>2271</v>
      </c>
      <c r="G1364" s="10" t="s">
        <v>1909</v>
      </c>
      <c r="H1364" s="33" t="s">
        <v>16</v>
      </c>
      <c r="I1364" s="34" t="s">
        <v>382</v>
      </c>
      <c r="J1364" s="9" t="s">
        <v>18</v>
      </c>
      <c r="K1364" s="142" t="s">
        <v>2271</v>
      </c>
      <c r="L1364" s="9" t="s">
        <v>457</v>
      </c>
      <c r="M1364" s="9" t="s">
        <v>2272</v>
      </c>
      <c r="N1364" s="9" t="s">
        <v>428</v>
      </c>
      <c r="O1364" s="20" t="s">
        <v>2926</v>
      </c>
      <c r="P1364" s="76" t="s">
        <v>7143</v>
      </c>
      <c r="Q1364" s="11" t="s">
        <v>1934</v>
      </c>
      <c r="R1364" s="148" t="str">
        <f>Agencia[[#This Row],[territorio]]&amp;",nacional,región,comuna,plazas,públicas,gestión,municipal,territorial,gobierno,regional,municipal,municipalidad,"&amp;Agencia[[#This Row],[coleccion]]&amp;","&amp;Agencia[[#This Row],[sector]]&amp;","&amp;Agencia[[#This Row],[tema]]&amp;","&amp;Agencia[[#This Row],[contenido]]</f>
        <v>Región de Arica y Parinacota,nacional,región,comuna,plazas,públicas,gestión,municipal,territorial,gobierno,regional,municipal,municipalidad,Agencia Información,Gobiernos Locales,Plazas Públicas,Gestión Municipal Territorial</v>
      </c>
      <c r="S1364" s="37" t="s">
        <v>2686</v>
      </c>
      <c r="T1364" s="114" t="s">
        <v>1845</v>
      </c>
      <c r="U1364" s="46" t="s">
        <v>398</v>
      </c>
      <c r="V1364" s="93" t="str">
        <f>+Agencia[[#This Row],[idcoleccion]]&amp;"-"&amp;Agencia[[#This Row],[id]]</f>
        <v>990-1353</v>
      </c>
      <c r="W1364" s="93">
        <f>+VLOOKUP(Agencia[[#This Row],[Filtro URL]],Estructura!$X$4:$Y$500,2,0)</f>
        <v>99200015</v>
      </c>
      <c r="X1364" s="93" t="str">
        <f>+VLOOKUP(Agencia[[#This Row],[tema]],Estructura!$A$4:$C$500,3,0)</f>
        <v>T-1043</v>
      </c>
      <c r="Y1364" s="93" t="str">
        <f>+VLOOKUP(Agencia[[#This Row],[contenido]],Estructura!$E$4:$G$500,3,0)</f>
        <v>C-1015</v>
      </c>
      <c r="Z1364" s="93" t="str">
        <f>+VLOOKUP(Agencia[[#This Row],[Filtro Integrado]],Estructura!$I$4:$K$500,3,0)</f>
        <v>FI-991</v>
      </c>
      <c r="AA1364" s="93" t="str">
        <f>+VLOOKUP(Agencia[[#This Row],[Muestra]],Estructura!$M$4:$O$500,3,0)</f>
        <v>M-1091</v>
      </c>
    </row>
    <row r="1365" spans="1:27" ht="61.2" x14ac:dyDescent="0.3">
      <c r="A1365" s="21" t="s">
        <v>2211</v>
      </c>
      <c r="B1365" s="23">
        <v>990</v>
      </c>
      <c r="C1365" s="24" t="s">
        <v>400</v>
      </c>
      <c r="D1365" s="67" t="s">
        <v>2250</v>
      </c>
      <c r="E1365" s="19">
        <v>16</v>
      </c>
      <c r="F1365" s="10" t="s">
        <v>2271</v>
      </c>
      <c r="G1365" s="10" t="s">
        <v>1909</v>
      </c>
      <c r="H1365" s="33" t="s">
        <v>16</v>
      </c>
      <c r="I1365" s="34" t="s">
        <v>383</v>
      </c>
      <c r="J1365" s="9" t="s">
        <v>18</v>
      </c>
      <c r="K1365" s="142" t="s">
        <v>2271</v>
      </c>
      <c r="L1365" s="9" t="s">
        <v>457</v>
      </c>
      <c r="M1365" s="9" t="s">
        <v>2272</v>
      </c>
      <c r="N1365" s="9" t="s">
        <v>428</v>
      </c>
      <c r="O1365" s="20" t="s">
        <v>2927</v>
      </c>
      <c r="P1365" s="76" t="s">
        <v>7144</v>
      </c>
      <c r="Q1365" s="11" t="s">
        <v>1934</v>
      </c>
      <c r="R1365" s="148" t="str">
        <f>Agencia[[#This Row],[territorio]]&amp;",nacional,región,comuna,plazas,públicas,gestión,municipal,territorial,gobierno,regional,municipal,municipalidad,"&amp;Agencia[[#This Row],[coleccion]]&amp;","&amp;Agencia[[#This Row],[sector]]&amp;","&amp;Agencia[[#This Row],[tema]]&amp;","&amp;Agencia[[#This Row],[contenido]]</f>
        <v>Región de Ñuble,nacional,región,comuna,plazas,públicas,gestión,municipal,territorial,gobierno,regional,municipal,municipalidad,Agencia Información,Gobiernos Locales,Plazas Públicas,Gestión Municipal Territorial</v>
      </c>
      <c r="S1365" s="37" t="s">
        <v>2928</v>
      </c>
      <c r="T1365" s="114" t="s">
        <v>1854</v>
      </c>
      <c r="U1365" s="46" t="s">
        <v>398</v>
      </c>
      <c r="V1365" s="93" t="str">
        <f>+Agencia[[#This Row],[idcoleccion]]&amp;"-"&amp;Agencia[[#This Row],[id]]</f>
        <v>990-1354</v>
      </c>
      <c r="W1365" s="93">
        <f>+VLOOKUP(Agencia[[#This Row],[Filtro URL]],Estructura!$X$4:$Y$500,2,0)</f>
        <v>99200016</v>
      </c>
      <c r="X1365" s="93" t="str">
        <f>+VLOOKUP(Agencia[[#This Row],[tema]],Estructura!$A$4:$C$500,3,0)</f>
        <v>T-1043</v>
      </c>
      <c r="Y1365" s="93" t="str">
        <f>+VLOOKUP(Agencia[[#This Row],[contenido]],Estructura!$E$4:$G$500,3,0)</f>
        <v>C-1015</v>
      </c>
      <c r="Z1365" s="93" t="str">
        <f>+VLOOKUP(Agencia[[#This Row],[Filtro Integrado]],Estructura!$I$4:$K$500,3,0)</f>
        <v>FI-991</v>
      </c>
      <c r="AA1365" s="93" t="str">
        <f>+VLOOKUP(Agencia[[#This Row],[Muestra]],Estructura!$M$4:$O$500,3,0)</f>
        <v>M-1091</v>
      </c>
    </row>
    <row r="1366" spans="1:27" ht="51" x14ac:dyDescent="0.3">
      <c r="A1366" s="21" t="s">
        <v>2213</v>
      </c>
      <c r="B1366" s="23">
        <v>990</v>
      </c>
      <c r="C1366" s="24" t="s">
        <v>400</v>
      </c>
      <c r="D1366" s="67" t="s">
        <v>2250</v>
      </c>
      <c r="E1366" s="14">
        <v>0</v>
      </c>
      <c r="F1366" s="10" t="s">
        <v>2988</v>
      </c>
      <c r="G1366" s="10" t="s">
        <v>1909</v>
      </c>
      <c r="H1366" s="31" t="s">
        <v>20</v>
      </c>
      <c r="I1366" s="32" t="s">
        <v>15</v>
      </c>
      <c r="J1366" s="9" t="s">
        <v>16</v>
      </c>
      <c r="K1366" s="9" t="s">
        <v>9289</v>
      </c>
      <c r="L1366" s="9" t="s">
        <v>422</v>
      </c>
      <c r="M1366" s="9" t="s">
        <v>2291</v>
      </c>
      <c r="N1366" s="9" t="s">
        <v>428</v>
      </c>
      <c r="O1366" s="20" t="s">
        <v>2929</v>
      </c>
      <c r="P1366" s="76" t="s">
        <v>7148</v>
      </c>
      <c r="Q1366" s="11" t="s">
        <v>784</v>
      </c>
      <c r="R1366" s="154" t="str">
        <f>Agencia[[#This Row],[territorio]]&amp;",regional,comuna,áreas,verdes,mantenidas,superficie,m2,habitante,gestión,municipal,territorial,gobierno,regional,municipal,municipalidad,"&amp;Agencia[[#This Row],[coleccion]]&amp;","&amp;Agencia[[#This Row],[sector]]&amp;","&amp;Agencia[[#This Row],[tema]]&amp;","&amp;Agencia[[#This Row],[contenido]]</f>
        <v>Chile,regional,comuna,áreas,verdes,mantenidas,superficie,m2,habitante,gestión,municipal,territorial,gobierno,regional,municipal,municipalidad,Agencia Información,Gobiernos Locales,Áreas Verdes  ,Gestión Municipal Territorial</v>
      </c>
      <c r="S1366" s="37" t="s">
        <v>2292</v>
      </c>
      <c r="T1366" s="114" t="s">
        <v>957</v>
      </c>
      <c r="U1366" s="46" t="s">
        <v>398</v>
      </c>
      <c r="V1366" s="93" t="str">
        <f>+Agencia[[#This Row],[idcoleccion]]&amp;"-"&amp;Agencia[[#This Row],[id]]</f>
        <v>990-1355</v>
      </c>
      <c r="W1366" s="93">
        <f>+VLOOKUP(Agencia[[#This Row],[Filtro URL]],Estructura!$X$4:$Y$500,2,0)</f>
        <v>99100000</v>
      </c>
      <c r="X1366" s="93" t="str">
        <f>+VLOOKUP(Agencia[[#This Row],[tema]],Estructura!$A$4:$C$500,3,0)</f>
        <v>T-1047</v>
      </c>
      <c r="Y1366" s="93" t="str">
        <f>+VLOOKUP(Agencia[[#This Row],[contenido]],Estructura!$E$4:$G$500,3,0)</f>
        <v>C-1015</v>
      </c>
      <c r="Z1366" s="93" t="str">
        <f>+VLOOKUP(Agencia[[#This Row],[Filtro Integrado]],Estructura!$I$4:$K$500,3,0)</f>
        <v>FI-992</v>
      </c>
      <c r="AA1366" s="93" t="str">
        <f>+VLOOKUP(Agencia[[#This Row],[Muestra]],Estructura!$M$4:$O$500,3,0)</f>
        <v>M-1092</v>
      </c>
    </row>
    <row r="1367" spans="1:27" ht="71.400000000000006" x14ac:dyDescent="0.3">
      <c r="A1367" s="21" t="s">
        <v>2214</v>
      </c>
      <c r="B1367" s="23">
        <v>990</v>
      </c>
      <c r="C1367" s="24" t="s">
        <v>400</v>
      </c>
      <c r="D1367" s="67" t="s">
        <v>2250</v>
      </c>
      <c r="E1367" s="19">
        <v>1</v>
      </c>
      <c r="F1367" s="10" t="s">
        <v>2988</v>
      </c>
      <c r="G1367" s="10" t="s">
        <v>1909</v>
      </c>
      <c r="H1367" s="33" t="s">
        <v>16</v>
      </c>
      <c r="I1367" s="34" t="s">
        <v>368</v>
      </c>
      <c r="J1367" s="9" t="s">
        <v>403</v>
      </c>
      <c r="K1367" s="142" t="s">
        <v>9289</v>
      </c>
      <c r="L1367" s="9" t="s">
        <v>422</v>
      </c>
      <c r="M1367" s="9" t="s">
        <v>2291</v>
      </c>
      <c r="N1367" s="9" t="s">
        <v>428</v>
      </c>
      <c r="O1367" s="20" t="s">
        <v>2930</v>
      </c>
      <c r="P1367" s="76" t="s">
        <v>7149</v>
      </c>
      <c r="Q1367" s="11" t="s">
        <v>784</v>
      </c>
      <c r="R1367"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Tarapacá,regional,comuna,áreas,verdes,mantenidas,superficie,m2,habitante,gestión,municipal,territorial,gobierno,regional,municipal,municipalidad,Agencia Información,Gobiernos Locales,Áreas Verdes  ,Gestión Municipal Territorial</v>
      </c>
      <c r="S1367" s="83" t="s">
        <v>2687</v>
      </c>
      <c r="T1367" s="114" t="s">
        <v>1856</v>
      </c>
      <c r="U1367" s="46" t="s">
        <v>398</v>
      </c>
      <c r="V1367" s="93" t="str">
        <f>+Agencia[[#This Row],[idcoleccion]]&amp;"-"&amp;Agencia[[#This Row],[id]]</f>
        <v>990-1356</v>
      </c>
      <c r="W1367" s="93">
        <f>+VLOOKUP(Agencia[[#This Row],[Filtro URL]],Estructura!$X$4:$Y$500,2,0)</f>
        <v>99200001</v>
      </c>
      <c r="X1367" s="93" t="str">
        <f>+VLOOKUP(Agencia[[#This Row],[tema]],Estructura!$A$4:$C$500,3,0)</f>
        <v>T-1047</v>
      </c>
      <c r="Y1367" s="93" t="str">
        <f>+VLOOKUP(Agencia[[#This Row],[contenido]],Estructura!$E$4:$G$500,3,0)</f>
        <v>C-1015</v>
      </c>
      <c r="Z1367" s="93" t="str">
        <f>+VLOOKUP(Agencia[[#This Row],[Filtro Integrado]],Estructura!$I$4:$K$500,3,0)</f>
        <v>FI-993</v>
      </c>
      <c r="AA1367" s="93" t="str">
        <f>+VLOOKUP(Agencia[[#This Row],[Muestra]],Estructura!$M$4:$O$500,3,0)</f>
        <v>M-1092</v>
      </c>
    </row>
    <row r="1368" spans="1:27" ht="71.400000000000006" x14ac:dyDescent="0.3">
      <c r="A1368" s="21" t="s">
        <v>2215</v>
      </c>
      <c r="B1368" s="23">
        <v>990</v>
      </c>
      <c r="C1368" s="24" t="s">
        <v>400</v>
      </c>
      <c r="D1368" s="67" t="s">
        <v>2250</v>
      </c>
      <c r="E1368" s="19">
        <v>2</v>
      </c>
      <c r="F1368" s="10" t="s">
        <v>2988</v>
      </c>
      <c r="G1368" s="10" t="s">
        <v>1909</v>
      </c>
      <c r="H1368" s="33" t="s">
        <v>16</v>
      </c>
      <c r="I1368" s="34" t="s">
        <v>369</v>
      </c>
      <c r="J1368" s="9" t="s">
        <v>403</v>
      </c>
      <c r="K1368" s="142" t="s">
        <v>9289</v>
      </c>
      <c r="L1368" s="9" t="s">
        <v>422</v>
      </c>
      <c r="M1368" s="9" t="s">
        <v>2291</v>
      </c>
      <c r="N1368" s="9" t="s">
        <v>428</v>
      </c>
      <c r="O1368" s="20" t="s">
        <v>2931</v>
      </c>
      <c r="P1368" s="76" t="s">
        <v>7150</v>
      </c>
      <c r="Q1368" s="11" t="s">
        <v>784</v>
      </c>
      <c r="R1368"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Antofagasta,regional,comuna,áreas,verdes,mantenidas,superficie,m2,habitante,gestión,municipal,territorial,gobierno,regional,municipal,municipalidad,Agencia Información,Gobiernos Locales,Áreas Verdes  ,Gestión Municipal Territorial</v>
      </c>
      <c r="S1368" s="37" t="s">
        <v>2688</v>
      </c>
      <c r="T1368" s="114" t="s">
        <v>1844</v>
      </c>
      <c r="U1368" s="46" t="s">
        <v>398</v>
      </c>
      <c r="V1368" s="93" t="str">
        <f>+Agencia[[#This Row],[idcoleccion]]&amp;"-"&amp;Agencia[[#This Row],[id]]</f>
        <v>990-1357</v>
      </c>
      <c r="W1368" s="93">
        <f>+VLOOKUP(Agencia[[#This Row],[Filtro URL]],Estructura!$X$4:$Y$500,2,0)</f>
        <v>99200002</v>
      </c>
      <c r="X1368" s="93" t="str">
        <f>+VLOOKUP(Agencia[[#This Row],[tema]],Estructura!$A$4:$C$500,3,0)</f>
        <v>T-1047</v>
      </c>
      <c r="Y1368" s="93" t="str">
        <f>+VLOOKUP(Agencia[[#This Row],[contenido]],Estructura!$E$4:$G$500,3,0)</f>
        <v>C-1015</v>
      </c>
      <c r="Z1368" s="93" t="str">
        <f>+VLOOKUP(Agencia[[#This Row],[Filtro Integrado]],Estructura!$I$4:$K$500,3,0)</f>
        <v>FI-993</v>
      </c>
      <c r="AA1368" s="93" t="str">
        <f>+VLOOKUP(Agencia[[#This Row],[Muestra]],Estructura!$M$4:$O$500,3,0)</f>
        <v>M-1092</v>
      </c>
    </row>
    <row r="1369" spans="1:27" ht="71.400000000000006" x14ac:dyDescent="0.3">
      <c r="A1369" s="21" t="s">
        <v>2216</v>
      </c>
      <c r="B1369" s="23">
        <v>990</v>
      </c>
      <c r="C1369" s="24" t="s">
        <v>400</v>
      </c>
      <c r="D1369" s="67" t="s">
        <v>2250</v>
      </c>
      <c r="E1369" s="19">
        <v>3</v>
      </c>
      <c r="F1369" s="10" t="s">
        <v>2988</v>
      </c>
      <c r="G1369" s="10" t="s">
        <v>1909</v>
      </c>
      <c r="H1369" s="33" t="s">
        <v>16</v>
      </c>
      <c r="I1369" s="34" t="s">
        <v>370</v>
      </c>
      <c r="J1369" s="9" t="s">
        <v>403</v>
      </c>
      <c r="K1369" s="142" t="s">
        <v>9289</v>
      </c>
      <c r="L1369" s="9" t="s">
        <v>422</v>
      </c>
      <c r="M1369" s="9" t="s">
        <v>2291</v>
      </c>
      <c r="N1369" s="9" t="s">
        <v>428</v>
      </c>
      <c r="O1369" s="20" t="s">
        <v>2932</v>
      </c>
      <c r="P1369" s="76" t="s">
        <v>7151</v>
      </c>
      <c r="Q1369" s="11" t="s">
        <v>784</v>
      </c>
      <c r="R1369"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Atacama,regional,comuna,áreas,verdes,mantenidas,superficie,m2,habitante,gestión,municipal,territorial,gobierno,regional,municipal,municipalidad,Agencia Información,Gobiernos Locales,Áreas Verdes  ,Gestión Municipal Territorial</v>
      </c>
      <c r="S1369" s="37" t="s">
        <v>2689</v>
      </c>
      <c r="T1369" s="114" t="s">
        <v>1846</v>
      </c>
      <c r="U1369" s="46" t="s">
        <v>398</v>
      </c>
      <c r="V1369" s="93" t="str">
        <f>+Agencia[[#This Row],[idcoleccion]]&amp;"-"&amp;Agencia[[#This Row],[id]]</f>
        <v>990-1358</v>
      </c>
      <c r="W1369" s="93">
        <f>+VLOOKUP(Agencia[[#This Row],[Filtro URL]],Estructura!$X$4:$Y$500,2,0)</f>
        <v>99200003</v>
      </c>
      <c r="X1369" s="93" t="str">
        <f>+VLOOKUP(Agencia[[#This Row],[tema]],Estructura!$A$4:$C$500,3,0)</f>
        <v>T-1047</v>
      </c>
      <c r="Y1369" s="93" t="str">
        <f>+VLOOKUP(Agencia[[#This Row],[contenido]],Estructura!$E$4:$G$500,3,0)</f>
        <v>C-1015</v>
      </c>
      <c r="Z1369" s="93" t="str">
        <f>+VLOOKUP(Agencia[[#This Row],[Filtro Integrado]],Estructura!$I$4:$K$500,3,0)</f>
        <v>FI-993</v>
      </c>
      <c r="AA1369" s="93" t="str">
        <f>+VLOOKUP(Agencia[[#This Row],[Muestra]],Estructura!$M$4:$O$500,3,0)</f>
        <v>M-1092</v>
      </c>
    </row>
    <row r="1370" spans="1:27" ht="71.400000000000006" x14ac:dyDescent="0.3">
      <c r="A1370" s="21" t="s">
        <v>2217</v>
      </c>
      <c r="B1370" s="23">
        <v>990</v>
      </c>
      <c r="C1370" s="24" t="s">
        <v>400</v>
      </c>
      <c r="D1370" s="67" t="s">
        <v>2250</v>
      </c>
      <c r="E1370" s="19">
        <v>4</v>
      </c>
      <c r="F1370" s="10" t="s">
        <v>2988</v>
      </c>
      <c r="G1370" s="10" t="s">
        <v>1909</v>
      </c>
      <c r="H1370" s="33" t="s">
        <v>16</v>
      </c>
      <c r="I1370" s="34" t="s">
        <v>371</v>
      </c>
      <c r="J1370" s="9" t="s">
        <v>403</v>
      </c>
      <c r="K1370" s="142" t="s">
        <v>9289</v>
      </c>
      <c r="L1370" s="9" t="s">
        <v>422</v>
      </c>
      <c r="M1370" s="9" t="s">
        <v>2291</v>
      </c>
      <c r="N1370" s="9" t="s">
        <v>428</v>
      </c>
      <c r="O1370" s="20" t="s">
        <v>2933</v>
      </c>
      <c r="P1370" s="76" t="s">
        <v>7152</v>
      </c>
      <c r="Q1370" s="11" t="s">
        <v>784</v>
      </c>
      <c r="R1370"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Coquimbo,regional,comuna,áreas,verdes,mantenidas,superficie,m2,habitante,gestión,municipal,territorial,gobierno,regional,municipal,municipalidad,Agencia Información,Gobiernos Locales,Áreas Verdes  ,Gestión Municipal Territorial</v>
      </c>
      <c r="S1370" s="132" t="s">
        <v>2690</v>
      </c>
      <c r="T1370" s="114" t="s">
        <v>1848</v>
      </c>
      <c r="U1370" s="46" t="s">
        <v>398</v>
      </c>
      <c r="V1370" s="93" t="str">
        <f>+Agencia[[#This Row],[idcoleccion]]&amp;"-"&amp;Agencia[[#This Row],[id]]</f>
        <v>990-1359</v>
      </c>
      <c r="W1370" s="93">
        <f>+VLOOKUP(Agencia[[#This Row],[Filtro URL]],Estructura!$X$4:$Y$500,2,0)</f>
        <v>99200004</v>
      </c>
      <c r="X1370" s="93" t="str">
        <f>+VLOOKUP(Agencia[[#This Row],[tema]],Estructura!$A$4:$C$500,3,0)</f>
        <v>T-1047</v>
      </c>
      <c r="Y1370" s="93" t="str">
        <f>+VLOOKUP(Agencia[[#This Row],[contenido]],Estructura!$E$4:$G$500,3,0)</f>
        <v>C-1015</v>
      </c>
      <c r="Z1370" s="93" t="str">
        <f>+VLOOKUP(Agencia[[#This Row],[Filtro Integrado]],Estructura!$I$4:$K$500,3,0)</f>
        <v>FI-993</v>
      </c>
      <c r="AA1370" s="93" t="str">
        <f>+VLOOKUP(Agencia[[#This Row],[Muestra]],Estructura!$M$4:$O$500,3,0)</f>
        <v>M-1092</v>
      </c>
    </row>
    <row r="1371" spans="1:27" ht="71.400000000000006" x14ac:dyDescent="0.3">
      <c r="A1371" s="21" t="s">
        <v>2218</v>
      </c>
      <c r="B1371" s="23">
        <v>990</v>
      </c>
      <c r="C1371" s="24" t="s">
        <v>400</v>
      </c>
      <c r="D1371" s="67" t="s">
        <v>2250</v>
      </c>
      <c r="E1371" s="19">
        <v>5</v>
      </c>
      <c r="F1371" s="10" t="s">
        <v>2988</v>
      </c>
      <c r="G1371" s="10" t="s">
        <v>1909</v>
      </c>
      <c r="H1371" s="33" t="s">
        <v>16</v>
      </c>
      <c r="I1371" s="34" t="s">
        <v>372</v>
      </c>
      <c r="J1371" s="9" t="s">
        <v>403</v>
      </c>
      <c r="K1371" s="142" t="s">
        <v>9289</v>
      </c>
      <c r="L1371" s="9" t="s">
        <v>422</v>
      </c>
      <c r="M1371" s="9" t="s">
        <v>2291</v>
      </c>
      <c r="N1371" s="9" t="s">
        <v>428</v>
      </c>
      <c r="O1371" s="20" t="s">
        <v>2934</v>
      </c>
      <c r="P1371" s="76" t="s">
        <v>7153</v>
      </c>
      <c r="Q1371" s="11" t="s">
        <v>784</v>
      </c>
      <c r="R1371"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Valparaíso,regional,comuna,áreas,verdes,mantenidas,superficie,m2,habitante,gestión,municipal,territorial,gobierno,regional,municipal,municipalidad,Agencia Información,Gobiernos Locales,Áreas Verdes  ,Gestión Municipal Territorial</v>
      </c>
      <c r="S1371" s="37" t="s">
        <v>2691</v>
      </c>
      <c r="T1371" s="114" t="s">
        <v>1857</v>
      </c>
      <c r="U1371" s="46" t="s">
        <v>398</v>
      </c>
      <c r="V1371" s="93" t="str">
        <f>+Agencia[[#This Row],[idcoleccion]]&amp;"-"&amp;Agencia[[#This Row],[id]]</f>
        <v>990-1360</v>
      </c>
      <c r="W1371" s="93">
        <f>+VLOOKUP(Agencia[[#This Row],[Filtro URL]],Estructura!$X$4:$Y$500,2,0)</f>
        <v>99200005</v>
      </c>
      <c r="X1371" s="93" t="str">
        <f>+VLOOKUP(Agencia[[#This Row],[tema]],Estructura!$A$4:$C$500,3,0)</f>
        <v>T-1047</v>
      </c>
      <c r="Y1371" s="93" t="str">
        <f>+VLOOKUP(Agencia[[#This Row],[contenido]],Estructura!$E$4:$G$500,3,0)</f>
        <v>C-1015</v>
      </c>
      <c r="Z1371" s="93" t="str">
        <f>+VLOOKUP(Agencia[[#This Row],[Filtro Integrado]],Estructura!$I$4:$K$500,3,0)</f>
        <v>FI-993</v>
      </c>
      <c r="AA1371" s="93" t="str">
        <f>+VLOOKUP(Agencia[[#This Row],[Muestra]],Estructura!$M$4:$O$500,3,0)</f>
        <v>M-1092</v>
      </c>
    </row>
    <row r="1372" spans="1:27" ht="71.400000000000006" x14ac:dyDescent="0.3">
      <c r="A1372" s="21" t="s">
        <v>2219</v>
      </c>
      <c r="B1372" s="23">
        <v>990</v>
      </c>
      <c r="C1372" s="24" t="s">
        <v>400</v>
      </c>
      <c r="D1372" s="67" t="s">
        <v>2250</v>
      </c>
      <c r="E1372" s="19">
        <v>6</v>
      </c>
      <c r="F1372" s="10" t="s">
        <v>2988</v>
      </c>
      <c r="G1372" s="10" t="s">
        <v>1909</v>
      </c>
      <c r="H1372" s="33" t="s">
        <v>16</v>
      </c>
      <c r="I1372" s="34" t="s">
        <v>373</v>
      </c>
      <c r="J1372" s="9" t="s">
        <v>403</v>
      </c>
      <c r="K1372" s="142" t="s">
        <v>9289</v>
      </c>
      <c r="L1372" s="9" t="s">
        <v>422</v>
      </c>
      <c r="M1372" s="9" t="s">
        <v>2291</v>
      </c>
      <c r="N1372" s="9" t="s">
        <v>428</v>
      </c>
      <c r="O1372" s="20" t="s">
        <v>2935</v>
      </c>
      <c r="P1372" s="76" t="s">
        <v>7162</v>
      </c>
      <c r="Q1372" s="11" t="s">
        <v>784</v>
      </c>
      <c r="R1372"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O'Higgins,regional,comuna,áreas,verdes,mantenidas,superficie,m2,habitante,gestión,municipal,territorial,gobierno,regional,municipal,municipalidad,Agencia Información,Gobiernos Locales,Áreas Verdes  ,Gestión Municipal Territorial</v>
      </c>
      <c r="S1372" s="37" t="s">
        <v>2692</v>
      </c>
      <c r="T1372" s="114" t="s">
        <v>1855</v>
      </c>
      <c r="U1372" s="46" t="s">
        <v>398</v>
      </c>
      <c r="V1372" s="93" t="str">
        <f>+Agencia[[#This Row],[idcoleccion]]&amp;"-"&amp;Agencia[[#This Row],[id]]</f>
        <v>990-1361</v>
      </c>
      <c r="W1372" s="93">
        <f>+VLOOKUP(Agencia[[#This Row],[Filtro URL]],Estructura!$X$4:$Y$500,2,0)</f>
        <v>99200006</v>
      </c>
      <c r="X1372" s="93" t="str">
        <f>+VLOOKUP(Agencia[[#This Row],[tema]],Estructura!$A$4:$C$500,3,0)</f>
        <v>T-1047</v>
      </c>
      <c r="Y1372" s="93" t="str">
        <f>+VLOOKUP(Agencia[[#This Row],[contenido]],Estructura!$E$4:$G$500,3,0)</f>
        <v>C-1015</v>
      </c>
      <c r="Z1372" s="93" t="str">
        <f>+VLOOKUP(Agencia[[#This Row],[Filtro Integrado]],Estructura!$I$4:$K$500,3,0)</f>
        <v>FI-993</v>
      </c>
      <c r="AA1372" s="93" t="str">
        <f>+VLOOKUP(Agencia[[#This Row],[Muestra]],Estructura!$M$4:$O$500,3,0)</f>
        <v>M-1092</v>
      </c>
    </row>
    <row r="1373" spans="1:27" ht="61.2" x14ac:dyDescent="0.3">
      <c r="A1373" s="21" t="s">
        <v>2220</v>
      </c>
      <c r="B1373" s="23">
        <v>990</v>
      </c>
      <c r="C1373" s="24" t="s">
        <v>400</v>
      </c>
      <c r="D1373" s="67" t="s">
        <v>2250</v>
      </c>
      <c r="E1373" s="19">
        <v>7</v>
      </c>
      <c r="F1373" s="10" t="s">
        <v>2988</v>
      </c>
      <c r="G1373" s="10" t="s">
        <v>1909</v>
      </c>
      <c r="H1373" s="33" t="s">
        <v>16</v>
      </c>
      <c r="I1373" s="34" t="s">
        <v>374</v>
      </c>
      <c r="J1373" s="9" t="s">
        <v>403</v>
      </c>
      <c r="K1373" s="142" t="s">
        <v>9289</v>
      </c>
      <c r="L1373" s="9" t="s">
        <v>422</v>
      </c>
      <c r="M1373" s="9" t="s">
        <v>2291</v>
      </c>
      <c r="N1373" s="9" t="s">
        <v>428</v>
      </c>
      <c r="O1373" s="20" t="s">
        <v>2936</v>
      </c>
      <c r="P1373" s="76" t="s">
        <v>7154</v>
      </c>
      <c r="Q1373" s="11" t="s">
        <v>784</v>
      </c>
      <c r="R1373"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Maule,regional,comuna,áreas,verdes,mantenidas,superficie,m2,habitante,gestión,municipal,territorial,gobierno,regional,municipal,municipalidad,Agencia Información,Gobiernos Locales,Áreas Verdes  ,Gestión Municipal Territorial</v>
      </c>
      <c r="S1373" s="37" t="s">
        <v>2693</v>
      </c>
      <c r="T1373" s="114" t="s">
        <v>1853</v>
      </c>
      <c r="U1373" s="46" t="s">
        <v>398</v>
      </c>
      <c r="V1373" s="93" t="str">
        <f>+Agencia[[#This Row],[idcoleccion]]&amp;"-"&amp;Agencia[[#This Row],[id]]</f>
        <v>990-1362</v>
      </c>
      <c r="W1373" s="93">
        <f>+VLOOKUP(Agencia[[#This Row],[Filtro URL]],Estructura!$X$4:$Y$500,2,0)</f>
        <v>99200007</v>
      </c>
      <c r="X1373" s="93" t="str">
        <f>+VLOOKUP(Agencia[[#This Row],[tema]],Estructura!$A$4:$C$500,3,0)</f>
        <v>T-1047</v>
      </c>
      <c r="Y1373" s="93" t="str">
        <f>+VLOOKUP(Agencia[[#This Row],[contenido]],Estructura!$E$4:$G$500,3,0)</f>
        <v>C-1015</v>
      </c>
      <c r="Z1373" s="93" t="str">
        <f>+VLOOKUP(Agencia[[#This Row],[Filtro Integrado]],Estructura!$I$4:$K$500,3,0)</f>
        <v>FI-993</v>
      </c>
      <c r="AA1373" s="93" t="str">
        <f>+VLOOKUP(Agencia[[#This Row],[Muestra]],Estructura!$M$4:$O$500,3,0)</f>
        <v>M-1092</v>
      </c>
    </row>
    <row r="1374" spans="1:27" ht="61.2" x14ac:dyDescent="0.3">
      <c r="A1374" s="21" t="s">
        <v>2221</v>
      </c>
      <c r="B1374" s="23">
        <v>990</v>
      </c>
      <c r="C1374" s="24" t="s">
        <v>400</v>
      </c>
      <c r="D1374" s="67" t="s">
        <v>2250</v>
      </c>
      <c r="E1374" s="19">
        <v>8</v>
      </c>
      <c r="F1374" s="10" t="s">
        <v>2988</v>
      </c>
      <c r="G1374" s="10" t="s">
        <v>1909</v>
      </c>
      <c r="H1374" s="33" t="s">
        <v>16</v>
      </c>
      <c r="I1374" s="34" t="s">
        <v>375</v>
      </c>
      <c r="J1374" s="9" t="s">
        <v>403</v>
      </c>
      <c r="K1374" s="142" t="s">
        <v>9289</v>
      </c>
      <c r="L1374" s="9" t="s">
        <v>422</v>
      </c>
      <c r="M1374" s="9" t="s">
        <v>2291</v>
      </c>
      <c r="N1374" s="9" t="s">
        <v>428</v>
      </c>
      <c r="O1374" s="20" t="s">
        <v>2937</v>
      </c>
      <c r="P1374" s="76" t="s">
        <v>7163</v>
      </c>
      <c r="Q1374" s="11" t="s">
        <v>784</v>
      </c>
      <c r="R1374"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del Biobío,regional,comuna,áreas,verdes,mantenidas,superficie,m2,habitante,gestión,municipal,territorial,gobierno,regional,municipal,municipalidad,Agencia Información,Gobiernos Locales,Áreas Verdes  ,Gestión Municipal Territorial</v>
      </c>
      <c r="S1374" s="37" t="s">
        <v>2694</v>
      </c>
      <c r="T1374" s="114" t="s">
        <v>1858</v>
      </c>
      <c r="U1374" s="46" t="s">
        <v>398</v>
      </c>
      <c r="V1374" s="93" t="str">
        <f>+Agencia[[#This Row],[idcoleccion]]&amp;"-"&amp;Agencia[[#This Row],[id]]</f>
        <v>990-1363</v>
      </c>
      <c r="W1374" s="93">
        <f>+VLOOKUP(Agencia[[#This Row],[Filtro URL]],Estructura!$X$4:$Y$500,2,0)</f>
        <v>99200008</v>
      </c>
      <c r="X1374" s="93" t="str">
        <f>+VLOOKUP(Agencia[[#This Row],[tema]],Estructura!$A$4:$C$500,3,0)</f>
        <v>T-1047</v>
      </c>
      <c r="Y1374" s="93" t="str">
        <f>+VLOOKUP(Agencia[[#This Row],[contenido]],Estructura!$E$4:$G$500,3,0)</f>
        <v>C-1015</v>
      </c>
      <c r="Z1374" s="93" t="str">
        <f>+VLOOKUP(Agencia[[#This Row],[Filtro Integrado]],Estructura!$I$4:$K$500,3,0)</f>
        <v>FI-993</v>
      </c>
      <c r="AA1374" s="93" t="str">
        <f>+VLOOKUP(Agencia[[#This Row],[Muestra]],Estructura!$M$4:$O$500,3,0)</f>
        <v>M-1092</v>
      </c>
    </row>
    <row r="1375" spans="1:27" ht="71.400000000000006" x14ac:dyDescent="0.3">
      <c r="A1375" s="21" t="s">
        <v>2222</v>
      </c>
      <c r="B1375" s="23">
        <v>990</v>
      </c>
      <c r="C1375" s="24" t="s">
        <v>400</v>
      </c>
      <c r="D1375" s="67" t="s">
        <v>2250</v>
      </c>
      <c r="E1375" s="19">
        <v>9</v>
      </c>
      <c r="F1375" s="10" t="s">
        <v>2988</v>
      </c>
      <c r="G1375" s="10" t="s">
        <v>1909</v>
      </c>
      <c r="H1375" s="33" t="s">
        <v>16</v>
      </c>
      <c r="I1375" s="34" t="s">
        <v>376</v>
      </c>
      <c r="J1375" s="9" t="s">
        <v>403</v>
      </c>
      <c r="K1375" s="142" t="s">
        <v>9289</v>
      </c>
      <c r="L1375" s="9" t="s">
        <v>422</v>
      </c>
      <c r="M1375" s="9" t="s">
        <v>2291</v>
      </c>
      <c r="N1375" s="9" t="s">
        <v>428</v>
      </c>
      <c r="O1375" s="20" t="s">
        <v>2938</v>
      </c>
      <c r="P1375" s="76" t="s">
        <v>7164</v>
      </c>
      <c r="Q1375" s="11" t="s">
        <v>784</v>
      </c>
      <c r="R1375"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La Araucanía,regional,comuna,áreas,verdes,mantenidas,superficie,m2,habitante,gestión,municipal,territorial,gobierno,regional,municipal,municipalidad,Agencia Información,Gobiernos Locales,Áreas Verdes  ,Gestión Municipal Territorial</v>
      </c>
      <c r="S1375" s="37" t="s">
        <v>2695</v>
      </c>
      <c r="T1375" s="114" t="s">
        <v>1849</v>
      </c>
      <c r="U1375" s="46" t="s">
        <v>398</v>
      </c>
      <c r="V1375" s="93" t="str">
        <f>+Agencia[[#This Row],[idcoleccion]]&amp;"-"&amp;Agencia[[#This Row],[id]]</f>
        <v>990-1364</v>
      </c>
      <c r="W1375" s="93">
        <f>+VLOOKUP(Agencia[[#This Row],[Filtro URL]],Estructura!$X$4:$Y$500,2,0)</f>
        <v>99200009</v>
      </c>
      <c r="X1375" s="93" t="str">
        <f>+VLOOKUP(Agencia[[#This Row],[tema]],Estructura!$A$4:$C$500,3,0)</f>
        <v>T-1047</v>
      </c>
      <c r="Y1375" s="93" t="str">
        <f>+VLOOKUP(Agencia[[#This Row],[contenido]],Estructura!$E$4:$G$500,3,0)</f>
        <v>C-1015</v>
      </c>
      <c r="Z1375" s="93" t="str">
        <f>+VLOOKUP(Agencia[[#This Row],[Filtro Integrado]],Estructura!$I$4:$K$500,3,0)</f>
        <v>FI-993</v>
      </c>
      <c r="AA1375" s="93" t="str">
        <f>+VLOOKUP(Agencia[[#This Row],[Muestra]],Estructura!$M$4:$O$500,3,0)</f>
        <v>M-1092</v>
      </c>
    </row>
    <row r="1376" spans="1:27" ht="61.2" x14ac:dyDescent="0.3">
      <c r="A1376" s="21" t="s">
        <v>2223</v>
      </c>
      <c r="B1376" s="23">
        <v>990</v>
      </c>
      <c r="C1376" s="24" t="s">
        <v>400</v>
      </c>
      <c r="D1376" s="67" t="s">
        <v>2250</v>
      </c>
      <c r="E1376" s="19">
        <v>10</v>
      </c>
      <c r="F1376" s="10" t="s">
        <v>2988</v>
      </c>
      <c r="G1376" s="10" t="s">
        <v>1909</v>
      </c>
      <c r="H1376" s="33" t="s">
        <v>16</v>
      </c>
      <c r="I1376" s="34" t="s">
        <v>377</v>
      </c>
      <c r="J1376" s="9" t="s">
        <v>403</v>
      </c>
      <c r="K1376" s="142" t="s">
        <v>9289</v>
      </c>
      <c r="L1376" s="9" t="s">
        <v>422</v>
      </c>
      <c r="M1376" s="9" t="s">
        <v>2291</v>
      </c>
      <c r="N1376" s="9" t="s">
        <v>428</v>
      </c>
      <c r="O1376" s="20" t="s">
        <v>2939</v>
      </c>
      <c r="P1376" s="76" t="s">
        <v>7155</v>
      </c>
      <c r="Q1376" s="11" t="s">
        <v>784</v>
      </c>
      <c r="R1376"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Los Lagos,regional,comuna,áreas,verdes,mantenidas,superficie,m2,habitante,gestión,municipal,territorial,gobierno,regional,municipal,municipalidad,Agencia Información,Gobiernos Locales,Áreas Verdes  ,Gestión Municipal Territorial</v>
      </c>
      <c r="S1376" s="37" t="s">
        <v>2696</v>
      </c>
      <c r="T1376" s="114" t="s">
        <v>1850</v>
      </c>
      <c r="U1376" s="46" t="s">
        <v>398</v>
      </c>
      <c r="V1376" s="93" t="str">
        <f>+Agencia[[#This Row],[idcoleccion]]&amp;"-"&amp;Agencia[[#This Row],[id]]</f>
        <v>990-1365</v>
      </c>
      <c r="W1376" s="93">
        <f>+VLOOKUP(Agencia[[#This Row],[Filtro URL]],Estructura!$X$4:$Y$500,2,0)</f>
        <v>99200010</v>
      </c>
      <c r="X1376" s="93" t="str">
        <f>+VLOOKUP(Agencia[[#This Row],[tema]],Estructura!$A$4:$C$500,3,0)</f>
        <v>T-1047</v>
      </c>
      <c r="Y1376" s="93" t="str">
        <f>+VLOOKUP(Agencia[[#This Row],[contenido]],Estructura!$E$4:$G$500,3,0)</f>
        <v>C-1015</v>
      </c>
      <c r="Z1376" s="93" t="str">
        <f>+VLOOKUP(Agencia[[#This Row],[Filtro Integrado]],Estructura!$I$4:$K$500,3,0)</f>
        <v>FI-993</v>
      </c>
      <c r="AA1376" s="93" t="str">
        <f>+VLOOKUP(Agencia[[#This Row],[Muestra]],Estructura!$M$4:$O$500,3,0)</f>
        <v>M-1092</v>
      </c>
    </row>
    <row r="1377" spans="1:27" ht="61.2" x14ac:dyDescent="0.3">
      <c r="A1377" s="21" t="s">
        <v>2224</v>
      </c>
      <c r="B1377" s="23">
        <v>990</v>
      </c>
      <c r="C1377" s="24" t="s">
        <v>400</v>
      </c>
      <c r="D1377" s="67" t="s">
        <v>2250</v>
      </c>
      <c r="E1377" s="19">
        <v>11</v>
      </c>
      <c r="F1377" s="10" t="s">
        <v>2988</v>
      </c>
      <c r="G1377" s="10" t="s">
        <v>1909</v>
      </c>
      <c r="H1377" s="33" t="s">
        <v>16</v>
      </c>
      <c r="I1377" s="34" t="s">
        <v>378</v>
      </c>
      <c r="J1377" s="9" t="s">
        <v>403</v>
      </c>
      <c r="K1377" s="142" t="s">
        <v>9289</v>
      </c>
      <c r="L1377" s="9" t="s">
        <v>422</v>
      </c>
      <c r="M1377" s="9" t="s">
        <v>2291</v>
      </c>
      <c r="N1377" s="9" t="s">
        <v>428</v>
      </c>
      <c r="O1377" s="20" t="s">
        <v>2940</v>
      </c>
      <c r="P1377" s="76" t="s">
        <v>7156</v>
      </c>
      <c r="Q1377" s="11" t="s">
        <v>784</v>
      </c>
      <c r="R1377"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Aysén,regional,comuna,áreas,verdes,mantenidas,superficie,m2,habitante,gestión,municipal,territorial,gobierno,regional,municipal,municipalidad,Agencia Información,Gobiernos Locales,Áreas Verdes  ,Gestión Municipal Territorial</v>
      </c>
      <c r="S1377" s="37" t="s">
        <v>2697</v>
      </c>
      <c r="T1377" s="114" t="s">
        <v>1847</v>
      </c>
      <c r="U1377" s="46" t="s">
        <v>398</v>
      </c>
      <c r="V1377" s="93" t="str">
        <f>+Agencia[[#This Row],[idcoleccion]]&amp;"-"&amp;Agencia[[#This Row],[id]]</f>
        <v>990-1366</v>
      </c>
      <c r="W1377" s="93">
        <f>+VLOOKUP(Agencia[[#This Row],[Filtro URL]],Estructura!$X$4:$Y$500,2,0)</f>
        <v>99200011</v>
      </c>
      <c r="X1377" s="93" t="str">
        <f>+VLOOKUP(Agencia[[#This Row],[tema]],Estructura!$A$4:$C$500,3,0)</f>
        <v>T-1047</v>
      </c>
      <c r="Y1377" s="93" t="str">
        <f>+VLOOKUP(Agencia[[#This Row],[contenido]],Estructura!$E$4:$G$500,3,0)</f>
        <v>C-1015</v>
      </c>
      <c r="Z1377" s="93" t="str">
        <f>+VLOOKUP(Agencia[[#This Row],[Filtro Integrado]],Estructura!$I$4:$K$500,3,0)</f>
        <v>FI-993</v>
      </c>
      <c r="AA1377" s="93" t="str">
        <f>+VLOOKUP(Agencia[[#This Row],[Muestra]],Estructura!$M$4:$O$500,3,0)</f>
        <v>M-1092</v>
      </c>
    </row>
    <row r="1378" spans="1:27" ht="71.400000000000006" x14ac:dyDescent="0.3">
      <c r="A1378" s="21" t="s">
        <v>2225</v>
      </c>
      <c r="B1378" s="23">
        <v>990</v>
      </c>
      <c r="C1378" s="24" t="s">
        <v>400</v>
      </c>
      <c r="D1378" s="67" t="s">
        <v>2250</v>
      </c>
      <c r="E1378" s="19">
        <v>12</v>
      </c>
      <c r="F1378" s="10" t="s">
        <v>2988</v>
      </c>
      <c r="G1378" s="10" t="s">
        <v>1909</v>
      </c>
      <c r="H1378" s="33" t="s">
        <v>16</v>
      </c>
      <c r="I1378" s="34" t="s">
        <v>379</v>
      </c>
      <c r="J1378" s="9" t="s">
        <v>403</v>
      </c>
      <c r="K1378" s="142" t="s">
        <v>9289</v>
      </c>
      <c r="L1378" s="9" t="s">
        <v>422</v>
      </c>
      <c r="M1378" s="9" t="s">
        <v>2291</v>
      </c>
      <c r="N1378" s="9" t="s">
        <v>428</v>
      </c>
      <c r="O1378" s="20" t="s">
        <v>2941</v>
      </c>
      <c r="P1378" s="76" t="s">
        <v>7157</v>
      </c>
      <c r="Q1378" s="11" t="s">
        <v>784</v>
      </c>
      <c r="R1378"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Magallanes,regional,comuna,áreas,verdes,mantenidas,superficie,m2,habitante,gestión,municipal,territorial,gobierno,regional,municipal,municipalidad,Agencia Información,Gobiernos Locales,Áreas Verdes  ,Gestión Municipal Territorial</v>
      </c>
      <c r="S1378" s="37" t="s">
        <v>2698</v>
      </c>
      <c r="T1378" s="114" t="s">
        <v>1852</v>
      </c>
      <c r="U1378" s="46" t="s">
        <v>398</v>
      </c>
      <c r="V1378" s="93" t="str">
        <f>+Agencia[[#This Row],[idcoleccion]]&amp;"-"&amp;Agencia[[#This Row],[id]]</f>
        <v>990-1367</v>
      </c>
      <c r="W1378" s="93">
        <f>+VLOOKUP(Agencia[[#This Row],[Filtro URL]],Estructura!$X$4:$Y$500,2,0)</f>
        <v>99200012</v>
      </c>
      <c r="X1378" s="93" t="str">
        <f>+VLOOKUP(Agencia[[#This Row],[tema]],Estructura!$A$4:$C$500,3,0)</f>
        <v>T-1047</v>
      </c>
      <c r="Y1378" s="93" t="str">
        <f>+VLOOKUP(Agencia[[#This Row],[contenido]],Estructura!$E$4:$G$500,3,0)</f>
        <v>C-1015</v>
      </c>
      <c r="Z1378" s="93" t="str">
        <f>+VLOOKUP(Agencia[[#This Row],[Filtro Integrado]],Estructura!$I$4:$K$500,3,0)</f>
        <v>FI-993</v>
      </c>
      <c r="AA1378" s="93" t="str">
        <f>+VLOOKUP(Agencia[[#This Row],[Muestra]],Estructura!$M$4:$O$500,3,0)</f>
        <v>M-1092</v>
      </c>
    </row>
    <row r="1379" spans="1:27" ht="71.400000000000006" x14ac:dyDescent="0.3">
      <c r="A1379" s="21" t="s">
        <v>2226</v>
      </c>
      <c r="B1379" s="23">
        <v>990</v>
      </c>
      <c r="C1379" s="24" t="s">
        <v>400</v>
      </c>
      <c r="D1379" s="67" t="s">
        <v>2250</v>
      </c>
      <c r="E1379" s="19">
        <v>13</v>
      </c>
      <c r="F1379" s="10" t="s">
        <v>2988</v>
      </c>
      <c r="G1379" s="10" t="s">
        <v>1909</v>
      </c>
      <c r="H1379" s="33" t="s">
        <v>16</v>
      </c>
      <c r="I1379" s="34" t="s">
        <v>380</v>
      </c>
      <c r="J1379" s="9" t="s">
        <v>403</v>
      </c>
      <c r="K1379" s="142" t="s">
        <v>9289</v>
      </c>
      <c r="L1379" s="9" t="s">
        <v>422</v>
      </c>
      <c r="M1379" s="9" t="s">
        <v>2291</v>
      </c>
      <c r="N1379" s="9" t="s">
        <v>428</v>
      </c>
      <c r="O1379" s="20" t="s">
        <v>2942</v>
      </c>
      <c r="P1379" s="76" t="s">
        <v>7158</v>
      </c>
      <c r="Q1379" s="11" t="s">
        <v>784</v>
      </c>
      <c r="R1379"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Metropolitana,regional,comuna,áreas,verdes,mantenidas,superficie,m2,habitante,gestión,municipal,territorial,gobierno,regional,municipal,municipalidad,Agencia Información,Gobiernos Locales,Áreas Verdes  ,Gestión Municipal Territorial</v>
      </c>
      <c r="S1379" s="37" t="s">
        <v>2699</v>
      </c>
      <c r="T1379" s="114" t="s">
        <v>1859</v>
      </c>
      <c r="U1379" s="46" t="s">
        <v>398</v>
      </c>
      <c r="V1379" s="93" t="str">
        <f>+Agencia[[#This Row],[idcoleccion]]&amp;"-"&amp;Agencia[[#This Row],[id]]</f>
        <v>990-1368</v>
      </c>
      <c r="W1379" s="93">
        <f>+VLOOKUP(Agencia[[#This Row],[Filtro URL]],Estructura!$X$4:$Y$500,2,0)</f>
        <v>99200013</v>
      </c>
      <c r="X1379" s="93" t="str">
        <f>+VLOOKUP(Agencia[[#This Row],[tema]],Estructura!$A$4:$C$500,3,0)</f>
        <v>T-1047</v>
      </c>
      <c r="Y1379" s="93" t="str">
        <f>+VLOOKUP(Agencia[[#This Row],[contenido]],Estructura!$E$4:$G$500,3,0)</f>
        <v>C-1015</v>
      </c>
      <c r="Z1379" s="93" t="str">
        <f>+VLOOKUP(Agencia[[#This Row],[Filtro Integrado]],Estructura!$I$4:$K$500,3,0)</f>
        <v>FI-993</v>
      </c>
      <c r="AA1379" s="93" t="str">
        <f>+VLOOKUP(Agencia[[#This Row],[Muestra]],Estructura!$M$4:$O$500,3,0)</f>
        <v>M-1092</v>
      </c>
    </row>
    <row r="1380" spans="1:27" ht="61.2" x14ac:dyDescent="0.3">
      <c r="A1380" s="21" t="s">
        <v>2227</v>
      </c>
      <c r="B1380" s="23">
        <v>990</v>
      </c>
      <c r="C1380" s="24" t="s">
        <v>400</v>
      </c>
      <c r="D1380" s="67" t="s">
        <v>2250</v>
      </c>
      <c r="E1380" s="19">
        <v>14</v>
      </c>
      <c r="F1380" s="10" t="s">
        <v>2988</v>
      </c>
      <c r="G1380" s="10" t="s">
        <v>1909</v>
      </c>
      <c r="H1380" s="33" t="s">
        <v>16</v>
      </c>
      <c r="I1380" s="34" t="s">
        <v>381</v>
      </c>
      <c r="J1380" s="9" t="s">
        <v>403</v>
      </c>
      <c r="K1380" s="142" t="s">
        <v>9289</v>
      </c>
      <c r="L1380" s="9" t="s">
        <v>422</v>
      </c>
      <c r="M1380" s="9" t="s">
        <v>2291</v>
      </c>
      <c r="N1380" s="9" t="s">
        <v>428</v>
      </c>
      <c r="O1380" s="20" t="s">
        <v>2943</v>
      </c>
      <c r="P1380" s="76" t="s">
        <v>7159</v>
      </c>
      <c r="Q1380" s="11" t="s">
        <v>784</v>
      </c>
      <c r="R1380"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Los Ríos,regional,comuna,áreas,verdes,mantenidas,superficie,m2,habitante,gestión,municipal,territorial,gobierno,regional,municipal,municipalidad,Agencia Información,Gobiernos Locales,Áreas Verdes  ,Gestión Municipal Territorial</v>
      </c>
      <c r="S1380" s="37" t="s">
        <v>2944</v>
      </c>
      <c r="T1380" s="114" t="s">
        <v>1851</v>
      </c>
      <c r="U1380" s="46" t="s">
        <v>398</v>
      </c>
      <c r="V1380" s="93" t="str">
        <f>+Agencia[[#This Row],[idcoleccion]]&amp;"-"&amp;Agencia[[#This Row],[id]]</f>
        <v>990-1369</v>
      </c>
      <c r="W1380" s="93">
        <f>+VLOOKUP(Agencia[[#This Row],[Filtro URL]],Estructura!$X$4:$Y$500,2,0)</f>
        <v>99200014</v>
      </c>
      <c r="X1380" s="93" t="str">
        <f>+VLOOKUP(Agencia[[#This Row],[tema]],Estructura!$A$4:$C$500,3,0)</f>
        <v>T-1047</v>
      </c>
      <c r="Y1380" s="93" t="str">
        <f>+VLOOKUP(Agencia[[#This Row],[contenido]],Estructura!$E$4:$G$500,3,0)</f>
        <v>C-1015</v>
      </c>
      <c r="Z1380" s="93" t="str">
        <f>+VLOOKUP(Agencia[[#This Row],[Filtro Integrado]],Estructura!$I$4:$K$500,3,0)</f>
        <v>FI-993</v>
      </c>
      <c r="AA1380" s="93" t="str">
        <f>+VLOOKUP(Agencia[[#This Row],[Muestra]],Estructura!$M$4:$O$500,3,0)</f>
        <v>M-1092</v>
      </c>
    </row>
    <row r="1381" spans="1:27" ht="71.400000000000006" x14ac:dyDescent="0.3">
      <c r="A1381" s="21" t="s">
        <v>2228</v>
      </c>
      <c r="B1381" s="23">
        <v>990</v>
      </c>
      <c r="C1381" s="24" t="s">
        <v>400</v>
      </c>
      <c r="D1381" s="67" t="s">
        <v>2250</v>
      </c>
      <c r="E1381" s="19">
        <v>15</v>
      </c>
      <c r="F1381" s="10" t="s">
        <v>2988</v>
      </c>
      <c r="G1381" s="10" t="s">
        <v>1909</v>
      </c>
      <c r="H1381" s="33" t="s">
        <v>16</v>
      </c>
      <c r="I1381" s="34" t="s">
        <v>382</v>
      </c>
      <c r="J1381" s="9" t="s">
        <v>403</v>
      </c>
      <c r="K1381" s="142" t="s">
        <v>9289</v>
      </c>
      <c r="L1381" s="9" t="s">
        <v>422</v>
      </c>
      <c r="M1381" s="9" t="s">
        <v>2291</v>
      </c>
      <c r="N1381" s="9" t="s">
        <v>428</v>
      </c>
      <c r="O1381" s="20" t="s">
        <v>2945</v>
      </c>
      <c r="P1381" s="76" t="s">
        <v>7160</v>
      </c>
      <c r="Q1381" s="11" t="s">
        <v>784</v>
      </c>
      <c r="R1381"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Arica y Parinacota,regional,comuna,áreas,verdes,mantenidas,superficie,m2,habitante,gestión,municipal,territorial,gobierno,regional,municipal,municipalidad,Agencia Información,Gobiernos Locales,Áreas Verdes  ,Gestión Municipal Territorial</v>
      </c>
      <c r="S1381" s="37" t="s">
        <v>2946</v>
      </c>
      <c r="T1381" s="114" t="s">
        <v>1845</v>
      </c>
      <c r="U1381" s="46" t="s">
        <v>398</v>
      </c>
      <c r="V1381" s="93" t="str">
        <f>+Agencia[[#This Row],[idcoleccion]]&amp;"-"&amp;Agencia[[#This Row],[id]]</f>
        <v>990-1370</v>
      </c>
      <c r="W1381" s="93">
        <f>+VLOOKUP(Agencia[[#This Row],[Filtro URL]],Estructura!$X$4:$Y$500,2,0)</f>
        <v>99200015</v>
      </c>
      <c r="X1381" s="93" t="str">
        <f>+VLOOKUP(Agencia[[#This Row],[tema]],Estructura!$A$4:$C$500,3,0)</f>
        <v>T-1047</v>
      </c>
      <c r="Y1381" s="93" t="str">
        <f>+VLOOKUP(Agencia[[#This Row],[contenido]],Estructura!$E$4:$G$500,3,0)</f>
        <v>C-1015</v>
      </c>
      <c r="Z1381" s="93" t="str">
        <f>+VLOOKUP(Agencia[[#This Row],[Filtro Integrado]],Estructura!$I$4:$K$500,3,0)</f>
        <v>FI-993</v>
      </c>
      <c r="AA1381" s="93" t="str">
        <f>+VLOOKUP(Agencia[[#This Row],[Muestra]],Estructura!$M$4:$O$500,3,0)</f>
        <v>M-1092</v>
      </c>
    </row>
    <row r="1382" spans="1:27" ht="61.2" x14ac:dyDescent="0.3">
      <c r="A1382" s="21" t="s">
        <v>2230</v>
      </c>
      <c r="B1382" s="23">
        <v>990</v>
      </c>
      <c r="C1382" s="24" t="s">
        <v>400</v>
      </c>
      <c r="D1382" s="67" t="s">
        <v>2250</v>
      </c>
      <c r="E1382" s="19">
        <v>16</v>
      </c>
      <c r="F1382" s="10" t="s">
        <v>2988</v>
      </c>
      <c r="G1382" s="10" t="s">
        <v>1909</v>
      </c>
      <c r="H1382" s="33" t="s">
        <v>16</v>
      </c>
      <c r="I1382" s="34" t="s">
        <v>383</v>
      </c>
      <c r="J1382" s="9" t="s">
        <v>403</v>
      </c>
      <c r="K1382" s="142" t="s">
        <v>9289</v>
      </c>
      <c r="L1382" s="9" t="s">
        <v>422</v>
      </c>
      <c r="M1382" s="9" t="s">
        <v>2291</v>
      </c>
      <c r="N1382" s="9" t="s">
        <v>428</v>
      </c>
      <c r="O1382" s="20" t="s">
        <v>2947</v>
      </c>
      <c r="P1382" s="76" t="s">
        <v>7161</v>
      </c>
      <c r="Q1382" s="11" t="s">
        <v>784</v>
      </c>
      <c r="R1382" s="154" t="str">
        <f>Agencia[[#This Row],[territorio]]&amp;",regional,comuna,áreas,verdes,mantenidas,superficie,m2,habitante,gestión,municipal,territorial,gobierno,regional,municipal,municipalidad,"&amp;Agencia[[#This Row],[coleccion]]&amp;","&amp;Agencia[[#This Row],[sector]]&amp;","&amp;Agencia[[#This Row],[tema]]&amp;","&amp;Agencia[[#This Row],[contenido]]</f>
        <v>Región de Ñuble,regional,comuna,áreas,verdes,mantenidas,superficie,m2,habitante,gestión,municipal,territorial,gobierno,regional,municipal,municipalidad,Agencia Información,Gobiernos Locales,Áreas Verdes  ,Gestión Municipal Territorial</v>
      </c>
      <c r="S1382" s="37" t="s">
        <v>2948</v>
      </c>
      <c r="T1382" s="114" t="s">
        <v>1854</v>
      </c>
      <c r="U1382" s="46" t="s">
        <v>398</v>
      </c>
      <c r="V1382" s="93" t="str">
        <f>+Agencia[[#This Row],[idcoleccion]]&amp;"-"&amp;Agencia[[#This Row],[id]]</f>
        <v>990-1371</v>
      </c>
      <c r="W1382" s="93">
        <f>+VLOOKUP(Agencia[[#This Row],[Filtro URL]],Estructura!$X$4:$Y$500,2,0)</f>
        <v>99200016</v>
      </c>
      <c r="X1382" s="93" t="str">
        <f>+VLOOKUP(Agencia[[#This Row],[tema]],Estructura!$A$4:$C$500,3,0)</f>
        <v>T-1047</v>
      </c>
      <c r="Y1382" s="93" t="str">
        <f>+VLOOKUP(Agencia[[#This Row],[contenido]],Estructura!$E$4:$G$500,3,0)</f>
        <v>C-1015</v>
      </c>
      <c r="Z1382" s="93" t="str">
        <f>+VLOOKUP(Agencia[[#This Row],[Filtro Integrado]],Estructura!$I$4:$K$500,3,0)</f>
        <v>FI-993</v>
      </c>
      <c r="AA1382" s="93" t="str">
        <f>+VLOOKUP(Agencia[[#This Row],[Muestra]],Estructura!$M$4:$O$500,3,0)</f>
        <v>M-1092</v>
      </c>
    </row>
    <row r="1383" spans="1:27" ht="45.9" customHeight="1" x14ac:dyDescent="0.3">
      <c r="A1383" s="21" t="s">
        <v>2234</v>
      </c>
      <c r="B1383" s="23">
        <v>990</v>
      </c>
      <c r="C1383" s="24" t="s">
        <v>400</v>
      </c>
      <c r="D1383" s="67" t="s">
        <v>568</v>
      </c>
      <c r="E1383" s="14">
        <v>0</v>
      </c>
      <c r="F1383" s="10" t="s">
        <v>2310</v>
      </c>
      <c r="G1383" s="10" t="s">
        <v>2991</v>
      </c>
      <c r="H1383" s="31" t="s">
        <v>20</v>
      </c>
      <c r="I1383" s="32" t="s">
        <v>15</v>
      </c>
      <c r="J1383" s="9" t="s">
        <v>403</v>
      </c>
      <c r="K1383" s="9" t="s">
        <v>9282</v>
      </c>
      <c r="L1383" s="9" t="s">
        <v>2311</v>
      </c>
      <c r="M1383" s="9" t="s">
        <v>5338</v>
      </c>
      <c r="N1383" s="9" t="s">
        <v>402</v>
      </c>
      <c r="O1383" s="20" t="s">
        <v>5339</v>
      </c>
      <c r="P1383" s="112" t="s">
        <v>6333</v>
      </c>
      <c r="Q1383" s="11" t="s">
        <v>784</v>
      </c>
      <c r="R1383" s="20" t="str">
        <f>Agencia[[#This Row],[territorio]]&amp;",nacional,mental,consultas,porcentaje,proporción,población,evolución,"&amp;Agencia[[#This Row],[coleccion]]&amp;","&amp;Agencia[[#This Row],[sector]]&amp;","&amp;Agencia[[#This Row],[tema]]&amp;","&amp;Agencia[[#This Row],[contenido]]</f>
        <v>Chile,nacional,mental,consultas,porcentaje,proporción,población,evolución,Agencia Información,Salud,Salud Mental,Estado de la Salud</v>
      </c>
      <c r="S1383" s="83" t="s">
        <v>2313</v>
      </c>
      <c r="T1383" s="114">
        <v>0</v>
      </c>
      <c r="U1383" s="46" t="s">
        <v>398</v>
      </c>
      <c r="V1383" s="93" t="str">
        <f>+Agencia[[#This Row],[idcoleccion]]&amp;"-"&amp;Agencia[[#This Row],[id]]</f>
        <v>990-1372</v>
      </c>
      <c r="W1383" s="93">
        <f>+VLOOKUP(Agencia[[#This Row],[Filtro URL]],Estructura!$X$4:$Y$500,2,0)</f>
        <v>99100000</v>
      </c>
      <c r="X1383" s="93" t="str">
        <f>+VLOOKUP(Agencia[[#This Row],[tema]],Estructura!$A$4:$C$500,3,0)</f>
        <v>T-1048</v>
      </c>
      <c r="Y1383" s="93" t="str">
        <f>+VLOOKUP(Agencia[[#This Row],[contenido]],Estructura!$E$4:$G$500,3,0)</f>
        <v>C-1017</v>
      </c>
      <c r="Z1383" s="93" t="str">
        <f>+VLOOKUP(Agencia[[#This Row],[Filtro Integrado]],Estructura!$I$4:$K$500,3,0)</f>
        <v>FI-993</v>
      </c>
      <c r="AA1383" s="93" t="str">
        <f>+VLOOKUP(Agencia[[#This Row],[Muestra]],Estructura!$M$4:$O$500,3,0)</f>
        <v>M-1093</v>
      </c>
    </row>
    <row r="1384" spans="1:27" ht="40.799999999999997" x14ac:dyDescent="0.3">
      <c r="A1384" s="21" t="s">
        <v>2235</v>
      </c>
      <c r="B1384" s="23">
        <v>990</v>
      </c>
      <c r="C1384" s="24" t="s">
        <v>400</v>
      </c>
      <c r="D1384" s="67" t="s">
        <v>568</v>
      </c>
      <c r="E1384" s="14">
        <v>0</v>
      </c>
      <c r="F1384" s="10" t="s">
        <v>2310</v>
      </c>
      <c r="G1384" s="10" t="s">
        <v>2991</v>
      </c>
      <c r="H1384" s="31" t="s">
        <v>20</v>
      </c>
      <c r="I1384" s="32" t="s">
        <v>15</v>
      </c>
      <c r="J1384" s="9" t="s">
        <v>403</v>
      </c>
      <c r="K1384" s="9" t="s">
        <v>9283</v>
      </c>
      <c r="L1384" s="9" t="s">
        <v>2311</v>
      </c>
      <c r="M1384" s="9" t="s">
        <v>2315</v>
      </c>
      <c r="N1384" s="9" t="s">
        <v>402</v>
      </c>
      <c r="O1384" s="20" t="s">
        <v>2949</v>
      </c>
      <c r="P1384" s="112" t="s">
        <v>6315</v>
      </c>
      <c r="Q1384" s="11" t="s">
        <v>784</v>
      </c>
      <c r="R1384" s="20" t="str">
        <f>Agencia[[#This Row],[territorio]]&amp;",nacional,región,mental,consultas,tasa,100 mil,cien mil,habitantes,evolución,"&amp;Agencia[[#This Row],[coleccion]]&amp;","&amp;Agencia[[#This Row],[sector]]&amp;","&amp;Agencia[[#This Row],[tema]]&amp;","&amp;Agencia[[#This Row],[contenido]]</f>
        <v>Chile,nacional,región,mental,consultas,tasa,100 mil,cien mil,habitantes,evolución,Agencia Información,Salud,Salud Mental,Estado de la Salud</v>
      </c>
      <c r="S1384" s="37" t="s">
        <v>2316</v>
      </c>
      <c r="T1384" s="114" t="s">
        <v>805</v>
      </c>
      <c r="U1384" s="46" t="s">
        <v>398</v>
      </c>
      <c r="V1384" s="93" t="str">
        <f>+Agencia[[#This Row],[idcoleccion]]&amp;"-"&amp;Agencia[[#This Row],[id]]</f>
        <v>990-1373</v>
      </c>
      <c r="W1384" s="93">
        <f>+VLOOKUP(Agencia[[#This Row],[Filtro URL]],Estructura!$X$4:$Y$500,2,0)</f>
        <v>99100000</v>
      </c>
      <c r="X1384" s="93" t="str">
        <f>+VLOOKUP(Agencia[[#This Row],[tema]],Estructura!$A$4:$C$500,3,0)</f>
        <v>T-1048</v>
      </c>
      <c r="Y1384" s="93" t="str">
        <f>+VLOOKUP(Agencia[[#This Row],[contenido]],Estructura!$E$4:$G$500,3,0)</f>
        <v>C-1017</v>
      </c>
      <c r="Z1384" s="93" t="str">
        <f>+VLOOKUP(Agencia[[#This Row],[Filtro Integrado]],Estructura!$I$4:$K$500,3,0)</f>
        <v>FI-993</v>
      </c>
      <c r="AA1384" s="93" t="str">
        <f>+VLOOKUP(Agencia[[#This Row],[Muestra]],Estructura!$M$4:$O$500,3,0)</f>
        <v>M-1094</v>
      </c>
    </row>
    <row r="1385" spans="1:27" ht="51" x14ac:dyDescent="0.3">
      <c r="A1385" s="21" t="s">
        <v>2236</v>
      </c>
      <c r="B1385" s="23">
        <v>990</v>
      </c>
      <c r="C1385" s="24" t="s">
        <v>400</v>
      </c>
      <c r="D1385" s="67" t="s">
        <v>568</v>
      </c>
      <c r="E1385" s="14">
        <v>0</v>
      </c>
      <c r="F1385" s="10" t="s">
        <v>2310</v>
      </c>
      <c r="G1385" s="10" t="s">
        <v>2991</v>
      </c>
      <c r="H1385" s="31" t="s">
        <v>20</v>
      </c>
      <c r="I1385" s="32" t="s">
        <v>15</v>
      </c>
      <c r="J1385" s="9" t="s">
        <v>16</v>
      </c>
      <c r="K1385" s="9" t="s">
        <v>9283</v>
      </c>
      <c r="L1385" s="9" t="s">
        <v>2311</v>
      </c>
      <c r="M1385" s="9" t="s">
        <v>2315</v>
      </c>
      <c r="N1385" s="9" t="s">
        <v>402</v>
      </c>
      <c r="O1385" s="20" t="s">
        <v>2950</v>
      </c>
      <c r="P1385" s="112" t="s">
        <v>6316</v>
      </c>
      <c r="Q1385" s="11" t="s">
        <v>784</v>
      </c>
      <c r="R1385" s="20" t="str">
        <f>Agencia[[#This Row],[territorio]]&amp;",nacional,región,comuna,mental,consultas,tasa,100 mil,cien mil,habitantes,evolución,"&amp;Agencia[[#This Row],[coleccion]]&amp;","&amp;Agencia[[#This Row],[sector]]&amp;","&amp;Agencia[[#This Row],[tema]]&amp;","&amp;Agencia[[#This Row],[contenido]]</f>
        <v>Chile,nacional,región,comuna,mental,consultas,tasa,100 mil,cien mil,habitantes,evolución,Agencia Información,Salud,Salud Mental,Estado de la Salud</v>
      </c>
      <c r="S1385" s="37" t="s">
        <v>2318</v>
      </c>
      <c r="T1385" s="114" t="s">
        <v>957</v>
      </c>
      <c r="U1385" s="46" t="s">
        <v>398</v>
      </c>
      <c r="V1385" s="93" t="str">
        <f>+Agencia[[#This Row],[idcoleccion]]&amp;"-"&amp;Agencia[[#This Row],[id]]</f>
        <v>990-1374</v>
      </c>
      <c r="W1385" s="93">
        <f>+VLOOKUP(Agencia[[#This Row],[Filtro URL]],Estructura!$X$4:$Y$500,2,0)</f>
        <v>99100000</v>
      </c>
      <c r="X1385" s="93" t="str">
        <f>+VLOOKUP(Agencia[[#This Row],[tema]],Estructura!$A$4:$C$500,3,0)</f>
        <v>T-1048</v>
      </c>
      <c r="Y1385" s="93" t="str">
        <f>+VLOOKUP(Agencia[[#This Row],[contenido]],Estructura!$E$4:$G$500,3,0)</f>
        <v>C-1017</v>
      </c>
      <c r="Z1385" s="93" t="str">
        <f>+VLOOKUP(Agencia[[#This Row],[Filtro Integrado]],Estructura!$I$4:$K$500,3,0)</f>
        <v>FI-992</v>
      </c>
      <c r="AA1385" s="93" t="str">
        <f>+VLOOKUP(Agencia[[#This Row],[Muestra]],Estructura!$M$4:$O$500,3,0)</f>
        <v>M-1094</v>
      </c>
    </row>
    <row r="1386" spans="1:27" ht="57.6" x14ac:dyDescent="0.3">
      <c r="A1386" s="21" t="s">
        <v>2237</v>
      </c>
      <c r="B1386" s="23">
        <v>990</v>
      </c>
      <c r="C1386" s="24" t="s">
        <v>400</v>
      </c>
      <c r="D1386" s="67" t="s">
        <v>568</v>
      </c>
      <c r="E1386" s="19">
        <v>1</v>
      </c>
      <c r="F1386" s="10" t="s">
        <v>2310</v>
      </c>
      <c r="G1386" s="10" t="s">
        <v>2991</v>
      </c>
      <c r="H1386" s="33" t="s">
        <v>16</v>
      </c>
      <c r="I1386" s="34" t="s">
        <v>368</v>
      </c>
      <c r="J1386" s="9" t="s">
        <v>403</v>
      </c>
      <c r="K1386" s="142" t="s">
        <v>9283</v>
      </c>
      <c r="L1386" s="9" t="s">
        <v>2311</v>
      </c>
      <c r="M1386" s="9" t="s">
        <v>2315</v>
      </c>
      <c r="N1386" s="9" t="s">
        <v>402</v>
      </c>
      <c r="O1386" s="20" t="s">
        <v>2951</v>
      </c>
      <c r="P1386" s="112" t="s">
        <v>6317</v>
      </c>
      <c r="Q1386" s="11" t="s">
        <v>784</v>
      </c>
      <c r="R1386" s="148" t="str">
        <f>Agencia[[#This Row],[territorio]]&amp;",regional,comuna,mental,consultas,tasa,100 mil,cien mil,habitantes,evolución,"&amp;Agencia[[#This Row],[coleccion]]&amp;","&amp;Agencia[[#This Row],[sector]]&amp;","&amp;Agencia[[#This Row],[tema]]&amp;","&amp;Agencia[[#This Row],[contenido]]</f>
        <v>Región de Tarapacá,regional,comuna,mental,consultas,tasa,100 mil,cien mil,habitantes,evolución,Agencia Información,Salud,Salud Mental,Estado de la Salud</v>
      </c>
      <c r="S1386" s="37" t="s">
        <v>2952</v>
      </c>
      <c r="T1386" s="114" t="s">
        <v>1856</v>
      </c>
      <c r="U1386" s="46" t="s">
        <v>398</v>
      </c>
      <c r="V1386" s="93" t="str">
        <f>+Agencia[[#This Row],[idcoleccion]]&amp;"-"&amp;Agencia[[#This Row],[id]]</f>
        <v>990-1375</v>
      </c>
      <c r="W1386" s="93">
        <f>+VLOOKUP(Agencia[[#This Row],[Filtro URL]],Estructura!$X$4:$Y$500,2,0)</f>
        <v>99200001</v>
      </c>
      <c r="X1386" s="93" t="str">
        <f>+VLOOKUP(Agencia[[#This Row],[tema]],Estructura!$A$4:$C$500,3,0)</f>
        <v>T-1048</v>
      </c>
      <c r="Y1386" s="93" t="str">
        <f>+VLOOKUP(Agencia[[#This Row],[contenido]],Estructura!$E$4:$G$500,3,0)</f>
        <v>C-1017</v>
      </c>
      <c r="Z1386" s="93" t="str">
        <f>+VLOOKUP(Agencia[[#This Row],[Filtro Integrado]],Estructura!$I$4:$K$500,3,0)</f>
        <v>FI-993</v>
      </c>
      <c r="AA1386" s="93" t="str">
        <f>+VLOOKUP(Agencia[[#This Row],[Muestra]],Estructura!$M$4:$O$500,3,0)</f>
        <v>M-1094</v>
      </c>
    </row>
    <row r="1387" spans="1:27" ht="61.2" x14ac:dyDescent="0.3">
      <c r="A1387" s="21" t="s">
        <v>2238</v>
      </c>
      <c r="B1387" s="23">
        <v>990</v>
      </c>
      <c r="C1387" s="24" t="s">
        <v>400</v>
      </c>
      <c r="D1387" s="67" t="s">
        <v>568</v>
      </c>
      <c r="E1387" s="19">
        <v>2</v>
      </c>
      <c r="F1387" s="10" t="s">
        <v>2310</v>
      </c>
      <c r="G1387" s="10" t="s">
        <v>2991</v>
      </c>
      <c r="H1387" s="33" t="s">
        <v>16</v>
      </c>
      <c r="I1387" s="34" t="s">
        <v>369</v>
      </c>
      <c r="J1387" s="9" t="s">
        <v>403</v>
      </c>
      <c r="K1387" s="142" t="s">
        <v>9283</v>
      </c>
      <c r="L1387" s="9" t="s">
        <v>2311</v>
      </c>
      <c r="M1387" s="9" t="s">
        <v>2315</v>
      </c>
      <c r="N1387" s="9" t="s">
        <v>402</v>
      </c>
      <c r="O1387" s="20" t="s">
        <v>2953</v>
      </c>
      <c r="P1387" s="112" t="s">
        <v>6318</v>
      </c>
      <c r="Q1387" s="11" t="s">
        <v>784</v>
      </c>
      <c r="R1387" s="148" t="str">
        <f>Agencia[[#This Row],[territorio]]&amp;",regional,comuna,mental,consultas,tasa,100 mil,cien mil,habitantes,evolución,"&amp;Agencia[[#This Row],[coleccion]]&amp;","&amp;Agencia[[#This Row],[sector]]&amp;","&amp;Agencia[[#This Row],[tema]]&amp;","&amp;Agencia[[#This Row],[contenido]]</f>
        <v>Región de Antofagasta,regional,comuna,mental,consultas,tasa,100 mil,cien mil,habitantes,evolución,Agencia Información,Salud,Salud Mental,Estado de la Salud</v>
      </c>
      <c r="S1387" s="37" t="s">
        <v>2954</v>
      </c>
      <c r="T1387" s="114" t="s">
        <v>1844</v>
      </c>
      <c r="U1387" s="46" t="s">
        <v>398</v>
      </c>
      <c r="V1387" s="93" t="str">
        <f>+Agencia[[#This Row],[idcoleccion]]&amp;"-"&amp;Agencia[[#This Row],[id]]</f>
        <v>990-1376</v>
      </c>
      <c r="W1387" s="93">
        <f>+VLOOKUP(Agencia[[#This Row],[Filtro URL]],Estructura!$X$4:$Y$500,2,0)</f>
        <v>99200002</v>
      </c>
      <c r="X1387" s="93" t="str">
        <f>+VLOOKUP(Agencia[[#This Row],[tema]],Estructura!$A$4:$C$500,3,0)</f>
        <v>T-1048</v>
      </c>
      <c r="Y1387" s="93" t="str">
        <f>+VLOOKUP(Agencia[[#This Row],[contenido]],Estructura!$E$4:$G$500,3,0)</f>
        <v>C-1017</v>
      </c>
      <c r="Z1387" s="93" t="str">
        <f>+VLOOKUP(Agencia[[#This Row],[Filtro Integrado]],Estructura!$I$4:$K$500,3,0)</f>
        <v>FI-993</v>
      </c>
      <c r="AA1387" s="93" t="str">
        <f>+VLOOKUP(Agencia[[#This Row],[Muestra]],Estructura!$M$4:$O$500,3,0)</f>
        <v>M-1094</v>
      </c>
    </row>
    <row r="1388" spans="1:27" ht="57.6" x14ac:dyDescent="0.3">
      <c r="A1388" s="21" t="s">
        <v>2239</v>
      </c>
      <c r="B1388" s="23">
        <v>990</v>
      </c>
      <c r="C1388" s="24" t="s">
        <v>400</v>
      </c>
      <c r="D1388" s="67" t="s">
        <v>568</v>
      </c>
      <c r="E1388" s="19">
        <v>3</v>
      </c>
      <c r="F1388" s="10" t="s">
        <v>2310</v>
      </c>
      <c r="G1388" s="10" t="s">
        <v>2991</v>
      </c>
      <c r="H1388" s="33" t="s">
        <v>16</v>
      </c>
      <c r="I1388" s="34" t="s">
        <v>370</v>
      </c>
      <c r="J1388" s="9" t="s">
        <v>403</v>
      </c>
      <c r="K1388" s="142" t="s">
        <v>9283</v>
      </c>
      <c r="L1388" s="9" t="s">
        <v>2311</v>
      </c>
      <c r="M1388" s="9" t="s">
        <v>2315</v>
      </c>
      <c r="N1388" s="9" t="s">
        <v>402</v>
      </c>
      <c r="O1388" s="20" t="s">
        <v>2955</v>
      </c>
      <c r="P1388" s="112" t="s">
        <v>6319</v>
      </c>
      <c r="Q1388" s="11" t="s">
        <v>784</v>
      </c>
      <c r="R1388" s="148" t="str">
        <f>Agencia[[#This Row],[territorio]]&amp;",regional,comuna,mental,consultas,tasa,100 mil,cien mil,habitantes,evolución,"&amp;Agencia[[#This Row],[coleccion]]&amp;","&amp;Agencia[[#This Row],[sector]]&amp;","&amp;Agencia[[#This Row],[tema]]&amp;","&amp;Agencia[[#This Row],[contenido]]</f>
        <v>Región de Atacama,regional,comuna,mental,consultas,tasa,100 mil,cien mil,habitantes,evolución,Agencia Información,Salud,Salud Mental,Estado de la Salud</v>
      </c>
      <c r="S1388" s="83" t="s">
        <v>2956</v>
      </c>
      <c r="T1388" s="114" t="s">
        <v>1846</v>
      </c>
      <c r="U1388" s="46" t="s">
        <v>398</v>
      </c>
      <c r="V1388" s="93" t="str">
        <f>+Agencia[[#This Row],[idcoleccion]]&amp;"-"&amp;Agencia[[#This Row],[id]]</f>
        <v>990-1377</v>
      </c>
      <c r="W1388" s="93">
        <f>+VLOOKUP(Agencia[[#This Row],[Filtro URL]],Estructura!$X$4:$Y$500,2,0)</f>
        <v>99200003</v>
      </c>
      <c r="X1388" s="93" t="str">
        <f>+VLOOKUP(Agencia[[#This Row],[tema]],Estructura!$A$4:$C$500,3,0)</f>
        <v>T-1048</v>
      </c>
      <c r="Y1388" s="93" t="str">
        <f>+VLOOKUP(Agencia[[#This Row],[contenido]],Estructura!$E$4:$G$500,3,0)</f>
        <v>C-1017</v>
      </c>
      <c r="Z1388" s="93" t="str">
        <f>+VLOOKUP(Agencia[[#This Row],[Filtro Integrado]],Estructura!$I$4:$K$500,3,0)</f>
        <v>FI-993</v>
      </c>
      <c r="AA1388" s="93" t="str">
        <f>+VLOOKUP(Agencia[[#This Row],[Muestra]],Estructura!$M$4:$O$500,3,0)</f>
        <v>M-1094</v>
      </c>
    </row>
    <row r="1389" spans="1:27" ht="61.2" x14ac:dyDescent="0.3">
      <c r="A1389" s="21" t="s">
        <v>2240</v>
      </c>
      <c r="B1389" s="23">
        <v>990</v>
      </c>
      <c r="C1389" s="24" t="s">
        <v>400</v>
      </c>
      <c r="D1389" s="67" t="s">
        <v>568</v>
      </c>
      <c r="E1389" s="19">
        <v>4</v>
      </c>
      <c r="F1389" s="10" t="s">
        <v>2310</v>
      </c>
      <c r="G1389" s="10" t="s">
        <v>2991</v>
      </c>
      <c r="H1389" s="33" t="s">
        <v>16</v>
      </c>
      <c r="I1389" s="34" t="s">
        <v>371</v>
      </c>
      <c r="J1389" s="9" t="s">
        <v>403</v>
      </c>
      <c r="K1389" s="142" t="s">
        <v>9283</v>
      </c>
      <c r="L1389" s="9" t="s">
        <v>2311</v>
      </c>
      <c r="M1389" s="9" t="s">
        <v>2315</v>
      </c>
      <c r="N1389" s="9" t="s">
        <v>402</v>
      </c>
      <c r="O1389" s="20" t="s">
        <v>2957</v>
      </c>
      <c r="P1389" s="112" t="s">
        <v>6320</v>
      </c>
      <c r="Q1389" s="11" t="s">
        <v>784</v>
      </c>
      <c r="R1389" s="148" t="str">
        <f>Agencia[[#This Row],[territorio]]&amp;",regional,comuna,mental,consultas,tasa,100 mil,cien mil,habitantes,evolución,"&amp;Agencia[[#This Row],[coleccion]]&amp;","&amp;Agencia[[#This Row],[sector]]&amp;","&amp;Agencia[[#This Row],[tema]]&amp;","&amp;Agencia[[#This Row],[contenido]]</f>
        <v>Región de Coquimbo,regional,comuna,mental,consultas,tasa,100 mil,cien mil,habitantes,evolución,Agencia Información,Salud,Salud Mental,Estado de la Salud</v>
      </c>
      <c r="S1389" s="37" t="s">
        <v>2958</v>
      </c>
      <c r="T1389" s="114" t="s">
        <v>1848</v>
      </c>
      <c r="U1389" s="46" t="s">
        <v>398</v>
      </c>
      <c r="V1389" s="93" t="str">
        <f>+Agencia[[#This Row],[idcoleccion]]&amp;"-"&amp;Agencia[[#This Row],[id]]</f>
        <v>990-1378</v>
      </c>
      <c r="W1389" s="93">
        <f>+VLOOKUP(Agencia[[#This Row],[Filtro URL]],Estructura!$X$4:$Y$500,2,0)</f>
        <v>99200004</v>
      </c>
      <c r="X1389" s="93" t="str">
        <f>+VLOOKUP(Agencia[[#This Row],[tema]],Estructura!$A$4:$C$500,3,0)</f>
        <v>T-1048</v>
      </c>
      <c r="Y1389" s="93" t="str">
        <f>+VLOOKUP(Agencia[[#This Row],[contenido]],Estructura!$E$4:$G$500,3,0)</f>
        <v>C-1017</v>
      </c>
      <c r="Z1389" s="93" t="str">
        <f>+VLOOKUP(Agencia[[#This Row],[Filtro Integrado]],Estructura!$I$4:$K$500,3,0)</f>
        <v>FI-993</v>
      </c>
      <c r="AA1389" s="93" t="str">
        <f>+VLOOKUP(Agencia[[#This Row],[Muestra]],Estructura!$M$4:$O$500,3,0)</f>
        <v>M-1094</v>
      </c>
    </row>
    <row r="1390" spans="1:27" ht="61.2" x14ac:dyDescent="0.3">
      <c r="A1390" s="21" t="s">
        <v>2241</v>
      </c>
      <c r="B1390" s="23">
        <v>990</v>
      </c>
      <c r="C1390" s="24" t="s">
        <v>400</v>
      </c>
      <c r="D1390" s="67" t="s">
        <v>568</v>
      </c>
      <c r="E1390" s="19">
        <v>5</v>
      </c>
      <c r="F1390" s="10" t="s">
        <v>2310</v>
      </c>
      <c r="G1390" s="10" t="s">
        <v>2991</v>
      </c>
      <c r="H1390" s="33" t="s">
        <v>16</v>
      </c>
      <c r="I1390" s="34" t="s">
        <v>372</v>
      </c>
      <c r="J1390" s="9" t="s">
        <v>403</v>
      </c>
      <c r="K1390" s="142" t="s">
        <v>9283</v>
      </c>
      <c r="L1390" s="9" t="s">
        <v>2311</v>
      </c>
      <c r="M1390" s="9" t="s">
        <v>2315</v>
      </c>
      <c r="N1390" s="9" t="s">
        <v>402</v>
      </c>
      <c r="O1390" s="20" t="s">
        <v>2959</v>
      </c>
      <c r="P1390" s="112" t="s">
        <v>6321</v>
      </c>
      <c r="Q1390" s="11" t="s">
        <v>784</v>
      </c>
      <c r="R1390" s="148" t="str">
        <f>Agencia[[#This Row],[territorio]]&amp;",regional,comuna,mental,consultas,tasa,100 mil,cien mil,habitantes,evolución,"&amp;Agencia[[#This Row],[coleccion]]&amp;","&amp;Agencia[[#This Row],[sector]]&amp;","&amp;Agencia[[#This Row],[tema]]&amp;","&amp;Agencia[[#This Row],[contenido]]</f>
        <v>Región de Valparaíso,regional,comuna,mental,consultas,tasa,100 mil,cien mil,habitantes,evolución,Agencia Información,Salud,Salud Mental,Estado de la Salud</v>
      </c>
      <c r="S1390" s="37" t="s">
        <v>2960</v>
      </c>
      <c r="T1390" s="114" t="s">
        <v>1857</v>
      </c>
      <c r="U1390" s="46" t="s">
        <v>398</v>
      </c>
      <c r="V1390" s="93" t="str">
        <f>+Agencia[[#This Row],[idcoleccion]]&amp;"-"&amp;Agencia[[#This Row],[id]]</f>
        <v>990-1379</v>
      </c>
      <c r="W1390" s="93">
        <f>+VLOOKUP(Agencia[[#This Row],[Filtro URL]],Estructura!$X$4:$Y$500,2,0)</f>
        <v>99200005</v>
      </c>
      <c r="X1390" s="93" t="str">
        <f>+VLOOKUP(Agencia[[#This Row],[tema]],Estructura!$A$4:$C$500,3,0)</f>
        <v>T-1048</v>
      </c>
      <c r="Y1390" s="93" t="str">
        <f>+VLOOKUP(Agencia[[#This Row],[contenido]],Estructura!$E$4:$G$500,3,0)</f>
        <v>C-1017</v>
      </c>
      <c r="Z1390" s="93" t="str">
        <f>+VLOOKUP(Agencia[[#This Row],[Filtro Integrado]],Estructura!$I$4:$K$500,3,0)</f>
        <v>FI-993</v>
      </c>
      <c r="AA1390" s="93" t="str">
        <f>+VLOOKUP(Agencia[[#This Row],[Muestra]],Estructura!$M$4:$O$500,3,0)</f>
        <v>M-1094</v>
      </c>
    </row>
    <row r="1391" spans="1:27" ht="57.6" x14ac:dyDescent="0.3">
      <c r="A1391" s="21" t="s">
        <v>2242</v>
      </c>
      <c r="B1391" s="23">
        <v>990</v>
      </c>
      <c r="C1391" s="24" t="s">
        <v>400</v>
      </c>
      <c r="D1391" s="67" t="s">
        <v>568</v>
      </c>
      <c r="E1391" s="19">
        <v>6</v>
      </c>
      <c r="F1391" s="10" t="s">
        <v>2310</v>
      </c>
      <c r="G1391" s="10" t="s">
        <v>2991</v>
      </c>
      <c r="H1391" s="33" t="s">
        <v>16</v>
      </c>
      <c r="I1391" s="34" t="s">
        <v>373</v>
      </c>
      <c r="J1391" s="9" t="s">
        <v>403</v>
      </c>
      <c r="K1391" s="142" t="s">
        <v>9283</v>
      </c>
      <c r="L1391" s="9" t="s">
        <v>2311</v>
      </c>
      <c r="M1391" s="9" t="s">
        <v>2315</v>
      </c>
      <c r="N1391" s="9" t="s">
        <v>402</v>
      </c>
      <c r="O1391" s="20" t="s">
        <v>2961</v>
      </c>
      <c r="P1391" s="112" t="s">
        <v>6322</v>
      </c>
      <c r="Q1391" s="11" t="s">
        <v>784</v>
      </c>
      <c r="R1391" s="148" t="str">
        <f>Agencia[[#This Row],[territorio]]&amp;",regional,comuna,mental,consultas,tasa,100 mil,cien mil,habitantes,evolución,"&amp;Agencia[[#This Row],[coleccion]]&amp;","&amp;Agencia[[#This Row],[sector]]&amp;","&amp;Agencia[[#This Row],[tema]]&amp;","&amp;Agencia[[#This Row],[contenido]]</f>
        <v>Región de O'Higgins,regional,comuna,mental,consultas,tasa,100 mil,cien mil,habitantes,evolución,Agencia Información,Salud,Salud Mental,Estado de la Salud</v>
      </c>
      <c r="S1391" s="37" t="s">
        <v>2962</v>
      </c>
      <c r="T1391" s="114" t="s">
        <v>1855</v>
      </c>
      <c r="U1391" s="46" t="s">
        <v>398</v>
      </c>
      <c r="V1391" s="93" t="str">
        <f>+Agencia[[#This Row],[idcoleccion]]&amp;"-"&amp;Agencia[[#This Row],[id]]</f>
        <v>990-1380</v>
      </c>
      <c r="W1391" s="93">
        <f>+VLOOKUP(Agencia[[#This Row],[Filtro URL]],Estructura!$X$4:$Y$500,2,0)</f>
        <v>99200006</v>
      </c>
      <c r="X1391" s="93" t="str">
        <f>+VLOOKUP(Agencia[[#This Row],[tema]],Estructura!$A$4:$C$500,3,0)</f>
        <v>T-1048</v>
      </c>
      <c r="Y1391" s="93" t="str">
        <f>+VLOOKUP(Agencia[[#This Row],[contenido]],Estructura!$E$4:$G$500,3,0)</f>
        <v>C-1017</v>
      </c>
      <c r="Z1391" s="93" t="str">
        <f>+VLOOKUP(Agencia[[#This Row],[Filtro Integrado]],Estructura!$I$4:$K$500,3,0)</f>
        <v>FI-993</v>
      </c>
      <c r="AA1391" s="93" t="str">
        <f>+VLOOKUP(Agencia[[#This Row],[Muestra]],Estructura!$M$4:$O$500,3,0)</f>
        <v>M-1094</v>
      </c>
    </row>
    <row r="1392" spans="1:27" ht="57.6" x14ac:dyDescent="0.3">
      <c r="A1392" s="21" t="s">
        <v>2243</v>
      </c>
      <c r="B1392" s="23">
        <v>990</v>
      </c>
      <c r="C1392" s="24" t="s">
        <v>400</v>
      </c>
      <c r="D1392" s="67" t="s">
        <v>568</v>
      </c>
      <c r="E1392" s="19">
        <v>7</v>
      </c>
      <c r="F1392" s="10" t="s">
        <v>2310</v>
      </c>
      <c r="G1392" s="10" t="s">
        <v>2991</v>
      </c>
      <c r="H1392" s="33" t="s">
        <v>16</v>
      </c>
      <c r="I1392" s="34" t="s">
        <v>374</v>
      </c>
      <c r="J1392" s="9" t="s">
        <v>403</v>
      </c>
      <c r="K1392" s="142" t="s">
        <v>9283</v>
      </c>
      <c r="L1392" s="9" t="s">
        <v>2311</v>
      </c>
      <c r="M1392" s="9" t="s">
        <v>2315</v>
      </c>
      <c r="N1392" s="9" t="s">
        <v>402</v>
      </c>
      <c r="O1392" s="20" t="s">
        <v>2963</v>
      </c>
      <c r="P1392" s="112" t="s">
        <v>6323</v>
      </c>
      <c r="Q1392" s="11" t="s">
        <v>784</v>
      </c>
      <c r="R1392" s="148" t="str">
        <f>Agencia[[#This Row],[territorio]]&amp;",regional,comuna,mental,consultas,tasa,100 mil,cien mil,habitantes,evolución,"&amp;Agencia[[#This Row],[coleccion]]&amp;","&amp;Agencia[[#This Row],[sector]]&amp;","&amp;Agencia[[#This Row],[tema]]&amp;","&amp;Agencia[[#This Row],[contenido]]</f>
        <v>Región de Maule,regional,comuna,mental,consultas,tasa,100 mil,cien mil,habitantes,evolución,Agencia Información,Salud,Salud Mental,Estado de la Salud</v>
      </c>
      <c r="S1392" s="37" t="s">
        <v>2964</v>
      </c>
      <c r="T1392" s="114" t="s">
        <v>1853</v>
      </c>
      <c r="U1392" s="46" t="s">
        <v>398</v>
      </c>
      <c r="V1392" s="93" t="str">
        <f>+Agencia[[#This Row],[idcoleccion]]&amp;"-"&amp;Agencia[[#This Row],[id]]</f>
        <v>990-1381</v>
      </c>
      <c r="W1392" s="93">
        <f>+VLOOKUP(Agencia[[#This Row],[Filtro URL]],Estructura!$X$4:$Y$500,2,0)</f>
        <v>99200007</v>
      </c>
      <c r="X1392" s="93" t="str">
        <f>+VLOOKUP(Agencia[[#This Row],[tema]],Estructura!$A$4:$C$500,3,0)</f>
        <v>T-1048</v>
      </c>
      <c r="Y1392" s="93" t="str">
        <f>+VLOOKUP(Agencia[[#This Row],[contenido]],Estructura!$E$4:$G$500,3,0)</f>
        <v>C-1017</v>
      </c>
      <c r="Z1392" s="93" t="str">
        <f>+VLOOKUP(Agencia[[#This Row],[Filtro Integrado]],Estructura!$I$4:$K$500,3,0)</f>
        <v>FI-993</v>
      </c>
      <c r="AA1392" s="93" t="str">
        <f>+VLOOKUP(Agencia[[#This Row],[Muestra]],Estructura!$M$4:$O$500,3,0)</f>
        <v>M-1094</v>
      </c>
    </row>
    <row r="1393" spans="1:27" ht="57.6" x14ac:dyDescent="0.3">
      <c r="A1393" s="21" t="s">
        <v>2244</v>
      </c>
      <c r="B1393" s="23">
        <v>990</v>
      </c>
      <c r="C1393" s="24" t="s">
        <v>400</v>
      </c>
      <c r="D1393" s="67" t="s">
        <v>568</v>
      </c>
      <c r="E1393" s="19">
        <v>8</v>
      </c>
      <c r="F1393" s="10" t="s">
        <v>2310</v>
      </c>
      <c r="G1393" s="10" t="s">
        <v>2991</v>
      </c>
      <c r="H1393" s="33" t="s">
        <v>16</v>
      </c>
      <c r="I1393" s="34" t="s">
        <v>375</v>
      </c>
      <c r="J1393" s="9" t="s">
        <v>403</v>
      </c>
      <c r="K1393" s="142" t="s">
        <v>9283</v>
      </c>
      <c r="L1393" s="9" t="s">
        <v>2311</v>
      </c>
      <c r="M1393" s="9" t="s">
        <v>2315</v>
      </c>
      <c r="N1393" s="9" t="s">
        <v>402</v>
      </c>
      <c r="O1393" s="20" t="s">
        <v>2965</v>
      </c>
      <c r="P1393" s="112" t="s">
        <v>6324</v>
      </c>
      <c r="Q1393" s="11" t="s">
        <v>784</v>
      </c>
      <c r="R1393" s="148" t="str">
        <f>Agencia[[#This Row],[territorio]]&amp;",regional,comuna,mental,consultas,tasa,100 mil,cien mil,habitantes,evolución,"&amp;Agencia[[#This Row],[coleccion]]&amp;","&amp;Agencia[[#This Row],[sector]]&amp;","&amp;Agencia[[#This Row],[tema]]&amp;","&amp;Agencia[[#This Row],[contenido]]</f>
        <v>Región del Biobío,regional,comuna,mental,consultas,tasa,100 mil,cien mil,habitantes,evolución,Agencia Información,Salud,Salud Mental,Estado de la Salud</v>
      </c>
      <c r="S1393" s="37" t="s">
        <v>2966</v>
      </c>
      <c r="T1393" s="114" t="s">
        <v>1858</v>
      </c>
      <c r="U1393" s="46" t="s">
        <v>398</v>
      </c>
      <c r="V1393" s="93" t="str">
        <f>+Agencia[[#This Row],[idcoleccion]]&amp;"-"&amp;Agencia[[#This Row],[id]]</f>
        <v>990-1382</v>
      </c>
      <c r="W1393" s="93">
        <f>+VLOOKUP(Agencia[[#This Row],[Filtro URL]],Estructura!$X$4:$Y$500,2,0)</f>
        <v>99200008</v>
      </c>
      <c r="X1393" s="93" t="str">
        <f>+VLOOKUP(Agencia[[#This Row],[tema]],Estructura!$A$4:$C$500,3,0)</f>
        <v>T-1048</v>
      </c>
      <c r="Y1393" s="93" t="str">
        <f>+VLOOKUP(Agencia[[#This Row],[contenido]],Estructura!$E$4:$G$500,3,0)</f>
        <v>C-1017</v>
      </c>
      <c r="Z1393" s="93" t="str">
        <f>+VLOOKUP(Agencia[[#This Row],[Filtro Integrado]],Estructura!$I$4:$K$500,3,0)</f>
        <v>FI-993</v>
      </c>
      <c r="AA1393" s="93" t="str">
        <f>+VLOOKUP(Agencia[[#This Row],[Muestra]],Estructura!$M$4:$O$500,3,0)</f>
        <v>M-1094</v>
      </c>
    </row>
    <row r="1394" spans="1:27" ht="61.2" x14ac:dyDescent="0.3">
      <c r="A1394" s="21" t="s">
        <v>2245</v>
      </c>
      <c r="B1394" s="23">
        <v>990</v>
      </c>
      <c r="C1394" s="24" t="s">
        <v>400</v>
      </c>
      <c r="D1394" s="67" t="s">
        <v>568</v>
      </c>
      <c r="E1394" s="19">
        <v>9</v>
      </c>
      <c r="F1394" s="10" t="s">
        <v>2310</v>
      </c>
      <c r="G1394" s="10" t="s">
        <v>2991</v>
      </c>
      <c r="H1394" s="33" t="s">
        <v>16</v>
      </c>
      <c r="I1394" s="34" t="s">
        <v>376</v>
      </c>
      <c r="J1394" s="9" t="s">
        <v>403</v>
      </c>
      <c r="K1394" s="142" t="s">
        <v>9283</v>
      </c>
      <c r="L1394" s="9" t="s">
        <v>2311</v>
      </c>
      <c r="M1394" s="9" t="s">
        <v>2315</v>
      </c>
      <c r="N1394" s="9" t="s">
        <v>402</v>
      </c>
      <c r="O1394" s="20" t="s">
        <v>2967</v>
      </c>
      <c r="P1394" s="112" t="s">
        <v>6325</v>
      </c>
      <c r="Q1394" s="11" t="s">
        <v>784</v>
      </c>
      <c r="R1394" s="148" t="str">
        <f>Agencia[[#This Row],[territorio]]&amp;",regional,comuna,mental,consultas,tasa,100 mil,cien mil,habitantes,evolución,"&amp;Agencia[[#This Row],[coleccion]]&amp;","&amp;Agencia[[#This Row],[sector]]&amp;","&amp;Agencia[[#This Row],[tema]]&amp;","&amp;Agencia[[#This Row],[contenido]]</f>
        <v>Región de La Araucanía,regional,comuna,mental,consultas,tasa,100 mil,cien mil,habitantes,evolución,Agencia Información,Salud,Salud Mental,Estado de la Salud</v>
      </c>
      <c r="S1394" s="37" t="s">
        <v>2968</v>
      </c>
      <c r="T1394" s="114" t="s">
        <v>1849</v>
      </c>
      <c r="U1394" s="46" t="s">
        <v>398</v>
      </c>
      <c r="V1394" s="93" t="str">
        <f>+Agencia[[#This Row],[idcoleccion]]&amp;"-"&amp;Agencia[[#This Row],[id]]</f>
        <v>990-1383</v>
      </c>
      <c r="W1394" s="93">
        <f>+VLOOKUP(Agencia[[#This Row],[Filtro URL]],Estructura!$X$4:$Y$500,2,0)</f>
        <v>99200009</v>
      </c>
      <c r="X1394" s="93" t="str">
        <f>+VLOOKUP(Agencia[[#This Row],[tema]],Estructura!$A$4:$C$500,3,0)</f>
        <v>T-1048</v>
      </c>
      <c r="Y1394" s="93" t="str">
        <f>+VLOOKUP(Agencia[[#This Row],[contenido]],Estructura!$E$4:$G$500,3,0)</f>
        <v>C-1017</v>
      </c>
      <c r="Z1394" s="93" t="str">
        <f>+VLOOKUP(Agencia[[#This Row],[Filtro Integrado]],Estructura!$I$4:$K$500,3,0)</f>
        <v>FI-993</v>
      </c>
      <c r="AA1394" s="93" t="str">
        <f>+VLOOKUP(Agencia[[#This Row],[Muestra]],Estructura!$M$4:$O$500,3,0)</f>
        <v>M-1094</v>
      </c>
    </row>
    <row r="1395" spans="1:27" ht="57.6" x14ac:dyDescent="0.3">
      <c r="A1395" s="21" t="s">
        <v>2246</v>
      </c>
      <c r="B1395" s="23">
        <v>990</v>
      </c>
      <c r="C1395" s="24" t="s">
        <v>400</v>
      </c>
      <c r="D1395" s="67" t="s">
        <v>568</v>
      </c>
      <c r="E1395" s="19">
        <v>10</v>
      </c>
      <c r="F1395" s="10" t="s">
        <v>2310</v>
      </c>
      <c r="G1395" s="10" t="s">
        <v>2991</v>
      </c>
      <c r="H1395" s="33" t="s">
        <v>16</v>
      </c>
      <c r="I1395" s="34" t="s">
        <v>377</v>
      </c>
      <c r="J1395" s="9" t="s">
        <v>403</v>
      </c>
      <c r="K1395" s="142" t="s">
        <v>9283</v>
      </c>
      <c r="L1395" s="9" t="s">
        <v>2311</v>
      </c>
      <c r="M1395" s="9" t="s">
        <v>2315</v>
      </c>
      <c r="N1395" s="9" t="s">
        <v>402</v>
      </c>
      <c r="O1395" s="20" t="s">
        <v>2969</v>
      </c>
      <c r="P1395" s="112" t="s">
        <v>6326</v>
      </c>
      <c r="Q1395" s="11" t="s">
        <v>784</v>
      </c>
      <c r="R1395" s="148" t="str">
        <f>Agencia[[#This Row],[territorio]]&amp;",regional,comuna,mental,consultas,tasa,100 mil,cien mil,habitantes,evolución,"&amp;Agencia[[#This Row],[coleccion]]&amp;","&amp;Agencia[[#This Row],[sector]]&amp;","&amp;Agencia[[#This Row],[tema]]&amp;","&amp;Agencia[[#This Row],[contenido]]</f>
        <v>Región de Los Lagos,regional,comuna,mental,consultas,tasa,100 mil,cien mil,habitantes,evolución,Agencia Información,Salud,Salud Mental,Estado de la Salud</v>
      </c>
      <c r="S1395" s="37" t="s">
        <v>2970</v>
      </c>
      <c r="T1395" s="114" t="s">
        <v>1850</v>
      </c>
      <c r="U1395" s="46" t="s">
        <v>398</v>
      </c>
      <c r="V1395" s="93" t="str">
        <f>+Agencia[[#This Row],[idcoleccion]]&amp;"-"&amp;Agencia[[#This Row],[id]]</f>
        <v>990-1384</v>
      </c>
      <c r="W1395" s="93">
        <f>+VLOOKUP(Agencia[[#This Row],[Filtro URL]],Estructura!$X$4:$Y$500,2,0)</f>
        <v>99200010</v>
      </c>
      <c r="X1395" s="93" t="str">
        <f>+VLOOKUP(Agencia[[#This Row],[tema]],Estructura!$A$4:$C$500,3,0)</f>
        <v>T-1048</v>
      </c>
      <c r="Y1395" s="93" t="str">
        <f>+VLOOKUP(Agencia[[#This Row],[contenido]],Estructura!$E$4:$G$500,3,0)</f>
        <v>C-1017</v>
      </c>
      <c r="Z1395" s="93" t="str">
        <f>+VLOOKUP(Agencia[[#This Row],[Filtro Integrado]],Estructura!$I$4:$K$500,3,0)</f>
        <v>FI-993</v>
      </c>
      <c r="AA1395" s="93" t="str">
        <f>+VLOOKUP(Agencia[[#This Row],[Muestra]],Estructura!$M$4:$O$500,3,0)</f>
        <v>M-1094</v>
      </c>
    </row>
    <row r="1396" spans="1:27" ht="57.6" x14ac:dyDescent="0.3">
      <c r="A1396" s="21" t="s">
        <v>2247</v>
      </c>
      <c r="B1396" s="23">
        <v>990</v>
      </c>
      <c r="C1396" s="24" t="s">
        <v>400</v>
      </c>
      <c r="D1396" s="67" t="s">
        <v>568</v>
      </c>
      <c r="E1396" s="19">
        <v>11</v>
      </c>
      <c r="F1396" s="10" t="s">
        <v>2310</v>
      </c>
      <c r="G1396" s="10" t="s">
        <v>2991</v>
      </c>
      <c r="H1396" s="33" t="s">
        <v>16</v>
      </c>
      <c r="I1396" s="34" t="s">
        <v>378</v>
      </c>
      <c r="J1396" s="9" t="s">
        <v>403</v>
      </c>
      <c r="K1396" s="142" t="s">
        <v>9283</v>
      </c>
      <c r="L1396" s="9" t="s">
        <v>2311</v>
      </c>
      <c r="M1396" s="9" t="s">
        <v>2315</v>
      </c>
      <c r="N1396" s="9" t="s">
        <v>402</v>
      </c>
      <c r="O1396" s="20" t="s">
        <v>2971</v>
      </c>
      <c r="P1396" s="112" t="s">
        <v>6327</v>
      </c>
      <c r="Q1396" s="11" t="s">
        <v>784</v>
      </c>
      <c r="R1396" s="148" t="str">
        <f>Agencia[[#This Row],[territorio]]&amp;",regional,comuna,mental,consultas,tasa,100 mil,cien mil,habitantes,evolución,"&amp;Agencia[[#This Row],[coleccion]]&amp;","&amp;Agencia[[#This Row],[sector]]&amp;","&amp;Agencia[[#This Row],[tema]]&amp;","&amp;Agencia[[#This Row],[contenido]]</f>
        <v>Región de Aysén,regional,comuna,mental,consultas,tasa,100 mil,cien mil,habitantes,evolución,Agencia Información,Salud,Salud Mental,Estado de la Salud</v>
      </c>
      <c r="S1396" s="37" t="s">
        <v>2972</v>
      </c>
      <c r="T1396" s="114" t="s">
        <v>1847</v>
      </c>
      <c r="U1396" s="46" t="s">
        <v>398</v>
      </c>
      <c r="V1396" s="93" t="str">
        <f>+Agencia[[#This Row],[idcoleccion]]&amp;"-"&amp;Agencia[[#This Row],[id]]</f>
        <v>990-1385</v>
      </c>
      <c r="W1396" s="93">
        <f>+VLOOKUP(Agencia[[#This Row],[Filtro URL]],Estructura!$X$4:$Y$500,2,0)</f>
        <v>99200011</v>
      </c>
      <c r="X1396" s="93" t="str">
        <f>+VLOOKUP(Agencia[[#This Row],[tema]],Estructura!$A$4:$C$500,3,0)</f>
        <v>T-1048</v>
      </c>
      <c r="Y1396" s="93" t="str">
        <f>+VLOOKUP(Agencia[[#This Row],[contenido]],Estructura!$E$4:$G$500,3,0)</f>
        <v>C-1017</v>
      </c>
      <c r="Z1396" s="93" t="str">
        <f>+VLOOKUP(Agencia[[#This Row],[Filtro Integrado]],Estructura!$I$4:$K$500,3,0)</f>
        <v>FI-993</v>
      </c>
      <c r="AA1396" s="93" t="str">
        <f>+VLOOKUP(Agencia[[#This Row],[Muestra]],Estructura!$M$4:$O$500,3,0)</f>
        <v>M-1094</v>
      </c>
    </row>
    <row r="1397" spans="1:27" ht="61.2" x14ac:dyDescent="0.3">
      <c r="A1397" s="21" t="s">
        <v>2248</v>
      </c>
      <c r="B1397" s="23">
        <v>990</v>
      </c>
      <c r="C1397" s="24" t="s">
        <v>400</v>
      </c>
      <c r="D1397" s="67" t="s">
        <v>568</v>
      </c>
      <c r="E1397" s="19">
        <v>12</v>
      </c>
      <c r="F1397" s="10" t="s">
        <v>2310</v>
      </c>
      <c r="G1397" s="10" t="s">
        <v>2991</v>
      </c>
      <c r="H1397" s="33" t="s">
        <v>16</v>
      </c>
      <c r="I1397" s="34" t="s">
        <v>379</v>
      </c>
      <c r="J1397" s="9" t="s">
        <v>403</v>
      </c>
      <c r="K1397" s="142" t="s">
        <v>9283</v>
      </c>
      <c r="L1397" s="9" t="s">
        <v>2311</v>
      </c>
      <c r="M1397" s="9" t="s">
        <v>2315</v>
      </c>
      <c r="N1397" s="9" t="s">
        <v>402</v>
      </c>
      <c r="O1397" s="20" t="s">
        <v>2973</v>
      </c>
      <c r="P1397" s="112" t="s">
        <v>6328</v>
      </c>
      <c r="Q1397" s="11" t="s">
        <v>784</v>
      </c>
      <c r="R1397" s="148" t="str">
        <f>Agencia[[#This Row],[territorio]]&amp;",regional,comuna,mental,consultas,tasa,100 mil,cien mil,habitantes,evolución,"&amp;Agencia[[#This Row],[coleccion]]&amp;","&amp;Agencia[[#This Row],[sector]]&amp;","&amp;Agencia[[#This Row],[tema]]&amp;","&amp;Agencia[[#This Row],[contenido]]</f>
        <v>Región de Magallanes,regional,comuna,mental,consultas,tasa,100 mil,cien mil,habitantes,evolución,Agencia Información,Salud,Salud Mental,Estado de la Salud</v>
      </c>
      <c r="S1397" s="37" t="s">
        <v>2974</v>
      </c>
      <c r="T1397" s="114" t="s">
        <v>1852</v>
      </c>
      <c r="U1397" s="46" t="s">
        <v>398</v>
      </c>
      <c r="V1397" s="93" t="str">
        <f>+Agencia[[#This Row],[idcoleccion]]&amp;"-"&amp;Agencia[[#This Row],[id]]</f>
        <v>990-1386</v>
      </c>
      <c r="W1397" s="93">
        <f>+VLOOKUP(Agencia[[#This Row],[Filtro URL]],Estructura!$X$4:$Y$500,2,0)</f>
        <v>99200012</v>
      </c>
      <c r="X1397" s="93" t="str">
        <f>+VLOOKUP(Agencia[[#This Row],[tema]],Estructura!$A$4:$C$500,3,0)</f>
        <v>T-1048</v>
      </c>
      <c r="Y1397" s="93" t="str">
        <f>+VLOOKUP(Agencia[[#This Row],[contenido]],Estructura!$E$4:$G$500,3,0)</f>
        <v>C-1017</v>
      </c>
      <c r="Z1397" s="93" t="str">
        <f>+VLOOKUP(Agencia[[#This Row],[Filtro Integrado]],Estructura!$I$4:$K$500,3,0)</f>
        <v>FI-993</v>
      </c>
      <c r="AA1397" s="93" t="str">
        <f>+VLOOKUP(Agencia[[#This Row],[Muestra]],Estructura!$M$4:$O$500,3,0)</f>
        <v>M-1094</v>
      </c>
    </row>
    <row r="1398" spans="1:27" ht="61.2" x14ac:dyDescent="0.3">
      <c r="A1398" s="21" t="s">
        <v>2249</v>
      </c>
      <c r="B1398" s="23">
        <v>990</v>
      </c>
      <c r="C1398" s="24" t="s">
        <v>400</v>
      </c>
      <c r="D1398" s="67" t="s">
        <v>568</v>
      </c>
      <c r="E1398" s="19">
        <v>13</v>
      </c>
      <c r="F1398" s="10" t="s">
        <v>2310</v>
      </c>
      <c r="G1398" s="10" t="s">
        <v>2991</v>
      </c>
      <c r="H1398" s="33" t="s">
        <v>16</v>
      </c>
      <c r="I1398" s="34" t="s">
        <v>380</v>
      </c>
      <c r="J1398" s="9" t="s">
        <v>403</v>
      </c>
      <c r="K1398" s="142" t="s">
        <v>9283</v>
      </c>
      <c r="L1398" s="9" t="s">
        <v>2311</v>
      </c>
      <c r="M1398" s="9" t="s">
        <v>2315</v>
      </c>
      <c r="N1398" s="9" t="s">
        <v>402</v>
      </c>
      <c r="O1398" s="20" t="s">
        <v>2975</v>
      </c>
      <c r="P1398" s="112" t="s">
        <v>6329</v>
      </c>
      <c r="Q1398" s="11" t="s">
        <v>784</v>
      </c>
      <c r="R1398" s="148" t="str">
        <f>Agencia[[#This Row],[territorio]]&amp;",regional,comuna,mental,consultas,tasa,100 mil,cien mil,habitantes,evolución,"&amp;Agencia[[#This Row],[coleccion]]&amp;","&amp;Agencia[[#This Row],[sector]]&amp;","&amp;Agencia[[#This Row],[tema]]&amp;","&amp;Agencia[[#This Row],[contenido]]</f>
        <v>Región Metropolitana,regional,comuna,mental,consultas,tasa,100 mil,cien mil,habitantes,evolución,Agencia Información,Salud,Salud Mental,Estado de la Salud</v>
      </c>
      <c r="S1398" s="37" t="s">
        <v>2976</v>
      </c>
      <c r="T1398" s="114" t="s">
        <v>1859</v>
      </c>
      <c r="U1398" s="46" t="s">
        <v>398</v>
      </c>
      <c r="V1398" s="93" t="str">
        <f>+Agencia[[#This Row],[idcoleccion]]&amp;"-"&amp;Agencia[[#This Row],[id]]</f>
        <v>990-1387</v>
      </c>
      <c r="W1398" s="93">
        <f>+VLOOKUP(Agencia[[#This Row],[Filtro URL]],Estructura!$X$4:$Y$500,2,0)</f>
        <v>99200013</v>
      </c>
      <c r="X1398" s="93" t="str">
        <f>+VLOOKUP(Agencia[[#This Row],[tema]],Estructura!$A$4:$C$500,3,0)</f>
        <v>T-1048</v>
      </c>
      <c r="Y1398" s="93" t="str">
        <f>+VLOOKUP(Agencia[[#This Row],[contenido]],Estructura!$E$4:$G$500,3,0)</f>
        <v>C-1017</v>
      </c>
      <c r="Z1398" s="93" t="str">
        <f>+VLOOKUP(Agencia[[#This Row],[Filtro Integrado]],Estructura!$I$4:$K$500,3,0)</f>
        <v>FI-993</v>
      </c>
      <c r="AA1398" s="93" t="str">
        <f>+VLOOKUP(Agencia[[#This Row],[Muestra]],Estructura!$M$4:$O$500,3,0)</f>
        <v>M-1094</v>
      </c>
    </row>
    <row r="1399" spans="1:27" ht="57.6" x14ac:dyDescent="0.3">
      <c r="A1399" s="21" t="s">
        <v>2254</v>
      </c>
      <c r="B1399" s="23">
        <v>990</v>
      </c>
      <c r="C1399" s="24" t="s">
        <v>400</v>
      </c>
      <c r="D1399" s="67" t="s">
        <v>568</v>
      </c>
      <c r="E1399" s="19">
        <v>14</v>
      </c>
      <c r="F1399" s="10" t="s">
        <v>2310</v>
      </c>
      <c r="G1399" s="10" t="s">
        <v>2991</v>
      </c>
      <c r="H1399" s="33" t="s">
        <v>16</v>
      </c>
      <c r="I1399" s="34" t="s">
        <v>381</v>
      </c>
      <c r="J1399" s="9" t="s">
        <v>403</v>
      </c>
      <c r="K1399" s="142" t="s">
        <v>9283</v>
      </c>
      <c r="L1399" s="9" t="s">
        <v>2311</v>
      </c>
      <c r="M1399" s="9" t="s">
        <v>2315</v>
      </c>
      <c r="N1399" s="9" t="s">
        <v>402</v>
      </c>
      <c r="O1399" s="20" t="s">
        <v>2977</v>
      </c>
      <c r="P1399" s="112" t="s">
        <v>6330</v>
      </c>
      <c r="Q1399" s="11" t="s">
        <v>784</v>
      </c>
      <c r="R1399" s="148" t="str">
        <f>Agencia[[#This Row],[territorio]]&amp;",regional,comuna,mental,consultas,tasa,100 mil,cien mil,habitantes,evolución,"&amp;Agencia[[#This Row],[coleccion]]&amp;","&amp;Agencia[[#This Row],[sector]]&amp;","&amp;Agencia[[#This Row],[tema]]&amp;","&amp;Agencia[[#This Row],[contenido]]</f>
        <v>Región de Los Ríos,regional,comuna,mental,consultas,tasa,100 mil,cien mil,habitantes,evolución,Agencia Información,Salud,Salud Mental,Estado de la Salud</v>
      </c>
      <c r="S1399" s="37" t="s">
        <v>2978</v>
      </c>
      <c r="T1399" s="114" t="s">
        <v>1851</v>
      </c>
      <c r="U1399" s="46" t="s">
        <v>398</v>
      </c>
      <c r="V1399" s="93" t="str">
        <f>+Agencia[[#This Row],[idcoleccion]]&amp;"-"&amp;Agencia[[#This Row],[id]]</f>
        <v>990-1388</v>
      </c>
      <c r="W1399" s="93">
        <f>+VLOOKUP(Agencia[[#This Row],[Filtro URL]],Estructura!$X$4:$Y$500,2,0)</f>
        <v>99200014</v>
      </c>
      <c r="X1399" s="93" t="str">
        <f>+VLOOKUP(Agencia[[#This Row],[tema]],Estructura!$A$4:$C$500,3,0)</f>
        <v>T-1048</v>
      </c>
      <c r="Y1399" s="93" t="str">
        <f>+VLOOKUP(Agencia[[#This Row],[contenido]],Estructura!$E$4:$G$500,3,0)</f>
        <v>C-1017</v>
      </c>
      <c r="Z1399" s="93" t="str">
        <f>+VLOOKUP(Agencia[[#This Row],[Filtro Integrado]],Estructura!$I$4:$K$500,3,0)</f>
        <v>FI-993</v>
      </c>
      <c r="AA1399" s="93" t="str">
        <f>+VLOOKUP(Agencia[[#This Row],[Muestra]],Estructura!$M$4:$O$500,3,0)</f>
        <v>M-1094</v>
      </c>
    </row>
    <row r="1400" spans="1:27" ht="61.2" x14ac:dyDescent="0.3">
      <c r="A1400" s="21" t="s">
        <v>2255</v>
      </c>
      <c r="B1400" s="23">
        <v>990</v>
      </c>
      <c r="C1400" s="24" t="s">
        <v>400</v>
      </c>
      <c r="D1400" s="67" t="s">
        <v>568</v>
      </c>
      <c r="E1400" s="19">
        <v>15</v>
      </c>
      <c r="F1400" s="10" t="s">
        <v>2310</v>
      </c>
      <c r="G1400" s="10" t="s">
        <v>2991</v>
      </c>
      <c r="H1400" s="33" t="s">
        <v>16</v>
      </c>
      <c r="I1400" s="34" t="s">
        <v>382</v>
      </c>
      <c r="J1400" s="9" t="s">
        <v>403</v>
      </c>
      <c r="K1400" s="142" t="s">
        <v>9283</v>
      </c>
      <c r="L1400" s="9" t="s">
        <v>2311</v>
      </c>
      <c r="M1400" s="9" t="s">
        <v>2315</v>
      </c>
      <c r="N1400" s="9" t="s">
        <v>402</v>
      </c>
      <c r="O1400" s="20" t="s">
        <v>2979</v>
      </c>
      <c r="P1400" s="112" t="s">
        <v>6331</v>
      </c>
      <c r="Q1400" s="11" t="s">
        <v>784</v>
      </c>
      <c r="R1400" s="148" t="str">
        <f>Agencia[[#This Row],[territorio]]&amp;",regional,comuna,mental,consultas,tasa,100 mil,cien mil,habitantes,evolución,"&amp;Agencia[[#This Row],[coleccion]]&amp;","&amp;Agencia[[#This Row],[sector]]&amp;","&amp;Agencia[[#This Row],[tema]]&amp;","&amp;Agencia[[#This Row],[contenido]]</f>
        <v>Región de Arica y Parinacota,regional,comuna,mental,consultas,tasa,100 mil,cien mil,habitantes,evolución,Agencia Información,Salud,Salud Mental,Estado de la Salud</v>
      </c>
      <c r="S1400" s="37" t="s">
        <v>2980</v>
      </c>
      <c r="T1400" s="114" t="s">
        <v>1845</v>
      </c>
      <c r="U1400" s="46" t="s">
        <v>4294</v>
      </c>
      <c r="V1400" s="93" t="str">
        <f>+Agencia[[#This Row],[idcoleccion]]&amp;"-"&amp;Agencia[[#This Row],[id]]</f>
        <v>990-1389</v>
      </c>
      <c r="W1400" s="93">
        <f>+VLOOKUP(Agencia[[#This Row],[Filtro URL]],Estructura!$X$4:$Y$500,2,0)</f>
        <v>99200015</v>
      </c>
      <c r="X1400" s="93" t="str">
        <f>+VLOOKUP(Agencia[[#This Row],[tema]],Estructura!$A$4:$C$500,3,0)</f>
        <v>T-1048</v>
      </c>
      <c r="Y1400" s="93" t="str">
        <f>+VLOOKUP(Agencia[[#This Row],[contenido]],Estructura!$E$4:$G$500,3,0)</f>
        <v>C-1017</v>
      </c>
      <c r="Z1400" s="93" t="str">
        <f>+VLOOKUP(Agencia[[#This Row],[Filtro Integrado]],Estructura!$I$4:$K$500,3,0)</f>
        <v>FI-993</v>
      </c>
      <c r="AA1400" s="93" t="str">
        <f>+VLOOKUP(Agencia[[#This Row],[Muestra]],Estructura!$M$4:$O$500,3,0)</f>
        <v>M-1094</v>
      </c>
    </row>
    <row r="1401" spans="1:27" ht="57.6" x14ac:dyDescent="0.3">
      <c r="A1401" s="21" t="s">
        <v>2256</v>
      </c>
      <c r="B1401" s="23">
        <v>990</v>
      </c>
      <c r="C1401" s="24" t="s">
        <v>400</v>
      </c>
      <c r="D1401" s="72" t="s">
        <v>568</v>
      </c>
      <c r="E1401" s="42">
        <v>16</v>
      </c>
      <c r="F1401" s="10" t="s">
        <v>2310</v>
      </c>
      <c r="G1401" s="10" t="s">
        <v>2991</v>
      </c>
      <c r="H1401" s="33" t="s">
        <v>16</v>
      </c>
      <c r="I1401" s="51" t="s">
        <v>383</v>
      </c>
      <c r="J1401" s="23" t="s">
        <v>403</v>
      </c>
      <c r="K1401" s="142" t="s">
        <v>9283</v>
      </c>
      <c r="L1401" s="23" t="s">
        <v>2311</v>
      </c>
      <c r="M1401" s="9" t="s">
        <v>2315</v>
      </c>
      <c r="N1401" s="9" t="s">
        <v>402</v>
      </c>
      <c r="O1401" s="20" t="s">
        <v>2981</v>
      </c>
      <c r="P1401" s="113" t="s">
        <v>6332</v>
      </c>
      <c r="Q1401" s="27" t="s">
        <v>784</v>
      </c>
      <c r="R1401" s="148" t="str">
        <f>Agencia[[#This Row],[territorio]]&amp;",regional,comuna,mental,consultas,tasa,100 mil,cien mil,habitantes,evolución,"&amp;Agencia[[#This Row],[coleccion]]&amp;","&amp;Agencia[[#This Row],[sector]]&amp;","&amp;Agencia[[#This Row],[tema]]&amp;","&amp;Agencia[[#This Row],[contenido]]</f>
        <v>Región de Ñuble,regional,comuna,mental,consultas,tasa,100 mil,cien mil,habitantes,evolución,Agencia Información,Salud,Salud Mental,Estado de la Salud</v>
      </c>
      <c r="S1401" s="37" t="s">
        <v>2982</v>
      </c>
      <c r="T1401" s="117" t="s">
        <v>1854</v>
      </c>
      <c r="U1401" s="46" t="s">
        <v>4295</v>
      </c>
      <c r="V1401" s="93" t="str">
        <f>+Agencia[[#This Row],[idcoleccion]]&amp;"-"&amp;Agencia[[#This Row],[id]]</f>
        <v>990-1390</v>
      </c>
      <c r="W1401" s="93">
        <f>+VLOOKUP(Agencia[[#This Row],[Filtro URL]],Estructura!$X$4:$Y$500,2,0)</f>
        <v>99200016</v>
      </c>
      <c r="X1401" s="93" t="str">
        <f>+VLOOKUP(Agencia[[#This Row],[tema]],Estructura!$A$4:$C$500,3,0)</f>
        <v>T-1048</v>
      </c>
      <c r="Y1401" s="93" t="str">
        <f>+VLOOKUP(Agencia[[#This Row],[contenido]],Estructura!$E$4:$G$500,3,0)</f>
        <v>C-1017</v>
      </c>
      <c r="Z1401" s="93" t="str">
        <f>+VLOOKUP(Agencia[[#This Row],[Filtro Integrado]],Estructura!$I$4:$K$500,3,0)</f>
        <v>FI-993</v>
      </c>
      <c r="AA1401" s="93" t="str">
        <f>+VLOOKUP(Agencia[[#This Row],[Muestra]],Estructura!$M$4:$O$500,3,0)</f>
        <v>M-1094</v>
      </c>
    </row>
    <row r="1402" spans="1:27" ht="66" customHeight="1" x14ac:dyDescent="0.3">
      <c r="A1402" s="21" t="s">
        <v>2257</v>
      </c>
      <c r="B1402" s="23">
        <v>990</v>
      </c>
      <c r="C1402" s="24" t="s">
        <v>400</v>
      </c>
      <c r="D1402" s="72" t="s">
        <v>2993</v>
      </c>
      <c r="E1402" s="14">
        <v>0</v>
      </c>
      <c r="F1402" s="24" t="s">
        <v>2994</v>
      </c>
      <c r="G1402" s="24" t="s">
        <v>2995</v>
      </c>
      <c r="H1402" s="31" t="s">
        <v>20</v>
      </c>
      <c r="I1402" s="32" t="s">
        <v>15</v>
      </c>
      <c r="J1402" s="23" t="s">
        <v>2076</v>
      </c>
      <c r="K1402" s="23" t="s">
        <v>2994</v>
      </c>
      <c r="L1402" s="23" t="s">
        <v>2996</v>
      </c>
      <c r="M1402" s="23" t="s">
        <v>3609</v>
      </c>
      <c r="N1402" s="23" t="s">
        <v>2997</v>
      </c>
      <c r="O1402" s="26" t="str">
        <f>"Top 10 de comunas en Chile con mayor cantidad de suscripciones a internet fija, "&amp;Agencia[[#This Row],[temporalidad]]</f>
        <v>Top 10 de comunas en Chile con mayor cantidad de suscripciones a internet fija, Periodo 2007-2019</v>
      </c>
      <c r="P1402" s="113" t="s">
        <v>6944</v>
      </c>
      <c r="Q1402" s="27" t="s">
        <v>504</v>
      </c>
      <c r="R1402" s="26" t="str">
        <f>Agencia[[#This Row],[territorio]]&amp;",ranking,conexiones,internet fija,país,suscripciones,comunas,cantidad,"&amp;Agencia[[#This Row],[coleccion]]&amp;","&amp;Agencia[[#This Row],[sector]]&amp;","&amp;Agencia[[#This Row],[tema]]&amp;","&amp;Agencia[[#This Row],[contenido]]</f>
        <v>Chile,ranking,conexiones,internet fija,país,suscripciones,comunas,cantidad,Agencia Información,Tecnología, Internet y Telecomunicaciones,Conexiones de internet fija,Internet</v>
      </c>
      <c r="S1402" s="138" t="s">
        <v>2998</v>
      </c>
      <c r="T1402" s="58">
        <v>0</v>
      </c>
      <c r="U1402" s="46" t="s">
        <v>4296</v>
      </c>
      <c r="V1402" s="93" t="str">
        <f>+Agencia[[#This Row],[idcoleccion]]&amp;"-"&amp;Agencia[[#This Row],[id]]</f>
        <v>990-1391</v>
      </c>
      <c r="W1402" s="93">
        <f>+VLOOKUP(Agencia[[#This Row],[Filtro URL]],Estructura!$X$4:$Y$500,2,0)</f>
        <v>99100000</v>
      </c>
      <c r="X1402" s="93" t="str">
        <f>+VLOOKUP(Agencia[[#This Row],[tema]],Estructura!$A$4:$C$500,3,0)</f>
        <v>T-1053</v>
      </c>
      <c r="Y1402" s="93" t="str">
        <f>+VLOOKUP(Agencia[[#This Row],[contenido]],Estructura!$E$4:$G$500,3,0)</f>
        <v>C-1021</v>
      </c>
      <c r="Z1402" s="93" t="str">
        <f>+VLOOKUP(Agencia[[#This Row],[Filtro Integrado]],Estructura!$I$4:$K$500,3,0)</f>
        <v>FI-1002</v>
      </c>
      <c r="AA1402" s="93" t="str">
        <f>+VLOOKUP(Agencia[[#This Row],[Muestra]],Estructura!$M$4:$O$500,3,0)</f>
        <v>M-1095</v>
      </c>
    </row>
    <row r="1403" spans="1:27" ht="51" x14ac:dyDescent="0.3">
      <c r="A1403" s="21" t="s">
        <v>2258</v>
      </c>
      <c r="B1403" s="23">
        <v>990</v>
      </c>
      <c r="C1403" s="24" t="s">
        <v>400</v>
      </c>
      <c r="D1403" s="72" t="s">
        <v>2993</v>
      </c>
      <c r="E1403" s="14">
        <v>0</v>
      </c>
      <c r="F1403" s="24" t="s">
        <v>2994</v>
      </c>
      <c r="G1403" s="24" t="s">
        <v>2995</v>
      </c>
      <c r="H1403" s="31" t="s">
        <v>20</v>
      </c>
      <c r="I1403" s="32" t="s">
        <v>15</v>
      </c>
      <c r="J1403" s="9" t="s">
        <v>16</v>
      </c>
      <c r="K1403" s="136" t="s">
        <v>2994</v>
      </c>
      <c r="L1403" s="9" t="s">
        <v>827</v>
      </c>
      <c r="M1403" s="23" t="s">
        <v>3609</v>
      </c>
      <c r="N1403" s="23" t="s">
        <v>2997</v>
      </c>
      <c r="O1403" s="20" t="str">
        <f>"Mapa de cantidad de conexiones a internet fija en "&amp;Agencia[[#This Row],[territorio]]&amp;", "&amp;Agencia[[#This Row],[temporalidad]]</f>
        <v>Mapa de cantidad de conexiones a internet fija en Chile, Año 2019</v>
      </c>
      <c r="P1403" s="113" t="s">
        <v>6945</v>
      </c>
      <c r="Q1403" s="11" t="s">
        <v>794</v>
      </c>
      <c r="R1403" s="20" t="str">
        <f>Agencia[[#This Row],[territorio]]&amp;",conexión,internet fija,comuna,región,conexiones,suscripciones,país,"&amp;Agencia[[#This Row],[coleccion]]&amp;","&amp;Agencia[[#This Row],[sector]]&amp;","&amp;Agencia[[#This Row],[tema]]&amp;","&amp;Agencia[[#This Row],[contenido]]</f>
        <v>Chile,conexión,internet fija,comuna,región,conexiones,suscripciones,país,Agencia Información,Tecnología, Internet y Telecomunicaciones,Conexiones de internet fija,Internet</v>
      </c>
      <c r="S1403" s="37" t="s">
        <v>2999</v>
      </c>
      <c r="T1403" s="114" t="s">
        <v>957</v>
      </c>
      <c r="U1403" s="46" t="s">
        <v>4297</v>
      </c>
      <c r="V1403" s="93" t="str">
        <f>+Agencia[[#This Row],[idcoleccion]]&amp;"-"&amp;Agencia[[#This Row],[id]]</f>
        <v>990-1392</v>
      </c>
      <c r="W1403" s="93">
        <f>+VLOOKUP(Agencia[[#This Row],[Filtro URL]],Estructura!$X$4:$Y$500,2,0)</f>
        <v>99100000</v>
      </c>
      <c r="X1403" s="93" t="str">
        <f>+VLOOKUP(Agencia[[#This Row],[tema]],Estructura!$A$4:$C$500,3,0)</f>
        <v>T-1053</v>
      </c>
      <c r="Y1403" s="93" t="str">
        <f>+VLOOKUP(Agencia[[#This Row],[contenido]],Estructura!$E$4:$G$500,3,0)</f>
        <v>C-1021</v>
      </c>
      <c r="Z1403" s="93" t="str">
        <f>+VLOOKUP(Agencia[[#This Row],[Filtro Integrado]],Estructura!$I$4:$K$500,3,0)</f>
        <v>FI-992</v>
      </c>
      <c r="AA1403" s="93" t="str">
        <f>+VLOOKUP(Agencia[[#This Row],[Muestra]],Estructura!$M$4:$O$500,3,0)</f>
        <v>M-1095</v>
      </c>
    </row>
    <row r="1404" spans="1:27" ht="57.6" x14ac:dyDescent="0.3">
      <c r="A1404" s="21" t="s">
        <v>2259</v>
      </c>
      <c r="B1404" s="23">
        <v>990</v>
      </c>
      <c r="C1404" s="24" t="s">
        <v>400</v>
      </c>
      <c r="D1404" s="72" t="s">
        <v>2993</v>
      </c>
      <c r="E1404" s="19">
        <v>1</v>
      </c>
      <c r="F1404" s="24" t="s">
        <v>2994</v>
      </c>
      <c r="G1404" s="24" t="s">
        <v>2995</v>
      </c>
      <c r="H1404" s="33" t="s">
        <v>16</v>
      </c>
      <c r="I1404" s="34" t="s">
        <v>368</v>
      </c>
      <c r="J1404" s="9" t="s">
        <v>403</v>
      </c>
      <c r="K1404" s="136" t="s">
        <v>2994</v>
      </c>
      <c r="L1404" s="9" t="s">
        <v>827</v>
      </c>
      <c r="M1404" s="23" t="s">
        <v>3609</v>
      </c>
      <c r="N1404" s="23" t="s">
        <v>2997</v>
      </c>
      <c r="O1404" s="20" t="str">
        <f>"Mapa de cantidad de conexiones a internet fija en la "&amp;Agencia[[#This Row],[territorio]]&amp;", "&amp;Agencia[[#This Row],[temporalidad]]</f>
        <v>Mapa de cantidad de conexiones a internet fija en la Región de Tarapacá, Año 2019</v>
      </c>
      <c r="P1404" s="112" t="s">
        <v>6946</v>
      </c>
      <c r="Q1404" s="11" t="s">
        <v>794</v>
      </c>
      <c r="R1404" s="20" t="str">
        <f>Agencia[[#This Row],[territorio]]&amp;",conexión,internet fija,comuna,región,conexiones,suscripciones,"&amp;Agencia[[#This Row],[coleccion]]&amp;","&amp;Agencia[[#This Row],[sector]]&amp;","&amp;Agencia[[#This Row],[tema]]&amp;","&amp;Agencia[[#This Row],[contenido]]</f>
        <v>Región de Tarapacá,conexión,internet fija,comuna,región,conexiones,suscripciones,Agencia Información,Tecnología, Internet y Telecomunicaciones,Conexiones de internet fija,Internet</v>
      </c>
      <c r="S1404" s="37" t="s">
        <v>3000</v>
      </c>
      <c r="T1404" s="114" t="s">
        <v>1856</v>
      </c>
      <c r="U1404" s="46" t="s">
        <v>4298</v>
      </c>
      <c r="V1404" s="93" t="str">
        <f>+Agencia[[#This Row],[idcoleccion]]&amp;"-"&amp;Agencia[[#This Row],[id]]</f>
        <v>990-1393</v>
      </c>
      <c r="W1404" s="93">
        <f>+VLOOKUP(Agencia[[#This Row],[Filtro URL]],Estructura!$X$4:$Y$500,2,0)</f>
        <v>99200001</v>
      </c>
      <c r="X1404" s="93" t="str">
        <f>+VLOOKUP(Agencia[[#This Row],[tema]],Estructura!$A$4:$C$500,3,0)</f>
        <v>T-1053</v>
      </c>
      <c r="Y1404" s="93" t="str">
        <f>+VLOOKUP(Agencia[[#This Row],[contenido]],Estructura!$E$4:$G$500,3,0)</f>
        <v>C-1021</v>
      </c>
      <c r="Z1404" s="93" t="str">
        <f>+VLOOKUP(Agencia[[#This Row],[Filtro Integrado]],Estructura!$I$4:$K$500,3,0)</f>
        <v>FI-993</v>
      </c>
      <c r="AA1404" s="93" t="str">
        <f>+VLOOKUP(Agencia[[#This Row],[Muestra]],Estructura!$M$4:$O$500,3,0)</f>
        <v>M-1095</v>
      </c>
    </row>
    <row r="1405" spans="1:27" ht="57.6" x14ac:dyDescent="0.3">
      <c r="A1405" s="21" t="s">
        <v>2260</v>
      </c>
      <c r="B1405" s="23">
        <v>990</v>
      </c>
      <c r="C1405" s="24" t="s">
        <v>400</v>
      </c>
      <c r="D1405" s="72" t="s">
        <v>2993</v>
      </c>
      <c r="E1405" s="19">
        <v>2</v>
      </c>
      <c r="F1405" s="24" t="s">
        <v>2994</v>
      </c>
      <c r="G1405" s="24" t="s">
        <v>2995</v>
      </c>
      <c r="H1405" s="33" t="s">
        <v>16</v>
      </c>
      <c r="I1405" s="34" t="s">
        <v>369</v>
      </c>
      <c r="J1405" s="9" t="s">
        <v>403</v>
      </c>
      <c r="K1405" s="136" t="s">
        <v>2994</v>
      </c>
      <c r="L1405" s="9" t="s">
        <v>827</v>
      </c>
      <c r="M1405" s="23" t="s">
        <v>3609</v>
      </c>
      <c r="N1405" s="23" t="s">
        <v>2997</v>
      </c>
      <c r="O1405" s="20" t="str">
        <f>"Mapa de cantidad de conexiones a internet fija en la "&amp;Agencia[[#This Row],[territorio]]&amp;", "&amp;Agencia[[#This Row],[temporalidad]]</f>
        <v>Mapa de cantidad de conexiones a internet fija en la Región de Antofagasta, Año 2019</v>
      </c>
      <c r="P1405" s="112" t="s">
        <v>6947</v>
      </c>
      <c r="Q1405" s="11" t="s">
        <v>794</v>
      </c>
      <c r="R1405" s="148" t="str">
        <f>Agencia[[#This Row],[territorio]]&amp;",conexión,internet fija,comuna,región,conexiones,suscripciones,"&amp;Agencia[[#This Row],[coleccion]]&amp;","&amp;Agencia[[#This Row],[sector]]&amp;","&amp;Agencia[[#This Row],[tema]]&amp;","&amp;Agencia[[#This Row],[contenido]]</f>
        <v>Región de Antofagasta,conexión,internet fija,comuna,región,conexiones,suscripciones,Agencia Información,Tecnología, Internet y Telecomunicaciones,Conexiones de internet fija,Internet</v>
      </c>
      <c r="S1405" s="37" t="s">
        <v>3001</v>
      </c>
      <c r="T1405" s="114" t="s">
        <v>1844</v>
      </c>
      <c r="U1405" s="46" t="s">
        <v>4299</v>
      </c>
      <c r="V1405" s="93" t="str">
        <f>+Agencia[[#This Row],[idcoleccion]]&amp;"-"&amp;Agencia[[#This Row],[id]]</f>
        <v>990-1394</v>
      </c>
      <c r="W1405" s="93">
        <f>+VLOOKUP(Agencia[[#This Row],[Filtro URL]],Estructura!$X$4:$Y$500,2,0)</f>
        <v>99200002</v>
      </c>
      <c r="X1405" s="93" t="str">
        <f>+VLOOKUP(Agencia[[#This Row],[tema]],Estructura!$A$4:$C$500,3,0)</f>
        <v>T-1053</v>
      </c>
      <c r="Y1405" s="93" t="str">
        <f>+VLOOKUP(Agencia[[#This Row],[contenido]],Estructura!$E$4:$G$500,3,0)</f>
        <v>C-1021</v>
      </c>
      <c r="Z1405" s="93" t="str">
        <f>+VLOOKUP(Agencia[[#This Row],[Filtro Integrado]],Estructura!$I$4:$K$500,3,0)</f>
        <v>FI-993</v>
      </c>
      <c r="AA1405" s="93" t="str">
        <f>+VLOOKUP(Agencia[[#This Row],[Muestra]],Estructura!$M$4:$O$500,3,0)</f>
        <v>M-1095</v>
      </c>
    </row>
    <row r="1406" spans="1:27" ht="57.6" x14ac:dyDescent="0.3">
      <c r="A1406" s="21" t="s">
        <v>2261</v>
      </c>
      <c r="B1406" s="23">
        <v>990</v>
      </c>
      <c r="C1406" s="24" t="s">
        <v>400</v>
      </c>
      <c r="D1406" s="72" t="s">
        <v>2993</v>
      </c>
      <c r="E1406" s="19">
        <v>3</v>
      </c>
      <c r="F1406" s="24" t="s">
        <v>2994</v>
      </c>
      <c r="G1406" s="24" t="s">
        <v>2995</v>
      </c>
      <c r="H1406" s="33" t="s">
        <v>16</v>
      </c>
      <c r="I1406" s="34" t="s">
        <v>370</v>
      </c>
      <c r="J1406" s="9" t="s">
        <v>403</v>
      </c>
      <c r="K1406" s="136" t="s">
        <v>2994</v>
      </c>
      <c r="L1406" s="9" t="s">
        <v>827</v>
      </c>
      <c r="M1406" s="23" t="s">
        <v>3609</v>
      </c>
      <c r="N1406" s="23" t="s">
        <v>2997</v>
      </c>
      <c r="O1406" s="20" t="str">
        <f>"Mapa de cantidad de conexiones a internet fija en la "&amp;Agencia[[#This Row],[territorio]]&amp;", "&amp;Agencia[[#This Row],[temporalidad]]</f>
        <v>Mapa de cantidad de conexiones a internet fija en la Región de Atacama, Año 2019</v>
      </c>
      <c r="P1406" s="112" t="s">
        <v>6948</v>
      </c>
      <c r="Q1406" s="11" t="s">
        <v>794</v>
      </c>
      <c r="R1406" s="148" t="str">
        <f>Agencia[[#This Row],[territorio]]&amp;",conexión,internet fija,comuna,región,conexiones,suscripciones,"&amp;Agencia[[#This Row],[coleccion]]&amp;","&amp;Agencia[[#This Row],[sector]]&amp;","&amp;Agencia[[#This Row],[tema]]&amp;","&amp;Agencia[[#This Row],[contenido]]</f>
        <v>Región de Atacama,conexión,internet fija,comuna,región,conexiones,suscripciones,Agencia Información,Tecnología, Internet y Telecomunicaciones,Conexiones de internet fija,Internet</v>
      </c>
      <c r="S1406" s="37" t="s">
        <v>3002</v>
      </c>
      <c r="T1406" s="114" t="s">
        <v>1846</v>
      </c>
      <c r="U1406" s="46" t="s">
        <v>4300</v>
      </c>
      <c r="V1406" s="93" t="str">
        <f>+Agencia[[#This Row],[idcoleccion]]&amp;"-"&amp;Agencia[[#This Row],[id]]</f>
        <v>990-1395</v>
      </c>
      <c r="W1406" s="93">
        <f>+VLOOKUP(Agencia[[#This Row],[Filtro URL]],Estructura!$X$4:$Y$500,2,0)</f>
        <v>99200003</v>
      </c>
      <c r="X1406" s="93" t="str">
        <f>+VLOOKUP(Agencia[[#This Row],[tema]],Estructura!$A$4:$C$500,3,0)</f>
        <v>T-1053</v>
      </c>
      <c r="Y1406" s="93" t="str">
        <f>+VLOOKUP(Agencia[[#This Row],[contenido]],Estructura!$E$4:$G$500,3,0)</f>
        <v>C-1021</v>
      </c>
      <c r="Z1406" s="93" t="str">
        <f>+VLOOKUP(Agencia[[#This Row],[Filtro Integrado]],Estructura!$I$4:$K$500,3,0)</f>
        <v>FI-993</v>
      </c>
      <c r="AA1406" s="93" t="str">
        <f>+VLOOKUP(Agencia[[#This Row],[Muestra]],Estructura!$M$4:$O$500,3,0)</f>
        <v>M-1095</v>
      </c>
    </row>
    <row r="1407" spans="1:27" ht="51" x14ac:dyDescent="0.3">
      <c r="A1407" s="21" t="s">
        <v>2262</v>
      </c>
      <c r="B1407" s="23">
        <v>990</v>
      </c>
      <c r="C1407" s="24" t="s">
        <v>400</v>
      </c>
      <c r="D1407" s="72" t="s">
        <v>2993</v>
      </c>
      <c r="E1407" s="19">
        <v>4</v>
      </c>
      <c r="F1407" s="24" t="s">
        <v>2994</v>
      </c>
      <c r="G1407" s="24" t="s">
        <v>2995</v>
      </c>
      <c r="H1407" s="33" t="s">
        <v>16</v>
      </c>
      <c r="I1407" s="34" t="s">
        <v>371</v>
      </c>
      <c r="J1407" s="9" t="s">
        <v>403</v>
      </c>
      <c r="K1407" s="136" t="s">
        <v>2994</v>
      </c>
      <c r="L1407" s="9" t="s">
        <v>827</v>
      </c>
      <c r="M1407" s="23" t="s">
        <v>3609</v>
      </c>
      <c r="N1407" s="23" t="s">
        <v>2997</v>
      </c>
      <c r="O1407" s="20" t="str">
        <f>"Mapa de cantidad de conexiones a internet fija en la "&amp;Agencia[[#This Row],[territorio]]&amp;", "&amp;Agencia[[#This Row],[temporalidad]]</f>
        <v>Mapa de cantidad de conexiones a internet fija en la Región de Coquimbo, Año 2019</v>
      </c>
      <c r="P1407" s="112" t="s">
        <v>6949</v>
      </c>
      <c r="Q1407" s="11" t="s">
        <v>794</v>
      </c>
      <c r="R1407" s="148" t="str">
        <f>Agencia[[#This Row],[territorio]]&amp;",conexión,internet fija,comuna,región,conexiones,suscripciones,"&amp;Agencia[[#This Row],[coleccion]]&amp;","&amp;Agencia[[#This Row],[sector]]&amp;","&amp;Agencia[[#This Row],[tema]]&amp;","&amp;Agencia[[#This Row],[contenido]]</f>
        <v>Región de Coquimbo,conexión,internet fija,comuna,región,conexiones,suscripciones,Agencia Información,Tecnología, Internet y Telecomunicaciones,Conexiones de internet fija,Internet</v>
      </c>
      <c r="S1407" s="50" t="s">
        <v>3003</v>
      </c>
      <c r="T1407" s="114" t="s">
        <v>1848</v>
      </c>
      <c r="U1407" s="46" t="s">
        <v>4301</v>
      </c>
      <c r="V1407" s="93" t="str">
        <f>+Agencia[[#This Row],[idcoleccion]]&amp;"-"&amp;Agencia[[#This Row],[id]]</f>
        <v>990-1396</v>
      </c>
      <c r="W1407" s="93">
        <f>+VLOOKUP(Agencia[[#This Row],[Filtro URL]],Estructura!$X$4:$Y$500,2,0)</f>
        <v>99200004</v>
      </c>
      <c r="X1407" s="93" t="str">
        <f>+VLOOKUP(Agencia[[#This Row],[tema]],Estructura!$A$4:$C$500,3,0)</f>
        <v>T-1053</v>
      </c>
      <c r="Y1407" s="93" t="str">
        <f>+VLOOKUP(Agencia[[#This Row],[contenido]],Estructura!$E$4:$G$500,3,0)</f>
        <v>C-1021</v>
      </c>
      <c r="Z1407" s="93" t="str">
        <f>+VLOOKUP(Agencia[[#This Row],[Filtro Integrado]],Estructura!$I$4:$K$500,3,0)</f>
        <v>FI-993</v>
      </c>
      <c r="AA1407" s="93" t="str">
        <f>+VLOOKUP(Agencia[[#This Row],[Muestra]],Estructura!$M$4:$O$500,3,0)</f>
        <v>M-1095</v>
      </c>
    </row>
    <row r="1408" spans="1:27" ht="57.6" x14ac:dyDescent="0.3">
      <c r="A1408" s="21" t="s">
        <v>2263</v>
      </c>
      <c r="B1408" s="23">
        <v>990</v>
      </c>
      <c r="C1408" s="24" t="s">
        <v>400</v>
      </c>
      <c r="D1408" s="72" t="s">
        <v>2993</v>
      </c>
      <c r="E1408" s="19">
        <v>5</v>
      </c>
      <c r="F1408" s="24" t="s">
        <v>2994</v>
      </c>
      <c r="G1408" s="24" t="s">
        <v>2995</v>
      </c>
      <c r="H1408" s="33" t="s">
        <v>16</v>
      </c>
      <c r="I1408" s="34" t="s">
        <v>372</v>
      </c>
      <c r="J1408" s="9" t="s">
        <v>403</v>
      </c>
      <c r="K1408" s="136" t="s">
        <v>2994</v>
      </c>
      <c r="L1408" s="9" t="s">
        <v>827</v>
      </c>
      <c r="M1408" s="23" t="s">
        <v>3609</v>
      </c>
      <c r="N1408" s="23" t="s">
        <v>2997</v>
      </c>
      <c r="O1408" s="20" t="str">
        <f>"Mapa de cantidad de conexiones a internet fija en la "&amp;Agencia[[#This Row],[territorio]]&amp;", "&amp;Agencia[[#This Row],[temporalidad]]</f>
        <v>Mapa de cantidad de conexiones a internet fija en la Región de Valparaíso, Año 2019</v>
      </c>
      <c r="P1408" s="112" t="s">
        <v>6950</v>
      </c>
      <c r="Q1408" s="11" t="s">
        <v>794</v>
      </c>
      <c r="R1408" s="148" t="str">
        <f>Agencia[[#This Row],[territorio]]&amp;",conexión,internet fija,comuna,región,conexiones,suscripciones,"&amp;Agencia[[#This Row],[coleccion]]&amp;","&amp;Agencia[[#This Row],[sector]]&amp;","&amp;Agencia[[#This Row],[tema]]&amp;","&amp;Agencia[[#This Row],[contenido]]</f>
        <v>Región de Valparaíso,conexión,internet fija,comuna,región,conexiones,suscripciones,Agencia Información,Tecnología, Internet y Telecomunicaciones,Conexiones de internet fija,Internet</v>
      </c>
      <c r="S1408" s="37" t="s">
        <v>3004</v>
      </c>
      <c r="T1408" s="114" t="s">
        <v>1857</v>
      </c>
      <c r="U1408" s="46" t="s">
        <v>4302</v>
      </c>
      <c r="V1408" s="93" t="str">
        <f>+Agencia[[#This Row],[idcoleccion]]&amp;"-"&amp;Agencia[[#This Row],[id]]</f>
        <v>990-1397</v>
      </c>
      <c r="W1408" s="93">
        <f>+VLOOKUP(Agencia[[#This Row],[Filtro URL]],Estructura!$X$4:$Y$500,2,0)</f>
        <v>99200005</v>
      </c>
      <c r="X1408" s="93" t="str">
        <f>+VLOOKUP(Agencia[[#This Row],[tema]],Estructura!$A$4:$C$500,3,0)</f>
        <v>T-1053</v>
      </c>
      <c r="Y1408" s="93" t="str">
        <f>+VLOOKUP(Agencia[[#This Row],[contenido]],Estructura!$E$4:$G$500,3,0)</f>
        <v>C-1021</v>
      </c>
      <c r="Z1408" s="93" t="str">
        <f>+VLOOKUP(Agencia[[#This Row],[Filtro Integrado]],Estructura!$I$4:$K$500,3,0)</f>
        <v>FI-993</v>
      </c>
      <c r="AA1408" s="93" t="str">
        <f>+VLOOKUP(Agencia[[#This Row],[Muestra]],Estructura!$M$4:$O$500,3,0)</f>
        <v>M-1095</v>
      </c>
    </row>
    <row r="1409" spans="1:27" ht="57.6" x14ac:dyDescent="0.3">
      <c r="A1409" s="21" t="s">
        <v>2264</v>
      </c>
      <c r="B1409" s="23">
        <v>990</v>
      </c>
      <c r="C1409" s="24" t="s">
        <v>400</v>
      </c>
      <c r="D1409" s="72" t="s">
        <v>2993</v>
      </c>
      <c r="E1409" s="19">
        <v>6</v>
      </c>
      <c r="F1409" s="24" t="s">
        <v>2994</v>
      </c>
      <c r="G1409" s="24" t="s">
        <v>2995</v>
      </c>
      <c r="H1409" s="33" t="s">
        <v>16</v>
      </c>
      <c r="I1409" s="34" t="s">
        <v>373</v>
      </c>
      <c r="J1409" s="9" t="s">
        <v>403</v>
      </c>
      <c r="K1409" s="136" t="s">
        <v>2994</v>
      </c>
      <c r="L1409" s="9" t="s">
        <v>827</v>
      </c>
      <c r="M1409" s="23" t="s">
        <v>3609</v>
      </c>
      <c r="N1409" s="23" t="s">
        <v>2997</v>
      </c>
      <c r="O1409" s="20" t="str">
        <f>"Mapa de cantidad de conexiones a internet fija en la "&amp;Agencia[[#This Row],[territorio]]&amp;", "&amp;Agencia[[#This Row],[temporalidad]]</f>
        <v>Mapa de cantidad de conexiones a internet fija en la Región de O'Higgins, Año 2019</v>
      </c>
      <c r="P1409" s="112" t="s">
        <v>6951</v>
      </c>
      <c r="Q1409" s="11" t="s">
        <v>794</v>
      </c>
      <c r="R1409" s="148" t="str">
        <f>Agencia[[#This Row],[territorio]]&amp;",conexión,internet fija,comuna,región,conexiones,suscripciones,"&amp;Agencia[[#This Row],[coleccion]]&amp;","&amp;Agencia[[#This Row],[sector]]&amp;","&amp;Agencia[[#This Row],[tema]]&amp;","&amp;Agencia[[#This Row],[contenido]]</f>
        <v>Región de O'Higgins,conexión,internet fija,comuna,región,conexiones,suscripciones,Agencia Información,Tecnología, Internet y Telecomunicaciones,Conexiones de internet fija,Internet</v>
      </c>
      <c r="S1409" s="37" t="s">
        <v>3005</v>
      </c>
      <c r="T1409" s="114" t="s">
        <v>1855</v>
      </c>
      <c r="U1409" s="46" t="s">
        <v>4303</v>
      </c>
      <c r="V1409" s="93" t="str">
        <f>+Agencia[[#This Row],[idcoleccion]]&amp;"-"&amp;Agencia[[#This Row],[id]]</f>
        <v>990-1398</v>
      </c>
      <c r="W1409" s="93">
        <f>+VLOOKUP(Agencia[[#This Row],[Filtro URL]],Estructura!$X$4:$Y$500,2,0)</f>
        <v>99200006</v>
      </c>
      <c r="X1409" s="93" t="str">
        <f>+VLOOKUP(Agencia[[#This Row],[tema]],Estructura!$A$4:$C$500,3,0)</f>
        <v>T-1053</v>
      </c>
      <c r="Y1409" s="93" t="str">
        <f>+VLOOKUP(Agencia[[#This Row],[contenido]],Estructura!$E$4:$G$500,3,0)</f>
        <v>C-1021</v>
      </c>
      <c r="Z1409" s="93" t="str">
        <f>+VLOOKUP(Agencia[[#This Row],[Filtro Integrado]],Estructura!$I$4:$K$500,3,0)</f>
        <v>FI-993</v>
      </c>
      <c r="AA1409" s="93" t="str">
        <f>+VLOOKUP(Agencia[[#This Row],[Muestra]],Estructura!$M$4:$O$500,3,0)</f>
        <v>M-1095</v>
      </c>
    </row>
    <row r="1410" spans="1:27" ht="57.6" x14ac:dyDescent="0.3">
      <c r="A1410" s="21" t="s">
        <v>2265</v>
      </c>
      <c r="B1410" s="23">
        <v>990</v>
      </c>
      <c r="C1410" s="24" t="s">
        <v>400</v>
      </c>
      <c r="D1410" s="72" t="s">
        <v>2993</v>
      </c>
      <c r="E1410" s="19">
        <v>7</v>
      </c>
      <c r="F1410" s="24" t="s">
        <v>2994</v>
      </c>
      <c r="G1410" s="24" t="s">
        <v>2995</v>
      </c>
      <c r="H1410" s="33" t="s">
        <v>16</v>
      </c>
      <c r="I1410" s="34" t="s">
        <v>374</v>
      </c>
      <c r="J1410" s="9" t="s">
        <v>403</v>
      </c>
      <c r="K1410" s="136" t="s">
        <v>2994</v>
      </c>
      <c r="L1410" s="9" t="s">
        <v>827</v>
      </c>
      <c r="M1410" s="23" t="s">
        <v>3609</v>
      </c>
      <c r="N1410" s="23" t="s">
        <v>2997</v>
      </c>
      <c r="O1410" s="20" t="str">
        <f>"Mapa de cantidad de conexiones a internet fija en la "&amp;Agencia[[#This Row],[territorio]]&amp;", "&amp;Agencia[[#This Row],[temporalidad]]</f>
        <v>Mapa de cantidad de conexiones a internet fija en la Región de Maule, Año 2019</v>
      </c>
      <c r="P1410" s="112" t="s">
        <v>6952</v>
      </c>
      <c r="Q1410" s="11" t="s">
        <v>794</v>
      </c>
      <c r="R1410" s="148" t="str">
        <f>Agencia[[#This Row],[territorio]]&amp;",conexión,internet fija,comuna,región,conexiones,suscripciones,"&amp;Agencia[[#This Row],[coleccion]]&amp;","&amp;Agencia[[#This Row],[sector]]&amp;","&amp;Agencia[[#This Row],[tema]]&amp;","&amp;Agencia[[#This Row],[contenido]]</f>
        <v>Región de Maule,conexión,internet fija,comuna,región,conexiones,suscripciones,Agencia Información,Tecnología, Internet y Telecomunicaciones,Conexiones de internet fija,Internet</v>
      </c>
      <c r="S1410" s="37" t="s">
        <v>3006</v>
      </c>
      <c r="T1410" s="114" t="s">
        <v>1853</v>
      </c>
      <c r="U1410" s="46" t="s">
        <v>4304</v>
      </c>
      <c r="V1410" s="93" t="str">
        <f>+Agencia[[#This Row],[idcoleccion]]&amp;"-"&amp;Agencia[[#This Row],[id]]</f>
        <v>990-1399</v>
      </c>
      <c r="W1410" s="93">
        <f>+VLOOKUP(Agencia[[#This Row],[Filtro URL]],Estructura!$X$4:$Y$500,2,0)</f>
        <v>99200007</v>
      </c>
      <c r="X1410" s="93" t="str">
        <f>+VLOOKUP(Agencia[[#This Row],[tema]],Estructura!$A$4:$C$500,3,0)</f>
        <v>T-1053</v>
      </c>
      <c r="Y1410" s="93" t="str">
        <f>+VLOOKUP(Agencia[[#This Row],[contenido]],Estructura!$E$4:$G$500,3,0)</f>
        <v>C-1021</v>
      </c>
      <c r="Z1410" s="93" t="str">
        <f>+VLOOKUP(Agencia[[#This Row],[Filtro Integrado]],Estructura!$I$4:$K$500,3,0)</f>
        <v>FI-993</v>
      </c>
      <c r="AA1410" s="93" t="str">
        <f>+VLOOKUP(Agencia[[#This Row],[Muestra]],Estructura!$M$4:$O$500,3,0)</f>
        <v>M-1095</v>
      </c>
    </row>
    <row r="1411" spans="1:27" ht="57.6" x14ac:dyDescent="0.3">
      <c r="A1411" s="21" t="s">
        <v>2266</v>
      </c>
      <c r="B1411" s="23">
        <v>990</v>
      </c>
      <c r="C1411" s="24" t="s">
        <v>400</v>
      </c>
      <c r="D1411" s="72" t="s">
        <v>2993</v>
      </c>
      <c r="E1411" s="19">
        <v>8</v>
      </c>
      <c r="F1411" s="24" t="s">
        <v>2994</v>
      </c>
      <c r="G1411" s="24" t="s">
        <v>2995</v>
      </c>
      <c r="H1411" s="33" t="s">
        <v>16</v>
      </c>
      <c r="I1411" s="34" t="s">
        <v>375</v>
      </c>
      <c r="J1411" s="9" t="s">
        <v>403</v>
      </c>
      <c r="K1411" s="136" t="s">
        <v>2994</v>
      </c>
      <c r="L1411" s="9" t="s">
        <v>827</v>
      </c>
      <c r="M1411" s="23" t="s">
        <v>3609</v>
      </c>
      <c r="N1411" s="23" t="s">
        <v>2997</v>
      </c>
      <c r="O1411" s="20" t="str">
        <f>"Mapa de cantidad de conexiones a internet fija en la "&amp;Agencia[[#This Row],[territorio]]&amp;", "&amp;Agencia[[#This Row],[temporalidad]]</f>
        <v>Mapa de cantidad de conexiones a internet fija en la Región del Biobío, Año 2019</v>
      </c>
      <c r="P1411" s="112" t="s">
        <v>6953</v>
      </c>
      <c r="Q1411" s="11" t="s">
        <v>794</v>
      </c>
      <c r="R1411" s="148" t="str">
        <f>Agencia[[#This Row],[territorio]]&amp;",conexión,internet fija,comuna,región,conexiones,suscripciones,"&amp;Agencia[[#This Row],[coleccion]]&amp;","&amp;Agencia[[#This Row],[sector]]&amp;","&amp;Agencia[[#This Row],[tema]]&amp;","&amp;Agencia[[#This Row],[contenido]]</f>
        <v>Región del Biobío,conexión,internet fija,comuna,región,conexiones,suscripciones,Agencia Información,Tecnología, Internet y Telecomunicaciones,Conexiones de internet fija,Internet</v>
      </c>
      <c r="S1411" s="37" t="s">
        <v>3007</v>
      </c>
      <c r="T1411" s="114" t="s">
        <v>1858</v>
      </c>
      <c r="U1411" s="46" t="s">
        <v>4305</v>
      </c>
      <c r="V1411" s="93" t="str">
        <f>+Agencia[[#This Row],[idcoleccion]]&amp;"-"&amp;Agencia[[#This Row],[id]]</f>
        <v>990-1400</v>
      </c>
      <c r="W1411" s="93">
        <f>+VLOOKUP(Agencia[[#This Row],[Filtro URL]],Estructura!$X$4:$Y$500,2,0)</f>
        <v>99200008</v>
      </c>
      <c r="X1411" s="93" t="str">
        <f>+VLOOKUP(Agencia[[#This Row],[tema]],Estructura!$A$4:$C$500,3,0)</f>
        <v>T-1053</v>
      </c>
      <c r="Y1411" s="93" t="str">
        <f>+VLOOKUP(Agencia[[#This Row],[contenido]],Estructura!$E$4:$G$500,3,0)</f>
        <v>C-1021</v>
      </c>
      <c r="Z1411" s="93" t="str">
        <f>+VLOOKUP(Agencia[[#This Row],[Filtro Integrado]],Estructura!$I$4:$K$500,3,0)</f>
        <v>FI-993</v>
      </c>
      <c r="AA1411" s="93" t="str">
        <f>+VLOOKUP(Agencia[[#This Row],[Muestra]],Estructura!$M$4:$O$500,3,0)</f>
        <v>M-1095</v>
      </c>
    </row>
    <row r="1412" spans="1:27" ht="57.6" x14ac:dyDescent="0.3">
      <c r="A1412" s="21" t="s">
        <v>2267</v>
      </c>
      <c r="B1412" s="23">
        <v>990</v>
      </c>
      <c r="C1412" s="24" t="s">
        <v>400</v>
      </c>
      <c r="D1412" s="72" t="s">
        <v>2993</v>
      </c>
      <c r="E1412" s="19">
        <v>9</v>
      </c>
      <c r="F1412" s="24" t="s">
        <v>2994</v>
      </c>
      <c r="G1412" s="24" t="s">
        <v>2995</v>
      </c>
      <c r="H1412" s="33" t="s">
        <v>16</v>
      </c>
      <c r="I1412" s="34" t="s">
        <v>376</v>
      </c>
      <c r="J1412" s="9" t="s">
        <v>403</v>
      </c>
      <c r="K1412" s="136" t="s">
        <v>2994</v>
      </c>
      <c r="L1412" s="9" t="s">
        <v>827</v>
      </c>
      <c r="M1412" s="23" t="s">
        <v>3609</v>
      </c>
      <c r="N1412" s="23" t="s">
        <v>2997</v>
      </c>
      <c r="O1412" s="20" t="str">
        <f>"Mapa de cantidad de conexiones a internet fija en la "&amp;Agencia[[#This Row],[territorio]]&amp;", "&amp;Agencia[[#This Row],[temporalidad]]</f>
        <v>Mapa de cantidad de conexiones a internet fija en la Región de La Araucanía, Año 2019</v>
      </c>
      <c r="P1412" s="112" t="s">
        <v>6954</v>
      </c>
      <c r="Q1412" s="11" t="s">
        <v>794</v>
      </c>
      <c r="R1412" s="148" t="str">
        <f>Agencia[[#This Row],[territorio]]&amp;",conexión,internet fija,comuna,región,conexiones,suscripciones,"&amp;Agencia[[#This Row],[coleccion]]&amp;","&amp;Agencia[[#This Row],[sector]]&amp;","&amp;Agencia[[#This Row],[tema]]&amp;","&amp;Agencia[[#This Row],[contenido]]</f>
        <v>Región de La Araucanía,conexión,internet fija,comuna,región,conexiones,suscripciones,Agencia Información,Tecnología, Internet y Telecomunicaciones,Conexiones de internet fija,Internet</v>
      </c>
      <c r="S1412" s="37" t="s">
        <v>3008</v>
      </c>
      <c r="T1412" s="114" t="s">
        <v>1849</v>
      </c>
      <c r="U1412" s="46" t="s">
        <v>4306</v>
      </c>
      <c r="V1412" s="93" t="str">
        <f>+Agencia[[#This Row],[idcoleccion]]&amp;"-"&amp;Agencia[[#This Row],[id]]</f>
        <v>990-1401</v>
      </c>
      <c r="W1412" s="93">
        <f>+VLOOKUP(Agencia[[#This Row],[Filtro URL]],Estructura!$X$4:$Y$500,2,0)</f>
        <v>99200009</v>
      </c>
      <c r="X1412" s="93" t="str">
        <f>+VLOOKUP(Agencia[[#This Row],[tema]],Estructura!$A$4:$C$500,3,0)</f>
        <v>T-1053</v>
      </c>
      <c r="Y1412" s="93" t="str">
        <f>+VLOOKUP(Agencia[[#This Row],[contenido]],Estructura!$E$4:$G$500,3,0)</f>
        <v>C-1021</v>
      </c>
      <c r="Z1412" s="93" t="str">
        <f>+VLOOKUP(Agencia[[#This Row],[Filtro Integrado]],Estructura!$I$4:$K$500,3,0)</f>
        <v>FI-993</v>
      </c>
      <c r="AA1412" s="93" t="str">
        <f>+VLOOKUP(Agencia[[#This Row],[Muestra]],Estructura!$M$4:$O$500,3,0)</f>
        <v>M-1095</v>
      </c>
    </row>
    <row r="1413" spans="1:27" ht="57.6" x14ac:dyDescent="0.3">
      <c r="A1413" s="21" t="s">
        <v>2268</v>
      </c>
      <c r="B1413" s="23">
        <v>990</v>
      </c>
      <c r="C1413" s="24" t="s">
        <v>400</v>
      </c>
      <c r="D1413" s="72" t="s">
        <v>2993</v>
      </c>
      <c r="E1413" s="19">
        <v>10</v>
      </c>
      <c r="F1413" s="24" t="s">
        <v>2994</v>
      </c>
      <c r="G1413" s="24" t="s">
        <v>2995</v>
      </c>
      <c r="H1413" s="33" t="s">
        <v>16</v>
      </c>
      <c r="I1413" s="34" t="s">
        <v>377</v>
      </c>
      <c r="J1413" s="9" t="s">
        <v>403</v>
      </c>
      <c r="K1413" s="136" t="s">
        <v>2994</v>
      </c>
      <c r="L1413" s="9" t="s">
        <v>827</v>
      </c>
      <c r="M1413" s="23" t="s">
        <v>3609</v>
      </c>
      <c r="N1413" s="23" t="s">
        <v>2997</v>
      </c>
      <c r="O1413" s="20" t="str">
        <f>"Mapa de cantidad de conexiones a internet fija en la "&amp;Agencia[[#This Row],[territorio]]&amp;", "&amp;Agencia[[#This Row],[temporalidad]]</f>
        <v>Mapa de cantidad de conexiones a internet fija en la Región de Los Lagos, Año 2019</v>
      </c>
      <c r="P1413" s="112" t="s">
        <v>6955</v>
      </c>
      <c r="Q1413" s="11" t="s">
        <v>794</v>
      </c>
      <c r="R1413" s="148" t="str">
        <f>Agencia[[#This Row],[territorio]]&amp;",conexión,internet fija,comuna,región,conexiones,suscripciones,"&amp;Agencia[[#This Row],[coleccion]]&amp;","&amp;Agencia[[#This Row],[sector]]&amp;","&amp;Agencia[[#This Row],[tema]]&amp;","&amp;Agencia[[#This Row],[contenido]]</f>
        <v>Región de Los Lagos,conexión,internet fija,comuna,región,conexiones,suscripciones,Agencia Información,Tecnología, Internet y Telecomunicaciones,Conexiones de internet fija,Internet</v>
      </c>
      <c r="S1413" s="37" t="s">
        <v>3009</v>
      </c>
      <c r="T1413" s="114" t="s">
        <v>1850</v>
      </c>
      <c r="U1413" s="46" t="s">
        <v>4307</v>
      </c>
      <c r="V1413" s="93" t="str">
        <f>+Agencia[[#This Row],[idcoleccion]]&amp;"-"&amp;Agencia[[#This Row],[id]]</f>
        <v>990-1402</v>
      </c>
      <c r="W1413" s="93">
        <f>+VLOOKUP(Agencia[[#This Row],[Filtro URL]],Estructura!$X$4:$Y$500,2,0)</f>
        <v>99200010</v>
      </c>
      <c r="X1413" s="93" t="str">
        <f>+VLOOKUP(Agencia[[#This Row],[tema]],Estructura!$A$4:$C$500,3,0)</f>
        <v>T-1053</v>
      </c>
      <c r="Y1413" s="93" t="str">
        <f>+VLOOKUP(Agencia[[#This Row],[contenido]],Estructura!$E$4:$G$500,3,0)</f>
        <v>C-1021</v>
      </c>
      <c r="Z1413" s="93" t="str">
        <f>+VLOOKUP(Agencia[[#This Row],[Filtro Integrado]],Estructura!$I$4:$K$500,3,0)</f>
        <v>FI-993</v>
      </c>
      <c r="AA1413" s="93" t="str">
        <f>+VLOOKUP(Agencia[[#This Row],[Muestra]],Estructura!$M$4:$O$500,3,0)</f>
        <v>M-1095</v>
      </c>
    </row>
    <row r="1414" spans="1:27" ht="57.6" x14ac:dyDescent="0.3">
      <c r="A1414" s="21" t="s">
        <v>2269</v>
      </c>
      <c r="B1414" s="23">
        <v>990</v>
      </c>
      <c r="C1414" s="24" t="s">
        <v>400</v>
      </c>
      <c r="D1414" s="72" t="s">
        <v>2993</v>
      </c>
      <c r="E1414" s="19">
        <v>11</v>
      </c>
      <c r="F1414" s="24" t="s">
        <v>2994</v>
      </c>
      <c r="G1414" s="24" t="s">
        <v>2995</v>
      </c>
      <c r="H1414" s="33" t="s">
        <v>16</v>
      </c>
      <c r="I1414" s="34" t="s">
        <v>378</v>
      </c>
      <c r="J1414" s="9" t="s">
        <v>403</v>
      </c>
      <c r="K1414" s="136" t="s">
        <v>2994</v>
      </c>
      <c r="L1414" s="9" t="s">
        <v>827</v>
      </c>
      <c r="M1414" s="23" t="s">
        <v>3609</v>
      </c>
      <c r="N1414" s="23" t="s">
        <v>2997</v>
      </c>
      <c r="O1414" s="20" t="str">
        <f>"Mapa de cantidad de conexiones a internet fija en la "&amp;Agencia[[#This Row],[territorio]]&amp;", "&amp;Agencia[[#This Row],[temporalidad]]</f>
        <v>Mapa de cantidad de conexiones a internet fija en la Región de Aysén, Año 2019</v>
      </c>
      <c r="P1414" s="112" t="s">
        <v>6956</v>
      </c>
      <c r="Q1414" s="11" t="s">
        <v>794</v>
      </c>
      <c r="R1414" s="148" t="str">
        <f>Agencia[[#This Row],[territorio]]&amp;",conexión,internet fija,comuna,región,conexiones,suscripciones,"&amp;Agencia[[#This Row],[coleccion]]&amp;","&amp;Agencia[[#This Row],[sector]]&amp;","&amp;Agencia[[#This Row],[tema]]&amp;","&amp;Agencia[[#This Row],[contenido]]</f>
        <v>Región de Aysén,conexión,internet fija,comuna,región,conexiones,suscripciones,Agencia Información,Tecnología, Internet y Telecomunicaciones,Conexiones de internet fija,Internet</v>
      </c>
      <c r="S1414" s="37" t="s">
        <v>3010</v>
      </c>
      <c r="T1414" s="114" t="s">
        <v>1847</v>
      </c>
      <c r="U1414" s="46" t="s">
        <v>4308</v>
      </c>
      <c r="V1414" s="93" t="str">
        <f>+Agencia[[#This Row],[idcoleccion]]&amp;"-"&amp;Agencia[[#This Row],[id]]</f>
        <v>990-1403</v>
      </c>
      <c r="W1414" s="93">
        <f>+VLOOKUP(Agencia[[#This Row],[Filtro URL]],Estructura!$X$4:$Y$500,2,0)</f>
        <v>99200011</v>
      </c>
      <c r="X1414" s="93" t="str">
        <f>+VLOOKUP(Agencia[[#This Row],[tema]],Estructura!$A$4:$C$500,3,0)</f>
        <v>T-1053</v>
      </c>
      <c r="Y1414" s="93" t="str">
        <f>+VLOOKUP(Agencia[[#This Row],[contenido]],Estructura!$E$4:$G$500,3,0)</f>
        <v>C-1021</v>
      </c>
      <c r="Z1414" s="93" t="str">
        <f>+VLOOKUP(Agencia[[#This Row],[Filtro Integrado]],Estructura!$I$4:$K$500,3,0)</f>
        <v>FI-993</v>
      </c>
      <c r="AA1414" s="93" t="str">
        <f>+VLOOKUP(Agencia[[#This Row],[Muestra]],Estructura!$M$4:$O$500,3,0)</f>
        <v>M-1095</v>
      </c>
    </row>
    <row r="1415" spans="1:27" ht="57.6" x14ac:dyDescent="0.3">
      <c r="A1415" s="21" t="s">
        <v>2270</v>
      </c>
      <c r="B1415" s="23">
        <v>990</v>
      </c>
      <c r="C1415" s="24" t="s">
        <v>400</v>
      </c>
      <c r="D1415" s="72" t="s">
        <v>2993</v>
      </c>
      <c r="E1415" s="19">
        <v>12</v>
      </c>
      <c r="F1415" s="24" t="s">
        <v>2994</v>
      </c>
      <c r="G1415" s="24" t="s">
        <v>2995</v>
      </c>
      <c r="H1415" s="33" t="s">
        <v>16</v>
      </c>
      <c r="I1415" s="34" t="s">
        <v>379</v>
      </c>
      <c r="J1415" s="9" t="s">
        <v>403</v>
      </c>
      <c r="K1415" s="136" t="s">
        <v>2994</v>
      </c>
      <c r="L1415" s="9" t="s">
        <v>827</v>
      </c>
      <c r="M1415" s="23" t="s">
        <v>3609</v>
      </c>
      <c r="N1415" s="23" t="s">
        <v>2997</v>
      </c>
      <c r="O1415" s="20" t="str">
        <f>"Mapa de cantidad de conexiones a internet fija en la "&amp;Agencia[[#This Row],[territorio]]&amp;", "&amp;Agencia[[#This Row],[temporalidad]]</f>
        <v>Mapa de cantidad de conexiones a internet fija en la Región de Magallanes, Año 2019</v>
      </c>
      <c r="P1415" s="112" t="s">
        <v>6957</v>
      </c>
      <c r="Q1415" s="11" t="s">
        <v>794</v>
      </c>
      <c r="R1415" s="148" t="str">
        <f>Agencia[[#This Row],[territorio]]&amp;",conexión,internet fija,comuna,región,conexiones,suscripciones,"&amp;Agencia[[#This Row],[coleccion]]&amp;","&amp;Agencia[[#This Row],[sector]]&amp;","&amp;Agencia[[#This Row],[tema]]&amp;","&amp;Agencia[[#This Row],[contenido]]</f>
        <v>Región de Magallanes,conexión,internet fija,comuna,región,conexiones,suscripciones,Agencia Información,Tecnología, Internet y Telecomunicaciones,Conexiones de internet fija,Internet</v>
      </c>
      <c r="S1415" s="37" t="s">
        <v>3011</v>
      </c>
      <c r="T1415" s="114" t="s">
        <v>1852</v>
      </c>
      <c r="U1415" s="46" t="s">
        <v>4309</v>
      </c>
      <c r="V1415" s="93" t="str">
        <f>+Agencia[[#This Row],[idcoleccion]]&amp;"-"&amp;Agencia[[#This Row],[id]]</f>
        <v>990-1404</v>
      </c>
      <c r="W1415" s="93">
        <f>+VLOOKUP(Agencia[[#This Row],[Filtro URL]],Estructura!$X$4:$Y$500,2,0)</f>
        <v>99200012</v>
      </c>
      <c r="X1415" s="93" t="str">
        <f>+VLOOKUP(Agencia[[#This Row],[tema]],Estructura!$A$4:$C$500,3,0)</f>
        <v>T-1053</v>
      </c>
      <c r="Y1415" s="93" t="str">
        <f>+VLOOKUP(Agencia[[#This Row],[contenido]],Estructura!$E$4:$G$500,3,0)</f>
        <v>C-1021</v>
      </c>
      <c r="Z1415" s="93" t="str">
        <f>+VLOOKUP(Agencia[[#This Row],[Filtro Integrado]],Estructura!$I$4:$K$500,3,0)</f>
        <v>FI-993</v>
      </c>
      <c r="AA1415" s="93" t="str">
        <f>+VLOOKUP(Agencia[[#This Row],[Muestra]],Estructura!$M$4:$O$500,3,0)</f>
        <v>M-1095</v>
      </c>
    </row>
    <row r="1416" spans="1:27" ht="57.6" x14ac:dyDescent="0.3">
      <c r="A1416" s="21" t="s">
        <v>2274</v>
      </c>
      <c r="B1416" s="23">
        <v>990</v>
      </c>
      <c r="C1416" s="24" t="s">
        <v>400</v>
      </c>
      <c r="D1416" s="72" t="s">
        <v>2993</v>
      </c>
      <c r="E1416" s="19">
        <v>13</v>
      </c>
      <c r="F1416" s="24" t="s">
        <v>2994</v>
      </c>
      <c r="G1416" s="24" t="s">
        <v>2995</v>
      </c>
      <c r="H1416" s="33" t="s">
        <v>16</v>
      </c>
      <c r="I1416" s="34" t="s">
        <v>380</v>
      </c>
      <c r="J1416" s="9" t="s">
        <v>403</v>
      </c>
      <c r="K1416" s="136" t="s">
        <v>2994</v>
      </c>
      <c r="L1416" s="9" t="s">
        <v>827</v>
      </c>
      <c r="M1416" s="23" t="s">
        <v>3609</v>
      </c>
      <c r="N1416" s="23" t="s">
        <v>2997</v>
      </c>
      <c r="O1416" s="20" t="str">
        <f>"Mapa de cantidad de conexiones a internet fija en la "&amp;Agencia[[#This Row],[territorio]]&amp;", "&amp;Agencia[[#This Row],[temporalidad]]</f>
        <v>Mapa de cantidad de conexiones a internet fija en la Región Metropolitana, Año 2019</v>
      </c>
      <c r="P1416" s="112" t="s">
        <v>6958</v>
      </c>
      <c r="Q1416" s="11" t="s">
        <v>794</v>
      </c>
      <c r="R1416" s="148" t="str">
        <f>Agencia[[#This Row],[territorio]]&amp;",conexión,internet fija,comuna,región,conexiones,suscripciones,"&amp;Agencia[[#This Row],[coleccion]]&amp;","&amp;Agencia[[#This Row],[sector]]&amp;","&amp;Agencia[[#This Row],[tema]]&amp;","&amp;Agencia[[#This Row],[contenido]]</f>
        <v>Región Metropolitana,conexión,internet fija,comuna,región,conexiones,suscripciones,Agencia Información,Tecnología, Internet y Telecomunicaciones,Conexiones de internet fija,Internet</v>
      </c>
      <c r="S1416" s="37" t="s">
        <v>3012</v>
      </c>
      <c r="T1416" s="114" t="s">
        <v>1859</v>
      </c>
      <c r="U1416" s="46" t="s">
        <v>4310</v>
      </c>
      <c r="V1416" s="93" t="str">
        <f>+Agencia[[#This Row],[idcoleccion]]&amp;"-"&amp;Agencia[[#This Row],[id]]</f>
        <v>990-1405</v>
      </c>
      <c r="W1416" s="93">
        <f>+VLOOKUP(Agencia[[#This Row],[Filtro URL]],Estructura!$X$4:$Y$500,2,0)</f>
        <v>99200013</v>
      </c>
      <c r="X1416" s="93" t="str">
        <f>+VLOOKUP(Agencia[[#This Row],[tema]],Estructura!$A$4:$C$500,3,0)</f>
        <v>T-1053</v>
      </c>
      <c r="Y1416" s="93" t="str">
        <f>+VLOOKUP(Agencia[[#This Row],[contenido]],Estructura!$E$4:$G$500,3,0)</f>
        <v>C-1021</v>
      </c>
      <c r="Z1416" s="93" t="str">
        <f>+VLOOKUP(Agencia[[#This Row],[Filtro Integrado]],Estructura!$I$4:$K$500,3,0)</f>
        <v>FI-993</v>
      </c>
      <c r="AA1416" s="93" t="str">
        <f>+VLOOKUP(Agencia[[#This Row],[Muestra]],Estructura!$M$4:$O$500,3,0)</f>
        <v>M-1095</v>
      </c>
    </row>
    <row r="1417" spans="1:27" ht="57.6" x14ac:dyDescent="0.3">
      <c r="A1417" s="21" t="s">
        <v>2275</v>
      </c>
      <c r="B1417" s="23">
        <v>990</v>
      </c>
      <c r="C1417" s="24" t="s">
        <v>400</v>
      </c>
      <c r="D1417" s="72" t="s">
        <v>2993</v>
      </c>
      <c r="E1417" s="19">
        <v>14</v>
      </c>
      <c r="F1417" s="24" t="s">
        <v>2994</v>
      </c>
      <c r="G1417" s="24" t="s">
        <v>2995</v>
      </c>
      <c r="H1417" s="33" t="s">
        <v>16</v>
      </c>
      <c r="I1417" s="34" t="s">
        <v>381</v>
      </c>
      <c r="J1417" s="9" t="s">
        <v>403</v>
      </c>
      <c r="K1417" s="136" t="s">
        <v>2994</v>
      </c>
      <c r="L1417" s="9" t="s">
        <v>827</v>
      </c>
      <c r="M1417" s="23" t="s">
        <v>3609</v>
      </c>
      <c r="N1417" s="23" t="s">
        <v>2997</v>
      </c>
      <c r="O1417" s="20" t="str">
        <f>"Mapa de cantidad de conexiones a internet fija en la "&amp;Agencia[[#This Row],[territorio]]&amp;", "&amp;Agencia[[#This Row],[temporalidad]]</f>
        <v>Mapa de cantidad de conexiones a internet fija en la Región de Los Ríos, Año 2019</v>
      </c>
      <c r="P1417" s="112" t="s">
        <v>6959</v>
      </c>
      <c r="Q1417" s="11" t="s">
        <v>794</v>
      </c>
      <c r="R1417" s="148" t="str">
        <f>Agencia[[#This Row],[territorio]]&amp;",conexión,internet fija,comuna,región,conexiones,suscripciones,"&amp;Agencia[[#This Row],[coleccion]]&amp;","&amp;Agencia[[#This Row],[sector]]&amp;","&amp;Agencia[[#This Row],[tema]]&amp;","&amp;Agencia[[#This Row],[contenido]]</f>
        <v>Región de Los Ríos,conexión,internet fija,comuna,región,conexiones,suscripciones,Agencia Información,Tecnología, Internet y Telecomunicaciones,Conexiones de internet fija,Internet</v>
      </c>
      <c r="S1417" s="37" t="s">
        <v>3013</v>
      </c>
      <c r="T1417" s="114" t="s">
        <v>1851</v>
      </c>
      <c r="U1417" s="46" t="s">
        <v>4311</v>
      </c>
      <c r="V1417" s="93" t="str">
        <f>+Agencia[[#This Row],[idcoleccion]]&amp;"-"&amp;Agencia[[#This Row],[id]]</f>
        <v>990-1406</v>
      </c>
      <c r="W1417" s="93">
        <f>+VLOOKUP(Agencia[[#This Row],[Filtro URL]],Estructura!$X$4:$Y$500,2,0)</f>
        <v>99200014</v>
      </c>
      <c r="X1417" s="93" t="str">
        <f>+VLOOKUP(Agencia[[#This Row],[tema]],Estructura!$A$4:$C$500,3,0)</f>
        <v>T-1053</v>
      </c>
      <c r="Y1417" s="93" t="str">
        <f>+VLOOKUP(Agencia[[#This Row],[contenido]],Estructura!$E$4:$G$500,3,0)</f>
        <v>C-1021</v>
      </c>
      <c r="Z1417" s="93" t="str">
        <f>+VLOOKUP(Agencia[[#This Row],[Filtro Integrado]],Estructura!$I$4:$K$500,3,0)</f>
        <v>FI-993</v>
      </c>
      <c r="AA1417" s="93" t="str">
        <f>+VLOOKUP(Agencia[[#This Row],[Muestra]],Estructura!$M$4:$O$500,3,0)</f>
        <v>M-1095</v>
      </c>
    </row>
    <row r="1418" spans="1:27" ht="57.6" x14ac:dyDescent="0.3">
      <c r="A1418" s="21" t="s">
        <v>2276</v>
      </c>
      <c r="B1418" s="23">
        <v>990</v>
      </c>
      <c r="C1418" s="24" t="s">
        <v>400</v>
      </c>
      <c r="D1418" s="72" t="s">
        <v>2993</v>
      </c>
      <c r="E1418" s="19">
        <v>15</v>
      </c>
      <c r="F1418" s="24" t="s">
        <v>2994</v>
      </c>
      <c r="G1418" s="24" t="s">
        <v>2995</v>
      </c>
      <c r="H1418" s="33" t="s">
        <v>16</v>
      </c>
      <c r="I1418" s="34" t="s">
        <v>382</v>
      </c>
      <c r="J1418" s="9" t="s">
        <v>403</v>
      </c>
      <c r="K1418" s="136" t="s">
        <v>2994</v>
      </c>
      <c r="L1418" s="9" t="s">
        <v>827</v>
      </c>
      <c r="M1418" s="23" t="s">
        <v>3609</v>
      </c>
      <c r="N1418" s="23" t="s">
        <v>2997</v>
      </c>
      <c r="O1418" s="20" t="str">
        <f>"Mapa de cantidad de conexiones a internet fija en la "&amp;Agencia[[#This Row],[territorio]]&amp;", "&amp;Agencia[[#This Row],[temporalidad]]</f>
        <v>Mapa de cantidad de conexiones a internet fija en la Región de Arica y Parinacota, Año 2019</v>
      </c>
      <c r="P1418" s="112" t="s">
        <v>6960</v>
      </c>
      <c r="Q1418" s="11" t="s">
        <v>794</v>
      </c>
      <c r="R1418" s="148" t="str">
        <f>Agencia[[#This Row],[territorio]]&amp;",conexión,internet fija,comuna,región,conexiones,suscripciones,"&amp;Agencia[[#This Row],[coleccion]]&amp;","&amp;Agencia[[#This Row],[sector]]&amp;","&amp;Agencia[[#This Row],[tema]]&amp;","&amp;Agencia[[#This Row],[contenido]]</f>
        <v>Región de Arica y Parinacota,conexión,internet fija,comuna,región,conexiones,suscripciones,Agencia Información,Tecnología, Internet y Telecomunicaciones,Conexiones de internet fija,Internet</v>
      </c>
      <c r="S1418" s="37" t="s">
        <v>3014</v>
      </c>
      <c r="T1418" s="114" t="s">
        <v>1845</v>
      </c>
      <c r="U1418" s="46" t="s">
        <v>4312</v>
      </c>
      <c r="V1418" s="93" t="str">
        <f>+Agencia[[#This Row],[idcoleccion]]&amp;"-"&amp;Agencia[[#This Row],[id]]</f>
        <v>990-1407</v>
      </c>
      <c r="W1418" s="93">
        <f>+VLOOKUP(Agencia[[#This Row],[Filtro URL]],Estructura!$X$4:$Y$500,2,0)</f>
        <v>99200015</v>
      </c>
      <c r="X1418" s="93" t="str">
        <f>+VLOOKUP(Agencia[[#This Row],[tema]],Estructura!$A$4:$C$500,3,0)</f>
        <v>T-1053</v>
      </c>
      <c r="Y1418" s="93" t="str">
        <f>+VLOOKUP(Agencia[[#This Row],[contenido]],Estructura!$E$4:$G$500,3,0)</f>
        <v>C-1021</v>
      </c>
      <c r="Z1418" s="93" t="str">
        <f>+VLOOKUP(Agencia[[#This Row],[Filtro Integrado]],Estructura!$I$4:$K$500,3,0)</f>
        <v>FI-993</v>
      </c>
      <c r="AA1418" s="93" t="str">
        <f>+VLOOKUP(Agencia[[#This Row],[Muestra]],Estructura!$M$4:$O$500,3,0)</f>
        <v>M-1095</v>
      </c>
    </row>
    <row r="1419" spans="1:27" ht="57.6" x14ac:dyDescent="0.3">
      <c r="A1419" s="21" t="s">
        <v>2277</v>
      </c>
      <c r="B1419" s="23">
        <v>990</v>
      </c>
      <c r="C1419" s="24" t="s">
        <v>400</v>
      </c>
      <c r="D1419" s="72" t="s">
        <v>2993</v>
      </c>
      <c r="E1419" s="42">
        <v>16</v>
      </c>
      <c r="F1419" s="24" t="s">
        <v>2994</v>
      </c>
      <c r="G1419" s="24" t="s">
        <v>2995</v>
      </c>
      <c r="H1419" s="33" t="s">
        <v>16</v>
      </c>
      <c r="I1419" s="34" t="s">
        <v>383</v>
      </c>
      <c r="J1419" s="9" t="s">
        <v>403</v>
      </c>
      <c r="K1419" s="136" t="s">
        <v>2994</v>
      </c>
      <c r="L1419" s="9" t="s">
        <v>827</v>
      </c>
      <c r="M1419" s="23" t="s">
        <v>3609</v>
      </c>
      <c r="N1419" s="23" t="s">
        <v>2997</v>
      </c>
      <c r="O1419" s="20" t="str">
        <f>"Mapa de cantidad de conexiones a internet fija en la "&amp;Agencia[[#This Row],[territorio]]&amp;", "&amp;Agencia[[#This Row],[temporalidad]]</f>
        <v>Mapa de cantidad de conexiones a internet fija en la Región de Ñuble, Año 2019</v>
      </c>
      <c r="P1419" s="112" t="s">
        <v>6961</v>
      </c>
      <c r="Q1419" s="11" t="s">
        <v>794</v>
      </c>
      <c r="R1419" s="148" t="str">
        <f>Agencia[[#This Row],[territorio]]&amp;",conexión,internet fija,comuna,región,conexiones,suscripciones,"&amp;Agencia[[#This Row],[coleccion]]&amp;","&amp;Agencia[[#This Row],[sector]]&amp;","&amp;Agencia[[#This Row],[tema]]&amp;","&amp;Agencia[[#This Row],[contenido]]</f>
        <v>Región de Ñuble,conexión,internet fija,comuna,región,conexiones,suscripciones,Agencia Información,Tecnología, Internet y Telecomunicaciones,Conexiones de internet fija,Internet</v>
      </c>
      <c r="S1419" s="37" t="s">
        <v>3015</v>
      </c>
      <c r="T1419" s="114" t="s">
        <v>1854</v>
      </c>
      <c r="U1419" s="46" t="s">
        <v>4313</v>
      </c>
      <c r="V1419" s="93" t="str">
        <f>+Agencia[[#This Row],[idcoleccion]]&amp;"-"&amp;Agencia[[#This Row],[id]]</f>
        <v>990-1408</v>
      </c>
      <c r="W1419" s="93">
        <f>+VLOOKUP(Agencia[[#This Row],[Filtro URL]],Estructura!$X$4:$Y$500,2,0)</f>
        <v>99200016</v>
      </c>
      <c r="X1419" s="93" t="str">
        <f>+VLOOKUP(Agencia[[#This Row],[tema]],Estructura!$A$4:$C$500,3,0)</f>
        <v>T-1053</v>
      </c>
      <c r="Y1419" s="93" t="str">
        <f>+VLOOKUP(Agencia[[#This Row],[contenido]],Estructura!$E$4:$G$500,3,0)</f>
        <v>C-1021</v>
      </c>
      <c r="Z1419" s="93" t="str">
        <f>+VLOOKUP(Agencia[[#This Row],[Filtro Integrado]],Estructura!$I$4:$K$500,3,0)</f>
        <v>FI-993</v>
      </c>
      <c r="AA1419" s="93" t="str">
        <f>+VLOOKUP(Agencia[[#This Row],[Muestra]],Estructura!$M$4:$O$500,3,0)</f>
        <v>M-1095</v>
      </c>
    </row>
    <row r="1420" spans="1:27" ht="51" x14ac:dyDescent="0.3">
      <c r="A1420" s="21" t="s">
        <v>2278</v>
      </c>
      <c r="B1420" s="9">
        <v>990</v>
      </c>
      <c r="C1420" s="10" t="s">
        <v>400</v>
      </c>
      <c r="D1420" s="67" t="s">
        <v>2993</v>
      </c>
      <c r="E1420" s="14">
        <v>0</v>
      </c>
      <c r="F1420" s="10" t="s">
        <v>3016</v>
      </c>
      <c r="G1420" s="10" t="s">
        <v>3017</v>
      </c>
      <c r="H1420" s="31" t="s">
        <v>20</v>
      </c>
      <c r="I1420" s="32" t="s">
        <v>15</v>
      </c>
      <c r="J1420" s="9" t="s">
        <v>956</v>
      </c>
      <c r="K1420" s="9" t="s">
        <v>9310</v>
      </c>
      <c r="L1420" s="9" t="s">
        <v>2996</v>
      </c>
      <c r="M1420" s="9" t="s">
        <v>3609</v>
      </c>
      <c r="N1420" s="9" t="s">
        <v>2997</v>
      </c>
      <c r="O1420" s="20" t="str">
        <f>"Evolución de los suscriptores de televisión de pago en "&amp;Agencia[[#This Row],[territorio]]&amp;", "&amp;Agencia[[#This Row],[temporalidad]]</f>
        <v>Evolución de los suscriptores de televisión de pago en Chile, Periodo 2007-2019</v>
      </c>
      <c r="P1420" s="112" t="s">
        <v>5940</v>
      </c>
      <c r="Q1420" s="11" t="s">
        <v>784</v>
      </c>
      <c r="R1420" s="20" t="str">
        <f>Agencia[[#This Row],[territorio]]&amp;",cantidad,número,suscripciones,televisión,pago,regional,región,comuna,evolución,"&amp;Agencia[[#This Row],[coleccion]]&amp;","&amp;Agencia[[#This Row],[sector]]&amp;","&amp;Agencia[[#This Row],[tema]]&amp;","&amp;Agencia[[#This Row],[contenido]]</f>
        <v>Chile,cantidad,número,suscripciones,televisión,pago,regional,región,comuna,evolución,Agencia Información,Tecnología, Internet y Telecomunicaciones,Televisión de pago,Telecomunicaciones</v>
      </c>
      <c r="S1420" s="53" t="s">
        <v>3018</v>
      </c>
      <c r="T1420" s="114" t="s">
        <v>957</v>
      </c>
      <c r="U1420" s="46" t="s">
        <v>4314</v>
      </c>
      <c r="V1420" s="93" t="str">
        <f>+Agencia[[#This Row],[idcoleccion]]&amp;"-"&amp;Agencia[[#This Row],[id]]</f>
        <v>990-1409</v>
      </c>
      <c r="W1420" s="93">
        <f>+VLOOKUP(Agencia[[#This Row],[Filtro URL]],Estructura!$X$4:$Y$500,2,0)</f>
        <v>99100000</v>
      </c>
      <c r="X1420" s="93" t="str">
        <f>+VLOOKUP(Agencia[[#This Row],[tema]],Estructura!$A$4:$C$500,3,0)</f>
        <v>T-1054</v>
      </c>
      <c r="Y1420" s="93" t="str">
        <f>+VLOOKUP(Agencia[[#This Row],[contenido]],Estructura!$E$4:$G$500,3,0)</f>
        <v>C-1022</v>
      </c>
      <c r="Z1420" s="93" t="str">
        <f>+VLOOKUP(Agencia[[#This Row],[Filtro Integrado]],Estructura!$I$4:$K$500,3,0)</f>
        <v>FI-994</v>
      </c>
      <c r="AA1420" s="93" t="str">
        <f>+VLOOKUP(Agencia[[#This Row],[Muestra]],Estructura!$M$4:$O$500,3,0)</f>
        <v>M-1096</v>
      </c>
    </row>
    <row r="1421" spans="1:27" ht="61.2" x14ac:dyDescent="0.3">
      <c r="A1421" s="21" t="s">
        <v>2279</v>
      </c>
      <c r="B1421" s="9">
        <v>990</v>
      </c>
      <c r="C1421" s="10" t="s">
        <v>400</v>
      </c>
      <c r="D1421" s="67" t="s">
        <v>2993</v>
      </c>
      <c r="E1421" s="19">
        <v>1</v>
      </c>
      <c r="F1421" s="10" t="s">
        <v>3016</v>
      </c>
      <c r="G1421" s="10" t="s">
        <v>3017</v>
      </c>
      <c r="H1421" s="33" t="s">
        <v>16</v>
      </c>
      <c r="I1421" s="34" t="s">
        <v>368</v>
      </c>
      <c r="J1421" s="60" t="s">
        <v>18</v>
      </c>
      <c r="K1421" s="142" t="s">
        <v>9310</v>
      </c>
      <c r="L1421" s="9" t="s">
        <v>2996</v>
      </c>
      <c r="M1421" s="9" t="s">
        <v>3609</v>
      </c>
      <c r="N1421" s="9" t="s">
        <v>2997</v>
      </c>
      <c r="O1421" s="20" t="str">
        <f>"Evolución de los suscriptores de televisión de pago en la "&amp;Agencia[[#This Row],[territorio]]&amp;", "&amp;Agencia[[#This Row],[temporalidad]]</f>
        <v>Evolución de los suscriptores de televisión de pago en la Región de Tarapacá, Periodo 2007-2019</v>
      </c>
      <c r="P1421" s="112" t="s">
        <v>5941</v>
      </c>
      <c r="Q1421" s="11" t="s">
        <v>784</v>
      </c>
      <c r="R1421" s="148" t="str">
        <f>Agencia[[#This Row],[territorio]]&amp;",cantidad,número,suscripciones,televisión,pago,regional,región,comuna,evolución,"&amp;Agencia[[#This Row],[coleccion]]&amp;","&amp;Agencia[[#This Row],[sector]]&amp;","&amp;Agencia[[#This Row],[tema]]&amp;","&amp;Agencia[[#This Row],[contenido]]</f>
        <v>Región de Tarapacá,cantidad,número,suscripciones,televisión,pago,regional,región,comuna,evolución,Agencia Información,Tecnología, Internet y Telecomunicaciones,Televisión de pago,Telecomunicaciones</v>
      </c>
      <c r="S1421" s="54" t="s">
        <v>3019</v>
      </c>
      <c r="T1421" s="107" t="s">
        <v>1856</v>
      </c>
      <c r="U1421" s="46" t="s">
        <v>4315</v>
      </c>
      <c r="V1421" s="93" t="str">
        <f>+Agencia[[#This Row],[idcoleccion]]&amp;"-"&amp;Agencia[[#This Row],[id]]</f>
        <v>990-1410</v>
      </c>
      <c r="W1421" s="93">
        <f>+VLOOKUP(Agencia[[#This Row],[Filtro URL]],Estructura!$X$4:$Y$500,2,0)</f>
        <v>99200001</v>
      </c>
      <c r="X1421" s="93" t="str">
        <f>+VLOOKUP(Agencia[[#This Row],[tema]],Estructura!$A$4:$C$500,3,0)</f>
        <v>T-1054</v>
      </c>
      <c r="Y1421" s="93" t="str">
        <f>+VLOOKUP(Agencia[[#This Row],[contenido]],Estructura!$E$4:$G$500,3,0)</f>
        <v>C-1022</v>
      </c>
      <c r="Z1421" s="93" t="str">
        <f>+VLOOKUP(Agencia[[#This Row],[Filtro Integrado]],Estructura!$I$4:$K$500,3,0)</f>
        <v>FI-991</v>
      </c>
      <c r="AA1421" s="93" t="str">
        <f>+VLOOKUP(Agencia[[#This Row],[Muestra]],Estructura!$M$4:$O$500,3,0)</f>
        <v>M-1096</v>
      </c>
    </row>
    <row r="1422" spans="1:27" ht="61.2" x14ac:dyDescent="0.3">
      <c r="A1422" s="21" t="s">
        <v>2280</v>
      </c>
      <c r="B1422" s="9">
        <v>990</v>
      </c>
      <c r="C1422" s="10" t="s">
        <v>400</v>
      </c>
      <c r="D1422" s="67" t="s">
        <v>2993</v>
      </c>
      <c r="E1422" s="19">
        <v>2</v>
      </c>
      <c r="F1422" s="10" t="s">
        <v>3016</v>
      </c>
      <c r="G1422" s="10" t="s">
        <v>3017</v>
      </c>
      <c r="H1422" s="33" t="s">
        <v>16</v>
      </c>
      <c r="I1422" s="34" t="s">
        <v>369</v>
      </c>
      <c r="J1422" s="60" t="s">
        <v>18</v>
      </c>
      <c r="K1422" s="142" t="s">
        <v>9310</v>
      </c>
      <c r="L1422" s="9" t="s">
        <v>2996</v>
      </c>
      <c r="M1422" s="9" t="s">
        <v>3609</v>
      </c>
      <c r="N1422" s="9" t="s">
        <v>2997</v>
      </c>
      <c r="O1422" s="20" t="str">
        <f>"Evolución de los suscriptores de televisión de pago en la "&amp;Agencia[[#This Row],[territorio]]&amp;", "&amp;Agencia[[#This Row],[temporalidad]]</f>
        <v>Evolución de los suscriptores de televisión de pago en la Región de Antofagasta, Periodo 2007-2019</v>
      </c>
      <c r="P1422" s="112" t="s">
        <v>5912</v>
      </c>
      <c r="Q1422" s="11" t="s">
        <v>784</v>
      </c>
      <c r="R1422" s="148" t="str">
        <f>Agencia[[#This Row],[territorio]]&amp;",cantidad,número,suscripciones,televisión,pago,regional,región,comuna,evolución,"&amp;Agencia[[#This Row],[coleccion]]&amp;","&amp;Agencia[[#This Row],[sector]]&amp;","&amp;Agencia[[#This Row],[tema]]&amp;","&amp;Agencia[[#This Row],[contenido]]</f>
        <v>Región de Antofagasta,cantidad,número,suscripciones,televisión,pago,regional,región,comuna,evolución,Agencia Información,Tecnología, Internet y Telecomunicaciones,Televisión de pago,Telecomunicaciones</v>
      </c>
      <c r="S1422" s="54" t="s">
        <v>3020</v>
      </c>
      <c r="T1422" s="107" t="s">
        <v>1844</v>
      </c>
      <c r="U1422" s="46" t="s">
        <v>4316</v>
      </c>
      <c r="V1422" s="93" t="str">
        <f>+Agencia[[#This Row],[idcoleccion]]&amp;"-"&amp;Agencia[[#This Row],[id]]</f>
        <v>990-1411</v>
      </c>
      <c r="W1422" s="93">
        <f>+VLOOKUP(Agencia[[#This Row],[Filtro URL]],Estructura!$X$4:$Y$500,2,0)</f>
        <v>99200002</v>
      </c>
      <c r="X1422" s="93" t="str">
        <f>+VLOOKUP(Agencia[[#This Row],[tema]],Estructura!$A$4:$C$500,3,0)</f>
        <v>T-1054</v>
      </c>
      <c r="Y1422" s="93" t="str">
        <f>+VLOOKUP(Agencia[[#This Row],[contenido]],Estructura!$E$4:$G$500,3,0)</f>
        <v>C-1022</v>
      </c>
      <c r="Z1422" s="93" t="str">
        <f>+VLOOKUP(Agencia[[#This Row],[Filtro Integrado]],Estructura!$I$4:$K$500,3,0)</f>
        <v>FI-991</v>
      </c>
      <c r="AA1422" s="93" t="str">
        <f>+VLOOKUP(Agencia[[#This Row],[Muestra]],Estructura!$M$4:$O$500,3,0)</f>
        <v>M-1096</v>
      </c>
    </row>
    <row r="1423" spans="1:27" ht="61.2" x14ac:dyDescent="0.3">
      <c r="A1423" s="21" t="s">
        <v>2281</v>
      </c>
      <c r="B1423" s="9">
        <v>990</v>
      </c>
      <c r="C1423" s="10" t="s">
        <v>400</v>
      </c>
      <c r="D1423" s="67" t="s">
        <v>2993</v>
      </c>
      <c r="E1423" s="19">
        <v>3</v>
      </c>
      <c r="F1423" s="10" t="s">
        <v>3016</v>
      </c>
      <c r="G1423" s="10" t="s">
        <v>3017</v>
      </c>
      <c r="H1423" s="33" t="s">
        <v>16</v>
      </c>
      <c r="I1423" s="34" t="s">
        <v>370</v>
      </c>
      <c r="J1423" s="60" t="s">
        <v>18</v>
      </c>
      <c r="K1423" s="142" t="s">
        <v>9310</v>
      </c>
      <c r="L1423" s="9" t="s">
        <v>2996</v>
      </c>
      <c r="M1423" s="9" t="s">
        <v>3609</v>
      </c>
      <c r="N1423" s="9" t="s">
        <v>2997</v>
      </c>
      <c r="O1423" s="20" t="str">
        <f>"Evolución de los suscriptores de televisión de pago en la "&amp;Agencia[[#This Row],[territorio]]&amp;", "&amp;Agencia[[#This Row],[temporalidad]]</f>
        <v>Evolución de los suscriptores de televisión de pago en la Región de Atacama, Periodo 2007-2019</v>
      </c>
      <c r="P1423" s="112" t="s">
        <v>5913</v>
      </c>
      <c r="Q1423" s="11" t="s">
        <v>784</v>
      </c>
      <c r="R1423" s="148" t="str">
        <f>Agencia[[#This Row],[territorio]]&amp;",cantidad,número,suscripciones,televisión,pago,regional,región,comuna,evolución,"&amp;Agencia[[#This Row],[coleccion]]&amp;","&amp;Agencia[[#This Row],[sector]]&amp;","&amp;Agencia[[#This Row],[tema]]&amp;","&amp;Agencia[[#This Row],[contenido]]</f>
        <v>Región de Atacama,cantidad,número,suscripciones,televisión,pago,regional,región,comuna,evolución,Agencia Información,Tecnología, Internet y Telecomunicaciones,Televisión de pago,Telecomunicaciones</v>
      </c>
      <c r="S1423" s="54" t="s">
        <v>3021</v>
      </c>
      <c r="T1423" s="107" t="s">
        <v>1846</v>
      </c>
      <c r="U1423" s="46" t="s">
        <v>4317</v>
      </c>
      <c r="V1423" s="93" t="str">
        <f>+Agencia[[#This Row],[idcoleccion]]&amp;"-"&amp;Agencia[[#This Row],[id]]</f>
        <v>990-1412</v>
      </c>
      <c r="W1423" s="93">
        <f>+VLOOKUP(Agencia[[#This Row],[Filtro URL]],Estructura!$X$4:$Y$500,2,0)</f>
        <v>99200003</v>
      </c>
      <c r="X1423" s="93" t="str">
        <f>+VLOOKUP(Agencia[[#This Row],[tema]],Estructura!$A$4:$C$500,3,0)</f>
        <v>T-1054</v>
      </c>
      <c r="Y1423" s="93" t="str">
        <f>+VLOOKUP(Agencia[[#This Row],[contenido]],Estructura!$E$4:$G$500,3,0)</f>
        <v>C-1022</v>
      </c>
      <c r="Z1423" s="93" t="str">
        <f>+VLOOKUP(Agencia[[#This Row],[Filtro Integrado]],Estructura!$I$4:$K$500,3,0)</f>
        <v>FI-991</v>
      </c>
      <c r="AA1423" s="93" t="str">
        <f>+VLOOKUP(Agencia[[#This Row],[Muestra]],Estructura!$M$4:$O$500,3,0)</f>
        <v>M-1096</v>
      </c>
    </row>
    <row r="1424" spans="1:27" ht="61.2" x14ac:dyDescent="0.3">
      <c r="A1424" s="21" t="s">
        <v>2282</v>
      </c>
      <c r="B1424" s="9">
        <v>990</v>
      </c>
      <c r="C1424" s="10" t="s">
        <v>400</v>
      </c>
      <c r="D1424" s="67" t="s">
        <v>2993</v>
      </c>
      <c r="E1424" s="19">
        <v>4</v>
      </c>
      <c r="F1424" s="10" t="s">
        <v>3016</v>
      </c>
      <c r="G1424" s="10" t="s">
        <v>3017</v>
      </c>
      <c r="H1424" s="33" t="s">
        <v>16</v>
      </c>
      <c r="I1424" s="34" t="s">
        <v>371</v>
      </c>
      <c r="J1424" s="60" t="s">
        <v>18</v>
      </c>
      <c r="K1424" s="142" t="s">
        <v>9310</v>
      </c>
      <c r="L1424" s="9" t="s">
        <v>2996</v>
      </c>
      <c r="M1424" s="9" t="s">
        <v>3609</v>
      </c>
      <c r="N1424" s="9" t="s">
        <v>2997</v>
      </c>
      <c r="O1424" s="20" t="str">
        <f>"Evolución de los suscriptores de televisión de pago en la "&amp;Agencia[[#This Row],[territorio]]&amp;", "&amp;Agencia[[#This Row],[temporalidad]]</f>
        <v>Evolución de los suscriptores de televisión de pago en la Región de Coquimbo, Periodo 2007-2019</v>
      </c>
      <c r="P1424" s="112" t="s">
        <v>5914</v>
      </c>
      <c r="Q1424" s="11" t="s">
        <v>784</v>
      </c>
      <c r="R1424" s="148" t="str">
        <f>Agencia[[#This Row],[territorio]]&amp;",cantidad,número,suscripciones,televisión,pago,regional,región,comuna,evolución,"&amp;Agencia[[#This Row],[coleccion]]&amp;","&amp;Agencia[[#This Row],[sector]]&amp;","&amp;Agencia[[#This Row],[tema]]&amp;","&amp;Agencia[[#This Row],[contenido]]</f>
        <v>Región de Coquimbo,cantidad,número,suscripciones,televisión,pago,regional,región,comuna,evolución,Agencia Información,Tecnología, Internet y Telecomunicaciones,Televisión de pago,Telecomunicaciones</v>
      </c>
      <c r="S1424" s="54" t="s">
        <v>3022</v>
      </c>
      <c r="T1424" s="107" t="s">
        <v>1848</v>
      </c>
      <c r="U1424" s="46" t="s">
        <v>4318</v>
      </c>
      <c r="V1424" s="93" t="str">
        <f>+Agencia[[#This Row],[idcoleccion]]&amp;"-"&amp;Agencia[[#This Row],[id]]</f>
        <v>990-1413</v>
      </c>
      <c r="W1424" s="93">
        <f>+VLOOKUP(Agencia[[#This Row],[Filtro URL]],Estructura!$X$4:$Y$500,2,0)</f>
        <v>99200004</v>
      </c>
      <c r="X1424" s="93" t="str">
        <f>+VLOOKUP(Agencia[[#This Row],[tema]],Estructura!$A$4:$C$500,3,0)</f>
        <v>T-1054</v>
      </c>
      <c r="Y1424" s="93" t="str">
        <f>+VLOOKUP(Agencia[[#This Row],[contenido]],Estructura!$E$4:$G$500,3,0)</f>
        <v>C-1022</v>
      </c>
      <c r="Z1424" s="93" t="str">
        <f>+VLOOKUP(Agencia[[#This Row],[Filtro Integrado]],Estructura!$I$4:$K$500,3,0)</f>
        <v>FI-991</v>
      </c>
      <c r="AA1424" s="93" t="str">
        <f>+VLOOKUP(Agencia[[#This Row],[Muestra]],Estructura!$M$4:$O$500,3,0)</f>
        <v>M-1096</v>
      </c>
    </row>
    <row r="1425" spans="1:27" ht="61.2" x14ac:dyDescent="0.3">
      <c r="A1425" s="21" t="s">
        <v>2283</v>
      </c>
      <c r="B1425" s="9">
        <v>990</v>
      </c>
      <c r="C1425" s="10" t="s">
        <v>400</v>
      </c>
      <c r="D1425" s="67" t="s">
        <v>2993</v>
      </c>
      <c r="E1425" s="19">
        <v>5</v>
      </c>
      <c r="F1425" s="10" t="s">
        <v>3016</v>
      </c>
      <c r="G1425" s="10" t="s">
        <v>3017</v>
      </c>
      <c r="H1425" s="33" t="s">
        <v>16</v>
      </c>
      <c r="I1425" s="34" t="s">
        <v>372</v>
      </c>
      <c r="J1425" s="60" t="s">
        <v>18</v>
      </c>
      <c r="K1425" s="142" t="s">
        <v>9310</v>
      </c>
      <c r="L1425" s="9" t="s">
        <v>2996</v>
      </c>
      <c r="M1425" s="9" t="s">
        <v>3609</v>
      </c>
      <c r="N1425" s="9" t="s">
        <v>2997</v>
      </c>
      <c r="O1425" s="20" t="str">
        <f>"Evolución de los suscriptores de televisión de pago en la "&amp;Agencia[[#This Row],[territorio]]&amp;", "&amp;Agencia[[#This Row],[temporalidad]]</f>
        <v>Evolución de los suscriptores de televisión de pago en la Región de Valparaíso, Periodo 2007-2019</v>
      </c>
      <c r="P1425" s="112" t="s">
        <v>5915</v>
      </c>
      <c r="Q1425" s="11" t="s">
        <v>784</v>
      </c>
      <c r="R1425" s="148" t="str">
        <f>Agencia[[#This Row],[territorio]]&amp;",cantidad,número,suscripciones,televisión,pago,regional,región,comuna,evolución,"&amp;Agencia[[#This Row],[coleccion]]&amp;","&amp;Agencia[[#This Row],[sector]]&amp;","&amp;Agencia[[#This Row],[tema]]&amp;","&amp;Agencia[[#This Row],[contenido]]</f>
        <v>Región de Valparaíso,cantidad,número,suscripciones,televisión,pago,regional,región,comuna,evolución,Agencia Información,Tecnología, Internet y Telecomunicaciones,Televisión de pago,Telecomunicaciones</v>
      </c>
      <c r="S1425" s="54" t="s">
        <v>3023</v>
      </c>
      <c r="T1425" s="107" t="s">
        <v>1857</v>
      </c>
      <c r="U1425" s="46" t="s">
        <v>4319</v>
      </c>
      <c r="V1425" s="93" t="str">
        <f>+Agencia[[#This Row],[idcoleccion]]&amp;"-"&amp;Agencia[[#This Row],[id]]</f>
        <v>990-1414</v>
      </c>
      <c r="W1425" s="93">
        <f>+VLOOKUP(Agencia[[#This Row],[Filtro URL]],Estructura!$X$4:$Y$500,2,0)</f>
        <v>99200005</v>
      </c>
      <c r="X1425" s="93" t="str">
        <f>+VLOOKUP(Agencia[[#This Row],[tema]],Estructura!$A$4:$C$500,3,0)</f>
        <v>T-1054</v>
      </c>
      <c r="Y1425" s="93" t="str">
        <f>+VLOOKUP(Agencia[[#This Row],[contenido]],Estructura!$E$4:$G$500,3,0)</f>
        <v>C-1022</v>
      </c>
      <c r="Z1425" s="93" t="str">
        <f>+VLOOKUP(Agencia[[#This Row],[Filtro Integrado]],Estructura!$I$4:$K$500,3,0)</f>
        <v>FI-991</v>
      </c>
      <c r="AA1425" s="93" t="str">
        <f>+VLOOKUP(Agencia[[#This Row],[Muestra]],Estructura!$M$4:$O$500,3,0)</f>
        <v>M-1096</v>
      </c>
    </row>
    <row r="1426" spans="1:27" ht="61.2" x14ac:dyDescent="0.3">
      <c r="A1426" s="21" t="s">
        <v>2284</v>
      </c>
      <c r="B1426" s="9">
        <v>990</v>
      </c>
      <c r="C1426" s="10" t="s">
        <v>400</v>
      </c>
      <c r="D1426" s="67" t="s">
        <v>2993</v>
      </c>
      <c r="E1426" s="19">
        <v>6</v>
      </c>
      <c r="F1426" s="10" t="s">
        <v>3016</v>
      </c>
      <c r="G1426" s="10" t="s">
        <v>3017</v>
      </c>
      <c r="H1426" s="33" t="s">
        <v>16</v>
      </c>
      <c r="I1426" s="34" t="s">
        <v>373</v>
      </c>
      <c r="J1426" s="60" t="s">
        <v>18</v>
      </c>
      <c r="K1426" s="142" t="s">
        <v>9310</v>
      </c>
      <c r="L1426" s="9" t="s">
        <v>2996</v>
      </c>
      <c r="M1426" s="9" t="s">
        <v>3609</v>
      </c>
      <c r="N1426" s="9" t="s">
        <v>2997</v>
      </c>
      <c r="O1426" s="20" t="str">
        <f>"Evolución de los suscriptores de televisión de pago en la "&amp;Agencia[[#This Row],[territorio]]&amp;", "&amp;Agencia[[#This Row],[temporalidad]]</f>
        <v>Evolución de los suscriptores de televisión de pago en la Región de O'Higgins, Periodo 2007-2019</v>
      </c>
      <c r="P1426" s="112" t="s">
        <v>5916</v>
      </c>
      <c r="Q1426" s="11" t="s">
        <v>784</v>
      </c>
      <c r="R1426" s="148" t="str">
        <f>Agencia[[#This Row],[territorio]]&amp;",cantidad,número,suscripciones,televisión,pago,regional,región,comuna,evolución,"&amp;Agencia[[#This Row],[coleccion]]&amp;","&amp;Agencia[[#This Row],[sector]]&amp;","&amp;Agencia[[#This Row],[tema]]&amp;","&amp;Agencia[[#This Row],[contenido]]</f>
        <v>Región de O'Higgins,cantidad,número,suscripciones,televisión,pago,regional,región,comuna,evolución,Agencia Información,Tecnología, Internet y Telecomunicaciones,Televisión de pago,Telecomunicaciones</v>
      </c>
      <c r="S1426" s="54" t="s">
        <v>3024</v>
      </c>
      <c r="T1426" s="107" t="s">
        <v>1855</v>
      </c>
      <c r="U1426" s="46" t="s">
        <v>4320</v>
      </c>
      <c r="V1426" s="93" t="str">
        <f>+Agencia[[#This Row],[idcoleccion]]&amp;"-"&amp;Agencia[[#This Row],[id]]</f>
        <v>990-1415</v>
      </c>
      <c r="W1426" s="93">
        <f>+VLOOKUP(Agencia[[#This Row],[Filtro URL]],Estructura!$X$4:$Y$500,2,0)</f>
        <v>99200006</v>
      </c>
      <c r="X1426" s="93" t="str">
        <f>+VLOOKUP(Agencia[[#This Row],[tema]],Estructura!$A$4:$C$500,3,0)</f>
        <v>T-1054</v>
      </c>
      <c r="Y1426" s="93" t="str">
        <f>+VLOOKUP(Agencia[[#This Row],[contenido]],Estructura!$E$4:$G$500,3,0)</f>
        <v>C-1022</v>
      </c>
      <c r="Z1426" s="93" t="str">
        <f>+VLOOKUP(Agencia[[#This Row],[Filtro Integrado]],Estructura!$I$4:$K$500,3,0)</f>
        <v>FI-991</v>
      </c>
      <c r="AA1426" s="93" t="str">
        <f>+VLOOKUP(Agencia[[#This Row],[Muestra]],Estructura!$M$4:$O$500,3,0)</f>
        <v>M-1096</v>
      </c>
    </row>
    <row r="1427" spans="1:27" ht="61.2" x14ac:dyDescent="0.3">
      <c r="A1427" s="21" t="s">
        <v>2285</v>
      </c>
      <c r="B1427" s="9">
        <v>990</v>
      </c>
      <c r="C1427" s="10" t="s">
        <v>400</v>
      </c>
      <c r="D1427" s="67" t="s">
        <v>2993</v>
      </c>
      <c r="E1427" s="19">
        <v>7</v>
      </c>
      <c r="F1427" s="10" t="s">
        <v>3016</v>
      </c>
      <c r="G1427" s="10" t="s">
        <v>3017</v>
      </c>
      <c r="H1427" s="33" t="s">
        <v>16</v>
      </c>
      <c r="I1427" s="34" t="s">
        <v>374</v>
      </c>
      <c r="J1427" s="60" t="s">
        <v>18</v>
      </c>
      <c r="K1427" s="142" t="s">
        <v>9310</v>
      </c>
      <c r="L1427" s="9" t="s">
        <v>2996</v>
      </c>
      <c r="M1427" s="9" t="s">
        <v>3609</v>
      </c>
      <c r="N1427" s="9" t="s">
        <v>2997</v>
      </c>
      <c r="O1427" s="20" t="str">
        <f>"Evolución de los suscriptores de televisión de pago en la "&amp;Agencia[[#This Row],[territorio]]&amp;", "&amp;Agencia[[#This Row],[temporalidad]]</f>
        <v>Evolución de los suscriptores de televisión de pago en la Región de Maule, Periodo 2007-2019</v>
      </c>
      <c r="P1427" s="112" t="s">
        <v>5942</v>
      </c>
      <c r="Q1427" s="11" t="s">
        <v>784</v>
      </c>
      <c r="R1427" s="148" t="str">
        <f>Agencia[[#This Row],[territorio]]&amp;",cantidad,número,suscripciones,televisión,pago,regional,región,comuna,evolución,"&amp;Agencia[[#This Row],[coleccion]]&amp;","&amp;Agencia[[#This Row],[sector]]&amp;","&amp;Agencia[[#This Row],[tema]]&amp;","&amp;Agencia[[#This Row],[contenido]]</f>
        <v>Región de Maule,cantidad,número,suscripciones,televisión,pago,regional,región,comuna,evolución,Agencia Información,Tecnología, Internet y Telecomunicaciones,Televisión de pago,Telecomunicaciones</v>
      </c>
      <c r="S1427" s="54" t="s">
        <v>3025</v>
      </c>
      <c r="T1427" s="107" t="s">
        <v>1853</v>
      </c>
      <c r="U1427" s="46" t="s">
        <v>4321</v>
      </c>
      <c r="V1427" s="93" t="str">
        <f>+Agencia[[#This Row],[idcoleccion]]&amp;"-"&amp;Agencia[[#This Row],[id]]</f>
        <v>990-1416</v>
      </c>
      <c r="W1427" s="93">
        <f>+VLOOKUP(Agencia[[#This Row],[Filtro URL]],Estructura!$X$4:$Y$500,2,0)</f>
        <v>99200007</v>
      </c>
      <c r="X1427" s="93" t="str">
        <f>+VLOOKUP(Agencia[[#This Row],[tema]],Estructura!$A$4:$C$500,3,0)</f>
        <v>T-1054</v>
      </c>
      <c r="Y1427" s="93" t="str">
        <f>+VLOOKUP(Agencia[[#This Row],[contenido]],Estructura!$E$4:$G$500,3,0)</f>
        <v>C-1022</v>
      </c>
      <c r="Z1427" s="93" t="str">
        <f>+VLOOKUP(Agencia[[#This Row],[Filtro Integrado]],Estructura!$I$4:$K$500,3,0)</f>
        <v>FI-991</v>
      </c>
      <c r="AA1427" s="93" t="str">
        <f>+VLOOKUP(Agencia[[#This Row],[Muestra]],Estructura!$M$4:$O$500,3,0)</f>
        <v>M-1096</v>
      </c>
    </row>
    <row r="1428" spans="1:27" ht="61.2" x14ac:dyDescent="0.3">
      <c r="A1428" s="21" t="s">
        <v>2286</v>
      </c>
      <c r="B1428" s="9">
        <v>990</v>
      </c>
      <c r="C1428" s="10" t="s">
        <v>400</v>
      </c>
      <c r="D1428" s="67" t="s">
        <v>2993</v>
      </c>
      <c r="E1428" s="19">
        <v>8</v>
      </c>
      <c r="F1428" s="10" t="s">
        <v>3016</v>
      </c>
      <c r="G1428" s="10" t="s">
        <v>3017</v>
      </c>
      <c r="H1428" s="33" t="s">
        <v>16</v>
      </c>
      <c r="I1428" s="34" t="s">
        <v>375</v>
      </c>
      <c r="J1428" s="60" t="s">
        <v>18</v>
      </c>
      <c r="K1428" s="142" t="s">
        <v>9310</v>
      </c>
      <c r="L1428" s="9" t="s">
        <v>2996</v>
      </c>
      <c r="M1428" s="9" t="s">
        <v>3609</v>
      </c>
      <c r="N1428" s="9" t="s">
        <v>2997</v>
      </c>
      <c r="O1428" s="20" t="str">
        <f>"Evolución de los suscriptores de televisión de pago en la "&amp;Agencia[[#This Row],[territorio]]&amp;", "&amp;Agencia[[#This Row],[temporalidad]]</f>
        <v>Evolución de los suscriptores de televisión de pago en la Región del Biobío, Periodo 2007-2019</v>
      </c>
      <c r="P1428" s="112" t="s">
        <v>5917</v>
      </c>
      <c r="Q1428" s="11" t="s">
        <v>784</v>
      </c>
      <c r="R1428" s="148" t="str">
        <f>Agencia[[#This Row],[territorio]]&amp;",cantidad,número,suscripciones,televisión,pago,regional,región,comuna,evolución,"&amp;Agencia[[#This Row],[coleccion]]&amp;","&amp;Agencia[[#This Row],[sector]]&amp;","&amp;Agencia[[#This Row],[tema]]&amp;","&amp;Agencia[[#This Row],[contenido]]</f>
        <v>Región del Biobío,cantidad,número,suscripciones,televisión,pago,regional,región,comuna,evolución,Agencia Información,Tecnología, Internet y Telecomunicaciones,Televisión de pago,Telecomunicaciones</v>
      </c>
      <c r="S1428" s="54" t="s">
        <v>3026</v>
      </c>
      <c r="T1428" s="107" t="s">
        <v>1858</v>
      </c>
      <c r="U1428" s="46" t="s">
        <v>4322</v>
      </c>
      <c r="V1428" s="93" t="str">
        <f>+Agencia[[#This Row],[idcoleccion]]&amp;"-"&amp;Agencia[[#This Row],[id]]</f>
        <v>990-1417</v>
      </c>
      <c r="W1428" s="93">
        <f>+VLOOKUP(Agencia[[#This Row],[Filtro URL]],Estructura!$X$4:$Y$500,2,0)</f>
        <v>99200008</v>
      </c>
      <c r="X1428" s="93" t="str">
        <f>+VLOOKUP(Agencia[[#This Row],[tema]],Estructura!$A$4:$C$500,3,0)</f>
        <v>T-1054</v>
      </c>
      <c r="Y1428" s="93" t="str">
        <f>+VLOOKUP(Agencia[[#This Row],[contenido]],Estructura!$E$4:$G$500,3,0)</f>
        <v>C-1022</v>
      </c>
      <c r="Z1428" s="93" t="str">
        <f>+VLOOKUP(Agencia[[#This Row],[Filtro Integrado]],Estructura!$I$4:$K$500,3,0)</f>
        <v>FI-991</v>
      </c>
      <c r="AA1428" s="93" t="str">
        <f>+VLOOKUP(Agencia[[#This Row],[Muestra]],Estructura!$M$4:$O$500,3,0)</f>
        <v>M-1096</v>
      </c>
    </row>
    <row r="1429" spans="1:27" ht="61.2" x14ac:dyDescent="0.3">
      <c r="A1429" s="21" t="s">
        <v>2287</v>
      </c>
      <c r="B1429" s="9">
        <v>990</v>
      </c>
      <c r="C1429" s="10" t="s">
        <v>400</v>
      </c>
      <c r="D1429" s="67" t="s">
        <v>2993</v>
      </c>
      <c r="E1429" s="19">
        <v>9</v>
      </c>
      <c r="F1429" s="10" t="s">
        <v>3016</v>
      </c>
      <c r="G1429" s="10" t="s">
        <v>3017</v>
      </c>
      <c r="H1429" s="33" t="s">
        <v>16</v>
      </c>
      <c r="I1429" s="34" t="s">
        <v>376</v>
      </c>
      <c r="J1429" s="60" t="s">
        <v>18</v>
      </c>
      <c r="K1429" s="142" t="s">
        <v>9310</v>
      </c>
      <c r="L1429" s="9" t="s">
        <v>2996</v>
      </c>
      <c r="M1429" s="9" t="s">
        <v>3609</v>
      </c>
      <c r="N1429" s="9" t="s">
        <v>2997</v>
      </c>
      <c r="O1429" s="20" t="str">
        <f>"Evolución de los suscriptores de televisión de pago en la "&amp;Agencia[[#This Row],[territorio]]&amp;", "&amp;Agencia[[#This Row],[temporalidad]]</f>
        <v>Evolución de los suscriptores de televisión de pago en la Región de La Araucanía, Periodo 2007-2019</v>
      </c>
      <c r="P1429" s="112" t="s">
        <v>5918</v>
      </c>
      <c r="Q1429" s="11" t="s">
        <v>784</v>
      </c>
      <c r="R1429" s="148" t="str">
        <f>Agencia[[#This Row],[territorio]]&amp;",cantidad,número,suscripciones,televisión,pago,regional,región,comuna,evolución,"&amp;Agencia[[#This Row],[coleccion]]&amp;","&amp;Agencia[[#This Row],[sector]]&amp;","&amp;Agencia[[#This Row],[tema]]&amp;","&amp;Agencia[[#This Row],[contenido]]</f>
        <v>Región de La Araucanía,cantidad,número,suscripciones,televisión,pago,regional,región,comuna,evolución,Agencia Información,Tecnología, Internet y Telecomunicaciones,Televisión de pago,Telecomunicaciones</v>
      </c>
      <c r="S1429" s="54" t="s">
        <v>3027</v>
      </c>
      <c r="T1429" s="107" t="s">
        <v>1849</v>
      </c>
      <c r="U1429" s="46" t="s">
        <v>4323</v>
      </c>
      <c r="V1429" s="93" t="str">
        <f>+Agencia[[#This Row],[idcoleccion]]&amp;"-"&amp;Agencia[[#This Row],[id]]</f>
        <v>990-1418</v>
      </c>
      <c r="W1429" s="93">
        <f>+VLOOKUP(Agencia[[#This Row],[Filtro URL]],Estructura!$X$4:$Y$500,2,0)</f>
        <v>99200009</v>
      </c>
      <c r="X1429" s="93" t="str">
        <f>+VLOOKUP(Agencia[[#This Row],[tema]],Estructura!$A$4:$C$500,3,0)</f>
        <v>T-1054</v>
      </c>
      <c r="Y1429" s="93" t="str">
        <f>+VLOOKUP(Agencia[[#This Row],[contenido]],Estructura!$E$4:$G$500,3,0)</f>
        <v>C-1022</v>
      </c>
      <c r="Z1429" s="93" t="str">
        <f>+VLOOKUP(Agencia[[#This Row],[Filtro Integrado]],Estructura!$I$4:$K$500,3,0)</f>
        <v>FI-991</v>
      </c>
      <c r="AA1429" s="93" t="str">
        <f>+VLOOKUP(Agencia[[#This Row],[Muestra]],Estructura!$M$4:$O$500,3,0)</f>
        <v>M-1096</v>
      </c>
    </row>
    <row r="1430" spans="1:27" ht="61.2" x14ac:dyDescent="0.3">
      <c r="A1430" s="21" t="s">
        <v>2288</v>
      </c>
      <c r="B1430" s="9">
        <v>990</v>
      </c>
      <c r="C1430" s="10" t="s">
        <v>400</v>
      </c>
      <c r="D1430" s="67" t="s">
        <v>2993</v>
      </c>
      <c r="E1430" s="19">
        <v>10</v>
      </c>
      <c r="F1430" s="10" t="s">
        <v>3016</v>
      </c>
      <c r="G1430" s="10" t="s">
        <v>3017</v>
      </c>
      <c r="H1430" s="33" t="s">
        <v>16</v>
      </c>
      <c r="I1430" s="34" t="s">
        <v>377</v>
      </c>
      <c r="J1430" s="60" t="s">
        <v>18</v>
      </c>
      <c r="K1430" s="142" t="s">
        <v>9310</v>
      </c>
      <c r="L1430" s="9" t="s">
        <v>2996</v>
      </c>
      <c r="M1430" s="9" t="s">
        <v>3609</v>
      </c>
      <c r="N1430" s="9" t="s">
        <v>2997</v>
      </c>
      <c r="O1430" s="20" t="str">
        <f>"Evolución de los suscriptores de televisión de pago en la "&amp;Agencia[[#This Row],[territorio]]&amp;", "&amp;Agencia[[#This Row],[temporalidad]]</f>
        <v>Evolución de los suscriptores de televisión de pago en la Región de Los Lagos, Periodo 2007-2019</v>
      </c>
      <c r="P1430" s="112" t="s">
        <v>5943</v>
      </c>
      <c r="Q1430" s="11" t="s">
        <v>784</v>
      </c>
      <c r="R1430" s="148" t="str">
        <f>Agencia[[#This Row],[territorio]]&amp;",cantidad,número,suscripciones,televisión,pago,regional,región,comuna,evolución,"&amp;Agencia[[#This Row],[coleccion]]&amp;","&amp;Agencia[[#This Row],[sector]]&amp;","&amp;Agencia[[#This Row],[tema]]&amp;","&amp;Agencia[[#This Row],[contenido]]</f>
        <v>Región de Los Lagos,cantidad,número,suscripciones,televisión,pago,regional,región,comuna,evolución,Agencia Información,Tecnología, Internet y Telecomunicaciones,Televisión de pago,Telecomunicaciones</v>
      </c>
      <c r="S1430" s="54" t="s">
        <v>3028</v>
      </c>
      <c r="T1430" s="107" t="s">
        <v>1850</v>
      </c>
      <c r="U1430" s="46" t="s">
        <v>4324</v>
      </c>
      <c r="V1430" s="93" t="str">
        <f>+Agencia[[#This Row],[idcoleccion]]&amp;"-"&amp;Agencia[[#This Row],[id]]</f>
        <v>990-1419</v>
      </c>
      <c r="W1430" s="93">
        <f>+VLOOKUP(Agencia[[#This Row],[Filtro URL]],Estructura!$X$4:$Y$500,2,0)</f>
        <v>99200010</v>
      </c>
      <c r="X1430" s="93" t="str">
        <f>+VLOOKUP(Agencia[[#This Row],[tema]],Estructura!$A$4:$C$500,3,0)</f>
        <v>T-1054</v>
      </c>
      <c r="Y1430" s="93" t="str">
        <f>+VLOOKUP(Agencia[[#This Row],[contenido]],Estructura!$E$4:$G$500,3,0)</f>
        <v>C-1022</v>
      </c>
      <c r="Z1430" s="93" t="str">
        <f>+VLOOKUP(Agencia[[#This Row],[Filtro Integrado]],Estructura!$I$4:$K$500,3,0)</f>
        <v>FI-991</v>
      </c>
      <c r="AA1430" s="93" t="str">
        <f>+VLOOKUP(Agencia[[#This Row],[Muestra]],Estructura!$M$4:$O$500,3,0)</f>
        <v>M-1096</v>
      </c>
    </row>
    <row r="1431" spans="1:27" ht="61.2" x14ac:dyDescent="0.3">
      <c r="A1431" s="21" t="s">
        <v>2289</v>
      </c>
      <c r="B1431" s="9">
        <v>990</v>
      </c>
      <c r="C1431" s="10" t="s">
        <v>400</v>
      </c>
      <c r="D1431" s="67" t="s">
        <v>2993</v>
      </c>
      <c r="E1431" s="19">
        <v>11</v>
      </c>
      <c r="F1431" s="10" t="s">
        <v>3016</v>
      </c>
      <c r="G1431" s="10" t="s">
        <v>3017</v>
      </c>
      <c r="H1431" s="33" t="s">
        <v>16</v>
      </c>
      <c r="I1431" s="34" t="s">
        <v>378</v>
      </c>
      <c r="J1431" s="60" t="s">
        <v>18</v>
      </c>
      <c r="K1431" s="142" t="s">
        <v>9310</v>
      </c>
      <c r="L1431" s="9" t="s">
        <v>2996</v>
      </c>
      <c r="M1431" s="9" t="s">
        <v>3609</v>
      </c>
      <c r="N1431" s="9" t="s">
        <v>2997</v>
      </c>
      <c r="O1431" s="20" t="str">
        <f>"Evolución de los suscriptores de televisión de pago en la "&amp;Agencia[[#This Row],[territorio]]&amp;", "&amp;Agencia[[#This Row],[temporalidad]]</f>
        <v>Evolución de los suscriptores de televisión de pago en la Región de Aysén, Periodo 2007-2019</v>
      </c>
      <c r="P1431" s="112" t="s">
        <v>5945</v>
      </c>
      <c r="Q1431" s="11" t="s">
        <v>784</v>
      </c>
      <c r="R1431" s="148" t="str">
        <f>Agencia[[#This Row],[territorio]]&amp;",cantidad,número,suscripciones,televisión,pago,regional,región,comuna,evolución,"&amp;Agencia[[#This Row],[coleccion]]&amp;","&amp;Agencia[[#This Row],[sector]]&amp;","&amp;Agencia[[#This Row],[tema]]&amp;","&amp;Agencia[[#This Row],[contenido]]</f>
        <v>Región de Aysén,cantidad,número,suscripciones,televisión,pago,regional,región,comuna,evolución,Agencia Información,Tecnología, Internet y Telecomunicaciones,Televisión de pago,Telecomunicaciones</v>
      </c>
      <c r="S1431" s="54" t="s">
        <v>3029</v>
      </c>
      <c r="T1431" s="107" t="s">
        <v>1847</v>
      </c>
      <c r="U1431" s="46" t="s">
        <v>4325</v>
      </c>
      <c r="V1431" s="93" t="str">
        <f>+Agencia[[#This Row],[idcoleccion]]&amp;"-"&amp;Agencia[[#This Row],[id]]</f>
        <v>990-1420</v>
      </c>
      <c r="W1431" s="93">
        <f>+VLOOKUP(Agencia[[#This Row],[Filtro URL]],Estructura!$X$4:$Y$500,2,0)</f>
        <v>99200011</v>
      </c>
      <c r="X1431" s="93" t="str">
        <f>+VLOOKUP(Agencia[[#This Row],[tema]],Estructura!$A$4:$C$500,3,0)</f>
        <v>T-1054</v>
      </c>
      <c r="Y1431" s="93" t="str">
        <f>+VLOOKUP(Agencia[[#This Row],[contenido]],Estructura!$E$4:$G$500,3,0)</f>
        <v>C-1022</v>
      </c>
      <c r="Z1431" s="93" t="str">
        <f>+VLOOKUP(Agencia[[#This Row],[Filtro Integrado]],Estructura!$I$4:$K$500,3,0)</f>
        <v>FI-991</v>
      </c>
      <c r="AA1431" s="93" t="str">
        <f>+VLOOKUP(Agencia[[#This Row],[Muestra]],Estructura!$M$4:$O$500,3,0)</f>
        <v>M-1096</v>
      </c>
    </row>
    <row r="1432" spans="1:27" ht="61.2" x14ac:dyDescent="0.3">
      <c r="A1432" s="21" t="s">
        <v>2290</v>
      </c>
      <c r="B1432" s="9">
        <v>990</v>
      </c>
      <c r="C1432" s="10" t="s">
        <v>400</v>
      </c>
      <c r="D1432" s="67" t="s">
        <v>2993</v>
      </c>
      <c r="E1432" s="19">
        <v>12</v>
      </c>
      <c r="F1432" s="10" t="s">
        <v>3016</v>
      </c>
      <c r="G1432" s="10" t="s">
        <v>3017</v>
      </c>
      <c r="H1432" s="33" t="s">
        <v>16</v>
      </c>
      <c r="I1432" s="34" t="s">
        <v>379</v>
      </c>
      <c r="J1432" s="60" t="s">
        <v>18</v>
      </c>
      <c r="K1432" s="142" t="s">
        <v>9310</v>
      </c>
      <c r="L1432" s="9" t="s">
        <v>2996</v>
      </c>
      <c r="M1432" s="9" t="s">
        <v>3609</v>
      </c>
      <c r="N1432" s="9" t="s">
        <v>2997</v>
      </c>
      <c r="O1432" s="20" t="str">
        <f>"Evolución de los suscriptores de televisión de pago en la "&amp;Agencia[[#This Row],[territorio]]&amp;", "&amp;Agencia[[#This Row],[temporalidad]]</f>
        <v>Evolución de los suscriptores de televisión de pago en la Región de Magallanes, Periodo 2007-2019</v>
      </c>
      <c r="P1432" s="112" t="s">
        <v>5919</v>
      </c>
      <c r="Q1432" s="11" t="s">
        <v>784</v>
      </c>
      <c r="R1432" s="148" t="str">
        <f>Agencia[[#This Row],[territorio]]&amp;",cantidad,número,suscripciones,televisión,pago,regional,región,comuna,evolución,"&amp;Agencia[[#This Row],[coleccion]]&amp;","&amp;Agencia[[#This Row],[sector]]&amp;","&amp;Agencia[[#This Row],[tema]]&amp;","&amp;Agencia[[#This Row],[contenido]]</f>
        <v>Región de Magallanes,cantidad,número,suscripciones,televisión,pago,regional,región,comuna,evolución,Agencia Información,Tecnología, Internet y Telecomunicaciones,Televisión de pago,Telecomunicaciones</v>
      </c>
      <c r="S1432" s="54" t="s">
        <v>3030</v>
      </c>
      <c r="T1432" s="107" t="s">
        <v>1852</v>
      </c>
      <c r="U1432" s="46" t="s">
        <v>4326</v>
      </c>
      <c r="V1432" s="93" t="str">
        <f>+Agencia[[#This Row],[idcoleccion]]&amp;"-"&amp;Agencia[[#This Row],[id]]</f>
        <v>990-1421</v>
      </c>
      <c r="W1432" s="93">
        <f>+VLOOKUP(Agencia[[#This Row],[Filtro URL]],Estructura!$X$4:$Y$500,2,0)</f>
        <v>99200012</v>
      </c>
      <c r="X1432" s="93" t="str">
        <f>+VLOOKUP(Agencia[[#This Row],[tema]],Estructura!$A$4:$C$500,3,0)</f>
        <v>T-1054</v>
      </c>
      <c r="Y1432" s="93" t="str">
        <f>+VLOOKUP(Agencia[[#This Row],[contenido]],Estructura!$E$4:$G$500,3,0)</f>
        <v>C-1022</v>
      </c>
      <c r="Z1432" s="93" t="str">
        <f>+VLOOKUP(Agencia[[#This Row],[Filtro Integrado]],Estructura!$I$4:$K$500,3,0)</f>
        <v>FI-991</v>
      </c>
      <c r="AA1432" s="93" t="str">
        <f>+VLOOKUP(Agencia[[#This Row],[Muestra]],Estructura!$M$4:$O$500,3,0)</f>
        <v>M-1096</v>
      </c>
    </row>
    <row r="1433" spans="1:27" ht="61.2" x14ac:dyDescent="0.3">
      <c r="A1433" s="21" t="s">
        <v>2293</v>
      </c>
      <c r="B1433" s="9">
        <v>990</v>
      </c>
      <c r="C1433" s="10" t="s">
        <v>400</v>
      </c>
      <c r="D1433" s="67" t="s">
        <v>2993</v>
      </c>
      <c r="E1433" s="19">
        <v>13</v>
      </c>
      <c r="F1433" s="10" t="s">
        <v>3016</v>
      </c>
      <c r="G1433" s="10" t="s">
        <v>3017</v>
      </c>
      <c r="H1433" s="33" t="s">
        <v>16</v>
      </c>
      <c r="I1433" s="34" t="s">
        <v>380</v>
      </c>
      <c r="J1433" s="60" t="s">
        <v>18</v>
      </c>
      <c r="K1433" s="142" t="s">
        <v>9310</v>
      </c>
      <c r="L1433" s="9" t="s">
        <v>2996</v>
      </c>
      <c r="M1433" s="9" t="s">
        <v>3609</v>
      </c>
      <c r="N1433" s="9" t="s">
        <v>2997</v>
      </c>
      <c r="O1433" s="20" t="str">
        <f>"Evolución de los suscriptores de televisión de pago en la "&amp;Agencia[[#This Row],[territorio]]&amp;", "&amp;Agencia[[#This Row],[temporalidad]]</f>
        <v>Evolución de los suscriptores de televisión de pago en la Región Metropolitana, Periodo 2007-2019</v>
      </c>
      <c r="P1433" s="112" t="s">
        <v>5920</v>
      </c>
      <c r="Q1433" s="11" t="s">
        <v>784</v>
      </c>
      <c r="R1433" s="148" t="str">
        <f>Agencia[[#This Row],[territorio]]&amp;",cantidad,número,suscripciones,televisión,pago,regional,región,comuna,evolución,"&amp;Agencia[[#This Row],[coleccion]]&amp;","&amp;Agencia[[#This Row],[sector]]&amp;","&amp;Agencia[[#This Row],[tema]]&amp;","&amp;Agencia[[#This Row],[contenido]]</f>
        <v>Región Metropolitana,cantidad,número,suscripciones,televisión,pago,regional,región,comuna,evolución,Agencia Información,Tecnología, Internet y Telecomunicaciones,Televisión de pago,Telecomunicaciones</v>
      </c>
      <c r="S1433" s="54" t="s">
        <v>3031</v>
      </c>
      <c r="T1433" s="107" t="s">
        <v>1859</v>
      </c>
      <c r="U1433" s="46" t="s">
        <v>4327</v>
      </c>
      <c r="V1433" s="93" t="str">
        <f>+Agencia[[#This Row],[idcoleccion]]&amp;"-"&amp;Agencia[[#This Row],[id]]</f>
        <v>990-1422</v>
      </c>
      <c r="W1433" s="93">
        <f>+VLOOKUP(Agencia[[#This Row],[Filtro URL]],Estructura!$X$4:$Y$500,2,0)</f>
        <v>99200013</v>
      </c>
      <c r="X1433" s="93" t="str">
        <f>+VLOOKUP(Agencia[[#This Row],[tema]],Estructura!$A$4:$C$500,3,0)</f>
        <v>T-1054</v>
      </c>
      <c r="Y1433" s="93" t="str">
        <f>+VLOOKUP(Agencia[[#This Row],[contenido]],Estructura!$E$4:$G$500,3,0)</f>
        <v>C-1022</v>
      </c>
      <c r="Z1433" s="93" t="str">
        <f>+VLOOKUP(Agencia[[#This Row],[Filtro Integrado]],Estructura!$I$4:$K$500,3,0)</f>
        <v>FI-991</v>
      </c>
      <c r="AA1433" s="93" t="str">
        <f>+VLOOKUP(Agencia[[#This Row],[Muestra]],Estructura!$M$4:$O$500,3,0)</f>
        <v>M-1096</v>
      </c>
    </row>
    <row r="1434" spans="1:27" ht="61.2" x14ac:dyDescent="0.3">
      <c r="A1434" s="21" t="s">
        <v>2294</v>
      </c>
      <c r="B1434" s="9">
        <v>990</v>
      </c>
      <c r="C1434" s="10" t="s">
        <v>400</v>
      </c>
      <c r="D1434" s="67" t="s">
        <v>2993</v>
      </c>
      <c r="E1434" s="19">
        <v>14</v>
      </c>
      <c r="F1434" s="10" t="s">
        <v>3016</v>
      </c>
      <c r="G1434" s="10" t="s">
        <v>3017</v>
      </c>
      <c r="H1434" s="33" t="s">
        <v>16</v>
      </c>
      <c r="I1434" s="34" t="s">
        <v>381</v>
      </c>
      <c r="J1434" s="60" t="s">
        <v>18</v>
      </c>
      <c r="K1434" s="142" t="s">
        <v>9310</v>
      </c>
      <c r="L1434" s="9" t="s">
        <v>2996</v>
      </c>
      <c r="M1434" s="9" t="s">
        <v>3609</v>
      </c>
      <c r="N1434" s="9" t="s">
        <v>2997</v>
      </c>
      <c r="O1434" s="20" t="str">
        <f>"Evolución de los suscriptores de televisión de pago en la "&amp;Agencia[[#This Row],[territorio]]&amp;", "&amp;Agencia[[#This Row],[temporalidad]]</f>
        <v>Evolución de los suscriptores de televisión de pago en la Región de Los Ríos, Periodo 2007-2019</v>
      </c>
      <c r="P1434" s="112" t="s">
        <v>5944</v>
      </c>
      <c r="Q1434" s="11" t="s">
        <v>784</v>
      </c>
      <c r="R1434" s="148" t="str">
        <f>Agencia[[#This Row],[territorio]]&amp;",cantidad,número,suscripciones,televisión,pago,regional,región,comuna,evolución,"&amp;Agencia[[#This Row],[coleccion]]&amp;","&amp;Agencia[[#This Row],[sector]]&amp;","&amp;Agencia[[#This Row],[tema]]&amp;","&amp;Agencia[[#This Row],[contenido]]</f>
        <v>Región de Los Ríos,cantidad,número,suscripciones,televisión,pago,regional,región,comuna,evolución,Agencia Información,Tecnología, Internet y Telecomunicaciones,Televisión de pago,Telecomunicaciones</v>
      </c>
      <c r="S1434" s="54" t="s">
        <v>3032</v>
      </c>
      <c r="T1434" s="107" t="s">
        <v>1851</v>
      </c>
      <c r="U1434" s="46" t="s">
        <v>4328</v>
      </c>
      <c r="V1434" s="93" t="str">
        <f>+Agencia[[#This Row],[idcoleccion]]&amp;"-"&amp;Agencia[[#This Row],[id]]</f>
        <v>990-1423</v>
      </c>
      <c r="W1434" s="93">
        <f>+VLOOKUP(Agencia[[#This Row],[Filtro URL]],Estructura!$X$4:$Y$500,2,0)</f>
        <v>99200014</v>
      </c>
      <c r="X1434" s="93" t="str">
        <f>+VLOOKUP(Agencia[[#This Row],[tema]],Estructura!$A$4:$C$500,3,0)</f>
        <v>T-1054</v>
      </c>
      <c r="Y1434" s="93" t="str">
        <f>+VLOOKUP(Agencia[[#This Row],[contenido]],Estructura!$E$4:$G$500,3,0)</f>
        <v>C-1022</v>
      </c>
      <c r="Z1434" s="93" t="str">
        <f>+VLOOKUP(Agencia[[#This Row],[Filtro Integrado]],Estructura!$I$4:$K$500,3,0)</f>
        <v>FI-991</v>
      </c>
      <c r="AA1434" s="93" t="str">
        <f>+VLOOKUP(Agencia[[#This Row],[Muestra]],Estructura!$M$4:$O$500,3,0)</f>
        <v>M-1096</v>
      </c>
    </row>
    <row r="1435" spans="1:27" ht="61.2" x14ac:dyDescent="0.3">
      <c r="A1435" s="21" t="s">
        <v>2295</v>
      </c>
      <c r="B1435" s="9">
        <v>990</v>
      </c>
      <c r="C1435" s="10" t="s">
        <v>400</v>
      </c>
      <c r="D1435" s="67" t="s">
        <v>2993</v>
      </c>
      <c r="E1435" s="19">
        <v>15</v>
      </c>
      <c r="F1435" s="10" t="s">
        <v>3016</v>
      </c>
      <c r="G1435" s="10" t="s">
        <v>3017</v>
      </c>
      <c r="H1435" s="33" t="s">
        <v>16</v>
      </c>
      <c r="I1435" s="34" t="s">
        <v>382</v>
      </c>
      <c r="J1435" s="60" t="s">
        <v>18</v>
      </c>
      <c r="K1435" s="142" t="s">
        <v>9310</v>
      </c>
      <c r="L1435" s="9" t="s">
        <v>2996</v>
      </c>
      <c r="M1435" s="9" t="s">
        <v>3609</v>
      </c>
      <c r="N1435" s="9" t="s">
        <v>2997</v>
      </c>
      <c r="O1435" s="20" t="str">
        <f>"Evolución de los suscriptores de televisión de pago en la "&amp;Agencia[[#This Row],[territorio]]&amp;", "&amp;Agencia[[#This Row],[temporalidad]]</f>
        <v>Evolución de los suscriptores de televisión de pago en la Región de Arica y Parinacota, Periodo 2007-2019</v>
      </c>
      <c r="P1435" s="112" t="s">
        <v>5921</v>
      </c>
      <c r="Q1435" s="11" t="s">
        <v>784</v>
      </c>
      <c r="R1435" s="148" t="str">
        <f>Agencia[[#This Row],[territorio]]&amp;",cantidad,número,suscripciones,televisión,pago,regional,región,comuna,evolución,"&amp;Agencia[[#This Row],[coleccion]]&amp;","&amp;Agencia[[#This Row],[sector]]&amp;","&amp;Agencia[[#This Row],[tema]]&amp;","&amp;Agencia[[#This Row],[contenido]]</f>
        <v>Región de Arica y Parinacota,cantidad,número,suscripciones,televisión,pago,regional,región,comuna,evolución,Agencia Información,Tecnología, Internet y Telecomunicaciones,Televisión de pago,Telecomunicaciones</v>
      </c>
      <c r="S1435" s="54" t="s">
        <v>3033</v>
      </c>
      <c r="T1435" s="107" t="s">
        <v>1845</v>
      </c>
      <c r="U1435" s="46" t="s">
        <v>4329</v>
      </c>
      <c r="V1435" s="93" t="str">
        <f>+Agencia[[#This Row],[idcoleccion]]&amp;"-"&amp;Agencia[[#This Row],[id]]</f>
        <v>990-1424</v>
      </c>
      <c r="W1435" s="93">
        <f>+VLOOKUP(Agencia[[#This Row],[Filtro URL]],Estructura!$X$4:$Y$500,2,0)</f>
        <v>99200015</v>
      </c>
      <c r="X1435" s="93" t="str">
        <f>+VLOOKUP(Agencia[[#This Row],[tema]],Estructura!$A$4:$C$500,3,0)</f>
        <v>T-1054</v>
      </c>
      <c r="Y1435" s="93" t="str">
        <f>+VLOOKUP(Agencia[[#This Row],[contenido]],Estructura!$E$4:$G$500,3,0)</f>
        <v>C-1022</v>
      </c>
      <c r="Z1435" s="93" t="str">
        <f>+VLOOKUP(Agencia[[#This Row],[Filtro Integrado]],Estructura!$I$4:$K$500,3,0)</f>
        <v>FI-991</v>
      </c>
      <c r="AA1435" s="93" t="str">
        <f>+VLOOKUP(Agencia[[#This Row],[Muestra]],Estructura!$M$4:$O$500,3,0)</f>
        <v>M-1096</v>
      </c>
    </row>
    <row r="1436" spans="1:27" ht="61.2" x14ac:dyDescent="0.3">
      <c r="A1436" s="21" t="s">
        <v>2296</v>
      </c>
      <c r="B1436" s="9">
        <v>990</v>
      </c>
      <c r="C1436" s="10" t="s">
        <v>400</v>
      </c>
      <c r="D1436" s="67" t="s">
        <v>2993</v>
      </c>
      <c r="E1436" s="19">
        <v>16</v>
      </c>
      <c r="F1436" s="10" t="s">
        <v>3016</v>
      </c>
      <c r="G1436" s="10" t="s">
        <v>3017</v>
      </c>
      <c r="H1436" s="33" t="s">
        <v>16</v>
      </c>
      <c r="I1436" s="34" t="s">
        <v>383</v>
      </c>
      <c r="J1436" s="60" t="s">
        <v>18</v>
      </c>
      <c r="K1436" s="142" t="s">
        <v>9310</v>
      </c>
      <c r="L1436" s="9" t="s">
        <v>2996</v>
      </c>
      <c r="M1436" s="9" t="s">
        <v>3609</v>
      </c>
      <c r="N1436" s="9" t="s">
        <v>2997</v>
      </c>
      <c r="O1436" s="20" t="str">
        <f>"Evolución de los suscriptores de televisión de pago en la "&amp;Agencia[[#This Row],[territorio]]&amp;", "&amp;Agencia[[#This Row],[temporalidad]]</f>
        <v>Evolución de los suscriptores de televisión de pago en la Región de Ñuble, Periodo 2007-2019</v>
      </c>
      <c r="P1436" s="112" t="s">
        <v>5922</v>
      </c>
      <c r="Q1436" s="11" t="s">
        <v>784</v>
      </c>
      <c r="R1436" s="148" t="str">
        <f>Agencia[[#This Row],[territorio]]&amp;",cantidad,número,suscripciones,televisión,pago,regional,región,comuna,evolución,"&amp;Agencia[[#This Row],[coleccion]]&amp;","&amp;Agencia[[#This Row],[sector]]&amp;","&amp;Agencia[[#This Row],[tema]]&amp;","&amp;Agencia[[#This Row],[contenido]]</f>
        <v>Región de Ñuble,cantidad,número,suscripciones,televisión,pago,regional,región,comuna,evolución,Agencia Información,Tecnología, Internet y Telecomunicaciones,Televisión de pago,Telecomunicaciones</v>
      </c>
      <c r="S1436" s="54" t="s">
        <v>3034</v>
      </c>
      <c r="T1436" s="107" t="s">
        <v>1854</v>
      </c>
      <c r="U1436" s="46" t="s">
        <v>4330</v>
      </c>
      <c r="V1436" s="93" t="str">
        <f>+Agencia[[#This Row],[idcoleccion]]&amp;"-"&amp;Agencia[[#This Row],[id]]</f>
        <v>990-1425</v>
      </c>
      <c r="W1436" s="93">
        <f>+VLOOKUP(Agencia[[#This Row],[Filtro URL]],Estructura!$X$4:$Y$500,2,0)</f>
        <v>99200016</v>
      </c>
      <c r="X1436" s="93" t="str">
        <f>+VLOOKUP(Agencia[[#This Row],[tema]],Estructura!$A$4:$C$500,3,0)</f>
        <v>T-1054</v>
      </c>
      <c r="Y1436" s="93" t="str">
        <f>+VLOOKUP(Agencia[[#This Row],[contenido]],Estructura!$E$4:$G$500,3,0)</f>
        <v>C-1022</v>
      </c>
      <c r="Z1436" s="93" t="str">
        <f>+VLOOKUP(Agencia[[#This Row],[Filtro Integrado]],Estructura!$I$4:$K$500,3,0)</f>
        <v>FI-991</v>
      </c>
      <c r="AA1436" s="93" t="str">
        <f>+VLOOKUP(Agencia[[#This Row],[Muestra]],Estructura!$M$4:$O$500,3,0)</f>
        <v>M-1096</v>
      </c>
    </row>
    <row r="1437" spans="1:27" ht="51" x14ac:dyDescent="0.3">
      <c r="A1437" s="21" t="s">
        <v>2297</v>
      </c>
      <c r="B1437" s="9">
        <v>990</v>
      </c>
      <c r="C1437" s="10" t="s">
        <v>400</v>
      </c>
      <c r="D1437" s="67" t="s">
        <v>2993</v>
      </c>
      <c r="E1437" s="14">
        <v>0</v>
      </c>
      <c r="F1437" s="10" t="s">
        <v>3016</v>
      </c>
      <c r="G1437" s="10" t="s">
        <v>3017</v>
      </c>
      <c r="H1437" s="31" t="s">
        <v>20</v>
      </c>
      <c r="I1437" s="32" t="s">
        <v>15</v>
      </c>
      <c r="J1437" s="60" t="s">
        <v>16</v>
      </c>
      <c r="K1437" s="142" t="s">
        <v>9310</v>
      </c>
      <c r="L1437" s="9" t="s">
        <v>827</v>
      </c>
      <c r="M1437" s="9" t="s">
        <v>3609</v>
      </c>
      <c r="N1437" s="9" t="s">
        <v>2997</v>
      </c>
      <c r="O1437" s="20" t="s">
        <v>3035</v>
      </c>
      <c r="P1437" s="112" t="s">
        <v>5923</v>
      </c>
      <c r="Q1437" s="11" t="s">
        <v>586</v>
      </c>
      <c r="R1437" s="148" t="str">
        <f>Agencia[[#This Row],[territorio]]&amp;",ranking,cantidad,número,suscripciones,televisión,pago,comuna,"&amp;Agencia[[#This Row],[coleccion]]&amp;","&amp;Agencia[[#This Row],[sector]]&amp;","&amp;Agencia[[#This Row],[tema]]&amp;","&amp;Agencia[[#This Row],[contenido]]</f>
        <v>Chile,ranking,cantidad,número,suscripciones,televisión,pago,comuna,Agencia Información,Tecnología, Internet y Telecomunicaciones,Televisión de pago,Telecomunicaciones</v>
      </c>
      <c r="S1437" s="54" t="s">
        <v>3036</v>
      </c>
      <c r="T1437" s="107" t="s">
        <v>957</v>
      </c>
      <c r="U1437" s="46" t="s">
        <v>4331</v>
      </c>
      <c r="V1437" s="93" t="str">
        <f>+Agencia[[#This Row],[idcoleccion]]&amp;"-"&amp;Agencia[[#This Row],[id]]</f>
        <v>990-1426</v>
      </c>
      <c r="W1437" s="93">
        <f>+VLOOKUP(Agencia[[#This Row],[Filtro URL]],Estructura!$X$4:$Y$500,2,0)</f>
        <v>99100000</v>
      </c>
      <c r="X1437" s="93" t="str">
        <f>+VLOOKUP(Agencia[[#This Row],[tema]],Estructura!$A$4:$C$500,3,0)</f>
        <v>T-1054</v>
      </c>
      <c r="Y1437" s="93" t="str">
        <f>+VLOOKUP(Agencia[[#This Row],[contenido]],Estructura!$E$4:$G$500,3,0)</f>
        <v>C-1022</v>
      </c>
      <c r="Z1437" s="93" t="str">
        <f>+VLOOKUP(Agencia[[#This Row],[Filtro Integrado]],Estructura!$I$4:$K$500,3,0)</f>
        <v>FI-992</v>
      </c>
      <c r="AA1437" s="93" t="str">
        <f>+VLOOKUP(Agencia[[#This Row],[Muestra]],Estructura!$M$4:$O$500,3,0)</f>
        <v>M-1096</v>
      </c>
    </row>
    <row r="1438" spans="1:27" ht="61.2" x14ac:dyDescent="0.3">
      <c r="A1438" s="21" t="s">
        <v>2298</v>
      </c>
      <c r="B1438" s="9">
        <v>990</v>
      </c>
      <c r="C1438" s="10" t="s">
        <v>400</v>
      </c>
      <c r="D1438" s="67" t="s">
        <v>2993</v>
      </c>
      <c r="E1438" s="19">
        <v>1</v>
      </c>
      <c r="F1438" s="10" t="s">
        <v>3016</v>
      </c>
      <c r="G1438" s="10" t="s">
        <v>3017</v>
      </c>
      <c r="H1438" s="33" t="s">
        <v>16</v>
      </c>
      <c r="I1438" s="34" t="s">
        <v>368</v>
      </c>
      <c r="J1438" s="60" t="s">
        <v>403</v>
      </c>
      <c r="K1438" s="142" t="s">
        <v>9310</v>
      </c>
      <c r="L1438" s="9" t="s">
        <v>827</v>
      </c>
      <c r="M1438" s="9" t="s">
        <v>3609</v>
      </c>
      <c r="N1438" s="9" t="s">
        <v>2997</v>
      </c>
      <c r="O1438" s="20" t="s">
        <v>3037</v>
      </c>
      <c r="P1438" s="112" t="s">
        <v>5924</v>
      </c>
      <c r="Q1438" s="11" t="s">
        <v>586</v>
      </c>
      <c r="R1438" s="148" t="str">
        <f>Agencia[[#This Row],[territorio]]&amp;",ranking,cantidad,número,suscripciones,televisión,pago,comuna,"&amp;Agencia[[#This Row],[coleccion]]&amp;","&amp;Agencia[[#This Row],[sector]]&amp;","&amp;Agencia[[#This Row],[tema]]&amp;","&amp;Agencia[[#This Row],[contenido]]</f>
        <v>Región de Tarapacá,ranking,cantidad,número,suscripciones,televisión,pago,comuna,Agencia Información,Tecnología, Internet y Telecomunicaciones,Televisión de pago,Telecomunicaciones</v>
      </c>
      <c r="S1438" s="54" t="s">
        <v>3038</v>
      </c>
      <c r="T1438" s="107" t="s">
        <v>1856</v>
      </c>
      <c r="U1438" s="46" t="s">
        <v>4332</v>
      </c>
      <c r="V1438" s="93" t="str">
        <f>+Agencia[[#This Row],[idcoleccion]]&amp;"-"&amp;Agencia[[#This Row],[id]]</f>
        <v>990-1427</v>
      </c>
      <c r="W1438" s="93">
        <f>+VLOOKUP(Agencia[[#This Row],[Filtro URL]],Estructura!$X$4:$Y$500,2,0)</f>
        <v>99200001</v>
      </c>
      <c r="X1438" s="93" t="str">
        <f>+VLOOKUP(Agencia[[#This Row],[tema]],Estructura!$A$4:$C$500,3,0)</f>
        <v>T-1054</v>
      </c>
      <c r="Y1438" s="93" t="str">
        <f>+VLOOKUP(Agencia[[#This Row],[contenido]],Estructura!$E$4:$G$500,3,0)</f>
        <v>C-1022</v>
      </c>
      <c r="Z1438" s="93" t="str">
        <f>+VLOOKUP(Agencia[[#This Row],[Filtro Integrado]],Estructura!$I$4:$K$500,3,0)</f>
        <v>FI-993</v>
      </c>
      <c r="AA1438" s="93" t="str">
        <f>+VLOOKUP(Agencia[[#This Row],[Muestra]],Estructura!$M$4:$O$500,3,0)</f>
        <v>M-1096</v>
      </c>
    </row>
    <row r="1439" spans="1:27" ht="61.2" x14ac:dyDescent="0.3">
      <c r="A1439" s="21" t="s">
        <v>2299</v>
      </c>
      <c r="B1439" s="9">
        <v>990</v>
      </c>
      <c r="C1439" s="10" t="s">
        <v>400</v>
      </c>
      <c r="D1439" s="67" t="s">
        <v>2993</v>
      </c>
      <c r="E1439" s="19">
        <v>2</v>
      </c>
      <c r="F1439" s="10" t="s">
        <v>3016</v>
      </c>
      <c r="G1439" s="10" t="s">
        <v>3017</v>
      </c>
      <c r="H1439" s="33" t="s">
        <v>16</v>
      </c>
      <c r="I1439" s="34" t="s">
        <v>369</v>
      </c>
      <c r="J1439" s="60" t="s">
        <v>403</v>
      </c>
      <c r="K1439" s="142" t="s">
        <v>9310</v>
      </c>
      <c r="L1439" s="9" t="s">
        <v>827</v>
      </c>
      <c r="M1439" s="9" t="s">
        <v>3609</v>
      </c>
      <c r="N1439" s="9" t="s">
        <v>2997</v>
      </c>
      <c r="O1439" s="20" t="s">
        <v>3039</v>
      </c>
      <c r="P1439" s="112" t="s">
        <v>5925</v>
      </c>
      <c r="Q1439" s="11" t="s">
        <v>586</v>
      </c>
      <c r="R1439" s="148" t="str">
        <f>Agencia[[#This Row],[territorio]]&amp;",ranking,cantidad,número,suscripciones,televisión,pago,comuna,"&amp;Agencia[[#This Row],[coleccion]]&amp;","&amp;Agencia[[#This Row],[sector]]&amp;","&amp;Agencia[[#This Row],[tema]]&amp;","&amp;Agencia[[#This Row],[contenido]]</f>
        <v>Región de Antofagasta,ranking,cantidad,número,suscripciones,televisión,pago,comuna,Agencia Información,Tecnología, Internet y Telecomunicaciones,Televisión de pago,Telecomunicaciones</v>
      </c>
      <c r="S1439" s="54" t="s">
        <v>3040</v>
      </c>
      <c r="T1439" s="107" t="s">
        <v>1844</v>
      </c>
      <c r="U1439" s="46" t="s">
        <v>4333</v>
      </c>
      <c r="V1439" s="93" t="str">
        <f>+Agencia[[#This Row],[idcoleccion]]&amp;"-"&amp;Agencia[[#This Row],[id]]</f>
        <v>990-1428</v>
      </c>
      <c r="W1439" s="93">
        <f>+VLOOKUP(Agencia[[#This Row],[Filtro URL]],Estructura!$X$4:$Y$500,2,0)</f>
        <v>99200002</v>
      </c>
      <c r="X1439" s="93" t="str">
        <f>+VLOOKUP(Agencia[[#This Row],[tema]],Estructura!$A$4:$C$500,3,0)</f>
        <v>T-1054</v>
      </c>
      <c r="Y1439" s="93" t="str">
        <f>+VLOOKUP(Agencia[[#This Row],[contenido]],Estructura!$E$4:$G$500,3,0)</f>
        <v>C-1022</v>
      </c>
      <c r="Z1439" s="93" t="str">
        <f>+VLOOKUP(Agencia[[#This Row],[Filtro Integrado]],Estructura!$I$4:$K$500,3,0)</f>
        <v>FI-993</v>
      </c>
      <c r="AA1439" s="93" t="str">
        <f>+VLOOKUP(Agencia[[#This Row],[Muestra]],Estructura!$M$4:$O$500,3,0)</f>
        <v>M-1096</v>
      </c>
    </row>
    <row r="1440" spans="1:27" ht="61.2" x14ac:dyDescent="0.3">
      <c r="A1440" s="21" t="s">
        <v>2300</v>
      </c>
      <c r="B1440" s="9">
        <v>990</v>
      </c>
      <c r="C1440" s="10" t="s">
        <v>400</v>
      </c>
      <c r="D1440" s="67" t="s">
        <v>2993</v>
      </c>
      <c r="E1440" s="19">
        <v>3</v>
      </c>
      <c r="F1440" s="10" t="s">
        <v>3016</v>
      </c>
      <c r="G1440" s="10" t="s">
        <v>3017</v>
      </c>
      <c r="H1440" s="33" t="s">
        <v>16</v>
      </c>
      <c r="I1440" s="34" t="s">
        <v>370</v>
      </c>
      <c r="J1440" s="60" t="s">
        <v>403</v>
      </c>
      <c r="K1440" s="142" t="s">
        <v>9310</v>
      </c>
      <c r="L1440" s="9" t="s">
        <v>827</v>
      </c>
      <c r="M1440" s="9" t="s">
        <v>3609</v>
      </c>
      <c r="N1440" s="9" t="s">
        <v>2997</v>
      </c>
      <c r="O1440" s="20" t="s">
        <v>3041</v>
      </c>
      <c r="P1440" s="112" t="s">
        <v>5926</v>
      </c>
      <c r="Q1440" s="11" t="s">
        <v>586</v>
      </c>
      <c r="R1440" s="148" t="str">
        <f>Agencia[[#This Row],[territorio]]&amp;",ranking,cantidad,número,suscripciones,televisión,pago,comuna,"&amp;Agencia[[#This Row],[coleccion]]&amp;","&amp;Agencia[[#This Row],[sector]]&amp;","&amp;Agencia[[#This Row],[tema]]&amp;","&amp;Agencia[[#This Row],[contenido]]</f>
        <v>Región de Atacama,ranking,cantidad,número,suscripciones,televisión,pago,comuna,Agencia Información,Tecnología, Internet y Telecomunicaciones,Televisión de pago,Telecomunicaciones</v>
      </c>
      <c r="S1440" s="54" t="s">
        <v>3042</v>
      </c>
      <c r="T1440" s="107" t="s">
        <v>1846</v>
      </c>
      <c r="U1440" s="46" t="s">
        <v>4334</v>
      </c>
      <c r="V1440" s="93" t="str">
        <f>+Agencia[[#This Row],[idcoleccion]]&amp;"-"&amp;Agencia[[#This Row],[id]]</f>
        <v>990-1429</v>
      </c>
      <c r="W1440" s="93">
        <f>+VLOOKUP(Agencia[[#This Row],[Filtro URL]],Estructura!$X$4:$Y$500,2,0)</f>
        <v>99200003</v>
      </c>
      <c r="X1440" s="93" t="str">
        <f>+VLOOKUP(Agencia[[#This Row],[tema]],Estructura!$A$4:$C$500,3,0)</f>
        <v>T-1054</v>
      </c>
      <c r="Y1440" s="93" t="str">
        <f>+VLOOKUP(Agencia[[#This Row],[contenido]],Estructura!$E$4:$G$500,3,0)</f>
        <v>C-1022</v>
      </c>
      <c r="Z1440" s="93" t="str">
        <f>+VLOOKUP(Agencia[[#This Row],[Filtro Integrado]],Estructura!$I$4:$K$500,3,0)</f>
        <v>FI-993</v>
      </c>
      <c r="AA1440" s="93" t="str">
        <f>+VLOOKUP(Agencia[[#This Row],[Muestra]],Estructura!$M$4:$O$500,3,0)</f>
        <v>M-1096</v>
      </c>
    </row>
    <row r="1441" spans="1:27" ht="61.2" x14ac:dyDescent="0.3">
      <c r="A1441" s="21" t="s">
        <v>2301</v>
      </c>
      <c r="B1441" s="9">
        <v>990</v>
      </c>
      <c r="C1441" s="10" t="s">
        <v>400</v>
      </c>
      <c r="D1441" s="67" t="s">
        <v>2993</v>
      </c>
      <c r="E1441" s="19">
        <v>4</v>
      </c>
      <c r="F1441" s="10" t="s">
        <v>3016</v>
      </c>
      <c r="G1441" s="10" t="s">
        <v>3017</v>
      </c>
      <c r="H1441" s="33" t="s">
        <v>16</v>
      </c>
      <c r="I1441" s="34" t="s">
        <v>371</v>
      </c>
      <c r="J1441" s="60" t="s">
        <v>403</v>
      </c>
      <c r="K1441" s="142" t="s">
        <v>9310</v>
      </c>
      <c r="L1441" s="9" t="s">
        <v>827</v>
      </c>
      <c r="M1441" s="9" t="s">
        <v>3609</v>
      </c>
      <c r="N1441" s="9" t="s">
        <v>2997</v>
      </c>
      <c r="O1441" s="20" t="s">
        <v>3043</v>
      </c>
      <c r="P1441" s="112" t="s">
        <v>5927</v>
      </c>
      <c r="Q1441" s="11" t="s">
        <v>586</v>
      </c>
      <c r="R1441" s="148" t="str">
        <f>Agencia[[#This Row],[territorio]]&amp;",ranking,cantidad,número,suscripciones,televisión,pago,comuna,"&amp;Agencia[[#This Row],[coleccion]]&amp;","&amp;Agencia[[#This Row],[sector]]&amp;","&amp;Agencia[[#This Row],[tema]]&amp;","&amp;Agencia[[#This Row],[contenido]]</f>
        <v>Región de Coquimbo,ranking,cantidad,número,suscripciones,televisión,pago,comuna,Agencia Información,Tecnología, Internet y Telecomunicaciones,Televisión de pago,Telecomunicaciones</v>
      </c>
      <c r="S1441" s="54" t="s">
        <v>3044</v>
      </c>
      <c r="T1441" s="107" t="s">
        <v>1848</v>
      </c>
      <c r="U1441" s="46" t="s">
        <v>4335</v>
      </c>
      <c r="V1441" s="93" t="str">
        <f>+Agencia[[#This Row],[idcoleccion]]&amp;"-"&amp;Agencia[[#This Row],[id]]</f>
        <v>990-1430</v>
      </c>
      <c r="W1441" s="93">
        <f>+VLOOKUP(Agencia[[#This Row],[Filtro URL]],Estructura!$X$4:$Y$500,2,0)</f>
        <v>99200004</v>
      </c>
      <c r="X1441" s="93" t="str">
        <f>+VLOOKUP(Agencia[[#This Row],[tema]],Estructura!$A$4:$C$500,3,0)</f>
        <v>T-1054</v>
      </c>
      <c r="Y1441" s="93" t="str">
        <f>+VLOOKUP(Agencia[[#This Row],[contenido]],Estructura!$E$4:$G$500,3,0)</f>
        <v>C-1022</v>
      </c>
      <c r="Z1441" s="93" t="str">
        <f>+VLOOKUP(Agencia[[#This Row],[Filtro Integrado]],Estructura!$I$4:$K$500,3,0)</f>
        <v>FI-993</v>
      </c>
      <c r="AA1441" s="93" t="str">
        <f>+VLOOKUP(Agencia[[#This Row],[Muestra]],Estructura!$M$4:$O$500,3,0)</f>
        <v>M-1096</v>
      </c>
    </row>
    <row r="1442" spans="1:27" ht="61.2" x14ac:dyDescent="0.3">
      <c r="A1442" s="21" t="s">
        <v>2302</v>
      </c>
      <c r="B1442" s="9">
        <v>990</v>
      </c>
      <c r="C1442" s="10" t="s">
        <v>400</v>
      </c>
      <c r="D1442" s="67" t="s">
        <v>2993</v>
      </c>
      <c r="E1442" s="19">
        <v>5</v>
      </c>
      <c r="F1442" s="10" t="s">
        <v>3016</v>
      </c>
      <c r="G1442" s="10" t="s">
        <v>3017</v>
      </c>
      <c r="H1442" s="33" t="s">
        <v>16</v>
      </c>
      <c r="I1442" s="34" t="s">
        <v>372</v>
      </c>
      <c r="J1442" s="60" t="s">
        <v>403</v>
      </c>
      <c r="K1442" s="142" t="s">
        <v>9310</v>
      </c>
      <c r="L1442" s="9" t="s">
        <v>827</v>
      </c>
      <c r="M1442" s="9" t="s">
        <v>3609</v>
      </c>
      <c r="N1442" s="9" t="s">
        <v>2997</v>
      </c>
      <c r="O1442" s="20" t="s">
        <v>3045</v>
      </c>
      <c r="P1442" s="112" t="s">
        <v>5928</v>
      </c>
      <c r="Q1442" s="11" t="s">
        <v>586</v>
      </c>
      <c r="R1442" s="148" t="str">
        <f>Agencia[[#This Row],[territorio]]&amp;",ranking,cantidad,número,suscripciones,televisión,pago,comuna,"&amp;Agencia[[#This Row],[coleccion]]&amp;","&amp;Agencia[[#This Row],[sector]]&amp;","&amp;Agencia[[#This Row],[tema]]&amp;","&amp;Agencia[[#This Row],[contenido]]</f>
        <v>Región de Valparaíso,ranking,cantidad,número,suscripciones,televisión,pago,comuna,Agencia Información,Tecnología, Internet y Telecomunicaciones,Televisión de pago,Telecomunicaciones</v>
      </c>
      <c r="S1442" s="54" t="s">
        <v>3046</v>
      </c>
      <c r="T1442" s="107" t="s">
        <v>1857</v>
      </c>
      <c r="U1442" s="46" t="s">
        <v>4336</v>
      </c>
      <c r="V1442" s="93" t="str">
        <f>+Agencia[[#This Row],[idcoleccion]]&amp;"-"&amp;Agencia[[#This Row],[id]]</f>
        <v>990-1431</v>
      </c>
      <c r="W1442" s="93">
        <f>+VLOOKUP(Agencia[[#This Row],[Filtro URL]],Estructura!$X$4:$Y$500,2,0)</f>
        <v>99200005</v>
      </c>
      <c r="X1442" s="93" t="str">
        <f>+VLOOKUP(Agencia[[#This Row],[tema]],Estructura!$A$4:$C$500,3,0)</f>
        <v>T-1054</v>
      </c>
      <c r="Y1442" s="93" t="str">
        <f>+VLOOKUP(Agencia[[#This Row],[contenido]],Estructura!$E$4:$G$500,3,0)</f>
        <v>C-1022</v>
      </c>
      <c r="Z1442" s="93" t="str">
        <f>+VLOOKUP(Agencia[[#This Row],[Filtro Integrado]],Estructura!$I$4:$K$500,3,0)</f>
        <v>FI-993</v>
      </c>
      <c r="AA1442" s="93" t="str">
        <f>+VLOOKUP(Agencia[[#This Row],[Muestra]],Estructura!$M$4:$O$500,3,0)</f>
        <v>M-1096</v>
      </c>
    </row>
    <row r="1443" spans="1:27" ht="61.2" x14ac:dyDescent="0.3">
      <c r="A1443" s="21" t="s">
        <v>2303</v>
      </c>
      <c r="B1443" s="9">
        <v>990</v>
      </c>
      <c r="C1443" s="10" t="s">
        <v>400</v>
      </c>
      <c r="D1443" s="67" t="s">
        <v>2993</v>
      </c>
      <c r="E1443" s="19">
        <v>6</v>
      </c>
      <c r="F1443" s="10" t="s">
        <v>3016</v>
      </c>
      <c r="G1443" s="10" t="s">
        <v>3017</v>
      </c>
      <c r="H1443" s="33" t="s">
        <v>16</v>
      </c>
      <c r="I1443" s="34" t="s">
        <v>373</v>
      </c>
      <c r="J1443" s="60" t="s">
        <v>403</v>
      </c>
      <c r="K1443" s="142" t="s">
        <v>9310</v>
      </c>
      <c r="L1443" s="9" t="s">
        <v>827</v>
      </c>
      <c r="M1443" s="9" t="s">
        <v>3609</v>
      </c>
      <c r="N1443" s="9" t="s">
        <v>2997</v>
      </c>
      <c r="O1443" s="20" t="s">
        <v>3047</v>
      </c>
      <c r="P1443" s="112" t="s">
        <v>5929</v>
      </c>
      <c r="Q1443" s="11" t="s">
        <v>586</v>
      </c>
      <c r="R1443" s="148" t="str">
        <f>Agencia[[#This Row],[territorio]]&amp;",ranking,cantidad,número,suscripciones,televisión,pago,comuna,"&amp;Agencia[[#This Row],[coleccion]]&amp;","&amp;Agencia[[#This Row],[sector]]&amp;","&amp;Agencia[[#This Row],[tema]]&amp;","&amp;Agencia[[#This Row],[contenido]]</f>
        <v>Región de O'Higgins,ranking,cantidad,número,suscripciones,televisión,pago,comuna,Agencia Información,Tecnología, Internet y Telecomunicaciones,Televisión de pago,Telecomunicaciones</v>
      </c>
      <c r="S1443" s="54" t="s">
        <v>3048</v>
      </c>
      <c r="T1443" s="107" t="s">
        <v>1855</v>
      </c>
      <c r="U1443" s="46" t="s">
        <v>4337</v>
      </c>
      <c r="V1443" s="93" t="str">
        <f>+Agencia[[#This Row],[idcoleccion]]&amp;"-"&amp;Agencia[[#This Row],[id]]</f>
        <v>990-1432</v>
      </c>
      <c r="W1443" s="93">
        <f>+VLOOKUP(Agencia[[#This Row],[Filtro URL]],Estructura!$X$4:$Y$500,2,0)</f>
        <v>99200006</v>
      </c>
      <c r="X1443" s="93" t="str">
        <f>+VLOOKUP(Agencia[[#This Row],[tema]],Estructura!$A$4:$C$500,3,0)</f>
        <v>T-1054</v>
      </c>
      <c r="Y1443" s="93" t="str">
        <f>+VLOOKUP(Agencia[[#This Row],[contenido]],Estructura!$E$4:$G$500,3,0)</f>
        <v>C-1022</v>
      </c>
      <c r="Z1443" s="93" t="str">
        <f>+VLOOKUP(Agencia[[#This Row],[Filtro Integrado]],Estructura!$I$4:$K$500,3,0)</f>
        <v>FI-993</v>
      </c>
      <c r="AA1443" s="93" t="str">
        <f>+VLOOKUP(Agencia[[#This Row],[Muestra]],Estructura!$M$4:$O$500,3,0)</f>
        <v>M-1096</v>
      </c>
    </row>
    <row r="1444" spans="1:27" ht="61.2" x14ac:dyDescent="0.3">
      <c r="A1444" s="21" t="s">
        <v>2304</v>
      </c>
      <c r="B1444" s="9">
        <v>990</v>
      </c>
      <c r="C1444" s="10" t="s">
        <v>400</v>
      </c>
      <c r="D1444" s="67" t="s">
        <v>2993</v>
      </c>
      <c r="E1444" s="19">
        <v>7</v>
      </c>
      <c r="F1444" s="10" t="s">
        <v>3016</v>
      </c>
      <c r="G1444" s="10" t="s">
        <v>3017</v>
      </c>
      <c r="H1444" s="33" t="s">
        <v>16</v>
      </c>
      <c r="I1444" s="34" t="s">
        <v>374</v>
      </c>
      <c r="J1444" s="60" t="s">
        <v>403</v>
      </c>
      <c r="K1444" s="142" t="s">
        <v>9310</v>
      </c>
      <c r="L1444" s="9" t="s">
        <v>827</v>
      </c>
      <c r="M1444" s="9" t="s">
        <v>3609</v>
      </c>
      <c r="N1444" s="9" t="s">
        <v>2997</v>
      </c>
      <c r="O1444" s="20" t="s">
        <v>3049</v>
      </c>
      <c r="P1444" s="112" t="s">
        <v>5930</v>
      </c>
      <c r="Q1444" s="11" t="s">
        <v>586</v>
      </c>
      <c r="R1444" s="148" t="str">
        <f>Agencia[[#This Row],[territorio]]&amp;",ranking,cantidad,número,suscripciones,televisión,pago,comuna,"&amp;Agencia[[#This Row],[coleccion]]&amp;","&amp;Agencia[[#This Row],[sector]]&amp;","&amp;Agencia[[#This Row],[tema]]&amp;","&amp;Agencia[[#This Row],[contenido]]</f>
        <v>Región de Maule,ranking,cantidad,número,suscripciones,televisión,pago,comuna,Agencia Información,Tecnología, Internet y Telecomunicaciones,Televisión de pago,Telecomunicaciones</v>
      </c>
      <c r="S1444" s="54" t="s">
        <v>3050</v>
      </c>
      <c r="T1444" s="107" t="s">
        <v>1853</v>
      </c>
      <c r="U1444" s="46" t="s">
        <v>4338</v>
      </c>
      <c r="V1444" s="93" t="str">
        <f>+Agencia[[#This Row],[idcoleccion]]&amp;"-"&amp;Agencia[[#This Row],[id]]</f>
        <v>990-1433</v>
      </c>
      <c r="W1444" s="93">
        <f>+VLOOKUP(Agencia[[#This Row],[Filtro URL]],Estructura!$X$4:$Y$500,2,0)</f>
        <v>99200007</v>
      </c>
      <c r="X1444" s="93" t="str">
        <f>+VLOOKUP(Agencia[[#This Row],[tema]],Estructura!$A$4:$C$500,3,0)</f>
        <v>T-1054</v>
      </c>
      <c r="Y1444" s="93" t="str">
        <f>+VLOOKUP(Agencia[[#This Row],[contenido]],Estructura!$E$4:$G$500,3,0)</f>
        <v>C-1022</v>
      </c>
      <c r="Z1444" s="93" t="str">
        <f>+VLOOKUP(Agencia[[#This Row],[Filtro Integrado]],Estructura!$I$4:$K$500,3,0)</f>
        <v>FI-993</v>
      </c>
      <c r="AA1444" s="93" t="str">
        <f>+VLOOKUP(Agencia[[#This Row],[Muestra]],Estructura!$M$4:$O$500,3,0)</f>
        <v>M-1096</v>
      </c>
    </row>
    <row r="1445" spans="1:27" ht="61.2" x14ac:dyDescent="0.3">
      <c r="A1445" s="21" t="s">
        <v>2305</v>
      </c>
      <c r="B1445" s="9">
        <v>990</v>
      </c>
      <c r="C1445" s="10" t="s">
        <v>400</v>
      </c>
      <c r="D1445" s="67" t="s">
        <v>2993</v>
      </c>
      <c r="E1445" s="19">
        <v>8</v>
      </c>
      <c r="F1445" s="10" t="s">
        <v>3016</v>
      </c>
      <c r="G1445" s="10" t="s">
        <v>3017</v>
      </c>
      <c r="H1445" s="33" t="s">
        <v>16</v>
      </c>
      <c r="I1445" s="34" t="s">
        <v>375</v>
      </c>
      <c r="J1445" s="60" t="s">
        <v>403</v>
      </c>
      <c r="K1445" s="142" t="s">
        <v>9310</v>
      </c>
      <c r="L1445" s="9" t="s">
        <v>827</v>
      </c>
      <c r="M1445" s="9" t="s">
        <v>3609</v>
      </c>
      <c r="N1445" s="9" t="s">
        <v>2997</v>
      </c>
      <c r="O1445" s="20" t="s">
        <v>3051</v>
      </c>
      <c r="P1445" s="112" t="s">
        <v>5931</v>
      </c>
      <c r="Q1445" s="11" t="s">
        <v>586</v>
      </c>
      <c r="R1445" s="20" t="str">
        <f>Agencia[[#This Row],[territorio]]&amp;",ranking,cantidad,número,suscripciones,televisión,pago,comuna,"&amp;Agencia[[#This Row],[coleccion]]&amp;","&amp;Agencia[[#This Row],[sector]]&amp;","&amp;Agencia[[#This Row],[tema]]&amp;","&amp;Agencia[[#This Row],[contenido]]</f>
        <v>Región del Biobío,ranking,cantidad,número,suscripciones,televisión,pago,comuna,Agencia Información,Tecnología, Internet y Telecomunicaciones,Televisión de pago,Telecomunicaciones</v>
      </c>
      <c r="S1445" s="54" t="s">
        <v>3052</v>
      </c>
      <c r="T1445" s="107" t="s">
        <v>1858</v>
      </c>
      <c r="U1445" s="46" t="s">
        <v>4339</v>
      </c>
      <c r="V1445" s="93" t="str">
        <f>+Agencia[[#This Row],[idcoleccion]]&amp;"-"&amp;Agencia[[#This Row],[id]]</f>
        <v>990-1434</v>
      </c>
      <c r="W1445" s="93">
        <f>+VLOOKUP(Agencia[[#This Row],[Filtro URL]],Estructura!$X$4:$Y$500,2,0)</f>
        <v>99200008</v>
      </c>
      <c r="X1445" s="93" t="str">
        <f>+VLOOKUP(Agencia[[#This Row],[tema]],Estructura!$A$4:$C$500,3,0)</f>
        <v>T-1054</v>
      </c>
      <c r="Y1445" s="93" t="str">
        <f>+VLOOKUP(Agencia[[#This Row],[contenido]],Estructura!$E$4:$G$500,3,0)</f>
        <v>C-1022</v>
      </c>
      <c r="Z1445" s="93" t="str">
        <f>+VLOOKUP(Agencia[[#This Row],[Filtro Integrado]],Estructura!$I$4:$K$500,3,0)</f>
        <v>FI-993</v>
      </c>
      <c r="AA1445" s="93" t="str">
        <f>+VLOOKUP(Agencia[[#This Row],[Muestra]],Estructura!$M$4:$O$500,3,0)</f>
        <v>M-1096</v>
      </c>
    </row>
    <row r="1446" spans="1:27" ht="61.2" x14ac:dyDescent="0.3">
      <c r="A1446" s="21" t="s">
        <v>2306</v>
      </c>
      <c r="B1446" s="9">
        <v>990</v>
      </c>
      <c r="C1446" s="10" t="s">
        <v>400</v>
      </c>
      <c r="D1446" s="67" t="s">
        <v>2993</v>
      </c>
      <c r="E1446" s="19">
        <v>9</v>
      </c>
      <c r="F1446" s="10" t="s">
        <v>3016</v>
      </c>
      <c r="G1446" s="10" t="s">
        <v>3017</v>
      </c>
      <c r="H1446" s="33" t="s">
        <v>16</v>
      </c>
      <c r="I1446" s="34" t="s">
        <v>376</v>
      </c>
      <c r="J1446" s="60" t="s">
        <v>403</v>
      </c>
      <c r="K1446" s="142" t="s">
        <v>9310</v>
      </c>
      <c r="L1446" s="9" t="s">
        <v>827</v>
      </c>
      <c r="M1446" s="9" t="s">
        <v>3609</v>
      </c>
      <c r="N1446" s="9" t="s">
        <v>2997</v>
      </c>
      <c r="O1446" s="20" t="s">
        <v>3053</v>
      </c>
      <c r="P1446" s="112" t="s">
        <v>5932</v>
      </c>
      <c r="Q1446" s="11" t="s">
        <v>586</v>
      </c>
      <c r="R1446" s="148" t="str">
        <f>Agencia[[#This Row],[territorio]]&amp;",ranking,cantidad,número,suscripciones,televisión,pago,comuna,"&amp;Agencia[[#This Row],[coleccion]]&amp;","&amp;Agencia[[#This Row],[sector]]&amp;","&amp;Agencia[[#This Row],[tema]]&amp;","&amp;Agencia[[#This Row],[contenido]]</f>
        <v>Región de La Araucanía,ranking,cantidad,número,suscripciones,televisión,pago,comuna,Agencia Información,Tecnología, Internet y Telecomunicaciones,Televisión de pago,Telecomunicaciones</v>
      </c>
      <c r="S1446" s="54" t="s">
        <v>3054</v>
      </c>
      <c r="T1446" s="107" t="s">
        <v>1849</v>
      </c>
      <c r="U1446" s="46" t="s">
        <v>4340</v>
      </c>
      <c r="V1446" s="93" t="str">
        <f>+Agencia[[#This Row],[idcoleccion]]&amp;"-"&amp;Agencia[[#This Row],[id]]</f>
        <v>990-1435</v>
      </c>
      <c r="W1446" s="93">
        <f>+VLOOKUP(Agencia[[#This Row],[Filtro URL]],Estructura!$X$4:$Y$500,2,0)</f>
        <v>99200009</v>
      </c>
      <c r="X1446" s="93" t="str">
        <f>+VLOOKUP(Agencia[[#This Row],[tema]],Estructura!$A$4:$C$500,3,0)</f>
        <v>T-1054</v>
      </c>
      <c r="Y1446" s="93" t="str">
        <f>+VLOOKUP(Agencia[[#This Row],[contenido]],Estructura!$E$4:$G$500,3,0)</f>
        <v>C-1022</v>
      </c>
      <c r="Z1446" s="93" t="str">
        <f>+VLOOKUP(Agencia[[#This Row],[Filtro Integrado]],Estructura!$I$4:$K$500,3,0)</f>
        <v>FI-993</v>
      </c>
      <c r="AA1446" s="93" t="str">
        <f>+VLOOKUP(Agencia[[#This Row],[Muestra]],Estructura!$M$4:$O$500,3,0)</f>
        <v>M-1096</v>
      </c>
    </row>
    <row r="1447" spans="1:27" ht="61.2" x14ac:dyDescent="0.3">
      <c r="A1447" s="21" t="s">
        <v>2307</v>
      </c>
      <c r="B1447" s="9">
        <v>990</v>
      </c>
      <c r="C1447" s="10" t="s">
        <v>400</v>
      </c>
      <c r="D1447" s="67" t="s">
        <v>2993</v>
      </c>
      <c r="E1447" s="19">
        <v>10</v>
      </c>
      <c r="F1447" s="10" t="s">
        <v>3016</v>
      </c>
      <c r="G1447" s="10" t="s">
        <v>3017</v>
      </c>
      <c r="H1447" s="33" t="s">
        <v>16</v>
      </c>
      <c r="I1447" s="34" t="s">
        <v>377</v>
      </c>
      <c r="J1447" s="60" t="s">
        <v>403</v>
      </c>
      <c r="K1447" s="142" t="s">
        <v>9310</v>
      </c>
      <c r="L1447" s="9" t="s">
        <v>827</v>
      </c>
      <c r="M1447" s="9" t="s">
        <v>3609</v>
      </c>
      <c r="N1447" s="9" t="s">
        <v>2997</v>
      </c>
      <c r="O1447" s="20" t="s">
        <v>3055</v>
      </c>
      <c r="P1447" s="112" t="s">
        <v>5933</v>
      </c>
      <c r="Q1447" s="11" t="s">
        <v>586</v>
      </c>
      <c r="R1447" s="148" t="str">
        <f>Agencia[[#This Row],[territorio]]&amp;",ranking,cantidad,número,suscripciones,televisión,pago,comuna,"&amp;Agencia[[#This Row],[coleccion]]&amp;","&amp;Agencia[[#This Row],[sector]]&amp;","&amp;Agencia[[#This Row],[tema]]&amp;","&amp;Agencia[[#This Row],[contenido]]</f>
        <v>Región de Los Lagos,ranking,cantidad,número,suscripciones,televisión,pago,comuna,Agencia Información,Tecnología, Internet y Telecomunicaciones,Televisión de pago,Telecomunicaciones</v>
      </c>
      <c r="S1447" s="54" t="s">
        <v>3056</v>
      </c>
      <c r="T1447" s="107" t="s">
        <v>1850</v>
      </c>
      <c r="U1447" s="46" t="s">
        <v>4341</v>
      </c>
      <c r="V1447" s="93" t="str">
        <f>+Agencia[[#This Row],[idcoleccion]]&amp;"-"&amp;Agencia[[#This Row],[id]]</f>
        <v>990-1436</v>
      </c>
      <c r="W1447" s="93">
        <f>+VLOOKUP(Agencia[[#This Row],[Filtro URL]],Estructura!$X$4:$Y$500,2,0)</f>
        <v>99200010</v>
      </c>
      <c r="X1447" s="93" t="str">
        <f>+VLOOKUP(Agencia[[#This Row],[tema]],Estructura!$A$4:$C$500,3,0)</f>
        <v>T-1054</v>
      </c>
      <c r="Y1447" s="93" t="str">
        <f>+VLOOKUP(Agencia[[#This Row],[contenido]],Estructura!$E$4:$G$500,3,0)</f>
        <v>C-1022</v>
      </c>
      <c r="Z1447" s="93" t="str">
        <f>+VLOOKUP(Agencia[[#This Row],[Filtro Integrado]],Estructura!$I$4:$K$500,3,0)</f>
        <v>FI-993</v>
      </c>
      <c r="AA1447" s="93" t="str">
        <f>+VLOOKUP(Agencia[[#This Row],[Muestra]],Estructura!$M$4:$O$500,3,0)</f>
        <v>M-1096</v>
      </c>
    </row>
    <row r="1448" spans="1:27" ht="61.2" x14ac:dyDescent="0.3">
      <c r="A1448" s="21" t="s">
        <v>2308</v>
      </c>
      <c r="B1448" s="9">
        <v>990</v>
      </c>
      <c r="C1448" s="10" t="s">
        <v>400</v>
      </c>
      <c r="D1448" s="67" t="s">
        <v>2993</v>
      </c>
      <c r="E1448" s="19">
        <v>11</v>
      </c>
      <c r="F1448" s="10" t="s">
        <v>3016</v>
      </c>
      <c r="G1448" s="10" t="s">
        <v>3017</v>
      </c>
      <c r="H1448" s="33" t="s">
        <v>16</v>
      </c>
      <c r="I1448" s="34" t="s">
        <v>378</v>
      </c>
      <c r="J1448" s="60" t="s">
        <v>403</v>
      </c>
      <c r="K1448" s="142" t="s">
        <v>9310</v>
      </c>
      <c r="L1448" s="9" t="s">
        <v>827</v>
      </c>
      <c r="M1448" s="9" t="s">
        <v>3609</v>
      </c>
      <c r="N1448" s="9" t="s">
        <v>2997</v>
      </c>
      <c r="O1448" s="20" t="s">
        <v>3057</v>
      </c>
      <c r="P1448" s="112" t="s">
        <v>5934</v>
      </c>
      <c r="Q1448" s="11" t="s">
        <v>586</v>
      </c>
      <c r="R1448" s="148" t="str">
        <f>Agencia[[#This Row],[territorio]]&amp;",ranking,cantidad,número,suscripciones,televisión,pago,comuna,"&amp;Agencia[[#This Row],[coleccion]]&amp;","&amp;Agencia[[#This Row],[sector]]&amp;","&amp;Agencia[[#This Row],[tema]]&amp;","&amp;Agencia[[#This Row],[contenido]]</f>
        <v>Región de Aysén,ranking,cantidad,número,suscripciones,televisión,pago,comuna,Agencia Información,Tecnología, Internet y Telecomunicaciones,Televisión de pago,Telecomunicaciones</v>
      </c>
      <c r="S1448" s="54" t="s">
        <v>3058</v>
      </c>
      <c r="T1448" s="107" t="s">
        <v>1847</v>
      </c>
      <c r="U1448" s="46" t="s">
        <v>4342</v>
      </c>
      <c r="V1448" s="93" t="str">
        <f>+Agencia[[#This Row],[idcoleccion]]&amp;"-"&amp;Agencia[[#This Row],[id]]</f>
        <v>990-1437</v>
      </c>
      <c r="W1448" s="93">
        <f>+VLOOKUP(Agencia[[#This Row],[Filtro URL]],Estructura!$X$4:$Y$500,2,0)</f>
        <v>99200011</v>
      </c>
      <c r="X1448" s="93" t="str">
        <f>+VLOOKUP(Agencia[[#This Row],[tema]],Estructura!$A$4:$C$500,3,0)</f>
        <v>T-1054</v>
      </c>
      <c r="Y1448" s="93" t="str">
        <f>+VLOOKUP(Agencia[[#This Row],[contenido]],Estructura!$E$4:$G$500,3,0)</f>
        <v>C-1022</v>
      </c>
      <c r="Z1448" s="93" t="str">
        <f>+VLOOKUP(Agencia[[#This Row],[Filtro Integrado]],Estructura!$I$4:$K$500,3,0)</f>
        <v>FI-993</v>
      </c>
      <c r="AA1448" s="93" t="str">
        <f>+VLOOKUP(Agencia[[#This Row],[Muestra]],Estructura!$M$4:$O$500,3,0)</f>
        <v>M-1096</v>
      </c>
    </row>
    <row r="1449" spans="1:27" ht="61.2" x14ac:dyDescent="0.3">
      <c r="A1449" s="21" t="s">
        <v>2309</v>
      </c>
      <c r="B1449" s="9">
        <v>990</v>
      </c>
      <c r="C1449" s="10" t="s">
        <v>400</v>
      </c>
      <c r="D1449" s="67" t="s">
        <v>2993</v>
      </c>
      <c r="E1449" s="19">
        <v>12</v>
      </c>
      <c r="F1449" s="10" t="s">
        <v>3016</v>
      </c>
      <c r="G1449" s="10" t="s">
        <v>3017</v>
      </c>
      <c r="H1449" s="33" t="s">
        <v>16</v>
      </c>
      <c r="I1449" s="34" t="s">
        <v>379</v>
      </c>
      <c r="J1449" s="60" t="s">
        <v>403</v>
      </c>
      <c r="K1449" s="142" t="s">
        <v>9310</v>
      </c>
      <c r="L1449" s="9" t="s">
        <v>827</v>
      </c>
      <c r="M1449" s="9" t="s">
        <v>3609</v>
      </c>
      <c r="N1449" s="9" t="s">
        <v>2997</v>
      </c>
      <c r="O1449" s="20" t="s">
        <v>3059</v>
      </c>
      <c r="P1449" s="112" t="s">
        <v>5935</v>
      </c>
      <c r="Q1449" s="11" t="s">
        <v>586</v>
      </c>
      <c r="R1449" s="148" t="str">
        <f>Agencia[[#This Row],[territorio]]&amp;",ranking,cantidad,número,suscripciones,televisión,pago,comuna,"&amp;Agencia[[#This Row],[coleccion]]&amp;","&amp;Agencia[[#This Row],[sector]]&amp;","&amp;Agencia[[#This Row],[tema]]&amp;","&amp;Agencia[[#This Row],[contenido]]</f>
        <v>Región de Magallanes,ranking,cantidad,número,suscripciones,televisión,pago,comuna,Agencia Información,Tecnología, Internet y Telecomunicaciones,Televisión de pago,Telecomunicaciones</v>
      </c>
      <c r="S1449" s="54" t="s">
        <v>3060</v>
      </c>
      <c r="T1449" s="107" t="s">
        <v>1852</v>
      </c>
      <c r="U1449" s="46" t="s">
        <v>4343</v>
      </c>
      <c r="V1449" s="93" t="str">
        <f>+Agencia[[#This Row],[idcoleccion]]&amp;"-"&amp;Agencia[[#This Row],[id]]</f>
        <v>990-1438</v>
      </c>
      <c r="W1449" s="93">
        <f>+VLOOKUP(Agencia[[#This Row],[Filtro URL]],Estructura!$X$4:$Y$500,2,0)</f>
        <v>99200012</v>
      </c>
      <c r="X1449" s="93" t="str">
        <f>+VLOOKUP(Agencia[[#This Row],[tema]],Estructura!$A$4:$C$500,3,0)</f>
        <v>T-1054</v>
      </c>
      <c r="Y1449" s="93" t="str">
        <f>+VLOOKUP(Agencia[[#This Row],[contenido]],Estructura!$E$4:$G$500,3,0)</f>
        <v>C-1022</v>
      </c>
      <c r="Z1449" s="93" t="str">
        <f>+VLOOKUP(Agencia[[#This Row],[Filtro Integrado]],Estructura!$I$4:$K$500,3,0)</f>
        <v>FI-993</v>
      </c>
      <c r="AA1449" s="93" t="str">
        <f>+VLOOKUP(Agencia[[#This Row],[Muestra]],Estructura!$M$4:$O$500,3,0)</f>
        <v>M-1096</v>
      </c>
    </row>
    <row r="1450" spans="1:27" ht="61.2" x14ac:dyDescent="0.3">
      <c r="A1450" s="21" t="s">
        <v>2314</v>
      </c>
      <c r="B1450" s="9">
        <v>990</v>
      </c>
      <c r="C1450" s="10" t="s">
        <v>400</v>
      </c>
      <c r="D1450" s="67" t="s">
        <v>2993</v>
      </c>
      <c r="E1450" s="19">
        <v>13</v>
      </c>
      <c r="F1450" s="10" t="s">
        <v>3016</v>
      </c>
      <c r="G1450" s="10" t="s">
        <v>3017</v>
      </c>
      <c r="H1450" s="33" t="s">
        <v>16</v>
      </c>
      <c r="I1450" s="34" t="s">
        <v>380</v>
      </c>
      <c r="J1450" s="60" t="s">
        <v>403</v>
      </c>
      <c r="K1450" s="142" t="s">
        <v>9310</v>
      </c>
      <c r="L1450" s="9" t="s">
        <v>827</v>
      </c>
      <c r="M1450" s="9" t="s">
        <v>3609</v>
      </c>
      <c r="N1450" s="9" t="s">
        <v>2997</v>
      </c>
      <c r="O1450" s="20" t="s">
        <v>3061</v>
      </c>
      <c r="P1450" s="112" t="s">
        <v>5936</v>
      </c>
      <c r="Q1450" s="11" t="s">
        <v>586</v>
      </c>
      <c r="R1450" s="148" t="str">
        <f>Agencia[[#This Row],[territorio]]&amp;",ranking,cantidad,número,suscripciones,televisión,pago,comuna,"&amp;Agencia[[#This Row],[coleccion]]&amp;","&amp;Agencia[[#This Row],[sector]]&amp;","&amp;Agencia[[#This Row],[tema]]&amp;","&amp;Agencia[[#This Row],[contenido]]</f>
        <v>Región Metropolitana,ranking,cantidad,número,suscripciones,televisión,pago,comuna,Agencia Información,Tecnología, Internet y Telecomunicaciones,Televisión de pago,Telecomunicaciones</v>
      </c>
      <c r="S1450" s="54" t="s">
        <v>3062</v>
      </c>
      <c r="T1450" s="107" t="s">
        <v>1859</v>
      </c>
      <c r="U1450" s="46" t="s">
        <v>4344</v>
      </c>
      <c r="V1450" s="93" t="str">
        <f>+Agencia[[#This Row],[idcoleccion]]&amp;"-"&amp;Agencia[[#This Row],[id]]</f>
        <v>990-1439</v>
      </c>
      <c r="W1450" s="93">
        <f>+VLOOKUP(Agencia[[#This Row],[Filtro URL]],Estructura!$X$4:$Y$500,2,0)</f>
        <v>99200013</v>
      </c>
      <c r="X1450" s="93" t="str">
        <f>+VLOOKUP(Agencia[[#This Row],[tema]],Estructura!$A$4:$C$500,3,0)</f>
        <v>T-1054</v>
      </c>
      <c r="Y1450" s="93" t="str">
        <f>+VLOOKUP(Agencia[[#This Row],[contenido]],Estructura!$E$4:$G$500,3,0)</f>
        <v>C-1022</v>
      </c>
      <c r="Z1450" s="93" t="str">
        <f>+VLOOKUP(Agencia[[#This Row],[Filtro Integrado]],Estructura!$I$4:$K$500,3,0)</f>
        <v>FI-993</v>
      </c>
      <c r="AA1450" s="93" t="str">
        <f>+VLOOKUP(Agencia[[#This Row],[Muestra]],Estructura!$M$4:$O$500,3,0)</f>
        <v>M-1096</v>
      </c>
    </row>
    <row r="1451" spans="1:27" ht="61.2" x14ac:dyDescent="0.3">
      <c r="A1451" s="21" t="s">
        <v>2317</v>
      </c>
      <c r="B1451" s="9">
        <v>990</v>
      </c>
      <c r="C1451" s="10" t="s">
        <v>400</v>
      </c>
      <c r="D1451" s="67" t="s">
        <v>2993</v>
      </c>
      <c r="E1451" s="19">
        <v>14</v>
      </c>
      <c r="F1451" s="10" t="s">
        <v>3016</v>
      </c>
      <c r="G1451" s="10" t="s">
        <v>3017</v>
      </c>
      <c r="H1451" s="33" t="s">
        <v>16</v>
      </c>
      <c r="I1451" s="34" t="s">
        <v>381</v>
      </c>
      <c r="J1451" s="60" t="s">
        <v>403</v>
      </c>
      <c r="K1451" s="142" t="s">
        <v>9310</v>
      </c>
      <c r="L1451" s="9" t="s">
        <v>827</v>
      </c>
      <c r="M1451" s="9" t="s">
        <v>3609</v>
      </c>
      <c r="N1451" s="9" t="s">
        <v>2997</v>
      </c>
      <c r="O1451" s="20" t="s">
        <v>3063</v>
      </c>
      <c r="P1451" s="112" t="s">
        <v>5937</v>
      </c>
      <c r="Q1451" s="11" t="s">
        <v>586</v>
      </c>
      <c r="R1451" s="148" t="str">
        <f>Agencia[[#This Row],[territorio]]&amp;",ranking,cantidad,número,suscripciones,televisión,pago,comuna,"&amp;Agencia[[#This Row],[coleccion]]&amp;","&amp;Agencia[[#This Row],[sector]]&amp;","&amp;Agencia[[#This Row],[tema]]&amp;","&amp;Agencia[[#This Row],[contenido]]</f>
        <v>Región de Los Ríos,ranking,cantidad,número,suscripciones,televisión,pago,comuna,Agencia Información,Tecnología, Internet y Telecomunicaciones,Televisión de pago,Telecomunicaciones</v>
      </c>
      <c r="S1451" s="54" t="s">
        <v>3064</v>
      </c>
      <c r="T1451" s="107" t="s">
        <v>1851</v>
      </c>
      <c r="U1451" s="46" t="s">
        <v>4345</v>
      </c>
      <c r="V1451" s="93" t="str">
        <f>+Agencia[[#This Row],[idcoleccion]]&amp;"-"&amp;Agencia[[#This Row],[id]]</f>
        <v>990-1440</v>
      </c>
      <c r="W1451" s="93">
        <f>+VLOOKUP(Agencia[[#This Row],[Filtro URL]],Estructura!$X$4:$Y$500,2,0)</f>
        <v>99200014</v>
      </c>
      <c r="X1451" s="93" t="str">
        <f>+VLOOKUP(Agencia[[#This Row],[tema]],Estructura!$A$4:$C$500,3,0)</f>
        <v>T-1054</v>
      </c>
      <c r="Y1451" s="93" t="str">
        <f>+VLOOKUP(Agencia[[#This Row],[contenido]],Estructura!$E$4:$G$500,3,0)</f>
        <v>C-1022</v>
      </c>
      <c r="Z1451" s="93" t="str">
        <f>+VLOOKUP(Agencia[[#This Row],[Filtro Integrado]],Estructura!$I$4:$K$500,3,0)</f>
        <v>FI-993</v>
      </c>
      <c r="AA1451" s="93" t="str">
        <f>+VLOOKUP(Agencia[[#This Row],[Muestra]],Estructura!$M$4:$O$500,3,0)</f>
        <v>M-1096</v>
      </c>
    </row>
    <row r="1452" spans="1:27" ht="61.2" x14ac:dyDescent="0.3">
      <c r="A1452" s="21" t="s">
        <v>2319</v>
      </c>
      <c r="B1452" s="9">
        <v>990</v>
      </c>
      <c r="C1452" s="10" t="s">
        <v>400</v>
      </c>
      <c r="D1452" s="67" t="s">
        <v>2993</v>
      </c>
      <c r="E1452" s="19">
        <v>15</v>
      </c>
      <c r="F1452" s="10" t="s">
        <v>3016</v>
      </c>
      <c r="G1452" s="10" t="s">
        <v>3017</v>
      </c>
      <c r="H1452" s="33" t="s">
        <v>16</v>
      </c>
      <c r="I1452" s="34" t="s">
        <v>382</v>
      </c>
      <c r="J1452" s="60" t="s">
        <v>403</v>
      </c>
      <c r="K1452" s="142" t="s">
        <v>9310</v>
      </c>
      <c r="L1452" s="9" t="s">
        <v>827</v>
      </c>
      <c r="M1452" s="9" t="s">
        <v>3609</v>
      </c>
      <c r="N1452" s="9" t="s">
        <v>2997</v>
      </c>
      <c r="O1452" s="20" t="s">
        <v>3065</v>
      </c>
      <c r="P1452" s="112" t="s">
        <v>5938</v>
      </c>
      <c r="Q1452" s="11" t="s">
        <v>586</v>
      </c>
      <c r="R1452" s="148" t="str">
        <f>Agencia[[#This Row],[territorio]]&amp;",ranking,cantidad,número,suscripciones,televisión,pago,comuna,"&amp;Agencia[[#This Row],[coleccion]]&amp;","&amp;Agencia[[#This Row],[sector]]&amp;","&amp;Agencia[[#This Row],[tema]]&amp;","&amp;Agencia[[#This Row],[contenido]]</f>
        <v>Región de Arica y Parinacota,ranking,cantidad,número,suscripciones,televisión,pago,comuna,Agencia Información,Tecnología, Internet y Telecomunicaciones,Televisión de pago,Telecomunicaciones</v>
      </c>
      <c r="S1452" s="54" t="s">
        <v>3066</v>
      </c>
      <c r="T1452" s="107" t="s">
        <v>1845</v>
      </c>
      <c r="U1452" s="46" t="s">
        <v>4346</v>
      </c>
      <c r="V1452" s="93" t="str">
        <f>+Agencia[[#This Row],[idcoleccion]]&amp;"-"&amp;Agencia[[#This Row],[id]]</f>
        <v>990-1441</v>
      </c>
      <c r="W1452" s="93">
        <f>+VLOOKUP(Agencia[[#This Row],[Filtro URL]],Estructura!$X$4:$Y$500,2,0)</f>
        <v>99200015</v>
      </c>
      <c r="X1452" s="93" t="str">
        <f>+VLOOKUP(Agencia[[#This Row],[tema]],Estructura!$A$4:$C$500,3,0)</f>
        <v>T-1054</v>
      </c>
      <c r="Y1452" s="93" t="str">
        <f>+VLOOKUP(Agencia[[#This Row],[contenido]],Estructura!$E$4:$G$500,3,0)</f>
        <v>C-1022</v>
      </c>
      <c r="Z1452" s="93" t="str">
        <f>+VLOOKUP(Agencia[[#This Row],[Filtro Integrado]],Estructura!$I$4:$K$500,3,0)</f>
        <v>FI-993</v>
      </c>
      <c r="AA1452" s="93" t="str">
        <f>+VLOOKUP(Agencia[[#This Row],[Muestra]],Estructura!$M$4:$O$500,3,0)</f>
        <v>M-1096</v>
      </c>
    </row>
    <row r="1453" spans="1:27" ht="61.2" x14ac:dyDescent="0.3">
      <c r="A1453" s="21" t="s">
        <v>2320</v>
      </c>
      <c r="B1453" s="9">
        <v>990</v>
      </c>
      <c r="C1453" s="10" t="s">
        <v>400</v>
      </c>
      <c r="D1453" s="67" t="s">
        <v>2993</v>
      </c>
      <c r="E1453" s="19">
        <v>16</v>
      </c>
      <c r="F1453" s="10" t="s">
        <v>3016</v>
      </c>
      <c r="G1453" s="10" t="s">
        <v>3017</v>
      </c>
      <c r="H1453" s="33" t="s">
        <v>16</v>
      </c>
      <c r="I1453" s="34" t="s">
        <v>383</v>
      </c>
      <c r="J1453" s="60" t="s">
        <v>403</v>
      </c>
      <c r="K1453" s="142" t="s">
        <v>9310</v>
      </c>
      <c r="L1453" s="9" t="s">
        <v>827</v>
      </c>
      <c r="M1453" s="9" t="s">
        <v>3609</v>
      </c>
      <c r="N1453" s="9" t="s">
        <v>2997</v>
      </c>
      <c r="O1453" s="20" t="s">
        <v>3067</v>
      </c>
      <c r="P1453" s="112" t="s">
        <v>5939</v>
      </c>
      <c r="Q1453" s="11" t="s">
        <v>586</v>
      </c>
      <c r="R1453" s="148" t="str">
        <f>Agencia[[#This Row],[territorio]]&amp;",ranking,cantidad,número,suscripciones,televisión,pago,comuna,"&amp;Agencia[[#This Row],[coleccion]]&amp;","&amp;Agencia[[#This Row],[sector]]&amp;","&amp;Agencia[[#This Row],[tema]]&amp;","&amp;Agencia[[#This Row],[contenido]]</f>
        <v>Región de Ñuble,ranking,cantidad,número,suscripciones,televisión,pago,comuna,Agencia Información,Tecnología, Internet y Telecomunicaciones,Televisión de pago,Telecomunicaciones</v>
      </c>
      <c r="S1453" s="54" t="s">
        <v>3068</v>
      </c>
      <c r="T1453" s="107" t="s">
        <v>1854</v>
      </c>
      <c r="U1453" s="46" t="s">
        <v>4347</v>
      </c>
      <c r="V1453" s="93" t="str">
        <f>+Agencia[[#This Row],[idcoleccion]]&amp;"-"&amp;Agencia[[#This Row],[id]]</f>
        <v>990-1442</v>
      </c>
      <c r="W1453" s="93">
        <f>+VLOOKUP(Agencia[[#This Row],[Filtro URL]],Estructura!$X$4:$Y$500,2,0)</f>
        <v>99200016</v>
      </c>
      <c r="X1453" s="93" t="str">
        <f>+VLOOKUP(Agencia[[#This Row],[tema]],Estructura!$A$4:$C$500,3,0)</f>
        <v>T-1054</v>
      </c>
      <c r="Y1453" s="93" t="str">
        <f>+VLOOKUP(Agencia[[#This Row],[contenido]],Estructura!$E$4:$G$500,3,0)</f>
        <v>C-1022</v>
      </c>
      <c r="Z1453" s="93" t="str">
        <f>+VLOOKUP(Agencia[[#This Row],[Filtro Integrado]],Estructura!$I$4:$K$500,3,0)</f>
        <v>FI-993</v>
      </c>
      <c r="AA1453" s="93" t="str">
        <f>+VLOOKUP(Agencia[[#This Row],[Muestra]],Estructura!$M$4:$O$500,3,0)</f>
        <v>M-1096</v>
      </c>
    </row>
    <row r="1454" spans="1:27" ht="40.799999999999997" x14ac:dyDescent="0.3">
      <c r="A1454" s="21" t="s">
        <v>2321</v>
      </c>
      <c r="B1454" s="9">
        <v>990</v>
      </c>
      <c r="C1454" s="10" t="s">
        <v>400</v>
      </c>
      <c r="D1454" s="67" t="s">
        <v>785</v>
      </c>
      <c r="E1454" s="14">
        <v>0</v>
      </c>
      <c r="F1454" s="10" t="s">
        <v>3069</v>
      </c>
      <c r="G1454" s="10" t="s">
        <v>3070</v>
      </c>
      <c r="H1454" s="31" t="s">
        <v>20</v>
      </c>
      <c r="I1454" s="32" t="s">
        <v>15</v>
      </c>
      <c r="J1454" s="60" t="s">
        <v>956</v>
      </c>
      <c r="K1454" s="142" t="s">
        <v>9309</v>
      </c>
      <c r="L1454" s="9" t="s">
        <v>3071</v>
      </c>
      <c r="M1454" s="9" t="s">
        <v>1392</v>
      </c>
      <c r="N1454" s="9" t="s">
        <v>1370</v>
      </c>
      <c r="O1454" s="20" t="s">
        <v>3072</v>
      </c>
      <c r="P1454" s="112" t="s">
        <v>5476</v>
      </c>
      <c r="Q1454" s="11" t="s">
        <v>794</v>
      </c>
      <c r="R1454" s="20" t="str">
        <f>Agencia[[#This Row],[territorio]]&amp;",población,pueblos,originarios,indígenas,etnia,comunal,"&amp;Agencia[[#This Row],[coleccion]]&amp;","&amp;Agencia[[#This Row],[sector]]&amp;","&amp;Agencia[[#This Row],[tema]]&amp;","&amp;Agencia[[#This Row],[contenido]]</f>
        <v>Chile,población,pueblos,originarios,indígenas,etnia,comunal,Agencia Información,Social,Población de pueblos indígenas,Pueblos indígenas</v>
      </c>
      <c r="S1454" s="83" t="s">
        <v>3073</v>
      </c>
      <c r="T1454" s="107" t="s">
        <v>957</v>
      </c>
      <c r="U1454" s="46" t="s">
        <v>4348</v>
      </c>
      <c r="V1454" s="93" t="str">
        <f>+Agencia[[#This Row],[idcoleccion]]&amp;"-"&amp;Agencia[[#This Row],[id]]</f>
        <v>990-1443</v>
      </c>
      <c r="W1454" s="93">
        <f>+VLOOKUP(Agencia[[#This Row],[Filtro URL]],Estructura!$X$4:$Y$500,2,0)</f>
        <v>99100000</v>
      </c>
      <c r="X1454" s="93" t="str">
        <f>+VLOOKUP(Agencia[[#This Row],[tema]],Estructura!$A$4:$C$500,3,0)</f>
        <v>T-1055</v>
      </c>
      <c r="Y1454" s="93" t="str">
        <f>+VLOOKUP(Agencia[[#This Row],[contenido]],Estructura!$E$4:$G$500,3,0)</f>
        <v>C-1012</v>
      </c>
      <c r="Z1454" s="93" t="str">
        <f>+VLOOKUP(Agencia[[#This Row],[Filtro Integrado]],Estructura!$I$4:$K$500,3,0)</f>
        <v>FI-994</v>
      </c>
      <c r="AA1454" s="93" t="str">
        <f>+VLOOKUP(Agencia[[#This Row],[Muestra]],Estructura!$M$4:$O$500,3,0)</f>
        <v>M-1055</v>
      </c>
    </row>
    <row r="1455" spans="1:27" ht="57.6" x14ac:dyDescent="0.3">
      <c r="A1455" s="21" t="s">
        <v>2322</v>
      </c>
      <c r="B1455" s="9">
        <v>990</v>
      </c>
      <c r="C1455" s="10" t="s">
        <v>400</v>
      </c>
      <c r="D1455" s="67" t="s">
        <v>785</v>
      </c>
      <c r="E1455" s="19">
        <v>1</v>
      </c>
      <c r="F1455" s="10" t="s">
        <v>3069</v>
      </c>
      <c r="G1455" s="10" t="s">
        <v>3070</v>
      </c>
      <c r="H1455" s="33" t="s">
        <v>16</v>
      </c>
      <c r="I1455" s="34" t="s">
        <v>368</v>
      </c>
      <c r="J1455" s="60" t="s">
        <v>18</v>
      </c>
      <c r="K1455" s="142" t="s">
        <v>9309</v>
      </c>
      <c r="L1455" s="9" t="s">
        <v>3071</v>
      </c>
      <c r="M1455" s="9" t="s">
        <v>1392</v>
      </c>
      <c r="N1455" s="9" t="s">
        <v>1370</v>
      </c>
      <c r="O1455" s="20" t="s">
        <v>3074</v>
      </c>
      <c r="P1455" s="106" t="s">
        <v>5477</v>
      </c>
      <c r="Q1455" s="11" t="s">
        <v>794</v>
      </c>
      <c r="R1455" s="148" t="str">
        <f>Agencia[[#This Row],[territorio]]&amp;",población,pueblos,originarios,indígenas,etnia,comunal,"&amp;Agencia[[#This Row],[coleccion]]&amp;","&amp;Agencia[[#This Row],[sector]]&amp;","&amp;Agencia[[#This Row],[tema]]&amp;","&amp;Agencia[[#This Row],[contenido]]</f>
        <v>Región de Tarapacá,población,pueblos,originarios,indígenas,etnia,comunal,Agencia Información,Social,Población de pueblos indígenas,Pueblos indígenas</v>
      </c>
      <c r="S1455" s="54" t="s">
        <v>3075</v>
      </c>
      <c r="T1455" s="107" t="s">
        <v>1856</v>
      </c>
      <c r="U1455" s="46" t="s">
        <v>4349</v>
      </c>
      <c r="V1455" s="93" t="str">
        <f>+Agencia[[#This Row],[idcoleccion]]&amp;"-"&amp;Agencia[[#This Row],[id]]</f>
        <v>990-1444</v>
      </c>
      <c r="W1455" s="93">
        <f>+VLOOKUP(Agencia[[#This Row],[Filtro URL]],Estructura!$X$4:$Y$500,2,0)</f>
        <v>99200001</v>
      </c>
      <c r="X1455" s="93" t="str">
        <f>+VLOOKUP(Agencia[[#This Row],[tema]],Estructura!$A$4:$C$500,3,0)</f>
        <v>T-1055</v>
      </c>
      <c r="Y1455" s="93" t="str">
        <f>+VLOOKUP(Agencia[[#This Row],[contenido]],Estructura!$E$4:$G$500,3,0)</f>
        <v>C-1012</v>
      </c>
      <c r="Z1455" s="93" t="str">
        <f>+VLOOKUP(Agencia[[#This Row],[Filtro Integrado]],Estructura!$I$4:$K$500,3,0)</f>
        <v>FI-991</v>
      </c>
      <c r="AA1455" s="93" t="str">
        <f>+VLOOKUP(Agencia[[#This Row],[Muestra]],Estructura!$M$4:$O$500,3,0)</f>
        <v>M-1055</v>
      </c>
    </row>
    <row r="1456" spans="1:27" ht="57.6" x14ac:dyDescent="0.3">
      <c r="A1456" s="21" t="s">
        <v>2323</v>
      </c>
      <c r="B1456" s="9">
        <v>990</v>
      </c>
      <c r="C1456" s="10" t="s">
        <v>400</v>
      </c>
      <c r="D1456" s="67" t="s">
        <v>785</v>
      </c>
      <c r="E1456" s="19">
        <v>2</v>
      </c>
      <c r="F1456" s="10" t="s">
        <v>3069</v>
      </c>
      <c r="G1456" s="10" t="s">
        <v>3070</v>
      </c>
      <c r="H1456" s="33" t="s">
        <v>16</v>
      </c>
      <c r="I1456" s="34" t="s">
        <v>369</v>
      </c>
      <c r="J1456" s="60" t="s">
        <v>18</v>
      </c>
      <c r="K1456" s="142" t="s">
        <v>9309</v>
      </c>
      <c r="L1456" s="9" t="s">
        <v>3071</v>
      </c>
      <c r="M1456" s="9" t="s">
        <v>1392</v>
      </c>
      <c r="N1456" s="9" t="s">
        <v>1370</v>
      </c>
      <c r="O1456" s="20" t="s">
        <v>3076</v>
      </c>
      <c r="P1456" s="106" t="s">
        <v>5478</v>
      </c>
      <c r="Q1456" s="11" t="s">
        <v>794</v>
      </c>
      <c r="R1456" s="148" t="str">
        <f>Agencia[[#This Row],[territorio]]&amp;",población,pueblos,originarios,indígenas,etnia,comunal,"&amp;Agencia[[#This Row],[coleccion]]&amp;","&amp;Agencia[[#This Row],[sector]]&amp;","&amp;Agencia[[#This Row],[tema]]&amp;","&amp;Agencia[[#This Row],[contenido]]</f>
        <v>Región de Antofagasta,población,pueblos,originarios,indígenas,etnia,comunal,Agencia Información,Social,Población de pueblos indígenas,Pueblos indígenas</v>
      </c>
      <c r="S1456" s="54" t="s">
        <v>3077</v>
      </c>
      <c r="T1456" s="107" t="s">
        <v>1844</v>
      </c>
      <c r="U1456" s="46" t="s">
        <v>4350</v>
      </c>
      <c r="V1456" s="93" t="str">
        <f>+Agencia[[#This Row],[idcoleccion]]&amp;"-"&amp;Agencia[[#This Row],[id]]</f>
        <v>990-1445</v>
      </c>
      <c r="W1456" s="93">
        <f>+VLOOKUP(Agencia[[#This Row],[Filtro URL]],Estructura!$X$4:$Y$500,2,0)</f>
        <v>99200002</v>
      </c>
      <c r="X1456" s="93" t="str">
        <f>+VLOOKUP(Agencia[[#This Row],[tema]],Estructura!$A$4:$C$500,3,0)</f>
        <v>T-1055</v>
      </c>
      <c r="Y1456" s="93" t="str">
        <f>+VLOOKUP(Agencia[[#This Row],[contenido]],Estructura!$E$4:$G$500,3,0)</f>
        <v>C-1012</v>
      </c>
      <c r="Z1456" s="93" t="str">
        <f>+VLOOKUP(Agencia[[#This Row],[Filtro Integrado]],Estructura!$I$4:$K$500,3,0)</f>
        <v>FI-991</v>
      </c>
      <c r="AA1456" s="93" t="str">
        <f>+VLOOKUP(Agencia[[#This Row],[Muestra]],Estructura!$M$4:$O$500,3,0)</f>
        <v>M-1055</v>
      </c>
    </row>
    <row r="1457" spans="1:27" ht="57.6" x14ac:dyDescent="0.3">
      <c r="A1457" s="21" t="s">
        <v>2324</v>
      </c>
      <c r="B1457" s="9">
        <v>990</v>
      </c>
      <c r="C1457" s="10" t="s">
        <v>400</v>
      </c>
      <c r="D1457" s="67" t="s">
        <v>785</v>
      </c>
      <c r="E1457" s="19">
        <v>3</v>
      </c>
      <c r="F1457" s="10" t="s">
        <v>3069</v>
      </c>
      <c r="G1457" s="10" t="s">
        <v>3070</v>
      </c>
      <c r="H1457" s="33" t="s">
        <v>16</v>
      </c>
      <c r="I1457" s="34" t="s">
        <v>370</v>
      </c>
      <c r="J1457" s="60" t="s">
        <v>18</v>
      </c>
      <c r="K1457" s="142" t="s">
        <v>9309</v>
      </c>
      <c r="L1457" s="9" t="s">
        <v>3071</v>
      </c>
      <c r="M1457" s="9" t="s">
        <v>1392</v>
      </c>
      <c r="N1457" s="9" t="s">
        <v>1370</v>
      </c>
      <c r="O1457" s="20" t="s">
        <v>3078</v>
      </c>
      <c r="P1457" s="106" t="s">
        <v>5479</v>
      </c>
      <c r="Q1457" s="11" t="s">
        <v>794</v>
      </c>
      <c r="R1457" s="148" t="str">
        <f>Agencia[[#This Row],[territorio]]&amp;",población,pueblos,originarios,indígenas,etnia,comunal,"&amp;Agencia[[#This Row],[coleccion]]&amp;","&amp;Agencia[[#This Row],[sector]]&amp;","&amp;Agencia[[#This Row],[tema]]&amp;","&amp;Agencia[[#This Row],[contenido]]</f>
        <v>Región de Atacama,población,pueblos,originarios,indígenas,etnia,comunal,Agencia Información,Social,Población de pueblos indígenas,Pueblos indígenas</v>
      </c>
      <c r="S1457" s="54" t="s">
        <v>3079</v>
      </c>
      <c r="T1457" s="107" t="s">
        <v>1846</v>
      </c>
      <c r="U1457" s="46" t="s">
        <v>4351</v>
      </c>
      <c r="V1457" s="93" t="str">
        <f>+Agencia[[#This Row],[idcoleccion]]&amp;"-"&amp;Agencia[[#This Row],[id]]</f>
        <v>990-1446</v>
      </c>
      <c r="W1457" s="93">
        <f>+VLOOKUP(Agencia[[#This Row],[Filtro URL]],Estructura!$X$4:$Y$500,2,0)</f>
        <v>99200003</v>
      </c>
      <c r="X1457" s="93" t="str">
        <f>+VLOOKUP(Agencia[[#This Row],[tema]],Estructura!$A$4:$C$500,3,0)</f>
        <v>T-1055</v>
      </c>
      <c r="Y1457" s="93" t="str">
        <f>+VLOOKUP(Agencia[[#This Row],[contenido]],Estructura!$E$4:$G$500,3,0)</f>
        <v>C-1012</v>
      </c>
      <c r="Z1457" s="93" t="str">
        <f>+VLOOKUP(Agencia[[#This Row],[Filtro Integrado]],Estructura!$I$4:$K$500,3,0)</f>
        <v>FI-991</v>
      </c>
      <c r="AA1457" s="93" t="str">
        <f>+VLOOKUP(Agencia[[#This Row],[Muestra]],Estructura!$M$4:$O$500,3,0)</f>
        <v>M-1055</v>
      </c>
    </row>
    <row r="1458" spans="1:27" ht="57.6" x14ac:dyDescent="0.3">
      <c r="A1458" s="21" t="s">
        <v>2325</v>
      </c>
      <c r="B1458" s="9">
        <v>990</v>
      </c>
      <c r="C1458" s="10" t="s">
        <v>400</v>
      </c>
      <c r="D1458" s="67" t="s">
        <v>785</v>
      </c>
      <c r="E1458" s="19">
        <v>4</v>
      </c>
      <c r="F1458" s="10" t="s">
        <v>3069</v>
      </c>
      <c r="G1458" s="10" t="s">
        <v>3070</v>
      </c>
      <c r="H1458" s="33" t="s">
        <v>16</v>
      </c>
      <c r="I1458" s="34" t="s">
        <v>371</v>
      </c>
      <c r="J1458" s="60" t="s">
        <v>18</v>
      </c>
      <c r="K1458" s="142" t="s">
        <v>9309</v>
      </c>
      <c r="L1458" s="9" t="s">
        <v>3071</v>
      </c>
      <c r="M1458" s="9" t="s">
        <v>1392</v>
      </c>
      <c r="N1458" s="9" t="s">
        <v>1370</v>
      </c>
      <c r="O1458" s="20" t="s">
        <v>3080</v>
      </c>
      <c r="P1458" s="106" t="s">
        <v>5480</v>
      </c>
      <c r="Q1458" s="11" t="s">
        <v>794</v>
      </c>
      <c r="R1458" s="148" t="str">
        <f>Agencia[[#This Row],[territorio]]&amp;",población,pueblos,originarios,indígenas,etnia,comunal,"&amp;Agencia[[#This Row],[coleccion]]&amp;","&amp;Agencia[[#This Row],[sector]]&amp;","&amp;Agencia[[#This Row],[tema]]&amp;","&amp;Agencia[[#This Row],[contenido]]</f>
        <v>Región de Coquimbo,población,pueblos,originarios,indígenas,etnia,comunal,Agencia Información,Social,Población de pueblos indígenas,Pueblos indígenas</v>
      </c>
      <c r="S1458" s="54" t="s">
        <v>3081</v>
      </c>
      <c r="T1458" s="107" t="s">
        <v>1848</v>
      </c>
      <c r="U1458" s="46" t="s">
        <v>4352</v>
      </c>
      <c r="V1458" s="93" t="str">
        <f>+Agencia[[#This Row],[idcoleccion]]&amp;"-"&amp;Agencia[[#This Row],[id]]</f>
        <v>990-1447</v>
      </c>
      <c r="W1458" s="93">
        <f>+VLOOKUP(Agencia[[#This Row],[Filtro URL]],Estructura!$X$4:$Y$500,2,0)</f>
        <v>99200004</v>
      </c>
      <c r="X1458" s="93" t="str">
        <f>+VLOOKUP(Agencia[[#This Row],[tema]],Estructura!$A$4:$C$500,3,0)</f>
        <v>T-1055</v>
      </c>
      <c r="Y1458" s="93" t="str">
        <f>+VLOOKUP(Agencia[[#This Row],[contenido]],Estructura!$E$4:$G$500,3,0)</f>
        <v>C-1012</v>
      </c>
      <c r="Z1458" s="93" t="str">
        <f>+VLOOKUP(Agencia[[#This Row],[Filtro Integrado]],Estructura!$I$4:$K$500,3,0)</f>
        <v>FI-991</v>
      </c>
      <c r="AA1458" s="93" t="str">
        <f>+VLOOKUP(Agencia[[#This Row],[Muestra]],Estructura!$M$4:$O$500,3,0)</f>
        <v>M-1055</v>
      </c>
    </row>
    <row r="1459" spans="1:27" ht="57.6" x14ac:dyDescent="0.3">
      <c r="A1459" s="21" t="s">
        <v>2326</v>
      </c>
      <c r="B1459" s="9">
        <v>990</v>
      </c>
      <c r="C1459" s="10" t="s">
        <v>400</v>
      </c>
      <c r="D1459" s="67" t="s">
        <v>785</v>
      </c>
      <c r="E1459" s="19">
        <v>5</v>
      </c>
      <c r="F1459" s="10" t="s">
        <v>3069</v>
      </c>
      <c r="G1459" s="10" t="s">
        <v>3070</v>
      </c>
      <c r="H1459" s="33" t="s">
        <v>16</v>
      </c>
      <c r="I1459" s="34" t="s">
        <v>372</v>
      </c>
      <c r="J1459" s="60" t="s">
        <v>18</v>
      </c>
      <c r="K1459" s="142" t="s">
        <v>9309</v>
      </c>
      <c r="L1459" s="9" t="s">
        <v>3071</v>
      </c>
      <c r="M1459" s="9" t="s">
        <v>1392</v>
      </c>
      <c r="N1459" s="9" t="s">
        <v>1370</v>
      </c>
      <c r="O1459" s="20" t="s">
        <v>3082</v>
      </c>
      <c r="P1459" s="106" t="s">
        <v>5481</v>
      </c>
      <c r="Q1459" s="11" t="s">
        <v>794</v>
      </c>
      <c r="R1459" s="148" t="str">
        <f>Agencia[[#This Row],[territorio]]&amp;",población,pueblos,originarios,indígenas,etnia,comunal,"&amp;Agencia[[#This Row],[coleccion]]&amp;","&amp;Agencia[[#This Row],[sector]]&amp;","&amp;Agencia[[#This Row],[tema]]&amp;","&amp;Agencia[[#This Row],[contenido]]</f>
        <v>Región de Valparaíso,población,pueblos,originarios,indígenas,etnia,comunal,Agencia Información,Social,Población de pueblos indígenas,Pueblos indígenas</v>
      </c>
      <c r="S1459" s="54" t="s">
        <v>3083</v>
      </c>
      <c r="T1459" s="107" t="s">
        <v>1857</v>
      </c>
      <c r="U1459" s="46" t="s">
        <v>4353</v>
      </c>
      <c r="V1459" s="93" t="str">
        <f>+Agencia[[#This Row],[idcoleccion]]&amp;"-"&amp;Agencia[[#This Row],[id]]</f>
        <v>990-1448</v>
      </c>
      <c r="W1459" s="93">
        <f>+VLOOKUP(Agencia[[#This Row],[Filtro URL]],Estructura!$X$4:$Y$500,2,0)</f>
        <v>99200005</v>
      </c>
      <c r="X1459" s="93" t="str">
        <f>+VLOOKUP(Agencia[[#This Row],[tema]],Estructura!$A$4:$C$500,3,0)</f>
        <v>T-1055</v>
      </c>
      <c r="Y1459" s="93" t="str">
        <f>+VLOOKUP(Agencia[[#This Row],[contenido]],Estructura!$E$4:$G$500,3,0)</f>
        <v>C-1012</v>
      </c>
      <c r="Z1459" s="93" t="str">
        <f>+VLOOKUP(Agencia[[#This Row],[Filtro Integrado]],Estructura!$I$4:$K$500,3,0)</f>
        <v>FI-991</v>
      </c>
      <c r="AA1459" s="93" t="str">
        <f>+VLOOKUP(Agencia[[#This Row],[Muestra]],Estructura!$M$4:$O$500,3,0)</f>
        <v>M-1055</v>
      </c>
    </row>
    <row r="1460" spans="1:27" ht="57.6" x14ac:dyDescent="0.3">
      <c r="A1460" s="21" t="s">
        <v>2327</v>
      </c>
      <c r="B1460" s="9">
        <v>990</v>
      </c>
      <c r="C1460" s="10" t="s">
        <v>400</v>
      </c>
      <c r="D1460" s="67" t="s">
        <v>785</v>
      </c>
      <c r="E1460" s="19">
        <v>6</v>
      </c>
      <c r="F1460" s="10" t="s">
        <v>3069</v>
      </c>
      <c r="G1460" s="10" t="s">
        <v>3070</v>
      </c>
      <c r="H1460" s="33" t="s">
        <v>16</v>
      </c>
      <c r="I1460" s="34" t="s">
        <v>373</v>
      </c>
      <c r="J1460" s="60" t="s">
        <v>18</v>
      </c>
      <c r="K1460" s="142" t="s">
        <v>9309</v>
      </c>
      <c r="L1460" s="9" t="s">
        <v>3071</v>
      </c>
      <c r="M1460" s="9" t="s">
        <v>1392</v>
      </c>
      <c r="N1460" s="9" t="s">
        <v>1370</v>
      </c>
      <c r="O1460" s="20" t="s">
        <v>3084</v>
      </c>
      <c r="P1460" s="106" t="s">
        <v>5482</v>
      </c>
      <c r="Q1460" s="11" t="s">
        <v>794</v>
      </c>
      <c r="R1460" s="148" t="str">
        <f>Agencia[[#This Row],[territorio]]&amp;",población,pueblos,originarios,indígenas,etnia,comunal,"&amp;Agencia[[#This Row],[coleccion]]&amp;","&amp;Agencia[[#This Row],[sector]]&amp;","&amp;Agencia[[#This Row],[tema]]&amp;","&amp;Agencia[[#This Row],[contenido]]</f>
        <v>Región de O'Higgins,población,pueblos,originarios,indígenas,etnia,comunal,Agencia Información,Social,Población de pueblos indígenas,Pueblos indígenas</v>
      </c>
      <c r="S1460" s="54" t="s">
        <v>3085</v>
      </c>
      <c r="T1460" s="107" t="s">
        <v>1855</v>
      </c>
      <c r="U1460" s="46" t="s">
        <v>4354</v>
      </c>
      <c r="V1460" s="93" t="str">
        <f>+Agencia[[#This Row],[idcoleccion]]&amp;"-"&amp;Agencia[[#This Row],[id]]</f>
        <v>990-1449</v>
      </c>
      <c r="W1460" s="93">
        <f>+VLOOKUP(Agencia[[#This Row],[Filtro URL]],Estructura!$X$4:$Y$500,2,0)</f>
        <v>99200006</v>
      </c>
      <c r="X1460" s="93" t="str">
        <f>+VLOOKUP(Agencia[[#This Row],[tema]],Estructura!$A$4:$C$500,3,0)</f>
        <v>T-1055</v>
      </c>
      <c r="Y1460" s="93" t="str">
        <f>+VLOOKUP(Agencia[[#This Row],[contenido]],Estructura!$E$4:$G$500,3,0)</f>
        <v>C-1012</v>
      </c>
      <c r="Z1460" s="93" t="str">
        <f>+VLOOKUP(Agencia[[#This Row],[Filtro Integrado]],Estructura!$I$4:$K$500,3,0)</f>
        <v>FI-991</v>
      </c>
      <c r="AA1460" s="93" t="str">
        <f>+VLOOKUP(Agencia[[#This Row],[Muestra]],Estructura!$M$4:$O$500,3,0)</f>
        <v>M-1055</v>
      </c>
    </row>
    <row r="1461" spans="1:27" ht="57.6" x14ac:dyDescent="0.3">
      <c r="A1461" s="21" t="s">
        <v>2328</v>
      </c>
      <c r="B1461" s="9">
        <v>990</v>
      </c>
      <c r="C1461" s="10" t="s">
        <v>400</v>
      </c>
      <c r="D1461" s="67" t="s">
        <v>785</v>
      </c>
      <c r="E1461" s="19">
        <v>7</v>
      </c>
      <c r="F1461" s="10" t="s">
        <v>3069</v>
      </c>
      <c r="G1461" s="10" t="s">
        <v>3070</v>
      </c>
      <c r="H1461" s="33" t="s">
        <v>16</v>
      </c>
      <c r="I1461" s="34" t="s">
        <v>374</v>
      </c>
      <c r="J1461" s="60" t="s">
        <v>18</v>
      </c>
      <c r="K1461" s="142" t="s">
        <v>9309</v>
      </c>
      <c r="L1461" s="9" t="s">
        <v>3071</v>
      </c>
      <c r="M1461" s="9" t="s">
        <v>1392</v>
      </c>
      <c r="N1461" s="9" t="s">
        <v>1370</v>
      </c>
      <c r="O1461" s="20" t="s">
        <v>3086</v>
      </c>
      <c r="P1461" s="106" t="s">
        <v>5483</v>
      </c>
      <c r="Q1461" s="11" t="s">
        <v>794</v>
      </c>
      <c r="R1461" s="148" t="str">
        <f>Agencia[[#This Row],[territorio]]&amp;",población,pueblos,originarios,indígenas,etnia,comunal,"&amp;Agencia[[#This Row],[coleccion]]&amp;","&amp;Agencia[[#This Row],[sector]]&amp;","&amp;Agencia[[#This Row],[tema]]&amp;","&amp;Agencia[[#This Row],[contenido]]</f>
        <v>Región de Maule,población,pueblos,originarios,indígenas,etnia,comunal,Agencia Información,Social,Población de pueblos indígenas,Pueblos indígenas</v>
      </c>
      <c r="S1461" s="54" t="s">
        <v>3087</v>
      </c>
      <c r="T1461" s="107" t="s">
        <v>1853</v>
      </c>
      <c r="U1461" s="46" t="s">
        <v>4355</v>
      </c>
      <c r="V1461" s="93" t="str">
        <f>+Agencia[[#This Row],[idcoleccion]]&amp;"-"&amp;Agencia[[#This Row],[id]]</f>
        <v>990-1450</v>
      </c>
      <c r="W1461" s="93">
        <f>+VLOOKUP(Agencia[[#This Row],[Filtro URL]],Estructura!$X$4:$Y$500,2,0)</f>
        <v>99200007</v>
      </c>
      <c r="X1461" s="93" t="str">
        <f>+VLOOKUP(Agencia[[#This Row],[tema]],Estructura!$A$4:$C$500,3,0)</f>
        <v>T-1055</v>
      </c>
      <c r="Y1461" s="93" t="str">
        <f>+VLOOKUP(Agencia[[#This Row],[contenido]],Estructura!$E$4:$G$500,3,0)</f>
        <v>C-1012</v>
      </c>
      <c r="Z1461" s="93" t="str">
        <f>+VLOOKUP(Agencia[[#This Row],[Filtro Integrado]],Estructura!$I$4:$K$500,3,0)</f>
        <v>FI-991</v>
      </c>
      <c r="AA1461" s="93" t="str">
        <f>+VLOOKUP(Agencia[[#This Row],[Muestra]],Estructura!$M$4:$O$500,3,0)</f>
        <v>M-1055</v>
      </c>
    </row>
    <row r="1462" spans="1:27" ht="57.6" x14ac:dyDescent="0.3">
      <c r="A1462" s="21" t="s">
        <v>2329</v>
      </c>
      <c r="B1462" s="9">
        <v>990</v>
      </c>
      <c r="C1462" s="10" t="s">
        <v>400</v>
      </c>
      <c r="D1462" s="67" t="s">
        <v>785</v>
      </c>
      <c r="E1462" s="19">
        <v>8</v>
      </c>
      <c r="F1462" s="10" t="s">
        <v>3069</v>
      </c>
      <c r="G1462" s="10" t="s">
        <v>3070</v>
      </c>
      <c r="H1462" s="33" t="s">
        <v>16</v>
      </c>
      <c r="I1462" s="34" t="s">
        <v>375</v>
      </c>
      <c r="J1462" s="60" t="s">
        <v>18</v>
      </c>
      <c r="K1462" s="142" t="s">
        <v>9309</v>
      </c>
      <c r="L1462" s="9" t="s">
        <v>3071</v>
      </c>
      <c r="M1462" s="9" t="s">
        <v>1392</v>
      </c>
      <c r="N1462" s="9" t="s">
        <v>1370</v>
      </c>
      <c r="O1462" s="20" t="s">
        <v>3088</v>
      </c>
      <c r="P1462" s="106" t="s">
        <v>5484</v>
      </c>
      <c r="Q1462" s="11" t="s">
        <v>794</v>
      </c>
      <c r="R1462" s="148" t="str">
        <f>Agencia[[#This Row],[territorio]]&amp;",población,pueblos,originarios,indígenas,etnia,comunal,"&amp;Agencia[[#This Row],[coleccion]]&amp;","&amp;Agencia[[#This Row],[sector]]&amp;","&amp;Agencia[[#This Row],[tema]]&amp;","&amp;Agencia[[#This Row],[contenido]]</f>
        <v>Región del Biobío,población,pueblos,originarios,indígenas,etnia,comunal,Agencia Información,Social,Población de pueblos indígenas,Pueblos indígenas</v>
      </c>
      <c r="S1462" s="54" t="s">
        <v>3089</v>
      </c>
      <c r="T1462" s="107" t="s">
        <v>1858</v>
      </c>
      <c r="U1462" s="46" t="s">
        <v>4356</v>
      </c>
      <c r="V1462" s="93" t="str">
        <f>+Agencia[[#This Row],[idcoleccion]]&amp;"-"&amp;Agencia[[#This Row],[id]]</f>
        <v>990-1451</v>
      </c>
      <c r="W1462" s="93">
        <f>+VLOOKUP(Agencia[[#This Row],[Filtro URL]],Estructura!$X$4:$Y$500,2,0)</f>
        <v>99200008</v>
      </c>
      <c r="X1462" s="93" t="str">
        <f>+VLOOKUP(Agencia[[#This Row],[tema]],Estructura!$A$4:$C$500,3,0)</f>
        <v>T-1055</v>
      </c>
      <c r="Y1462" s="93" t="str">
        <f>+VLOOKUP(Agencia[[#This Row],[contenido]],Estructura!$E$4:$G$500,3,0)</f>
        <v>C-1012</v>
      </c>
      <c r="Z1462" s="93" t="str">
        <f>+VLOOKUP(Agencia[[#This Row],[Filtro Integrado]],Estructura!$I$4:$K$500,3,0)</f>
        <v>FI-991</v>
      </c>
      <c r="AA1462" s="93" t="str">
        <f>+VLOOKUP(Agencia[[#This Row],[Muestra]],Estructura!$M$4:$O$500,3,0)</f>
        <v>M-1055</v>
      </c>
    </row>
    <row r="1463" spans="1:27" ht="57.6" x14ac:dyDescent="0.3">
      <c r="A1463" s="21" t="s">
        <v>2330</v>
      </c>
      <c r="B1463" s="9">
        <v>990</v>
      </c>
      <c r="C1463" s="10" t="s">
        <v>400</v>
      </c>
      <c r="D1463" s="67" t="s">
        <v>785</v>
      </c>
      <c r="E1463" s="19">
        <v>9</v>
      </c>
      <c r="F1463" s="10" t="s">
        <v>3069</v>
      </c>
      <c r="G1463" s="10" t="s">
        <v>3070</v>
      </c>
      <c r="H1463" s="33" t="s">
        <v>16</v>
      </c>
      <c r="I1463" s="34" t="s">
        <v>376</v>
      </c>
      <c r="J1463" s="60" t="s">
        <v>18</v>
      </c>
      <c r="K1463" s="142" t="s">
        <v>9309</v>
      </c>
      <c r="L1463" s="9" t="s">
        <v>3071</v>
      </c>
      <c r="M1463" s="9" t="s">
        <v>1392</v>
      </c>
      <c r="N1463" s="9" t="s">
        <v>1370</v>
      </c>
      <c r="O1463" s="20" t="s">
        <v>3090</v>
      </c>
      <c r="P1463" s="106" t="s">
        <v>5485</v>
      </c>
      <c r="Q1463" s="11" t="s">
        <v>794</v>
      </c>
      <c r="R1463" s="148" t="str">
        <f>Agencia[[#This Row],[territorio]]&amp;",población,pueblos,originarios,indígenas,etnia,comunal,"&amp;Agencia[[#This Row],[coleccion]]&amp;","&amp;Agencia[[#This Row],[sector]]&amp;","&amp;Agencia[[#This Row],[tema]]&amp;","&amp;Agencia[[#This Row],[contenido]]</f>
        <v>Región de La Araucanía,población,pueblos,originarios,indígenas,etnia,comunal,Agencia Información,Social,Población de pueblos indígenas,Pueblos indígenas</v>
      </c>
      <c r="S1463" s="54" t="s">
        <v>3091</v>
      </c>
      <c r="T1463" s="107" t="s">
        <v>1849</v>
      </c>
      <c r="U1463" s="46" t="s">
        <v>4357</v>
      </c>
      <c r="V1463" s="93" t="str">
        <f>+Agencia[[#This Row],[idcoleccion]]&amp;"-"&amp;Agencia[[#This Row],[id]]</f>
        <v>990-1452</v>
      </c>
      <c r="W1463" s="93">
        <f>+VLOOKUP(Agencia[[#This Row],[Filtro URL]],Estructura!$X$4:$Y$500,2,0)</f>
        <v>99200009</v>
      </c>
      <c r="X1463" s="93" t="str">
        <f>+VLOOKUP(Agencia[[#This Row],[tema]],Estructura!$A$4:$C$500,3,0)</f>
        <v>T-1055</v>
      </c>
      <c r="Y1463" s="93" t="str">
        <f>+VLOOKUP(Agencia[[#This Row],[contenido]],Estructura!$E$4:$G$500,3,0)</f>
        <v>C-1012</v>
      </c>
      <c r="Z1463" s="93" t="str">
        <f>+VLOOKUP(Agencia[[#This Row],[Filtro Integrado]],Estructura!$I$4:$K$500,3,0)</f>
        <v>FI-991</v>
      </c>
      <c r="AA1463" s="93" t="str">
        <f>+VLOOKUP(Agencia[[#This Row],[Muestra]],Estructura!$M$4:$O$500,3,0)</f>
        <v>M-1055</v>
      </c>
    </row>
    <row r="1464" spans="1:27" ht="72" x14ac:dyDescent="0.3">
      <c r="A1464" s="21" t="s">
        <v>2331</v>
      </c>
      <c r="B1464" s="9">
        <v>990</v>
      </c>
      <c r="C1464" s="10" t="s">
        <v>400</v>
      </c>
      <c r="D1464" s="67" t="s">
        <v>785</v>
      </c>
      <c r="E1464" s="19">
        <v>10</v>
      </c>
      <c r="F1464" s="10" t="s">
        <v>3069</v>
      </c>
      <c r="G1464" s="10" t="s">
        <v>3070</v>
      </c>
      <c r="H1464" s="33" t="s">
        <v>16</v>
      </c>
      <c r="I1464" s="34" t="s">
        <v>377</v>
      </c>
      <c r="J1464" s="60" t="s">
        <v>18</v>
      </c>
      <c r="K1464" s="142" t="s">
        <v>9309</v>
      </c>
      <c r="L1464" s="9" t="s">
        <v>3071</v>
      </c>
      <c r="M1464" s="9" t="s">
        <v>1392</v>
      </c>
      <c r="N1464" s="9" t="s">
        <v>1370</v>
      </c>
      <c r="O1464" s="20" t="s">
        <v>3092</v>
      </c>
      <c r="P1464" s="106" t="s">
        <v>5486</v>
      </c>
      <c r="Q1464" s="11" t="s">
        <v>794</v>
      </c>
      <c r="R1464" s="148" t="str">
        <f>Agencia[[#This Row],[territorio]]&amp;",población,pueblos,originarios,indígenas,etnia,comunal,"&amp;Agencia[[#This Row],[coleccion]]&amp;","&amp;Agencia[[#This Row],[sector]]&amp;","&amp;Agencia[[#This Row],[tema]]&amp;","&amp;Agencia[[#This Row],[contenido]]</f>
        <v>Región de Los Lagos,población,pueblos,originarios,indígenas,etnia,comunal,Agencia Información,Social,Población de pueblos indígenas,Pueblos indígenas</v>
      </c>
      <c r="S1464" s="54" t="s">
        <v>3093</v>
      </c>
      <c r="T1464" s="107" t="s">
        <v>1850</v>
      </c>
      <c r="U1464" s="46" t="s">
        <v>4358</v>
      </c>
      <c r="V1464" s="93" t="str">
        <f>+Agencia[[#This Row],[idcoleccion]]&amp;"-"&amp;Agencia[[#This Row],[id]]</f>
        <v>990-1453</v>
      </c>
      <c r="W1464" s="93">
        <f>+VLOOKUP(Agencia[[#This Row],[Filtro URL]],Estructura!$X$4:$Y$500,2,0)</f>
        <v>99200010</v>
      </c>
      <c r="X1464" s="93" t="str">
        <f>+VLOOKUP(Agencia[[#This Row],[tema]],Estructura!$A$4:$C$500,3,0)</f>
        <v>T-1055</v>
      </c>
      <c r="Y1464" s="93" t="str">
        <f>+VLOOKUP(Agencia[[#This Row],[contenido]],Estructura!$E$4:$G$500,3,0)</f>
        <v>C-1012</v>
      </c>
      <c r="Z1464" s="93" t="str">
        <f>+VLOOKUP(Agencia[[#This Row],[Filtro Integrado]],Estructura!$I$4:$K$500,3,0)</f>
        <v>FI-991</v>
      </c>
      <c r="AA1464" s="93" t="str">
        <f>+VLOOKUP(Agencia[[#This Row],[Muestra]],Estructura!$M$4:$O$500,3,0)</f>
        <v>M-1055</v>
      </c>
    </row>
    <row r="1465" spans="1:27" ht="72" x14ac:dyDescent="0.3">
      <c r="A1465" s="21" t="s">
        <v>2332</v>
      </c>
      <c r="B1465" s="9">
        <v>990</v>
      </c>
      <c r="C1465" s="10" t="s">
        <v>400</v>
      </c>
      <c r="D1465" s="67" t="s">
        <v>785</v>
      </c>
      <c r="E1465" s="19">
        <v>11</v>
      </c>
      <c r="F1465" s="10" t="s">
        <v>3069</v>
      </c>
      <c r="G1465" s="10" t="s">
        <v>3070</v>
      </c>
      <c r="H1465" s="33" t="s">
        <v>16</v>
      </c>
      <c r="I1465" s="34" t="s">
        <v>378</v>
      </c>
      <c r="J1465" s="60" t="s">
        <v>18</v>
      </c>
      <c r="K1465" s="142" t="s">
        <v>9309</v>
      </c>
      <c r="L1465" s="9" t="s">
        <v>3071</v>
      </c>
      <c r="M1465" s="9" t="s">
        <v>1392</v>
      </c>
      <c r="N1465" s="9" t="s">
        <v>1370</v>
      </c>
      <c r="O1465" s="20" t="s">
        <v>3094</v>
      </c>
      <c r="P1465" s="106" t="s">
        <v>5487</v>
      </c>
      <c r="Q1465" s="11" t="s">
        <v>794</v>
      </c>
      <c r="R1465" s="148" t="str">
        <f>Agencia[[#This Row],[territorio]]&amp;",población,pueblos,originarios,indígenas,etnia,comunal,"&amp;Agencia[[#This Row],[coleccion]]&amp;","&amp;Agencia[[#This Row],[sector]]&amp;","&amp;Agencia[[#This Row],[tema]]&amp;","&amp;Agencia[[#This Row],[contenido]]</f>
        <v>Región de Aysén,población,pueblos,originarios,indígenas,etnia,comunal,Agencia Información,Social,Población de pueblos indígenas,Pueblos indígenas</v>
      </c>
      <c r="S1465" s="54" t="s">
        <v>3095</v>
      </c>
      <c r="T1465" s="107" t="s">
        <v>1847</v>
      </c>
      <c r="U1465" s="46" t="s">
        <v>4359</v>
      </c>
      <c r="V1465" s="93" t="str">
        <f>+Agencia[[#This Row],[idcoleccion]]&amp;"-"&amp;Agencia[[#This Row],[id]]</f>
        <v>990-1454</v>
      </c>
      <c r="W1465" s="93">
        <f>+VLOOKUP(Agencia[[#This Row],[Filtro URL]],Estructura!$X$4:$Y$500,2,0)</f>
        <v>99200011</v>
      </c>
      <c r="X1465" s="93" t="str">
        <f>+VLOOKUP(Agencia[[#This Row],[tema]],Estructura!$A$4:$C$500,3,0)</f>
        <v>T-1055</v>
      </c>
      <c r="Y1465" s="93" t="str">
        <f>+VLOOKUP(Agencia[[#This Row],[contenido]],Estructura!$E$4:$G$500,3,0)</f>
        <v>C-1012</v>
      </c>
      <c r="Z1465" s="93" t="str">
        <f>+VLOOKUP(Agencia[[#This Row],[Filtro Integrado]],Estructura!$I$4:$K$500,3,0)</f>
        <v>FI-991</v>
      </c>
      <c r="AA1465" s="93" t="str">
        <f>+VLOOKUP(Agencia[[#This Row],[Muestra]],Estructura!$M$4:$O$500,3,0)</f>
        <v>M-1055</v>
      </c>
    </row>
    <row r="1466" spans="1:27" ht="72" x14ac:dyDescent="0.3">
      <c r="A1466" s="21" t="s">
        <v>2333</v>
      </c>
      <c r="B1466" s="9">
        <v>990</v>
      </c>
      <c r="C1466" s="10" t="s">
        <v>400</v>
      </c>
      <c r="D1466" s="67" t="s">
        <v>785</v>
      </c>
      <c r="E1466" s="19">
        <v>12</v>
      </c>
      <c r="F1466" s="10" t="s">
        <v>3069</v>
      </c>
      <c r="G1466" s="10" t="s">
        <v>3070</v>
      </c>
      <c r="H1466" s="33" t="s">
        <v>16</v>
      </c>
      <c r="I1466" s="34" t="s">
        <v>379</v>
      </c>
      <c r="J1466" s="60" t="s">
        <v>18</v>
      </c>
      <c r="K1466" s="142" t="s">
        <v>9309</v>
      </c>
      <c r="L1466" s="9" t="s">
        <v>3071</v>
      </c>
      <c r="M1466" s="9" t="s">
        <v>1392</v>
      </c>
      <c r="N1466" s="9" t="s">
        <v>1370</v>
      </c>
      <c r="O1466" s="20" t="s">
        <v>3096</v>
      </c>
      <c r="P1466" s="106" t="s">
        <v>5488</v>
      </c>
      <c r="Q1466" s="11" t="s">
        <v>794</v>
      </c>
      <c r="R1466" s="148" t="str">
        <f>Agencia[[#This Row],[territorio]]&amp;",población,pueblos,originarios,indígenas,etnia,comunal,"&amp;Agencia[[#This Row],[coleccion]]&amp;","&amp;Agencia[[#This Row],[sector]]&amp;","&amp;Agencia[[#This Row],[tema]]&amp;","&amp;Agencia[[#This Row],[contenido]]</f>
        <v>Región de Magallanes,población,pueblos,originarios,indígenas,etnia,comunal,Agencia Información,Social,Población de pueblos indígenas,Pueblos indígenas</v>
      </c>
      <c r="S1466" s="54" t="s">
        <v>3097</v>
      </c>
      <c r="T1466" s="107" t="s">
        <v>1852</v>
      </c>
      <c r="U1466" s="46" t="s">
        <v>4360</v>
      </c>
      <c r="V1466" s="93" t="str">
        <f>+Agencia[[#This Row],[idcoleccion]]&amp;"-"&amp;Agencia[[#This Row],[id]]</f>
        <v>990-1455</v>
      </c>
      <c r="W1466" s="93">
        <f>+VLOOKUP(Agencia[[#This Row],[Filtro URL]],Estructura!$X$4:$Y$500,2,0)</f>
        <v>99200012</v>
      </c>
      <c r="X1466" s="93" t="str">
        <f>+VLOOKUP(Agencia[[#This Row],[tema]],Estructura!$A$4:$C$500,3,0)</f>
        <v>T-1055</v>
      </c>
      <c r="Y1466" s="93" t="str">
        <f>+VLOOKUP(Agencia[[#This Row],[contenido]],Estructura!$E$4:$G$500,3,0)</f>
        <v>C-1012</v>
      </c>
      <c r="Z1466" s="93" t="str">
        <f>+VLOOKUP(Agencia[[#This Row],[Filtro Integrado]],Estructura!$I$4:$K$500,3,0)</f>
        <v>FI-991</v>
      </c>
      <c r="AA1466" s="93" t="str">
        <f>+VLOOKUP(Agencia[[#This Row],[Muestra]],Estructura!$M$4:$O$500,3,0)</f>
        <v>M-1055</v>
      </c>
    </row>
    <row r="1467" spans="1:27" ht="72" x14ac:dyDescent="0.3">
      <c r="A1467" s="21" t="s">
        <v>2334</v>
      </c>
      <c r="B1467" s="9">
        <v>990</v>
      </c>
      <c r="C1467" s="10" t="s">
        <v>400</v>
      </c>
      <c r="D1467" s="67" t="s">
        <v>785</v>
      </c>
      <c r="E1467" s="19">
        <v>13</v>
      </c>
      <c r="F1467" s="10" t="s">
        <v>3069</v>
      </c>
      <c r="G1467" s="10" t="s">
        <v>3070</v>
      </c>
      <c r="H1467" s="33" t="s">
        <v>16</v>
      </c>
      <c r="I1467" s="34" t="s">
        <v>380</v>
      </c>
      <c r="J1467" s="60" t="s">
        <v>18</v>
      </c>
      <c r="K1467" s="142" t="s">
        <v>9309</v>
      </c>
      <c r="L1467" s="9" t="s">
        <v>3071</v>
      </c>
      <c r="M1467" s="9" t="s">
        <v>1392</v>
      </c>
      <c r="N1467" s="9" t="s">
        <v>1370</v>
      </c>
      <c r="O1467" s="20" t="s">
        <v>3098</v>
      </c>
      <c r="P1467" s="106" t="s">
        <v>5489</v>
      </c>
      <c r="Q1467" s="11" t="s">
        <v>794</v>
      </c>
      <c r="R1467" s="148" t="str">
        <f>Agencia[[#This Row],[territorio]]&amp;",población,pueblos,originarios,indígenas,etnia,comunal,"&amp;Agencia[[#This Row],[coleccion]]&amp;","&amp;Agencia[[#This Row],[sector]]&amp;","&amp;Agencia[[#This Row],[tema]]&amp;","&amp;Agencia[[#This Row],[contenido]]</f>
        <v>Región Metropolitana,población,pueblos,originarios,indígenas,etnia,comunal,Agencia Información,Social,Población de pueblos indígenas,Pueblos indígenas</v>
      </c>
      <c r="S1467" s="54" t="s">
        <v>3099</v>
      </c>
      <c r="T1467" s="107" t="s">
        <v>1859</v>
      </c>
      <c r="U1467" s="46" t="s">
        <v>4361</v>
      </c>
      <c r="V1467" s="93" t="str">
        <f>+Agencia[[#This Row],[idcoleccion]]&amp;"-"&amp;Agencia[[#This Row],[id]]</f>
        <v>990-1456</v>
      </c>
      <c r="W1467" s="93">
        <f>+VLOOKUP(Agencia[[#This Row],[Filtro URL]],Estructura!$X$4:$Y$500,2,0)</f>
        <v>99200013</v>
      </c>
      <c r="X1467" s="93" t="str">
        <f>+VLOOKUP(Agencia[[#This Row],[tema]],Estructura!$A$4:$C$500,3,0)</f>
        <v>T-1055</v>
      </c>
      <c r="Y1467" s="93" t="str">
        <f>+VLOOKUP(Agencia[[#This Row],[contenido]],Estructura!$E$4:$G$500,3,0)</f>
        <v>C-1012</v>
      </c>
      <c r="Z1467" s="93" t="str">
        <f>+VLOOKUP(Agencia[[#This Row],[Filtro Integrado]],Estructura!$I$4:$K$500,3,0)</f>
        <v>FI-991</v>
      </c>
      <c r="AA1467" s="93" t="str">
        <f>+VLOOKUP(Agencia[[#This Row],[Muestra]],Estructura!$M$4:$O$500,3,0)</f>
        <v>M-1055</v>
      </c>
    </row>
    <row r="1468" spans="1:27" ht="72" x14ac:dyDescent="0.3">
      <c r="A1468" s="21" t="s">
        <v>3358</v>
      </c>
      <c r="B1468" s="9">
        <v>990</v>
      </c>
      <c r="C1468" s="10" t="s">
        <v>400</v>
      </c>
      <c r="D1468" s="67" t="s">
        <v>785</v>
      </c>
      <c r="E1468" s="19">
        <v>14</v>
      </c>
      <c r="F1468" s="10" t="s">
        <v>3069</v>
      </c>
      <c r="G1468" s="10" t="s">
        <v>3070</v>
      </c>
      <c r="H1468" s="33" t="s">
        <v>16</v>
      </c>
      <c r="I1468" s="34" t="s">
        <v>381</v>
      </c>
      <c r="J1468" s="60" t="s">
        <v>18</v>
      </c>
      <c r="K1468" s="142" t="s">
        <v>9309</v>
      </c>
      <c r="L1468" s="9" t="s">
        <v>3071</v>
      </c>
      <c r="M1468" s="9" t="s">
        <v>1392</v>
      </c>
      <c r="N1468" s="9" t="s">
        <v>1370</v>
      </c>
      <c r="O1468" s="20" t="s">
        <v>3100</v>
      </c>
      <c r="P1468" s="106" t="s">
        <v>5490</v>
      </c>
      <c r="Q1468" s="11" t="s">
        <v>794</v>
      </c>
      <c r="R1468" s="148" t="str">
        <f>Agencia[[#This Row],[territorio]]&amp;",población,pueblos,originarios,indígenas,etnia,comunal,"&amp;Agencia[[#This Row],[coleccion]]&amp;","&amp;Agencia[[#This Row],[sector]]&amp;","&amp;Agencia[[#This Row],[tema]]&amp;","&amp;Agencia[[#This Row],[contenido]]</f>
        <v>Región de Los Ríos,población,pueblos,originarios,indígenas,etnia,comunal,Agencia Información,Social,Población de pueblos indígenas,Pueblos indígenas</v>
      </c>
      <c r="S1468" s="54" t="s">
        <v>3101</v>
      </c>
      <c r="T1468" s="107" t="s">
        <v>1851</v>
      </c>
      <c r="U1468" s="46" t="s">
        <v>4362</v>
      </c>
      <c r="V1468" s="93" t="str">
        <f>+Agencia[[#This Row],[idcoleccion]]&amp;"-"&amp;Agencia[[#This Row],[id]]</f>
        <v>990-1457</v>
      </c>
      <c r="W1468" s="93">
        <f>+VLOOKUP(Agencia[[#This Row],[Filtro URL]],Estructura!$X$4:$Y$500,2,0)</f>
        <v>99200014</v>
      </c>
      <c r="X1468" s="93" t="str">
        <f>+VLOOKUP(Agencia[[#This Row],[tema]],Estructura!$A$4:$C$500,3,0)</f>
        <v>T-1055</v>
      </c>
      <c r="Y1468" s="93" t="str">
        <f>+VLOOKUP(Agencia[[#This Row],[contenido]],Estructura!$E$4:$G$500,3,0)</f>
        <v>C-1012</v>
      </c>
      <c r="Z1468" s="93" t="str">
        <f>+VLOOKUP(Agencia[[#This Row],[Filtro Integrado]],Estructura!$I$4:$K$500,3,0)</f>
        <v>FI-991</v>
      </c>
      <c r="AA1468" s="93" t="str">
        <f>+VLOOKUP(Agencia[[#This Row],[Muestra]],Estructura!$M$4:$O$500,3,0)</f>
        <v>M-1055</v>
      </c>
    </row>
    <row r="1469" spans="1:27" ht="72" x14ac:dyDescent="0.3">
      <c r="A1469" s="21" t="s">
        <v>3359</v>
      </c>
      <c r="B1469" s="9">
        <v>990</v>
      </c>
      <c r="C1469" s="10" t="s">
        <v>400</v>
      </c>
      <c r="D1469" s="67" t="s">
        <v>785</v>
      </c>
      <c r="E1469" s="19">
        <v>15</v>
      </c>
      <c r="F1469" s="10" t="s">
        <v>3069</v>
      </c>
      <c r="G1469" s="10" t="s">
        <v>3070</v>
      </c>
      <c r="H1469" s="33" t="s">
        <v>16</v>
      </c>
      <c r="I1469" s="34" t="s">
        <v>382</v>
      </c>
      <c r="J1469" s="60" t="s">
        <v>18</v>
      </c>
      <c r="K1469" s="142" t="s">
        <v>9309</v>
      </c>
      <c r="L1469" s="9" t="s">
        <v>3071</v>
      </c>
      <c r="M1469" s="9" t="s">
        <v>1392</v>
      </c>
      <c r="N1469" s="9" t="s">
        <v>1370</v>
      </c>
      <c r="O1469" s="20" t="s">
        <v>3102</v>
      </c>
      <c r="P1469" s="106" t="s">
        <v>5491</v>
      </c>
      <c r="Q1469" s="11" t="s">
        <v>794</v>
      </c>
      <c r="R1469" s="148" t="str">
        <f>Agencia[[#This Row],[territorio]]&amp;",población,pueblos,originarios,indígenas,etnia,comunal,"&amp;Agencia[[#This Row],[coleccion]]&amp;","&amp;Agencia[[#This Row],[sector]]&amp;","&amp;Agencia[[#This Row],[tema]]&amp;","&amp;Agencia[[#This Row],[contenido]]</f>
        <v>Región de Arica y Parinacota,población,pueblos,originarios,indígenas,etnia,comunal,Agencia Información,Social,Población de pueblos indígenas,Pueblos indígenas</v>
      </c>
      <c r="S1469" s="54" t="s">
        <v>3103</v>
      </c>
      <c r="T1469" s="107" t="s">
        <v>1845</v>
      </c>
      <c r="U1469" s="46" t="s">
        <v>4363</v>
      </c>
      <c r="V1469" s="93" t="str">
        <f>+Agencia[[#This Row],[idcoleccion]]&amp;"-"&amp;Agencia[[#This Row],[id]]</f>
        <v>990-1458</v>
      </c>
      <c r="W1469" s="93">
        <f>+VLOOKUP(Agencia[[#This Row],[Filtro URL]],Estructura!$X$4:$Y$500,2,0)</f>
        <v>99200015</v>
      </c>
      <c r="X1469" s="93" t="str">
        <f>+VLOOKUP(Agencia[[#This Row],[tema]],Estructura!$A$4:$C$500,3,0)</f>
        <v>T-1055</v>
      </c>
      <c r="Y1469" s="93" t="str">
        <f>+VLOOKUP(Agencia[[#This Row],[contenido]],Estructura!$E$4:$G$500,3,0)</f>
        <v>C-1012</v>
      </c>
      <c r="Z1469" s="93" t="str">
        <f>+VLOOKUP(Agencia[[#This Row],[Filtro Integrado]],Estructura!$I$4:$K$500,3,0)</f>
        <v>FI-991</v>
      </c>
      <c r="AA1469" s="93" t="str">
        <f>+VLOOKUP(Agencia[[#This Row],[Muestra]],Estructura!$M$4:$O$500,3,0)</f>
        <v>M-1055</v>
      </c>
    </row>
    <row r="1470" spans="1:27" ht="72" x14ac:dyDescent="0.3">
      <c r="A1470" s="21" t="s">
        <v>3360</v>
      </c>
      <c r="B1470" s="9">
        <v>990</v>
      </c>
      <c r="C1470" s="10" t="s">
        <v>400</v>
      </c>
      <c r="D1470" s="67" t="s">
        <v>785</v>
      </c>
      <c r="E1470" s="19">
        <v>16</v>
      </c>
      <c r="F1470" s="10" t="s">
        <v>3069</v>
      </c>
      <c r="G1470" s="10" t="s">
        <v>3070</v>
      </c>
      <c r="H1470" s="33" t="s">
        <v>16</v>
      </c>
      <c r="I1470" s="34" t="s">
        <v>383</v>
      </c>
      <c r="J1470" s="60" t="s">
        <v>18</v>
      </c>
      <c r="K1470" s="142" t="s">
        <v>9309</v>
      </c>
      <c r="L1470" s="9" t="s">
        <v>3071</v>
      </c>
      <c r="M1470" s="9" t="s">
        <v>1392</v>
      </c>
      <c r="N1470" s="9" t="s">
        <v>1370</v>
      </c>
      <c r="O1470" s="20" t="s">
        <v>3104</v>
      </c>
      <c r="P1470" s="106" t="s">
        <v>5492</v>
      </c>
      <c r="Q1470" s="11" t="s">
        <v>794</v>
      </c>
      <c r="R1470" s="148" t="str">
        <f>Agencia[[#This Row],[territorio]]&amp;",población,pueblos,originarios,indígenas,etnia,comunal,"&amp;Agencia[[#This Row],[coleccion]]&amp;","&amp;Agencia[[#This Row],[sector]]&amp;","&amp;Agencia[[#This Row],[tema]]&amp;","&amp;Agencia[[#This Row],[contenido]]</f>
        <v>Región de Ñuble,población,pueblos,originarios,indígenas,etnia,comunal,Agencia Información,Social,Población de pueblos indígenas,Pueblos indígenas</v>
      </c>
      <c r="S1470" s="54" t="s">
        <v>3105</v>
      </c>
      <c r="T1470" s="107" t="s">
        <v>1854</v>
      </c>
      <c r="U1470" s="46" t="s">
        <v>4364</v>
      </c>
      <c r="V1470" s="93" t="str">
        <f>+Agencia[[#This Row],[idcoleccion]]&amp;"-"&amp;Agencia[[#This Row],[id]]</f>
        <v>990-1459</v>
      </c>
      <c r="W1470" s="93">
        <f>+VLOOKUP(Agencia[[#This Row],[Filtro URL]],Estructura!$X$4:$Y$500,2,0)</f>
        <v>99200016</v>
      </c>
      <c r="X1470" s="93" t="str">
        <f>+VLOOKUP(Agencia[[#This Row],[tema]],Estructura!$A$4:$C$500,3,0)</f>
        <v>T-1055</v>
      </c>
      <c r="Y1470" s="93" t="str">
        <f>+VLOOKUP(Agencia[[#This Row],[contenido]],Estructura!$E$4:$G$500,3,0)</f>
        <v>C-1012</v>
      </c>
      <c r="Z1470" s="93" t="str">
        <f>+VLOOKUP(Agencia[[#This Row],[Filtro Integrado]],Estructura!$I$4:$K$500,3,0)</f>
        <v>FI-991</v>
      </c>
      <c r="AA1470" s="93" t="str">
        <f>+VLOOKUP(Agencia[[#This Row],[Muestra]],Estructura!$M$4:$O$500,3,0)</f>
        <v>M-1055</v>
      </c>
    </row>
    <row r="1471" spans="1:27" ht="40.799999999999997" x14ac:dyDescent="0.3">
      <c r="A1471" s="21" t="s">
        <v>3361</v>
      </c>
      <c r="B1471" s="9">
        <v>990</v>
      </c>
      <c r="C1471" s="10" t="s">
        <v>400</v>
      </c>
      <c r="D1471" s="67" t="s">
        <v>785</v>
      </c>
      <c r="E1471" s="14">
        <v>0</v>
      </c>
      <c r="F1471" s="10" t="s">
        <v>9308</v>
      </c>
      <c r="G1471" s="10" t="s">
        <v>3070</v>
      </c>
      <c r="H1471" s="31" t="s">
        <v>20</v>
      </c>
      <c r="I1471" s="32" t="s">
        <v>15</v>
      </c>
      <c r="J1471" s="60" t="s">
        <v>956</v>
      </c>
      <c r="K1471" s="142" t="s">
        <v>9309</v>
      </c>
      <c r="L1471" s="9" t="s">
        <v>3071</v>
      </c>
      <c r="M1471" s="9" t="s">
        <v>1392</v>
      </c>
      <c r="N1471" s="9" t="s">
        <v>1370</v>
      </c>
      <c r="O1471" s="20" t="s">
        <v>3106</v>
      </c>
      <c r="P1471" s="106" t="s">
        <v>5493</v>
      </c>
      <c r="Q1471" s="11" t="s">
        <v>576</v>
      </c>
      <c r="R1471" s="148" t="str">
        <f>Agencia[[#This Row],[territorio]]&amp;",población,pueblos,originarios,indígenas,etnia,comunal,"&amp;Agencia[[#This Row],[coleccion]]&amp;","&amp;Agencia[[#This Row],[sector]]&amp;","&amp;Agencia[[#This Row],[tema]]&amp;","&amp;Agencia[[#This Row],[contenido]]</f>
        <v>Chile,población,pueblos,originarios,indígenas,etnia,comunal,Agencia Información,Social,Población por rango etario,Pueblos indígenas</v>
      </c>
      <c r="S1471" s="54" t="s">
        <v>3107</v>
      </c>
      <c r="T1471" s="107" t="s">
        <v>957</v>
      </c>
      <c r="U1471" s="46" t="s">
        <v>4365</v>
      </c>
      <c r="V1471" s="93" t="str">
        <f>+Agencia[[#This Row],[idcoleccion]]&amp;"-"&amp;Agencia[[#This Row],[id]]</f>
        <v>990-1460</v>
      </c>
      <c r="W1471" s="93">
        <f>+VLOOKUP(Agencia[[#This Row],[Filtro URL]],Estructura!$X$4:$Y$500,2,0)</f>
        <v>99100000</v>
      </c>
      <c r="X1471" s="93" t="str">
        <f>+VLOOKUP(Agencia[[#This Row],[tema]],Estructura!$A$4:$C$500,3,0)</f>
        <v>T-1088</v>
      </c>
      <c r="Y1471" s="93" t="str">
        <f>+VLOOKUP(Agencia[[#This Row],[contenido]],Estructura!$E$4:$G$500,3,0)</f>
        <v>C-1012</v>
      </c>
      <c r="Z1471" s="93" t="str">
        <f>+VLOOKUP(Agencia[[#This Row],[Filtro Integrado]],Estructura!$I$4:$K$500,3,0)</f>
        <v>FI-994</v>
      </c>
      <c r="AA1471" s="93" t="str">
        <f>+VLOOKUP(Agencia[[#This Row],[Muestra]],Estructura!$M$4:$O$500,3,0)</f>
        <v>M-1055</v>
      </c>
    </row>
    <row r="1472" spans="1:27" ht="57.6" x14ac:dyDescent="0.3">
      <c r="A1472" s="21" t="s">
        <v>3362</v>
      </c>
      <c r="B1472" s="9">
        <v>990</v>
      </c>
      <c r="C1472" s="10" t="s">
        <v>400</v>
      </c>
      <c r="D1472" s="67" t="s">
        <v>785</v>
      </c>
      <c r="E1472" s="19">
        <v>1</v>
      </c>
      <c r="F1472" s="143" t="s">
        <v>9308</v>
      </c>
      <c r="G1472" s="10" t="s">
        <v>3070</v>
      </c>
      <c r="H1472" s="33" t="s">
        <v>16</v>
      </c>
      <c r="I1472" s="34" t="s">
        <v>368</v>
      </c>
      <c r="J1472" s="60" t="s">
        <v>403</v>
      </c>
      <c r="K1472" s="142" t="s">
        <v>9309</v>
      </c>
      <c r="L1472" s="9" t="s">
        <v>3071</v>
      </c>
      <c r="M1472" s="9" t="s">
        <v>1392</v>
      </c>
      <c r="N1472" s="9" t="s">
        <v>1370</v>
      </c>
      <c r="O1472" s="20" t="s">
        <v>3108</v>
      </c>
      <c r="P1472" s="106" t="s">
        <v>5494</v>
      </c>
      <c r="Q1472" s="11" t="s">
        <v>576</v>
      </c>
      <c r="R1472" s="148" t="str">
        <f>Agencia[[#This Row],[territorio]]&amp;",población,pueblos,originarios,indígenas,etnia,comunal,"&amp;Agencia[[#This Row],[coleccion]]&amp;","&amp;Agencia[[#This Row],[sector]]&amp;","&amp;Agencia[[#This Row],[tema]]&amp;","&amp;Agencia[[#This Row],[contenido]]</f>
        <v>Región de Tarapacá,población,pueblos,originarios,indígenas,etnia,comunal,Agencia Información,Social,Población por rango etario,Pueblos indígenas</v>
      </c>
      <c r="S1472" s="54" t="s">
        <v>3109</v>
      </c>
      <c r="T1472" s="107" t="s">
        <v>1856</v>
      </c>
      <c r="U1472" s="46" t="s">
        <v>4366</v>
      </c>
      <c r="V1472" s="93" t="str">
        <f>+Agencia[[#This Row],[idcoleccion]]&amp;"-"&amp;Agencia[[#This Row],[id]]</f>
        <v>990-1461</v>
      </c>
      <c r="W1472" s="93">
        <f>+VLOOKUP(Agencia[[#This Row],[Filtro URL]],Estructura!$X$4:$Y$500,2,0)</f>
        <v>99200001</v>
      </c>
      <c r="X1472" s="93" t="str">
        <f>+VLOOKUP(Agencia[[#This Row],[tema]],Estructura!$A$4:$C$500,3,0)</f>
        <v>T-1088</v>
      </c>
      <c r="Y1472" s="93" t="str">
        <f>+VLOOKUP(Agencia[[#This Row],[contenido]],Estructura!$E$4:$G$500,3,0)</f>
        <v>C-1012</v>
      </c>
      <c r="Z1472" s="93" t="str">
        <f>+VLOOKUP(Agencia[[#This Row],[Filtro Integrado]],Estructura!$I$4:$K$500,3,0)</f>
        <v>FI-993</v>
      </c>
      <c r="AA1472" s="93" t="str">
        <f>+VLOOKUP(Agencia[[#This Row],[Muestra]],Estructura!$M$4:$O$500,3,0)</f>
        <v>M-1055</v>
      </c>
    </row>
    <row r="1473" spans="1:27" ht="57.6" x14ac:dyDescent="0.3">
      <c r="A1473" s="21" t="s">
        <v>3363</v>
      </c>
      <c r="B1473" s="9">
        <v>990</v>
      </c>
      <c r="C1473" s="10" t="s">
        <v>400</v>
      </c>
      <c r="D1473" s="67" t="s">
        <v>785</v>
      </c>
      <c r="E1473" s="19">
        <v>2</v>
      </c>
      <c r="F1473" s="143" t="s">
        <v>9308</v>
      </c>
      <c r="G1473" s="10" t="s">
        <v>3070</v>
      </c>
      <c r="H1473" s="33" t="s">
        <v>16</v>
      </c>
      <c r="I1473" s="34" t="s">
        <v>369</v>
      </c>
      <c r="J1473" s="60" t="s">
        <v>403</v>
      </c>
      <c r="K1473" s="142" t="s">
        <v>9309</v>
      </c>
      <c r="L1473" s="9" t="s">
        <v>3071</v>
      </c>
      <c r="M1473" s="9" t="s">
        <v>1392</v>
      </c>
      <c r="N1473" s="9" t="s">
        <v>1370</v>
      </c>
      <c r="O1473" s="20" t="s">
        <v>3108</v>
      </c>
      <c r="P1473" s="106" t="s">
        <v>5495</v>
      </c>
      <c r="Q1473" s="11" t="s">
        <v>576</v>
      </c>
      <c r="R1473" s="148" t="str">
        <f>Agencia[[#This Row],[territorio]]&amp;",población,pueblos,originarios,indígenas,etnia,comunal,"&amp;Agencia[[#This Row],[coleccion]]&amp;","&amp;Agencia[[#This Row],[sector]]&amp;","&amp;Agencia[[#This Row],[tema]]&amp;","&amp;Agencia[[#This Row],[contenido]]</f>
        <v>Región de Antofagasta,población,pueblos,originarios,indígenas,etnia,comunal,Agencia Información,Social,Población por rango etario,Pueblos indígenas</v>
      </c>
      <c r="S1473" s="54" t="s">
        <v>3110</v>
      </c>
      <c r="T1473" s="107" t="s">
        <v>1844</v>
      </c>
      <c r="U1473" s="46" t="s">
        <v>4367</v>
      </c>
      <c r="V1473" s="93" t="str">
        <f>+Agencia[[#This Row],[idcoleccion]]&amp;"-"&amp;Agencia[[#This Row],[id]]</f>
        <v>990-1462</v>
      </c>
      <c r="W1473" s="93">
        <f>+VLOOKUP(Agencia[[#This Row],[Filtro URL]],Estructura!$X$4:$Y$500,2,0)</f>
        <v>99200002</v>
      </c>
      <c r="X1473" s="93" t="str">
        <f>+VLOOKUP(Agencia[[#This Row],[tema]],Estructura!$A$4:$C$500,3,0)</f>
        <v>T-1088</v>
      </c>
      <c r="Y1473" s="93" t="str">
        <f>+VLOOKUP(Agencia[[#This Row],[contenido]],Estructura!$E$4:$G$500,3,0)</f>
        <v>C-1012</v>
      </c>
      <c r="Z1473" s="93" t="str">
        <f>+VLOOKUP(Agencia[[#This Row],[Filtro Integrado]],Estructura!$I$4:$K$500,3,0)</f>
        <v>FI-993</v>
      </c>
      <c r="AA1473" s="93" t="str">
        <f>+VLOOKUP(Agencia[[#This Row],[Muestra]],Estructura!$M$4:$O$500,3,0)</f>
        <v>M-1055</v>
      </c>
    </row>
    <row r="1474" spans="1:27" ht="57.6" x14ac:dyDescent="0.3">
      <c r="A1474" s="21" t="s">
        <v>3364</v>
      </c>
      <c r="B1474" s="9">
        <v>990</v>
      </c>
      <c r="C1474" s="10" t="s">
        <v>400</v>
      </c>
      <c r="D1474" s="67" t="s">
        <v>785</v>
      </c>
      <c r="E1474" s="19">
        <v>3</v>
      </c>
      <c r="F1474" s="143" t="s">
        <v>9308</v>
      </c>
      <c r="G1474" s="10" t="s">
        <v>3070</v>
      </c>
      <c r="H1474" s="33" t="s">
        <v>16</v>
      </c>
      <c r="I1474" s="34" t="s">
        <v>370</v>
      </c>
      <c r="J1474" s="60" t="s">
        <v>403</v>
      </c>
      <c r="K1474" s="142" t="s">
        <v>9309</v>
      </c>
      <c r="L1474" s="9" t="s">
        <v>3071</v>
      </c>
      <c r="M1474" s="9" t="s">
        <v>1392</v>
      </c>
      <c r="N1474" s="9" t="s">
        <v>1370</v>
      </c>
      <c r="O1474" s="20" t="s">
        <v>3108</v>
      </c>
      <c r="P1474" s="106" t="s">
        <v>5496</v>
      </c>
      <c r="Q1474" s="11" t="s">
        <v>576</v>
      </c>
      <c r="R1474" s="148" t="str">
        <f>Agencia[[#This Row],[territorio]]&amp;",población,pueblos,originarios,indígenas,etnia,comunal,"&amp;Agencia[[#This Row],[coleccion]]&amp;","&amp;Agencia[[#This Row],[sector]]&amp;","&amp;Agencia[[#This Row],[tema]]&amp;","&amp;Agencia[[#This Row],[contenido]]</f>
        <v>Región de Atacama,población,pueblos,originarios,indígenas,etnia,comunal,Agencia Información,Social,Población por rango etario,Pueblos indígenas</v>
      </c>
      <c r="S1474" s="54" t="s">
        <v>3111</v>
      </c>
      <c r="T1474" s="107" t="s">
        <v>1846</v>
      </c>
      <c r="U1474" s="46" t="s">
        <v>4368</v>
      </c>
      <c r="V1474" s="93" t="str">
        <f>+Agencia[[#This Row],[idcoleccion]]&amp;"-"&amp;Agencia[[#This Row],[id]]</f>
        <v>990-1463</v>
      </c>
      <c r="W1474" s="93">
        <f>+VLOOKUP(Agencia[[#This Row],[Filtro URL]],Estructura!$X$4:$Y$500,2,0)</f>
        <v>99200003</v>
      </c>
      <c r="X1474" s="93" t="str">
        <f>+VLOOKUP(Agencia[[#This Row],[tema]],Estructura!$A$4:$C$500,3,0)</f>
        <v>T-1088</v>
      </c>
      <c r="Y1474" s="93" t="str">
        <f>+VLOOKUP(Agencia[[#This Row],[contenido]],Estructura!$E$4:$G$500,3,0)</f>
        <v>C-1012</v>
      </c>
      <c r="Z1474" s="93" t="str">
        <f>+VLOOKUP(Agencia[[#This Row],[Filtro Integrado]],Estructura!$I$4:$K$500,3,0)</f>
        <v>FI-993</v>
      </c>
      <c r="AA1474" s="93" t="str">
        <f>+VLOOKUP(Agencia[[#This Row],[Muestra]],Estructura!$M$4:$O$500,3,0)</f>
        <v>M-1055</v>
      </c>
    </row>
    <row r="1475" spans="1:27" ht="57.6" x14ac:dyDescent="0.3">
      <c r="A1475" s="21" t="s">
        <v>3365</v>
      </c>
      <c r="B1475" s="9">
        <v>990</v>
      </c>
      <c r="C1475" s="10" t="s">
        <v>400</v>
      </c>
      <c r="D1475" s="67" t="s">
        <v>785</v>
      </c>
      <c r="E1475" s="19">
        <v>4</v>
      </c>
      <c r="F1475" s="143" t="s">
        <v>9308</v>
      </c>
      <c r="G1475" s="10" t="s">
        <v>3070</v>
      </c>
      <c r="H1475" s="33" t="s">
        <v>16</v>
      </c>
      <c r="I1475" s="34" t="s">
        <v>371</v>
      </c>
      <c r="J1475" s="60" t="s">
        <v>403</v>
      </c>
      <c r="K1475" s="142" t="s">
        <v>9309</v>
      </c>
      <c r="L1475" s="9" t="s">
        <v>3071</v>
      </c>
      <c r="M1475" s="9" t="s">
        <v>1392</v>
      </c>
      <c r="N1475" s="9" t="s">
        <v>1370</v>
      </c>
      <c r="O1475" s="20" t="s">
        <v>3108</v>
      </c>
      <c r="P1475" s="106" t="s">
        <v>5497</v>
      </c>
      <c r="Q1475" s="11" t="s">
        <v>576</v>
      </c>
      <c r="R1475" s="148" t="str">
        <f>Agencia[[#This Row],[territorio]]&amp;",población,pueblos,originarios,indígenas,etnia,comunal,"&amp;Agencia[[#This Row],[coleccion]]&amp;","&amp;Agencia[[#This Row],[sector]]&amp;","&amp;Agencia[[#This Row],[tema]]&amp;","&amp;Agencia[[#This Row],[contenido]]</f>
        <v>Región de Coquimbo,población,pueblos,originarios,indígenas,etnia,comunal,Agencia Información,Social,Población por rango etario,Pueblos indígenas</v>
      </c>
      <c r="S1475" s="54" t="s">
        <v>3112</v>
      </c>
      <c r="T1475" s="107" t="s">
        <v>1848</v>
      </c>
      <c r="U1475" s="46" t="s">
        <v>4369</v>
      </c>
      <c r="V1475" s="93" t="str">
        <f>+Agencia[[#This Row],[idcoleccion]]&amp;"-"&amp;Agencia[[#This Row],[id]]</f>
        <v>990-1464</v>
      </c>
      <c r="W1475" s="93">
        <f>+VLOOKUP(Agencia[[#This Row],[Filtro URL]],Estructura!$X$4:$Y$500,2,0)</f>
        <v>99200004</v>
      </c>
      <c r="X1475" s="93" t="str">
        <f>+VLOOKUP(Agencia[[#This Row],[tema]],Estructura!$A$4:$C$500,3,0)</f>
        <v>T-1088</v>
      </c>
      <c r="Y1475" s="93" t="str">
        <f>+VLOOKUP(Agencia[[#This Row],[contenido]],Estructura!$E$4:$G$500,3,0)</f>
        <v>C-1012</v>
      </c>
      <c r="Z1475" s="93" t="str">
        <f>+VLOOKUP(Agencia[[#This Row],[Filtro Integrado]],Estructura!$I$4:$K$500,3,0)</f>
        <v>FI-993</v>
      </c>
      <c r="AA1475" s="93" t="str">
        <f>+VLOOKUP(Agencia[[#This Row],[Muestra]],Estructura!$M$4:$O$500,3,0)</f>
        <v>M-1055</v>
      </c>
    </row>
    <row r="1476" spans="1:27" ht="57.6" x14ac:dyDescent="0.3">
      <c r="A1476" s="21" t="s">
        <v>3366</v>
      </c>
      <c r="B1476" s="9">
        <v>990</v>
      </c>
      <c r="C1476" s="10" t="s">
        <v>400</v>
      </c>
      <c r="D1476" s="67" t="s">
        <v>785</v>
      </c>
      <c r="E1476" s="19">
        <v>5</v>
      </c>
      <c r="F1476" s="143" t="s">
        <v>9308</v>
      </c>
      <c r="G1476" s="10" t="s">
        <v>3070</v>
      </c>
      <c r="H1476" s="33" t="s">
        <v>16</v>
      </c>
      <c r="I1476" s="34" t="s">
        <v>372</v>
      </c>
      <c r="J1476" s="60" t="s">
        <v>403</v>
      </c>
      <c r="K1476" s="142" t="s">
        <v>9309</v>
      </c>
      <c r="L1476" s="9" t="s">
        <v>3071</v>
      </c>
      <c r="M1476" s="9" t="s">
        <v>1392</v>
      </c>
      <c r="N1476" s="9" t="s">
        <v>1370</v>
      </c>
      <c r="O1476" s="20" t="s">
        <v>3108</v>
      </c>
      <c r="P1476" s="106" t="s">
        <v>5498</v>
      </c>
      <c r="Q1476" s="11" t="s">
        <v>576</v>
      </c>
      <c r="R1476" s="148" t="str">
        <f>Agencia[[#This Row],[territorio]]&amp;",población,pueblos,originarios,indígenas,etnia,comunal,"&amp;Agencia[[#This Row],[coleccion]]&amp;","&amp;Agencia[[#This Row],[sector]]&amp;","&amp;Agencia[[#This Row],[tema]]&amp;","&amp;Agencia[[#This Row],[contenido]]</f>
        <v>Región de Valparaíso,población,pueblos,originarios,indígenas,etnia,comunal,Agencia Información,Social,Población por rango etario,Pueblos indígenas</v>
      </c>
      <c r="S1476" s="54" t="s">
        <v>3113</v>
      </c>
      <c r="T1476" s="107" t="s">
        <v>1857</v>
      </c>
      <c r="U1476" s="46" t="s">
        <v>4370</v>
      </c>
      <c r="V1476" s="93" t="str">
        <f>+Agencia[[#This Row],[idcoleccion]]&amp;"-"&amp;Agencia[[#This Row],[id]]</f>
        <v>990-1465</v>
      </c>
      <c r="W1476" s="93">
        <f>+VLOOKUP(Agencia[[#This Row],[Filtro URL]],Estructura!$X$4:$Y$500,2,0)</f>
        <v>99200005</v>
      </c>
      <c r="X1476" s="93" t="str">
        <f>+VLOOKUP(Agencia[[#This Row],[tema]],Estructura!$A$4:$C$500,3,0)</f>
        <v>T-1088</v>
      </c>
      <c r="Y1476" s="93" t="str">
        <f>+VLOOKUP(Agencia[[#This Row],[contenido]],Estructura!$E$4:$G$500,3,0)</f>
        <v>C-1012</v>
      </c>
      <c r="Z1476" s="93" t="str">
        <f>+VLOOKUP(Agencia[[#This Row],[Filtro Integrado]],Estructura!$I$4:$K$500,3,0)</f>
        <v>FI-993</v>
      </c>
      <c r="AA1476" s="93" t="str">
        <f>+VLOOKUP(Agencia[[#This Row],[Muestra]],Estructura!$M$4:$O$500,3,0)</f>
        <v>M-1055</v>
      </c>
    </row>
    <row r="1477" spans="1:27" ht="57.6" x14ac:dyDescent="0.3">
      <c r="A1477" s="21" t="s">
        <v>3367</v>
      </c>
      <c r="B1477" s="9">
        <v>990</v>
      </c>
      <c r="C1477" s="10" t="s">
        <v>400</v>
      </c>
      <c r="D1477" s="67" t="s">
        <v>785</v>
      </c>
      <c r="E1477" s="19">
        <v>6</v>
      </c>
      <c r="F1477" s="143" t="s">
        <v>9308</v>
      </c>
      <c r="G1477" s="10" t="s">
        <v>3070</v>
      </c>
      <c r="H1477" s="33" t="s">
        <v>16</v>
      </c>
      <c r="I1477" s="34" t="s">
        <v>373</v>
      </c>
      <c r="J1477" s="60" t="s">
        <v>403</v>
      </c>
      <c r="K1477" s="142" t="s">
        <v>9309</v>
      </c>
      <c r="L1477" s="9" t="s">
        <v>3071</v>
      </c>
      <c r="M1477" s="9" t="s">
        <v>1392</v>
      </c>
      <c r="N1477" s="9" t="s">
        <v>1370</v>
      </c>
      <c r="O1477" s="20" t="s">
        <v>3108</v>
      </c>
      <c r="P1477" s="106" t="s">
        <v>5499</v>
      </c>
      <c r="Q1477" s="11" t="s">
        <v>576</v>
      </c>
      <c r="R1477" s="148" t="str">
        <f>Agencia[[#This Row],[territorio]]&amp;",población,pueblos,originarios,indígenas,etnia,comunal,"&amp;Agencia[[#This Row],[coleccion]]&amp;","&amp;Agencia[[#This Row],[sector]]&amp;","&amp;Agencia[[#This Row],[tema]]&amp;","&amp;Agencia[[#This Row],[contenido]]</f>
        <v>Región de O'Higgins,población,pueblos,originarios,indígenas,etnia,comunal,Agencia Información,Social,Población por rango etario,Pueblos indígenas</v>
      </c>
      <c r="S1477" s="54" t="s">
        <v>3114</v>
      </c>
      <c r="T1477" s="107" t="s">
        <v>1855</v>
      </c>
      <c r="U1477" s="46" t="s">
        <v>4371</v>
      </c>
      <c r="V1477" s="93" t="str">
        <f>+Agencia[[#This Row],[idcoleccion]]&amp;"-"&amp;Agencia[[#This Row],[id]]</f>
        <v>990-1466</v>
      </c>
      <c r="W1477" s="93">
        <f>+VLOOKUP(Agencia[[#This Row],[Filtro URL]],Estructura!$X$4:$Y$500,2,0)</f>
        <v>99200006</v>
      </c>
      <c r="X1477" s="93" t="str">
        <f>+VLOOKUP(Agencia[[#This Row],[tema]],Estructura!$A$4:$C$500,3,0)</f>
        <v>T-1088</v>
      </c>
      <c r="Y1477" s="93" t="str">
        <f>+VLOOKUP(Agencia[[#This Row],[contenido]],Estructura!$E$4:$G$500,3,0)</f>
        <v>C-1012</v>
      </c>
      <c r="Z1477" s="93" t="str">
        <f>+VLOOKUP(Agencia[[#This Row],[Filtro Integrado]],Estructura!$I$4:$K$500,3,0)</f>
        <v>FI-993</v>
      </c>
      <c r="AA1477" s="93" t="str">
        <f>+VLOOKUP(Agencia[[#This Row],[Muestra]],Estructura!$M$4:$O$500,3,0)</f>
        <v>M-1055</v>
      </c>
    </row>
    <row r="1478" spans="1:27" ht="57.6" x14ac:dyDescent="0.3">
      <c r="A1478" s="21" t="s">
        <v>3368</v>
      </c>
      <c r="B1478" s="9">
        <v>990</v>
      </c>
      <c r="C1478" s="10" t="s">
        <v>400</v>
      </c>
      <c r="D1478" s="67" t="s">
        <v>785</v>
      </c>
      <c r="E1478" s="19">
        <v>7</v>
      </c>
      <c r="F1478" s="143" t="s">
        <v>9308</v>
      </c>
      <c r="G1478" s="10" t="s">
        <v>3070</v>
      </c>
      <c r="H1478" s="33" t="s">
        <v>16</v>
      </c>
      <c r="I1478" s="34" t="s">
        <v>374</v>
      </c>
      <c r="J1478" s="60" t="s">
        <v>403</v>
      </c>
      <c r="K1478" s="142" t="s">
        <v>9309</v>
      </c>
      <c r="L1478" s="9" t="s">
        <v>3071</v>
      </c>
      <c r="M1478" s="9" t="s">
        <v>1392</v>
      </c>
      <c r="N1478" s="9" t="s">
        <v>1370</v>
      </c>
      <c r="O1478" s="20" t="s">
        <v>3108</v>
      </c>
      <c r="P1478" s="106" t="s">
        <v>5500</v>
      </c>
      <c r="Q1478" s="11" t="s">
        <v>576</v>
      </c>
      <c r="R1478" s="148" t="str">
        <f>Agencia[[#This Row],[territorio]]&amp;",población,pueblos,originarios,indígenas,etnia,comunal,"&amp;Agencia[[#This Row],[coleccion]]&amp;","&amp;Agencia[[#This Row],[sector]]&amp;","&amp;Agencia[[#This Row],[tema]]&amp;","&amp;Agencia[[#This Row],[contenido]]</f>
        <v>Región de Maule,población,pueblos,originarios,indígenas,etnia,comunal,Agencia Información,Social,Población por rango etario,Pueblos indígenas</v>
      </c>
      <c r="S1478" s="54" t="s">
        <v>3115</v>
      </c>
      <c r="T1478" s="107" t="s">
        <v>1853</v>
      </c>
      <c r="U1478" s="46" t="s">
        <v>4372</v>
      </c>
      <c r="V1478" s="93" t="str">
        <f>+Agencia[[#This Row],[idcoleccion]]&amp;"-"&amp;Agencia[[#This Row],[id]]</f>
        <v>990-1467</v>
      </c>
      <c r="W1478" s="93">
        <f>+VLOOKUP(Agencia[[#This Row],[Filtro URL]],Estructura!$X$4:$Y$500,2,0)</f>
        <v>99200007</v>
      </c>
      <c r="X1478" s="93" t="str">
        <f>+VLOOKUP(Agencia[[#This Row],[tema]],Estructura!$A$4:$C$500,3,0)</f>
        <v>T-1088</v>
      </c>
      <c r="Y1478" s="93" t="str">
        <f>+VLOOKUP(Agencia[[#This Row],[contenido]],Estructura!$E$4:$G$500,3,0)</f>
        <v>C-1012</v>
      </c>
      <c r="Z1478" s="93" t="str">
        <f>+VLOOKUP(Agencia[[#This Row],[Filtro Integrado]],Estructura!$I$4:$K$500,3,0)</f>
        <v>FI-993</v>
      </c>
      <c r="AA1478" s="93" t="str">
        <f>+VLOOKUP(Agencia[[#This Row],[Muestra]],Estructura!$M$4:$O$500,3,0)</f>
        <v>M-1055</v>
      </c>
    </row>
    <row r="1479" spans="1:27" ht="57.6" x14ac:dyDescent="0.3">
      <c r="A1479" s="21" t="s">
        <v>3369</v>
      </c>
      <c r="B1479" s="9">
        <v>990</v>
      </c>
      <c r="C1479" s="10" t="s">
        <v>400</v>
      </c>
      <c r="D1479" s="67" t="s">
        <v>785</v>
      </c>
      <c r="E1479" s="19">
        <v>8</v>
      </c>
      <c r="F1479" s="143" t="s">
        <v>9308</v>
      </c>
      <c r="G1479" s="10" t="s">
        <v>3070</v>
      </c>
      <c r="H1479" s="33" t="s">
        <v>16</v>
      </c>
      <c r="I1479" s="34" t="s">
        <v>375</v>
      </c>
      <c r="J1479" s="60" t="s">
        <v>403</v>
      </c>
      <c r="K1479" s="142" t="s">
        <v>9309</v>
      </c>
      <c r="L1479" s="9" t="s">
        <v>3071</v>
      </c>
      <c r="M1479" s="9" t="s">
        <v>1392</v>
      </c>
      <c r="N1479" s="9" t="s">
        <v>1370</v>
      </c>
      <c r="O1479" s="20" t="s">
        <v>3108</v>
      </c>
      <c r="P1479" s="106" t="s">
        <v>5501</v>
      </c>
      <c r="Q1479" s="11" t="s">
        <v>576</v>
      </c>
      <c r="R1479" s="148" t="str">
        <f>Agencia[[#This Row],[territorio]]&amp;",población,pueblos,originarios,indígenas,etnia,comunal,"&amp;Agencia[[#This Row],[coleccion]]&amp;","&amp;Agencia[[#This Row],[sector]]&amp;","&amp;Agencia[[#This Row],[tema]]&amp;","&amp;Agencia[[#This Row],[contenido]]</f>
        <v>Región del Biobío,población,pueblos,originarios,indígenas,etnia,comunal,Agencia Información,Social,Población por rango etario,Pueblos indígenas</v>
      </c>
      <c r="S1479" s="54" t="s">
        <v>3116</v>
      </c>
      <c r="T1479" s="107" t="s">
        <v>1858</v>
      </c>
      <c r="U1479" s="46" t="s">
        <v>4373</v>
      </c>
      <c r="V1479" s="93" t="str">
        <f>+Agencia[[#This Row],[idcoleccion]]&amp;"-"&amp;Agencia[[#This Row],[id]]</f>
        <v>990-1468</v>
      </c>
      <c r="W1479" s="93">
        <f>+VLOOKUP(Agencia[[#This Row],[Filtro URL]],Estructura!$X$4:$Y$500,2,0)</f>
        <v>99200008</v>
      </c>
      <c r="X1479" s="93" t="str">
        <f>+VLOOKUP(Agencia[[#This Row],[tema]],Estructura!$A$4:$C$500,3,0)</f>
        <v>T-1088</v>
      </c>
      <c r="Y1479" s="93" t="str">
        <f>+VLOOKUP(Agencia[[#This Row],[contenido]],Estructura!$E$4:$G$500,3,0)</f>
        <v>C-1012</v>
      </c>
      <c r="Z1479" s="93" t="str">
        <f>+VLOOKUP(Agencia[[#This Row],[Filtro Integrado]],Estructura!$I$4:$K$500,3,0)</f>
        <v>FI-993</v>
      </c>
      <c r="AA1479" s="93" t="str">
        <f>+VLOOKUP(Agencia[[#This Row],[Muestra]],Estructura!$M$4:$O$500,3,0)</f>
        <v>M-1055</v>
      </c>
    </row>
    <row r="1480" spans="1:27" ht="57.6" x14ac:dyDescent="0.3">
      <c r="A1480" s="21" t="s">
        <v>3370</v>
      </c>
      <c r="B1480" s="9">
        <v>990</v>
      </c>
      <c r="C1480" s="10" t="s">
        <v>400</v>
      </c>
      <c r="D1480" s="67" t="s">
        <v>785</v>
      </c>
      <c r="E1480" s="19">
        <v>9</v>
      </c>
      <c r="F1480" s="143" t="s">
        <v>9308</v>
      </c>
      <c r="G1480" s="10" t="s">
        <v>3070</v>
      </c>
      <c r="H1480" s="33" t="s">
        <v>16</v>
      </c>
      <c r="I1480" s="34" t="s">
        <v>376</v>
      </c>
      <c r="J1480" s="60" t="s">
        <v>403</v>
      </c>
      <c r="K1480" s="142" t="s">
        <v>9309</v>
      </c>
      <c r="L1480" s="9" t="s">
        <v>3071</v>
      </c>
      <c r="M1480" s="9" t="s">
        <v>1392</v>
      </c>
      <c r="N1480" s="9" t="s">
        <v>1370</v>
      </c>
      <c r="O1480" s="20" t="s">
        <v>3108</v>
      </c>
      <c r="P1480" s="106" t="s">
        <v>5502</v>
      </c>
      <c r="Q1480" s="11" t="s">
        <v>576</v>
      </c>
      <c r="R1480" s="148" t="str">
        <f>Agencia[[#This Row],[territorio]]&amp;",población,pueblos,originarios,indígenas,etnia,comunal,"&amp;Agencia[[#This Row],[coleccion]]&amp;","&amp;Agencia[[#This Row],[sector]]&amp;","&amp;Agencia[[#This Row],[tema]]&amp;","&amp;Agencia[[#This Row],[contenido]]</f>
        <v>Región de La Araucanía,población,pueblos,originarios,indígenas,etnia,comunal,Agencia Información,Social,Población por rango etario,Pueblos indígenas</v>
      </c>
      <c r="S1480" s="54" t="s">
        <v>3117</v>
      </c>
      <c r="T1480" s="107" t="s">
        <v>1849</v>
      </c>
      <c r="U1480" s="46" t="s">
        <v>4374</v>
      </c>
      <c r="V1480" s="93" t="str">
        <f>+Agencia[[#This Row],[idcoleccion]]&amp;"-"&amp;Agencia[[#This Row],[id]]</f>
        <v>990-1469</v>
      </c>
      <c r="W1480" s="93">
        <f>+VLOOKUP(Agencia[[#This Row],[Filtro URL]],Estructura!$X$4:$Y$500,2,0)</f>
        <v>99200009</v>
      </c>
      <c r="X1480" s="93" t="str">
        <f>+VLOOKUP(Agencia[[#This Row],[tema]],Estructura!$A$4:$C$500,3,0)</f>
        <v>T-1088</v>
      </c>
      <c r="Y1480" s="93" t="str">
        <f>+VLOOKUP(Agencia[[#This Row],[contenido]],Estructura!$E$4:$G$500,3,0)</f>
        <v>C-1012</v>
      </c>
      <c r="Z1480" s="93" t="str">
        <f>+VLOOKUP(Agencia[[#This Row],[Filtro Integrado]],Estructura!$I$4:$K$500,3,0)</f>
        <v>FI-993</v>
      </c>
      <c r="AA1480" s="93" t="str">
        <f>+VLOOKUP(Agencia[[#This Row],[Muestra]],Estructura!$M$4:$O$500,3,0)</f>
        <v>M-1055</v>
      </c>
    </row>
    <row r="1481" spans="1:27" ht="72" x14ac:dyDescent="0.3">
      <c r="A1481" s="21" t="s">
        <v>3371</v>
      </c>
      <c r="B1481" s="9">
        <v>990</v>
      </c>
      <c r="C1481" s="10" t="s">
        <v>400</v>
      </c>
      <c r="D1481" s="67" t="s">
        <v>785</v>
      </c>
      <c r="E1481" s="19">
        <v>10</v>
      </c>
      <c r="F1481" s="143" t="s">
        <v>9308</v>
      </c>
      <c r="G1481" s="10" t="s">
        <v>3070</v>
      </c>
      <c r="H1481" s="33" t="s">
        <v>16</v>
      </c>
      <c r="I1481" s="34" t="s">
        <v>377</v>
      </c>
      <c r="J1481" s="60" t="s">
        <v>403</v>
      </c>
      <c r="K1481" s="142" t="s">
        <v>9309</v>
      </c>
      <c r="L1481" s="9" t="s">
        <v>3071</v>
      </c>
      <c r="M1481" s="9" t="s">
        <v>1392</v>
      </c>
      <c r="N1481" s="9" t="s">
        <v>1370</v>
      </c>
      <c r="O1481" s="20" t="s">
        <v>3108</v>
      </c>
      <c r="P1481" s="106" t="s">
        <v>5503</v>
      </c>
      <c r="Q1481" s="11" t="s">
        <v>576</v>
      </c>
      <c r="R1481" s="148" t="str">
        <f>Agencia[[#This Row],[territorio]]&amp;",población,pueblos,originarios,indígenas,etnia,comunal,"&amp;Agencia[[#This Row],[coleccion]]&amp;","&amp;Agencia[[#This Row],[sector]]&amp;","&amp;Agencia[[#This Row],[tema]]&amp;","&amp;Agencia[[#This Row],[contenido]]</f>
        <v>Región de Los Lagos,población,pueblos,originarios,indígenas,etnia,comunal,Agencia Información,Social,Población por rango etario,Pueblos indígenas</v>
      </c>
      <c r="S1481" s="54" t="s">
        <v>3118</v>
      </c>
      <c r="T1481" s="107" t="s">
        <v>1850</v>
      </c>
      <c r="U1481" s="46" t="s">
        <v>4375</v>
      </c>
      <c r="V1481" s="93" t="str">
        <f>+Agencia[[#This Row],[idcoleccion]]&amp;"-"&amp;Agencia[[#This Row],[id]]</f>
        <v>990-1470</v>
      </c>
      <c r="W1481" s="93">
        <f>+VLOOKUP(Agencia[[#This Row],[Filtro URL]],Estructura!$X$4:$Y$500,2,0)</f>
        <v>99200010</v>
      </c>
      <c r="X1481" s="93" t="str">
        <f>+VLOOKUP(Agencia[[#This Row],[tema]],Estructura!$A$4:$C$500,3,0)</f>
        <v>T-1088</v>
      </c>
      <c r="Y1481" s="93" t="str">
        <f>+VLOOKUP(Agencia[[#This Row],[contenido]],Estructura!$E$4:$G$500,3,0)</f>
        <v>C-1012</v>
      </c>
      <c r="Z1481" s="93" t="str">
        <f>+VLOOKUP(Agencia[[#This Row],[Filtro Integrado]],Estructura!$I$4:$K$500,3,0)</f>
        <v>FI-993</v>
      </c>
      <c r="AA1481" s="93" t="str">
        <f>+VLOOKUP(Agencia[[#This Row],[Muestra]],Estructura!$M$4:$O$500,3,0)</f>
        <v>M-1055</v>
      </c>
    </row>
    <row r="1482" spans="1:27" ht="72" x14ac:dyDescent="0.3">
      <c r="A1482" s="21" t="s">
        <v>3372</v>
      </c>
      <c r="B1482" s="9">
        <v>990</v>
      </c>
      <c r="C1482" s="10" t="s">
        <v>400</v>
      </c>
      <c r="D1482" s="67" t="s">
        <v>785</v>
      </c>
      <c r="E1482" s="19">
        <v>11</v>
      </c>
      <c r="F1482" s="143" t="s">
        <v>9308</v>
      </c>
      <c r="G1482" s="10" t="s">
        <v>3070</v>
      </c>
      <c r="H1482" s="33" t="s">
        <v>16</v>
      </c>
      <c r="I1482" s="34" t="s">
        <v>378</v>
      </c>
      <c r="J1482" s="60" t="s">
        <v>403</v>
      </c>
      <c r="K1482" s="142" t="s">
        <v>9309</v>
      </c>
      <c r="L1482" s="9" t="s">
        <v>3071</v>
      </c>
      <c r="M1482" s="9" t="s">
        <v>1392</v>
      </c>
      <c r="N1482" s="9" t="s">
        <v>1370</v>
      </c>
      <c r="O1482" s="20" t="s">
        <v>3108</v>
      </c>
      <c r="P1482" s="106" t="s">
        <v>5504</v>
      </c>
      <c r="Q1482" s="11" t="s">
        <v>576</v>
      </c>
      <c r="R1482" s="148" t="str">
        <f>Agencia[[#This Row],[territorio]]&amp;",población,pueblos,originarios,indígenas,etnia,comunal,"&amp;Agencia[[#This Row],[coleccion]]&amp;","&amp;Agencia[[#This Row],[sector]]&amp;","&amp;Agencia[[#This Row],[tema]]&amp;","&amp;Agencia[[#This Row],[contenido]]</f>
        <v>Región de Aysén,población,pueblos,originarios,indígenas,etnia,comunal,Agencia Información,Social,Población por rango etario,Pueblos indígenas</v>
      </c>
      <c r="S1482" s="54" t="s">
        <v>3119</v>
      </c>
      <c r="T1482" s="107" t="s">
        <v>1847</v>
      </c>
      <c r="U1482" s="46" t="s">
        <v>4376</v>
      </c>
      <c r="V1482" s="93" t="str">
        <f>+Agencia[[#This Row],[idcoleccion]]&amp;"-"&amp;Agencia[[#This Row],[id]]</f>
        <v>990-1471</v>
      </c>
      <c r="W1482" s="93">
        <f>+VLOOKUP(Agencia[[#This Row],[Filtro URL]],Estructura!$X$4:$Y$500,2,0)</f>
        <v>99200011</v>
      </c>
      <c r="X1482" s="93" t="str">
        <f>+VLOOKUP(Agencia[[#This Row],[tema]],Estructura!$A$4:$C$500,3,0)</f>
        <v>T-1088</v>
      </c>
      <c r="Y1482" s="93" t="str">
        <f>+VLOOKUP(Agencia[[#This Row],[contenido]],Estructura!$E$4:$G$500,3,0)</f>
        <v>C-1012</v>
      </c>
      <c r="Z1482" s="93" t="str">
        <f>+VLOOKUP(Agencia[[#This Row],[Filtro Integrado]],Estructura!$I$4:$K$500,3,0)</f>
        <v>FI-993</v>
      </c>
      <c r="AA1482" s="93" t="str">
        <f>+VLOOKUP(Agencia[[#This Row],[Muestra]],Estructura!$M$4:$O$500,3,0)</f>
        <v>M-1055</v>
      </c>
    </row>
    <row r="1483" spans="1:27" ht="72" x14ac:dyDescent="0.3">
      <c r="A1483" s="21" t="s">
        <v>3373</v>
      </c>
      <c r="B1483" s="9">
        <v>990</v>
      </c>
      <c r="C1483" s="10" t="s">
        <v>400</v>
      </c>
      <c r="D1483" s="67" t="s">
        <v>785</v>
      </c>
      <c r="E1483" s="19">
        <v>12</v>
      </c>
      <c r="F1483" s="143" t="s">
        <v>9308</v>
      </c>
      <c r="G1483" s="10" t="s">
        <v>3070</v>
      </c>
      <c r="H1483" s="33" t="s">
        <v>16</v>
      </c>
      <c r="I1483" s="34" t="s">
        <v>379</v>
      </c>
      <c r="J1483" s="60" t="s">
        <v>403</v>
      </c>
      <c r="K1483" s="142" t="s">
        <v>9309</v>
      </c>
      <c r="L1483" s="9" t="s">
        <v>3071</v>
      </c>
      <c r="M1483" s="9" t="s">
        <v>1392</v>
      </c>
      <c r="N1483" s="9" t="s">
        <v>1370</v>
      </c>
      <c r="O1483" s="20" t="s">
        <v>3108</v>
      </c>
      <c r="P1483" s="106" t="s">
        <v>5505</v>
      </c>
      <c r="Q1483" s="11" t="s">
        <v>576</v>
      </c>
      <c r="R1483" s="148" t="str">
        <f>Agencia[[#This Row],[territorio]]&amp;",población,pueblos,originarios,indígenas,etnia,comunal,"&amp;Agencia[[#This Row],[coleccion]]&amp;","&amp;Agencia[[#This Row],[sector]]&amp;","&amp;Agencia[[#This Row],[tema]]&amp;","&amp;Agencia[[#This Row],[contenido]]</f>
        <v>Región de Magallanes,población,pueblos,originarios,indígenas,etnia,comunal,Agencia Información,Social,Población por rango etario,Pueblos indígenas</v>
      </c>
      <c r="S1483" s="54" t="s">
        <v>3120</v>
      </c>
      <c r="T1483" s="107" t="s">
        <v>1852</v>
      </c>
      <c r="U1483" s="46" t="s">
        <v>4377</v>
      </c>
      <c r="V1483" s="93" t="str">
        <f>+Agencia[[#This Row],[idcoleccion]]&amp;"-"&amp;Agencia[[#This Row],[id]]</f>
        <v>990-1472</v>
      </c>
      <c r="W1483" s="93">
        <f>+VLOOKUP(Agencia[[#This Row],[Filtro URL]],Estructura!$X$4:$Y$500,2,0)</f>
        <v>99200012</v>
      </c>
      <c r="X1483" s="93" t="str">
        <f>+VLOOKUP(Agencia[[#This Row],[tema]],Estructura!$A$4:$C$500,3,0)</f>
        <v>T-1088</v>
      </c>
      <c r="Y1483" s="93" t="str">
        <f>+VLOOKUP(Agencia[[#This Row],[contenido]],Estructura!$E$4:$G$500,3,0)</f>
        <v>C-1012</v>
      </c>
      <c r="Z1483" s="93" t="str">
        <f>+VLOOKUP(Agencia[[#This Row],[Filtro Integrado]],Estructura!$I$4:$K$500,3,0)</f>
        <v>FI-993</v>
      </c>
      <c r="AA1483" s="93" t="str">
        <f>+VLOOKUP(Agencia[[#This Row],[Muestra]],Estructura!$M$4:$O$500,3,0)</f>
        <v>M-1055</v>
      </c>
    </row>
    <row r="1484" spans="1:27" ht="72" x14ac:dyDescent="0.3">
      <c r="A1484" s="21" t="s">
        <v>3374</v>
      </c>
      <c r="B1484" s="9">
        <v>990</v>
      </c>
      <c r="C1484" s="10" t="s">
        <v>400</v>
      </c>
      <c r="D1484" s="67" t="s">
        <v>785</v>
      </c>
      <c r="E1484" s="19">
        <v>13</v>
      </c>
      <c r="F1484" s="143" t="s">
        <v>9308</v>
      </c>
      <c r="G1484" s="10" t="s">
        <v>3070</v>
      </c>
      <c r="H1484" s="33" t="s">
        <v>16</v>
      </c>
      <c r="I1484" s="34" t="s">
        <v>380</v>
      </c>
      <c r="J1484" s="60" t="s">
        <v>403</v>
      </c>
      <c r="K1484" s="142" t="s">
        <v>9309</v>
      </c>
      <c r="L1484" s="9" t="s">
        <v>3071</v>
      </c>
      <c r="M1484" s="9" t="s">
        <v>1392</v>
      </c>
      <c r="N1484" s="9" t="s">
        <v>1370</v>
      </c>
      <c r="O1484" s="20" t="s">
        <v>3108</v>
      </c>
      <c r="P1484" s="106" t="s">
        <v>5506</v>
      </c>
      <c r="Q1484" s="11" t="s">
        <v>576</v>
      </c>
      <c r="R1484" s="148" t="str">
        <f>Agencia[[#This Row],[territorio]]&amp;",población,pueblos,originarios,indígenas,etnia,comunal,"&amp;Agencia[[#This Row],[coleccion]]&amp;","&amp;Agencia[[#This Row],[sector]]&amp;","&amp;Agencia[[#This Row],[tema]]&amp;","&amp;Agencia[[#This Row],[contenido]]</f>
        <v>Región Metropolitana,población,pueblos,originarios,indígenas,etnia,comunal,Agencia Información,Social,Población por rango etario,Pueblos indígenas</v>
      </c>
      <c r="S1484" s="54" t="s">
        <v>3121</v>
      </c>
      <c r="T1484" s="107" t="s">
        <v>1859</v>
      </c>
      <c r="U1484" s="46" t="s">
        <v>4378</v>
      </c>
      <c r="V1484" s="93" t="str">
        <f>+Agencia[[#This Row],[idcoleccion]]&amp;"-"&amp;Agencia[[#This Row],[id]]</f>
        <v>990-1473</v>
      </c>
      <c r="W1484" s="93">
        <f>+VLOOKUP(Agencia[[#This Row],[Filtro URL]],Estructura!$X$4:$Y$500,2,0)</f>
        <v>99200013</v>
      </c>
      <c r="X1484" s="93" t="str">
        <f>+VLOOKUP(Agencia[[#This Row],[tema]],Estructura!$A$4:$C$500,3,0)</f>
        <v>T-1088</v>
      </c>
      <c r="Y1484" s="93" t="str">
        <f>+VLOOKUP(Agencia[[#This Row],[contenido]],Estructura!$E$4:$G$500,3,0)</f>
        <v>C-1012</v>
      </c>
      <c r="Z1484" s="93" t="str">
        <f>+VLOOKUP(Agencia[[#This Row],[Filtro Integrado]],Estructura!$I$4:$K$500,3,0)</f>
        <v>FI-993</v>
      </c>
      <c r="AA1484" s="93" t="str">
        <f>+VLOOKUP(Agencia[[#This Row],[Muestra]],Estructura!$M$4:$O$500,3,0)</f>
        <v>M-1055</v>
      </c>
    </row>
    <row r="1485" spans="1:27" ht="72" x14ac:dyDescent="0.3">
      <c r="A1485" s="21" t="s">
        <v>3375</v>
      </c>
      <c r="B1485" s="9">
        <v>990</v>
      </c>
      <c r="C1485" s="10" t="s">
        <v>400</v>
      </c>
      <c r="D1485" s="67" t="s">
        <v>785</v>
      </c>
      <c r="E1485" s="19">
        <v>14</v>
      </c>
      <c r="F1485" s="143" t="s">
        <v>9308</v>
      </c>
      <c r="G1485" s="10" t="s">
        <v>3070</v>
      </c>
      <c r="H1485" s="33" t="s">
        <v>16</v>
      </c>
      <c r="I1485" s="34" t="s">
        <v>381</v>
      </c>
      <c r="J1485" s="60" t="s">
        <v>403</v>
      </c>
      <c r="K1485" s="142" t="s">
        <v>9309</v>
      </c>
      <c r="L1485" s="9" t="s">
        <v>3071</v>
      </c>
      <c r="M1485" s="9" t="s">
        <v>1392</v>
      </c>
      <c r="N1485" s="9" t="s">
        <v>1370</v>
      </c>
      <c r="O1485" s="20" t="s">
        <v>3108</v>
      </c>
      <c r="P1485" s="106" t="s">
        <v>5507</v>
      </c>
      <c r="Q1485" s="11" t="s">
        <v>576</v>
      </c>
      <c r="R1485" s="148" t="str">
        <f>Agencia[[#This Row],[territorio]]&amp;",población,pueblos,originarios,indígenas,etnia,comunal,"&amp;Agencia[[#This Row],[coleccion]]&amp;","&amp;Agencia[[#This Row],[sector]]&amp;","&amp;Agencia[[#This Row],[tema]]&amp;","&amp;Agencia[[#This Row],[contenido]]</f>
        <v>Región de Los Ríos,población,pueblos,originarios,indígenas,etnia,comunal,Agencia Información,Social,Población por rango etario,Pueblos indígenas</v>
      </c>
      <c r="S1485" s="54" t="s">
        <v>3122</v>
      </c>
      <c r="T1485" s="107" t="s">
        <v>1851</v>
      </c>
      <c r="U1485" s="46" t="s">
        <v>4379</v>
      </c>
      <c r="V1485" s="93" t="str">
        <f>+Agencia[[#This Row],[idcoleccion]]&amp;"-"&amp;Agencia[[#This Row],[id]]</f>
        <v>990-1474</v>
      </c>
      <c r="W1485" s="93">
        <f>+VLOOKUP(Agencia[[#This Row],[Filtro URL]],Estructura!$X$4:$Y$500,2,0)</f>
        <v>99200014</v>
      </c>
      <c r="X1485" s="93" t="str">
        <f>+VLOOKUP(Agencia[[#This Row],[tema]],Estructura!$A$4:$C$500,3,0)</f>
        <v>T-1088</v>
      </c>
      <c r="Y1485" s="93" t="str">
        <f>+VLOOKUP(Agencia[[#This Row],[contenido]],Estructura!$E$4:$G$500,3,0)</f>
        <v>C-1012</v>
      </c>
      <c r="Z1485" s="93" t="str">
        <f>+VLOOKUP(Agencia[[#This Row],[Filtro Integrado]],Estructura!$I$4:$K$500,3,0)</f>
        <v>FI-993</v>
      </c>
      <c r="AA1485" s="93" t="str">
        <f>+VLOOKUP(Agencia[[#This Row],[Muestra]],Estructura!$M$4:$O$500,3,0)</f>
        <v>M-1055</v>
      </c>
    </row>
    <row r="1486" spans="1:27" ht="72" x14ac:dyDescent="0.3">
      <c r="A1486" s="21" t="s">
        <v>3376</v>
      </c>
      <c r="B1486" s="9">
        <v>990</v>
      </c>
      <c r="C1486" s="10" t="s">
        <v>400</v>
      </c>
      <c r="D1486" s="67" t="s">
        <v>785</v>
      </c>
      <c r="E1486" s="19">
        <v>15</v>
      </c>
      <c r="F1486" s="143" t="s">
        <v>9308</v>
      </c>
      <c r="G1486" s="10" t="s">
        <v>3070</v>
      </c>
      <c r="H1486" s="33" t="s">
        <v>16</v>
      </c>
      <c r="I1486" s="34" t="s">
        <v>382</v>
      </c>
      <c r="J1486" s="60" t="s">
        <v>403</v>
      </c>
      <c r="K1486" s="142" t="s">
        <v>9309</v>
      </c>
      <c r="L1486" s="9" t="s">
        <v>3071</v>
      </c>
      <c r="M1486" s="9" t="s">
        <v>1392</v>
      </c>
      <c r="N1486" s="9" t="s">
        <v>1370</v>
      </c>
      <c r="O1486" s="20" t="s">
        <v>3108</v>
      </c>
      <c r="P1486" s="106" t="s">
        <v>5508</v>
      </c>
      <c r="Q1486" s="11" t="s">
        <v>576</v>
      </c>
      <c r="R1486" s="148" t="str">
        <f>Agencia[[#This Row],[territorio]]&amp;",población,pueblos,originarios,indígenas,etnia,comunal,"&amp;Agencia[[#This Row],[coleccion]]&amp;","&amp;Agencia[[#This Row],[sector]]&amp;","&amp;Agencia[[#This Row],[tema]]&amp;","&amp;Agencia[[#This Row],[contenido]]</f>
        <v>Región de Arica y Parinacota,población,pueblos,originarios,indígenas,etnia,comunal,Agencia Información,Social,Población por rango etario,Pueblos indígenas</v>
      </c>
      <c r="S1486" s="54" t="s">
        <v>3123</v>
      </c>
      <c r="T1486" s="107" t="s">
        <v>1845</v>
      </c>
      <c r="U1486" s="46" t="s">
        <v>4380</v>
      </c>
      <c r="V1486" s="93" t="str">
        <f>+Agencia[[#This Row],[idcoleccion]]&amp;"-"&amp;Agencia[[#This Row],[id]]</f>
        <v>990-1475</v>
      </c>
      <c r="W1486" s="93">
        <f>+VLOOKUP(Agencia[[#This Row],[Filtro URL]],Estructura!$X$4:$Y$500,2,0)</f>
        <v>99200015</v>
      </c>
      <c r="X1486" s="93" t="str">
        <f>+VLOOKUP(Agencia[[#This Row],[tema]],Estructura!$A$4:$C$500,3,0)</f>
        <v>T-1088</v>
      </c>
      <c r="Y1486" s="93" t="str">
        <f>+VLOOKUP(Agencia[[#This Row],[contenido]],Estructura!$E$4:$G$500,3,0)</f>
        <v>C-1012</v>
      </c>
      <c r="Z1486" s="93" t="str">
        <f>+VLOOKUP(Agencia[[#This Row],[Filtro Integrado]],Estructura!$I$4:$K$500,3,0)</f>
        <v>FI-993</v>
      </c>
      <c r="AA1486" s="93" t="str">
        <f>+VLOOKUP(Agencia[[#This Row],[Muestra]],Estructura!$M$4:$O$500,3,0)</f>
        <v>M-1055</v>
      </c>
    </row>
    <row r="1487" spans="1:27" ht="72" x14ac:dyDescent="0.3">
      <c r="A1487" s="21" t="s">
        <v>3377</v>
      </c>
      <c r="B1487" s="9">
        <v>990</v>
      </c>
      <c r="C1487" s="10" t="s">
        <v>400</v>
      </c>
      <c r="D1487" s="67" t="s">
        <v>785</v>
      </c>
      <c r="E1487" s="19">
        <v>16</v>
      </c>
      <c r="F1487" s="143" t="s">
        <v>9308</v>
      </c>
      <c r="G1487" s="10" t="s">
        <v>3070</v>
      </c>
      <c r="H1487" s="33" t="s">
        <v>16</v>
      </c>
      <c r="I1487" s="34" t="s">
        <v>383</v>
      </c>
      <c r="J1487" s="60" t="s">
        <v>403</v>
      </c>
      <c r="K1487" s="142" t="s">
        <v>9309</v>
      </c>
      <c r="L1487" s="9" t="s">
        <v>3071</v>
      </c>
      <c r="M1487" s="9" t="s">
        <v>1392</v>
      </c>
      <c r="N1487" s="9" t="s">
        <v>1370</v>
      </c>
      <c r="O1487" s="20" t="s">
        <v>3108</v>
      </c>
      <c r="P1487" s="106" t="s">
        <v>5509</v>
      </c>
      <c r="Q1487" s="11" t="s">
        <v>576</v>
      </c>
      <c r="R1487" s="148" t="str">
        <f>Agencia[[#This Row],[territorio]]&amp;",población,pueblos,originarios,indígenas,etnia,comunal,"&amp;Agencia[[#This Row],[coleccion]]&amp;","&amp;Agencia[[#This Row],[sector]]&amp;","&amp;Agencia[[#This Row],[tema]]&amp;","&amp;Agencia[[#This Row],[contenido]]</f>
        <v>Región de Ñuble,población,pueblos,originarios,indígenas,etnia,comunal,Agencia Información,Social,Población por rango etario,Pueblos indígenas</v>
      </c>
      <c r="S1487" s="54" t="s">
        <v>3124</v>
      </c>
      <c r="T1487" s="107" t="s">
        <v>1854</v>
      </c>
      <c r="U1487" s="46" t="s">
        <v>4381</v>
      </c>
      <c r="V1487" s="93" t="str">
        <f>+Agencia[[#This Row],[idcoleccion]]&amp;"-"&amp;Agencia[[#This Row],[id]]</f>
        <v>990-1476</v>
      </c>
      <c r="W1487" s="93">
        <f>+VLOOKUP(Agencia[[#This Row],[Filtro URL]],Estructura!$X$4:$Y$500,2,0)</f>
        <v>99200016</v>
      </c>
      <c r="X1487" s="93" t="str">
        <f>+VLOOKUP(Agencia[[#This Row],[tema]],Estructura!$A$4:$C$500,3,0)</f>
        <v>T-1088</v>
      </c>
      <c r="Y1487" s="93" t="str">
        <f>+VLOOKUP(Agencia[[#This Row],[contenido]],Estructura!$E$4:$G$500,3,0)</f>
        <v>C-1012</v>
      </c>
      <c r="Z1487" s="93" t="str">
        <f>+VLOOKUP(Agencia[[#This Row],[Filtro Integrado]],Estructura!$I$4:$K$500,3,0)</f>
        <v>FI-993</v>
      </c>
      <c r="AA1487" s="93" t="str">
        <f>+VLOOKUP(Agencia[[#This Row],[Muestra]],Estructura!$M$4:$O$500,3,0)</f>
        <v>M-1055</v>
      </c>
    </row>
    <row r="1488" spans="1:27" ht="40.799999999999997" x14ac:dyDescent="0.3">
      <c r="A1488" s="21" t="s">
        <v>3378</v>
      </c>
      <c r="B1488" s="9">
        <v>990</v>
      </c>
      <c r="C1488" s="10" t="s">
        <v>400</v>
      </c>
      <c r="D1488" s="67" t="s">
        <v>785</v>
      </c>
      <c r="E1488" s="14">
        <v>0</v>
      </c>
      <c r="F1488" s="10" t="s">
        <v>3069</v>
      </c>
      <c r="G1488" s="10" t="s">
        <v>3070</v>
      </c>
      <c r="H1488" s="31" t="s">
        <v>20</v>
      </c>
      <c r="I1488" s="32" t="s">
        <v>15</v>
      </c>
      <c r="J1488" s="60" t="s">
        <v>403</v>
      </c>
      <c r="K1488" s="142" t="s">
        <v>9309</v>
      </c>
      <c r="L1488" s="9" t="s">
        <v>3071</v>
      </c>
      <c r="M1488" s="9" t="s">
        <v>1392</v>
      </c>
      <c r="N1488" s="9" t="s">
        <v>1370</v>
      </c>
      <c r="O1488" s="20" t="s">
        <v>3125</v>
      </c>
      <c r="P1488" s="106" t="s">
        <v>5510</v>
      </c>
      <c r="Q1488" s="11" t="s">
        <v>586</v>
      </c>
      <c r="R1488" s="20" t="str">
        <f>Agencia[[#This Row],[territorio]]&amp;",personas,población,pueblos,originarios,indígenas,etnia,"&amp;Agencia[[#This Row],[coleccion]]&amp;","&amp;Agencia[[#This Row],[sector]]&amp;","&amp;Agencia[[#This Row],[tema]]&amp;","&amp;Agencia[[#This Row],[contenido]]</f>
        <v>Chile,personas,población,pueblos,originarios,indígenas,etnia,Agencia Información,Social,Población de pueblos indígenas,Pueblos indígenas</v>
      </c>
      <c r="S1488" s="83" t="s">
        <v>3126</v>
      </c>
      <c r="T1488" s="107">
        <v>0</v>
      </c>
      <c r="U1488" s="46" t="s">
        <v>4382</v>
      </c>
      <c r="V1488" s="93" t="str">
        <f>+Agencia[[#This Row],[idcoleccion]]&amp;"-"&amp;Agencia[[#This Row],[id]]</f>
        <v>990-1477</v>
      </c>
      <c r="W1488" s="93">
        <f>+VLOOKUP(Agencia[[#This Row],[Filtro URL]],Estructura!$X$4:$Y$500,2,0)</f>
        <v>99100000</v>
      </c>
      <c r="X1488" s="93" t="str">
        <f>+VLOOKUP(Agencia[[#This Row],[tema]],Estructura!$A$4:$C$500,3,0)</f>
        <v>T-1055</v>
      </c>
      <c r="Y1488" s="93" t="str">
        <f>+VLOOKUP(Agencia[[#This Row],[contenido]],Estructura!$E$4:$G$500,3,0)</f>
        <v>C-1012</v>
      </c>
      <c r="Z1488" s="93" t="str">
        <f>+VLOOKUP(Agencia[[#This Row],[Filtro Integrado]],Estructura!$I$4:$K$500,3,0)</f>
        <v>FI-993</v>
      </c>
      <c r="AA1488" s="93" t="str">
        <f>+VLOOKUP(Agencia[[#This Row],[Muestra]],Estructura!$M$4:$O$500,3,0)</f>
        <v>M-1055</v>
      </c>
    </row>
    <row r="1489" spans="1:27" ht="81.599999999999994" x14ac:dyDescent="0.3">
      <c r="A1489" s="21" t="s">
        <v>3379</v>
      </c>
      <c r="B1489" s="9">
        <v>990</v>
      </c>
      <c r="C1489" s="10" t="s">
        <v>400</v>
      </c>
      <c r="D1489" s="67" t="s">
        <v>785</v>
      </c>
      <c r="E1489" s="14">
        <v>0</v>
      </c>
      <c r="F1489" s="10" t="s">
        <v>3069</v>
      </c>
      <c r="G1489" s="10" t="s">
        <v>3070</v>
      </c>
      <c r="H1489" s="31" t="s">
        <v>20</v>
      </c>
      <c r="I1489" s="32" t="s">
        <v>15</v>
      </c>
      <c r="J1489" s="60" t="s">
        <v>403</v>
      </c>
      <c r="K1489" s="142" t="s">
        <v>9309</v>
      </c>
      <c r="L1489" s="9" t="s">
        <v>3071</v>
      </c>
      <c r="M1489" s="9" t="s">
        <v>1392</v>
      </c>
      <c r="N1489" s="9" t="s">
        <v>1370</v>
      </c>
      <c r="O1489" s="9" t="s">
        <v>3127</v>
      </c>
      <c r="P1489" s="106" t="s">
        <v>5511</v>
      </c>
      <c r="Q1489" s="11" t="s">
        <v>576</v>
      </c>
      <c r="R1489" s="20" t="str">
        <f>Agencia[[#This Row],[territorio]]&amp;",población,pueblos,originarios,indígenas,etnia,regional,yagán,yámana,rapa nui,quechua,mapuche,lican antai,kawésqar,diaguita,colla,aymara,"&amp;Agencia[[#This Row],[coleccion]]&amp;","&amp;Agencia[[#This Row],[sector]]&amp;","&amp;Agencia[[#This Row],[tema]]&amp;","&amp;Agencia[[#This Row],[contenido]]</f>
        <v>Chile,población,pueblos,originarios,indígenas,etnia,regional,yagán,yámana,rapa nui,quechua,mapuche,lican antai,kawésqar,diaguita,colla,aymara,Agencia Información,Social,Población de pueblos indígenas,Pueblos indígenas</v>
      </c>
      <c r="S1489" s="83" t="s">
        <v>3128</v>
      </c>
      <c r="T1489" s="107" t="s">
        <v>805</v>
      </c>
      <c r="U1489" s="46" t="s">
        <v>4383</v>
      </c>
      <c r="V1489" s="93" t="str">
        <f>+Agencia[[#This Row],[idcoleccion]]&amp;"-"&amp;Agencia[[#This Row],[id]]</f>
        <v>990-1478</v>
      </c>
      <c r="W1489" s="93">
        <f>+VLOOKUP(Agencia[[#This Row],[Filtro URL]],Estructura!$X$4:$Y$500,2,0)</f>
        <v>99100000</v>
      </c>
      <c r="X1489" s="93" t="str">
        <f>+VLOOKUP(Agencia[[#This Row],[tema]],Estructura!$A$4:$C$500,3,0)</f>
        <v>T-1055</v>
      </c>
      <c r="Y1489" s="93" t="str">
        <f>+VLOOKUP(Agencia[[#This Row],[contenido]],Estructura!$E$4:$G$500,3,0)</f>
        <v>C-1012</v>
      </c>
      <c r="Z1489" s="93" t="str">
        <f>+VLOOKUP(Agencia[[#This Row],[Filtro Integrado]],Estructura!$I$4:$K$500,3,0)</f>
        <v>FI-993</v>
      </c>
      <c r="AA1489" s="93" t="str">
        <f>+VLOOKUP(Agencia[[#This Row],[Muestra]],Estructura!$M$4:$O$500,3,0)</f>
        <v>M-1055</v>
      </c>
    </row>
    <row r="1490" spans="1:27" ht="71.400000000000006" x14ac:dyDescent="0.3">
      <c r="A1490" s="21" t="s">
        <v>3380</v>
      </c>
      <c r="B1490" s="9">
        <v>990</v>
      </c>
      <c r="C1490" s="10" t="s">
        <v>400</v>
      </c>
      <c r="D1490" s="67" t="s">
        <v>785</v>
      </c>
      <c r="E1490" s="19">
        <v>1</v>
      </c>
      <c r="F1490" s="10" t="s">
        <v>3069</v>
      </c>
      <c r="G1490" s="10" t="s">
        <v>3070</v>
      </c>
      <c r="H1490" s="33" t="s">
        <v>16</v>
      </c>
      <c r="I1490" s="34" t="s">
        <v>368</v>
      </c>
      <c r="J1490" s="60" t="s">
        <v>403</v>
      </c>
      <c r="K1490" s="142" t="s">
        <v>9309</v>
      </c>
      <c r="L1490" s="9" t="s">
        <v>3071</v>
      </c>
      <c r="M1490" s="9" t="s">
        <v>1392</v>
      </c>
      <c r="N1490" s="9" t="s">
        <v>1370</v>
      </c>
      <c r="O1490" s="9" t="s">
        <v>3129</v>
      </c>
      <c r="P1490" s="106" t="s">
        <v>5512</v>
      </c>
      <c r="Q1490" s="11" t="s">
        <v>576</v>
      </c>
      <c r="R1490"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Tarapacá,población,pueblos,originarios,indígenas,etnia,regional,yagán,yámana,rapa nui,quechua,mapuche,lican antai,kawésqar,diaguita,colla,aymara,Agencia Información,Social,Población de pueblos indígenas,Pueblos indígenas</v>
      </c>
      <c r="S1490" s="54" t="s">
        <v>3130</v>
      </c>
      <c r="T1490" s="107" t="s">
        <v>1872</v>
      </c>
      <c r="U1490" s="46" t="s">
        <v>4384</v>
      </c>
      <c r="V1490" s="93" t="str">
        <f>+Agencia[[#This Row],[idcoleccion]]&amp;"-"&amp;Agencia[[#This Row],[id]]</f>
        <v>990-1479</v>
      </c>
      <c r="W1490" s="93">
        <f>+VLOOKUP(Agencia[[#This Row],[Filtro URL]],Estructura!$X$4:$Y$500,2,0)</f>
        <v>99200001</v>
      </c>
      <c r="X1490" s="93" t="str">
        <f>+VLOOKUP(Agencia[[#This Row],[tema]],Estructura!$A$4:$C$500,3,0)</f>
        <v>T-1055</v>
      </c>
      <c r="Y1490" s="93" t="str">
        <f>+VLOOKUP(Agencia[[#This Row],[contenido]],Estructura!$E$4:$G$500,3,0)</f>
        <v>C-1012</v>
      </c>
      <c r="Z1490" s="93" t="str">
        <f>+VLOOKUP(Agencia[[#This Row],[Filtro Integrado]],Estructura!$I$4:$K$500,3,0)</f>
        <v>FI-993</v>
      </c>
      <c r="AA1490" s="93" t="str">
        <f>+VLOOKUP(Agencia[[#This Row],[Muestra]],Estructura!$M$4:$O$500,3,0)</f>
        <v>M-1055</v>
      </c>
    </row>
    <row r="1491" spans="1:27" ht="71.400000000000006" x14ac:dyDescent="0.3">
      <c r="A1491" s="21" t="s">
        <v>3381</v>
      </c>
      <c r="B1491" s="9">
        <v>990</v>
      </c>
      <c r="C1491" s="10" t="s">
        <v>400</v>
      </c>
      <c r="D1491" s="67" t="s">
        <v>785</v>
      </c>
      <c r="E1491" s="19">
        <v>2</v>
      </c>
      <c r="F1491" s="10" t="s">
        <v>3069</v>
      </c>
      <c r="G1491" s="10" t="s">
        <v>3070</v>
      </c>
      <c r="H1491" s="33" t="s">
        <v>16</v>
      </c>
      <c r="I1491" s="34" t="s">
        <v>369</v>
      </c>
      <c r="J1491" s="60" t="s">
        <v>403</v>
      </c>
      <c r="K1491" s="142" t="s">
        <v>9309</v>
      </c>
      <c r="L1491" s="9" t="s">
        <v>3071</v>
      </c>
      <c r="M1491" s="9" t="s">
        <v>1392</v>
      </c>
      <c r="N1491" s="9" t="s">
        <v>1370</v>
      </c>
      <c r="O1491" s="9" t="s">
        <v>3131</v>
      </c>
      <c r="P1491" s="106" t="s">
        <v>5513</v>
      </c>
      <c r="Q1491" s="11" t="s">
        <v>576</v>
      </c>
      <c r="R1491"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Antofagasta,población,pueblos,originarios,indígenas,etnia,regional,yagán,yámana,rapa nui,quechua,mapuche,lican antai,kawésqar,diaguita,colla,aymara,Agencia Información,Social,Población de pueblos indígenas,Pueblos indígenas</v>
      </c>
      <c r="S1491" s="54" t="s">
        <v>3132</v>
      </c>
      <c r="T1491" s="107" t="s">
        <v>1860</v>
      </c>
      <c r="U1491" s="46" t="s">
        <v>4385</v>
      </c>
      <c r="V1491" s="93" t="str">
        <f>+Agencia[[#This Row],[idcoleccion]]&amp;"-"&amp;Agencia[[#This Row],[id]]</f>
        <v>990-1480</v>
      </c>
      <c r="W1491" s="93">
        <f>+VLOOKUP(Agencia[[#This Row],[Filtro URL]],Estructura!$X$4:$Y$500,2,0)</f>
        <v>99200002</v>
      </c>
      <c r="X1491" s="93" t="str">
        <f>+VLOOKUP(Agencia[[#This Row],[tema]],Estructura!$A$4:$C$500,3,0)</f>
        <v>T-1055</v>
      </c>
      <c r="Y1491" s="93" t="str">
        <f>+VLOOKUP(Agencia[[#This Row],[contenido]],Estructura!$E$4:$G$500,3,0)</f>
        <v>C-1012</v>
      </c>
      <c r="Z1491" s="93" t="str">
        <f>+VLOOKUP(Agencia[[#This Row],[Filtro Integrado]],Estructura!$I$4:$K$500,3,0)</f>
        <v>FI-993</v>
      </c>
      <c r="AA1491" s="93" t="str">
        <f>+VLOOKUP(Agencia[[#This Row],[Muestra]],Estructura!$M$4:$O$500,3,0)</f>
        <v>M-1055</v>
      </c>
    </row>
    <row r="1492" spans="1:27" ht="71.400000000000006" x14ac:dyDescent="0.3">
      <c r="A1492" s="21" t="s">
        <v>3382</v>
      </c>
      <c r="B1492" s="9">
        <v>990</v>
      </c>
      <c r="C1492" s="10" t="s">
        <v>400</v>
      </c>
      <c r="D1492" s="67" t="s">
        <v>785</v>
      </c>
      <c r="E1492" s="19">
        <v>3</v>
      </c>
      <c r="F1492" s="10" t="s">
        <v>3069</v>
      </c>
      <c r="G1492" s="10" t="s">
        <v>3070</v>
      </c>
      <c r="H1492" s="33" t="s">
        <v>16</v>
      </c>
      <c r="I1492" s="34" t="s">
        <v>370</v>
      </c>
      <c r="J1492" s="60" t="s">
        <v>403</v>
      </c>
      <c r="K1492" s="142" t="s">
        <v>9309</v>
      </c>
      <c r="L1492" s="9" t="s">
        <v>3071</v>
      </c>
      <c r="M1492" s="9" t="s">
        <v>1392</v>
      </c>
      <c r="N1492" s="9" t="s">
        <v>1370</v>
      </c>
      <c r="O1492" s="9" t="s">
        <v>3133</v>
      </c>
      <c r="P1492" s="106" t="s">
        <v>5514</v>
      </c>
      <c r="Q1492" s="11" t="s">
        <v>576</v>
      </c>
      <c r="R1492"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Atacama,población,pueblos,originarios,indígenas,etnia,regional,yagán,yámana,rapa nui,quechua,mapuche,lican antai,kawésqar,diaguita,colla,aymara,Agencia Información,Social,Población de pueblos indígenas,Pueblos indígenas</v>
      </c>
      <c r="S1492" s="54" t="s">
        <v>3134</v>
      </c>
      <c r="T1492" s="107" t="s">
        <v>1862</v>
      </c>
      <c r="U1492" s="46" t="s">
        <v>4386</v>
      </c>
      <c r="V1492" s="93" t="str">
        <f>+Agencia[[#This Row],[idcoleccion]]&amp;"-"&amp;Agencia[[#This Row],[id]]</f>
        <v>990-1481</v>
      </c>
      <c r="W1492" s="93">
        <f>+VLOOKUP(Agencia[[#This Row],[Filtro URL]],Estructura!$X$4:$Y$500,2,0)</f>
        <v>99200003</v>
      </c>
      <c r="X1492" s="93" t="str">
        <f>+VLOOKUP(Agencia[[#This Row],[tema]],Estructura!$A$4:$C$500,3,0)</f>
        <v>T-1055</v>
      </c>
      <c r="Y1492" s="93" t="str">
        <f>+VLOOKUP(Agencia[[#This Row],[contenido]],Estructura!$E$4:$G$500,3,0)</f>
        <v>C-1012</v>
      </c>
      <c r="Z1492" s="93" t="str">
        <f>+VLOOKUP(Agencia[[#This Row],[Filtro Integrado]],Estructura!$I$4:$K$500,3,0)</f>
        <v>FI-993</v>
      </c>
      <c r="AA1492" s="93" t="str">
        <f>+VLOOKUP(Agencia[[#This Row],[Muestra]],Estructura!$M$4:$O$500,3,0)</f>
        <v>M-1055</v>
      </c>
    </row>
    <row r="1493" spans="1:27" ht="71.400000000000006" x14ac:dyDescent="0.3">
      <c r="A1493" s="21" t="s">
        <v>3383</v>
      </c>
      <c r="B1493" s="9">
        <v>990</v>
      </c>
      <c r="C1493" s="10" t="s">
        <v>400</v>
      </c>
      <c r="D1493" s="67" t="s">
        <v>785</v>
      </c>
      <c r="E1493" s="19">
        <v>4</v>
      </c>
      <c r="F1493" s="10" t="s">
        <v>3069</v>
      </c>
      <c r="G1493" s="10" t="s">
        <v>3070</v>
      </c>
      <c r="H1493" s="33" t="s">
        <v>16</v>
      </c>
      <c r="I1493" s="34" t="s">
        <v>371</v>
      </c>
      <c r="J1493" s="60" t="s">
        <v>403</v>
      </c>
      <c r="K1493" s="142" t="s">
        <v>9309</v>
      </c>
      <c r="L1493" s="9" t="s">
        <v>3071</v>
      </c>
      <c r="M1493" s="9" t="s">
        <v>1392</v>
      </c>
      <c r="N1493" s="9" t="s">
        <v>1370</v>
      </c>
      <c r="O1493" s="9" t="s">
        <v>3135</v>
      </c>
      <c r="P1493" s="106" t="s">
        <v>5515</v>
      </c>
      <c r="Q1493" s="11" t="s">
        <v>576</v>
      </c>
      <c r="R1493"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Coquimbo,población,pueblos,originarios,indígenas,etnia,regional,yagán,yámana,rapa nui,quechua,mapuche,lican antai,kawésqar,diaguita,colla,aymara,Agencia Información,Social,Población de pueblos indígenas,Pueblos indígenas</v>
      </c>
      <c r="S1493" s="54" t="s">
        <v>3136</v>
      </c>
      <c r="T1493" s="107" t="s">
        <v>1864</v>
      </c>
      <c r="U1493" s="46" t="s">
        <v>4387</v>
      </c>
      <c r="V1493" s="93" t="str">
        <f>+Agencia[[#This Row],[idcoleccion]]&amp;"-"&amp;Agencia[[#This Row],[id]]</f>
        <v>990-1482</v>
      </c>
      <c r="W1493" s="93">
        <f>+VLOOKUP(Agencia[[#This Row],[Filtro URL]],Estructura!$X$4:$Y$500,2,0)</f>
        <v>99200004</v>
      </c>
      <c r="X1493" s="93" t="str">
        <f>+VLOOKUP(Agencia[[#This Row],[tema]],Estructura!$A$4:$C$500,3,0)</f>
        <v>T-1055</v>
      </c>
      <c r="Y1493" s="93" t="str">
        <f>+VLOOKUP(Agencia[[#This Row],[contenido]],Estructura!$E$4:$G$500,3,0)</f>
        <v>C-1012</v>
      </c>
      <c r="Z1493" s="93" t="str">
        <f>+VLOOKUP(Agencia[[#This Row],[Filtro Integrado]],Estructura!$I$4:$K$500,3,0)</f>
        <v>FI-993</v>
      </c>
      <c r="AA1493" s="93" t="str">
        <f>+VLOOKUP(Agencia[[#This Row],[Muestra]],Estructura!$M$4:$O$500,3,0)</f>
        <v>M-1055</v>
      </c>
    </row>
    <row r="1494" spans="1:27" ht="71.400000000000006" x14ac:dyDescent="0.3">
      <c r="A1494" s="21" t="s">
        <v>3384</v>
      </c>
      <c r="B1494" s="9">
        <v>990</v>
      </c>
      <c r="C1494" s="10" t="s">
        <v>400</v>
      </c>
      <c r="D1494" s="67" t="s">
        <v>785</v>
      </c>
      <c r="E1494" s="19">
        <v>5</v>
      </c>
      <c r="F1494" s="10" t="s">
        <v>3069</v>
      </c>
      <c r="G1494" s="10" t="s">
        <v>3070</v>
      </c>
      <c r="H1494" s="33" t="s">
        <v>16</v>
      </c>
      <c r="I1494" s="34" t="s">
        <v>372</v>
      </c>
      <c r="J1494" s="60" t="s">
        <v>403</v>
      </c>
      <c r="K1494" s="142" t="s">
        <v>9309</v>
      </c>
      <c r="L1494" s="9" t="s">
        <v>3071</v>
      </c>
      <c r="M1494" s="9" t="s">
        <v>1392</v>
      </c>
      <c r="N1494" s="9" t="s">
        <v>1370</v>
      </c>
      <c r="O1494" s="9" t="s">
        <v>3137</v>
      </c>
      <c r="P1494" s="106" t="s">
        <v>5516</v>
      </c>
      <c r="Q1494" s="11" t="s">
        <v>576</v>
      </c>
      <c r="R1494"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Valparaíso,población,pueblos,originarios,indígenas,etnia,regional,yagán,yámana,rapa nui,quechua,mapuche,lican antai,kawésqar,diaguita,colla,aymara,Agencia Información,Social,Población de pueblos indígenas,Pueblos indígenas</v>
      </c>
      <c r="S1494" s="54" t="s">
        <v>3138</v>
      </c>
      <c r="T1494" s="107" t="s">
        <v>1873</v>
      </c>
      <c r="U1494" s="46" t="s">
        <v>4388</v>
      </c>
      <c r="V1494" s="93" t="str">
        <f>+Agencia[[#This Row],[idcoleccion]]&amp;"-"&amp;Agencia[[#This Row],[id]]</f>
        <v>990-1483</v>
      </c>
      <c r="W1494" s="93">
        <f>+VLOOKUP(Agencia[[#This Row],[Filtro URL]],Estructura!$X$4:$Y$500,2,0)</f>
        <v>99200005</v>
      </c>
      <c r="X1494" s="93" t="str">
        <f>+VLOOKUP(Agencia[[#This Row],[tema]],Estructura!$A$4:$C$500,3,0)</f>
        <v>T-1055</v>
      </c>
      <c r="Y1494" s="93" t="str">
        <f>+VLOOKUP(Agencia[[#This Row],[contenido]],Estructura!$E$4:$G$500,3,0)</f>
        <v>C-1012</v>
      </c>
      <c r="Z1494" s="93" t="str">
        <f>+VLOOKUP(Agencia[[#This Row],[Filtro Integrado]],Estructura!$I$4:$K$500,3,0)</f>
        <v>FI-993</v>
      </c>
      <c r="AA1494" s="93" t="str">
        <f>+VLOOKUP(Agencia[[#This Row],[Muestra]],Estructura!$M$4:$O$500,3,0)</f>
        <v>M-1055</v>
      </c>
    </row>
    <row r="1495" spans="1:27" ht="71.400000000000006" x14ac:dyDescent="0.3">
      <c r="A1495" s="21" t="s">
        <v>3385</v>
      </c>
      <c r="B1495" s="9">
        <v>990</v>
      </c>
      <c r="C1495" s="10" t="s">
        <v>400</v>
      </c>
      <c r="D1495" s="67" t="s">
        <v>785</v>
      </c>
      <c r="E1495" s="19">
        <v>6</v>
      </c>
      <c r="F1495" s="10" t="s">
        <v>3069</v>
      </c>
      <c r="G1495" s="10" t="s">
        <v>3070</v>
      </c>
      <c r="H1495" s="33" t="s">
        <v>16</v>
      </c>
      <c r="I1495" s="34" t="s">
        <v>373</v>
      </c>
      <c r="J1495" s="60" t="s">
        <v>403</v>
      </c>
      <c r="K1495" s="142" t="s">
        <v>9309</v>
      </c>
      <c r="L1495" s="9" t="s">
        <v>3071</v>
      </c>
      <c r="M1495" s="9" t="s">
        <v>1392</v>
      </c>
      <c r="N1495" s="9" t="s">
        <v>1370</v>
      </c>
      <c r="O1495" s="9" t="s">
        <v>3139</v>
      </c>
      <c r="P1495" s="106" t="s">
        <v>5517</v>
      </c>
      <c r="Q1495" s="11" t="s">
        <v>576</v>
      </c>
      <c r="R1495"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O'Higgins,población,pueblos,originarios,indígenas,etnia,regional,yagán,yámana,rapa nui,quechua,mapuche,lican antai,kawésqar,diaguita,colla,aymara,Agencia Información,Social,Población de pueblos indígenas,Pueblos indígenas</v>
      </c>
      <c r="S1495" s="54" t="s">
        <v>3140</v>
      </c>
      <c r="T1495" s="107" t="s">
        <v>1871</v>
      </c>
      <c r="U1495" s="46" t="s">
        <v>4389</v>
      </c>
      <c r="V1495" s="93" t="str">
        <f>+Agencia[[#This Row],[idcoleccion]]&amp;"-"&amp;Agencia[[#This Row],[id]]</f>
        <v>990-1484</v>
      </c>
      <c r="W1495" s="93">
        <f>+VLOOKUP(Agencia[[#This Row],[Filtro URL]],Estructura!$X$4:$Y$500,2,0)</f>
        <v>99200006</v>
      </c>
      <c r="X1495" s="93" t="str">
        <f>+VLOOKUP(Agencia[[#This Row],[tema]],Estructura!$A$4:$C$500,3,0)</f>
        <v>T-1055</v>
      </c>
      <c r="Y1495" s="93" t="str">
        <f>+VLOOKUP(Agencia[[#This Row],[contenido]],Estructura!$E$4:$G$500,3,0)</f>
        <v>C-1012</v>
      </c>
      <c r="Z1495" s="93" t="str">
        <f>+VLOOKUP(Agencia[[#This Row],[Filtro Integrado]],Estructura!$I$4:$K$500,3,0)</f>
        <v>FI-993</v>
      </c>
      <c r="AA1495" s="93" t="str">
        <f>+VLOOKUP(Agencia[[#This Row],[Muestra]],Estructura!$M$4:$O$500,3,0)</f>
        <v>M-1055</v>
      </c>
    </row>
    <row r="1496" spans="1:27" ht="71.400000000000006" x14ac:dyDescent="0.3">
      <c r="A1496" s="21" t="s">
        <v>3386</v>
      </c>
      <c r="B1496" s="9">
        <v>990</v>
      </c>
      <c r="C1496" s="10" t="s">
        <v>400</v>
      </c>
      <c r="D1496" s="67" t="s">
        <v>785</v>
      </c>
      <c r="E1496" s="19">
        <v>7</v>
      </c>
      <c r="F1496" s="10" t="s">
        <v>3069</v>
      </c>
      <c r="G1496" s="10" t="s">
        <v>3070</v>
      </c>
      <c r="H1496" s="33" t="s">
        <v>16</v>
      </c>
      <c r="I1496" s="34" t="s">
        <v>374</v>
      </c>
      <c r="J1496" s="60" t="s">
        <v>403</v>
      </c>
      <c r="K1496" s="142" t="s">
        <v>9309</v>
      </c>
      <c r="L1496" s="9" t="s">
        <v>3071</v>
      </c>
      <c r="M1496" s="9" t="s">
        <v>1392</v>
      </c>
      <c r="N1496" s="9" t="s">
        <v>1370</v>
      </c>
      <c r="O1496" s="9" t="s">
        <v>3141</v>
      </c>
      <c r="P1496" s="106" t="s">
        <v>5518</v>
      </c>
      <c r="Q1496" s="11" t="s">
        <v>576</v>
      </c>
      <c r="R1496"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Maule,población,pueblos,originarios,indígenas,etnia,regional,yagán,yámana,rapa nui,quechua,mapuche,lican antai,kawésqar,diaguita,colla,aymara,Agencia Información,Social,Población de pueblos indígenas,Pueblos indígenas</v>
      </c>
      <c r="S1496" s="54" t="s">
        <v>3142</v>
      </c>
      <c r="T1496" s="107" t="s">
        <v>1869</v>
      </c>
      <c r="U1496" s="46" t="s">
        <v>4390</v>
      </c>
      <c r="V1496" s="93" t="str">
        <f>+Agencia[[#This Row],[idcoleccion]]&amp;"-"&amp;Agencia[[#This Row],[id]]</f>
        <v>990-1485</v>
      </c>
      <c r="W1496" s="93">
        <f>+VLOOKUP(Agencia[[#This Row],[Filtro URL]],Estructura!$X$4:$Y$500,2,0)</f>
        <v>99200007</v>
      </c>
      <c r="X1496" s="93" t="str">
        <f>+VLOOKUP(Agencia[[#This Row],[tema]],Estructura!$A$4:$C$500,3,0)</f>
        <v>T-1055</v>
      </c>
      <c r="Y1496" s="93" t="str">
        <f>+VLOOKUP(Agencia[[#This Row],[contenido]],Estructura!$E$4:$G$500,3,0)</f>
        <v>C-1012</v>
      </c>
      <c r="Z1496" s="93" t="str">
        <f>+VLOOKUP(Agencia[[#This Row],[Filtro Integrado]],Estructura!$I$4:$K$500,3,0)</f>
        <v>FI-993</v>
      </c>
      <c r="AA1496" s="93" t="str">
        <f>+VLOOKUP(Agencia[[#This Row],[Muestra]],Estructura!$M$4:$O$500,3,0)</f>
        <v>M-1055</v>
      </c>
    </row>
    <row r="1497" spans="1:27" ht="71.400000000000006" x14ac:dyDescent="0.3">
      <c r="A1497" s="21" t="s">
        <v>3387</v>
      </c>
      <c r="B1497" s="9">
        <v>990</v>
      </c>
      <c r="C1497" s="10" t="s">
        <v>400</v>
      </c>
      <c r="D1497" s="67" t="s">
        <v>785</v>
      </c>
      <c r="E1497" s="19">
        <v>8</v>
      </c>
      <c r="F1497" s="10" t="s">
        <v>3069</v>
      </c>
      <c r="G1497" s="10" t="s">
        <v>3070</v>
      </c>
      <c r="H1497" s="33" t="s">
        <v>16</v>
      </c>
      <c r="I1497" s="34" t="s">
        <v>375</v>
      </c>
      <c r="J1497" s="60" t="s">
        <v>403</v>
      </c>
      <c r="K1497" s="142" t="s">
        <v>9309</v>
      </c>
      <c r="L1497" s="9" t="s">
        <v>3071</v>
      </c>
      <c r="M1497" s="9" t="s">
        <v>1392</v>
      </c>
      <c r="N1497" s="9" t="s">
        <v>1370</v>
      </c>
      <c r="O1497" s="9" t="s">
        <v>3143</v>
      </c>
      <c r="P1497" s="106" t="s">
        <v>5519</v>
      </c>
      <c r="Q1497" s="11" t="s">
        <v>576</v>
      </c>
      <c r="R1497"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del Biobío,población,pueblos,originarios,indígenas,etnia,regional,yagán,yámana,rapa nui,quechua,mapuche,lican antai,kawésqar,diaguita,colla,aymara,Agencia Información,Social,Población de pueblos indígenas,Pueblos indígenas</v>
      </c>
      <c r="S1497" s="54" t="s">
        <v>3144</v>
      </c>
      <c r="T1497" s="107" t="s">
        <v>1874</v>
      </c>
      <c r="U1497" s="46" t="s">
        <v>4391</v>
      </c>
      <c r="V1497" s="93" t="str">
        <f>+Agencia[[#This Row],[idcoleccion]]&amp;"-"&amp;Agencia[[#This Row],[id]]</f>
        <v>990-1486</v>
      </c>
      <c r="W1497" s="93">
        <f>+VLOOKUP(Agencia[[#This Row],[Filtro URL]],Estructura!$X$4:$Y$500,2,0)</f>
        <v>99200008</v>
      </c>
      <c r="X1497" s="93" t="str">
        <f>+VLOOKUP(Agencia[[#This Row],[tema]],Estructura!$A$4:$C$500,3,0)</f>
        <v>T-1055</v>
      </c>
      <c r="Y1497" s="93" t="str">
        <f>+VLOOKUP(Agencia[[#This Row],[contenido]],Estructura!$E$4:$G$500,3,0)</f>
        <v>C-1012</v>
      </c>
      <c r="Z1497" s="93" t="str">
        <f>+VLOOKUP(Agencia[[#This Row],[Filtro Integrado]],Estructura!$I$4:$K$500,3,0)</f>
        <v>FI-993</v>
      </c>
      <c r="AA1497" s="93" t="str">
        <f>+VLOOKUP(Agencia[[#This Row],[Muestra]],Estructura!$M$4:$O$500,3,0)</f>
        <v>M-1055</v>
      </c>
    </row>
    <row r="1498" spans="1:27" ht="71.400000000000006" x14ac:dyDescent="0.3">
      <c r="A1498" s="21" t="s">
        <v>3388</v>
      </c>
      <c r="B1498" s="9">
        <v>990</v>
      </c>
      <c r="C1498" s="10" t="s">
        <v>400</v>
      </c>
      <c r="D1498" s="67" t="s">
        <v>785</v>
      </c>
      <c r="E1498" s="19">
        <v>9</v>
      </c>
      <c r="F1498" s="10" t="s">
        <v>3069</v>
      </c>
      <c r="G1498" s="10" t="s">
        <v>3070</v>
      </c>
      <c r="H1498" s="33" t="s">
        <v>16</v>
      </c>
      <c r="I1498" s="34" t="s">
        <v>376</v>
      </c>
      <c r="J1498" s="60" t="s">
        <v>403</v>
      </c>
      <c r="K1498" s="142" t="s">
        <v>9309</v>
      </c>
      <c r="L1498" s="9" t="s">
        <v>3071</v>
      </c>
      <c r="M1498" s="9" t="s">
        <v>1392</v>
      </c>
      <c r="N1498" s="9" t="s">
        <v>1370</v>
      </c>
      <c r="O1498" s="9" t="s">
        <v>3145</v>
      </c>
      <c r="P1498" s="106" t="s">
        <v>5520</v>
      </c>
      <c r="Q1498" s="11" t="s">
        <v>576</v>
      </c>
      <c r="R1498"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La Araucanía,población,pueblos,originarios,indígenas,etnia,regional,yagán,yámana,rapa nui,quechua,mapuche,lican antai,kawésqar,diaguita,colla,aymara,Agencia Información,Social,Población de pueblos indígenas,Pueblos indígenas</v>
      </c>
      <c r="S1498" s="54" t="s">
        <v>3146</v>
      </c>
      <c r="T1498" s="107" t="s">
        <v>1865</v>
      </c>
      <c r="U1498" s="46" t="s">
        <v>4392</v>
      </c>
      <c r="V1498" s="93" t="str">
        <f>+Agencia[[#This Row],[idcoleccion]]&amp;"-"&amp;Agencia[[#This Row],[id]]</f>
        <v>990-1487</v>
      </c>
      <c r="W1498" s="93">
        <f>+VLOOKUP(Agencia[[#This Row],[Filtro URL]],Estructura!$X$4:$Y$500,2,0)</f>
        <v>99200009</v>
      </c>
      <c r="X1498" s="93" t="str">
        <f>+VLOOKUP(Agencia[[#This Row],[tema]],Estructura!$A$4:$C$500,3,0)</f>
        <v>T-1055</v>
      </c>
      <c r="Y1498" s="93" t="str">
        <f>+VLOOKUP(Agencia[[#This Row],[contenido]],Estructura!$E$4:$G$500,3,0)</f>
        <v>C-1012</v>
      </c>
      <c r="Z1498" s="93" t="str">
        <f>+VLOOKUP(Agencia[[#This Row],[Filtro Integrado]],Estructura!$I$4:$K$500,3,0)</f>
        <v>FI-993</v>
      </c>
      <c r="AA1498" s="93" t="str">
        <f>+VLOOKUP(Agencia[[#This Row],[Muestra]],Estructura!$M$4:$O$500,3,0)</f>
        <v>M-1055</v>
      </c>
    </row>
    <row r="1499" spans="1:27" ht="72" x14ac:dyDescent="0.3">
      <c r="A1499" s="21" t="s">
        <v>3389</v>
      </c>
      <c r="B1499" s="9">
        <v>990</v>
      </c>
      <c r="C1499" s="10" t="s">
        <v>400</v>
      </c>
      <c r="D1499" s="67" t="s">
        <v>785</v>
      </c>
      <c r="E1499" s="19">
        <v>10</v>
      </c>
      <c r="F1499" s="10" t="s">
        <v>3069</v>
      </c>
      <c r="G1499" s="10" t="s">
        <v>3070</v>
      </c>
      <c r="H1499" s="33" t="s">
        <v>16</v>
      </c>
      <c r="I1499" s="34" t="s">
        <v>377</v>
      </c>
      <c r="J1499" s="60" t="s">
        <v>403</v>
      </c>
      <c r="K1499" s="142" t="s">
        <v>9309</v>
      </c>
      <c r="L1499" s="9" t="s">
        <v>3071</v>
      </c>
      <c r="M1499" s="9" t="s">
        <v>1392</v>
      </c>
      <c r="N1499" s="9" t="s">
        <v>1370</v>
      </c>
      <c r="O1499" s="9" t="s">
        <v>3147</v>
      </c>
      <c r="P1499" s="106" t="s">
        <v>5521</v>
      </c>
      <c r="Q1499" s="11" t="s">
        <v>576</v>
      </c>
      <c r="R1499"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Los Lagos,población,pueblos,originarios,indígenas,etnia,regional,yagán,yámana,rapa nui,quechua,mapuche,lican antai,kawésqar,diaguita,colla,aymara,Agencia Información,Social,Población de pueblos indígenas,Pueblos indígenas</v>
      </c>
      <c r="S1499" s="54" t="s">
        <v>3148</v>
      </c>
      <c r="T1499" s="107" t="s">
        <v>1866</v>
      </c>
      <c r="U1499" s="46" t="s">
        <v>4393</v>
      </c>
      <c r="V1499" s="93" t="str">
        <f>+Agencia[[#This Row],[idcoleccion]]&amp;"-"&amp;Agencia[[#This Row],[id]]</f>
        <v>990-1488</v>
      </c>
      <c r="W1499" s="93">
        <f>+VLOOKUP(Agencia[[#This Row],[Filtro URL]],Estructura!$X$4:$Y$500,2,0)</f>
        <v>99200010</v>
      </c>
      <c r="X1499" s="93" t="str">
        <f>+VLOOKUP(Agencia[[#This Row],[tema]],Estructura!$A$4:$C$500,3,0)</f>
        <v>T-1055</v>
      </c>
      <c r="Y1499" s="93" t="str">
        <f>+VLOOKUP(Agencia[[#This Row],[contenido]],Estructura!$E$4:$G$500,3,0)</f>
        <v>C-1012</v>
      </c>
      <c r="Z1499" s="93" t="str">
        <f>+VLOOKUP(Agencia[[#This Row],[Filtro Integrado]],Estructura!$I$4:$K$500,3,0)</f>
        <v>FI-993</v>
      </c>
      <c r="AA1499" s="93" t="str">
        <f>+VLOOKUP(Agencia[[#This Row],[Muestra]],Estructura!$M$4:$O$500,3,0)</f>
        <v>M-1055</v>
      </c>
    </row>
    <row r="1500" spans="1:27" ht="72" x14ac:dyDescent="0.3">
      <c r="A1500" s="21" t="s">
        <v>3390</v>
      </c>
      <c r="B1500" s="9">
        <v>990</v>
      </c>
      <c r="C1500" s="10" t="s">
        <v>400</v>
      </c>
      <c r="D1500" s="67" t="s">
        <v>785</v>
      </c>
      <c r="E1500" s="19">
        <v>11</v>
      </c>
      <c r="F1500" s="10" t="s">
        <v>3069</v>
      </c>
      <c r="G1500" s="10" t="s">
        <v>3070</v>
      </c>
      <c r="H1500" s="33" t="s">
        <v>16</v>
      </c>
      <c r="I1500" s="34" t="s">
        <v>378</v>
      </c>
      <c r="J1500" s="60" t="s">
        <v>403</v>
      </c>
      <c r="K1500" s="142" t="s">
        <v>9309</v>
      </c>
      <c r="L1500" s="9" t="s">
        <v>3071</v>
      </c>
      <c r="M1500" s="9" t="s">
        <v>1392</v>
      </c>
      <c r="N1500" s="9" t="s">
        <v>1370</v>
      </c>
      <c r="O1500" s="9" t="s">
        <v>3149</v>
      </c>
      <c r="P1500" s="106" t="s">
        <v>5522</v>
      </c>
      <c r="Q1500" s="11" t="s">
        <v>576</v>
      </c>
      <c r="R1500"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Aysén,población,pueblos,originarios,indígenas,etnia,regional,yagán,yámana,rapa nui,quechua,mapuche,lican antai,kawésqar,diaguita,colla,aymara,Agencia Información,Social,Población de pueblos indígenas,Pueblos indígenas</v>
      </c>
      <c r="S1500" s="54" t="s">
        <v>3150</v>
      </c>
      <c r="T1500" s="107" t="s">
        <v>1863</v>
      </c>
      <c r="U1500" s="46" t="s">
        <v>4394</v>
      </c>
      <c r="V1500" s="93" t="str">
        <f>+Agencia[[#This Row],[idcoleccion]]&amp;"-"&amp;Agencia[[#This Row],[id]]</f>
        <v>990-1489</v>
      </c>
      <c r="W1500" s="93">
        <f>+VLOOKUP(Agencia[[#This Row],[Filtro URL]],Estructura!$X$4:$Y$500,2,0)</f>
        <v>99200011</v>
      </c>
      <c r="X1500" s="93" t="str">
        <f>+VLOOKUP(Agencia[[#This Row],[tema]],Estructura!$A$4:$C$500,3,0)</f>
        <v>T-1055</v>
      </c>
      <c r="Y1500" s="93" t="str">
        <f>+VLOOKUP(Agencia[[#This Row],[contenido]],Estructura!$E$4:$G$500,3,0)</f>
        <v>C-1012</v>
      </c>
      <c r="Z1500" s="93" t="str">
        <f>+VLOOKUP(Agencia[[#This Row],[Filtro Integrado]],Estructura!$I$4:$K$500,3,0)</f>
        <v>FI-993</v>
      </c>
      <c r="AA1500" s="93" t="str">
        <f>+VLOOKUP(Agencia[[#This Row],[Muestra]],Estructura!$M$4:$O$500,3,0)</f>
        <v>M-1055</v>
      </c>
    </row>
    <row r="1501" spans="1:27" ht="72" x14ac:dyDescent="0.3">
      <c r="A1501" s="21" t="s">
        <v>3391</v>
      </c>
      <c r="B1501" s="9">
        <v>990</v>
      </c>
      <c r="C1501" s="10" t="s">
        <v>400</v>
      </c>
      <c r="D1501" s="67" t="s">
        <v>785</v>
      </c>
      <c r="E1501" s="19">
        <v>12</v>
      </c>
      <c r="F1501" s="10" t="s">
        <v>3069</v>
      </c>
      <c r="G1501" s="10" t="s">
        <v>3070</v>
      </c>
      <c r="H1501" s="33" t="s">
        <v>16</v>
      </c>
      <c r="I1501" s="34" t="s">
        <v>379</v>
      </c>
      <c r="J1501" s="60" t="s">
        <v>403</v>
      </c>
      <c r="K1501" s="142" t="s">
        <v>9309</v>
      </c>
      <c r="L1501" s="9" t="s">
        <v>3071</v>
      </c>
      <c r="M1501" s="9" t="s">
        <v>1392</v>
      </c>
      <c r="N1501" s="9" t="s">
        <v>1370</v>
      </c>
      <c r="O1501" s="9" t="s">
        <v>3151</v>
      </c>
      <c r="P1501" s="106" t="s">
        <v>5523</v>
      </c>
      <c r="Q1501" s="11" t="s">
        <v>576</v>
      </c>
      <c r="R1501"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Magallanes,población,pueblos,originarios,indígenas,etnia,regional,yagán,yámana,rapa nui,quechua,mapuche,lican antai,kawésqar,diaguita,colla,aymara,Agencia Información,Social,Población de pueblos indígenas,Pueblos indígenas</v>
      </c>
      <c r="S1501" s="54" t="s">
        <v>3152</v>
      </c>
      <c r="T1501" s="107" t="s">
        <v>1868</v>
      </c>
      <c r="U1501" s="46" t="s">
        <v>4395</v>
      </c>
      <c r="V1501" s="93" t="str">
        <f>+Agencia[[#This Row],[idcoleccion]]&amp;"-"&amp;Agencia[[#This Row],[id]]</f>
        <v>990-1490</v>
      </c>
      <c r="W1501" s="93">
        <f>+VLOOKUP(Agencia[[#This Row],[Filtro URL]],Estructura!$X$4:$Y$500,2,0)</f>
        <v>99200012</v>
      </c>
      <c r="X1501" s="93" t="str">
        <f>+VLOOKUP(Agencia[[#This Row],[tema]],Estructura!$A$4:$C$500,3,0)</f>
        <v>T-1055</v>
      </c>
      <c r="Y1501" s="93" t="str">
        <f>+VLOOKUP(Agencia[[#This Row],[contenido]],Estructura!$E$4:$G$500,3,0)</f>
        <v>C-1012</v>
      </c>
      <c r="Z1501" s="93" t="str">
        <f>+VLOOKUP(Agencia[[#This Row],[Filtro Integrado]],Estructura!$I$4:$K$500,3,0)</f>
        <v>FI-993</v>
      </c>
      <c r="AA1501" s="93" t="str">
        <f>+VLOOKUP(Agencia[[#This Row],[Muestra]],Estructura!$M$4:$O$500,3,0)</f>
        <v>M-1055</v>
      </c>
    </row>
    <row r="1502" spans="1:27" ht="72" x14ac:dyDescent="0.3">
      <c r="A1502" s="21" t="s">
        <v>3392</v>
      </c>
      <c r="B1502" s="9">
        <v>990</v>
      </c>
      <c r="C1502" s="10" t="s">
        <v>400</v>
      </c>
      <c r="D1502" s="67" t="s">
        <v>785</v>
      </c>
      <c r="E1502" s="19">
        <v>13</v>
      </c>
      <c r="F1502" s="10" t="s">
        <v>3069</v>
      </c>
      <c r="G1502" s="10" t="s">
        <v>3070</v>
      </c>
      <c r="H1502" s="33" t="s">
        <v>16</v>
      </c>
      <c r="I1502" s="34" t="s">
        <v>380</v>
      </c>
      <c r="J1502" s="60" t="s">
        <v>403</v>
      </c>
      <c r="K1502" s="142" t="s">
        <v>9309</v>
      </c>
      <c r="L1502" s="9" t="s">
        <v>3071</v>
      </c>
      <c r="M1502" s="9" t="s">
        <v>1392</v>
      </c>
      <c r="N1502" s="9" t="s">
        <v>1370</v>
      </c>
      <c r="O1502" s="9" t="s">
        <v>3153</v>
      </c>
      <c r="P1502" s="106" t="s">
        <v>5524</v>
      </c>
      <c r="Q1502" s="11" t="s">
        <v>576</v>
      </c>
      <c r="R1502"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Metropolitana,población,pueblos,originarios,indígenas,etnia,regional,yagán,yámana,rapa nui,quechua,mapuche,lican antai,kawésqar,diaguita,colla,aymara,Agencia Información,Social,Población de pueblos indígenas,Pueblos indígenas</v>
      </c>
      <c r="S1502" s="54" t="s">
        <v>3154</v>
      </c>
      <c r="T1502" s="107" t="s">
        <v>1875</v>
      </c>
      <c r="U1502" s="46" t="s">
        <v>4396</v>
      </c>
      <c r="V1502" s="93" t="str">
        <f>+Agencia[[#This Row],[idcoleccion]]&amp;"-"&amp;Agencia[[#This Row],[id]]</f>
        <v>990-1491</v>
      </c>
      <c r="W1502" s="93">
        <f>+VLOOKUP(Agencia[[#This Row],[Filtro URL]],Estructura!$X$4:$Y$500,2,0)</f>
        <v>99200013</v>
      </c>
      <c r="X1502" s="93" t="str">
        <f>+VLOOKUP(Agencia[[#This Row],[tema]],Estructura!$A$4:$C$500,3,0)</f>
        <v>T-1055</v>
      </c>
      <c r="Y1502" s="93" t="str">
        <f>+VLOOKUP(Agencia[[#This Row],[contenido]],Estructura!$E$4:$G$500,3,0)</f>
        <v>C-1012</v>
      </c>
      <c r="Z1502" s="93" t="str">
        <f>+VLOOKUP(Agencia[[#This Row],[Filtro Integrado]],Estructura!$I$4:$K$500,3,0)</f>
        <v>FI-993</v>
      </c>
      <c r="AA1502" s="93" t="str">
        <f>+VLOOKUP(Agencia[[#This Row],[Muestra]],Estructura!$M$4:$O$500,3,0)</f>
        <v>M-1055</v>
      </c>
    </row>
    <row r="1503" spans="1:27" ht="72" x14ac:dyDescent="0.3">
      <c r="A1503" s="21" t="s">
        <v>3393</v>
      </c>
      <c r="B1503" s="9">
        <v>990</v>
      </c>
      <c r="C1503" s="10" t="s">
        <v>400</v>
      </c>
      <c r="D1503" s="67" t="s">
        <v>785</v>
      </c>
      <c r="E1503" s="19">
        <v>14</v>
      </c>
      <c r="F1503" s="10" t="s">
        <v>3069</v>
      </c>
      <c r="G1503" s="10" t="s">
        <v>3070</v>
      </c>
      <c r="H1503" s="33" t="s">
        <v>16</v>
      </c>
      <c r="I1503" s="34" t="s">
        <v>381</v>
      </c>
      <c r="J1503" s="60" t="s">
        <v>403</v>
      </c>
      <c r="K1503" s="142" t="s">
        <v>9309</v>
      </c>
      <c r="L1503" s="9" t="s">
        <v>3071</v>
      </c>
      <c r="M1503" s="9" t="s">
        <v>1392</v>
      </c>
      <c r="N1503" s="9" t="s">
        <v>1370</v>
      </c>
      <c r="O1503" s="9" t="s">
        <v>3155</v>
      </c>
      <c r="P1503" s="106" t="s">
        <v>5525</v>
      </c>
      <c r="Q1503" s="11" t="s">
        <v>576</v>
      </c>
      <c r="R1503"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Los Ríos,población,pueblos,originarios,indígenas,etnia,regional,yagán,yámana,rapa nui,quechua,mapuche,lican antai,kawésqar,diaguita,colla,aymara,Agencia Información,Social,Población de pueblos indígenas,Pueblos indígenas</v>
      </c>
      <c r="S1503" s="54" t="s">
        <v>3156</v>
      </c>
      <c r="T1503" s="107" t="s">
        <v>1867</v>
      </c>
      <c r="U1503" s="46" t="s">
        <v>4397</v>
      </c>
      <c r="V1503" s="93" t="str">
        <f>+Agencia[[#This Row],[idcoleccion]]&amp;"-"&amp;Agencia[[#This Row],[id]]</f>
        <v>990-1492</v>
      </c>
      <c r="W1503" s="93">
        <f>+VLOOKUP(Agencia[[#This Row],[Filtro URL]],Estructura!$X$4:$Y$500,2,0)</f>
        <v>99200014</v>
      </c>
      <c r="X1503" s="93" t="str">
        <f>+VLOOKUP(Agencia[[#This Row],[tema]],Estructura!$A$4:$C$500,3,0)</f>
        <v>T-1055</v>
      </c>
      <c r="Y1503" s="93" t="str">
        <f>+VLOOKUP(Agencia[[#This Row],[contenido]],Estructura!$E$4:$G$500,3,0)</f>
        <v>C-1012</v>
      </c>
      <c r="Z1503" s="93" t="str">
        <f>+VLOOKUP(Agencia[[#This Row],[Filtro Integrado]],Estructura!$I$4:$K$500,3,0)</f>
        <v>FI-993</v>
      </c>
      <c r="AA1503" s="93" t="str">
        <f>+VLOOKUP(Agencia[[#This Row],[Muestra]],Estructura!$M$4:$O$500,3,0)</f>
        <v>M-1055</v>
      </c>
    </row>
    <row r="1504" spans="1:27" ht="72" x14ac:dyDescent="0.3">
      <c r="A1504" s="21" t="s">
        <v>3394</v>
      </c>
      <c r="B1504" s="9">
        <v>990</v>
      </c>
      <c r="C1504" s="10" t="s">
        <v>400</v>
      </c>
      <c r="D1504" s="67" t="s">
        <v>785</v>
      </c>
      <c r="E1504" s="19">
        <v>15</v>
      </c>
      <c r="F1504" s="10" t="s">
        <v>3069</v>
      </c>
      <c r="G1504" s="10" t="s">
        <v>3070</v>
      </c>
      <c r="H1504" s="33" t="s">
        <v>16</v>
      </c>
      <c r="I1504" s="34" t="s">
        <v>382</v>
      </c>
      <c r="J1504" s="60" t="s">
        <v>403</v>
      </c>
      <c r="K1504" s="142" t="s">
        <v>9309</v>
      </c>
      <c r="L1504" s="9" t="s">
        <v>3071</v>
      </c>
      <c r="M1504" s="9" t="s">
        <v>1392</v>
      </c>
      <c r="N1504" s="9" t="s">
        <v>1370</v>
      </c>
      <c r="O1504" s="9" t="s">
        <v>3157</v>
      </c>
      <c r="P1504" s="106" t="s">
        <v>5526</v>
      </c>
      <c r="Q1504" s="11" t="s">
        <v>576</v>
      </c>
      <c r="R1504"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Arica y Parinacota,población,pueblos,originarios,indígenas,etnia,regional,yagán,yámana,rapa nui,quechua,mapuche,lican antai,kawésqar,diaguita,colla,aymara,Agencia Información,Social,Población de pueblos indígenas,Pueblos indígenas</v>
      </c>
      <c r="S1504" s="54" t="s">
        <v>3158</v>
      </c>
      <c r="T1504" s="107" t="s">
        <v>1861</v>
      </c>
      <c r="U1504" s="46" t="s">
        <v>4398</v>
      </c>
      <c r="V1504" s="93" t="str">
        <f>+Agencia[[#This Row],[idcoleccion]]&amp;"-"&amp;Agencia[[#This Row],[id]]</f>
        <v>990-1493</v>
      </c>
      <c r="W1504" s="93">
        <f>+VLOOKUP(Agencia[[#This Row],[Filtro URL]],Estructura!$X$4:$Y$500,2,0)</f>
        <v>99200015</v>
      </c>
      <c r="X1504" s="93" t="str">
        <f>+VLOOKUP(Agencia[[#This Row],[tema]],Estructura!$A$4:$C$500,3,0)</f>
        <v>T-1055</v>
      </c>
      <c r="Y1504" s="93" t="str">
        <f>+VLOOKUP(Agencia[[#This Row],[contenido]],Estructura!$E$4:$G$500,3,0)</f>
        <v>C-1012</v>
      </c>
      <c r="Z1504" s="93" t="str">
        <f>+VLOOKUP(Agencia[[#This Row],[Filtro Integrado]],Estructura!$I$4:$K$500,3,0)</f>
        <v>FI-993</v>
      </c>
      <c r="AA1504" s="93" t="str">
        <f>+VLOOKUP(Agencia[[#This Row],[Muestra]],Estructura!$M$4:$O$500,3,0)</f>
        <v>M-1055</v>
      </c>
    </row>
    <row r="1505" spans="1:27" ht="72" x14ac:dyDescent="0.3">
      <c r="A1505" s="21" t="s">
        <v>3395</v>
      </c>
      <c r="B1505" s="9">
        <v>990</v>
      </c>
      <c r="C1505" s="10" t="s">
        <v>400</v>
      </c>
      <c r="D1505" s="67" t="s">
        <v>785</v>
      </c>
      <c r="E1505" s="19">
        <v>16</v>
      </c>
      <c r="F1505" s="10" t="s">
        <v>3069</v>
      </c>
      <c r="G1505" s="10" t="s">
        <v>3070</v>
      </c>
      <c r="H1505" s="33" t="s">
        <v>16</v>
      </c>
      <c r="I1505" s="34" t="s">
        <v>383</v>
      </c>
      <c r="J1505" s="60" t="s">
        <v>403</v>
      </c>
      <c r="K1505" s="142" t="s">
        <v>9309</v>
      </c>
      <c r="L1505" s="9" t="s">
        <v>3071</v>
      </c>
      <c r="M1505" s="9" t="s">
        <v>1392</v>
      </c>
      <c r="N1505" s="9" t="s">
        <v>1370</v>
      </c>
      <c r="O1505" s="9" t="s">
        <v>3159</v>
      </c>
      <c r="P1505" s="106" t="s">
        <v>5527</v>
      </c>
      <c r="Q1505" s="11" t="s">
        <v>576</v>
      </c>
      <c r="R1505" s="148" t="str">
        <f>Agencia[[#This Row],[territorio]]&amp;",población,pueblos,originarios,indígenas,etnia,regional,yagán,yámana,rapa nui,quechua,mapuche,lican antai,kawésqar,diaguita,colla,aymara,"&amp;Agencia[[#This Row],[coleccion]]&amp;","&amp;Agencia[[#This Row],[sector]]&amp;","&amp;Agencia[[#This Row],[tema]]&amp;","&amp;Agencia[[#This Row],[contenido]]</f>
        <v>Región de Ñuble,población,pueblos,originarios,indígenas,etnia,regional,yagán,yámana,rapa nui,quechua,mapuche,lican antai,kawésqar,diaguita,colla,aymara,Agencia Información,Social,Población de pueblos indígenas,Pueblos indígenas</v>
      </c>
      <c r="S1505" s="54" t="s">
        <v>3160</v>
      </c>
      <c r="T1505" s="107" t="s">
        <v>1870</v>
      </c>
      <c r="U1505" s="46" t="s">
        <v>4399</v>
      </c>
      <c r="V1505" s="93" t="str">
        <f>+Agencia[[#This Row],[idcoleccion]]&amp;"-"&amp;Agencia[[#This Row],[id]]</f>
        <v>990-1494</v>
      </c>
      <c r="W1505" s="93">
        <f>+VLOOKUP(Agencia[[#This Row],[Filtro URL]],Estructura!$X$4:$Y$500,2,0)</f>
        <v>99200016</v>
      </c>
      <c r="X1505" s="93" t="str">
        <f>+VLOOKUP(Agencia[[#This Row],[tema]],Estructura!$A$4:$C$500,3,0)</f>
        <v>T-1055</v>
      </c>
      <c r="Y1505" s="93" t="str">
        <f>+VLOOKUP(Agencia[[#This Row],[contenido]],Estructura!$E$4:$G$500,3,0)</f>
        <v>C-1012</v>
      </c>
      <c r="Z1505" s="93" t="str">
        <f>+VLOOKUP(Agencia[[#This Row],[Filtro Integrado]],Estructura!$I$4:$K$500,3,0)</f>
        <v>FI-993</v>
      </c>
      <c r="AA1505" s="93" t="str">
        <f>+VLOOKUP(Agencia[[#This Row],[Muestra]],Estructura!$M$4:$O$500,3,0)</f>
        <v>M-1055</v>
      </c>
    </row>
    <row r="1506" spans="1:27" ht="40.799999999999997" x14ac:dyDescent="0.3">
      <c r="A1506" s="21" t="s">
        <v>3396</v>
      </c>
      <c r="B1506" s="9">
        <v>990</v>
      </c>
      <c r="C1506" s="10" t="s">
        <v>400</v>
      </c>
      <c r="D1506" s="67" t="s">
        <v>785</v>
      </c>
      <c r="E1506" s="14">
        <v>0</v>
      </c>
      <c r="F1506" s="67" t="s">
        <v>1369</v>
      </c>
      <c r="G1506" s="10" t="s">
        <v>3070</v>
      </c>
      <c r="H1506" s="31" t="s">
        <v>20</v>
      </c>
      <c r="I1506" s="32" t="s">
        <v>15</v>
      </c>
      <c r="J1506" s="60" t="s">
        <v>403</v>
      </c>
      <c r="K1506" s="142" t="s">
        <v>9309</v>
      </c>
      <c r="L1506" s="9" t="s">
        <v>3071</v>
      </c>
      <c r="M1506" s="9" t="s">
        <v>1392</v>
      </c>
      <c r="N1506" s="9" t="s">
        <v>1370</v>
      </c>
      <c r="O1506" s="9" t="s">
        <v>3161</v>
      </c>
      <c r="P1506" s="106" t="s">
        <v>5528</v>
      </c>
      <c r="Q1506" s="11" t="s">
        <v>576</v>
      </c>
      <c r="R1506" s="20" t="str">
        <f>Agencia[[#This Row],[territorio]]&amp;",población,pueblos,originarios,indígenas,etnia,sexo,hombre,mujer,"&amp;Agencia[[#This Row],[coleccion]]&amp;","&amp;Agencia[[#This Row],[sector]]&amp;","&amp;Agencia[[#This Row],[tema]]&amp;","&amp;Agencia[[#This Row],[contenido]]</f>
        <v>Chile,población,pueblos,originarios,indígenas,etnia,sexo,hombre,mujer,Agencia Información,Social,Población por sexo,Pueblos indígenas</v>
      </c>
      <c r="S1506" s="83" t="s">
        <v>3162</v>
      </c>
      <c r="T1506" s="107" t="s">
        <v>805</v>
      </c>
      <c r="U1506" s="46" t="s">
        <v>4400</v>
      </c>
      <c r="V1506" s="93" t="str">
        <f>+Agencia[[#This Row],[idcoleccion]]&amp;"-"&amp;Agencia[[#This Row],[id]]</f>
        <v>990-1495</v>
      </c>
      <c r="W1506" s="93">
        <f>+VLOOKUP(Agencia[[#This Row],[Filtro URL]],Estructura!$X$4:$Y$500,2,0)</f>
        <v>99100000</v>
      </c>
      <c r="X1506" s="93" t="str">
        <f>+VLOOKUP(Agencia[[#This Row],[tema]],Estructura!$A$4:$C$500,3,0)</f>
        <v>T-1001</v>
      </c>
      <c r="Y1506" s="93" t="str">
        <f>+VLOOKUP(Agencia[[#This Row],[contenido]],Estructura!$E$4:$G$500,3,0)</f>
        <v>C-1012</v>
      </c>
      <c r="Z1506" s="93" t="str">
        <f>+VLOOKUP(Agencia[[#This Row],[Filtro Integrado]],Estructura!$I$4:$K$500,3,0)</f>
        <v>FI-993</v>
      </c>
      <c r="AA1506" s="93" t="str">
        <f>+VLOOKUP(Agencia[[#This Row],[Muestra]],Estructura!$M$4:$O$500,3,0)</f>
        <v>M-1055</v>
      </c>
    </row>
    <row r="1507" spans="1:27" ht="57.6" x14ac:dyDescent="0.3">
      <c r="A1507" s="21" t="s">
        <v>3397</v>
      </c>
      <c r="B1507" s="9">
        <v>990</v>
      </c>
      <c r="C1507" s="10" t="s">
        <v>400</v>
      </c>
      <c r="D1507" s="67" t="s">
        <v>785</v>
      </c>
      <c r="E1507" s="19">
        <v>1</v>
      </c>
      <c r="F1507" s="67" t="s">
        <v>1369</v>
      </c>
      <c r="G1507" s="10" t="s">
        <v>3070</v>
      </c>
      <c r="H1507" s="33" t="s">
        <v>16</v>
      </c>
      <c r="I1507" s="34" t="s">
        <v>368</v>
      </c>
      <c r="J1507" s="60" t="s">
        <v>403</v>
      </c>
      <c r="K1507" s="142" t="s">
        <v>9309</v>
      </c>
      <c r="L1507" s="9" t="s">
        <v>3071</v>
      </c>
      <c r="M1507" s="9" t="s">
        <v>1392</v>
      </c>
      <c r="N1507" s="9" t="s">
        <v>1370</v>
      </c>
      <c r="O1507" s="9" t="s">
        <v>3269</v>
      </c>
      <c r="P1507" s="106" t="s">
        <v>5529</v>
      </c>
      <c r="Q1507" s="11" t="s">
        <v>576</v>
      </c>
      <c r="R1507" s="148" t="str">
        <f>Agencia[[#This Row],[territorio]]&amp;",población,pueblos,originarios,indígenas,etnia,sexo,hombre,mujer,"&amp;Agencia[[#This Row],[coleccion]]&amp;","&amp;Agencia[[#This Row],[sector]]&amp;","&amp;Agencia[[#This Row],[tema]]&amp;","&amp;Agencia[[#This Row],[contenido]]</f>
        <v>Región de Tarapacá,población,pueblos,originarios,indígenas,etnia,sexo,hombre,mujer,Agencia Información,Social,Población por sexo,Pueblos indígenas</v>
      </c>
      <c r="S1507" s="54" t="s">
        <v>3163</v>
      </c>
      <c r="T1507" s="107" t="s">
        <v>1872</v>
      </c>
      <c r="U1507" s="46" t="s">
        <v>4401</v>
      </c>
      <c r="V1507" s="93" t="str">
        <f>+Agencia[[#This Row],[idcoleccion]]&amp;"-"&amp;Agencia[[#This Row],[id]]</f>
        <v>990-1496</v>
      </c>
      <c r="W1507" s="93">
        <f>+VLOOKUP(Agencia[[#This Row],[Filtro URL]],Estructura!$X$4:$Y$500,2,0)</f>
        <v>99200001</v>
      </c>
      <c r="X1507" s="93" t="str">
        <f>+VLOOKUP(Agencia[[#This Row],[tema]],Estructura!$A$4:$C$500,3,0)</f>
        <v>T-1001</v>
      </c>
      <c r="Y1507" s="93" t="str">
        <f>+VLOOKUP(Agencia[[#This Row],[contenido]],Estructura!$E$4:$G$500,3,0)</f>
        <v>C-1012</v>
      </c>
      <c r="Z1507" s="93" t="str">
        <f>+VLOOKUP(Agencia[[#This Row],[Filtro Integrado]],Estructura!$I$4:$K$500,3,0)</f>
        <v>FI-993</v>
      </c>
      <c r="AA1507" s="93" t="str">
        <f>+VLOOKUP(Agencia[[#This Row],[Muestra]],Estructura!$M$4:$O$500,3,0)</f>
        <v>M-1055</v>
      </c>
    </row>
    <row r="1508" spans="1:27" ht="57.6" x14ac:dyDescent="0.3">
      <c r="A1508" s="21" t="s">
        <v>3398</v>
      </c>
      <c r="B1508" s="9">
        <v>990</v>
      </c>
      <c r="C1508" s="10" t="s">
        <v>400</v>
      </c>
      <c r="D1508" s="67" t="s">
        <v>785</v>
      </c>
      <c r="E1508" s="19">
        <v>2</v>
      </c>
      <c r="F1508" s="10" t="s">
        <v>1369</v>
      </c>
      <c r="G1508" s="10" t="s">
        <v>3070</v>
      </c>
      <c r="H1508" s="33" t="s">
        <v>16</v>
      </c>
      <c r="I1508" s="34" t="s">
        <v>369</v>
      </c>
      <c r="J1508" s="60" t="s">
        <v>403</v>
      </c>
      <c r="K1508" s="142" t="s">
        <v>9309</v>
      </c>
      <c r="L1508" s="9" t="s">
        <v>3071</v>
      </c>
      <c r="M1508" s="9" t="s">
        <v>1392</v>
      </c>
      <c r="N1508" s="9" t="s">
        <v>1370</v>
      </c>
      <c r="O1508" s="9" t="s">
        <v>3270</v>
      </c>
      <c r="P1508" s="106" t="s">
        <v>5530</v>
      </c>
      <c r="Q1508" s="11" t="s">
        <v>576</v>
      </c>
      <c r="R1508" s="148" t="str">
        <f>Agencia[[#This Row],[territorio]]&amp;",población,pueblos,originarios,indígenas,etnia,sexo,hombre,mujer,"&amp;Agencia[[#This Row],[coleccion]]&amp;","&amp;Agencia[[#This Row],[sector]]&amp;","&amp;Agencia[[#This Row],[tema]]&amp;","&amp;Agencia[[#This Row],[contenido]]</f>
        <v>Región de Antofagasta,población,pueblos,originarios,indígenas,etnia,sexo,hombre,mujer,Agencia Información,Social,Población por sexo,Pueblos indígenas</v>
      </c>
      <c r="S1508" s="54" t="s">
        <v>3164</v>
      </c>
      <c r="T1508" s="107" t="s">
        <v>1860</v>
      </c>
      <c r="U1508" s="46" t="s">
        <v>4402</v>
      </c>
      <c r="V1508" s="93" t="str">
        <f>+Agencia[[#This Row],[idcoleccion]]&amp;"-"&amp;Agencia[[#This Row],[id]]</f>
        <v>990-1497</v>
      </c>
      <c r="W1508" s="93">
        <f>+VLOOKUP(Agencia[[#This Row],[Filtro URL]],Estructura!$X$4:$Y$500,2,0)</f>
        <v>99200002</v>
      </c>
      <c r="X1508" s="93" t="str">
        <f>+VLOOKUP(Agencia[[#This Row],[tema]],Estructura!$A$4:$C$500,3,0)</f>
        <v>T-1001</v>
      </c>
      <c r="Y1508" s="93" t="str">
        <f>+VLOOKUP(Agencia[[#This Row],[contenido]],Estructura!$E$4:$G$500,3,0)</f>
        <v>C-1012</v>
      </c>
      <c r="Z1508" s="93" t="str">
        <f>+VLOOKUP(Agencia[[#This Row],[Filtro Integrado]],Estructura!$I$4:$K$500,3,0)</f>
        <v>FI-993</v>
      </c>
      <c r="AA1508" s="93" t="str">
        <f>+VLOOKUP(Agencia[[#This Row],[Muestra]],Estructura!$M$4:$O$500,3,0)</f>
        <v>M-1055</v>
      </c>
    </row>
    <row r="1509" spans="1:27" ht="57.6" x14ac:dyDescent="0.3">
      <c r="A1509" s="21" t="s">
        <v>3399</v>
      </c>
      <c r="B1509" s="9">
        <v>990</v>
      </c>
      <c r="C1509" s="10" t="s">
        <v>400</v>
      </c>
      <c r="D1509" s="67" t="s">
        <v>785</v>
      </c>
      <c r="E1509" s="19">
        <v>3</v>
      </c>
      <c r="F1509" s="10" t="s">
        <v>1369</v>
      </c>
      <c r="G1509" s="10" t="s">
        <v>3070</v>
      </c>
      <c r="H1509" s="33" t="s">
        <v>16</v>
      </c>
      <c r="I1509" s="34" t="s">
        <v>370</v>
      </c>
      <c r="J1509" s="60" t="s">
        <v>403</v>
      </c>
      <c r="K1509" s="142" t="s">
        <v>9309</v>
      </c>
      <c r="L1509" s="9" t="s">
        <v>3071</v>
      </c>
      <c r="M1509" s="9" t="s">
        <v>1392</v>
      </c>
      <c r="N1509" s="9" t="s">
        <v>1370</v>
      </c>
      <c r="O1509" s="9" t="s">
        <v>3271</v>
      </c>
      <c r="P1509" s="106" t="s">
        <v>5531</v>
      </c>
      <c r="Q1509" s="11" t="s">
        <v>576</v>
      </c>
      <c r="R1509" s="148" t="str">
        <f>Agencia[[#This Row],[territorio]]&amp;",población,pueblos,originarios,indígenas,etnia,sexo,hombre,mujer,"&amp;Agencia[[#This Row],[coleccion]]&amp;","&amp;Agencia[[#This Row],[sector]]&amp;","&amp;Agencia[[#This Row],[tema]]&amp;","&amp;Agencia[[#This Row],[contenido]]</f>
        <v>Región de Atacama,población,pueblos,originarios,indígenas,etnia,sexo,hombre,mujer,Agencia Información,Social,Población por sexo,Pueblos indígenas</v>
      </c>
      <c r="S1509" s="54" t="s">
        <v>3165</v>
      </c>
      <c r="T1509" s="107" t="s">
        <v>1862</v>
      </c>
      <c r="U1509" s="46" t="s">
        <v>4403</v>
      </c>
      <c r="V1509" s="93" t="str">
        <f>+Agencia[[#This Row],[idcoleccion]]&amp;"-"&amp;Agencia[[#This Row],[id]]</f>
        <v>990-1498</v>
      </c>
      <c r="W1509" s="93">
        <f>+VLOOKUP(Agencia[[#This Row],[Filtro URL]],Estructura!$X$4:$Y$500,2,0)</f>
        <v>99200003</v>
      </c>
      <c r="X1509" s="93" t="str">
        <f>+VLOOKUP(Agencia[[#This Row],[tema]],Estructura!$A$4:$C$500,3,0)</f>
        <v>T-1001</v>
      </c>
      <c r="Y1509" s="93" t="str">
        <f>+VLOOKUP(Agencia[[#This Row],[contenido]],Estructura!$E$4:$G$500,3,0)</f>
        <v>C-1012</v>
      </c>
      <c r="Z1509" s="93" t="str">
        <f>+VLOOKUP(Agencia[[#This Row],[Filtro Integrado]],Estructura!$I$4:$K$500,3,0)</f>
        <v>FI-993</v>
      </c>
      <c r="AA1509" s="93" t="str">
        <f>+VLOOKUP(Agencia[[#This Row],[Muestra]],Estructura!$M$4:$O$500,3,0)</f>
        <v>M-1055</v>
      </c>
    </row>
    <row r="1510" spans="1:27" ht="57.6" x14ac:dyDescent="0.3">
      <c r="A1510" s="21" t="s">
        <v>3400</v>
      </c>
      <c r="B1510" s="9">
        <v>990</v>
      </c>
      <c r="C1510" s="10" t="s">
        <v>400</v>
      </c>
      <c r="D1510" s="67" t="s">
        <v>785</v>
      </c>
      <c r="E1510" s="19">
        <v>4</v>
      </c>
      <c r="F1510" s="10" t="s">
        <v>1369</v>
      </c>
      <c r="G1510" s="10" t="s">
        <v>3070</v>
      </c>
      <c r="H1510" s="33" t="s">
        <v>16</v>
      </c>
      <c r="I1510" s="34" t="s">
        <v>371</v>
      </c>
      <c r="J1510" s="60" t="s">
        <v>403</v>
      </c>
      <c r="K1510" s="142" t="s">
        <v>9309</v>
      </c>
      <c r="L1510" s="9" t="s">
        <v>3071</v>
      </c>
      <c r="M1510" s="9" t="s">
        <v>1392</v>
      </c>
      <c r="N1510" s="9" t="s">
        <v>1370</v>
      </c>
      <c r="O1510" s="9" t="s">
        <v>3272</v>
      </c>
      <c r="P1510" s="106" t="s">
        <v>5532</v>
      </c>
      <c r="Q1510" s="11" t="s">
        <v>576</v>
      </c>
      <c r="R1510" s="148" t="str">
        <f>Agencia[[#This Row],[territorio]]&amp;",población,pueblos,originarios,indígenas,etnia,sexo,hombre,mujer,"&amp;Agencia[[#This Row],[coleccion]]&amp;","&amp;Agencia[[#This Row],[sector]]&amp;","&amp;Agencia[[#This Row],[tema]]&amp;","&amp;Agencia[[#This Row],[contenido]]</f>
        <v>Región de Coquimbo,población,pueblos,originarios,indígenas,etnia,sexo,hombre,mujer,Agencia Información,Social,Población por sexo,Pueblos indígenas</v>
      </c>
      <c r="S1510" s="54" t="s">
        <v>3166</v>
      </c>
      <c r="T1510" s="107" t="s">
        <v>1864</v>
      </c>
      <c r="U1510" s="46" t="s">
        <v>4404</v>
      </c>
      <c r="V1510" s="93" t="str">
        <f>+Agencia[[#This Row],[idcoleccion]]&amp;"-"&amp;Agencia[[#This Row],[id]]</f>
        <v>990-1499</v>
      </c>
      <c r="W1510" s="93">
        <f>+VLOOKUP(Agencia[[#This Row],[Filtro URL]],Estructura!$X$4:$Y$500,2,0)</f>
        <v>99200004</v>
      </c>
      <c r="X1510" s="93" t="str">
        <f>+VLOOKUP(Agencia[[#This Row],[tema]],Estructura!$A$4:$C$500,3,0)</f>
        <v>T-1001</v>
      </c>
      <c r="Y1510" s="93" t="str">
        <f>+VLOOKUP(Agencia[[#This Row],[contenido]],Estructura!$E$4:$G$500,3,0)</f>
        <v>C-1012</v>
      </c>
      <c r="Z1510" s="93" t="str">
        <f>+VLOOKUP(Agencia[[#This Row],[Filtro Integrado]],Estructura!$I$4:$K$500,3,0)</f>
        <v>FI-993</v>
      </c>
      <c r="AA1510" s="93" t="str">
        <f>+VLOOKUP(Agencia[[#This Row],[Muestra]],Estructura!$M$4:$O$500,3,0)</f>
        <v>M-1055</v>
      </c>
    </row>
    <row r="1511" spans="1:27" ht="57.6" x14ac:dyDescent="0.3">
      <c r="A1511" s="21" t="s">
        <v>3401</v>
      </c>
      <c r="B1511" s="9">
        <v>990</v>
      </c>
      <c r="C1511" s="10" t="s">
        <v>400</v>
      </c>
      <c r="D1511" s="67" t="s">
        <v>785</v>
      </c>
      <c r="E1511" s="19">
        <v>5</v>
      </c>
      <c r="F1511" s="10" t="s">
        <v>1369</v>
      </c>
      <c r="G1511" s="10" t="s">
        <v>3070</v>
      </c>
      <c r="H1511" s="33" t="s">
        <v>16</v>
      </c>
      <c r="I1511" s="34" t="s">
        <v>372</v>
      </c>
      <c r="J1511" s="60" t="s">
        <v>403</v>
      </c>
      <c r="K1511" s="142" t="s">
        <v>9309</v>
      </c>
      <c r="L1511" s="9" t="s">
        <v>3071</v>
      </c>
      <c r="M1511" s="9" t="s">
        <v>1392</v>
      </c>
      <c r="N1511" s="9" t="s">
        <v>1370</v>
      </c>
      <c r="O1511" s="9" t="s">
        <v>3273</v>
      </c>
      <c r="P1511" s="106" t="s">
        <v>5533</v>
      </c>
      <c r="Q1511" s="11" t="s">
        <v>576</v>
      </c>
      <c r="R1511" s="148" t="str">
        <f>Agencia[[#This Row],[territorio]]&amp;",población,pueblos,originarios,indígenas,etnia,sexo,hombre,mujer,"&amp;Agencia[[#This Row],[coleccion]]&amp;","&amp;Agencia[[#This Row],[sector]]&amp;","&amp;Agencia[[#This Row],[tema]]&amp;","&amp;Agencia[[#This Row],[contenido]]</f>
        <v>Región de Valparaíso,población,pueblos,originarios,indígenas,etnia,sexo,hombre,mujer,Agencia Información,Social,Población por sexo,Pueblos indígenas</v>
      </c>
      <c r="S1511" s="54" t="s">
        <v>3167</v>
      </c>
      <c r="T1511" s="107" t="s">
        <v>1873</v>
      </c>
      <c r="U1511" s="46" t="s">
        <v>4405</v>
      </c>
      <c r="V1511" s="93" t="str">
        <f>+Agencia[[#This Row],[idcoleccion]]&amp;"-"&amp;Agencia[[#This Row],[id]]</f>
        <v>990-1500</v>
      </c>
      <c r="W1511" s="93">
        <f>+VLOOKUP(Agencia[[#This Row],[Filtro URL]],Estructura!$X$4:$Y$500,2,0)</f>
        <v>99200005</v>
      </c>
      <c r="X1511" s="93" t="str">
        <f>+VLOOKUP(Agencia[[#This Row],[tema]],Estructura!$A$4:$C$500,3,0)</f>
        <v>T-1001</v>
      </c>
      <c r="Y1511" s="93" t="str">
        <f>+VLOOKUP(Agencia[[#This Row],[contenido]],Estructura!$E$4:$G$500,3,0)</f>
        <v>C-1012</v>
      </c>
      <c r="Z1511" s="93" t="str">
        <f>+VLOOKUP(Agencia[[#This Row],[Filtro Integrado]],Estructura!$I$4:$K$500,3,0)</f>
        <v>FI-993</v>
      </c>
      <c r="AA1511" s="93" t="str">
        <f>+VLOOKUP(Agencia[[#This Row],[Muestra]],Estructura!$M$4:$O$500,3,0)</f>
        <v>M-1055</v>
      </c>
    </row>
    <row r="1512" spans="1:27" ht="57.6" x14ac:dyDescent="0.3">
      <c r="A1512" s="21" t="s">
        <v>3402</v>
      </c>
      <c r="B1512" s="9">
        <v>990</v>
      </c>
      <c r="C1512" s="10" t="s">
        <v>400</v>
      </c>
      <c r="D1512" s="67" t="s">
        <v>785</v>
      </c>
      <c r="E1512" s="19">
        <v>6</v>
      </c>
      <c r="F1512" s="67" t="s">
        <v>1369</v>
      </c>
      <c r="G1512" s="10" t="s">
        <v>3070</v>
      </c>
      <c r="H1512" s="33" t="s">
        <v>16</v>
      </c>
      <c r="I1512" s="34" t="s">
        <v>373</v>
      </c>
      <c r="J1512" s="60" t="s">
        <v>403</v>
      </c>
      <c r="K1512" s="142" t="s">
        <v>9309</v>
      </c>
      <c r="L1512" s="9" t="s">
        <v>3071</v>
      </c>
      <c r="M1512" s="9" t="s">
        <v>1392</v>
      </c>
      <c r="N1512" s="9" t="s">
        <v>1370</v>
      </c>
      <c r="O1512" s="9" t="s">
        <v>3274</v>
      </c>
      <c r="P1512" s="106" t="s">
        <v>5534</v>
      </c>
      <c r="Q1512" s="11" t="s">
        <v>576</v>
      </c>
      <c r="R1512" s="148" t="str">
        <f>Agencia[[#This Row],[territorio]]&amp;",población,pueblos,originarios,indígenas,etnia,sexo,hombre,mujer,"&amp;Agencia[[#This Row],[coleccion]]&amp;","&amp;Agencia[[#This Row],[sector]]&amp;","&amp;Agencia[[#This Row],[tema]]&amp;","&amp;Agencia[[#This Row],[contenido]]</f>
        <v>Región de O'Higgins,población,pueblos,originarios,indígenas,etnia,sexo,hombre,mujer,Agencia Información,Social,Población por sexo,Pueblos indígenas</v>
      </c>
      <c r="S1512" s="54" t="s">
        <v>3168</v>
      </c>
      <c r="T1512" s="107" t="s">
        <v>1871</v>
      </c>
      <c r="U1512" s="46" t="s">
        <v>4406</v>
      </c>
      <c r="V1512" s="93" t="str">
        <f>+Agencia[[#This Row],[idcoleccion]]&amp;"-"&amp;Agencia[[#This Row],[id]]</f>
        <v>990-1501</v>
      </c>
      <c r="W1512" s="93">
        <f>+VLOOKUP(Agencia[[#This Row],[Filtro URL]],Estructura!$X$4:$Y$500,2,0)</f>
        <v>99200006</v>
      </c>
      <c r="X1512" s="93" t="str">
        <f>+VLOOKUP(Agencia[[#This Row],[tema]],Estructura!$A$4:$C$500,3,0)</f>
        <v>T-1001</v>
      </c>
      <c r="Y1512" s="93" t="str">
        <f>+VLOOKUP(Agencia[[#This Row],[contenido]],Estructura!$E$4:$G$500,3,0)</f>
        <v>C-1012</v>
      </c>
      <c r="Z1512" s="93" t="str">
        <f>+VLOOKUP(Agencia[[#This Row],[Filtro Integrado]],Estructura!$I$4:$K$500,3,0)</f>
        <v>FI-993</v>
      </c>
      <c r="AA1512" s="93" t="str">
        <f>+VLOOKUP(Agencia[[#This Row],[Muestra]],Estructura!$M$4:$O$500,3,0)</f>
        <v>M-1055</v>
      </c>
    </row>
    <row r="1513" spans="1:27" ht="57.6" x14ac:dyDescent="0.3">
      <c r="A1513" s="21" t="s">
        <v>3403</v>
      </c>
      <c r="B1513" s="9">
        <v>990</v>
      </c>
      <c r="C1513" s="10" t="s">
        <v>400</v>
      </c>
      <c r="D1513" s="67" t="s">
        <v>785</v>
      </c>
      <c r="E1513" s="19">
        <v>7</v>
      </c>
      <c r="F1513" s="67" t="s">
        <v>1369</v>
      </c>
      <c r="G1513" s="10" t="s">
        <v>3070</v>
      </c>
      <c r="H1513" s="33" t="s">
        <v>16</v>
      </c>
      <c r="I1513" s="34" t="s">
        <v>374</v>
      </c>
      <c r="J1513" s="60" t="s">
        <v>403</v>
      </c>
      <c r="K1513" s="142" t="s">
        <v>9309</v>
      </c>
      <c r="L1513" s="9" t="s">
        <v>3071</v>
      </c>
      <c r="M1513" s="9" t="s">
        <v>1392</v>
      </c>
      <c r="N1513" s="9" t="s">
        <v>1370</v>
      </c>
      <c r="O1513" s="9" t="s">
        <v>3275</v>
      </c>
      <c r="P1513" s="106" t="s">
        <v>5535</v>
      </c>
      <c r="Q1513" s="11" t="s">
        <v>576</v>
      </c>
      <c r="R1513" s="148" t="str">
        <f>Agencia[[#This Row],[territorio]]&amp;",población,pueblos,originarios,indígenas,etnia,sexo,hombre,mujer,"&amp;Agencia[[#This Row],[coleccion]]&amp;","&amp;Agencia[[#This Row],[sector]]&amp;","&amp;Agencia[[#This Row],[tema]]&amp;","&amp;Agencia[[#This Row],[contenido]]</f>
        <v>Región de Maule,población,pueblos,originarios,indígenas,etnia,sexo,hombre,mujer,Agencia Información,Social,Población por sexo,Pueblos indígenas</v>
      </c>
      <c r="S1513" s="54" t="s">
        <v>3169</v>
      </c>
      <c r="T1513" s="107" t="s">
        <v>1869</v>
      </c>
      <c r="U1513" s="46" t="s">
        <v>4407</v>
      </c>
      <c r="V1513" s="93" t="str">
        <f>+Agencia[[#This Row],[idcoleccion]]&amp;"-"&amp;Agencia[[#This Row],[id]]</f>
        <v>990-1502</v>
      </c>
      <c r="W1513" s="93">
        <f>+VLOOKUP(Agencia[[#This Row],[Filtro URL]],Estructura!$X$4:$Y$500,2,0)</f>
        <v>99200007</v>
      </c>
      <c r="X1513" s="93" t="str">
        <f>+VLOOKUP(Agencia[[#This Row],[tema]],Estructura!$A$4:$C$500,3,0)</f>
        <v>T-1001</v>
      </c>
      <c r="Y1513" s="93" t="str">
        <f>+VLOOKUP(Agencia[[#This Row],[contenido]],Estructura!$E$4:$G$500,3,0)</f>
        <v>C-1012</v>
      </c>
      <c r="Z1513" s="93" t="str">
        <f>+VLOOKUP(Agencia[[#This Row],[Filtro Integrado]],Estructura!$I$4:$K$500,3,0)</f>
        <v>FI-993</v>
      </c>
      <c r="AA1513" s="93" t="str">
        <f>+VLOOKUP(Agencia[[#This Row],[Muestra]],Estructura!$M$4:$O$500,3,0)</f>
        <v>M-1055</v>
      </c>
    </row>
    <row r="1514" spans="1:27" ht="57.6" x14ac:dyDescent="0.3">
      <c r="A1514" s="21" t="s">
        <v>3404</v>
      </c>
      <c r="B1514" s="9">
        <v>990</v>
      </c>
      <c r="C1514" s="10" t="s">
        <v>400</v>
      </c>
      <c r="D1514" s="67" t="s">
        <v>785</v>
      </c>
      <c r="E1514" s="19">
        <v>8</v>
      </c>
      <c r="F1514" s="10" t="s">
        <v>1369</v>
      </c>
      <c r="G1514" s="10" t="s">
        <v>3070</v>
      </c>
      <c r="H1514" s="33" t="s">
        <v>16</v>
      </c>
      <c r="I1514" s="34" t="s">
        <v>375</v>
      </c>
      <c r="J1514" s="60" t="s">
        <v>403</v>
      </c>
      <c r="K1514" s="142" t="s">
        <v>9309</v>
      </c>
      <c r="L1514" s="9" t="s">
        <v>3071</v>
      </c>
      <c r="M1514" s="9" t="s">
        <v>1392</v>
      </c>
      <c r="N1514" s="9" t="s">
        <v>1370</v>
      </c>
      <c r="O1514" s="9" t="s">
        <v>3276</v>
      </c>
      <c r="P1514" s="106" t="s">
        <v>5536</v>
      </c>
      <c r="Q1514" s="11" t="s">
        <v>576</v>
      </c>
      <c r="R1514" s="148" t="str">
        <f>Agencia[[#This Row],[territorio]]&amp;",población,pueblos,originarios,indígenas,etnia,sexo,hombre,mujer,"&amp;Agencia[[#This Row],[coleccion]]&amp;","&amp;Agencia[[#This Row],[sector]]&amp;","&amp;Agencia[[#This Row],[tema]]&amp;","&amp;Agencia[[#This Row],[contenido]]</f>
        <v>Región del Biobío,población,pueblos,originarios,indígenas,etnia,sexo,hombre,mujer,Agencia Información,Social,Población por sexo,Pueblos indígenas</v>
      </c>
      <c r="S1514" s="54" t="s">
        <v>3170</v>
      </c>
      <c r="T1514" s="107" t="s">
        <v>1874</v>
      </c>
      <c r="U1514" s="46" t="s">
        <v>4408</v>
      </c>
      <c r="V1514" s="93" t="str">
        <f>+Agencia[[#This Row],[idcoleccion]]&amp;"-"&amp;Agencia[[#This Row],[id]]</f>
        <v>990-1503</v>
      </c>
      <c r="W1514" s="93">
        <f>+VLOOKUP(Agencia[[#This Row],[Filtro URL]],Estructura!$X$4:$Y$500,2,0)</f>
        <v>99200008</v>
      </c>
      <c r="X1514" s="93" t="str">
        <f>+VLOOKUP(Agencia[[#This Row],[tema]],Estructura!$A$4:$C$500,3,0)</f>
        <v>T-1001</v>
      </c>
      <c r="Y1514" s="93" t="str">
        <f>+VLOOKUP(Agencia[[#This Row],[contenido]],Estructura!$E$4:$G$500,3,0)</f>
        <v>C-1012</v>
      </c>
      <c r="Z1514" s="93" t="str">
        <f>+VLOOKUP(Agencia[[#This Row],[Filtro Integrado]],Estructura!$I$4:$K$500,3,0)</f>
        <v>FI-993</v>
      </c>
      <c r="AA1514" s="93" t="str">
        <f>+VLOOKUP(Agencia[[#This Row],[Muestra]],Estructura!$M$4:$O$500,3,0)</f>
        <v>M-1055</v>
      </c>
    </row>
    <row r="1515" spans="1:27" ht="57.6" x14ac:dyDescent="0.3">
      <c r="A1515" s="21" t="s">
        <v>3405</v>
      </c>
      <c r="B1515" s="9">
        <v>990</v>
      </c>
      <c r="C1515" s="10" t="s">
        <v>400</v>
      </c>
      <c r="D1515" s="67" t="s">
        <v>785</v>
      </c>
      <c r="E1515" s="19">
        <v>9</v>
      </c>
      <c r="F1515" s="10" t="s">
        <v>1369</v>
      </c>
      <c r="G1515" s="10" t="s">
        <v>3070</v>
      </c>
      <c r="H1515" s="33" t="s">
        <v>16</v>
      </c>
      <c r="I1515" s="34" t="s">
        <v>376</v>
      </c>
      <c r="J1515" s="60" t="s">
        <v>403</v>
      </c>
      <c r="K1515" s="142" t="s">
        <v>9309</v>
      </c>
      <c r="L1515" s="9" t="s">
        <v>3071</v>
      </c>
      <c r="M1515" s="9" t="s">
        <v>1392</v>
      </c>
      <c r="N1515" s="9" t="s">
        <v>1370</v>
      </c>
      <c r="O1515" s="9" t="s">
        <v>3277</v>
      </c>
      <c r="P1515" s="106" t="s">
        <v>5537</v>
      </c>
      <c r="Q1515" s="11" t="s">
        <v>576</v>
      </c>
      <c r="R1515" s="148" t="str">
        <f>Agencia[[#This Row],[territorio]]&amp;",población,pueblos,originarios,indígenas,etnia,sexo,hombre,mujer,"&amp;Agencia[[#This Row],[coleccion]]&amp;","&amp;Agencia[[#This Row],[sector]]&amp;","&amp;Agencia[[#This Row],[tema]]&amp;","&amp;Agencia[[#This Row],[contenido]]</f>
        <v>Región de La Araucanía,población,pueblos,originarios,indígenas,etnia,sexo,hombre,mujer,Agencia Información,Social,Población por sexo,Pueblos indígenas</v>
      </c>
      <c r="S1515" s="54" t="s">
        <v>3171</v>
      </c>
      <c r="T1515" s="107" t="s">
        <v>1865</v>
      </c>
      <c r="U1515" s="46" t="s">
        <v>4409</v>
      </c>
      <c r="V1515" s="93" t="str">
        <f>+Agencia[[#This Row],[idcoleccion]]&amp;"-"&amp;Agencia[[#This Row],[id]]</f>
        <v>990-1504</v>
      </c>
      <c r="W1515" s="93">
        <f>+VLOOKUP(Agencia[[#This Row],[Filtro URL]],Estructura!$X$4:$Y$500,2,0)</f>
        <v>99200009</v>
      </c>
      <c r="X1515" s="93" t="str">
        <f>+VLOOKUP(Agencia[[#This Row],[tema]],Estructura!$A$4:$C$500,3,0)</f>
        <v>T-1001</v>
      </c>
      <c r="Y1515" s="93" t="str">
        <f>+VLOOKUP(Agencia[[#This Row],[contenido]],Estructura!$E$4:$G$500,3,0)</f>
        <v>C-1012</v>
      </c>
      <c r="Z1515" s="93" t="str">
        <f>+VLOOKUP(Agencia[[#This Row],[Filtro Integrado]],Estructura!$I$4:$K$500,3,0)</f>
        <v>FI-993</v>
      </c>
      <c r="AA1515" s="93" t="str">
        <f>+VLOOKUP(Agencia[[#This Row],[Muestra]],Estructura!$M$4:$O$500,3,0)</f>
        <v>M-1055</v>
      </c>
    </row>
    <row r="1516" spans="1:27" ht="57.6" x14ac:dyDescent="0.3">
      <c r="A1516" s="21" t="s">
        <v>3406</v>
      </c>
      <c r="B1516" s="9">
        <v>990</v>
      </c>
      <c r="C1516" s="10" t="s">
        <v>400</v>
      </c>
      <c r="D1516" s="67" t="s">
        <v>785</v>
      </c>
      <c r="E1516" s="19">
        <v>10</v>
      </c>
      <c r="F1516" s="10" t="s">
        <v>1369</v>
      </c>
      <c r="G1516" s="10" t="s">
        <v>3070</v>
      </c>
      <c r="H1516" s="33" t="s">
        <v>16</v>
      </c>
      <c r="I1516" s="34" t="s">
        <v>377</v>
      </c>
      <c r="J1516" s="60" t="s">
        <v>403</v>
      </c>
      <c r="K1516" s="142" t="s">
        <v>9309</v>
      </c>
      <c r="L1516" s="9" t="s">
        <v>3071</v>
      </c>
      <c r="M1516" s="9" t="s">
        <v>1392</v>
      </c>
      <c r="N1516" s="9" t="s">
        <v>1370</v>
      </c>
      <c r="O1516" s="9" t="s">
        <v>3278</v>
      </c>
      <c r="P1516" s="106" t="s">
        <v>5538</v>
      </c>
      <c r="Q1516" s="11" t="s">
        <v>576</v>
      </c>
      <c r="R1516" s="148" t="str">
        <f>Agencia[[#This Row],[territorio]]&amp;",población,pueblos,originarios,indígenas,etnia,sexo,hombre,mujer,"&amp;Agencia[[#This Row],[coleccion]]&amp;","&amp;Agencia[[#This Row],[sector]]&amp;","&amp;Agencia[[#This Row],[tema]]&amp;","&amp;Agencia[[#This Row],[contenido]]</f>
        <v>Región de Los Lagos,población,pueblos,originarios,indígenas,etnia,sexo,hombre,mujer,Agencia Información,Social,Población por sexo,Pueblos indígenas</v>
      </c>
      <c r="S1516" s="54" t="s">
        <v>3172</v>
      </c>
      <c r="T1516" s="107" t="s">
        <v>1866</v>
      </c>
      <c r="U1516" s="46" t="s">
        <v>4410</v>
      </c>
      <c r="V1516" s="93" t="str">
        <f>+Agencia[[#This Row],[idcoleccion]]&amp;"-"&amp;Agencia[[#This Row],[id]]</f>
        <v>990-1505</v>
      </c>
      <c r="W1516" s="93">
        <f>+VLOOKUP(Agencia[[#This Row],[Filtro URL]],Estructura!$X$4:$Y$500,2,0)</f>
        <v>99200010</v>
      </c>
      <c r="X1516" s="93" t="str">
        <f>+VLOOKUP(Agencia[[#This Row],[tema]],Estructura!$A$4:$C$500,3,0)</f>
        <v>T-1001</v>
      </c>
      <c r="Y1516" s="93" t="str">
        <f>+VLOOKUP(Agencia[[#This Row],[contenido]],Estructura!$E$4:$G$500,3,0)</f>
        <v>C-1012</v>
      </c>
      <c r="Z1516" s="93" t="str">
        <f>+VLOOKUP(Agencia[[#This Row],[Filtro Integrado]],Estructura!$I$4:$K$500,3,0)</f>
        <v>FI-993</v>
      </c>
      <c r="AA1516" s="93" t="str">
        <f>+VLOOKUP(Agencia[[#This Row],[Muestra]],Estructura!$M$4:$O$500,3,0)</f>
        <v>M-1055</v>
      </c>
    </row>
    <row r="1517" spans="1:27" ht="57.6" x14ac:dyDescent="0.3">
      <c r="A1517" s="21" t="s">
        <v>3407</v>
      </c>
      <c r="B1517" s="9">
        <v>990</v>
      </c>
      <c r="C1517" s="10" t="s">
        <v>400</v>
      </c>
      <c r="D1517" s="67" t="s">
        <v>785</v>
      </c>
      <c r="E1517" s="19">
        <v>11</v>
      </c>
      <c r="F1517" s="67" t="s">
        <v>1369</v>
      </c>
      <c r="G1517" s="10" t="s">
        <v>3070</v>
      </c>
      <c r="H1517" s="33" t="s">
        <v>16</v>
      </c>
      <c r="I1517" s="34" t="s">
        <v>378</v>
      </c>
      <c r="J1517" s="60" t="s">
        <v>403</v>
      </c>
      <c r="K1517" s="142" t="s">
        <v>9309</v>
      </c>
      <c r="L1517" s="9" t="s">
        <v>3071</v>
      </c>
      <c r="M1517" s="9" t="s">
        <v>1392</v>
      </c>
      <c r="N1517" s="9" t="s">
        <v>1370</v>
      </c>
      <c r="O1517" s="9" t="s">
        <v>3279</v>
      </c>
      <c r="P1517" s="106" t="s">
        <v>5539</v>
      </c>
      <c r="Q1517" s="11" t="s">
        <v>576</v>
      </c>
      <c r="R1517" s="148" t="str">
        <f>Agencia[[#This Row],[territorio]]&amp;",población,pueblos,originarios,indígenas,etnia,sexo,hombre,mujer,"&amp;Agencia[[#This Row],[coleccion]]&amp;","&amp;Agencia[[#This Row],[sector]]&amp;","&amp;Agencia[[#This Row],[tema]]&amp;","&amp;Agencia[[#This Row],[contenido]]</f>
        <v>Región de Aysén,población,pueblos,originarios,indígenas,etnia,sexo,hombre,mujer,Agencia Información,Social,Población por sexo,Pueblos indígenas</v>
      </c>
      <c r="S1517" s="54" t="s">
        <v>3173</v>
      </c>
      <c r="T1517" s="107" t="s">
        <v>1863</v>
      </c>
      <c r="U1517" s="46" t="s">
        <v>4411</v>
      </c>
      <c r="V1517" s="93" t="str">
        <f>+Agencia[[#This Row],[idcoleccion]]&amp;"-"&amp;Agencia[[#This Row],[id]]</f>
        <v>990-1506</v>
      </c>
      <c r="W1517" s="93">
        <f>+VLOOKUP(Agencia[[#This Row],[Filtro URL]],Estructura!$X$4:$Y$500,2,0)</f>
        <v>99200011</v>
      </c>
      <c r="X1517" s="93" t="str">
        <f>+VLOOKUP(Agencia[[#This Row],[tema]],Estructura!$A$4:$C$500,3,0)</f>
        <v>T-1001</v>
      </c>
      <c r="Y1517" s="93" t="str">
        <f>+VLOOKUP(Agencia[[#This Row],[contenido]],Estructura!$E$4:$G$500,3,0)</f>
        <v>C-1012</v>
      </c>
      <c r="Z1517" s="93" t="str">
        <f>+VLOOKUP(Agencia[[#This Row],[Filtro Integrado]],Estructura!$I$4:$K$500,3,0)</f>
        <v>FI-993</v>
      </c>
      <c r="AA1517" s="93" t="str">
        <f>+VLOOKUP(Agencia[[#This Row],[Muestra]],Estructura!$M$4:$O$500,3,0)</f>
        <v>M-1055</v>
      </c>
    </row>
    <row r="1518" spans="1:27" ht="57.6" x14ac:dyDescent="0.3">
      <c r="A1518" s="21" t="s">
        <v>3408</v>
      </c>
      <c r="B1518" s="9">
        <v>990</v>
      </c>
      <c r="C1518" s="10" t="s">
        <v>400</v>
      </c>
      <c r="D1518" s="67" t="s">
        <v>785</v>
      </c>
      <c r="E1518" s="19">
        <v>12</v>
      </c>
      <c r="F1518" s="67" t="s">
        <v>1369</v>
      </c>
      <c r="G1518" s="10" t="s">
        <v>3070</v>
      </c>
      <c r="H1518" s="33" t="s">
        <v>16</v>
      </c>
      <c r="I1518" s="34" t="s">
        <v>379</v>
      </c>
      <c r="J1518" s="60" t="s">
        <v>403</v>
      </c>
      <c r="K1518" s="142" t="s">
        <v>9309</v>
      </c>
      <c r="L1518" s="9" t="s">
        <v>3071</v>
      </c>
      <c r="M1518" s="9" t="s">
        <v>1392</v>
      </c>
      <c r="N1518" s="9" t="s">
        <v>1370</v>
      </c>
      <c r="O1518" s="9" t="s">
        <v>3280</v>
      </c>
      <c r="P1518" s="106" t="s">
        <v>5540</v>
      </c>
      <c r="Q1518" s="11" t="s">
        <v>576</v>
      </c>
      <c r="R1518" s="148" t="str">
        <f>Agencia[[#This Row],[territorio]]&amp;",población,pueblos,originarios,indígenas,etnia,sexo,hombre,mujer,"&amp;Agencia[[#This Row],[coleccion]]&amp;","&amp;Agencia[[#This Row],[sector]]&amp;","&amp;Agencia[[#This Row],[tema]]&amp;","&amp;Agencia[[#This Row],[contenido]]</f>
        <v>Región de Magallanes,población,pueblos,originarios,indígenas,etnia,sexo,hombre,mujer,Agencia Información,Social,Población por sexo,Pueblos indígenas</v>
      </c>
      <c r="S1518" s="54" t="s">
        <v>3174</v>
      </c>
      <c r="T1518" s="107" t="s">
        <v>1868</v>
      </c>
      <c r="U1518" s="46" t="s">
        <v>4412</v>
      </c>
      <c r="V1518" s="93" t="str">
        <f>+Agencia[[#This Row],[idcoleccion]]&amp;"-"&amp;Agencia[[#This Row],[id]]</f>
        <v>990-1507</v>
      </c>
      <c r="W1518" s="93">
        <f>+VLOOKUP(Agencia[[#This Row],[Filtro URL]],Estructura!$X$4:$Y$500,2,0)</f>
        <v>99200012</v>
      </c>
      <c r="X1518" s="93" t="str">
        <f>+VLOOKUP(Agencia[[#This Row],[tema]],Estructura!$A$4:$C$500,3,0)</f>
        <v>T-1001</v>
      </c>
      <c r="Y1518" s="93" t="str">
        <f>+VLOOKUP(Agencia[[#This Row],[contenido]],Estructura!$E$4:$G$500,3,0)</f>
        <v>C-1012</v>
      </c>
      <c r="Z1518" s="93" t="str">
        <f>+VLOOKUP(Agencia[[#This Row],[Filtro Integrado]],Estructura!$I$4:$K$500,3,0)</f>
        <v>FI-993</v>
      </c>
      <c r="AA1518" s="93" t="str">
        <f>+VLOOKUP(Agencia[[#This Row],[Muestra]],Estructura!$M$4:$O$500,3,0)</f>
        <v>M-1055</v>
      </c>
    </row>
    <row r="1519" spans="1:27" ht="57.6" x14ac:dyDescent="0.3">
      <c r="A1519" s="21" t="s">
        <v>3409</v>
      </c>
      <c r="B1519" s="9">
        <v>990</v>
      </c>
      <c r="C1519" s="10" t="s">
        <v>400</v>
      </c>
      <c r="D1519" s="67" t="s">
        <v>785</v>
      </c>
      <c r="E1519" s="19">
        <v>13</v>
      </c>
      <c r="F1519" s="67" t="s">
        <v>1369</v>
      </c>
      <c r="G1519" s="10" t="s">
        <v>3070</v>
      </c>
      <c r="H1519" s="33" t="s">
        <v>16</v>
      </c>
      <c r="I1519" s="34" t="s">
        <v>380</v>
      </c>
      <c r="J1519" s="60" t="s">
        <v>403</v>
      </c>
      <c r="K1519" s="142" t="s">
        <v>9309</v>
      </c>
      <c r="L1519" s="9" t="s">
        <v>3071</v>
      </c>
      <c r="M1519" s="9" t="s">
        <v>1392</v>
      </c>
      <c r="N1519" s="9" t="s">
        <v>1370</v>
      </c>
      <c r="O1519" s="9" t="s">
        <v>3281</v>
      </c>
      <c r="P1519" s="106" t="s">
        <v>5541</v>
      </c>
      <c r="Q1519" s="11" t="s">
        <v>576</v>
      </c>
      <c r="R1519" s="148" t="str">
        <f>Agencia[[#This Row],[territorio]]&amp;",población,pueblos,originarios,indígenas,etnia,sexo,hombre,mujer,"&amp;Agencia[[#This Row],[coleccion]]&amp;","&amp;Agencia[[#This Row],[sector]]&amp;","&amp;Agencia[[#This Row],[tema]]&amp;","&amp;Agencia[[#This Row],[contenido]]</f>
        <v>Región Metropolitana,población,pueblos,originarios,indígenas,etnia,sexo,hombre,mujer,Agencia Información,Social,Población por sexo,Pueblos indígenas</v>
      </c>
      <c r="S1519" s="54" t="s">
        <v>3175</v>
      </c>
      <c r="T1519" s="107" t="s">
        <v>1875</v>
      </c>
      <c r="U1519" s="46" t="s">
        <v>4413</v>
      </c>
      <c r="V1519" s="93" t="str">
        <f>+Agencia[[#This Row],[idcoleccion]]&amp;"-"&amp;Agencia[[#This Row],[id]]</f>
        <v>990-1508</v>
      </c>
      <c r="W1519" s="93">
        <f>+VLOOKUP(Agencia[[#This Row],[Filtro URL]],Estructura!$X$4:$Y$500,2,0)</f>
        <v>99200013</v>
      </c>
      <c r="X1519" s="93" t="str">
        <f>+VLOOKUP(Agencia[[#This Row],[tema]],Estructura!$A$4:$C$500,3,0)</f>
        <v>T-1001</v>
      </c>
      <c r="Y1519" s="93" t="str">
        <f>+VLOOKUP(Agencia[[#This Row],[contenido]],Estructura!$E$4:$G$500,3,0)</f>
        <v>C-1012</v>
      </c>
      <c r="Z1519" s="93" t="str">
        <f>+VLOOKUP(Agencia[[#This Row],[Filtro Integrado]],Estructura!$I$4:$K$500,3,0)</f>
        <v>FI-993</v>
      </c>
      <c r="AA1519" s="93" t="str">
        <f>+VLOOKUP(Agencia[[#This Row],[Muestra]],Estructura!$M$4:$O$500,3,0)</f>
        <v>M-1055</v>
      </c>
    </row>
    <row r="1520" spans="1:27" ht="57.6" x14ac:dyDescent="0.3">
      <c r="A1520" s="21" t="s">
        <v>3410</v>
      </c>
      <c r="B1520" s="9">
        <v>990</v>
      </c>
      <c r="C1520" s="10" t="s">
        <v>400</v>
      </c>
      <c r="D1520" s="67" t="s">
        <v>785</v>
      </c>
      <c r="E1520" s="19">
        <v>14</v>
      </c>
      <c r="F1520" s="67" t="s">
        <v>1369</v>
      </c>
      <c r="G1520" s="10" t="s">
        <v>3070</v>
      </c>
      <c r="H1520" s="33" t="s">
        <v>16</v>
      </c>
      <c r="I1520" s="34" t="s">
        <v>381</v>
      </c>
      <c r="J1520" s="60" t="s">
        <v>403</v>
      </c>
      <c r="K1520" s="142" t="s">
        <v>9309</v>
      </c>
      <c r="L1520" s="9" t="s">
        <v>3071</v>
      </c>
      <c r="M1520" s="9" t="s">
        <v>1392</v>
      </c>
      <c r="N1520" s="9" t="s">
        <v>1370</v>
      </c>
      <c r="O1520" s="9" t="s">
        <v>3282</v>
      </c>
      <c r="P1520" s="106" t="s">
        <v>5542</v>
      </c>
      <c r="Q1520" s="11" t="s">
        <v>576</v>
      </c>
      <c r="R1520" s="148" t="str">
        <f>Agencia[[#This Row],[territorio]]&amp;",población,pueblos,originarios,indígenas,etnia,sexo,hombre,mujer,"&amp;Agencia[[#This Row],[coleccion]]&amp;","&amp;Agencia[[#This Row],[sector]]&amp;","&amp;Agencia[[#This Row],[tema]]&amp;","&amp;Agencia[[#This Row],[contenido]]</f>
        <v>Región de Los Ríos,población,pueblos,originarios,indígenas,etnia,sexo,hombre,mujer,Agencia Información,Social,Población por sexo,Pueblos indígenas</v>
      </c>
      <c r="S1520" s="54" t="s">
        <v>3176</v>
      </c>
      <c r="T1520" s="107" t="s">
        <v>1867</v>
      </c>
      <c r="U1520" s="46" t="s">
        <v>4414</v>
      </c>
      <c r="V1520" s="93" t="str">
        <f>+Agencia[[#This Row],[idcoleccion]]&amp;"-"&amp;Agencia[[#This Row],[id]]</f>
        <v>990-1509</v>
      </c>
      <c r="W1520" s="93">
        <f>+VLOOKUP(Agencia[[#This Row],[Filtro URL]],Estructura!$X$4:$Y$500,2,0)</f>
        <v>99200014</v>
      </c>
      <c r="X1520" s="93" t="str">
        <f>+VLOOKUP(Agencia[[#This Row],[tema]],Estructura!$A$4:$C$500,3,0)</f>
        <v>T-1001</v>
      </c>
      <c r="Y1520" s="93" t="str">
        <f>+VLOOKUP(Agencia[[#This Row],[contenido]],Estructura!$E$4:$G$500,3,0)</f>
        <v>C-1012</v>
      </c>
      <c r="Z1520" s="93" t="str">
        <f>+VLOOKUP(Agencia[[#This Row],[Filtro Integrado]],Estructura!$I$4:$K$500,3,0)</f>
        <v>FI-993</v>
      </c>
      <c r="AA1520" s="93" t="str">
        <f>+VLOOKUP(Agencia[[#This Row],[Muestra]],Estructura!$M$4:$O$500,3,0)</f>
        <v>M-1055</v>
      </c>
    </row>
    <row r="1521" spans="1:27" ht="57.6" x14ac:dyDescent="0.3">
      <c r="A1521" s="21" t="s">
        <v>3411</v>
      </c>
      <c r="B1521" s="9">
        <v>990</v>
      </c>
      <c r="C1521" s="10" t="s">
        <v>400</v>
      </c>
      <c r="D1521" s="67" t="s">
        <v>785</v>
      </c>
      <c r="E1521" s="19">
        <v>15</v>
      </c>
      <c r="F1521" s="67" t="s">
        <v>1369</v>
      </c>
      <c r="G1521" s="10" t="s">
        <v>3070</v>
      </c>
      <c r="H1521" s="33" t="s">
        <v>16</v>
      </c>
      <c r="I1521" s="34" t="s">
        <v>382</v>
      </c>
      <c r="J1521" s="60" t="s">
        <v>403</v>
      </c>
      <c r="K1521" s="142" t="s">
        <v>9309</v>
      </c>
      <c r="L1521" s="9" t="s">
        <v>3071</v>
      </c>
      <c r="M1521" s="9" t="s">
        <v>1392</v>
      </c>
      <c r="N1521" s="9" t="s">
        <v>1370</v>
      </c>
      <c r="O1521" s="9" t="s">
        <v>3283</v>
      </c>
      <c r="P1521" s="106" t="s">
        <v>5543</v>
      </c>
      <c r="Q1521" s="11" t="s">
        <v>576</v>
      </c>
      <c r="R1521" s="148" t="str">
        <f>Agencia[[#This Row],[territorio]]&amp;",población,pueblos,originarios,indígenas,etnia,sexo,hombre,mujer,"&amp;Agencia[[#This Row],[coleccion]]&amp;","&amp;Agencia[[#This Row],[sector]]&amp;","&amp;Agencia[[#This Row],[tema]]&amp;","&amp;Agencia[[#This Row],[contenido]]</f>
        <v>Región de Arica y Parinacota,población,pueblos,originarios,indígenas,etnia,sexo,hombre,mujer,Agencia Información,Social,Población por sexo,Pueblos indígenas</v>
      </c>
      <c r="S1521" s="54" t="s">
        <v>3177</v>
      </c>
      <c r="T1521" s="107" t="s">
        <v>1861</v>
      </c>
      <c r="U1521" s="46" t="s">
        <v>4415</v>
      </c>
      <c r="V1521" s="93" t="str">
        <f>+Agencia[[#This Row],[idcoleccion]]&amp;"-"&amp;Agencia[[#This Row],[id]]</f>
        <v>990-1510</v>
      </c>
      <c r="W1521" s="93">
        <f>+VLOOKUP(Agencia[[#This Row],[Filtro URL]],Estructura!$X$4:$Y$500,2,0)</f>
        <v>99200015</v>
      </c>
      <c r="X1521" s="93" t="str">
        <f>+VLOOKUP(Agencia[[#This Row],[tema]],Estructura!$A$4:$C$500,3,0)</f>
        <v>T-1001</v>
      </c>
      <c r="Y1521" s="93" t="str">
        <f>+VLOOKUP(Agencia[[#This Row],[contenido]],Estructura!$E$4:$G$500,3,0)</f>
        <v>C-1012</v>
      </c>
      <c r="Z1521" s="93" t="str">
        <f>+VLOOKUP(Agencia[[#This Row],[Filtro Integrado]],Estructura!$I$4:$K$500,3,0)</f>
        <v>FI-993</v>
      </c>
      <c r="AA1521" s="93" t="str">
        <f>+VLOOKUP(Agencia[[#This Row],[Muestra]],Estructura!$M$4:$O$500,3,0)</f>
        <v>M-1055</v>
      </c>
    </row>
    <row r="1522" spans="1:27" ht="57.6" x14ac:dyDescent="0.3">
      <c r="A1522" s="21" t="s">
        <v>3412</v>
      </c>
      <c r="B1522" s="9">
        <v>990</v>
      </c>
      <c r="C1522" s="10" t="s">
        <v>400</v>
      </c>
      <c r="D1522" s="67" t="s">
        <v>785</v>
      </c>
      <c r="E1522" s="19">
        <v>16</v>
      </c>
      <c r="F1522" s="67" t="s">
        <v>1369</v>
      </c>
      <c r="G1522" s="10" t="s">
        <v>3070</v>
      </c>
      <c r="H1522" s="33" t="s">
        <v>16</v>
      </c>
      <c r="I1522" s="34" t="s">
        <v>383</v>
      </c>
      <c r="J1522" s="60" t="s">
        <v>403</v>
      </c>
      <c r="K1522" s="142" t="s">
        <v>9309</v>
      </c>
      <c r="L1522" s="9" t="s">
        <v>3071</v>
      </c>
      <c r="M1522" s="9" t="s">
        <v>1392</v>
      </c>
      <c r="N1522" s="9" t="s">
        <v>1370</v>
      </c>
      <c r="O1522" s="9" t="s">
        <v>3284</v>
      </c>
      <c r="P1522" s="106" t="s">
        <v>5544</v>
      </c>
      <c r="Q1522" s="11" t="s">
        <v>576</v>
      </c>
      <c r="R1522" s="148" t="str">
        <f>Agencia[[#This Row],[territorio]]&amp;",población,pueblos,originarios,indígenas,etnia,sexo,hombre,mujer,"&amp;Agencia[[#This Row],[coleccion]]&amp;","&amp;Agencia[[#This Row],[sector]]&amp;","&amp;Agencia[[#This Row],[tema]]&amp;","&amp;Agencia[[#This Row],[contenido]]</f>
        <v>Región de Ñuble,población,pueblos,originarios,indígenas,etnia,sexo,hombre,mujer,Agencia Información,Social,Población por sexo,Pueblos indígenas</v>
      </c>
      <c r="S1522" s="54" t="s">
        <v>3178</v>
      </c>
      <c r="T1522" s="107" t="s">
        <v>1870</v>
      </c>
      <c r="U1522" s="46" t="s">
        <v>4416</v>
      </c>
      <c r="V1522" s="93" t="str">
        <f>+Agencia[[#This Row],[idcoleccion]]&amp;"-"&amp;Agencia[[#This Row],[id]]</f>
        <v>990-1511</v>
      </c>
      <c r="W1522" s="93">
        <f>+VLOOKUP(Agencia[[#This Row],[Filtro URL]],Estructura!$X$4:$Y$500,2,0)</f>
        <v>99200016</v>
      </c>
      <c r="X1522" s="93" t="str">
        <f>+VLOOKUP(Agencia[[#This Row],[tema]],Estructura!$A$4:$C$500,3,0)</f>
        <v>T-1001</v>
      </c>
      <c r="Y1522" s="93" t="str">
        <f>+VLOOKUP(Agencia[[#This Row],[contenido]],Estructura!$E$4:$G$500,3,0)</f>
        <v>C-1012</v>
      </c>
      <c r="Z1522" s="93" t="str">
        <f>+VLOOKUP(Agencia[[#This Row],[Filtro Integrado]],Estructura!$I$4:$K$500,3,0)</f>
        <v>FI-993</v>
      </c>
      <c r="AA1522" s="93" t="str">
        <f>+VLOOKUP(Agencia[[#This Row],[Muestra]],Estructura!$M$4:$O$500,3,0)</f>
        <v>M-1055</v>
      </c>
    </row>
    <row r="1523" spans="1:27" ht="48" x14ac:dyDescent="0.3">
      <c r="A1523" s="21" t="s">
        <v>3413</v>
      </c>
      <c r="B1523" s="9">
        <v>990</v>
      </c>
      <c r="C1523" s="10" t="s">
        <v>400</v>
      </c>
      <c r="D1523" s="67" t="s">
        <v>404</v>
      </c>
      <c r="E1523" s="14">
        <v>0</v>
      </c>
      <c r="F1523" s="10" t="s">
        <v>3179</v>
      </c>
      <c r="G1523" s="10" t="s">
        <v>1884</v>
      </c>
      <c r="H1523" s="31" t="s">
        <v>20</v>
      </c>
      <c r="I1523" s="32" t="s">
        <v>15</v>
      </c>
      <c r="J1523" s="60" t="s">
        <v>3180</v>
      </c>
      <c r="K1523" s="9" t="s">
        <v>9313</v>
      </c>
      <c r="L1523" s="9" t="s">
        <v>3181</v>
      </c>
      <c r="M1523" s="9" t="s">
        <v>3182</v>
      </c>
      <c r="N1523" s="9" t="s">
        <v>3183</v>
      </c>
      <c r="O1523" s="9" t="s">
        <v>3184</v>
      </c>
      <c r="P1523" s="115" t="s">
        <v>6966</v>
      </c>
      <c r="Q1523" s="11" t="s">
        <v>784</v>
      </c>
      <c r="R1523" s="9" t="str">
        <f>"evolución,tasa,desocupación,nacional,mensual,Chile,trabajo,evolución,"&amp;Agencia[[#This Row],[coleccion]]&amp;","&amp;Agencia[[#This Row],[sector]]&amp;","&amp;Agencia[[#This Row],[tema]]&amp;","&amp;Agencia[[#This Row],[contenido]]</f>
        <v>evolución,tasa,desocupación,nacional,mensual,Chile,trabajo,evolución,Agencia Información,Socioeconómico,Tasa de desocupación,Trabajo</v>
      </c>
      <c r="S1523" s="54" t="s">
        <v>3185</v>
      </c>
      <c r="T1523" s="107">
        <v>0</v>
      </c>
      <c r="U1523" s="46" t="s">
        <v>4417</v>
      </c>
      <c r="V1523" s="93" t="str">
        <f>+Agencia[[#This Row],[idcoleccion]]&amp;"-"&amp;Agencia[[#This Row],[id]]</f>
        <v>990-1512</v>
      </c>
      <c r="W1523" s="93">
        <f>+VLOOKUP(Agencia[[#This Row],[Filtro URL]],Estructura!$X$4:$Y$500,2,0)</f>
        <v>99100000</v>
      </c>
      <c r="X1523" s="93" t="str">
        <f>+VLOOKUP(Agencia[[#This Row],[tema]],Estructura!$A$4:$C$500,3,0)</f>
        <v>T-1056</v>
      </c>
      <c r="Y1523" s="93" t="str">
        <f>+VLOOKUP(Agencia[[#This Row],[contenido]],Estructura!$E$4:$G$500,3,0)</f>
        <v>C-1005</v>
      </c>
      <c r="Z1523" s="93" t="str">
        <f>+VLOOKUP(Agencia[[#This Row],[Filtro Integrado]],Estructura!$I$4:$K$500,3,0)</f>
        <v>FI-1006</v>
      </c>
      <c r="AA1523" s="93" t="str">
        <f>+VLOOKUP(Agencia[[#This Row],[Muestra]],Estructura!$M$4:$O$500,3,0)</f>
        <v>M-1097</v>
      </c>
    </row>
    <row r="1524" spans="1:27" ht="72" x14ac:dyDescent="0.3">
      <c r="A1524" s="21" t="s">
        <v>3414</v>
      </c>
      <c r="B1524" s="9">
        <v>990</v>
      </c>
      <c r="C1524" s="10" t="s">
        <v>400</v>
      </c>
      <c r="D1524" s="67" t="s">
        <v>404</v>
      </c>
      <c r="E1524" s="14">
        <v>0</v>
      </c>
      <c r="F1524" s="10" t="s">
        <v>3186</v>
      </c>
      <c r="G1524" s="10" t="s">
        <v>1884</v>
      </c>
      <c r="H1524" s="31" t="s">
        <v>20</v>
      </c>
      <c r="I1524" s="32" t="s">
        <v>15</v>
      </c>
      <c r="J1524" s="60" t="s">
        <v>3180</v>
      </c>
      <c r="K1524" s="9" t="s">
        <v>3186</v>
      </c>
      <c r="L1524" s="9" t="s">
        <v>3181</v>
      </c>
      <c r="M1524" s="9" t="s">
        <v>423</v>
      </c>
      <c r="N1524" s="9" t="s">
        <v>3183</v>
      </c>
      <c r="O1524" s="9" t="s">
        <v>3187</v>
      </c>
      <c r="P1524" s="115" t="s">
        <v>6967</v>
      </c>
      <c r="Q1524" s="11" t="s">
        <v>784</v>
      </c>
      <c r="R1524" s="9" t="str">
        <f>"evolución,variación,porcentaje,fuerza,trabajo,Chile,mensual,año,anterior,"&amp;Agencia[[#This Row],[coleccion]]&amp;","&amp;Agencia[[#This Row],[sector]]&amp;","&amp;Agencia[[#This Row],[tema]]&amp;","&amp;Agencia[[#This Row],[contenido]]</f>
        <v>evolución,variación,porcentaje,fuerza,trabajo,Chile,mensual,año,anterior,Agencia Información,Socioeconómico,Fuerza de trabajo,Trabajo</v>
      </c>
      <c r="S1524" s="54" t="s">
        <v>3188</v>
      </c>
      <c r="T1524" s="107">
        <v>0</v>
      </c>
      <c r="U1524" s="46" t="s">
        <v>4418</v>
      </c>
      <c r="V1524" s="93" t="str">
        <f>+Agencia[[#This Row],[idcoleccion]]&amp;"-"&amp;Agencia[[#This Row],[id]]</f>
        <v>990-1513</v>
      </c>
      <c r="W1524" s="93">
        <f>+VLOOKUP(Agencia[[#This Row],[Filtro URL]],Estructura!$X$4:$Y$500,2,0)</f>
        <v>99100000</v>
      </c>
      <c r="X1524" s="93" t="str">
        <f>+VLOOKUP(Agencia[[#This Row],[tema]],Estructura!$A$4:$C$500,3,0)</f>
        <v>T-1057</v>
      </c>
      <c r="Y1524" s="93" t="str">
        <f>+VLOOKUP(Agencia[[#This Row],[contenido]],Estructura!$E$4:$G$500,3,0)</f>
        <v>C-1005</v>
      </c>
      <c r="Z1524" s="93" t="str">
        <f>+VLOOKUP(Agencia[[#This Row],[Filtro Integrado]],Estructura!$I$4:$K$500,3,0)</f>
        <v>FI-1006</v>
      </c>
      <c r="AA1524" s="93" t="str">
        <f>+VLOOKUP(Agencia[[#This Row],[Muestra]],Estructura!$M$4:$O$500,3,0)</f>
        <v>M-1098</v>
      </c>
    </row>
    <row r="1525" spans="1:27" ht="48" x14ac:dyDescent="0.3">
      <c r="A1525" s="21" t="s">
        <v>3415</v>
      </c>
      <c r="B1525" s="9">
        <v>990</v>
      </c>
      <c r="C1525" s="10" t="s">
        <v>400</v>
      </c>
      <c r="D1525" s="67" t="s">
        <v>404</v>
      </c>
      <c r="E1525" s="14">
        <v>0</v>
      </c>
      <c r="F1525" s="10" t="s">
        <v>3189</v>
      </c>
      <c r="G1525" s="10" t="s">
        <v>1884</v>
      </c>
      <c r="H1525" s="31" t="s">
        <v>20</v>
      </c>
      <c r="I1525" s="32" t="s">
        <v>15</v>
      </c>
      <c r="J1525" s="60" t="s">
        <v>3180</v>
      </c>
      <c r="K1525" s="9" t="s">
        <v>9313</v>
      </c>
      <c r="L1525" s="9" t="s">
        <v>3181</v>
      </c>
      <c r="M1525" s="9" t="s">
        <v>423</v>
      </c>
      <c r="N1525" s="9" t="s">
        <v>3183</v>
      </c>
      <c r="O1525" s="9" t="s">
        <v>3190</v>
      </c>
      <c r="P1525" s="115" t="s">
        <v>6968</v>
      </c>
      <c r="Q1525" s="11" t="s">
        <v>784</v>
      </c>
      <c r="R1525" s="9" t="str">
        <f>"evolución,variación,porcentaje,desocupados,Chile,mensual,año,anterior,"&amp;Agencia[[#This Row],[coleccion]]&amp;","&amp;Agencia[[#This Row],[sector]]&amp;","&amp;Agencia[[#This Row],[tema]]&amp;","&amp;Agencia[[#This Row],[contenido]]</f>
        <v>evolución,variación,porcentaje,desocupados,Chile,mensual,año,anterior,Agencia Información,Socioeconómico,Desocupados,Trabajo</v>
      </c>
      <c r="S1525" s="54" t="s">
        <v>3191</v>
      </c>
      <c r="T1525" s="107">
        <v>0</v>
      </c>
      <c r="U1525" s="46" t="s">
        <v>4419</v>
      </c>
      <c r="V1525" s="93" t="str">
        <f>+Agencia[[#This Row],[idcoleccion]]&amp;"-"&amp;Agencia[[#This Row],[id]]</f>
        <v>990-1514</v>
      </c>
      <c r="W1525" s="93">
        <f>+VLOOKUP(Agencia[[#This Row],[Filtro URL]],Estructura!$X$4:$Y$500,2,0)</f>
        <v>99100000</v>
      </c>
      <c r="X1525" s="93" t="str">
        <f>+VLOOKUP(Agencia[[#This Row],[tema]],Estructura!$A$4:$C$500,3,0)</f>
        <v>T-1058</v>
      </c>
      <c r="Y1525" s="93" t="str">
        <f>+VLOOKUP(Agencia[[#This Row],[contenido]],Estructura!$E$4:$G$500,3,0)</f>
        <v>C-1005</v>
      </c>
      <c r="Z1525" s="93" t="str">
        <f>+VLOOKUP(Agencia[[#This Row],[Filtro Integrado]],Estructura!$I$4:$K$500,3,0)</f>
        <v>FI-1006</v>
      </c>
      <c r="AA1525" s="93" t="str">
        <f>+VLOOKUP(Agencia[[#This Row],[Muestra]],Estructura!$M$4:$O$500,3,0)</f>
        <v>M-1097</v>
      </c>
    </row>
    <row r="1526" spans="1:27" ht="84" x14ac:dyDescent="0.3">
      <c r="A1526" s="21" t="s">
        <v>3416</v>
      </c>
      <c r="B1526" s="9">
        <v>990</v>
      </c>
      <c r="C1526" s="10" t="s">
        <v>400</v>
      </c>
      <c r="D1526" s="67" t="s">
        <v>823</v>
      </c>
      <c r="E1526" s="14">
        <v>0</v>
      </c>
      <c r="F1526" s="10" t="s">
        <v>3192</v>
      </c>
      <c r="G1526" s="10" t="s">
        <v>3193</v>
      </c>
      <c r="H1526" s="31" t="s">
        <v>20</v>
      </c>
      <c r="I1526" s="32" t="s">
        <v>15</v>
      </c>
      <c r="J1526" s="60" t="s">
        <v>3194</v>
      </c>
      <c r="K1526" s="9" t="s">
        <v>3195</v>
      </c>
      <c r="L1526" s="9" t="s">
        <v>1445</v>
      </c>
      <c r="M1526" s="9" t="s">
        <v>3195</v>
      </c>
      <c r="N1526" s="9" t="s">
        <v>1370</v>
      </c>
      <c r="O1526" s="9" t="s">
        <v>3196</v>
      </c>
      <c r="P1526" s="115" t="s">
        <v>5342</v>
      </c>
      <c r="Q1526" s="11" t="s">
        <v>784</v>
      </c>
      <c r="R1526" s="9" t="str">
        <f>Agencia[[#This Row],[territorio]]&amp;",evolución,nacional,índice de producción minera,índice,producción,minera,IPMin,"&amp;Agencia[[#This Row],[coleccion]]&amp;","&amp;Agencia[[#This Row],[sector]]&amp;","&amp;Agencia[[#This Row],[tema]]&amp;","&amp;Agencia[[#This Row],[contenido]]</f>
        <v>Chile,evolución,nacional,índice de producción minera,índice,producción,minera,IPMin,Agencia Información,Economía,Producción minera,Minería</v>
      </c>
      <c r="S1526" s="54" t="s">
        <v>3197</v>
      </c>
      <c r="T1526" s="104" t="s">
        <v>805</v>
      </c>
      <c r="U1526" s="46" t="s">
        <v>4420</v>
      </c>
      <c r="V1526" s="93" t="str">
        <f>+Agencia[[#This Row],[idcoleccion]]&amp;"-"&amp;Agencia[[#This Row],[id]]</f>
        <v>990-1515</v>
      </c>
      <c r="W1526" s="93">
        <f>+VLOOKUP(Agencia[[#This Row],[Filtro URL]],Estructura!$X$4:$Y$500,2,0)</f>
        <v>99100000</v>
      </c>
      <c r="X1526" s="93" t="str">
        <f>+VLOOKUP(Agencia[[#This Row],[tema]],Estructura!$A$4:$C$500,3,0)</f>
        <v>T-1059</v>
      </c>
      <c r="Y1526" s="93" t="str">
        <f>+VLOOKUP(Agencia[[#This Row],[contenido]],Estructura!$E$4:$G$500,3,0)</f>
        <v>C-1023</v>
      </c>
      <c r="Z1526" s="93" t="str">
        <f>+VLOOKUP(Agencia[[#This Row],[Filtro Integrado]],Estructura!$I$4:$K$500,3,0)</f>
        <v>FI-1007</v>
      </c>
      <c r="AA1526" s="93" t="str">
        <f>+VLOOKUP(Agencia[[#This Row],[Muestra]],Estructura!$M$4:$O$500,3,0)</f>
        <v>M-1099</v>
      </c>
    </row>
    <row r="1527" spans="1:27" ht="72" x14ac:dyDescent="0.3">
      <c r="A1527" s="21" t="s">
        <v>3417</v>
      </c>
      <c r="B1527" s="9">
        <v>990</v>
      </c>
      <c r="C1527" s="10" t="s">
        <v>400</v>
      </c>
      <c r="D1527" s="67" t="s">
        <v>823</v>
      </c>
      <c r="E1527" s="19">
        <v>1</v>
      </c>
      <c r="F1527" s="10" t="s">
        <v>3192</v>
      </c>
      <c r="G1527" s="10" t="s">
        <v>3193</v>
      </c>
      <c r="H1527" s="33" t="s">
        <v>16</v>
      </c>
      <c r="I1527" s="34" t="s">
        <v>368</v>
      </c>
      <c r="J1527" s="63" t="s">
        <v>3180</v>
      </c>
      <c r="K1527" s="142" t="s">
        <v>3195</v>
      </c>
      <c r="L1527" s="55" t="s">
        <v>1445</v>
      </c>
      <c r="M1527" s="9" t="s">
        <v>3195</v>
      </c>
      <c r="N1527" s="55" t="s">
        <v>1370</v>
      </c>
      <c r="O1527" s="9" t="s">
        <v>3285</v>
      </c>
      <c r="P1527" s="115" t="s">
        <v>5341</v>
      </c>
      <c r="Q1527" s="56" t="s">
        <v>784</v>
      </c>
      <c r="R1527" s="142" t="str">
        <f>Agencia[[#This Row],[territorio]]&amp;",evolución,índice de producción minera,índice,producción,minera,IPMin,"&amp;Agencia[[#This Row],[coleccion]]&amp;","&amp;Agencia[[#This Row],[sector]]&amp;","&amp;Agencia[[#This Row],[tema]]&amp;","&amp;Agencia[[#This Row],[contenido]]</f>
        <v>Región de Tarapacá,evolución,índice de producción minera,índice,producción,minera,IPMin,Agencia Información,Economía,Producción minera,Minería</v>
      </c>
      <c r="S1527" s="43" t="s">
        <v>5445</v>
      </c>
      <c r="T1527" s="105" t="s">
        <v>1872</v>
      </c>
      <c r="U1527" s="46" t="s">
        <v>4421</v>
      </c>
      <c r="V1527" s="93" t="str">
        <f>+Agencia[[#This Row],[idcoleccion]]&amp;"-"&amp;Agencia[[#This Row],[id]]</f>
        <v>990-1516</v>
      </c>
      <c r="W1527" s="93">
        <f>+VLOOKUP(Agencia[[#This Row],[Filtro URL]],Estructura!$X$4:$Y$500,2,0)</f>
        <v>99200001</v>
      </c>
      <c r="X1527" s="93" t="str">
        <f>+VLOOKUP(Agencia[[#This Row],[tema]],Estructura!$A$4:$C$500,3,0)</f>
        <v>T-1059</v>
      </c>
      <c r="Y1527" s="93" t="str">
        <f>+VLOOKUP(Agencia[[#This Row],[contenido]],Estructura!$E$4:$G$500,3,0)</f>
        <v>C-1023</v>
      </c>
      <c r="Z1527" s="93" t="str">
        <f>+VLOOKUP(Agencia[[#This Row],[Filtro Integrado]],Estructura!$I$4:$K$500,3,0)</f>
        <v>FI-1006</v>
      </c>
      <c r="AA1527" s="93" t="str">
        <f>+VLOOKUP(Agencia[[#This Row],[Muestra]],Estructura!$M$4:$O$500,3,0)</f>
        <v>M-1099</v>
      </c>
    </row>
    <row r="1528" spans="1:27" ht="72" x14ac:dyDescent="0.3">
      <c r="A1528" s="21" t="s">
        <v>3418</v>
      </c>
      <c r="B1528" s="9">
        <v>990</v>
      </c>
      <c r="C1528" s="10" t="s">
        <v>400</v>
      </c>
      <c r="D1528" s="67" t="s">
        <v>823</v>
      </c>
      <c r="E1528" s="19">
        <v>2</v>
      </c>
      <c r="F1528" s="10" t="s">
        <v>3192</v>
      </c>
      <c r="G1528" s="10" t="s">
        <v>3193</v>
      </c>
      <c r="H1528" s="33" t="s">
        <v>16</v>
      </c>
      <c r="I1528" s="34" t="s">
        <v>369</v>
      </c>
      <c r="J1528" s="63" t="s">
        <v>3180</v>
      </c>
      <c r="K1528" s="142" t="s">
        <v>3195</v>
      </c>
      <c r="L1528" s="55" t="s">
        <v>1445</v>
      </c>
      <c r="M1528" s="9" t="s">
        <v>3195</v>
      </c>
      <c r="N1528" s="55" t="s">
        <v>1370</v>
      </c>
      <c r="O1528" s="9" t="s">
        <v>3286</v>
      </c>
      <c r="P1528" s="115" t="s">
        <v>5348</v>
      </c>
      <c r="Q1528" s="56" t="s">
        <v>784</v>
      </c>
      <c r="R1528" s="142" t="str">
        <f>Agencia[[#This Row],[territorio]]&amp;",evolución,índice de producción minera,índice,producción,minera,IPMin,"&amp;Agencia[[#This Row],[coleccion]]&amp;","&amp;Agencia[[#This Row],[sector]]&amp;","&amp;Agencia[[#This Row],[tema]]&amp;","&amp;Agencia[[#This Row],[contenido]]</f>
        <v>Región de Antofagasta,evolución,índice de producción minera,índice,producción,minera,IPMin,Agencia Información,Economía,Producción minera,Minería</v>
      </c>
      <c r="S1528" s="43" t="s">
        <v>5446</v>
      </c>
      <c r="T1528" s="105" t="s">
        <v>1860</v>
      </c>
      <c r="U1528" s="46" t="s">
        <v>4422</v>
      </c>
      <c r="V1528" s="93" t="str">
        <f>+Agencia[[#This Row],[idcoleccion]]&amp;"-"&amp;Agencia[[#This Row],[id]]</f>
        <v>990-1517</v>
      </c>
      <c r="W1528" s="93">
        <f>+VLOOKUP(Agencia[[#This Row],[Filtro URL]],Estructura!$X$4:$Y$500,2,0)</f>
        <v>99200002</v>
      </c>
      <c r="X1528" s="93" t="str">
        <f>+VLOOKUP(Agencia[[#This Row],[tema]],Estructura!$A$4:$C$500,3,0)</f>
        <v>T-1059</v>
      </c>
      <c r="Y1528" s="93" t="str">
        <f>+VLOOKUP(Agencia[[#This Row],[contenido]],Estructura!$E$4:$G$500,3,0)</f>
        <v>C-1023</v>
      </c>
      <c r="Z1528" s="93" t="str">
        <f>+VLOOKUP(Agencia[[#This Row],[Filtro Integrado]],Estructura!$I$4:$K$500,3,0)</f>
        <v>FI-1006</v>
      </c>
      <c r="AA1528" s="93" t="str">
        <f>+VLOOKUP(Agencia[[#This Row],[Muestra]],Estructura!$M$4:$O$500,3,0)</f>
        <v>M-1099</v>
      </c>
    </row>
    <row r="1529" spans="1:27" ht="72" x14ac:dyDescent="0.3">
      <c r="A1529" s="21" t="s">
        <v>3419</v>
      </c>
      <c r="B1529" s="9">
        <v>990</v>
      </c>
      <c r="C1529" s="10" t="s">
        <v>400</v>
      </c>
      <c r="D1529" s="67" t="s">
        <v>823</v>
      </c>
      <c r="E1529" s="19">
        <v>3</v>
      </c>
      <c r="F1529" s="10" t="s">
        <v>3192</v>
      </c>
      <c r="G1529" s="10" t="s">
        <v>3193</v>
      </c>
      <c r="H1529" s="33" t="s">
        <v>16</v>
      </c>
      <c r="I1529" s="34" t="s">
        <v>370</v>
      </c>
      <c r="J1529" s="63" t="s">
        <v>3180</v>
      </c>
      <c r="K1529" s="142" t="s">
        <v>3195</v>
      </c>
      <c r="L1529" s="55" t="s">
        <v>1445</v>
      </c>
      <c r="M1529" s="9" t="s">
        <v>3195</v>
      </c>
      <c r="N1529" s="55" t="s">
        <v>1370</v>
      </c>
      <c r="O1529" s="9" t="s">
        <v>3287</v>
      </c>
      <c r="P1529" s="115" t="s">
        <v>5347</v>
      </c>
      <c r="Q1529" s="56" t="s">
        <v>784</v>
      </c>
      <c r="R1529" s="142" t="str">
        <f>Agencia[[#This Row],[territorio]]&amp;",evolución,índice de producción minera,índice,producción,minera,IPMin,"&amp;Agencia[[#This Row],[coleccion]]&amp;","&amp;Agencia[[#This Row],[sector]]&amp;","&amp;Agencia[[#This Row],[tema]]&amp;","&amp;Agencia[[#This Row],[contenido]]</f>
        <v>Región de Atacama,evolución,índice de producción minera,índice,producción,minera,IPMin,Agencia Información,Economía,Producción minera,Minería</v>
      </c>
      <c r="S1529" s="43" t="s">
        <v>5447</v>
      </c>
      <c r="T1529" s="105" t="s">
        <v>1862</v>
      </c>
      <c r="U1529" s="46" t="s">
        <v>4423</v>
      </c>
      <c r="V1529" s="93" t="str">
        <f>+Agencia[[#This Row],[idcoleccion]]&amp;"-"&amp;Agencia[[#This Row],[id]]</f>
        <v>990-1518</v>
      </c>
      <c r="W1529" s="93">
        <f>+VLOOKUP(Agencia[[#This Row],[Filtro URL]],Estructura!$X$4:$Y$500,2,0)</f>
        <v>99200003</v>
      </c>
      <c r="X1529" s="93" t="str">
        <f>+VLOOKUP(Agencia[[#This Row],[tema]],Estructura!$A$4:$C$500,3,0)</f>
        <v>T-1059</v>
      </c>
      <c r="Y1529" s="93" t="str">
        <f>+VLOOKUP(Agencia[[#This Row],[contenido]],Estructura!$E$4:$G$500,3,0)</f>
        <v>C-1023</v>
      </c>
      <c r="Z1529" s="93" t="str">
        <f>+VLOOKUP(Agencia[[#This Row],[Filtro Integrado]],Estructura!$I$4:$K$500,3,0)</f>
        <v>FI-1006</v>
      </c>
      <c r="AA1529" s="93" t="str">
        <f>+VLOOKUP(Agencia[[#This Row],[Muestra]],Estructura!$M$4:$O$500,3,0)</f>
        <v>M-1099</v>
      </c>
    </row>
    <row r="1530" spans="1:27" ht="72" x14ac:dyDescent="0.3">
      <c r="A1530" s="21" t="s">
        <v>3420</v>
      </c>
      <c r="B1530" s="36">
        <v>990</v>
      </c>
      <c r="C1530" s="69" t="s">
        <v>400</v>
      </c>
      <c r="D1530" s="69" t="s">
        <v>823</v>
      </c>
      <c r="E1530" s="133">
        <v>4</v>
      </c>
      <c r="F1530" s="124" t="s">
        <v>3192</v>
      </c>
      <c r="G1530" s="124" t="s">
        <v>3193</v>
      </c>
      <c r="H1530" s="134" t="s">
        <v>16</v>
      </c>
      <c r="I1530" s="135" t="s">
        <v>371</v>
      </c>
      <c r="J1530" s="139" t="s">
        <v>3180</v>
      </c>
      <c r="K1530" s="142" t="s">
        <v>3195</v>
      </c>
      <c r="L1530" s="45" t="s">
        <v>1445</v>
      </c>
      <c r="M1530" s="36" t="s">
        <v>3195</v>
      </c>
      <c r="N1530" s="45" t="s">
        <v>1370</v>
      </c>
      <c r="O1530" s="36" t="s">
        <v>3288</v>
      </c>
      <c r="P1530" s="115" t="s">
        <v>5340</v>
      </c>
      <c r="Q1530" s="140" t="s">
        <v>784</v>
      </c>
      <c r="R1530" s="142" t="str">
        <f>Agencia[[#This Row],[territorio]]&amp;",evolución,índice de producción minera,índice,producción,minera,IPMin,"&amp;Agencia[[#This Row],[coleccion]]&amp;","&amp;Agencia[[#This Row],[sector]]&amp;","&amp;Agencia[[#This Row],[tema]]&amp;","&amp;Agencia[[#This Row],[contenido]]</f>
        <v>Región de Coquimbo,evolución,índice de producción minera,índice,producción,minera,IPMin,Agencia Información,Economía,Producción minera,Minería</v>
      </c>
      <c r="S1530" s="43" t="s">
        <v>5448</v>
      </c>
      <c r="T1530" s="105" t="s">
        <v>1864</v>
      </c>
      <c r="U1530" s="46" t="s">
        <v>4424</v>
      </c>
      <c r="V1530" s="93" t="str">
        <f>+Agencia[[#This Row],[idcoleccion]]&amp;"-"&amp;Agencia[[#This Row],[id]]</f>
        <v>990-1519</v>
      </c>
      <c r="W1530" s="93">
        <f>+VLOOKUP(Agencia[[#This Row],[Filtro URL]],Estructura!$X$4:$Y$500,2,0)</f>
        <v>99200004</v>
      </c>
      <c r="X1530" s="93" t="str">
        <f>+VLOOKUP(Agencia[[#This Row],[tema]],Estructura!$A$4:$C$500,3,0)</f>
        <v>T-1059</v>
      </c>
      <c r="Y1530" s="93" t="str">
        <f>+VLOOKUP(Agencia[[#This Row],[contenido]],Estructura!$E$4:$G$500,3,0)</f>
        <v>C-1023</v>
      </c>
      <c r="Z1530" s="93" t="str">
        <f>+VLOOKUP(Agencia[[#This Row],[Filtro Integrado]],Estructura!$I$4:$K$500,3,0)</f>
        <v>FI-1006</v>
      </c>
      <c r="AA1530" s="93" t="str">
        <f>+VLOOKUP(Agencia[[#This Row],[Muestra]],Estructura!$M$4:$O$500,3,0)</f>
        <v>M-1099</v>
      </c>
    </row>
    <row r="1531" spans="1:27" ht="60" x14ac:dyDescent="0.3">
      <c r="A1531" s="21" t="s">
        <v>3421</v>
      </c>
      <c r="B1531" s="9">
        <v>990</v>
      </c>
      <c r="C1531" s="10" t="s">
        <v>400</v>
      </c>
      <c r="D1531" s="67" t="s">
        <v>823</v>
      </c>
      <c r="E1531" s="14">
        <v>0</v>
      </c>
      <c r="F1531" s="10" t="s">
        <v>3192</v>
      </c>
      <c r="G1531" s="10" t="s">
        <v>3193</v>
      </c>
      <c r="H1531" s="31" t="s">
        <v>20</v>
      </c>
      <c r="I1531" s="32" t="s">
        <v>15</v>
      </c>
      <c r="J1531" s="60" t="s">
        <v>3194</v>
      </c>
      <c r="K1531" s="9" t="s">
        <v>9302</v>
      </c>
      <c r="L1531" s="9" t="s">
        <v>1445</v>
      </c>
      <c r="M1531" s="9" t="s">
        <v>3610</v>
      </c>
      <c r="N1531" s="9" t="s">
        <v>1370</v>
      </c>
      <c r="O1531" s="9" t="s">
        <v>5449</v>
      </c>
      <c r="P1531" s="115" t="s">
        <v>5343</v>
      </c>
      <c r="Q1531" s="11" t="s">
        <v>784</v>
      </c>
      <c r="R1531" s="9" t="str">
        <f>Agencia[[#This Row],[territorio]]&amp;",evolución,toneladas métricas,contenido,fino,producción,cobre,minera,tmf,"&amp;Agencia[[#This Row],[coleccion]]&amp;","&amp;Agencia[[#This Row],[sector]]&amp;","&amp;Agencia[[#This Row],[tema]]&amp;","&amp;Agencia[[#This Row],[contenido]]</f>
        <v>Chile,evolución,toneladas métricas,contenido,fino,producción,cobre,minera,tmf,Agencia Información,Economía,Producción minera,Minería</v>
      </c>
      <c r="S1531" s="54" t="s">
        <v>3199</v>
      </c>
      <c r="T1531" s="104" t="s">
        <v>805</v>
      </c>
      <c r="U1531" s="46" t="s">
        <v>4425</v>
      </c>
      <c r="V1531" s="93" t="str">
        <f>+Agencia[[#This Row],[idcoleccion]]&amp;"-"&amp;Agencia[[#This Row],[id]]</f>
        <v>990-1520</v>
      </c>
      <c r="W1531" s="93">
        <f>+VLOOKUP(Agencia[[#This Row],[Filtro URL]],Estructura!$X$4:$Y$500,2,0)</f>
        <v>99100000</v>
      </c>
      <c r="X1531" s="93" t="str">
        <f>+VLOOKUP(Agencia[[#This Row],[tema]],Estructura!$A$4:$C$500,3,0)</f>
        <v>T-1059</v>
      </c>
      <c r="Y1531" s="93" t="str">
        <f>+VLOOKUP(Agencia[[#This Row],[contenido]],Estructura!$E$4:$G$500,3,0)</f>
        <v>C-1023</v>
      </c>
      <c r="Z1531" s="93" t="str">
        <f>+VLOOKUP(Agencia[[#This Row],[Filtro Integrado]],Estructura!$I$4:$K$500,3,0)</f>
        <v>FI-1007</v>
      </c>
      <c r="AA1531" s="93" t="str">
        <f>+VLOOKUP(Agencia[[#This Row],[Muestra]],Estructura!$M$4:$O$500,3,0)</f>
        <v>M-1100</v>
      </c>
    </row>
    <row r="1532" spans="1:27" ht="72" x14ac:dyDescent="0.3">
      <c r="A1532" s="21" t="s">
        <v>3422</v>
      </c>
      <c r="B1532" s="9">
        <v>990</v>
      </c>
      <c r="C1532" s="10" t="s">
        <v>400</v>
      </c>
      <c r="D1532" s="67" t="s">
        <v>823</v>
      </c>
      <c r="E1532" s="19">
        <v>1</v>
      </c>
      <c r="F1532" s="10" t="s">
        <v>3192</v>
      </c>
      <c r="G1532" s="10" t="s">
        <v>3193</v>
      </c>
      <c r="H1532" s="33" t="s">
        <v>16</v>
      </c>
      <c r="I1532" s="34" t="s">
        <v>368</v>
      </c>
      <c r="J1532" s="60" t="s">
        <v>3194</v>
      </c>
      <c r="K1532" s="142" t="s">
        <v>9302</v>
      </c>
      <c r="L1532" s="9" t="s">
        <v>1445</v>
      </c>
      <c r="M1532" s="9" t="s">
        <v>3610</v>
      </c>
      <c r="N1532" s="9" t="s">
        <v>1370</v>
      </c>
      <c r="O1532" s="9" t="s">
        <v>6962</v>
      </c>
      <c r="P1532" s="115" t="s">
        <v>5346</v>
      </c>
      <c r="Q1532" s="11" t="s">
        <v>784</v>
      </c>
      <c r="R1532" s="142" t="str">
        <f>Agencia[[#This Row],[territorio]]&amp;",evolución,toneladas métricas,contenido,fino,producción,cobre,minera,tmf,"&amp;Agencia[[#This Row],[coleccion]]&amp;","&amp;Agencia[[#This Row],[sector]]&amp;","&amp;Agencia[[#This Row],[tema]]&amp;","&amp;Agencia[[#This Row],[contenido]]</f>
        <v>Región de Tarapacá,evolución,toneladas métricas,contenido,fino,producción,cobre,minera,tmf,Agencia Información,Economía,Producción minera,Minería</v>
      </c>
      <c r="S1532" s="83" t="s">
        <v>5450</v>
      </c>
      <c r="T1532" s="107" t="s">
        <v>1872</v>
      </c>
      <c r="U1532" s="46" t="s">
        <v>4426</v>
      </c>
      <c r="V1532" s="93" t="str">
        <f>+Agencia[[#This Row],[idcoleccion]]&amp;"-"&amp;Agencia[[#This Row],[id]]</f>
        <v>990-1521</v>
      </c>
      <c r="W1532" s="93">
        <f>+VLOOKUP(Agencia[[#This Row],[Filtro URL]],Estructura!$X$4:$Y$500,2,0)</f>
        <v>99200001</v>
      </c>
      <c r="X1532" s="93" t="str">
        <f>+VLOOKUP(Agencia[[#This Row],[tema]],Estructura!$A$4:$C$500,3,0)</f>
        <v>T-1059</v>
      </c>
      <c r="Y1532" s="93" t="str">
        <f>+VLOOKUP(Agencia[[#This Row],[contenido]],Estructura!$E$4:$G$500,3,0)</f>
        <v>C-1023</v>
      </c>
      <c r="Z1532" s="93" t="str">
        <f>+VLOOKUP(Agencia[[#This Row],[Filtro Integrado]],Estructura!$I$4:$K$500,3,0)</f>
        <v>FI-1007</v>
      </c>
      <c r="AA1532" s="93" t="str">
        <f>+VLOOKUP(Agencia[[#This Row],[Muestra]],Estructura!$M$4:$O$500,3,0)</f>
        <v>M-1100</v>
      </c>
    </row>
    <row r="1533" spans="1:27" ht="72" x14ac:dyDescent="0.3">
      <c r="A1533" s="21" t="s">
        <v>3423</v>
      </c>
      <c r="B1533" s="9">
        <v>990</v>
      </c>
      <c r="C1533" s="10" t="s">
        <v>400</v>
      </c>
      <c r="D1533" s="67" t="s">
        <v>823</v>
      </c>
      <c r="E1533" s="19">
        <v>2</v>
      </c>
      <c r="F1533" s="10" t="s">
        <v>3192</v>
      </c>
      <c r="G1533" s="10" t="s">
        <v>3193</v>
      </c>
      <c r="H1533" s="33" t="s">
        <v>16</v>
      </c>
      <c r="I1533" s="34" t="s">
        <v>369</v>
      </c>
      <c r="J1533" s="60" t="s">
        <v>3194</v>
      </c>
      <c r="K1533" s="142" t="s">
        <v>9302</v>
      </c>
      <c r="L1533" s="9" t="s">
        <v>1445</v>
      </c>
      <c r="M1533" s="9" t="s">
        <v>3610</v>
      </c>
      <c r="N1533" s="9" t="s">
        <v>1370</v>
      </c>
      <c r="O1533" s="9" t="s">
        <v>3200</v>
      </c>
      <c r="P1533" s="115" t="s">
        <v>5345</v>
      </c>
      <c r="Q1533" s="11" t="s">
        <v>784</v>
      </c>
      <c r="R1533" s="142" t="str">
        <f>Agencia[[#This Row],[territorio]]&amp;",evolución,toneladas métricas,contenido,fino,producción,cobre,minera,tmf,"&amp;Agencia[[#This Row],[coleccion]]&amp;","&amp;Agencia[[#This Row],[sector]]&amp;","&amp;Agencia[[#This Row],[tema]]&amp;","&amp;Agencia[[#This Row],[contenido]]</f>
        <v>Región de Antofagasta,evolución,toneladas métricas,contenido,fino,producción,cobre,minera,tmf,Agencia Información,Economía,Producción minera,Minería</v>
      </c>
      <c r="S1533" s="83" t="s">
        <v>5451</v>
      </c>
      <c r="T1533" s="107" t="s">
        <v>1860</v>
      </c>
      <c r="U1533" s="46" t="s">
        <v>4427</v>
      </c>
      <c r="V1533" s="93" t="str">
        <f>+Agencia[[#This Row],[idcoleccion]]&amp;"-"&amp;Agencia[[#This Row],[id]]</f>
        <v>990-1522</v>
      </c>
      <c r="W1533" s="93">
        <f>+VLOOKUP(Agencia[[#This Row],[Filtro URL]],Estructura!$X$4:$Y$500,2,0)</f>
        <v>99200002</v>
      </c>
      <c r="X1533" s="93" t="str">
        <f>+VLOOKUP(Agencia[[#This Row],[tema]],Estructura!$A$4:$C$500,3,0)</f>
        <v>T-1059</v>
      </c>
      <c r="Y1533" s="93" t="str">
        <f>+VLOOKUP(Agencia[[#This Row],[contenido]],Estructura!$E$4:$G$500,3,0)</f>
        <v>C-1023</v>
      </c>
      <c r="Z1533" s="93" t="str">
        <f>+VLOOKUP(Agencia[[#This Row],[Filtro Integrado]],Estructura!$I$4:$K$500,3,0)</f>
        <v>FI-1007</v>
      </c>
      <c r="AA1533" s="93" t="str">
        <f>+VLOOKUP(Agencia[[#This Row],[Muestra]],Estructura!$M$4:$O$500,3,0)</f>
        <v>M-1100</v>
      </c>
    </row>
    <row r="1534" spans="1:27" ht="72" x14ac:dyDescent="0.3">
      <c r="A1534" s="21" t="s">
        <v>3424</v>
      </c>
      <c r="B1534" s="9">
        <v>990</v>
      </c>
      <c r="C1534" s="10" t="s">
        <v>400</v>
      </c>
      <c r="D1534" s="67" t="s">
        <v>823</v>
      </c>
      <c r="E1534" s="19">
        <v>3</v>
      </c>
      <c r="F1534" s="10" t="s">
        <v>3192</v>
      </c>
      <c r="G1534" s="10" t="s">
        <v>3193</v>
      </c>
      <c r="H1534" s="33" t="s">
        <v>16</v>
      </c>
      <c r="I1534" s="34" t="s">
        <v>370</v>
      </c>
      <c r="J1534" s="60" t="s">
        <v>3194</v>
      </c>
      <c r="K1534" s="142" t="s">
        <v>9302</v>
      </c>
      <c r="L1534" s="9" t="s">
        <v>1445</v>
      </c>
      <c r="M1534" s="9" t="s">
        <v>3610</v>
      </c>
      <c r="N1534" s="9" t="s">
        <v>1370</v>
      </c>
      <c r="O1534" s="9" t="s">
        <v>3201</v>
      </c>
      <c r="P1534" s="115" t="s">
        <v>5344</v>
      </c>
      <c r="Q1534" s="11" t="s">
        <v>784</v>
      </c>
      <c r="R1534" s="142" t="str">
        <f>Agencia[[#This Row],[territorio]]&amp;",evolución,toneladas métricas,contenido,fino,producción,cobre,minera,tmf,"&amp;Agencia[[#This Row],[coleccion]]&amp;","&amp;Agencia[[#This Row],[sector]]&amp;","&amp;Agencia[[#This Row],[tema]]&amp;","&amp;Agencia[[#This Row],[contenido]]</f>
        <v>Región de Atacama,evolución,toneladas métricas,contenido,fino,producción,cobre,minera,tmf,Agencia Información,Economía,Producción minera,Minería</v>
      </c>
      <c r="S1534" s="83" t="s">
        <v>5452</v>
      </c>
      <c r="T1534" s="107" t="s">
        <v>1862</v>
      </c>
      <c r="U1534" s="46" t="s">
        <v>4428</v>
      </c>
      <c r="V1534" s="93" t="str">
        <f>+Agencia[[#This Row],[idcoleccion]]&amp;"-"&amp;Agencia[[#This Row],[id]]</f>
        <v>990-1523</v>
      </c>
      <c r="W1534" s="93">
        <f>+VLOOKUP(Agencia[[#This Row],[Filtro URL]],Estructura!$X$4:$Y$500,2,0)</f>
        <v>99200003</v>
      </c>
      <c r="X1534" s="93" t="str">
        <f>+VLOOKUP(Agencia[[#This Row],[tema]],Estructura!$A$4:$C$500,3,0)</f>
        <v>T-1059</v>
      </c>
      <c r="Y1534" s="93" t="str">
        <f>+VLOOKUP(Agencia[[#This Row],[contenido]],Estructura!$E$4:$G$500,3,0)</f>
        <v>C-1023</v>
      </c>
      <c r="Z1534" s="93" t="str">
        <f>+VLOOKUP(Agencia[[#This Row],[Filtro Integrado]],Estructura!$I$4:$K$500,3,0)</f>
        <v>FI-1007</v>
      </c>
      <c r="AA1534" s="93" t="str">
        <f>+VLOOKUP(Agencia[[#This Row],[Muestra]],Estructura!$M$4:$O$500,3,0)</f>
        <v>M-1100</v>
      </c>
    </row>
    <row r="1535" spans="1:27" ht="72" x14ac:dyDescent="0.3">
      <c r="A1535" s="21" t="s">
        <v>3425</v>
      </c>
      <c r="B1535" s="9">
        <v>990</v>
      </c>
      <c r="C1535" s="10" t="s">
        <v>400</v>
      </c>
      <c r="D1535" s="67" t="s">
        <v>823</v>
      </c>
      <c r="E1535" s="19">
        <v>4</v>
      </c>
      <c r="F1535" s="10" t="s">
        <v>3192</v>
      </c>
      <c r="G1535" s="10" t="s">
        <v>3193</v>
      </c>
      <c r="H1535" s="33" t="s">
        <v>16</v>
      </c>
      <c r="I1535" s="34" t="s">
        <v>371</v>
      </c>
      <c r="J1535" s="60" t="s">
        <v>3194</v>
      </c>
      <c r="K1535" s="142" t="s">
        <v>9302</v>
      </c>
      <c r="L1535" s="9" t="s">
        <v>1445</v>
      </c>
      <c r="M1535" s="9" t="s">
        <v>3610</v>
      </c>
      <c r="N1535" s="9" t="s">
        <v>1370</v>
      </c>
      <c r="O1535" s="9" t="s">
        <v>3198</v>
      </c>
      <c r="P1535" s="115" t="s">
        <v>5349</v>
      </c>
      <c r="Q1535" s="11" t="s">
        <v>784</v>
      </c>
      <c r="R1535" s="142" t="str">
        <f>Agencia[[#This Row],[territorio]]&amp;",evolución,toneladas métricas,contenido,fino,producción,cobre,minera,tmf,"&amp;Agencia[[#This Row],[coleccion]]&amp;","&amp;Agencia[[#This Row],[sector]]&amp;","&amp;Agencia[[#This Row],[tema]]&amp;","&amp;Agencia[[#This Row],[contenido]]</f>
        <v>Región de Coquimbo,evolución,toneladas métricas,contenido,fino,producción,cobre,minera,tmf,Agencia Información,Economía,Producción minera,Minería</v>
      </c>
      <c r="S1535" s="83" t="s">
        <v>5453</v>
      </c>
      <c r="T1535" s="107" t="s">
        <v>1864</v>
      </c>
      <c r="U1535" s="46" t="s">
        <v>4429</v>
      </c>
      <c r="V1535" s="93" t="str">
        <f>+Agencia[[#This Row],[idcoleccion]]&amp;"-"&amp;Agencia[[#This Row],[id]]</f>
        <v>990-1524</v>
      </c>
      <c r="W1535" s="93">
        <f>+VLOOKUP(Agencia[[#This Row],[Filtro URL]],Estructura!$X$4:$Y$500,2,0)</f>
        <v>99200004</v>
      </c>
      <c r="X1535" s="93" t="str">
        <f>+VLOOKUP(Agencia[[#This Row],[tema]],Estructura!$A$4:$C$500,3,0)</f>
        <v>T-1059</v>
      </c>
      <c r="Y1535" s="93" t="str">
        <f>+VLOOKUP(Agencia[[#This Row],[contenido]],Estructura!$E$4:$G$500,3,0)</f>
        <v>C-1023</v>
      </c>
      <c r="Z1535" s="93" t="str">
        <f>+VLOOKUP(Agencia[[#This Row],[Filtro Integrado]],Estructura!$I$4:$K$500,3,0)</f>
        <v>FI-1007</v>
      </c>
      <c r="AA1535" s="93" t="str">
        <f>+VLOOKUP(Agencia[[#This Row],[Muestra]],Estructura!$M$4:$O$500,3,0)</f>
        <v>M-1100</v>
      </c>
    </row>
    <row r="1536" spans="1:27" ht="72" x14ac:dyDescent="0.3">
      <c r="A1536" s="21" t="s">
        <v>3426</v>
      </c>
      <c r="B1536" s="9">
        <v>990</v>
      </c>
      <c r="C1536" s="10" t="s">
        <v>400</v>
      </c>
      <c r="D1536" s="67" t="s">
        <v>823</v>
      </c>
      <c r="E1536" s="19">
        <v>5</v>
      </c>
      <c r="F1536" s="10" t="s">
        <v>3192</v>
      </c>
      <c r="G1536" s="10" t="s">
        <v>3193</v>
      </c>
      <c r="H1536" s="33" t="s">
        <v>16</v>
      </c>
      <c r="I1536" s="34" t="s">
        <v>372</v>
      </c>
      <c r="J1536" s="60" t="s">
        <v>3194</v>
      </c>
      <c r="K1536" s="142" t="s">
        <v>9302</v>
      </c>
      <c r="L1536" s="9" t="s">
        <v>1445</v>
      </c>
      <c r="M1536" s="9" t="s">
        <v>3610</v>
      </c>
      <c r="N1536" s="9" t="s">
        <v>1370</v>
      </c>
      <c r="O1536" s="9" t="s">
        <v>3202</v>
      </c>
      <c r="P1536" s="115" t="s">
        <v>5350</v>
      </c>
      <c r="Q1536" s="11" t="s">
        <v>784</v>
      </c>
      <c r="R1536" s="142" t="str">
        <f>Agencia[[#This Row],[territorio]]&amp;",evolución,toneladas métricas,contenido,fino,producción,cobre,minera,tmf,"&amp;Agencia[[#This Row],[coleccion]]&amp;","&amp;Agencia[[#This Row],[sector]]&amp;","&amp;Agencia[[#This Row],[tema]]&amp;","&amp;Agencia[[#This Row],[contenido]]</f>
        <v>Región de Valparaíso,evolución,toneladas métricas,contenido,fino,producción,cobre,minera,tmf,Agencia Información,Economía,Producción minera,Minería</v>
      </c>
      <c r="S1536" s="83" t="s">
        <v>5454</v>
      </c>
      <c r="T1536" s="107" t="s">
        <v>1873</v>
      </c>
      <c r="U1536" s="46" t="s">
        <v>4430</v>
      </c>
      <c r="V1536" s="93" t="str">
        <f>+Agencia[[#This Row],[idcoleccion]]&amp;"-"&amp;Agencia[[#This Row],[id]]</f>
        <v>990-1525</v>
      </c>
      <c r="W1536" s="93">
        <f>+VLOOKUP(Agencia[[#This Row],[Filtro URL]],Estructura!$X$4:$Y$500,2,0)</f>
        <v>99200005</v>
      </c>
      <c r="X1536" s="93" t="str">
        <f>+VLOOKUP(Agencia[[#This Row],[tema]],Estructura!$A$4:$C$500,3,0)</f>
        <v>T-1059</v>
      </c>
      <c r="Y1536" s="93" t="str">
        <f>+VLOOKUP(Agencia[[#This Row],[contenido]],Estructura!$E$4:$G$500,3,0)</f>
        <v>C-1023</v>
      </c>
      <c r="Z1536" s="93" t="str">
        <f>+VLOOKUP(Agencia[[#This Row],[Filtro Integrado]],Estructura!$I$4:$K$500,3,0)</f>
        <v>FI-1007</v>
      </c>
      <c r="AA1536" s="93" t="str">
        <f>+VLOOKUP(Agencia[[#This Row],[Muestra]],Estructura!$M$4:$O$500,3,0)</f>
        <v>M-1100</v>
      </c>
    </row>
    <row r="1537" spans="1:27" ht="48" x14ac:dyDescent="0.3">
      <c r="A1537" s="21" t="s">
        <v>3427</v>
      </c>
      <c r="B1537" s="9">
        <v>990</v>
      </c>
      <c r="C1537" s="10" t="s">
        <v>400</v>
      </c>
      <c r="D1537" s="67" t="s">
        <v>823</v>
      </c>
      <c r="E1537" s="14">
        <v>0</v>
      </c>
      <c r="F1537" s="10" t="s">
        <v>3192</v>
      </c>
      <c r="G1537" s="10" t="s">
        <v>3193</v>
      </c>
      <c r="H1537" s="31" t="s">
        <v>20</v>
      </c>
      <c r="I1537" s="32" t="s">
        <v>15</v>
      </c>
      <c r="J1537" s="60" t="s">
        <v>3194</v>
      </c>
      <c r="K1537" s="9" t="s">
        <v>9301</v>
      </c>
      <c r="L1537" s="9" t="s">
        <v>1445</v>
      </c>
      <c r="M1537" s="9" t="s">
        <v>574</v>
      </c>
      <c r="N1537" s="9" t="s">
        <v>1370</v>
      </c>
      <c r="O1537" s="9" t="s">
        <v>3203</v>
      </c>
      <c r="P1537" s="115" t="s">
        <v>5352</v>
      </c>
      <c r="Q1537" s="46" t="s">
        <v>784</v>
      </c>
      <c r="R1537" s="9" t="str">
        <f>Agencia[[#This Row],[territorio]]&amp;",evolución,producción,cloruro de sodio,minera,toneladas,mensual,"&amp;Agencia[[#This Row],[coleccion]]&amp;","&amp;Agencia[[#This Row],[sector]]&amp;","&amp;Agencia[[#This Row],[tema]]&amp;","&amp;Agencia[[#This Row],[contenido]]</f>
        <v>Chile,evolución,producción,cloruro de sodio,minera,toneladas,mensual,Agencia Información,Economía,Producción minera,Minería</v>
      </c>
      <c r="S1537" s="54" t="s">
        <v>3204</v>
      </c>
      <c r="T1537" s="104">
        <v>0</v>
      </c>
      <c r="U1537" s="46" t="s">
        <v>4431</v>
      </c>
      <c r="V1537" s="93" t="str">
        <f>+Agencia[[#This Row],[idcoleccion]]&amp;"-"&amp;Agencia[[#This Row],[id]]</f>
        <v>990-1526</v>
      </c>
      <c r="W1537" s="93">
        <f>+VLOOKUP(Agencia[[#This Row],[Filtro URL]],Estructura!$X$4:$Y$500,2,0)</f>
        <v>99100000</v>
      </c>
      <c r="X1537" s="93" t="str">
        <f>+VLOOKUP(Agencia[[#This Row],[tema]],Estructura!$A$4:$C$500,3,0)</f>
        <v>T-1059</v>
      </c>
      <c r="Y1537" s="93" t="str">
        <f>+VLOOKUP(Agencia[[#This Row],[contenido]],Estructura!$E$4:$G$500,3,0)</f>
        <v>C-1023</v>
      </c>
      <c r="Z1537" s="93" t="str">
        <f>+VLOOKUP(Agencia[[#This Row],[Filtro Integrado]],Estructura!$I$4:$K$500,3,0)</f>
        <v>FI-1007</v>
      </c>
      <c r="AA1537" s="93" t="str">
        <f>+VLOOKUP(Agencia[[#This Row],[Muestra]],Estructura!$M$4:$O$500,3,0)</f>
        <v>M-1101</v>
      </c>
    </row>
    <row r="1538" spans="1:27" ht="48" x14ac:dyDescent="0.3">
      <c r="A1538" s="21" t="s">
        <v>3428</v>
      </c>
      <c r="B1538" s="9">
        <v>990</v>
      </c>
      <c r="C1538" s="10" t="s">
        <v>400</v>
      </c>
      <c r="D1538" s="67" t="s">
        <v>823</v>
      </c>
      <c r="E1538" s="14">
        <v>0</v>
      </c>
      <c r="F1538" s="10" t="s">
        <v>3192</v>
      </c>
      <c r="G1538" s="10" t="s">
        <v>3193</v>
      </c>
      <c r="H1538" s="31" t="s">
        <v>20</v>
      </c>
      <c r="I1538" s="32" t="s">
        <v>15</v>
      </c>
      <c r="J1538" s="60" t="s">
        <v>3194</v>
      </c>
      <c r="K1538" s="9" t="s">
        <v>9300</v>
      </c>
      <c r="L1538" s="9" t="s">
        <v>1445</v>
      </c>
      <c r="M1538" s="9" t="s">
        <v>3611</v>
      </c>
      <c r="N1538" s="9" t="s">
        <v>1370</v>
      </c>
      <c r="O1538" s="9" t="s">
        <v>3205</v>
      </c>
      <c r="P1538" s="115" t="s">
        <v>5353</v>
      </c>
      <c r="Q1538" s="46" t="s">
        <v>5351</v>
      </c>
      <c r="R1538" s="9" t="str">
        <f>Agencia[[#This Row],[territorio]]&amp;",evolución,producción,hierro,toneladas métricas,tm,minera,mensual,"&amp;Agencia[[#This Row],[coleccion]]&amp;","&amp;Agencia[[#This Row],[sector]]&amp;","&amp;Agencia[[#This Row],[tema]]&amp;","&amp;Agencia[[#This Row],[contenido]]</f>
        <v>Chile,evolución,producción,hierro,toneladas métricas,tm,minera,mensual,Agencia Información,Economía,Producción minera,Minería</v>
      </c>
      <c r="S1538" s="54" t="s">
        <v>3206</v>
      </c>
      <c r="T1538" s="104">
        <v>0</v>
      </c>
      <c r="U1538" s="46" t="s">
        <v>4432</v>
      </c>
      <c r="V1538" s="93" t="str">
        <f>+Agencia[[#This Row],[idcoleccion]]&amp;"-"&amp;Agencia[[#This Row],[id]]</f>
        <v>990-1527</v>
      </c>
      <c r="W1538" s="93">
        <f>+VLOOKUP(Agencia[[#This Row],[Filtro URL]],Estructura!$X$4:$Y$500,2,0)</f>
        <v>99100000</v>
      </c>
      <c r="X1538" s="93" t="str">
        <f>+VLOOKUP(Agencia[[#This Row],[tema]],Estructura!$A$4:$C$500,3,0)</f>
        <v>T-1059</v>
      </c>
      <c r="Y1538" s="93" t="str">
        <f>+VLOOKUP(Agencia[[#This Row],[contenido]],Estructura!$E$4:$G$500,3,0)</f>
        <v>C-1023</v>
      </c>
      <c r="Z1538" s="93" t="str">
        <f>+VLOOKUP(Agencia[[#This Row],[Filtro Integrado]],Estructura!$I$4:$K$500,3,0)</f>
        <v>FI-1007</v>
      </c>
      <c r="AA1538" s="93" t="str">
        <f>+VLOOKUP(Agencia[[#This Row],[Muestra]],Estructura!$M$4:$O$500,3,0)</f>
        <v>M-1102</v>
      </c>
    </row>
    <row r="1539" spans="1:27" ht="48" x14ac:dyDescent="0.3">
      <c r="A1539" s="21" t="s">
        <v>3429</v>
      </c>
      <c r="B1539" s="9">
        <v>990</v>
      </c>
      <c r="C1539" s="10" t="s">
        <v>400</v>
      </c>
      <c r="D1539" s="67" t="s">
        <v>3207</v>
      </c>
      <c r="E1539" s="14">
        <v>0</v>
      </c>
      <c r="F1539" s="10" t="s">
        <v>3208</v>
      </c>
      <c r="G1539" s="10" t="s">
        <v>3207</v>
      </c>
      <c r="H1539" s="31" t="s">
        <v>20</v>
      </c>
      <c r="I1539" s="32" t="s">
        <v>15</v>
      </c>
      <c r="J1539" s="60" t="s">
        <v>3194</v>
      </c>
      <c r="K1539" s="9" t="s">
        <v>3209</v>
      </c>
      <c r="L1539" s="9" t="s">
        <v>990</v>
      </c>
      <c r="M1539" s="9" t="s">
        <v>3210</v>
      </c>
      <c r="N1539" s="9" t="s">
        <v>1370</v>
      </c>
      <c r="O1539" s="9" t="s">
        <v>3211</v>
      </c>
      <c r="P1539" s="115" t="s">
        <v>3212</v>
      </c>
      <c r="Q1539" s="46" t="s">
        <v>784</v>
      </c>
      <c r="R1539" s="142" t="str">
        <f>Agencia[[#This Row],[territorio]]&amp;",evolucion,chile,número,pernoctaciones,mensual,región,"&amp;Agencia[[#This Row],[coleccion]]&amp;","&amp;Agencia[[#This Row],[sector]]&amp;","&amp;Agencia[[#This Row],[tema]]&amp;","&amp;Agencia[[#This Row],[contenido]]</f>
        <v>Chile,evolucion,chile,número,pernoctaciones,mensual,región,Agencia Información,Turismo,Pernoctaciones,Turismo</v>
      </c>
      <c r="S1539" s="54" t="s">
        <v>5455</v>
      </c>
      <c r="T1539" s="104" t="s">
        <v>805</v>
      </c>
      <c r="U1539" s="46" t="s">
        <v>4433</v>
      </c>
      <c r="V1539" s="93" t="str">
        <f>+Agencia[[#This Row],[idcoleccion]]&amp;"-"&amp;Agencia[[#This Row],[id]]</f>
        <v>990-1528</v>
      </c>
      <c r="W1539" s="93">
        <f>+VLOOKUP(Agencia[[#This Row],[Filtro URL]],Estructura!$X$4:$Y$500,2,0)</f>
        <v>99100000</v>
      </c>
      <c r="X1539" s="93" t="str">
        <f>+VLOOKUP(Agencia[[#This Row],[tema]],Estructura!$A$4:$C$500,3,0)</f>
        <v>T-1060</v>
      </c>
      <c r="Y1539" s="93" t="str">
        <f>+VLOOKUP(Agencia[[#This Row],[contenido]],Estructura!$E$4:$G$500,3,0)</f>
        <v>C-1024</v>
      </c>
      <c r="Z1539" s="93" t="str">
        <f>+VLOOKUP(Agencia[[#This Row],[Filtro Integrado]],Estructura!$I$4:$K$500,3,0)</f>
        <v>FI-1007</v>
      </c>
      <c r="AA1539" s="93" t="str">
        <f>+VLOOKUP(Agencia[[#This Row],[Muestra]],Estructura!$M$4:$O$500,3,0)</f>
        <v>M-1017</v>
      </c>
    </row>
    <row r="1540" spans="1:27" ht="72" x14ac:dyDescent="0.3">
      <c r="A1540" s="21" t="s">
        <v>3430</v>
      </c>
      <c r="B1540" s="9">
        <v>990</v>
      </c>
      <c r="C1540" s="10" t="s">
        <v>400</v>
      </c>
      <c r="D1540" s="67" t="s">
        <v>3207</v>
      </c>
      <c r="E1540" s="19">
        <v>1</v>
      </c>
      <c r="F1540" s="10" t="s">
        <v>3208</v>
      </c>
      <c r="G1540" s="10" t="s">
        <v>3207</v>
      </c>
      <c r="H1540" s="33" t="s">
        <v>16</v>
      </c>
      <c r="I1540" s="34" t="s">
        <v>368</v>
      </c>
      <c r="J1540" s="60" t="s">
        <v>3180</v>
      </c>
      <c r="K1540" s="9" t="s">
        <v>3209</v>
      </c>
      <c r="L1540" s="9" t="s">
        <v>990</v>
      </c>
      <c r="M1540" s="9" t="s">
        <v>3210</v>
      </c>
      <c r="N1540" s="9" t="s">
        <v>1370</v>
      </c>
      <c r="O1540" s="9" t="s">
        <v>3289</v>
      </c>
      <c r="P1540" s="116" t="s">
        <v>6116</v>
      </c>
      <c r="Q1540" s="46" t="s">
        <v>784</v>
      </c>
      <c r="R1540" s="142" t="str">
        <f>Agencia[[#This Row],[territorio]]&amp;",evolucion,chile,número,pernoctaciones,mensual,"&amp;Agencia[[#This Row],[coleccion]]&amp;","&amp;Agencia[[#This Row],[sector]]&amp;","&amp;Agencia[[#This Row],[tema]]&amp;","&amp;Agencia[[#This Row],[contenido]]</f>
        <v>Región de Tarapacá,evolucion,chile,número,pernoctaciones,mensual,Agencia Información,Turismo,Pernoctaciones,Turismo</v>
      </c>
      <c r="S154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v>
      </c>
      <c r="T1540" s="104" t="s">
        <v>1872</v>
      </c>
      <c r="U1540" s="46" t="s">
        <v>4434</v>
      </c>
      <c r="V1540" s="93" t="str">
        <f>+Agencia[[#This Row],[idcoleccion]]&amp;"-"&amp;Agencia[[#This Row],[id]]</f>
        <v>990-1529</v>
      </c>
      <c r="W1540" s="93">
        <f>+VLOOKUP(Agencia[[#This Row],[Filtro URL]],Estructura!$X$4:$Y$500,2,0)</f>
        <v>99200001</v>
      </c>
      <c r="X1540" s="93" t="str">
        <f>+VLOOKUP(Agencia[[#This Row],[tema]],Estructura!$A$4:$C$500,3,0)</f>
        <v>T-1060</v>
      </c>
      <c r="Y1540" s="93" t="str">
        <f>+VLOOKUP(Agencia[[#This Row],[contenido]],Estructura!$E$4:$G$500,3,0)</f>
        <v>C-1024</v>
      </c>
      <c r="Z1540" s="93" t="str">
        <f>+VLOOKUP(Agencia[[#This Row],[Filtro Integrado]],Estructura!$I$4:$K$500,3,0)</f>
        <v>FI-1006</v>
      </c>
      <c r="AA1540" s="93" t="str">
        <f>+VLOOKUP(Agencia[[#This Row],[Muestra]],Estructura!$M$4:$O$500,3,0)</f>
        <v>M-1017</v>
      </c>
    </row>
    <row r="1541" spans="1:27" ht="72" x14ac:dyDescent="0.3">
      <c r="A1541" s="21" t="s">
        <v>3431</v>
      </c>
      <c r="B1541" s="9">
        <v>990</v>
      </c>
      <c r="C1541" s="10" t="s">
        <v>400</v>
      </c>
      <c r="D1541" s="67" t="s">
        <v>3207</v>
      </c>
      <c r="E1541" s="19">
        <v>2</v>
      </c>
      <c r="F1541" s="10" t="s">
        <v>3208</v>
      </c>
      <c r="G1541" s="10" t="s">
        <v>3207</v>
      </c>
      <c r="H1541" s="33" t="s">
        <v>16</v>
      </c>
      <c r="I1541" s="34" t="s">
        <v>369</v>
      </c>
      <c r="J1541" s="60" t="s">
        <v>3180</v>
      </c>
      <c r="K1541" s="9" t="s">
        <v>3209</v>
      </c>
      <c r="L1541" s="9" t="s">
        <v>990</v>
      </c>
      <c r="M1541" s="9" t="s">
        <v>3210</v>
      </c>
      <c r="N1541" s="9" t="s">
        <v>1370</v>
      </c>
      <c r="O1541" s="9" t="s">
        <v>3290</v>
      </c>
      <c r="P1541" s="116" t="s">
        <v>6117</v>
      </c>
      <c r="Q1541" s="46" t="s">
        <v>784</v>
      </c>
      <c r="R1541" s="142" t="str">
        <f>Agencia[[#This Row],[territorio]]&amp;",evolucion,chile,número,pernoctaciones,mensual,"&amp;Agencia[[#This Row],[coleccion]]&amp;","&amp;Agencia[[#This Row],[sector]]&amp;","&amp;Agencia[[#This Row],[tema]]&amp;","&amp;Agencia[[#This Row],[contenido]]</f>
        <v>Región de Antofagasta,evolucion,chile,número,pernoctaciones,mensual,Agencia Información,Turismo,Pernoctaciones,Turismo</v>
      </c>
      <c r="S154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https://analytics.zoho.com/open-view/2395394000009355924?ZOHO_CRITERIA=%22Consolidado_Estadisticas_Regionales_New%22.%22C%C3%B3digo%20regi%C3%B3n%22%3D2</v>
      </c>
      <c r="T1541" s="104" t="s">
        <v>1860</v>
      </c>
      <c r="U1541" s="46" t="s">
        <v>4435</v>
      </c>
      <c r="V1541" s="93" t="str">
        <f>+Agencia[[#This Row],[idcoleccion]]&amp;"-"&amp;Agencia[[#This Row],[id]]</f>
        <v>990-1530</v>
      </c>
      <c r="W1541" s="93">
        <f>+VLOOKUP(Agencia[[#This Row],[Filtro URL]],Estructura!$X$4:$Y$500,2,0)</f>
        <v>99200002</v>
      </c>
      <c r="X1541" s="93" t="str">
        <f>+VLOOKUP(Agencia[[#This Row],[tema]],Estructura!$A$4:$C$500,3,0)</f>
        <v>T-1060</v>
      </c>
      <c r="Y1541" s="93" t="str">
        <f>+VLOOKUP(Agencia[[#This Row],[contenido]],Estructura!$E$4:$G$500,3,0)</f>
        <v>C-1024</v>
      </c>
      <c r="Z1541" s="93" t="str">
        <f>+VLOOKUP(Agencia[[#This Row],[Filtro Integrado]],Estructura!$I$4:$K$500,3,0)</f>
        <v>FI-1006</v>
      </c>
      <c r="AA1541" s="93" t="str">
        <f>+VLOOKUP(Agencia[[#This Row],[Muestra]],Estructura!$M$4:$O$500,3,0)</f>
        <v>M-1017</v>
      </c>
    </row>
    <row r="1542" spans="1:27" ht="72" x14ac:dyDescent="0.3">
      <c r="A1542" s="21" t="s">
        <v>3432</v>
      </c>
      <c r="B1542" s="9">
        <v>990</v>
      </c>
      <c r="C1542" s="10" t="s">
        <v>400</v>
      </c>
      <c r="D1542" s="67" t="s">
        <v>3207</v>
      </c>
      <c r="E1542" s="19">
        <v>3</v>
      </c>
      <c r="F1542" s="10" t="s">
        <v>3208</v>
      </c>
      <c r="G1542" s="10" t="s">
        <v>3207</v>
      </c>
      <c r="H1542" s="33" t="s">
        <v>16</v>
      </c>
      <c r="I1542" s="34" t="s">
        <v>370</v>
      </c>
      <c r="J1542" s="60" t="s">
        <v>3180</v>
      </c>
      <c r="K1542" s="9" t="s">
        <v>3209</v>
      </c>
      <c r="L1542" s="9" t="s">
        <v>990</v>
      </c>
      <c r="M1542" s="9" t="s">
        <v>3210</v>
      </c>
      <c r="N1542" s="9" t="s">
        <v>1370</v>
      </c>
      <c r="O1542" s="9" t="s">
        <v>3291</v>
      </c>
      <c r="P1542" s="116" t="s">
        <v>6118</v>
      </c>
      <c r="Q1542" s="46" t="s">
        <v>784</v>
      </c>
      <c r="R1542" s="142" t="str">
        <f>Agencia[[#This Row],[territorio]]&amp;",evolucion,chile,número,pernoctaciones,mensual,"&amp;Agencia[[#This Row],[coleccion]]&amp;","&amp;Agencia[[#This Row],[sector]]&amp;","&amp;Agencia[[#This Row],[tema]]&amp;","&amp;Agencia[[#This Row],[contenido]]</f>
        <v>Región de Atacama,evolucion,chile,número,pernoctaciones,mensual,Agencia Información,Turismo,Pernoctaciones,Turismo</v>
      </c>
      <c r="S154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https://analytics.zoho.com/open-view/2395394000009355924?ZOHO_CRITERIA=%22Consolidado_Estadisticas_Regionales_New%22.%22C%C3%B3digo%20regi%C3%B3n%22%3D3</v>
      </c>
      <c r="T1542" s="104" t="s">
        <v>1862</v>
      </c>
      <c r="U1542" s="46" t="s">
        <v>4436</v>
      </c>
      <c r="V1542" s="93" t="str">
        <f>+Agencia[[#This Row],[idcoleccion]]&amp;"-"&amp;Agencia[[#This Row],[id]]</f>
        <v>990-1531</v>
      </c>
      <c r="W1542" s="93">
        <f>+VLOOKUP(Agencia[[#This Row],[Filtro URL]],Estructura!$X$4:$Y$500,2,0)</f>
        <v>99200003</v>
      </c>
      <c r="X1542" s="93" t="str">
        <f>+VLOOKUP(Agencia[[#This Row],[tema]],Estructura!$A$4:$C$500,3,0)</f>
        <v>T-1060</v>
      </c>
      <c r="Y1542" s="93" t="str">
        <f>+VLOOKUP(Agencia[[#This Row],[contenido]],Estructura!$E$4:$G$500,3,0)</f>
        <v>C-1024</v>
      </c>
      <c r="Z1542" s="93" t="str">
        <f>+VLOOKUP(Agencia[[#This Row],[Filtro Integrado]],Estructura!$I$4:$K$500,3,0)</f>
        <v>FI-1006</v>
      </c>
      <c r="AA1542" s="93" t="str">
        <f>+VLOOKUP(Agencia[[#This Row],[Muestra]],Estructura!$M$4:$O$500,3,0)</f>
        <v>M-1017</v>
      </c>
    </row>
    <row r="1543" spans="1:27" ht="72" x14ac:dyDescent="0.3">
      <c r="A1543" s="21" t="s">
        <v>3433</v>
      </c>
      <c r="B1543" s="9">
        <v>990</v>
      </c>
      <c r="C1543" s="10" t="s">
        <v>400</v>
      </c>
      <c r="D1543" s="67" t="s">
        <v>3207</v>
      </c>
      <c r="E1543" s="19">
        <v>4</v>
      </c>
      <c r="F1543" s="10" t="s">
        <v>3208</v>
      </c>
      <c r="G1543" s="10" t="s">
        <v>3207</v>
      </c>
      <c r="H1543" s="33" t="s">
        <v>16</v>
      </c>
      <c r="I1543" s="34" t="s">
        <v>371</v>
      </c>
      <c r="J1543" s="60" t="s">
        <v>3180</v>
      </c>
      <c r="K1543" s="9" t="s">
        <v>3209</v>
      </c>
      <c r="L1543" s="9" t="s">
        <v>990</v>
      </c>
      <c r="M1543" s="9" t="s">
        <v>3210</v>
      </c>
      <c r="N1543" s="9" t="s">
        <v>1370</v>
      </c>
      <c r="O1543" s="9" t="s">
        <v>3292</v>
      </c>
      <c r="P1543" s="116" t="s">
        <v>6119</v>
      </c>
      <c r="Q1543" s="46" t="s">
        <v>784</v>
      </c>
      <c r="R1543" s="142" t="str">
        <f>Agencia[[#This Row],[territorio]]&amp;",evolucion,chile,número,pernoctaciones,mensual,"&amp;Agencia[[#This Row],[coleccion]]&amp;","&amp;Agencia[[#This Row],[sector]]&amp;","&amp;Agencia[[#This Row],[tema]]&amp;","&amp;Agencia[[#This Row],[contenido]]</f>
        <v>Región de Coquimbo,evolucion,chile,número,pernoctaciones,mensual,Agencia Información,Turismo,Pernoctaciones,Turismo</v>
      </c>
      <c r="S154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https://analytics.zoho.com/open-view/2395394000009355924?ZOHO_CRITERIA=%22Consolidado_Estadisticas_Regionales_New%22.%22C%C3%B3digo%20regi%C3%B3n%22%3D4</v>
      </c>
      <c r="T1543" s="104" t="s">
        <v>1864</v>
      </c>
      <c r="U1543" s="46" t="s">
        <v>4437</v>
      </c>
      <c r="V1543" s="93" t="str">
        <f>+Agencia[[#This Row],[idcoleccion]]&amp;"-"&amp;Agencia[[#This Row],[id]]</f>
        <v>990-1532</v>
      </c>
      <c r="W1543" s="93">
        <f>+VLOOKUP(Agencia[[#This Row],[Filtro URL]],Estructura!$X$4:$Y$500,2,0)</f>
        <v>99200004</v>
      </c>
      <c r="X1543" s="93" t="str">
        <f>+VLOOKUP(Agencia[[#This Row],[tema]],Estructura!$A$4:$C$500,3,0)</f>
        <v>T-1060</v>
      </c>
      <c r="Y1543" s="93" t="str">
        <f>+VLOOKUP(Agencia[[#This Row],[contenido]],Estructura!$E$4:$G$500,3,0)</f>
        <v>C-1024</v>
      </c>
      <c r="Z1543" s="93" t="str">
        <f>+VLOOKUP(Agencia[[#This Row],[Filtro Integrado]],Estructura!$I$4:$K$500,3,0)</f>
        <v>FI-1006</v>
      </c>
      <c r="AA1543" s="93" t="str">
        <f>+VLOOKUP(Agencia[[#This Row],[Muestra]],Estructura!$M$4:$O$500,3,0)</f>
        <v>M-1017</v>
      </c>
    </row>
    <row r="1544" spans="1:27" ht="72" x14ac:dyDescent="0.3">
      <c r="A1544" s="21" t="s">
        <v>3434</v>
      </c>
      <c r="B1544" s="9">
        <v>990</v>
      </c>
      <c r="C1544" s="10" t="s">
        <v>400</v>
      </c>
      <c r="D1544" s="67" t="s">
        <v>3207</v>
      </c>
      <c r="E1544" s="19">
        <v>5</v>
      </c>
      <c r="F1544" s="10" t="s">
        <v>3208</v>
      </c>
      <c r="G1544" s="10" t="s">
        <v>3207</v>
      </c>
      <c r="H1544" s="33" t="s">
        <v>16</v>
      </c>
      <c r="I1544" s="34" t="s">
        <v>372</v>
      </c>
      <c r="J1544" s="60" t="s">
        <v>3180</v>
      </c>
      <c r="K1544" s="9" t="s">
        <v>3209</v>
      </c>
      <c r="L1544" s="9" t="s">
        <v>990</v>
      </c>
      <c r="M1544" s="9" t="s">
        <v>3210</v>
      </c>
      <c r="N1544" s="9" t="s">
        <v>1370</v>
      </c>
      <c r="O1544" s="9" t="s">
        <v>3293</v>
      </c>
      <c r="P1544" s="116" t="s">
        <v>6120</v>
      </c>
      <c r="Q1544" s="46" t="s">
        <v>784</v>
      </c>
      <c r="R1544" s="142" t="str">
        <f>Agencia[[#This Row],[territorio]]&amp;",evolucion,chile,número,pernoctaciones,mensual,"&amp;Agencia[[#This Row],[coleccion]]&amp;","&amp;Agencia[[#This Row],[sector]]&amp;","&amp;Agencia[[#This Row],[tema]]&amp;","&amp;Agencia[[#This Row],[contenido]]</f>
        <v>Región de Valparaíso,evolucion,chile,número,pernoctaciones,mensual,Agencia Información,Turismo,Pernoctaciones,Turismo</v>
      </c>
      <c r="S154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https://analytics.zoho.com/open-view/2395394000009355924?ZOHO_CRITERIA=%22Consolidado_Estadisticas_Regionales_New%22.%22C%C3%B3digo%20regi%C3%B3n%22%3D5</v>
      </c>
      <c r="T1544" s="104" t="s">
        <v>1873</v>
      </c>
      <c r="U1544" s="46" t="s">
        <v>4438</v>
      </c>
      <c r="V1544" s="93" t="str">
        <f>+Agencia[[#This Row],[idcoleccion]]&amp;"-"&amp;Agencia[[#This Row],[id]]</f>
        <v>990-1533</v>
      </c>
      <c r="W1544" s="93">
        <f>+VLOOKUP(Agencia[[#This Row],[Filtro URL]],Estructura!$X$4:$Y$500,2,0)</f>
        <v>99200005</v>
      </c>
      <c r="X1544" s="93" t="str">
        <f>+VLOOKUP(Agencia[[#This Row],[tema]],Estructura!$A$4:$C$500,3,0)</f>
        <v>T-1060</v>
      </c>
      <c r="Y1544" s="93" t="str">
        <f>+VLOOKUP(Agencia[[#This Row],[contenido]],Estructura!$E$4:$G$500,3,0)</f>
        <v>C-1024</v>
      </c>
      <c r="Z1544" s="93" t="str">
        <f>+VLOOKUP(Agencia[[#This Row],[Filtro Integrado]],Estructura!$I$4:$K$500,3,0)</f>
        <v>FI-1006</v>
      </c>
      <c r="AA1544" s="93" t="str">
        <f>+VLOOKUP(Agencia[[#This Row],[Muestra]],Estructura!$M$4:$O$500,3,0)</f>
        <v>M-1017</v>
      </c>
    </row>
    <row r="1545" spans="1:27" ht="72" x14ac:dyDescent="0.3">
      <c r="A1545" s="21" t="s">
        <v>3435</v>
      </c>
      <c r="B1545" s="9">
        <v>990</v>
      </c>
      <c r="C1545" s="10" t="s">
        <v>400</v>
      </c>
      <c r="D1545" s="67" t="s">
        <v>3207</v>
      </c>
      <c r="E1545" s="19">
        <v>6</v>
      </c>
      <c r="F1545" s="10" t="s">
        <v>3208</v>
      </c>
      <c r="G1545" s="10" t="s">
        <v>3207</v>
      </c>
      <c r="H1545" s="33" t="s">
        <v>16</v>
      </c>
      <c r="I1545" s="34" t="s">
        <v>373</v>
      </c>
      <c r="J1545" s="60" t="s">
        <v>3180</v>
      </c>
      <c r="K1545" s="9" t="s">
        <v>3209</v>
      </c>
      <c r="L1545" s="9" t="s">
        <v>990</v>
      </c>
      <c r="M1545" s="9" t="s">
        <v>3210</v>
      </c>
      <c r="N1545" s="9" t="s">
        <v>1370</v>
      </c>
      <c r="O1545" s="9" t="s">
        <v>3294</v>
      </c>
      <c r="P1545" s="116" t="s">
        <v>6121</v>
      </c>
      <c r="Q1545" s="46" t="s">
        <v>784</v>
      </c>
      <c r="R1545" s="142" t="str">
        <f>Agencia[[#This Row],[territorio]]&amp;",evolucion,chile,número,pernoctaciones,mensual,"&amp;Agencia[[#This Row],[coleccion]]&amp;","&amp;Agencia[[#This Row],[sector]]&amp;","&amp;Agencia[[#This Row],[tema]]&amp;","&amp;Agencia[[#This Row],[contenido]]</f>
        <v>Región de O'Higgins,evolucion,chile,número,pernoctaciones,mensual,Agencia Información,Turismo,Pernoctaciones,Turismo</v>
      </c>
      <c r="S154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https://analytics.zoho.com/open-view/2395394000009355924?ZOHO_CRITERIA=%22Consolidado_Estadisticas_Regionales_New%22.%22C%C3%B3digo%20regi%C3%B3n%22%3D6</v>
      </c>
      <c r="T1545" s="104" t="s">
        <v>1871</v>
      </c>
      <c r="U1545" s="46" t="s">
        <v>4439</v>
      </c>
      <c r="V1545" s="93" t="str">
        <f>+Agencia[[#This Row],[idcoleccion]]&amp;"-"&amp;Agencia[[#This Row],[id]]</f>
        <v>990-1534</v>
      </c>
      <c r="W1545" s="93">
        <f>+VLOOKUP(Agencia[[#This Row],[Filtro URL]],Estructura!$X$4:$Y$500,2,0)</f>
        <v>99200006</v>
      </c>
      <c r="X1545" s="93" t="str">
        <f>+VLOOKUP(Agencia[[#This Row],[tema]],Estructura!$A$4:$C$500,3,0)</f>
        <v>T-1060</v>
      </c>
      <c r="Y1545" s="93" t="str">
        <f>+VLOOKUP(Agencia[[#This Row],[contenido]],Estructura!$E$4:$G$500,3,0)</f>
        <v>C-1024</v>
      </c>
      <c r="Z1545" s="93" t="str">
        <f>+VLOOKUP(Agencia[[#This Row],[Filtro Integrado]],Estructura!$I$4:$K$500,3,0)</f>
        <v>FI-1006</v>
      </c>
      <c r="AA1545" s="93" t="str">
        <f>+VLOOKUP(Agencia[[#This Row],[Muestra]],Estructura!$M$4:$O$500,3,0)</f>
        <v>M-1017</v>
      </c>
    </row>
    <row r="1546" spans="1:27" ht="72" x14ac:dyDescent="0.3">
      <c r="A1546" s="21" t="s">
        <v>3436</v>
      </c>
      <c r="B1546" s="9">
        <v>990</v>
      </c>
      <c r="C1546" s="10" t="s">
        <v>400</v>
      </c>
      <c r="D1546" s="67" t="s">
        <v>3207</v>
      </c>
      <c r="E1546" s="19">
        <v>7</v>
      </c>
      <c r="F1546" s="10" t="s">
        <v>3208</v>
      </c>
      <c r="G1546" s="10" t="s">
        <v>3207</v>
      </c>
      <c r="H1546" s="33" t="s">
        <v>16</v>
      </c>
      <c r="I1546" s="34" t="s">
        <v>374</v>
      </c>
      <c r="J1546" s="60" t="s">
        <v>3180</v>
      </c>
      <c r="K1546" s="9" t="s">
        <v>3209</v>
      </c>
      <c r="L1546" s="9" t="s">
        <v>990</v>
      </c>
      <c r="M1546" s="9" t="s">
        <v>3210</v>
      </c>
      <c r="N1546" s="9" t="s">
        <v>1370</v>
      </c>
      <c r="O1546" s="9" t="s">
        <v>3295</v>
      </c>
      <c r="P1546" s="116" t="s">
        <v>6122</v>
      </c>
      <c r="Q1546" s="46" t="s">
        <v>784</v>
      </c>
      <c r="R1546" s="142" t="str">
        <f>Agencia[[#This Row],[territorio]]&amp;",evolucion,chile,número,pernoctaciones,mensual,"&amp;Agencia[[#This Row],[coleccion]]&amp;","&amp;Agencia[[#This Row],[sector]]&amp;","&amp;Agencia[[#This Row],[tema]]&amp;","&amp;Agencia[[#This Row],[contenido]]</f>
        <v>Región de Maule,evolucion,chile,número,pernoctaciones,mensual,Agencia Información,Turismo,Pernoctaciones,Turismo</v>
      </c>
      <c r="S1546"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https://analytics.zoho.com/open-view/2395394000009355924?ZOHO_CRITERIA=%22Consolidado_Estadisticas_Regionales_New%22.%22C%C3%B3digo%20regi%C3%B3n%22%3D7</v>
      </c>
      <c r="T1546" s="104" t="s">
        <v>1869</v>
      </c>
      <c r="U1546" s="46" t="s">
        <v>4440</v>
      </c>
      <c r="V1546" s="93" t="str">
        <f>+Agencia[[#This Row],[idcoleccion]]&amp;"-"&amp;Agencia[[#This Row],[id]]</f>
        <v>990-1535</v>
      </c>
      <c r="W1546" s="93">
        <f>+VLOOKUP(Agencia[[#This Row],[Filtro URL]],Estructura!$X$4:$Y$500,2,0)</f>
        <v>99200007</v>
      </c>
      <c r="X1546" s="93" t="str">
        <f>+VLOOKUP(Agencia[[#This Row],[tema]],Estructura!$A$4:$C$500,3,0)</f>
        <v>T-1060</v>
      </c>
      <c r="Y1546" s="93" t="str">
        <f>+VLOOKUP(Agencia[[#This Row],[contenido]],Estructura!$E$4:$G$500,3,0)</f>
        <v>C-1024</v>
      </c>
      <c r="Z1546" s="93" t="str">
        <f>+VLOOKUP(Agencia[[#This Row],[Filtro Integrado]],Estructura!$I$4:$K$500,3,0)</f>
        <v>FI-1006</v>
      </c>
      <c r="AA1546" s="93" t="str">
        <f>+VLOOKUP(Agencia[[#This Row],[Muestra]],Estructura!$M$4:$O$500,3,0)</f>
        <v>M-1017</v>
      </c>
    </row>
    <row r="1547" spans="1:27" ht="72" x14ac:dyDescent="0.3">
      <c r="A1547" s="21" t="s">
        <v>3437</v>
      </c>
      <c r="B1547" s="9">
        <v>990</v>
      </c>
      <c r="C1547" s="10" t="s">
        <v>400</v>
      </c>
      <c r="D1547" s="67" t="s">
        <v>3207</v>
      </c>
      <c r="E1547" s="19">
        <v>8</v>
      </c>
      <c r="F1547" s="10" t="s">
        <v>3208</v>
      </c>
      <c r="G1547" s="10" t="s">
        <v>3207</v>
      </c>
      <c r="H1547" s="33" t="s">
        <v>16</v>
      </c>
      <c r="I1547" s="34" t="s">
        <v>375</v>
      </c>
      <c r="J1547" s="60" t="s">
        <v>3180</v>
      </c>
      <c r="K1547" s="9" t="s">
        <v>3209</v>
      </c>
      <c r="L1547" s="9" t="s">
        <v>990</v>
      </c>
      <c r="M1547" s="9" t="s">
        <v>3210</v>
      </c>
      <c r="N1547" s="9" t="s">
        <v>1370</v>
      </c>
      <c r="O1547" s="9" t="s">
        <v>3296</v>
      </c>
      <c r="P1547" s="116" t="s">
        <v>6123</v>
      </c>
      <c r="Q1547" s="46" t="s">
        <v>784</v>
      </c>
      <c r="R1547" s="142" t="str">
        <f>Agencia[[#This Row],[territorio]]&amp;",evolucion,chile,número,pernoctaciones,mensual,"&amp;Agencia[[#This Row],[coleccion]]&amp;","&amp;Agencia[[#This Row],[sector]]&amp;","&amp;Agencia[[#This Row],[tema]]&amp;","&amp;Agencia[[#This Row],[contenido]]</f>
        <v>Región del Biobío,evolucion,chile,número,pernoctaciones,mensual,Agencia Información,Turismo,Pernoctaciones,Turismo</v>
      </c>
      <c r="S1547"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https://analytics.zoho.com/open-view/2395394000009355924?ZOHO_CRITERIA=%22Consolidado_Estadisticas_Regionales_New%22.%22C%C3%B3digo%20regi%C3%B3n%22%3D8</v>
      </c>
      <c r="T1547" s="104" t="s">
        <v>1874</v>
      </c>
      <c r="U1547" s="46" t="s">
        <v>4441</v>
      </c>
      <c r="V1547" s="93" t="str">
        <f>+Agencia[[#This Row],[idcoleccion]]&amp;"-"&amp;Agencia[[#This Row],[id]]</f>
        <v>990-1536</v>
      </c>
      <c r="W1547" s="93">
        <f>+VLOOKUP(Agencia[[#This Row],[Filtro URL]],Estructura!$X$4:$Y$500,2,0)</f>
        <v>99200008</v>
      </c>
      <c r="X1547" s="93" t="str">
        <f>+VLOOKUP(Agencia[[#This Row],[tema]],Estructura!$A$4:$C$500,3,0)</f>
        <v>T-1060</v>
      </c>
      <c r="Y1547" s="93" t="str">
        <f>+VLOOKUP(Agencia[[#This Row],[contenido]],Estructura!$E$4:$G$500,3,0)</f>
        <v>C-1024</v>
      </c>
      <c r="Z1547" s="93" t="str">
        <f>+VLOOKUP(Agencia[[#This Row],[Filtro Integrado]],Estructura!$I$4:$K$500,3,0)</f>
        <v>FI-1006</v>
      </c>
      <c r="AA1547" s="93" t="str">
        <f>+VLOOKUP(Agencia[[#This Row],[Muestra]],Estructura!$M$4:$O$500,3,0)</f>
        <v>M-1017</v>
      </c>
    </row>
    <row r="1548" spans="1:27" ht="72" x14ac:dyDescent="0.3">
      <c r="A1548" s="21" t="s">
        <v>3438</v>
      </c>
      <c r="B1548" s="9">
        <v>990</v>
      </c>
      <c r="C1548" s="10" t="s">
        <v>400</v>
      </c>
      <c r="D1548" s="67" t="s">
        <v>3207</v>
      </c>
      <c r="E1548" s="19">
        <v>9</v>
      </c>
      <c r="F1548" s="10" t="s">
        <v>3208</v>
      </c>
      <c r="G1548" s="10" t="s">
        <v>3207</v>
      </c>
      <c r="H1548" s="33" t="s">
        <v>16</v>
      </c>
      <c r="I1548" s="34" t="s">
        <v>376</v>
      </c>
      <c r="J1548" s="60" t="s">
        <v>3180</v>
      </c>
      <c r="K1548" s="9" t="s">
        <v>3209</v>
      </c>
      <c r="L1548" s="9" t="s">
        <v>990</v>
      </c>
      <c r="M1548" s="9" t="s">
        <v>3210</v>
      </c>
      <c r="N1548" s="9" t="s">
        <v>1370</v>
      </c>
      <c r="O1548" s="9" t="s">
        <v>3297</v>
      </c>
      <c r="P1548" s="116" t="s">
        <v>6124</v>
      </c>
      <c r="Q1548" s="46" t="s">
        <v>784</v>
      </c>
      <c r="R1548" s="142" t="str">
        <f>Agencia[[#This Row],[territorio]]&amp;",evolucion,chile,número,pernoctaciones,mensual,"&amp;Agencia[[#This Row],[coleccion]]&amp;","&amp;Agencia[[#This Row],[sector]]&amp;","&amp;Agencia[[#This Row],[tema]]&amp;","&amp;Agencia[[#This Row],[contenido]]</f>
        <v>Región de La Araucanía,evolucion,chile,número,pernoctaciones,mensual,Agencia Información,Turismo,Pernoctaciones,Turismo</v>
      </c>
      <c r="S1548"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https://analytics.zoho.com/open-view/2395394000009355924?ZOHO_CRITERIA=%22Consolidado_Estadisticas_Regionales_New%22.%22C%C3%B3digo%20regi%C3%B3n%22%3D9</v>
      </c>
      <c r="T1548" s="104" t="s">
        <v>1865</v>
      </c>
      <c r="U1548" s="46" t="s">
        <v>4442</v>
      </c>
      <c r="V1548" s="93" t="str">
        <f>+Agencia[[#This Row],[idcoleccion]]&amp;"-"&amp;Agencia[[#This Row],[id]]</f>
        <v>990-1537</v>
      </c>
      <c r="W1548" s="93">
        <f>+VLOOKUP(Agencia[[#This Row],[Filtro URL]],Estructura!$X$4:$Y$500,2,0)</f>
        <v>99200009</v>
      </c>
      <c r="X1548" s="93" t="str">
        <f>+VLOOKUP(Agencia[[#This Row],[tema]],Estructura!$A$4:$C$500,3,0)</f>
        <v>T-1060</v>
      </c>
      <c r="Y1548" s="93" t="str">
        <f>+VLOOKUP(Agencia[[#This Row],[contenido]],Estructura!$E$4:$G$500,3,0)</f>
        <v>C-1024</v>
      </c>
      <c r="Z1548" s="93" t="str">
        <f>+VLOOKUP(Agencia[[#This Row],[Filtro Integrado]],Estructura!$I$4:$K$500,3,0)</f>
        <v>FI-1006</v>
      </c>
      <c r="AA1548" s="93" t="str">
        <f>+VLOOKUP(Agencia[[#This Row],[Muestra]],Estructura!$M$4:$O$500,3,0)</f>
        <v>M-1017</v>
      </c>
    </row>
    <row r="1549" spans="1:27" ht="72" x14ac:dyDescent="0.3">
      <c r="A1549" s="21" t="s">
        <v>3439</v>
      </c>
      <c r="B1549" s="9">
        <v>990</v>
      </c>
      <c r="C1549" s="10" t="s">
        <v>400</v>
      </c>
      <c r="D1549" s="67" t="s">
        <v>3207</v>
      </c>
      <c r="E1549" s="19">
        <v>10</v>
      </c>
      <c r="F1549" s="10" t="s">
        <v>3208</v>
      </c>
      <c r="G1549" s="10" t="s">
        <v>3207</v>
      </c>
      <c r="H1549" s="33" t="s">
        <v>16</v>
      </c>
      <c r="I1549" s="34" t="s">
        <v>377</v>
      </c>
      <c r="J1549" s="60" t="s">
        <v>3180</v>
      </c>
      <c r="K1549" s="9" t="s">
        <v>3209</v>
      </c>
      <c r="L1549" s="9" t="s">
        <v>990</v>
      </c>
      <c r="M1549" s="9" t="s">
        <v>3210</v>
      </c>
      <c r="N1549" s="9" t="s">
        <v>1370</v>
      </c>
      <c r="O1549" s="9" t="s">
        <v>3298</v>
      </c>
      <c r="P1549" s="116" t="s">
        <v>6125</v>
      </c>
      <c r="Q1549" s="46" t="s">
        <v>784</v>
      </c>
      <c r="R1549" s="142" t="str">
        <f>Agencia[[#This Row],[territorio]]&amp;",evolucion,chile,número,pernoctaciones,mensual,"&amp;Agencia[[#This Row],[coleccion]]&amp;","&amp;Agencia[[#This Row],[sector]]&amp;","&amp;Agencia[[#This Row],[tema]]&amp;","&amp;Agencia[[#This Row],[contenido]]</f>
        <v>Región de Los Lagos,evolucion,chile,número,pernoctaciones,mensual,Agencia Información,Turismo,Pernoctaciones,Turismo</v>
      </c>
      <c r="S1549"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https://analytics.zoho.com/open-view/2395394000009355924?ZOHO_CRITERIA=%22Consolidado_Estadisticas_Regionales_New%22.%22C%C3%B3digo%20regi%C3%B3n%22%3D10</v>
      </c>
      <c r="T1549" s="104" t="s">
        <v>1866</v>
      </c>
      <c r="U1549" s="46" t="s">
        <v>4443</v>
      </c>
      <c r="V1549" s="93" t="str">
        <f>+Agencia[[#This Row],[idcoleccion]]&amp;"-"&amp;Agencia[[#This Row],[id]]</f>
        <v>990-1538</v>
      </c>
      <c r="W1549" s="93">
        <f>+VLOOKUP(Agencia[[#This Row],[Filtro URL]],Estructura!$X$4:$Y$500,2,0)</f>
        <v>99200010</v>
      </c>
      <c r="X1549" s="93" t="str">
        <f>+VLOOKUP(Agencia[[#This Row],[tema]],Estructura!$A$4:$C$500,3,0)</f>
        <v>T-1060</v>
      </c>
      <c r="Y1549" s="93" t="str">
        <f>+VLOOKUP(Agencia[[#This Row],[contenido]],Estructura!$E$4:$G$500,3,0)</f>
        <v>C-1024</v>
      </c>
      <c r="Z1549" s="93" t="str">
        <f>+VLOOKUP(Agencia[[#This Row],[Filtro Integrado]],Estructura!$I$4:$K$500,3,0)</f>
        <v>FI-1006</v>
      </c>
      <c r="AA1549" s="93" t="str">
        <f>+VLOOKUP(Agencia[[#This Row],[Muestra]],Estructura!$M$4:$O$500,3,0)</f>
        <v>M-1017</v>
      </c>
    </row>
    <row r="1550" spans="1:27" ht="72" x14ac:dyDescent="0.3">
      <c r="A1550" s="21" t="s">
        <v>3440</v>
      </c>
      <c r="B1550" s="9">
        <v>990</v>
      </c>
      <c r="C1550" s="10" t="s">
        <v>400</v>
      </c>
      <c r="D1550" s="67" t="s">
        <v>3207</v>
      </c>
      <c r="E1550" s="19">
        <v>11</v>
      </c>
      <c r="F1550" s="10" t="s">
        <v>3208</v>
      </c>
      <c r="G1550" s="10" t="s">
        <v>3207</v>
      </c>
      <c r="H1550" s="33" t="s">
        <v>16</v>
      </c>
      <c r="I1550" s="34" t="s">
        <v>378</v>
      </c>
      <c r="J1550" s="60" t="s">
        <v>3180</v>
      </c>
      <c r="K1550" s="9" t="s">
        <v>3209</v>
      </c>
      <c r="L1550" s="9" t="s">
        <v>990</v>
      </c>
      <c r="M1550" s="9" t="s">
        <v>3210</v>
      </c>
      <c r="N1550" s="9" t="s">
        <v>1370</v>
      </c>
      <c r="O1550" s="9" t="s">
        <v>3299</v>
      </c>
      <c r="P1550" s="116" t="s">
        <v>6126</v>
      </c>
      <c r="Q1550" s="46" t="s">
        <v>784</v>
      </c>
      <c r="R1550" s="142" t="str">
        <f>Agencia[[#This Row],[territorio]]&amp;",evolucion,chile,número,pernoctaciones,mensual,"&amp;Agencia[[#This Row],[coleccion]]&amp;","&amp;Agencia[[#This Row],[sector]]&amp;","&amp;Agencia[[#This Row],[tema]]&amp;","&amp;Agencia[[#This Row],[contenido]]</f>
        <v>Región de Aysén,evolucion,chile,número,pernoctaciones,mensual,Agencia Información,Turismo,Pernoctaciones,Turismo</v>
      </c>
      <c r="S155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https://analytics.zoho.com/open-view/2395394000009355924?ZOHO_CRITERIA=%22Consolidado_Estadisticas_Regionales_New%22.%22C%C3%B3digo%20regi%C3%B3n%22%3D11</v>
      </c>
      <c r="T1550" s="104" t="s">
        <v>1863</v>
      </c>
      <c r="U1550" s="46" t="s">
        <v>4444</v>
      </c>
      <c r="V1550" s="93" t="str">
        <f>+Agencia[[#This Row],[idcoleccion]]&amp;"-"&amp;Agencia[[#This Row],[id]]</f>
        <v>990-1539</v>
      </c>
      <c r="W1550" s="93">
        <f>+VLOOKUP(Agencia[[#This Row],[Filtro URL]],Estructura!$X$4:$Y$500,2,0)</f>
        <v>99200011</v>
      </c>
      <c r="X1550" s="93" t="str">
        <f>+VLOOKUP(Agencia[[#This Row],[tema]],Estructura!$A$4:$C$500,3,0)</f>
        <v>T-1060</v>
      </c>
      <c r="Y1550" s="93" t="str">
        <f>+VLOOKUP(Agencia[[#This Row],[contenido]],Estructura!$E$4:$G$500,3,0)</f>
        <v>C-1024</v>
      </c>
      <c r="Z1550" s="93" t="str">
        <f>+VLOOKUP(Agencia[[#This Row],[Filtro Integrado]],Estructura!$I$4:$K$500,3,0)</f>
        <v>FI-1006</v>
      </c>
      <c r="AA1550" s="93" t="str">
        <f>+VLOOKUP(Agencia[[#This Row],[Muestra]],Estructura!$M$4:$O$500,3,0)</f>
        <v>M-1017</v>
      </c>
    </row>
    <row r="1551" spans="1:27" ht="72" x14ac:dyDescent="0.3">
      <c r="A1551" s="21" t="s">
        <v>3441</v>
      </c>
      <c r="B1551" s="9">
        <v>990</v>
      </c>
      <c r="C1551" s="10" t="s">
        <v>400</v>
      </c>
      <c r="D1551" s="67" t="s">
        <v>3207</v>
      </c>
      <c r="E1551" s="19">
        <v>12</v>
      </c>
      <c r="F1551" s="10" t="s">
        <v>3208</v>
      </c>
      <c r="G1551" s="10" t="s">
        <v>3207</v>
      </c>
      <c r="H1551" s="33" t="s">
        <v>16</v>
      </c>
      <c r="I1551" s="34" t="s">
        <v>379</v>
      </c>
      <c r="J1551" s="60" t="s">
        <v>3180</v>
      </c>
      <c r="K1551" s="9" t="s">
        <v>3209</v>
      </c>
      <c r="L1551" s="9" t="s">
        <v>990</v>
      </c>
      <c r="M1551" s="9" t="s">
        <v>3210</v>
      </c>
      <c r="N1551" s="9" t="s">
        <v>1370</v>
      </c>
      <c r="O1551" s="9" t="s">
        <v>3300</v>
      </c>
      <c r="P1551" s="116" t="s">
        <v>6127</v>
      </c>
      <c r="Q1551" s="46" t="s">
        <v>784</v>
      </c>
      <c r="R1551" s="142" t="str">
        <f>Agencia[[#This Row],[territorio]]&amp;",evolucion,chile,número,pernoctaciones,mensual,"&amp;Agencia[[#This Row],[coleccion]]&amp;","&amp;Agencia[[#This Row],[sector]]&amp;","&amp;Agencia[[#This Row],[tema]]&amp;","&amp;Agencia[[#This Row],[contenido]]</f>
        <v>Región de Magallanes,evolucion,chile,número,pernoctaciones,mensual,Agencia Información,Turismo,Pernoctaciones,Turismo</v>
      </c>
      <c r="S155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https://analytics.zoho.com/open-view/2395394000009355924?ZOHO_CRITERIA=%22Consolidado_Estadisticas_Regionales_New%22.%22C%C3%B3digo%20regi%C3%B3n%22%3D12</v>
      </c>
      <c r="T1551" s="104" t="s">
        <v>1868</v>
      </c>
      <c r="U1551" s="46" t="s">
        <v>4445</v>
      </c>
      <c r="V1551" s="93" t="str">
        <f>+Agencia[[#This Row],[idcoleccion]]&amp;"-"&amp;Agencia[[#This Row],[id]]</f>
        <v>990-1540</v>
      </c>
      <c r="W1551" s="93">
        <f>+VLOOKUP(Agencia[[#This Row],[Filtro URL]],Estructura!$X$4:$Y$500,2,0)</f>
        <v>99200012</v>
      </c>
      <c r="X1551" s="93" t="str">
        <f>+VLOOKUP(Agencia[[#This Row],[tema]],Estructura!$A$4:$C$500,3,0)</f>
        <v>T-1060</v>
      </c>
      <c r="Y1551" s="93" t="str">
        <f>+VLOOKUP(Agencia[[#This Row],[contenido]],Estructura!$E$4:$G$500,3,0)</f>
        <v>C-1024</v>
      </c>
      <c r="Z1551" s="93" t="str">
        <f>+VLOOKUP(Agencia[[#This Row],[Filtro Integrado]],Estructura!$I$4:$K$500,3,0)</f>
        <v>FI-1006</v>
      </c>
      <c r="AA1551" s="93" t="str">
        <f>+VLOOKUP(Agencia[[#This Row],[Muestra]],Estructura!$M$4:$O$500,3,0)</f>
        <v>M-1017</v>
      </c>
    </row>
    <row r="1552" spans="1:27" ht="72" x14ac:dyDescent="0.3">
      <c r="A1552" s="21" t="s">
        <v>3442</v>
      </c>
      <c r="B1552" s="9">
        <v>990</v>
      </c>
      <c r="C1552" s="10" t="s">
        <v>400</v>
      </c>
      <c r="D1552" s="67" t="s">
        <v>3207</v>
      </c>
      <c r="E1552" s="19">
        <v>13</v>
      </c>
      <c r="F1552" s="10" t="s">
        <v>3208</v>
      </c>
      <c r="G1552" s="10" t="s">
        <v>3207</v>
      </c>
      <c r="H1552" s="33" t="s">
        <v>16</v>
      </c>
      <c r="I1552" s="34" t="s">
        <v>380</v>
      </c>
      <c r="J1552" s="60" t="s">
        <v>3180</v>
      </c>
      <c r="K1552" s="9" t="s">
        <v>3209</v>
      </c>
      <c r="L1552" s="9" t="s">
        <v>990</v>
      </c>
      <c r="M1552" s="9" t="s">
        <v>3210</v>
      </c>
      <c r="N1552" s="9" t="s">
        <v>1370</v>
      </c>
      <c r="O1552" s="9" t="s">
        <v>3301</v>
      </c>
      <c r="P1552" s="116" t="s">
        <v>6128</v>
      </c>
      <c r="Q1552" s="46" t="s">
        <v>784</v>
      </c>
      <c r="R1552" s="142" t="str">
        <f>Agencia[[#This Row],[territorio]]&amp;",evolucion,chile,número,pernoctaciones,mensual,"&amp;Agencia[[#This Row],[coleccion]]&amp;","&amp;Agencia[[#This Row],[sector]]&amp;","&amp;Agencia[[#This Row],[tema]]&amp;","&amp;Agencia[[#This Row],[contenido]]</f>
        <v>Región Metropolitana,evolucion,chile,número,pernoctaciones,mensual,Agencia Información,Turismo,Pernoctaciones,Turismo</v>
      </c>
      <c r="S155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https://analytics.zoho.com/open-view/2395394000009355924?ZOHO_CRITERIA=%22Consolidado_Estadisticas_Regionales_New%22.%22C%C3%B3digo%20regi%C3%B3n%22%3D13</v>
      </c>
      <c r="T1552" s="104" t="s">
        <v>1875</v>
      </c>
      <c r="U1552" s="46" t="s">
        <v>4446</v>
      </c>
      <c r="V1552" s="93" t="str">
        <f>+Agencia[[#This Row],[idcoleccion]]&amp;"-"&amp;Agencia[[#This Row],[id]]</f>
        <v>990-1541</v>
      </c>
      <c r="W1552" s="93">
        <f>+VLOOKUP(Agencia[[#This Row],[Filtro URL]],Estructura!$X$4:$Y$500,2,0)</f>
        <v>99200013</v>
      </c>
      <c r="X1552" s="93" t="str">
        <f>+VLOOKUP(Agencia[[#This Row],[tema]],Estructura!$A$4:$C$500,3,0)</f>
        <v>T-1060</v>
      </c>
      <c r="Y1552" s="93" t="str">
        <f>+VLOOKUP(Agencia[[#This Row],[contenido]],Estructura!$E$4:$G$500,3,0)</f>
        <v>C-1024</v>
      </c>
      <c r="Z1552" s="93" t="str">
        <f>+VLOOKUP(Agencia[[#This Row],[Filtro Integrado]],Estructura!$I$4:$K$500,3,0)</f>
        <v>FI-1006</v>
      </c>
      <c r="AA1552" s="93" t="str">
        <f>+VLOOKUP(Agencia[[#This Row],[Muestra]],Estructura!$M$4:$O$500,3,0)</f>
        <v>M-1017</v>
      </c>
    </row>
    <row r="1553" spans="1:27" ht="72" x14ac:dyDescent="0.3">
      <c r="A1553" s="21" t="s">
        <v>3443</v>
      </c>
      <c r="B1553" s="9">
        <v>990</v>
      </c>
      <c r="C1553" s="10" t="s">
        <v>400</v>
      </c>
      <c r="D1553" s="67" t="s">
        <v>3207</v>
      </c>
      <c r="E1553" s="19">
        <v>14</v>
      </c>
      <c r="F1553" s="10" t="s">
        <v>3208</v>
      </c>
      <c r="G1553" s="10" t="s">
        <v>3207</v>
      </c>
      <c r="H1553" s="33" t="s">
        <v>16</v>
      </c>
      <c r="I1553" s="34" t="s">
        <v>381</v>
      </c>
      <c r="J1553" s="60" t="s">
        <v>3180</v>
      </c>
      <c r="K1553" s="9" t="s">
        <v>3209</v>
      </c>
      <c r="L1553" s="9" t="s">
        <v>990</v>
      </c>
      <c r="M1553" s="9" t="s">
        <v>3210</v>
      </c>
      <c r="N1553" s="9" t="s">
        <v>1370</v>
      </c>
      <c r="O1553" s="9" t="s">
        <v>3302</v>
      </c>
      <c r="P1553" s="116" t="s">
        <v>6129</v>
      </c>
      <c r="Q1553" s="46" t="s">
        <v>784</v>
      </c>
      <c r="R1553" s="142" t="str">
        <f>Agencia[[#This Row],[territorio]]&amp;",evolucion,chile,número,pernoctaciones,mensual,"&amp;Agencia[[#This Row],[coleccion]]&amp;","&amp;Agencia[[#This Row],[sector]]&amp;","&amp;Agencia[[#This Row],[tema]]&amp;","&amp;Agencia[[#This Row],[contenido]]</f>
        <v>Región de Los Ríos,evolucion,chile,número,pernoctaciones,mensual,Agencia Información,Turismo,Pernoctaciones,Turismo</v>
      </c>
      <c r="S155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https://analytics.zoho.com/open-view/2395394000009355924?ZOHO_CRITERIA=%22Consolidado_Estadisticas_Regionales_New%22.%22C%C3%B3digo%20regi%C3%B3n%22%3D14</v>
      </c>
      <c r="T1553" s="104" t="s">
        <v>1867</v>
      </c>
      <c r="U1553" s="46" t="s">
        <v>4447</v>
      </c>
      <c r="V1553" s="93" t="str">
        <f>+Agencia[[#This Row],[idcoleccion]]&amp;"-"&amp;Agencia[[#This Row],[id]]</f>
        <v>990-1542</v>
      </c>
      <c r="W1553" s="93">
        <f>+VLOOKUP(Agencia[[#This Row],[Filtro URL]],Estructura!$X$4:$Y$500,2,0)</f>
        <v>99200014</v>
      </c>
      <c r="X1553" s="93" t="str">
        <f>+VLOOKUP(Agencia[[#This Row],[tema]],Estructura!$A$4:$C$500,3,0)</f>
        <v>T-1060</v>
      </c>
      <c r="Y1553" s="93" t="str">
        <f>+VLOOKUP(Agencia[[#This Row],[contenido]],Estructura!$E$4:$G$500,3,0)</f>
        <v>C-1024</v>
      </c>
      <c r="Z1553" s="93" t="str">
        <f>+VLOOKUP(Agencia[[#This Row],[Filtro Integrado]],Estructura!$I$4:$K$500,3,0)</f>
        <v>FI-1006</v>
      </c>
      <c r="AA1553" s="93" t="str">
        <f>+VLOOKUP(Agencia[[#This Row],[Muestra]],Estructura!$M$4:$O$500,3,0)</f>
        <v>M-1017</v>
      </c>
    </row>
    <row r="1554" spans="1:27" ht="72" x14ac:dyDescent="0.3">
      <c r="A1554" s="21" t="s">
        <v>3444</v>
      </c>
      <c r="B1554" s="9">
        <v>990</v>
      </c>
      <c r="C1554" s="10" t="s">
        <v>400</v>
      </c>
      <c r="D1554" s="67" t="s">
        <v>3207</v>
      </c>
      <c r="E1554" s="19">
        <v>15</v>
      </c>
      <c r="F1554" s="10" t="s">
        <v>3208</v>
      </c>
      <c r="G1554" s="10" t="s">
        <v>3207</v>
      </c>
      <c r="H1554" s="33" t="s">
        <v>16</v>
      </c>
      <c r="I1554" s="34" t="s">
        <v>382</v>
      </c>
      <c r="J1554" s="60" t="s">
        <v>3180</v>
      </c>
      <c r="K1554" s="9" t="s">
        <v>3209</v>
      </c>
      <c r="L1554" s="9" t="s">
        <v>990</v>
      </c>
      <c r="M1554" s="9" t="s">
        <v>3210</v>
      </c>
      <c r="N1554" s="9" t="s">
        <v>1370</v>
      </c>
      <c r="O1554" s="9" t="s">
        <v>3303</v>
      </c>
      <c r="P1554" s="116" t="s">
        <v>6130</v>
      </c>
      <c r="Q1554" s="46" t="s">
        <v>784</v>
      </c>
      <c r="R1554" s="142" t="str">
        <f>Agencia[[#This Row],[territorio]]&amp;",evolucion,chile,número,pernoctaciones,mensual,"&amp;Agencia[[#This Row],[coleccion]]&amp;","&amp;Agencia[[#This Row],[sector]]&amp;","&amp;Agencia[[#This Row],[tema]]&amp;","&amp;Agencia[[#This Row],[contenido]]</f>
        <v>Región de Arica y Parinacota,evolucion,chile,número,pernoctaciones,mensual,Agencia Información,Turismo,Pernoctaciones,Turismo</v>
      </c>
      <c r="S155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https://analytics.zoho.com/open-view/2395394000009355924?ZOHO_CRITERIA=%22Consolidado_Estadisticas_Regionales_New%22.%22C%C3%B3digo%20regi%C3%B3n%22%3D15</v>
      </c>
      <c r="T1554" s="104" t="s">
        <v>1861</v>
      </c>
      <c r="U1554" s="46" t="s">
        <v>4448</v>
      </c>
      <c r="V1554" s="93" t="str">
        <f>+Agencia[[#This Row],[idcoleccion]]&amp;"-"&amp;Agencia[[#This Row],[id]]</f>
        <v>990-1543</v>
      </c>
      <c r="W1554" s="93">
        <f>+VLOOKUP(Agencia[[#This Row],[Filtro URL]],Estructura!$X$4:$Y$500,2,0)</f>
        <v>99200015</v>
      </c>
      <c r="X1554" s="93" t="str">
        <f>+VLOOKUP(Agencia[[#This Row],[tema]],Estructura!$A$4:$C$500,3,0)</f>
        <v>T-1060</v>
      </c>
      <c r="Y1554" s="93" t="str">
        <f>+VLOOKUP(Agencia[[#This Row],[contenido]],Estructura!$E$4:$G$500,3,0)</f>
        <v>C-1024</v>
      </c>
      <c r="Z1554" s="93" t="str">
        <f>+VLOOKUP(Agencia[[#This Row],[Filtro Integrado]],Estructura!$I$4:$K$500,3,0)</f>
        <v>FI-1006</v>
      </c>
      <c r="AA1554" s="93" t="str">
        <f>+VLOOKUP(Agencia[[#This Row],[Muestra]],Estructura!$M$4:$O$500,3,0)</f>
        <v>M-1017</v>
      </c>
    </row>
    <row r="1555" spans="1:27" ht="72" x14ac:dyDescent="0.3">
      <c r="A1555" s="21" t="s">
        <v>3445</v>
      </c>
      <c r="B1555" s="9">
        <v>990</v>
      </c>
      <c r="C1555" s="10" t="s">
        <v>400</v>
      </c>
      <c r="D1555" s="67" t="s">
        <v>3207</v>
      </c>
      <c r="E1555" s="19">
        <v>16</v>
      </c>
      <c r="F1555" s="10" t="s">
        <v>3208</v>
      </c>
      <c r="G1555" s="10" t="s">
        <v>3207</v>
      </c>
      <c r="H1555" s="33" t="s">
        <v>16</v>
      </c>
      <c r="I1555" s="34" t="s">
        <v>383</v>
      </c>
      <c r="J1555" s="60" t="s">
        <v>3180</v>
      </c>
      <c r="K1555" s="9" t="s">
        <v>3209</v>
      </c>
      <c r="L1555" s="9" t="s">
        <v>990</v>
      </c>
      <c r="M1555" s="9" t="s">
        <v>3210</v>
      </c>
      <c r="N1555" s="9" t="s">
        <v>1370</v>
      </c>
      <c r="O1555" s="9" t="s">
        <v>3304</v>
      </c>
      <c r="P1555" s="116" t="s">
        <v>6131</v>
      </c>
      <c r="Q1555" s="46" t="s">
        <v>784</v>
      </c>
      <c r="R1555" s="142" t="str">
        <f>Agencia[[#This Row],[territorio]]&amp;",evolucion,chile,número,pernoctaciones,mensual,"&amp;Agencia[[#This Row],[coleccion]]&amp;","&amp;Agencia[[#This Row],[sector]]&amp;","&amp;Agencia[[#This Row],[tema]]&amp;","&amp;Agencia[[#This Row],[contenido]]</f>
        <v>Región de Ñuble,evolucion,chile,número,pernoctaciones,mensual,Agencia Información,Turismo,Pernoctaciones,Turismo</v>
      </c>
      <c r="S155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https://analytics.zoho.com/open-view/2395394000009355924?ZOHO_CRITERIA=%22Consolidado_Estadisticas_Regionales_New%22.%22C%C3%B3digo%20regi%C3%B3n%22%3D16</v>
      </c>
      <c r="T1555" s="104" t="s">
        <v>1870</v>
      </c>
      <c r="U1555" s="46" t="s">
        <v>4449</v>
      </c>
      <c r="V1555" s="93" t="str">
        <f>+Agencia[[#This Row],[idcoleccion]]&amp;"-"&amp;Agencia[[#This Row],[id]]</f>
        <v>990-1544</v>
      </c>
      <c r="W1555" s="93">
        <f>+VLOOKUP(Agencia[[#This Row],[Filtro URL]],Estructura!$X$4:$Y$500,2,0)</f>
        <v>99200016</v>
      </c>
      <c r="X1555" s="93" t="str">
        <f>+VLOOKUP(Agencia[[#This Row],[tema]],Estructura!$A$4:$C$500,3,0)</f>
        <v>T-1060</v>
      </c>
      <c r="Y1555" s="93" t="str">
        <f>+VLOOKUP(Agencia[[#This Row],[contenido]],Estructura!$E$4:$G$500,3,0)</f>
        <v>C-1024</v>
      </c>
      <c r="Z1555" s="93" t="str">
        <f>+VLOOKUP(Agencia[[#This Row],[Filtro Integrado]],Estructura!$I$4:$K$500,3,0)</f>
        <v>FI-1006</v>
      </c>
      <c r="AA1555" s="93" t="str">
        <f>+VLOOKUP(Agencia[[#This Row],[Muestra]],Estructura!$M$4:$O$500,3,0)</f>
        <v>M-1017</v>
      </c>
    </row>
    <row r="1556" spans="1:27" ht="48" x14ac:dyDescent="0.3">
      <c r="A1556" s="21" t="s">
        <v>3446</v>
      </c>
      <c r="B1556" s="9">
        <v>990</v>
      </c>
      <c r="C1556" s="10" t="s">
        <v>400</v>
      </c>
      <c r="D1556" s="67" t="s">
        <v>3207</v>
      </c>
      <c r="E1556" s="14">
        <v>0</v>
      </c>
      <c r="F1556" s="10" t="s">
        <v>3213</v>
      </c>
      <c r="G1556" s="10" t="s">
        <v>3207</v>
      </c>
      <c r="H1556" s="31" t="s">
        <v>20</v>
      </c>
      <c r="I1556" s="32" t="s">
        <v>15</v>
      </c>
      <c r="J1556" s="60" t="s">
        <v>3194</v>
      </c>
      <c r="K1556" s="9" t="s">
        <v>3214</v>
      </c>
      <c r="L1556" s="9" t="s">
        <v>990</v>
      </c>
      <c r="M1556" s="9" t="s">
        <v>1464</v>
      </c>
      <c r="N1556" s="9" t="s">
        <v>1370</v>
      </c>
      <c r="O1556" s="9" t="s">
        <v>3215</v>
      </c>
      <c r="P1556" s="115" t="s">
        <v>6132</v>
      </c>
      <c r="Q1556" s="46" t="s">
        <v>784</v>
      </c>
      <c r="R1556" s="142" t="str">
        <f>Agencia[[#This Row],[territorio]]&amp;",nacional,evolución,precio,promedio,clp,habitación,ocupada,mensual,"&amp;Agencia[[#This Row],[coleccion]]&amp;","&amp;Agencia[[#This Row],[sector]]&amp;","&amp;Agencia[[#This Row],[tema]]&amp;","&amp;Agencia[[#This Row],[contenido]]</f>
        <v>Chile,nacional,evolución,precio,promedio,clp,habitación,ocupada,mensual,Agencia Información,Turismo,Habitaciones ocupadas,Turismo</v>
      </c>
      <c r="S1556" s="54" t="s">
        <v>5456</v>
      </c>
      <c r="T1556" s="104" t="s">
        <v>805</v>
      </c>
      <c r="U1556" s="46" t="s">
        <v>4450</v>
      </c>
      <c r="V1556" s="93" t="str">
        <f>+Agencia[[#This Row],[idcoleccion]]&amp;"-"&amp;Agencia[[#This Row],[id]]</f>
        <v>990-1545</v>
      </c>
      <c r="W1556" s="93">
        <f>+VLOOKUP(Agencia[[#This Row],[Filtro URL]],Estructura!$X$4:$Y$500,2,0)</f>
        <v>99100000</v>
      </c>
      <c r="X1556" s="93" t="str">
        <f>+VLOOKUP(Agencia[[#This Row],[tema]],Estructura!$A$4:$C$500,3,0)</f>
        <v>T-1061</v>
      </c>
      <c r="Y1556" s="93" t="str">
        <f>+VLOOKUP(Agencia[[#This Row],[contenido]],Estructura!$E$4:$G$500,3,0)</f>
        <v>C-1024</v>
      </c>
      <c r="Z1556" s="93" t="str">
        <f>+VLOOKUP(Agencia[[#This Row],[Filtro Integrado]],Estructura!$I$4:$K$500,3,0)</f>
        <v>FI-1007</v>
      </c>
      <c r="AA1556" s="93" t="str">
        <f>+VLOOKUP(Agencia[[#This Row],[Muestra]],Estructura!$M$4:$O$500,3,0)</f>
        <v>M-1018</v>
      </c>
    </row>
    <row r="1557" spans="1:27" ht="72" x14ac:dyDescent="0.3">
      <c r="A1557" s="21" t="s">
        <v>3447</v>
      </c>
      <c r="B1557" s="9">
        <v>990</v>
      </c>
      <c r="C1557" s="10" t="s">
        <v>400</v>
      </c>
      <c r="D1557" s="67" t="s">
        <v>3207</v>
      </c>
      <c r="E1557" s="19">
        <v>1</v>
      </c>
      <c r="F1557" s="10" t="s">
        <v>3213</v>
      </c>
      <c r="G1557" s="10" t="s">
        <v>3207</v>
      </c>
      <c r="H1557" s="33" t="s">
        <v>16</v>
      </c>
      <c r="I1557" s="34" t="s">
        <v>368</v>
      </c>
      <c r="J1557" s="60" t="s">
        <v>3180</v>
      </c>
      <c r="K1557" s="9" t="s">
        <v>3214</v>
      </c>
      <c r="L1557" s="9" t="s">
        <v>990</v>
      </c>
      <c r="M1557" s="9" t="s">
        <v>1464</v>
      </c>
      <c r="N1557" s="9" t="s">
        <v>1370</v>
      </c>
      <c r="O1557" s="9" t="s">
        <v>3305</v>
      </c>
      <c r="P1557" s="116" t="s">
        <v>6133</v>
      </c>
      <c r="Q1557" s="46" t="s">
        <v>784</v>
      </c>
      <c r="R1557" s="142" t="str">
        <f>Agencia[[#This Row],[territorio]]&amp;",evolución,precio,promedio,clp,habitación,ocupada,mensual,"&amp;Agencia[[#This Row],[coleccion]]&amp;","&amp;Agencia[[#This Row],[sector]]&amp;","&amp;Agencia[[#This Row],[tema]]&amp;","&amp;Agencia[[#This Row],[contenido]]</f>
        <v>Región de Tarapacá,evolución,precio,promedio,clp,habitación,ocupada,mensual,Agencia Información,Turismo,Habitaciones ocupadas,Turismo</v>
      </c>
      <c r="S155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v>
      </c>
      <c r="T1557" s="107" t="s">
        <v>1872</v>
      </c>
      <c r="U1557" s="46" t="s">
        <v>4451</v>
      </c>
      <c r="V1557" s="93" t="str">
        <f>+Agencia[[#This Row],[idcoleccion]]&amp;"-"&amp;Agencia[[#This Row],[id]]</f>
        <v>990-1546</v>
      </c>
      <c r="W1557" s="93">
        <f>+VLOOKUP(Agencia[[#This Row],[Filtro URL]],Estructura!$X$4:$Y$500,2,0)</f>
        <v>99200001</v>
      </c>
      <c r="X1557" s="93" t="str">
        <f>+VLOOKUP(Agencia[[#This Row],[tema]],Estructura!$A$4:$C$500,3,0)</f>
        <v>T-1061</v>
      </c>
      <c r="Y1557" s="93" t="str">
        <f>+VLOOKUP(Agencia[[#This Row],[contenido]],Estructura!$E$4:$G$500,3,0)</f>
        <v>C-1024</v>
      </c>
      <c r="Z1557" s="93" t="str">
        <f>+VLOOKUP(Agencia[[#This Row],[Filtro Integrado]],Estructura!$I$4:$K$500,3,0)</f>
        <v>FI-1006</v>
      </c>
      <c r="AA1557" s="93" t="str">
        <f>+VLOOKUP(Agencia[[#This Row],[Muestra]],Estructura!$M$4:$O$500,3,0)</f>
        <v>M-1018</v>
      </c>
    </row>
    <row r="1558" spans="1:27" ht="72" x14ac:dyDescent="0.3">
      <c r="A1558" s="21" t="s">
        <v>3448</v>
      </c>
      <c r="B1558" s="9">
        <v>990</v>
      </c>
      <c r="C1558" s="10" t="s">
        <v>400</v>
      </c>
      <c r="D1558" s="67" t="s">
        <v>3207</v>
      </c>
      <c r="E1558" s="19">
        <v>2</v>
      </c>
      <c r="F1558" s="10" t="s">
        <v>3213</v>
      </c>
      <c r="G1558" s="10" t="s">
        <v>3207</v>
      </c>
      <c r="H1558" s="33" t="s">
        <v>16</v>
      </c>
      <c r="I1558" s="34" t="s">
        <v>369</v>
      </c>
      <c r="J1558" s="60" t="s">
        <v>3180</v>
      </c>
      <c r="K1558" s="9" t="s">
        <v>3214</v>
      </c>
      <c r="L1558" s="9" t="s">
        <v>990</v>
      </c>
      <c r="M1558" s="9" t="s">
        <v>1464</v>
      </c>
      <c r="N1558" s="9" t="s">
        <v>1370</v>
      </c>
      <c r="O1558" s="9" t="s">
        <v>3306</v>
      </c>
      <c r="P1558" s="116" t="s">
        <v>6134</v>
      </c>
      <c r="Q1558" s="46" t="s">
        <v>784</v>
      </c>
      <c r="R1558" s="142" t="str">
        <f>Agencia[[#This Row],[territorio]]&amp;",evolución,precio,promedio,clp,habitación,ocupada,mensual,"&amp;Agencia[[#This Row],[coleccion]]&amp;","&amp;Agencia[[#This Row],[sector]]&amp;","&amp;Agencia[[#This Row],[tema]]&amp;","&amp;Agencia[[#This Row],[contenido]]</f>
        <v>Región de Antofagasta,evolución,precio,promedio,clp,habitación,ocupada,mensual,Agencia Información,Turismo,Habitaciones ocupadas,Turismo</v>
      </c>
      <c r="S155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https://analytics.zoho.com/open-view/2395394000009369252?ZOHO_CRITERIA=%22Consolidado_Estadisticas_Regionales_New%22.%22C%C3%B3digo%20regi%C3%B3n%22%3D2</v>
      </c>
      <c r="T1558" s="107" t="s">
        <v>1860</v>
      </c>
      <c r="U1558" s="46" t="s">
        <v>4452</v>
      </c>
      <c r="V1558" s="93" t="str">
        <f>+Agencia[[#This Row],[idcoleccion]]&amp;"-"&amp;Agencia[[#This Row],[id]]</f>
        <v>990-1547</v>
      </c>
      <c r="W1558" s="93">
        <f>+VLOOKUP(Agencia[[#This Row],[Filtro URL]],Estructura!$X$4:$Y$500,2,0)</f>
        <v>99200002</v>
      </c>
      <c r="X1558" s="93" t="str">
        <f>+VLOOKUP(Agencia[[#This Row],[tema]],Estructura!$A$4:$C$500,3,0)</f>
        <v>T-1061</v>
      </c>
      <c r="Y1558" s="93" t="str">
        <f>+VLOOKUP(Agencia[[#This Row],[contenido]],Estructura!$E$4:$G$500,3,0)</f>
        <v>C-1024</v>
      </c>
      <c r="Z1558" s="93" t="str">
        <f>+VLOOKUP(Agencia[[#This Row],[Filtro Integrado]],Estructura!$I$4:$K$500,3,0)</f>
        <v>FI-1006</v>
      </c>
      <c r="AA1558" s="93" t="str">
        <f>+VLOOKUP(Agencia[[#This Row],[Muestra]],Estructura!$M$4:$O$500,3,0)</f>
        <v>M-1018</v>
      </c>
    </row>
    <row r="1559" spans="1:27" ht="72" x14ac:dyDescent="0.3">
      <c r="A1559" s="21" t="s">
        <v>3449</v>
      </c>
      <c r="B1559" s="9">
        <v>990</v>
      </c>
      <c r="C1559" s="10" t="s">
        <v>400</v>
      </c>
      <c r="D1559" s="67" t="s">
        <v>3207</v>
      </c>
      <c r="E1559" s="19">
        <v>3</v>
      </c>
      <c r="F1559" s="10" t="s">
        <v>3213</v>
      </c>
      <c r="G1559" s="10" t="s">
        <v>3207</v>
      </c>
      <c r="H1559" s="33" t="s">
        <v>16</v>
      </c>
      <c r="I1559" s="34" t="s">
        <v>370</v>
      </c>
      <c r="J1559" s="60" t="s">
        <v>3180</v>
      </c>
      <c r="K1559" s="9" t="s">
        <v>3214</v>
      </c>
      <c r="L1559" s="9" t="s">
        <v>990</v>
      </c>
      <c r="M1559" s="9" t="s">
        <v>1464</v>
      </c>
      <c r="N1559" s="9" t="s">
        <v>1370</v>
      </c>
      <c r="O1559" s="9" t="s">
        <v>3307</v>
      </c>
      <c r="P1559" s="116" t="s">
        <v>6135</v>
      </c>
      <c r="Q1559" s="46" t="s">
        <v>784</v>
      </c>
      <c r="R1559" s="142" t="str">
        <f>Agencia[[#This Row],[territorio]]&amp;",evolución,precio,promedio,clp,habitación,ocupada,mensual,"&amp;Agencia[[#This Row],[coleccion]]&amp;","&amp;Agencia[[#This Row],[sector]]&amp;","&amp;Agencia[[#This Row],[tema]]&amp;","&amp;Agencia[[#This Row],[contenido]]</f>
        <v>Región de Atacama,evolución,precio,promedio,clp,habitación,ocupada,mensual,Agencia Información,Turismo,Habitaciones ocupadas,Turismo</v>
      </c>
      <c r="S155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https://analytics.zoho.com/open-view/2395394000009369252?ZOHO_CRITERIA=%22Consolidado_Estadisticas_Regionales_New%22.%22C%C3%B3digo%20regi%C3%B3n%22%3D3</v>
      </c>
      <c r="T1559" s="107" t="s">
        <v>1862</v>
      </c>
      <c r="U1559" s="46" t="s">
        <v>4453</v>
      </c>
      <c r="V1559" s="93" t="str">
        <f>+Agencia[[#This Row],[idcoleccion]]&amp;"-"&amp;Agencia[[#This Row],[id]]</f>
        <v>990-1548</v>
      </c>
      <c r="W1559" s="93">
        <f>+VLOOKUP(Agencia[[#This Row],[Filtro URL]],Estructura!$X$4:$Y$500,2,0)</f>
        <v>99200003</v>
      </c>
      <c r="X1559" s="93" t="str">
        <f>+VLOOKUP(Agencia[[#This Row],[tema]],Estructura!$A$4:$C$500,3,0)</f>
        <v>T-1061</v>
      </c>
      <c r="Y1559" s="93" t="str">
        <f>+VLOOKUP(Agencia[[#This Row],[contenido]],Estructura!$E$4:$G$500,3,0)</f>
        <v>C-1024</v>
      </c>
      <c r="Z1559" s="93" t="str">
        <f>+VLOOKUP(Agencia[[#This Row],[Filtro Integrado]],Estructura!$I$4:$K$500,3,0)</f>
        <v>FI-1006</v>
      </c>
      <c r="AA1559" s="93" t="str">
        <f>+VLOOKUP(Agencia[[#This Row],[Muestra]],Estructura!$M$4:$O$500,3,0)</f>
        <v>M-1018</v>
      </c>
    </row>
    <row r="1560" spans="1:27" ht="72" x14ac:dyDescent="0.3">
      <c r="A1560" s="21" t="s">
        <v>3450</v>
      </c>
      <c r="B1560" s="9">
        <v>990</v>
      </c>
      <c r="C1560" s="10" t="s">
        <v>400</v>
      </c>
      <c r="D1560" s="67" t="s">
        <v>3207</v>
      </c>
      <c r="E1560" s="19">
        <v>4</v>
      </c>
      <c r="F1560" s="10" t="s">
        <v>3213</v>
      </c>
      <c r="G1560" s="10" t="s">
        <v>3207</v>
      </c>
      <c r="H1560" s="33" t="s">
        <v>16</v>
      </c>
      <c r="I1560" s="34" t="s">
        <v>371</v>
      </c>
      <c r="J1560" s="60" t="s">
        <v>3180</v>
      </c>
      <c r="K1560" s="9" t="s">
        <v>3214</v>
      </c>
      <c r="L1560" s="9" t="s">
        <v>990</v>
      </c>
      <c r="M1560" s="9" t="s">
        <v>1464</v>
      </c>
      <c r="N1560" s="9" t="s">
        <v>1370</v>
      </c>
      <c r="O1560" s="9" t="s">
        <v>3308</v>
      </c>
      <c r="P1560" s="116" t="s">
        <v>6136</v>
      </c>
      <c r="Q1560" s="46" t="s">
        <v>784</v>
      </c>
      <c r="R1560" s="142" t="str">
        <f>Agencia[[#This Row],[territorio]]&amp;",evolución,precio,promedio,clp,habitación,ocupada,mensual,"&amp;Agencia[[#This Row],[coleccion]]&amp;","&amp;Agencia[[#This Row],[sector]]&amp;","&amp;Agencia[[#This Row],[tema]]&amp;","&amp;Agencia[[#This Row],[contenido]]</f>
        <v>Región de Coquimbo,evolución,precio,promedio,clp,habitación,ocupada,mensual,Agencia Información,Turismo,Habitaciones ocupadas,Turismo</v>
      </c>
      <c r="S156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https://analytics.zoho.com/open-view/2395394000009369252?ZOHO_CRITERIA=%22Consolidado_Estadisticas_Regionales_New%22.%22C%C3%B3digo%20regi%C3%B3n%22%3D4</v>
      </c>
      <c r="T1560" s="107" t="s">
        <v>1864</v>
      </c>
      <c r="U1560" s="46" t="s">
        <v>4454</v>
      </c>
      <c r="V1560" s="93" t="str">
        <f>+Agencia[[#This Row],[idcoleccion]]&amp;"-"&amp;Agencia[[#This Row],[id]]</f>
        <v>990-1549</v>
      </c>
      <c r="W1560" s="93">
        <f>+VLOOKUP(Agencia[[#This Row],[Filtro URL]],Estructura!$X$4:$Y$500,2,0)</f>
        <v>99200004</v>
      </c>
      <c r="X1560" s="93" t="str">
        <f>+VLOOKUP(Agencia[[#This Row],[tema]],Estructura!$A$4:$C$500,3,0)</f>
        <v>T-1061</v>
      </c>
      <c r="Y1560" s="93" t="str">
        <f>+VLOOKUP(Agencia[[#This Row],[contenido]],Estructura!$E$4:$G$500,3,0)</f>
        <v>C-1024</v>
      </c>
      <c r="Z1560" s="93" t="str">
        <f>+VLOOKUP(Agencia[[#This Row],[Filtro Integrado]],Estructura!$I$4:$K$500,3,0)</f>
        <v>FI-1006</v>
      </c>
      <c r="AA1560" s="93" t="str">
        <f>+VLOOKUP(Agencia[[#This Row],[Muestra]],Estructura!$M$4:$O$500,3,0)</f>
        <v>M-1018</v>
      </c>
    </row>
    <row r="1561" spans="1:27" ht="72" x14ac:dyDescent="0.3">
      <c r="A1561" s="21" t="s">
        <v>3451</v>
      </c>
      <c r="B1561" s="9">
        <v>990</v>
      </c>
      <c r="C1561" s="10" t="s">
        <v>400</v>
      </c>
      <c r="D1561" s="67" t="s">
        <v>3207</v>
      </c>
      <c r="E1561" s="19">
        <v>5</v>
      </c>
      <c r="F1561" s="10" t="s">
        <v>3213</v>
      </c>
      <c r="G1561" s="10" t="s">
        <v>3207</v>
      </c>
      <c r="H1561" s="33" t="s">
        <v>16</v>
      </c>
      <c r="I1561" s="34" t="s">
        <v>372</v>
      </c>
      <c r="J1561" s="60" t="s">
        <v>3180</v>
      </c>
      <c r="K1561" s="9" t="s">
        <v>3214</v>
      </c>
      <c r="L1561" s="9" t="s">
        <v>990</v>
      </c>
      <c r="M1561" s="9" t="s">
        <v>1464</v>
      </c>
      <c r="N1561" s="9" t="s">
        <v>1370</v>
      </c>
      <c r="O1561" s="9" t="s">
        <v>3309</v>
      </c>
      <c r="P1561" s="116" t="s">
        <v>6137</v>
      </c>
      <c r="Q1561" s="46" t="s">
        <v>784</v>
      </c>
      <c r="R1561" s="142" t="str">
        <f>Agencia[[#This Row],[territorio]]&amp;",evolución,precio,promedio,clp,habitación,ocupada,mensual,"&amp;Agencia[[#This Row],[coleccion]]&amp;","&amp;Agencia[[#This Row],[sector]]&amp;","&amp;Agencia[[#This Row],[tema]]&amp;","&amp;Agencia[[#This Row],[contenido]]</f>
        <v>Región de Valparaíso,evolución,precio,promedio,clp,habitación,ocupada,mensual,Agencia Información,Turismo,Habitaciones ocupadas,Turismo</v>
      </c>
      <c r="S156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https://analytics.zoho.com/open-view/2395394000009369252?ZOHO_CRITERIA=%22Consolidado_Estadisticas_Regionales_New%22.%22C%C3%B3digo%20regi%C3%B3n%22%3D5</v>
      </c>
      <c r="T1561" s="107" t="s">
        <v>1873</v>
      </c>
      <c r="U1561" s="46" t="s">
        <v>4455</v>
      </c>
      <c r="V1561" s="93" t="str">
        <f>+Agencia[[#This Row],[idcoleccion]]&amp;"-"&amp;Agencia[[#This Row],[id]]</f>
        <v>990-1550</v>
      </c>
      <c r="W1561" s="93">
        <f>+VLOOKUP(Agencia[[#This Row],[Filtro URL]],Estructura!$X$4:$Y$500,2,0)</f>
        <v>99200005</v>
      </c>
      <c r="X1561" s="93" t="str">
        <f>+VLOOKUP(Agencia[[#This Row],[tema]],Estructura!$A$4:$C$500,3,0)</f>
        <v>T-1061</v>
      </c>
      <c r="Y1561" s="93" t="str">
        <f>+VLOOKUP(Agencia[[#This Row],[contenido]],Estructura!$E$4:$G$500,3,0)</f>
        <v>C-1024</v>
      </c>
      <c r="Z1561" s="93" t="str">
        <f>+VLOOKUP(Agencia[[#This Row],[Filtro Integrado]],Estructura!$I$4:$K$500,3,0)</f>
        <v>FI-1006</v>
      </c>
      <c r="AA1561" s="93" t="str">
        <f>+VLOOKUP(Agencia[[#This Row],[Muestra]],Estructura!$M$4:$O$500,3,0)</f>
        <v>M-1018</v>
      </c>
    </row>
    <row r="1562" spans="1:27" ht="72" x14ac:dyDescent="0.3">
      <c r="A1562" s="21" t="s">
        <v>3452</v>
      </c>
      <c r="B1562" s="9">
        <v>990</v>
      </c>
      <c r="C1562" s="10" t="s">
        <v>400</v>
      </c>
      <c r="D1562" s="67" t="s">
        <v>3207</v>
      </c>
      <c r="E1562" s="19">
        <v>6</v>
      </c>
      <c r="F1562" s="10" t="s">
        <v>3213</v>
      </c>
      <c r="G1562" s="10" t="s">
        <v>3207</v>
      </c>
      <c r="H1562" s="33" t="s">
        <v>16</v>
      </c>
      <c r="I1562" s="34" t="s">
        <v>373</v>
      </c>
      <c r="J1562" s="60" t="s">
        <v>3180</v>
      </c>
      <c r="K1562" s="9" t="s">
        <v>3214</v>
      </c>
      <c r="L1562" s="9" t="s">
        <v>990</v>
      </c>
      <c r="M1562" s="9" t="s">
        <v>1464</v>
      </c>
      <c r="N1562" s="9" t="s">
        <v>1370</v>
      </c>
      <c r="O1562" s="9" t="s">
        <v>3310</v>
      </c>
      <c r="P1562" s="116" t="s">
        <v>6138</v>
      </c>
      <c r="Q1562" s="46" t="s">
        <v>784</v>
      </c>
      <c r="R1562" s="142" t="str">
        <f>Agencia[[#This Row],[territorio]]&amp;",evolución,precio,promedio,clp,habitación,ocupada,mensual,"&amp;Agencia[[#This Row],[coleccion]]&amp;","&amp;Agencia[[#This Row],[sector]]&amp;","&amp;Agencia[[#This Row],[tema]]&amp;","&amp;Agencia[[#This Row],[contenido]]</f>
        <v>Región de O'Higgins,evolución,precio,promedio,clp,habitación,ocupada,mensual,Agencia Información,Turismo,Habitaciones ocupadas,Turismo</v>
      </c>
      <c r="S156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https://analytics.zoho.com/open-view/2395394000009369252?ZOHO_CRITERIA=%22Consolidado_Estadisticas_Regionales_New%22.%22C%C3%B3digo%20regi%C3%B3n%22%3D6</v>
      </c>
      <c r="T1562" s="107" t="s">
        <v>1871</v>
      </c>
      <c r="U1562" s="46" t="s">
        <v>4456</v>
      </c>
      <c r="V1562" s="93" t="str">
        <f>+Agencia[[#This Row],[idcoleccion]]&amp;"-"&amp;Agencia[[#This Row],[id]]</f>
        <v>990-1551</v>
      </c>
      <c r="W1562" s="93">
        <f>+VLOOKUP(Agencia[[#This Row],[Filtro URL]],Estructura!$X$4:$Y$500,2,0)</f>
        <v>99200006</v>
      </c>
      <c r="X1562" s="93" t="str">
        <f>+VLOOKUP(Agencia[[#This Row],[tema]],Estructura!$A$4:$C$500,3,0)</f>
        <v>T-1061</v>
      </c>
      <c r="Y1562" s="93" t="str">
        <f>+VLOOKUP(Agencia[[#This Row],[contenido]],Estructura!$E$4:$G$500,3,0)</f>
        <v>C-1024</v>
      </c>
      <c r="Z1562" s="93" t="str">
        <f>+VLOOKUP(Agencia[[#This Row],[Filtro Integrado]],Estructura!$I$4:$K$500,3,0)</f>
        <v>FI-1006</v>
      </c>
      <c r="AA1562" s="93" t="str">
        <f>+VLOOKUP(Agencia[[#This Row],[Muestra]],Estructura!$M$4:$O$500,3,0)</f>
        <v>M-1018</v>
      </c>
    </row>
    <row r="1563" spans="1:27" ht="72" x14ac:dyDescent="0.3">
      <c r="A1563" s="21" t="s">
        <v>3453</v>
      </c>
      <c r="B1563" s="9">
        <v>990</v>
      </c>
      <c r="C1563" s="10" t="s">
        <v>400</v>
      </c>
      <c r="D1563" s="67" t="s">
        <v>3207</v>
      </c>
      <c r="E1563" s="19">
        <v>7</v>
      </c>
      <c r="F1563" s="10" t="s">
        <v>3213</v>
      </c>
      <c r="G1563" s="10" t="s">
        <v>3207</v>
      </c>
      <c r="H1563" s="33" t="s">
        <v>16</v>
      </c>
      <c r="I1563" s="34" t="s">
        <v>374</v>
      </c>
      <c r="J1563" s="60" t="s">
        <v>3180</v>
      </c>
      <c r="K1563" s="9" t="s">
        <v>3214</v>
      </c>
      <c r="L1563" s="9" t="s">
        <v>990</v>
      </c>
      <c r="M1563" s="9" t="s">
        <v>1464</v>
      </c>
      <c r="N1563" s="9" t="s">
        <v>1370</v>
      </c>
      <c r="O1563" s="9" t="s">
        <v>3311</v>
      </c>
      <c r="P1563" s="116" t="s">
        <v>6139</v>
      </c>
      <c r="Q1563" s="46" t="s">
        <v>784</v>
      </c>
      <c r="R1563" s="142" t="str">
        <f>Agencia[[#This Row],[territorio]]&amp;",evolución,precio,promedio,clp,habitación,ocupada,mensual,"&amp;Agencia[[#This Row],[coleccion]]&amp;","&amp;Agencia[[#This Row],[sector]]&amp;","&amp;Agencia[[#This Row],[tema]]&amp;","&amp;Agencia[[#This Row],[contenido]]</f>
        <v>Región de Maule,evolución,precio,promedio,clp,habitación,ocupada,mensual,Agencia Información,Turismo,Habitaciones ocupadas,Turismo</v>
      </c>
      <c r="S1563"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https://analytics.zoho.com/open-view/2395394000009369252?ZOHO_CRITERIA=%22Consolidado_Estadisticas_Regionales_New%22.%22C%C3%B3digo%20regi%C3%B3n%22%3D7</v>
      </c>
      <c r="T1563" s="107" t="s">
        <v>1869</v>
      </c>
      <c r="U1563" s="46" t="s">
        <v>4457</v>
      </c>
      <c r="V1563" s="93" t="str">
        <f>+Agencia[[#This Row],[idcoleccion]]&amp;"-"&amp;Agencia[[#This Row],[id]]</f>
        <v>990-1552</v>
      </c>
      <c r="W1563" s="93">
        <f>+VLOOKUP(Agencia[[#This Row],[Filtro URL]],Estructura!$X$4:$Y$500,2,0)</f>
        <v>99200007</v>
      </c>
      <c r="X1563" s="93" t="str">
        <f>+VLOOKUP(Agencia[[#This Row],[tema]],Estructura!$A$4:$C$500,3,0)</f>
        <v>T-1061</v>
      </c>
      <c r="Y1563" s="93" t="str">
        <f>+VLOOKUP(Agencia[[#This Row],[contenido]],Estructura!$E$4:$G$500,3,0)</f>
        <v>C-1024</v>
      </c>
      <c r="Z1563" s="93" t="str">
        <f>+VLOOKUP(Agencia[[#This Row],[Filtro Integrado]],Estructura!$I$4:$K$500,3,0)</f>
        <v>FI-1006</v>
      </c>
      <c r="AA1563" s="93" t="str">
        <f>+VLOOKUP(Agencia[[#This Row],[Muestra]],Estructura!$M$4:$O$500,3,0)</f>
        <v>M-1018</v>
      </c>
    </row>
    <row r="1564" spans="1:27" ht="72" x14ac:dyDescent="0.3">
      <c r="A1564" s="21" t="s">
        <v>3454</v>
      </c>
      <c r="B1564" s="9">
        <v>990</v>
      </c>
      <c r="C1564" s="10" t="s">
        <v>400</v>
      </c>
      <c r="D1564" s="67" t="s">
        <v>3207</v>
      </c>
      <c r="E1564" s="19">
        <v>8</v>
      </c>
      <c r="F1564" s="10" t="s">
        <v>3213</v>
      </c>
      <c r="G1564" s="10" t="s">
        <v>3207</v>
      </c>
      <c r="H1564" s="33" t="s">
        <v>16</v>
      </c>
      <c r="I1564" s="34" t="s">
        <v>375</v>
      </c>
      <c r="J1564" s="60" t="s">
        <v>3180</v>
      </c>
      <c r="K1564" s="9" t="s">
        <v>3214</v>
      </c>
      <c r="L1564" s="9" t="s">
        <v>990</v>
      </c>
      <c r="M1564" s="9" t="s">
        <v>1464</v>
      </c>
      <c r="N1564" s="9" t="s">
        <v>1370</v>
      </c>
      <c r="O1564" s="9" t="s">
        <v>3312</v>
      </c>
      <c r="P1564" s="116" t="s">
        <v>6140</v>
      </c>
      <c r="Q1564" s="46" t="s">
        <v>784</v>
      </c>
      <c r="R1564" s="142" t="str">
        <f>Agencia[[#This Row],[territorio]]&amp;",evolución,precio,promedio,clp,habitación,ocupada,mensual,"&amp;Agencia[[#This Row],[coleccion]]&amp;","&amp;Agencia[[#This Row],[sector]]&amp;","&amp;Agencia[[#This Row],[tema]]&amp;","&amp;Agencia[[#This Row],[contenido]]</f>
        <v>Región del Biobío,evolución,precio,promedio,clp,habitación,ocupada,mensual,Agencia Información,Turismo,Habitaciones ocupadas,Turismo</v>
      </c>
      <c r="S1564"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https://analytics.zoho.com/open-view/2395394000009369252?ZOHO_CRITERIA=%22Consolidado_Estadisticas_Regionales_New%22.%22C%C3%B3digo%20regi%C3%B3n%22%3D8</v>
      </c>
      <c r="T1564" s="107" t="s">
        <v>1874</v>
      </c>
      <c r="U1564" s="46" t="s">
        <v>4458</v>
      </c>
      <c r="V1564" s="93" t="str">
        <f>+Agencia[[#This Row],[idcoleccion]]&amp;"-"&amp;Agencia[[#This Row],[id]]</f>
        <v>990-1553</v>
      </c>
      <c r="W1564" s="93">
        <f>+VLOOKUP(Agencia[[#This Row],[Filtro URL]],Estructura!$X$4:$Y$500,2,0)</f>
        <v>99200008</v>
      </c>
      <c r="X1564" s="93" t="str">
        <f>+VLOOKUP(Agencia[[#This Row],[tema]],Estructura!$A$4:$C$500,3,0)</f>
        <v>T-1061</v>
      </c>
      <c r="Y1564" s="93" t="str">
        <f>+VLOOKUP(Agencia[[#This Row],[contenido]],Estructura!$E$4:$G$500,3,0)</f>
        <v>C-1024</v>
      </c>
      <c r="Z1564" s="93" t="str">
        <f>+VLOOKUP(Agencia[[#This Row],[Filtro Integrado]],Estructura!$I$4:$K$500,3,0)</f>
        <v>FI-1006</v>
      </c>
      <c r="AA1564" s="93" t="str">
        <f>+VLOOKUP(Agencia[[#This Row],[Muestra]],Estructura!$M$4:$O$500,3,0)</f>
        <v>M-1018</v>
      </c>
    </row>
    <row r="1565" spans="1:27" ht="72" x14ac:dyDescent="0.3">
      <c r="A1565" s="21" t="s">
        <v>3455</v>
      </c>
      <c r="B1565" s="9">
        <v>990</v>
      </c>
      <c r="C1565" s="10" t="s">
        <v>400</v>
      </c>
      <c r="D1565" s="67" t="s">
        <v>3207</v>
      </c>
      <c r="E1565" s="19">
        <v>9</v>
      </c>
      <c r="F1565" s="10" t="s">
        <v>3213</v>
      </c>
      <c r="G1565" s="10" t="s">
        <v>3207</v>
      </c>
      <c r="H1565" s="33" t="s">
        <v>16</v>
      </c>
      <c r="I1565" s="34" t="s">
        <v>376</v>
      </c>
      <c r="J1565" s="60" t="s">
        <v>3180</v>
      </c>
      <c r="K1565" s="9" t="s">
        <v>3214</v>
      </c>
      <c r="L1565" s="9" t="s">
        <v>990</v>
      </c>
      <c r="M1565" s="9" t="s">
        <v>1464</v>
      </c>
      <c r="N1565" s="9" t="s">
        <v>1370</v>
      </c>
      <c r="O1565" s="9" t="s">
        <v>3313</v>
      </c>
      <c r="P1565" s="116" t="s">
        <v>6141</v>
      </c>
      <c r="Q1565" s="46" t="s">
        <v>784</v>
      </c>
      <c r="R1565" s="142" t="str">
        <f>Agencia[[#This Row],[territorio]]&amp;",evolución,precio,promedio,clp,habitación,ocupada,mensual,"&amp;Agencia[[#This Row],[coleccion]]&amp;","&amp;Agencia[[#This Row],[sector]]&amp;","&amp;Agencia[[#This Row],[tema]]&amp;","&amp;Agencia[[#This Row],[contenido]]</f>
        <v>Región de La Araucanía,evolución,precio,promedio,clp,habitación,ocupada,mensual,Agencia Información,Turismo,Habitaciones ocupadas,Turismo</v>
      </c>
      <c r="S1565"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https://analytics.zoho.com/open-view/2395394000009369252?ZOHO_CRITERIA=%22Consolidado_Estadisticas_Regionales_New%22.%22C%C3%B3digo%20regi%C3%B3n%22%3D9</v>
      </c>
      <c r="T1565" s="107" t="s">
        <v>1865</v>
      </c>
      <c r="U1565" s="46" t="s">
        <v>4459</v>
      </c>
      <c r="V1565" s="93" t="str">
        <f>+Agencia[[#This Row],[idcoleccion]]&amp;"-"&amp;Agencia[[#This Row],[id]]</f>
        <v>990-1554</v>
      </c>
      <c r="W1565" s="93">
        <f>+VLOOKUP(Agencia[[#This Row],[Filtro URL]],Estructura!$X$4:$Y$500,2,0)</f>
        <v>99200009</v>
      </c>
      <c r="X1565" s="93" t="str">
        <f>+VLOOKUP(Agencia[[#This Row],[tema]],Estructura!$A$4:$C$500,3,0)</f>
        <v>T-1061</v>
      </c>
      <c r="Y1565" s="93" t="str">
        <f>+VLOOKUP(Agencia[[#This Row],[contenido]],Estructura!$E$4:$G$500,3,0)</f>
        <v>C-1024</v>
      </c>
      <c r="Z1565" s="93" t="str">
        <f>+VLOOKUP(Agencia[[#This Row],[Filtro Integrado]],Estructura!$I$4:$K$500,3,0)</f>
        <v>FI-1006</v>
      </c>
      <c r="AA1565" s="93" t="str">
        <f>+VLOOKUP(Agencia[[#This Row],[Muestra]],Estructura!$M$4:$O$500,3,0)</f>
        <v>M-1018</v>
      </c>
    </row>
    <row r="1566" spans="1:27" ht="72" x14ac:dyDescent="0.3">
      <c r="A1566" s="21" t="s">
        <v>3456</v>
      </c>
      <c r="B1566" s="9">
        <v>990</v>
      </c>
      <c r="C1566" s="10" t="s">
        <v>400</v>
      </c>
      <c r="D1566" s="67" t="s">
        <v>3207</v>
      </c>
      <c r="E1566" s="19">
        <v>10</v>
      </c>
      <c r="F1566" s="10" t="s">
        <v>3213</v>
      </c>
      <c r="G1566" s="10" t="s">
        <v>3207</v>
      </c>
      <c r="H1566" s="33" t="s">
        <v>16</v>
      </c>
      <c r="I1566" s="34" t="s">
        <v>377</v>
      </c>
      <c r="J1566" s="60" t="s">
        <v>3180</v>
      </c>
      <c r="K1566" s="9" t="s">
        <v>3214</v>
      </c>
      <c r="L1566" s="9" t="s">
        <v>990</v>
      </c>
      <c r="M1566" s="9" t="s">
        <v>1464</v>
      </c>
      <c r="N1566" s="9" t="s">
        <v>1370</v>
      </c>
      <c r="O1566" s="9" t="s">
        <v>3314</v>
      </c>
      <c r="P1566" s="116" t="s">
        <v>6142</v>
      </c>
      <c r="Q1566" s="46" t="s">
        <v>784</v>
      </c>
      <c r="R1566" s="142" t="str">
        <f>Agencia[[#This Row],[territorio]]&amp;",evolución,precio,promedio,clp,habitación,ocupada,mensual,"&amp;Agencia[[#This Row],[coleccion]]&amp;","&amp;Agencia[[#This Row],[sector]]&amp;","&amp;Agencia[[#This Row],[tema]]&amp;","&amp;Agencia[[#This Row],[contenido]]</f>
        <v>Región de Los Lagos,evolución,precio,promedio,clp,habitación,ocupada,mensual,Agencia Información,Turismo,Habitaciones ocupadas,Turismo</v>
      </c>
      <c r="S1566"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https://analytics.zoho.com/open-view/2395394000009369252?ZOHO_CRITERIA=%22Consolidado_Estadisticas_Regionales_New%22.%22C%C3%B3digo%20regi%C3%B3n%22%3D10</v>
      </c>
      <c r="T1566" s="107" t="s">
        <v>1866</v>
      </c>
      <c r="U1566" s="46" t="s">
        <v>4460</v>
      </c>
      <c r="V1566" s="93" t="str">
        <f>+Agencia[[#This Row],[idcoleccion]]&amp;"-"&amp;Agencia[[#This Row],[id]]</f>
        <v>990-1555</v>
      </c>
      <c r="W1566" s="93">
        <f>+VLOOKUP(Agencia[[#This Row],[Filtro URL]],Estructura!$X$4:$Y$500,2,0)</f>
        <v>99200010</v>
      </c>
      <c r="X1566" s="93" t="str">
        <f>+VLOOKUP(Agencia[[#This Row],[tema]],Estructura!$A$4:$C$500,3,0)</f>
        <v>T-1061</v>
      </c>
      <c r="Y1566" s="93" t="str">
        <f>+VLOOKUP(Agencia[[#This Row],[contenido]],Estructura!$E$4:$G$500,3,0)</f>
        <v>C-1024</v>
      </c>
      <c r="Z1566" s="93" t="str">
        <f>+VLOOKUP(Agencia[[#This Row],[Filtro Integrado]],Estructura!$I$4:$K$500,3,0)</f>
        <v>FI-1006</v>
      </c>
      <c r="AA1566" s="93" t="str">
        <f>+VLOOKUP(Agencia[[#This Row],[Muestra]],Estructura!$M$4:$O$500,3,0)</f>
        <v>M-1018</v>
      </c>
    </row>
    <row r="1567" spans="1:27" ht="72" x14ac:dyDescent="0.3">
      <c r="A1567" s="21" t="s">
        <v>3457</v>
      </c>
      <c r="B1567" s="9">
        <v>990</v>
      </c>
      <c r="C1567" s="10" t="s">
        <v>400</v>
      </c>
      <c r="D1567" s="67" t="s">
        <v>3207</v>
      </c>
      <c r="E1567" s="19">
        <v>11</v>
      </c>
      <c r="F1567" s="10" t="s">
        <v>3213</v>
      </c>
      <c r="G1567" s="10" t="s">
        <v>3207</v>
      </c>
      <c r="H1567" s="33" t="s">
        <v>16</v>
      </c>
      <c r="I1567" s="34" t="s">
        <v>378</v>
      </c>
      <c r="J1567" s="60" t="s">
        <v>3180</v>
      </c>
      <c r="K1567" s="9" t="s">
        <v>3214</v>
      </c>
      <c r="L1567" s="9" t="s">
        <v>990</v>
      </c>
      <c r="M1567" s="9" t="s">
        <v>1464</v>
      </c>
      <c r="N1567" s="9" t="s">
        <v>1370</v>
      </c>
      <c r="O1567" s="9" t="s">
        <v>3315</v>
      </c>
      <c r="P1567" s="116" t="s">
        <v>6143</v>
      </c>
      <c r="Q1567" s="46" t="s">
        <v>784</v>
      </c>
      <c r="R1567" s="142" t="str">
        <f>Agencia[[#This Row],[territorio]]&amp;",evolución,precio,promedio,clp,habitación,ocupada,mensual,"&amp;Agencia[[#This Row],[coleccion]]&amp;","&amp;Agencia[[#This Row],[sector]]&amp;","&amp;Agencia[[#This Row],[tema]]&amp;","&amp;Agencia[[#This Row],[contenido]]</f>
        <v>Región de Aysén,evolución,precio,promedio,clp,habitación,ocupada,mensual,Agencia Información,Turismo,Habitaciones ocupadas,Turismo</v>
      </c>
      <c r="S156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https://analytics.zoho.com/open-view/2395394000009369252?ZOHO_CRITERIA=%22Consolidado_Estadisticas_Regionales_New%22.%22C%C3%B3digo%20regi%C3%B3n%22%3D11</v>
      </c>
      <c r="T1567" s="107" t="s">
        <v>1863</v>
      </c>
      <c r="U1567" s="46" t="s">
        <v>4461</v>
      </c>
      <c r="V1567" s="93" t="str">
        <f>+Agencia[[#This Row],[idcoleccion]]&amp;"-"&amp;Agencia[[#This Row],[id]]</f>
        <v>990-1556</v>
      </c>
      <c r="W1567" s="93">
        <f>+VLOOKUP(Agencia[[#This Row],[Filtro URL]],Estructura!$X$4:$Y$500,2,0)</f>
        <v>99200011</v>
      </c>
      <c r="X1567" s="93" t="str">
        <f>+VLOOKUP(Agencia[[#This Row],[tema]],Estructura!$A$4:$C$500,3,0)</f>
        <v>T-1061</v>
      </c>
      <c r="Y1567" s="93" t="str">
        <f>+VLOOKUP(Agencia[[#This Row],[contenido]],Estructura!$E$4:$G$500,3,0)</f>
        <v>C-1024</v>
      </c>
      <c r="Z1567" s="93" t="str">
        <f>+VLOOKUP(Agencia[[#This Row],[Filtro Integrado]],Estructura!$I$4:$K$500,3,0)</f>
        <v>FI-1006</v>
      </c>
      <c r="AA1567" s="93" t="str">
        <f>+VLOOKUP(Agencia[[#This Row],[Muestra]],Estructura!$M$4:$O$500,3,0)</f>
        <v>M-1018</v>
      </c>
    </row>
    <row r="1568" spans="1:27" ht="72" x14ac:dyDescent="0.3">
      <c r="A1568" s="21" t="s">
        <v>3458</v>
      </c>
      <c r="B1568" s="9">
        <v>990</v>
      </c>
      <c r="C1568" s="10" t="s">
        <v>400</v>
      </c>
      <c r="D1568" s="67" t="s">
        <v>3207</v>
      </c>
      <c r="E1568" s="19">
        <v>12</v>
      </c>
      <c r="F1568" s="10" t="s">
        <v>3213</v>
      </c>
      <c r="G1568" s="10" t="s">
        <v>3207</v>
      </c>
      <c r="H1568" s="33" t="s">
        <v>16</v>
      </c>
      <c r="I1568" s="34" t="s">
        <v>379</v>
      </c>
      <c r="J1568" s="60" t="s">
        <v>3180</v>
      </c>
      <c r="K1568" s="9" t="s">
        <v>3214</v>
      </c>
      <c r="L1568" s="9" t="s">
        <v>990</v>
      </c>
      <c r="M1568" s="9" t="s">
        <v>1464</v>
      </c>
      <c r="N1568" s="9" t="s">
        <v>1370</v>
      </c>
      <c r="O1568" s="9" t="s">
        <v>3316</v>
      </c>
      <c r="P1568" s="116" t="s">
        <v>6144</v>
      </c>
      <c r="Q1568" s="46" t="s">
        <v>784</v>
      </c>
      <c r="R1568" s="142" t="str">
        <f>Agencia[[#This Row],[territorio]]&amp;",evolución,precio,promedio,clp,habitación,ocupada,mensual,"&amp;Agencia[[#This Row],[coleccion]]&amp;","&amp;Agencia[[#This Row],[sector]]&amp;","&amp;Agencia[[#This Row],[tema]]&amp;","&amp;Agencia[[#This Row],[contenido]]</f>
        <v>Región de Magallanes,evolución,precio,promedio,clp,habitación,ocupada,mensual,Agencia Información,Turismo,Habitaciones ocupadas,Turismo</v>
      </c>
      <c r="S156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https://analytics.zoho.com/open-view/2395394000009369252?ZOHO_CRITERIA=%22Consolidado_Estadisticas_Regionales_New%22.%22C%C3%B3digo%20regi%C3%B3n%22%3D12</v>
      </c>
      <c r="T1568" s="107" t="s">
        <v>1868</v>
      </c>
      <c r="U1568" s="46" t="s">
        <v>4462</v>
      </c>
      <c r="V1568" s="93" t="str">
        <f>+Agencia[[#This Row],[idcoleccion]]&amp;"-"&amp;Agencia[[#This Row],[id]]</f>
        <v>990-1557</v>
      </c>
      <c r="W1568" s="93">
        <f>+VLOOKUP(Agencia[[#This Row],[Filtro URL]],Estructura!$X$4:$Y$500,2,0)</f>
        <v>99200012</v>
      </c>
      <c r="X1568" s="93" t="str">
        <f>+VLOOKUP(Agencia[[#This Row],[tema]],Estructura!$A$4:$C$500,3,0)</f>
        <v>T-1061</v>
      </c>
      <c r="Y1568" s="93" t="str">
        <f>+VLOOKUP(Agencia[[#This Row],[contenido]],Estructura!$E$4:$G$500,3,0)</f>
        <v>C-1024</v>
      </c>
      <c r="Z1568" s="93" t="str">
        <f>+VLOOKUP(Agencia[[#This Row],[Filtro Integrado]],Estructura!$I$4:$K$500,3,0)</f>
        <v>FI-1006</v>
      </c>
      <c r="AA1568" s="93" t="str">
        <f>+VLOOKUP(Agencia[[#This Row],[Muestra]],Estructura!$M$4:$O$500,3,0)</f>
        <v>M-1018</v>
      </c>
    </row>
    <row r="1569" spans="1:27" ht="72" x14ac:dyDescent="0.3">
      <c r="A1569" s="21" t="s">
        <v>3459</v>
      </c>
      <c r="B1569" s="9">
        <v>990</v>
      </c>
      <c r="C1569" s="10" t="s">
        <v>400</v>
      </c>
      <c r="D1569" s="67" t="s">
        <v>3207</v>
      </c>
      <c r="E1569" s="19">
        <v>13</v>
      </c>
      <c r="F1569" s="10" t="s">
        <v>3213</v>
      </c>
      <c r="G1569" s="10" t="s">
        <v>3207</v>
      </c>
      <c r="H1569" s="33" t="s">
        <v>16</v>
      </c>
      <c r="I1569" s="34" t="s">
        <v>380</v>
      </c>
      <c r="J1569" s="60" t="s">
        <v>3180</v>
      </c>
      <c r="K1569" s="9" t="s">
        <v>3214</v>
      </c>
      <c r="L1569" s="9" t="s">
        <v>990</v>
      </c>
      <c r="M1569" s="9" t="s">
        <v>1464</v>
      </c>
      <c r="N1569" s="9" t="s">
        <v>1370</v>
      </c>
      <c r="O1569" s="9" t="s">
        <v>3317</v>
      </c>
      <c r="P1569" s="116" t="s">
        <v>6145</v>
      </c>
      <c r="Q1569" s="46" t="s">
        <v>784</v>
      </c>
      <c r="R1569" s="142" t="str">
        <f>Agencia[[#This Row],[territorio]]&amp;",evolución,precio,promedio,clp,habitación,ocupada,mensual,"&amp;Agencia[[#This Row],[coleccion]]&amp;","&amp;Agencia[[#This Row],[sector]]&amp;","&amp;Agencia[[#This Row],[tema]]&amp;","&amp;Agencia[[#This Row],[contenido]]</f>
        <v>Región Metropolitana,evolución,precio,promedio,clp,habitación,ocupada,mensual,Agencia Información,Turismo,Habitaciones ocupadas,Turismo</v>
      </c>
      <c r="S156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https://analytics.zoho.com/open-view/2395394000009369252?ZOHO_CRITERIA=%22Consolidado_Estadisticas_Regionales_New%22.%22C%C3%B3digo%20regi%C3%B3n%22%3D13</v>
      </c>
      <c r="T1569" s="107" t="s">
        <v>1875</v>
      </c>
      <c r="U1569" s="46" t="s">
        <v>4463</v>
      </c>
      <c r="V1569" s="93" t="str">
        <f>+Agencia[[#This Row],[idcoleccion]]&amp;"-"&amp;Agencia[[#This Row],[id]]</f>
        <v>990-1558</v>
      </c>
      <c r="W1569" s="93">
        <f>+VLOOKUP(Agencia[[#This Row],[Filtro URL]],Estructura!$X$4:$Y$500,2,0)</f>
        <v>99200013</v>
      </c>
      <c r="X1569" s="93" t="str">
        <f>+VLOOKUP(Agencia[[#This Row],[tema]],Estructura!$A$4:$C$500,3,0)</f>
        <v>T-1061</v>
      </c>
      <c r="Y1569" s="93" t="str">
        <f>+VLOOKUP(Agencia[[#This Row],[contenido]],Estructura!$E$4:$G$500,3,0)</f>
        <v>C-1024</v>
      </c>
      <c r="Z1569" s="93" t="str">
        <f>+VLOOKUP(Agencia[[#This Row],[Filtro Integrado]],Estructura!$I$4:$K$500,3,0)</f>
        <v>FI-1006</v>
      </c>
      <c r="AA1569" s="93" t="str">
        <f>+VLOOKUP(Agencia[[#This Row],[Muestra]],Estructura!$M$4:$O$500,3,0)</f>
        <v>M-1018</v>
      </c>
    </row>
    <row r="1570" spans="1:27" ht="72" x14ac:dyDescent="0.3">
      <c r="A1570" s="21" t="s">
        <v>3460</v>
      </c>
      <c r="B1570" s="9">
        <v>990</v>
      </c>
      <c r="C1570" s="10" t="s">
        <v>400</v>
      </c>
      <c r="D1570" s="67" t="s">
        <v>3207</v>
      </c>
      <c r="E1570" s="19">
        <v>14</v>
      </c>
      <c r="F1570" s="10" t="s">
        <v>3213</v>
      </c>
      <c r="G1570" s="10" t="s">
        <v>3207</v>
      </c>
      <c r="H1570" s="33" t="s">
        <v>16</v>
      </c>
      <c r="I1570" s="34" t="s">
        <v>381</v>
      </c>
      <c r="J1570" s="60" t="s">
        <v>3180</v>
      </c>
      <c r="K1570" s="9" t="s">
        <v>3214</v>
      </c>
      <c r="L1570" s="9" t="s">
        <v>990</v>
      </c>
      <c r="M1570" s="9" t="s">
        <v>1464</v>
      </c>
      <c r="N1570" s="9" t="s">
        <v>1370</v>
      </c>
      <c r="O1570" s="9" t="s">
        <v>3318</v>
      </c>
      <c r="P1570" s="116" t="s">
        <v>6146</v>
      </c>
      <c r="Q1570" s="46" t="s">
        <v>784</v>
      </c>
      <c r="R1570" s="142" t="str">
        <f>Agencia[[#This Row],[territorio]]&amp;",evolución,precio,promedio,clp,habitación,ocupada,mensual,"&amp;Agencia[[#This Row],[coleccion]]&amp;","&amp;Agencia[[#This Row],[sector]]&amp;","&amp;Agencia[[#This Row],[tema]]&amp;","&amp;Agencia[[#This Row],[contenido]]</f>
        <v>Región de Los Ríos,evolución,precio,promedio,clp,habitación,ocupada,mensual,Agencia Información,Turismo,Habitaciones ocupadas,Turismo</v>
      </c>
      <c r="S157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https://analytics.zoho.com/open-view/2395394000009369252?ZOHO_CRITERIA=%22Consolidado_Estadisticas_Regionales_New%22.%22C%C3%B3digo%20regi%C3%B3n%22%3D14</v>
      </c>
      <c r="T1570" s="107" t="s">
        <v>1867</v>
      </c>
      <c r="U1570" s="46" t="s">
        <v>4464</v>
      </c>
      <c r="V1570" s="93" t="str">
        <f>+Agencia[[#This Row],[idcoleccion]]&amp;"-"&amp;Agencia[[#This Row],[id]]</f>
        <v>990-1559</v>
      </c>
      <c r="W1570" s="93">
        <f>+VLOOKUP(Agencia[[#This Row],[Filtro URL]],Estructura!$X$4:$Y$500,2,0)</f>
        <v>99200014</v>
      </c>
      <c r="X1570" s="93" t="str">
        <f>+VLOOKUP(Agencia[[#This Row],[tema]],Estructura!$A$4:$C$500,3,0)</f>
        <v>T-1061</v>
      </c>
      <c r="Y1570" s="93" t="str">
        <f>+VLOOKUP(Agencia[[#This Row],[contenido]],Estructura!$E$4:$G$500,3,0)</f>
        <v>C-1024</v>
      </c>
      <c r="Z1570" s="93" t="str">
        <f>+VLOOKUP(Agencia[[#This Row],[Filtro Integrado]],Estructura!$I$4:$K$500,3,0)</f>
        <v>FI-1006</v>
      </c>
      <c r="AA1570" s="93" t="str">
        <f>+VLOOKUP(Agencia[[#This Row],[Muestra]],Estructura!$M$4:$O$500,3,0)</f>
        <v>M-1018</v>
      </c>
    </row>
    <row r="1571" spans="1:27" ht="72" x14ac:dyDescent="0.3">
      <c r="A1571" s="21" t="s">
        <v>3461</v>
      </c>
      <c r="B1571" s="9">
        <v>990</v>
      </c>
      <c r="C1571" s="10" t="s">
        <v>400</v>
      </c>
      <c r="D1571" s="67" t="s">
        <v>3207</v>
      </c>
      <c r="E1571" s="19">
        <v>15</v>
      </c>
      <c r="F1571" s="10" t="s">
        <v>3213</v>
      </c>
      <c r="G1571" s="10" t="s">
        <v>3207</v>
      </c>
      <c r="H1571" s="33" t="s">
        <v>16</v>
      </c>
      <c r="I1571" s="34" t="s">
        <v>382</v>
      </c>
      <c r="J1571" s="60" t="s">
        <v>3180</v>
      </c>
      <c r="K1571" s="9" t="s">
        <v>3214</v>
      </c>
      <c r="L1571" s="9" t="s">
        <v>990</v>
      </c>
      <c r="M1571" s="9" t="s">
        <v>1464</v>
      </c>
      <c r="N1571" s="9" t="s">
        <v>1370</v>
      </c>
      <c r="O1571" s="9" t="s">
        <v>3319</v>
      </c>
      <c r="P1571" s="116" t="s">
        <v>6147</v>
      </c>
      <c r="Q1571" s="46" t="s">
        <v>784</v>
      </c>
      <c r="R1571" s="142" t="str">
        <f>Agencia[[#This Row],[territorio]]&amp;",evolución,precio,promedio,clp,habitación,ocupada,mensual,"&amp;Agencia[[#This Row],[coleccion]]&amp;","&amp;Agencia[[#This Row],[sector]]&amp;","&amp;Agencia[[#This Row],[tema]]&amp;","&amp;Agencia[[#This Row],[contenido]]</f>
        <v>Región de Arica y Parinacota,evolución,precio,promedio,clp,habitación,ocupada,mensual,Agencia Información,Turismo,Habitaciones ocupadas,Turismo</v>
      </c>
      <c r="S157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https://analytics.zoho.com/open-view/2395394000009369252?ZOHO_CRITERIA=%22Consolidado_Estadisticas_Regionales_New%22.%22C%C3%B3digo%20regi%C3%B3n%22%3D15</v>
      </c>
      <c r="T1571" s="107" t="s">
        <v>1861</v>
      </c>
      <c r="U1571" s="46" t="s">
        <v>4465</v>
      </c>
      <c r="V1571" s="93" t="str">
        <f>+Agencia[[#This Row],[idcoleccion]]&amp;"-"&amp;Agencia[[#This Row],[id]]</f>
        <v>990-1560</v>
      </c>
      <c r="W1571" s="93">
        <f>+VLOOKUP(Agencia[[#This Row],[Filtro URL]],Estructura!$X$4:$Y$500,2,0)</f>
        <v>99200015</v>
      </c>
      <c r="X1571" s="93" t="str">
        <f>+VLOOKUP(Agencia[[#This Row],[tema]],Estructura!$A$4:$C$500,3,0)</f>
        <v>T-1061</v>
      </c>
      <c r="Y1571" s="93" t="str">
        <f>+VLOOKUP(Agencia[[#This Row],[contenido]],Estructura!$E$4:$G$500,3,0)</f>
        <v>C-1024</v>
      </c>
      <c r="Z1571" s="93" t="str">
        <f>+VLOOKUP(Agencia[[#This Row],[Filtro Integrado]],Estructura!$I$4:$K$500,3,0)</f>
        <v>FI-1006</v>
      </c>
      <c r="AA1571" s="93" t="str">
        <f>+VLOOKUP(Agencia[[#This Row],[Muestra]],Estructura!$M$4:$O$500,3,0)</f>
        <v>M-1018</v>
      </c>
    </row>
    <row r="1572" spans="1:27" ht="72" x14ac:dyDescent="0.3">
      <c r="A1572" s="21" t="s">
        <v>3462</v>
      </c>
      <c r="B1572" s="9">
        <v>990</v>
      </c>
      <c r="C1572" s="10" t="s">
        <v>400</v>
      </c>
      <c r="D1572" s="67" t="s">
        <v>3207</v>
      </c>
      <c r="E1572" s="19">
        <v>16</v>
      </c>
      <c r="F1572" s="10" t="s">
        <v>3213</v>
      </c>
      <c r="G1572" s="10" t="s">
        <v>3207</v>
      </c>
      <c r="H1572" s="33" t="s">
        <v>16</v>
      </c>
      <c r="I1572" s="34" t="s">
        <v>383</v>
      </c>
      <c r="J1572" s="60" t="s">
        <v>3180</v>
      </c>
      <c r="K1572" s="9" t="s">
        <v>3214</v>
      </c>
      <c r="L1572" s="9" t="s">
        <v>990</v>
      </c>
      <c r="M1572" s="9" t="s">
        <v>1464</v>
      </c>
      <c r="N1572" s="9" t="s">
        <v>1370</v>
      </c>
      <c r="O1572" s="9" t="s">
        <v>3320</v>
      </c>
      <c r="P1572" s="116" t="s">
        <v>6148</v>
      </c>
      <c r="Q1572" s="46" t="s">
        <v>784</v>
      </c>
      <c r="R1572" s="142" t="str">
        <f>Agencia[[#This Row],[territorio]]&amp;",evolución,precio,promedio,clp,habitación,ocupada,mensual,"&amp;Agencia[[#This Row],[coleccion]]&amp;","&amp;Agencia[[#This Row],[sector]]&amp;","&amp;Agencia[[#This Row],[tema]]&amp;","&amp;Agencia[[#This Row],[contenido]]</f>
        <v>Región de Ñuble,evolución,precio,promedio,clp,habitación,ocupada,mensual,Agencia Información,Turismo,Habitaciones ocupadas,Turismo</v>
      </c>
      <c r="S157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https://analytics.zoho.com/open-view/2395394000009369252?ZOHO_CRITERIA=%22Consolidado_Estadisticas_Regionales_New%22.%22C%C3%B3digo%20regi%C3%B3n%22%3D16</v>
      </c>
      <c r="T1572" s="107" t="s">
        <v>1870</v>
      </c>
      <c r="U1572" s="46" t="s">
        <v>4466</v>
      </c>
      <c r="V1572" s="93" t="str">
        <f>+Agencia[[#This Row],[idcoleccion]]&amp;"-"&amp;Agencia[[#This Row],[id]]</f>
        <v>990-1561</v>
      </c>
      <c r="W1572" s="93">
        <f>+VLOOKUP(Agencia[[#This Row],[Filtro URL]],Estructura!$X$4:$Y$500,2,0)</f>
        <v>99200016</v>
      </c>
      <c r="X1572" s="93" t="str">
        <f>+VLOOKUP(Agencia[[#This Row],[tema]],Estructura!$A$4:$C$500,3,0)</f>
        <v>T-1061</v>
      </c>
      <c r="Y1572" s="93" t="str">
        <f>+VLOOKUP(Agencia[[#This Row],[contenido]],Estructura!$E$4:$G$500,3,0)</f>
        <v>C-1024</v>
      </c>
      <c r="Z1572" s="93" t="str">
        <f>+VLOOKUP(Agencia[[#This Row],[Filtro Integrado]],Estructura!$I$4:$K$500,3,0)</f>
        <v>FI-1006</v>
      </c>
      <c r="AA1572" s="93" t="str">
        <f>+VLOOKUP(Agencia[[#This Row],[Muestra]],Estructura!$M$4:$O$500,3,0)</f>
        <v>M-1018</v>
      </c>
    </row>
    <row r="1573" spans="1:27" ht="60" x14ac:dyDescent="0.3">
      <c r="A1573" s="21" t="s">
        <v>3463</v>
      </c>
      <c r="B1573" s="9">
        <v>990</v>
      </c>
      <c r="C1573" s="10" t="s">
        <v>400</v>
      </c>
      <c r="D1573" s="97" t="s">
        <v>571</v>
      </c>
      <c r="E1573" s="14">
        <v>0</v>
      </c>
      <c r="F1573" s="10" t="s">
        <v>3216</v>
      </c>
      <c r="G1573" s="73" t="s">
        <v>4291</v>
      </c>
      <c r="H1573" s="31" t="s">
        <v>20</v>
      </c>
      <c r="I1573" s="32" t="s">
        <v>15</v>
      </c>
      <c r="J1573" s="60" t="s">
        <v>3194</v>
      </c>
      <c r="K1573" s="9" t="s">
        <v>9304</v>
      </c>
      <c r="L1573" s="9" t="s">
        <v>1445</v>
      </c>
      <c r="M1573" s="9" t="s">
        <v>574</v>
      </c>
      <c r="N1573" s="9" t="s">
        <v>994</v>
      </c>
      <c r="O1573" s="9" t="s">
        <v>3217</v>
      </c>
      <c r="P1573" s="115" t="s">
        <v>5354</v>
      </c>
      <c r="Q1573" s="11" t="s">
        <v>784</v>
      </c>
      <c r="R1573" s="9" t="str">
        <f>Agencia[[#This Row],[territorio]]&amp;",pesca,industrial,evolución,mensual,pesquero,desembarco,toneladas,región,regional,"&amp;Agencia[[#This Row],[coleccion]]&amp;","&amp;Agencia[[#This Row],[sector]]&amp;","&amp;Agencia[[#This Row],[tema]]&amp;","&amp;Agencia[[#This Row],[contenido]]</f>
        <v>Chile,pesca,industrial,evolución,mensual,pesquero,desembarco,toneladas,región,regional,Agencia Información,Agropecuario y Forestal,Pesca industrial,Pesca y Acuicultura</v>
      </c>
      <c r="S1573" s="54" t="s">
        <v>5442</v>
      </c>
      <c r="T1573" s="107">
        <v>0</v>
      </c>
      <c r="U1573" s="46" t="s">
        <v>4467</v>
      </c>
      <c r="V1573" s="93" t="str">
        <f>+Agencia[[#This Row],[idcoleccion]]&amp;"-"&amp;Agencia[[#This Row],[id]]</f>
        <v>990-1562</v>
      </c>
      <c r="W1573" s="93">
        <f>+VLOOKUP(Agencia[[#This Row],[Filtro URL]],Estructura!$X$4:$Y$500,2,0)</f>
        <v>99100000</v>
      </c>
      <c r="X1573" s="93" t="str">
        <f>+VLOOKUP(Agencia[[#This Row],[tema]],Estructura!$A$4:$C$500,3,0)</f>
        <v>T-1062</v>
      </c>
      <c r="Y1573" s="93" t="str">
        <f>+VLOOKUP(Agencia[[#This Row],[contenido]],Estructura!$E$4:$G$500,3,0)</f>
        <v>C-1020</v>
      </c>
      <c r="Z1573" s="93" t="str">
        <f>+VLOOKUP(Agencia[[#This Row],[Filtro Integrado]],Estructura!$I$4:$K$500,3,0)</f>
        <v>FI-1007</v>
      </c>
      <c r="AA1573" s="93" t="str">
        <f>+VLOOKUP(Agencia[[#This Row],[Muestra]],Estructura!$M$4:$O$500,3,0)</f>
        <v>M-1103</v>
      </c>
    </row>
    <row r="1574" spans="1:27" ht="60" x14ac:dyDescent="0.3">
      <c r="A1574" s="21" t="s">
        <v>3464</v>
      </c>
      <c r="B1574" s="127">
        <v>990</v>
      </c>
      <c r="C1574" s="124" t="s">
        <v>400</v>
      </c>
      <c r="D1574" s="97" t="s">
        <v>571</v>
      </c>
      <c r="E1574" s="128">
        <v>0</v>
      </c>
      <c r="F1574" s="124" t="s">
        <v>3218</v>
      </c>
      <c r="G1574" s="73" t="s">
        <v>4291</v>
      </c>
      <c r="H1574" s="129" t="s">
        <v>20</v>
      </c>
      <c r="I1574" s="130" t="s">
        <v>15</v>
      </c>
      <c r="J1574" s="60" t="s">
        <v>3180</v>
      </c>
      <c r="K1574" s="127" t="s">
        <v>9305</v>
      </c>
      <c r="L1574" s="127" t="s">
        <v>1445</v>
      </c>
      <c r="M1574" s="127" t="s">
        <v>574</v>
      </c>
      <c r="N1574" s="127" t="s">
        <v>994</v>
      </c>
      <c r="O1574" s="127" t="s">
        <v>5355</v>
      </c>
      <c r="P1574" s="115" t="s">
        <v>5356</v>
      </c>
      <c r="Q1574" s="131" t="s">
        <v>784</v>
      </c>
      <c r="R1574" s="127" t="str">
        <f>"Chile,pesca,artesanal,evolución,mensual,pesquero,desembarco,toneladas,región,regional,"&amp;Agencia[[#This Row],[coleccion]]&amp;","&amp;Agencia[[#This Row],[sector]]&amp;","&amp;Agencia[[#This Row],[tema]]&amp;","&amp;Agencia[[#This Row],[contenido]]</f>
        <v>Chile,pesca,artesanal,evolución,mensual,pesquero,desembarco,toneladas,región,regional,Agencia Información,Agropecuario y Forestal,Pesca artesanal,Pesca y Acuicultura</v>
      </c>
      <c r="S1574" s="54" t="s">
        <v>5443</v>
      </c>
      <c r="T1574" s="107">
        <v>0</v>
      </c>
      <c r="U1574" s="46" t="s">
        <v>4468</v>
      </c>
      <c r="V1574" s="93" t="str">
        <f>+Agencia[[#This Row],[idcoleccion]]&amp;"-"&amp;Agencia[[#This Row],[id]]</f>
        <v>990-1563</v>
      </c>
      <c r="W1574" s="93">
        <f>+VLOOKUP(Agencia[[#This Row],[Filtro URL]],Estructura!$X$4:$Y$500,2,0)</f>
        <v>99100000</v>
      </c>
      <c r="X1574" s="93" t="str">
        <f>+VLOOKUP(Agencia[[#This Row],[tema]],Estructura!$A$4:$C$500,3,0)</f>
        <v>T-1063</v>
      </c>
      <c r="Y1574" s="93" t="str">
        <f>+VLOOKUP(Agencia[[#This Row],[contenido]],Estructura!$E$4:$G$500,3,0)</f>
        <v>C-1020</v>
      </c>
      <c r="Z1574" s="93" t="str">
        <f>+VLOOKUP(Agencia[[#This Row],[Filtro Integrado]],Estructura!$I$4:$K$500,3,0)</f>
        <v>FI-1006</v>
      </c>
      <c r="AA1574" s="93" t="str">
        <f>+VLOOKUP(Agencia[[#This Row],[Muestra]],Estructura!$M$4:$O$500,3,0)</f>
        <v>M-1104</v>
      </c>
    </row>
    <row r="1575" spans="1:27" ht="72" x14ac:dyDescent="0.3">
      <c r="A1575" s="21" t="s">
        <v>3465</v>
      </c>
      <c r="B1575" s="9">
        <v>990</v>
      </c>
      <c r="C1575" s="10" t="s">
        <v>400</v>
      </c>
      <c r="D1575" s="97" t="s">
        <v>571</v>
      </c>
      <c r="E1575" s="14">
        <v>0</v>
      </c>
      <c r="F1575" s="10" t="s">
        <v>3219</v>
      </c>
      <c r="G1575" s="73" t="s">
        <v>4291</v>
      </c>
      <c r="H1575" s="31" t="s">
        <v>20</v>
      </c>
      <c r="I1575" s="32" t="s">
        <v>15</v>
      </c>
      <c r="J1575" s="60" t="s">
        <v>3180</v>
      </c>
      <c r="K1575" s="9" t="s">
        <v>9306</v>
      </c>
      <c r="L1575" s="9" t="s">
        <v>1445</v>
      </c>
      <c r="M1575" s="9" t="s">
        <v>574</v>
      </c>
      <c r="N1575" s="9" t="s">
        <v>994</v>
      </c>
      <c r="O1575" s="9" t="s">
        <v>3220</v>
      </c>
      <c r="P1575" s="115" t="s">
        <v>5357</v>
      </c>
      <c r="Q1575" s="11" t="s">
        <v>784</v>
      </c>
      <c r="R1575" s="9" t="str">
        <f>"Chile,evolución,salmón,atlántico,plateado,coho,trucha,arcoiris,cosecha,toneladas,mensual,"&amp;Agencia[[#This Row],[coleccion]]&amp;","&amp;Agencia[[#This Row],[sector]]&amp;","&amp;Agencia[[#This Row],[tema]]&amp;","&amp;Agencia[[#This Row],[contenido]]</f>
        <v>Chile,evolución,salmón,atlántico,plateado,coho,trucha,arcoiris,cosecha,toneladas,mensual,Agencia Información,Agropecuario y Forestal,Acuicultura,Pesca y Acuicultura</v>
      </c>
      <c r="S1575" s="54" t="s">
        <v>5444</v>
      </c>
      <c r="T1575" s="107">
        <v>0</v>
      </c>
      <c r="U1575" s="46" t="s">
        <v>4469</v>
      </c>
      <c r="V1575" s="93" t="str">
        <f>+Agencia[[#This Row],[idcoleccion]]&amp;"-"&amp;Agencia[[#This Row],[id]]</f>
        <v>990-1564</v>
      </c>
      <c r="W1575" s="93">
        <f>+VLOOKUP(Agencia[[#This Row],[Filtro URL]],Estructura!$X$4:$Y$500,2,0)</f>
        <v>99100000</v>
      </c>
      <c r="X1575" s="93" t="str">
        <f>+VLOOKUP(Agencia[[#This Row],[tema]],Estructura!$A$4:$C$500,3,0)</f>
        <v>T-1064</v>
      </c>
      <c r="Y1575" s="93" t="str">
        <f>+VLOOKUP(Agencia[[#This Row],[contenido]],Estructura!$E$4:$G$500,3,0)</f>
        <v>C-1020</v>
      </c>
      <c r="Z1575" s="93" t="str">
        <f>+VLOOKUP(Agencia[[#This Row],[Filtro Integrado]],Estructura!$I$4:$K$500,3,0)</f>
        <v>FI-1006</v>
      </c>
      <c r="AA1575" s="93" t="str">
        <f>+VLOOKUP(Agencia[[#This Row],[Muestra]],Estructura!$M$4:$O$500,3,0)</f>
        <v>M-1105</v>
      </c>
    </row>
    <row r="1576" spans="1:27" ht="120" x14ac:dyDescent="0.3">
      <c r="A1576" s="21" t="s">
        <v>3466</v>
      </c>
      <c r="B1576" s="9">
        <v>990</v>
      </c>
      <c r="C1576" s="10" t="s">
        <v>400</v>
      </c>
      <c r="D1576" s="97" t="s">
        <v>502</v>
      </c>
      <c r="E1576" s="14">
        <v>0</v>
      </c>
      <c r="F1576" s="10" t="s">
        <v>2251</v>
      </c>
      <c r="G1576" s="10" t="s">
        <v>1909</v>
      </c>
      <c r="H1576" s="31" t="s">
        <v>20</v>
      </c>
      <c r="I1576" s="32" t="s">
        <v>15</v>
      </c>
      <c r="J1576" s="60" t="s">
        <v>956</v>
      </c>
      <c r="K1576" s="9" t="s">
        <v>2251</v>
      </c>
      <c r="L1576" s="9" t="s">
        <v>827</v>
      </c>
      <c r="M1576" s="9" t="s">
        <v>594</v>
      </c>
      <c r="N1576" s="9" t="s">
        <v>428</v>
      </c>
      <c r="O1576" s="9" t="s">
        <v>3221</v>
      </c>
      <c r="P1576" s="38" t="s">
        <v>3222</v>
      </c>
      <c r="Q1576" s="11" t="s">
        <v>794</v>
      </c>
      <c r="R1576" s="9" t="str">
        <f>Agencia[[#This Row],[territorio]]&amp;",nacional,comunas,comunal,parques,urbanos,municipal,municipio,superficie,hectáreas,"&amp;Agencia[[#This Row],[coleccion]]&amp;","&amp;Agencia[[#This Row],[sector]]&amp;","&amp;Agencia[[#This Row],[tema]]&amp;","&amp;Agencia[[#This Row],[contenido]]</f>
        <v>Chile,nacional,comunas,comunal,parques,urbanos,municipal,municipio,superficie,hectáreas,Agencia Información,Gobiernos locales,Parques Urbanos,Gestión Municipal Territorial</v>
      </c>
      <c r="S1576" s="54" t="s">
        <v>3223</v>
      </c>
      <c r="T1576" s="107" t="s">
        <v>957</v>
      </c>
      <c r="U1576" s="46" t="s">
        <v>4470</v>
      </c>
      <c r="V1576" s="93" t="str">
        <f>+Agencia[[#This Row],[idcoleccion]]&amp;"-"&amp;Agencia[[#This Row],[id]]</f>
        <v>990-1565</v>
      </c>
      <c r="W1576" s="93">
        <f>+VLOOKUP(Agencia[[#This Row],[Filtro URL]],Estructura!$X$4:$Y$500,2,0)</f>
        <v>99100000</v>
      </c>
      <c r="X1576" s="93" t="str">
        <f>+VLOOKUP(Agencia[[#This Row],[tema]],Estructura!$A$4:$C$500,3,0)</f>
        <v>T-1042</v>
      </c>
      <c r="Y1576" s="93" t="str">
        <f>+VLOOKUP(Agencia[[#This Row],[contenido]],Estructura!$E$4:$G$500,3,0)</f>
        <v>C-1015</v>
      </c>
      <c r="Z1576" s="93" t="str">
        <f>+VLOOKUP(Agencia[[#This Row],[Filtro Integrado]],Estructura!$I$4:$K$500,3,0)</f>
        <v>FI-994</v>
      </c>
      <c r="AA1576" s="93" t="str">
        <f>+VLOOKUP(Agencia[[#This Row],[Muestra]],Estructura!$M$4:$O$500,3,0)</f>
        <v>M-1090</v>
      </c>
    </row>
    <row r="1577" spans="1:27" ht="72" x14ac:dyDescent="0.3">
      <c r="A1577" s="21" t="s">
        <v>3467</v>
      </c>
      <c r="B1577" s="9">
        <v>990</v>
      </c>
      <c r="C1577" s="10" t="s">
        <v>400</v>
      </c>
      <c r="D1577" s="97" t="s">
        <v>502</v>
      </c>
      <c r="E1577" s="19">
        <v>1</v>
      </c>
      <c r="F1577" s="143" t="s">
        <v>2251</v>
      </c>
      <c r="G1577" s="10" t="s">
        <v>1909</v>
      </c>
      <c r="H1577" s="33" t="s">
        <v>16</v>
      </c>
      <c r="I1577" s="34" t="s">
        <v>368</v>
      </c>
      <c r="J1577" s="60" t="s">
        <v>18</v>
      </c>
      <c r="K1577" s="142" t="s">
        <v>2251</v>
      </c>
      <c r="L1577" s="9" t="s">
        <v>827</v>
      </c>
      <c r="M1577" s="9" t="s">
        <v>594</v>
      </c>
      <c r="N1577" s="9" t="s">
        <v>428</v>
      </c>
      <c r="O1577" s="9" t="s">
        <v>3321</v>
      </c>
      <c r="P1577" s="38" t="s">
        <v>7165</v>
      </c>
      <c r="Q1577" s="11" t="s">
        <v>794</v>
      </c>
      <c r="R1577" s="142" t="str">
        <f>Agencia[[#This Row],[territorio]]&amp;",comunas,comunal,parques,urbanos,municipal,municipio,superficie,hectáreas,"&amp;Agencia[[#This Row],[coleccion]]&amp;","&amp;Agencia[[#This Row],[sector]]&amp;","&amp;Agencia[[#This Row],[tema]]&amp;","&amp;Agencia[[#This Row],[contenido]]</f>
        <v>Región de Tarapacá,comunas,comunal,parques,urbanos,municipal,municipio,superficie,hectáreas,Agencia Información,Gobiernos locales,Parques Urbanos,Gestión Municipal Territorial</v>
      </c>
      <c r="S1577" s="54" t="s">
        <v>3224</v>
      </c>
      <c r="T1577" s="107" t="s">
        <v>1856</v>
      </c>
      <c r="U1577" s="46" t="s">
        <v>4471</v>
      </c>
      <c r="V1577" s="93" t="str">
        <f>+Agencia[[#This Row],[idcoleccion]]&amp;"-"&amp;Agencia[[#This Row],[id]]</f>
        <v>990-1566</v>
      </c>
      <c r="W1577" s="93">
        <f>+VLOOKUP(Agencia[[#This Row],[Filtro URL]],Estructura!$X$4:$Y$500,2,0)</f>
        <v>99200001</v>
      </c>
      <c r="X1577" s="93" t="str">
        <f>+VLOOKUP(Agencia[[#This Row],[tema]],Estructura!$A$4:$C$500,3,0)</f>
        <v>T-1042</v>
      </c>
      <c r="Y1577" s="93" t="str">
        <f>+VLOOKUP(Agencia[[#This Row],[contenido]],Estructura!$E$4:$G$500,3,0)</f>
        <v>C-1015</v>
      </c>
      <c r="Z1577" s="93" t="str">
        <f>+VLOOKUP(Agencia[[#This Row],[Filtro Integrado]],Estructura!$I$4:$K$500,3,0)</f>
        <v>FI-991</v>
      </c>
      <c r="AA1577" s="93" t="str">
        <f>+VLOOKUP(Agencia[[#This Row],[Muestra]],Estructura!$M$4:$O$500,3,0)</f>
        <v>M-1090</v>
      </c>
    </row>
    <row r="1578" spans="1:27" ht="72" x14ac:dyDescent="0.3">
      <c r="A1578" s="21" t="s">
        <v>3468</v>
      </c>
      <c r="B1578" s="9">
        <v>990</v>
      </c>
      <c r="C1578" s="10" t="s">
        <v>400</v>
      </c>
      <c r="D1578" s="97" t="s">
        <v>502</v>
      </c>
      <c r="E1578" s="19">
        <v>2</v>
      </c>
      <c r="F1578" s="143" t="s">
        <v>2251</v>
      </c>
      <c r="G1578" s="10" t="s">
        <v>1909</v>
      </c>
      <c r="H1578" s="33" t="s">
        <v>16</v>
      </c>
      <c r="I1578" s="34" t="s">
        <v>369</v>
      </c>
      <c r="J1578" s="60" t="s">
        <v>18</v>
      </c>
      <c r="K1578" s="142" t="s">
        <v>2251</v>
      </c>
      <c r="L1578" s="9" t="s">
        <v>827</v>
      </c>
      <c r="M1578" s="9" t="s">
        <v>594</v>
      </c>
      <c r="N1578" s="9" t="s">
        <v>428</v>
      </c>
      <c r="O1578" s="9" t="s">
        <v>3322</v>
      </c>
      <c r="P1578" s="38" t="s">
        <v>7166</v>
      </c>
      <c r="Q1578" s="144" t="s">
        <v>794</v>
      </c>
      <c r="R1578" s="142" t="str">
        <f>Agencia[[#This Row],[territorio]]&amp;",comunas,comunal,parques,urbanos,municipal,municipio,superficie,hectáreas,"&amp;Agencia[[#This Row],[coleccion]]&amp;","&amp;Agencia[[#This Row],[sector]]&amp;","&amp;Agencia[[#This Row],[tema]]&amp;","&amp;Agencia[[#This Row],[contenido]]</f>
        <v>Región de Antofagasta,comunas,comunal,parques,urbanos,municipal,municipio,superficie,hectáreas,Agencia Información,Gobiernos locales,Parques Urbanos,Gestión Municipal Territorial</v>
      </c>
      <c r="S1578" s="54" t="s">
        <v>3225</v>
      </c>
      <c r="T1578" s="107" t="s">
        <v>1844</v>
      </c>
      <c r="U1578" s="46" t="s">
        <v>4472</v>
      </c>
      <c r="V1578" s="93" t="str">
        <f>+Agencia[[#This Row],[idcoleccion]]&amp;"-"&amp;Agencia[[#This Row],[id]]</f>
        <v>990-1567</v>
      </c>
      <c r="W1578" s="93">
        <f>+VLOOKUP(Agencia[[#This Row],[Filtro URL]],Estructura!$X$4:$Y$500,2,0)</f>
        <v>99200002</v>
      </c>
      <c r="X1578" s="93" t="str">
        <f>+VLOOKUP(Agencia[[#This Row],[tema]],Estructura!$A$4:$C$500,3,0)</f>
        <v>T-1042</v>
      </c>
      <c r="Y1578" s="93" t="str">
        <f>+VLOOKUP(Agencia[[#This Row],[contenido]],Estructura!$E$4:$G$500,3,0)</f>
        <v>C-1015</v>
      </c>
      <c r="Z1578" s="93" t="str">
        <f>+VLOOKUP(Agencia[[#This Row],[Filtro Integrado]],Estructura!$I$4:$K$500,3,0)</f>
        <v>FI-991</v>
      </c>
      <c r="AA1578" s="93" t="str">
        <f>+VLOOKUP(Agencia[[#This Row],[Muestra]],Estructura!$M$4:$O$500,3,0)</f>
        <v>M-1090</v>
      </c>
    </row>
    <row r="1579" spans="1:27" ht="72" x14ac:dyDescent="0.3">
      <c r="A1579" s="21" t="s">
        <v>3469</v>
      </c>
      <c r="B1579" s="9">
        <v>990</v>
      </c>
      <c r="C1579" s="10" t="s">
        <v>400</v>
      </c>
      <c r="D1579" s="97" t="s">
        <v>502</v>
      </c>
      <c r="E1579" s="19">
        <v>3</v>
      </c>
      <c r="F1579" s="143" t="s">
        <v>2251</v>
      </c>
      <c r="G1579" s="10" t="s">
        <v>1909</v>
      </c>
      <c r="H1579" s="33" t="s">
        <v>16</v>
      </c>
      <c r="I1579" s="34" t="s">
        <v>370</v>
      </c>
      <c r="J1579" s="60" t="s">
        <v>18</v>
      </c>
      <c r="K1579" s="142" t="s">
        <v>2251</v>
      </c>
      <c r="L1579" s="9" t="s">
        <v>827</v>
      </c>
      <c r="M1579" s="9" t="s">
        <v>594</v>
      </c>
      <c r="N1579" s="9" t="s">
        <v>428</v>
      </c>
      <c r="O1579" s="9" t="s">
        <v>3323</v>
      </c>
      <c r="P1579" s="38" t="s">
        <v>7167</v>
      </c>
      <c r="Q1579" s="144" t="s">
        <v>794</v>
      </c>
      <c r="R1579" s="142" t="str">
        <f>Agencia[[#This Row],[territorio]]&amp;",comunas,comunal,parques,urbanos,municipal,municipio,superficie,hectáreas,"&amp;Agencia[[#This Row],[coleccion]]&amp;","&amp;Agencia[[#This Row],[sector]]&amp;","&amp;Agencia[[#This Row],[tema]]&amp;","&amp;Agencia[[#This Row],[contenido]]</f>
        <v>Región de Atacama,comunas,comunal,parques,urbanos,municipal,municipio,superficie,hectáreas,Agencia Información,Gobiernos locales,Parques Urbanos,Gestión Municipal Territorial</v>
      </c>
      <c r="S1579" s="54" t="s">
        <v>3226</v>
      </c>
      <c r="T1579" s="107" t="s">
        <v>1846</v>
      </c>
      <c r="U1579" s="46" t="s">
        <v>4473</v>
      </c>
      <c r="V1579" s="93" t="str">
        <f>+Agencia[[#This Row],[idcoleccion]]&amp;"-"&amp;Agencia[[#This Row],[id]]</f>
        <v>990-1568</v>
      </c>
      <c r="W1579" s="93">
        <f>+VLOOKUP(Agencia[[#This Row],[Filtro URL]],Estructura!$X$4:$Y$500,2,0)</f>
        <v>99200003</v>
      </c>
      <c r="X1579" s="93" t="str">
        <f>+VLOOKUP(Agencia[[#This Row],[tema]],Estructura!$A$4:$C$500,3,0)</f>
        <v>T-1042</v>
      </c>
      <c r="Y1579" s="93" t="str">
        <f>+VLOOKUP(Agencia[[#This Row],[contenido]],Estructura!$E$4:$G$500,3,0)</f>
        <v>C-1015</v>
      </c>
      <c r="Z1579" s="93" t="str">
        <f>+VLOOKUP(Agencia[[#This Row],[Filtro Integrado]],Estructura!$I$4:$K$500,3,0)</f>
        <v>FI-991</v>
      </c>
      <c r="AA1579" s="93" t="str">
        <f>+VLOOKUP(Agencia[[#This Row],[Muestra]],Estructura!$M$4:$O$500,3,0)</f>
        <v>M-1090</v>
      </c>
    </row>
    <row r="1580" spans="1:27" ht="72" x14ac:dyDescent="0.3">
      <c r="A1580" s="21" t="s">
        <v>3470</v>
      </c>
      <c r="B1580" s="9">
        <v>990</v>
      </c>
      <c r="C1580" s="10" t="s">
        <v>400</v>
      </c>
      <c r="D1580" s="97" t="s">
        <v>502</v>
      </c>
      <c r="E1580" s="19">
        <v>4</v>
      </c>
      <c r="F1580" s="143" t="s">
        <v>2251</v>
      </c>
      <c r="G1580" s="10" t="s">
        <v>1909</v>
      </c>
      <c r="H1580" s="33" t="s">
        <v>16</v>
      </c>
      <c r="I1580" s="34" t="s">
        <v>371</v>
      </c>
      <c r="J1580" s="60" t="s">
        <v>18</v>
      </c>
      <c r="K1580" s="142" t="s">
        <v>2251</v>
      </c>
      <c r="L1580" s="9" t="s">
        <v>827</v>
      </c>
      <c r="M1580" s="9" t="s">
        <v>594</v>
      </c>
      <c r="N1580" s="9" t="s">
        <v>428</v>
      </c>
      <c r="O1580" s="9" t="s">
        <v>3324</v>
      </c>
      <c r="P1580" s="38" t="s">
        <v>7168</v>
      </c>
      <c r="Q1580" s="144" t="s">
        <v>794</v>
      </c>
      <c r="R1580" s="142" t="str">
        <f>Agencia[[#This Row],[territorio]]&amp;",comunas,comunal,parques,urbanos,municipal,municipio,superficie,hectáreas,"&amp;Agencia[[#This Row],[coleccion]]&amp;","&amp;Agencia[[#This Row],[sector]]&amp;","&amp;Agencia[[#This Row],[tema]]&amp;","&amp;Agencia[[#This Row],[contenido]]</f>
        <v>Región de Coquimbo,comunas,comunal,parques,urbanos,municipal,municipio,superficie,hectáreas,Agencia Información,Gobiernos locales,Parques Urbanos,Gestión Municipal Territorial</v>
      </c>
      <c r="S1580" s="54" t="s">
        <v>3227</v>
      </c>
      <c r="T1580" s="107" t="s">
        <v>1848</v>
      </c>
      <c r="U1580" s="46" t="s">
        <v>4474</v>
      </c>
      <c r="V1580" s="93" t="str">
        <f>+Agencia[[#This Row],[idcoleccion]]&amp;"-"&amp;Agencia[[#This Row],[id]]</f>
        <v>990-1569</v>
      </c>
      <c r="W1580" s="93">
        <f>+VLOOKUP(Agencia[[#This Row],[Filtro URL]],Estructura!$X$4:$Y$500,2,0)</f>
        <v>99200004</v>
      </c>
      <c r="X1580" s="93" t="str">
        <f>+VLOOKUP(Agencia[[#This Row],[tema]],Estructura!$A$4:$C$500,3,0)</f>
        <v>T-1042</v>
      </c>
      <c r="Y1580" s="93" t="str">
        <f>+VLOOKUP(Agencia[[#This Row],[contenido]],Estructura!$E$4:$G$500,3,0)</f>
        <v>C-1015</v>
      </c>
      <c r="Z1580" s="93" t="str">
        <f>+VLOOKUP(Agencia[[#This Row],[Filtro Integrado]],Estructura!$I$4:$K$500,3,0)</f>
        <v>FI-991</v>
      </c>
      <c r="AA1580" s="93" t="str">
        <f>+VLOOKUP(Agencia[[#This Row],[Muestra]],Estructura!$M$4:$O$500,3,0)</f>
        <v>M-1090</v>
      </c>
    </row>
    <row r="1581" spans="1:27" ht="72" x14ac:dyDescent="0.3">
      <c r="A1581" s="21" t="s">
        <v>3471</v>
      </c>
      <c r="B1581" s="9">
        <v>990</v>
      </c>
      <c r="C1581" s="10" t="s">
        <v>400</v>
      </c>
      <c r="D1581" s="97" t="s">
        <v>502</v>
      </c>
      <c r="E1581" s="19">
        <v>5</v>
      </c>
      <c r="F1581" s="143" t="s">
        <v>2251</v>
      </c>
      <c r="G1581" s="10" t="s">
        <v>1909</v>
      </c>
      <c r="H1581" s="33" t="s">
        <v>16</v>
      </c>
      <c r="I1581" s="34" t="s">
        <v>372</v>
      </c>
      <c r="J1581" s="60" t="s">
        <v>18</v>
      </c>
      <c r="K1581" s="142" t="s">
        <v>2251</v>
      </c>
      <c r="L1581" s="9" t="s">
        <v>827</v>
      </c>
      <c r="M1581" s="9" t="s">
        <v>594</v>
      </c>
      <c r="N1581" s="9" t="s">
        <v>428</v>
      </c>
      <c r="O1581" s="9" t="s">
        <v>3325</v>
      </c>
      <c r="P1581" s="38" t="s">
        <v>7169</v>
      </c>
      <c r="Q1581" s="144" t="s">
        <v>794</v>
      </c>
      <c r="R1581" s="142" t="str">
        <f>Agencia[[#This Row],[territorio]]&amp;",comunas,comunal,parques,urbanos,municipal,municipio,superficie,hectáreas,"&amp;Agencia[[#This Row],[coleccion]]&amp;","&amp;Agencia[[#This Row],[sector]]&amp;","&amp;Agencia[[#This Row],[tema]]&amp;","&amp;Agencia[[#This Row],[contenido]]</f>
        <v>Región de Valparaíso,comunas,comunal,parques,urbanos,municipal,municipio,superficie,hectáreas,Agencia Información,Gobiernos locales,Parques Urbanos,Gestión Municipal Territorial</v>
      </c>
      <c r="S1581" s="54" t="s">
        <v>3228</v>
      </c>
      <c r="T1581" s="107" t="s">
        <v>1857</v>
      </c>
      <c r="U1581" s="46" t="s">
        <v>4475</v>
      </c>
      <c r="V1581" s="93" t="str">
        <f>+Agencia[[#This Row],[idcoleccion]]&amp;"-"&amp;Agencia[[#This Row],[id]]</f>
        <v>990-1570</v>
      </c>
      <c r="W1581" s="93">
        <f>+VLOOKUP(Agencia[[#This Row],[Filtro URL]],Estructura!$X$4:$Y$500,2,0)</f>
        <v>99200005</v>
      </c>
      <c r="X1581" s="93" t="str">
        <f>+VLOOKUP(Agencia[[#This Row],[tema]],Estructura!$A$4:$C$500,3,0)</f>
        <v>T-1042</v>
      </c>
      <c r="Y1581" s="93" t="str">
        <f>+VLOOKUP(Agencia[[#This Row],[contenido]],Estructura!$E$4:$G$500,3,0)</f>
        <v>C-1015</v>
      </c>
      <c r="Z1581" s="93" t="str">
        <f>+VLOOKUP(Agencia[[#This Row],[Filtro Integrado]],Estructura!$I$4:$K$500,3,0)</f>
        <v>FI-991</v>
      </c>
      <c r="AA1581" s="93" t="str">
        <f>+VLOOKUP(Agencia[[#This Row],[Muestra]],Estructura!$M$4:$O$500,3,0)</f>
        <v>M-1090</v>
      </c>
    </row>
    <row r="1582" spans="1:27" ht="72" x14ac:dyDescent="0.3">
      <c r="A1582" s="21" t="s">
        <v>3472</v>
      </c>
      <c r="B1582" s="9">
        <v>990</v>
      </c>
      <c r="C1582" s="10" t="s">
        <v>400</v>
      </c>
      <c r="D1582" s="97" t="s">
        <v>502</v>
      </c>
      <c r="E1582" s="19">
        <v>6</v>
      </c>
      <c r="F1582" s="143" t="s">
        <v>2251</v>
      </c>
      <c r="G1582" s="10" t="s">
        <v>1909</v>
      </c>
      <c r="H1582" s="33" t="s">
        <v>16</v>
      </c>
      <c r="I1582" s="34" t="s">
        <v>373</v>
      </c>
      <c r="J1582" s="60" t="s">
        <v>18</v>
      </c>
      <c r="K1582" s="142" t="s">
        <v>2251</v>
      </c>
      <c r="L1582" s="9" t="s">
        <v>827</v>
      </c>
      <c r="M1582" s="9" t="s">
        <v>594</v>
      </c>
      <c r="N1582" s="9" t="s">
        <v>428</v>
      </c>
      <c r="O1582" s="9" t="s">
        <v>3326</v>
      </c>
      <c r="P1582" s="38" t="s">
        <v>7170</v>
      </c>
      <c r="Q1582" s="144" t="s">
        <v>794</v>
      </c>
      <c r="R1582" s="142" t="str">
        <f>Agencia[[#This Row],[territorio]]&amp;",comunas,comunal,parques,urbanos,municipal,municipio,superficie,hectáreas,"&amp;Agencia[[#This Row],[coleccion]]&amp;","&amp;Agencia[[#This Row],[sector]]&amp;","&amp;Agencia[[#This Row],[tema]]&amp;","&amp;Agencia[[#This Row],[contenido]]</f>
        <v>Región de O'Higgins,comunas,comunal,parques,urbanos,municipal,municipio,superficie,hectáreas,Agencia Información,Gobiernos locales,Parques Urbanos,Gestión Municipal Territorial</v>
      </c>
      <c r="S1582" s="54" t="s">
        <v>3229</v>
      </c>
      <c r="T1582" s="107" t="s">
        <v>1855</v>
      </c>
      <c r="U1582" s="46" t="s">
        <v>4476</v>
      </c>
      <c r="V1582" s="93" t="str">
        <f>+Agencia[[#This Row],[idcoleccion]]&amp;"-"&amp;Agencia[[#This Row],[id]]</f>
        <v>990-1571</v>
      </c>
      <c r="W1582" s="93">
        <f>+VLOOKUP(Agencia[[#This Row],[Filtro URL]],Estructura!$X$4:$Y$500,2,0)</f>
        <v>99200006</v>
      </c>
      <c r="X1582" s="93" t="str">
        <f>+VLOOKUP(Agencia[[#This Row],[tema]],Estructura!$A$4:$C$500,3,0)</f>
        <v>T-1042</v>
      </c>
      <c r="Y1582" s="93" t="str">
        <f>+VLOOKUP(Agencia[[#This Row],[contenido]],Estructura!$E$4:$G$500,3,0)</f>
        <v>C-1015</v>
      </c>
      <c r="Z1582" s="93" t="str">
        <f>+VLOOKUP(Agencia[[#This Row],[Filtro Integrado]],Estructura!$I$4:$K$500,3,0)</f>
        <v>FI-991</v>
      </c>
      <c r="AA1582" s="93" t="str">
        <f>+VLOOKUP(Agencia[[#This Row],[Muestra]],Estructura!$M$4:$O$500,3,0)</f>
        <v>M-1090</v>
      </c>
    </row>
    <row r="1583" spans="1:27" ht="72" x14ac:dyDescent="0.3">
      <c r="A1583" s="21" t="s">
        <v>3473</v>
      </c>
      <c r="B1583" s="9">
        <v>990</v>
      </c>
      <c r="C1583" s="10" t="s">
        <v>400</v>
      </c>
      <c r="D1583" s="97" t="s">
        <v>502</v>
      </c>
      <c r="E1583" s="19">
        <v>7</v>
      </c>
      <c r="F1583" s="143" t="s">
        <v>2251</v>
      </c>
      <c r="G1583" s="10" t="s">
        <v>1909</v>
      </c>
      <c r="H1583" s="33" t="s">
        <v>16</v>
      </c>
      <c r="I1583" s="34" t="s">
        <v>374</v>
      </c>
      <c r="J1583" s="60" t="s">
        <v>18</v>
      </c>
      <c r="K1583" s="142" t="s">
        <v>2251</v>
      </c>
      <c r="L1583" s="9" t="s">
        <v>827</v>
      </c>
      <c r="M1583" s="9" t="s">
        <v>594</v>
      </c>
      <c r="N1583" s="9" t="s">
        <v>428</v>
      </c>
      <c r="O1583" s="9" t="s">
        <v>3327</v>
      </c>
      <c r="P1583" s="38" t="s">
        <v>7171</v>
      </c>
      <c r="Q1583" s="144" t="s">
        <v>794</v>
      </c>
      <c r="R1583" s="142" t="str">
        <f>Agencia[[#This Row],[territorio]]&amp;",comunas,comunal,parques,urbanos,municipal,municipio,superficie,hectáreas,"&amp;Agencia[[#This Row],[coleccion]]&amp;","&amp;Agencia[[#This Row],[sector]]&amp;","&amp;Agencia[[#This Row],[tema]]&amp;","&amp;Agencia[[#This Row],[contenido]]</f>
        <v>Región de Maule,comunas,comunal,parques,urbanos,municipal,municipio,superficie,hectáreas,Agencia Información,Gobiernos locales,Parques Urbanos,Gestión Municipal Territorial</v>
      </c>
      <c r="S1583" s="54" t="s">
        <v>3230</v>
      </c>
      <c r="T1583" s="107" t="s">
        <v>1853</v>
      </c>
      <c r="U1583" s="46" t="s">
        <v>4477</v>
      </c>
      <c r="V1583" s="93" t="str">
        <f>+Agencia[[#This Row],[idcoleccion]]&amp;"-"&amp;Agencia[[#This Row],[id]]</f>
        <v>990-1572</v>
      </c>
      <c r="W1583" s="93">
        <f>+VLOOKUP(Agencia[[#This Row],[Filtro URL]],Estructura!$X$4:$Y$500,2,0)</f>
        <v>99200007</v>
      </c>
      <c r="X1583" s="93" t="str">
        <f>+VLOOKUP(Agencia[[#This Row],[tema]],Estructura!$A$4:$C$500,3,0)</f>
        <v>T-1042</v>
      </c>
      <c r="Y1583" s="93" t="str">
        <f>+VLOOKUP(Agencia[[#This Row],[contenido]],Estructura!$E$4:$G$500,3,0)</f>
        <v>C-1015</v>
      </c>
      <c r="Z1583" s="93" t="str">
        <f>+VLOOKUP(Agencia[[#This Row],[Filtro Integrado]],Estructura!$I$4:$K$500,3,0)</f>
        <v>FI-991</v>
      </c>
      <c r="AA1583" s="93" t="str">
        <f>+VLOOKUP(Agencia[[#This Row],[Muestra]],Estructura!$M$4:$O$500,3,0)</f>
        <v>M-1090</v>
      </c>
    </row>
    <row r="1584" spans="1:27" ht="72" x14ac:dyDescent="0.3">
      <c r="A1584" s="21" t="s">
        <v>3474</v>
      </c>
      <c r="B1584" s="9">
        <v>990</v>
      </c>
      <c r="C1584" s="10" t="s">
        <v>400</v>
      </c>
      <c r="D1584" s="97" t="s">
        <v>502</v>
      </c>
      <c r="E1584" s="19">
        <v>8</v>
      </c>
      <c r="F1584" s="143" t="s">
        <v>2251</v>
      </c>
      <c r="G1584" s="10" t="s">
        <v>1909</v>
      </c>
      <c r="H1584" s="33" t="s">
        <v>16</v>
      </c>
      <c r="I1584" s="34" t="s">
        <v>375</v>
      </c>
      <c r="J1584" s="60" t="s">
        <v>18</v>
      </c>
      <c r="K1584" s="142" t="s">
        <v>2251</v>
      </c>
      <c r="L1584" s="9" t="s">
        <v>827</v>
      </c>
      <c r="M1584" s="9" t="s">
        <v>594</v>
      </c>
      <c r="N1584" s="9" t="s">
        <v>428</v>
      </c>
      <c r="O1584" s="9" t="s">
        <v>3328</v>
      </c>
      <c r="P1584" s="38" t="s">
        <v>7172</v>
      </c>
      <c r="Q1584" s="144" t="s">
        <v>794</v>
      </c>
      <c r="R1584" s="142" t="str">
        <f>Agencia[[#This Row],[territorio]]&amp;",comunas,comunal,parques,urbanos,municipal,municipio,superficie,hectáreas,"&amp;Agencia[[#This Row],[coleccion]]&amp;","&amp;Agencia[[#This Row],[sector]]&amp;","&amp;Agencia[[#This Row],[tema]]&amp;","&amp;Agencia[[#This Row],[contenido]]</f>
        <v>Región del Biobío,comunas,comunal,parques,urbanos,municipal,municipio,superficie,hectáreas,Agencia Información,Gobiernos locales,Parques Urbanos,Gestión Municipal Territorial</v>
      </c>
      <c r="S1584" s="54" t="s">
        <v>3231</v>
      </c>
      <c r="T1584" s="107" t="s">
        <v>1858</v>
      </c>
      <c r="U1584" s="46" t="s">
        <v>4478</v>
      </c>
      <c r="V1584" s="93" t="str">
        <f>+Agencia[[#This Row],[idcoleccion]]&amp;"-"&amp;Agencia[[#This Row],[id]]</f>
        <v>990-1573</v>
      </c>
      <c r="W1584" s="93">
        <f>+VLOOKUP(Agencia[[#This Row],[Filtro URL]],Estructura!$X$4:$Y$500,2,0)</f>
        <v>99200008</v>
      </c>
      <c r="X1584" s="93" t="str">
        <f>+VLOOKUP(Agencia[[#This Row],[tema]],Estructura!$A$4:$C$500,3,0)</f>
        <v>T-1042</v>
      </c>
      <c r="Y1584" s="93" t="str">
        <f>+VLOOKUP(Agencia[[#This Row],[contenido]],Estructura!$E$4:$G$500,3,0)</f>
        <v>C-1015</v>
      </c>
      <c r="Z1584" s="93" t="str">
        <f>+VLOOKUP(Agencia[[#This Row],[Filtro Integrado]],Estructura!$I$4:$K$500,3,0)</f>
        <v>FI-991</v>
      </c>
      <c r="AA1584" s="93" t="str">
        <f>+VLOOKUP(Agencia[[#This Row],[Muestra]],Estructura!$M$4:$O$500,3,0)</f>
        <v>M-1090</v>
      </c>
    </row>
    <row r="1585" spans="1:27" ht="72" x14ac:dyDescent="0.3">
      <c r="A1585" s="21" t="s">
        <v>3475</v>
      </c>
      <c r="B1585" s="9">
        <v>990</v>
      </c>
      <c r="C1585" s="10" t="s">
        <v>400</v>
      </c>
      <c r="D1585" s="97" t="s">
        <v>502</v>
      </c>
      <c r="E1585" s="19">
        <v>9</v>
      </c>
      <c r="F1585" s="143" t="s">
        <v>2251</v>
      </c>
      <c r="G1585" s="10" t="s">
        <v>1909</v>
      </c>
      <c r="H1585" s="33" t="s">
        <v>16</v>
      </c>
      <c r="I1585" s="34" t="s">
        <v>376</v>
      </c>
      <c r="J1585" s="60" t="s">
        <v>18</v>
      </c>
      <c r="K1585" s="142" t="s">
        <v>2251</v>
      </c>
      <c r="L1585" s="9" t="s">
        <v>827</v>
      </c>
      <c r="M1585" s="9" t="s">
        <v>594</v>
      </c>
      <c r="N1585" s="9" t="s">
        <v>428</v>
      </c>
      <c r="O1585" s="9" t="s">
        <v>3329</v>
      </c>
      <c r="P1585" s="38" t="s">
        <v>7173</v>
      </c>
      <c r="Q1585" s="144" t="s">
        <v>794</v>
      </c>
      <c r="R1585" s="142" t="str">
        <f>Agencia[[#This Row],[territorio]]&amp;",comunas,comunal,parques,urbanos,municipal,municipio,superficie,hectáreas,"&amp;Agencia[[#This Row],[coleccion]]&amp;","&amp;Agencia[[#This Row],[sector]]&amp;","&amp;Agencia[[#This Row],[tema]]&amp;","&amp;Agencia[[#This Row],[contenido]]</f>
        <v>Región de La Araucanía,comunas,comunal,parques,urbanos,municipal,municipio,superficie,hectáreas,Agencia Información,Gobiernos locales,Parques Urbanos,Gestión Municipal Territorial</v>
      </c>
      <c r="S1585" s="54" t="s">
        <v>3232</v>
      </c>
      <c r="T1585" s="107" t="s">
        <v>1849</v>
      </c>
      <c r="U1585" s="46" t="s">
        <v>4479</v>
      </c>
      <c r="V1585" s="93" t="str">
        <f>+Agencia[[#This Row],[idcoleccion]]&amp;"-"&amp;Agencia[[#This Row],[id]]</f>
        <v>990-1574</v>
      </c>
      <c r="W1585" s="93">
        <f>+VLOOKUP(Agencia[[#This Row],[Filtro URL]],Estructura!$X$4:$Y$500,2,0)</f>
        <v>99200009</v>
      </c>
      <c r="X1585" s="93" t="str">
        <f>+VLOOKUP(Agencia[[#This Row],[tema]],Estructura!$A$4:$C$500,3,0)</f>
        <v>T-1042</v>
      </c>
      <c r="Y1585" s="93" t="str">
        <f>+VLOOKUP(Agencia[[#This Row],[contenido]],Estructura!$E$4:$G$500,3,0)</f>
        <v>C-1015</v>
      </c>
      <c r="Z1585" s="93" t="str">
        <f>+VLOOKUP(Agencia[[#This Row],[Filtro Integrado]],Estructura!$I$4:$K$500,3,0)</f>
        <v>FI-991</v>
      </c>
      <c r="AA1585" s="93" t="str">
        <f>+VLOOKUP(Agencia[[#This Row],[Muestra]],Estructura!$M$4:$O$500,3,0)</f>
        <v>M-1090</v>
      </c>
    </row>
    <row r="1586" spans="1:27" ht="72" x14ac:dyDescent="0.3">
      <c r="A1586" s="21" t="s">
        <v>3476</v>
      </c>
      <c r="B1586" s="9">
        <v>990</v>
      </c>
      <c r="C1586" s="10" t="s">
        <v>400</v>
      </c>
      <c r="D1586" s="97" t="s">
        <v>502</v>
      </c>
      <c r="E1586" s="19">
        <v>10</v>
      </c>
      <c r="F1586" s="143" t="s">
        <v>2251</v>
      </c>
      <c r="G1586" s="10" t="s">
        <v>1909</v>
      </c>
      <c r="H1586" s="33" t="s">
        <v>16</v>
      </c>
      <c r="I1586" s="34" t="s">
        <v>377</v>
      </c>
      <c r="J1586" s="60" t="s">
        <v>18</v>
      </c>
      <c r="K1586" s="142" t="s">
        <v>2251</v>
      </c>
      <c r="L1586" s="9" t="s">
        <v>827</v>
      </c>
      <c r="M1586" s="9" t="s">
        <v>594</v>
      </c>
      <c r="N1586" s="9" t="s">
        <v>428</v>
      </c>
      <c r="O1586" s="9" t="s">
        <v>3330</v>
      </c>
      <c r="P1586" s="38" t="s">
        <v>7174</v>
      </c>
      <c r="Q1586" s="144" t="s">
        <v>794</v>
      </c>
      <c r="R1586" s="142" t="str">
        <f>Agencia[[#This Row],[territorio]]&amp;",comunas,comunal,parques,urbanos,municipal,municipio,superficie,hectáreas,"&amp;Agencia[[#This Row],[coleccion]]&amp;","&amp;Agencia[[#This Row],[sector]]&amp;","&amp;Agencia[[#This Row],[tema]]&amp;","&amp;Agencia[[#This Row],[contenido]]</f>
        <v>Región de Los Lagos,comunas,comunal,parques,urbanos,municipal,municipio,superficie,hectáreas,Agencia Información,Gobiernos locales,Parques Urbanos,Gestión Municipal Territorial</v>
      </c>
      <c r="S1586" s="54" t="s">
        <v>3233</v>
      </c>
      <c r="T1586" s="107" t="s">
        <v>1850</v>
      </c>
      <c r="U1586" s="46" t="s">
        <v>4480</v>
      </c>
      <c r="V1586" s="93" t="str">
        <f>+Agencia[[#This Row],[idcoleccion]]&amp;"-"&amp;Agencia[[#This Row],[id]]</f>
        <v>990-1575</v>
      </c>
      <c r="W1586" s="93">
        <f>+VLOOKUP(Agencia[[#This Row],[Filtro URL]],Estructura!$X$4:$Y$500,2,0)</f>
        <v>99200010</v>
      </c>
      <c r="X1586" s="93" t="str">
        <f>+VLOOKUP(Agencia[[#This Row],[tema]],Estructura!$A$4:$C$500,3,0)</f>
        <v>T-1042</v>
      </c>
      <c r="Y1586" s="93" t="str">
        <f>+VLOOKUP(Agencia[[#This Row],[contenido]],Estructura!$E$4:$G$500,3,0)</f>
        <v>C-1015</v>
      </c>
      <c r="Z1586" s="93" t="str">
        <f>+VLOOKUP(Agencia[[#This Row],[Filtro Integrado]],Estructura!$I$4:$K$500,3,0)</f>
        <v>FI-991</v>
      </c>
      <c r="AA1586" s="93" t="str">
        <f>+VLOOKUP(Agencia[[#This Row],[Muestra]],Estructura!$M$4:$O$500,3,0)</f>
        <v>M-1090</v>
      </c>
    </row>
    <row r="1587" spans="1:27" ht="72" x14ac:dyDescent="0.3">
      <c r="A1587" s="21" t="s">
        <v>3477</v>
      </c>
      <c r="B1587" s="9">
        <v>990</v>
      </c>
      <c r="C1587" s="10" t="s">
        <v>400</v>
      </c>
      <c r="D1587" s="97" t="s">
        <v>502</v>
      </c>
      <c r="E1587" s="19">
        <v>11</v>
      </c>
      <c r="F1587" s="143" t="s">
        <v>2251</v>
      </c>
      <c r="G1587" s="10" t="s">
        <v>1909</v>
      </c>
      <c r="H1587" s="33" t="s">
        <v>16</v>
      </c>
      <c r="I1587" s="34" t="s">
        <v>378</v>
      </c>
      <c r="J1587" s="60" t="s">
        <v>18</v>
      </c>
      <c r="K1587" s="142" t="s">
        <v>2251</v>
      </c>
      <c r="L1587" s="9" t="s">
        <v>827</v>
      </c>
      <c r="M1587" s="9" t="s">
        <v>594</v>
      </c>
      <c r="N1587" s="9" t="s">
        <v>428</v>
      </c>
      <c r="O1587" s="9" t="s">
        <v>3331</v>
      </c>
      <c r="P1587" s="38" t="s">
        <v>7175</v>
      </c>
      <c r="Q1587" s="144" t="s">
        <v>794</v>
      </c>
      <c r="R1587" s="142" t="str">
        <f>Agencia[[#This Row],[territorio]]&amp;",comunas,comunal,parques,urbanos,municipal,municipio,superficie,hectáreas,"&amp;Agencia[[#This Row],[coleccion]]&amp;","&amp;Agencia[[#This Row],[sector]]&amp;","&amp;Agencia[[#This Row],[tema]]&amp;","&amp;Agencia[[#This Row],[contenido]]</f>
        <v>Región de Aysén,comunas,comunal,parques,urbanos,municipal,municipio,superficie,hectáreas,Agencia Información,Gobiernos locales,Parques Urbanos,Gestión Municipal Territorial</v>
      </c>
      <c r="S1587" s="54" t="s">
        <v>3234</v>
      </c>
      <c r="T1587" s="107" t="s">
        <v>1847</v>
      </c>
      <c r="U1587" s="46" t="s">
        <v>4481</v>
      </c>
      <c r="V1587" s="93" t="str">
        <f>+Agencia[[#This Row],[idcoleccion]]&amp;"-"&amp;Agencia[[#This Row],[id]]</f>
        <v>990-1576</v>
      </c>
      <c r="W1587" s="93">
        <f>+VLOOKUP(Agencia[[#This Row],[Filtro URL]],Estructura!$X$4:$Y$500,2,0)</f>
        <v>99200011</v>
      </c>
      <c r="X1587" s="93" t="str">
        <f>+VLOOKUP(Agencia[[#This Row],[tema]],Estructura!$A$4:$C$500,3,0)</f>
        <v>T-1042</v>
      </c>
      <c r="Y1587" s="93" t="str">
        <f>+VLOOKUP(Agencia[[#This Row],[contenido]],Estructura!$E$4:$G$500,3,0)</f>
        <v>C-1015</v>
      </c>
      <c r="Z1587" s="93" t="str">
        <f>+VLOOKUP(Agencia[[#This Row],[Filtro Integrado]],Estructura!$I$4:$K$500,3,0)</f>
        <v>FI-991</v>
      </c>
      <c r="AA1587" s="93" t="str">
        <f>+VLOOKUP(Agencia[[#This Row],[Muestra]],Estructura!$M$4:$O$500,3,0)</f>
        <v>M-1090</v>
      </c>
    </row>
    <row r="1588" spans="1:27" ht="72" x14ac:dyDescent="0.3">
      <c r="A1588" s="21" t="s">
        <v>3478</v>
      </c>
      <c r="B1588" s="9">
        <v>990</v>
      </c>
      <c r="C1588" s="10" t="s">
        <v>400</v>
      </c>
      <c r="D1588" s="97" t="s">
        <v>502</v>
      </c>
      <c r="E1588" s="19">
        <v>12</v>
      </c>
      <c r="F1588" s="143" t="s">
        <v>2251</v>
      </c>
      <c r="G1588" s="10" t="s">
        <v>1909</v>
      </c>
      <c r="H1588" s="33" t="s">
        <v>16</v>
      </c>
      <c r="I1588" s="34" t="s">
        <v>379</v>
      </c>
      <c r="J1588" s="60" t="s">
        <v>18</v>
      </c>
      <c r="K1588" s="142" t="s">
        <v>2251</v>
      </c>
      <c r="L1588" s="9" t="s">
        <v>827</v>
      </c>
      <c r="M1588" s="9" t="s">
        <v>594</v>
      </c>
      <c r="N1588" s="9" t="s">
        <v>428</v>
      </c>
      <c r="O1588" s="9" t="s">
        <v>3332</v>
      </c>
      <c r="P1588" s="38" t="s">
        <v>7176</v>
      </c>
      <c r="Q1588" s="144" t="s">
        <v>794</v>
      </c>
      <c r="R1588" s="142" t="str">
        <f>Agencia[[#This Row],[territorio]]&amp;",comunas,comunal,parques,urbanos,municipal,municipio,superficie,hectáreas,"&amp;Agencia[[#This Row],[coleccion]]&amp;","&amp;Agencia[[#This Row],[sector]]&amp;","&amp;Agencia[[#This Row],[tema]]&amp;","&amp;Agencia[[#This Row],[contenido]]</f>
        <v>Región de Magallanes,comunas,comunal,parques,urbanos,municipal,municipio,superficie,hectáreas,Agencia Información,Gobiernos locales,Parques Urbanos,Gestión Municipal Territorial</v>
      </c>
      <c r="S1588" s="54" t="s">
        <v>3235</v>
      </c>
      <c r="T1588" s="107" t="s">
        <v>1852</v>
      </c>
      <c r="U1588" s="46" t="s">
        <v>4482</v>
      </c>
      <c r="V1588" s="93" t="str">
        <f>+Agencia[[#This Row],[idcoleccion]]&amp;"-"&amp;Agencia[[#This Row],[id]]</f>
        <v>990-1577</v>
      </c>
      <c r="W1588" s="93">
        <f>+VLOOKUP(Agencia[[#This Row],[Filtro URL]],Estructura!$X$4:$Y$500,2,0)</f>
        <v>99200012</v>
      </c>
      <c r="X1588" s="93" t="str">
        <f>+VLOOKUP(Agencia[[#This Row],[tema]],Estructura!$A$4:$C$500,3,0)</f>
        <v>T-1042</v>
      </c>
      <c r="Y1588" s="93" t="str">
        <f>+VLOOKUP(Agencia[[#This Row],[contenido]],Estructura!$E$4:$G$500,3,0)</f>
        <v>C-1015</v>
      </c>
      <c r="Z1588" s="93" t="str">
        <f>+VLOOKUP(Agencia[[#This Row],[Filtro Integrado]],Estructura!$I$4:$K$500,3,0)</f>
        <v>FI-991</v>
      </c>
      <c r="AA1588" s="93" t="str">
        <f>+VLOOKUP(Agencia[[#This Row],[Muestra]],Estructura!$M$4:$O$500,3,0)</f>
        <v>M-1090</v>
      </c>
    </row>
    <row r="1589" spans="1:27" ht="72" x14ac:dyDescent="0.3">
      <c r="A1589" s="21" t="s">
        <v>3479</v>
      </c>
      <c r="B1589" s="9">
        <v>990</v>
      </c>
      <c r="C1589" s="10" t="s">
        <v>400</v>
      </c>
      <c r="D1589" s="97" t="s">
        <v>502</v>
      </c>
      <c r="E1589" s="19">
        <v>13</v>
      </c>
      <c r="F1589" s="143" t="s">
        <v>2251</v>
      </c>
      <c r="G1589" s="10" t="s">
        <v>1909</v>
      </c>
      <c r="H1589" s="33" t="s">
        <v>16</v>
      </c>
      <c r="I1589" s="34" t="s">
        <v>380</v>
      </c>
      <c r="J1589" s="60" t="s">
        <v>18</v>
      </c>
      <c r="K1589" s="142" t="s">
        <v>2251</v>
      </c>
      <c r="L1589" s="9" t="s">
        <v>827</v>
      </c>
      <c r="M1589" s="9" t="s">
        <v>594</v>
      </c>
      <c r="N1589" s="9" t="s">
        <v>428</v>
      </c>
      <c r="O1589" s="9" t="s">
        <v>3333</v>
      </c>
      <c r="P1589" s="38" t="s">
        <v>7177</v>
      </c>
      <c r="Q1589" s="144" t="s">
        <v>794</v>
      </c>
      <c r="R1589" s="142" t="str">
        <f>Agencia[[#This Row],[territorio]]&amp;",comunas,comunal,parques,urbanos,municipal,municipio,superficie,hectáreas,"&amp;Agencia[[#This Row],[coleccion]]&amp;","&amp;Agencia[[#This Row],[sector]]&amp;","&amp;Agencia[[#This Row],[tema]]&amp;","&amp;Agencia[[#This Row],[contenido]]</f>
        <v>Región Metropolitana,comunas,comunal,parques,urbanos,municipal,municipio,superficie,hectáreas,Agencia Información,Gobiernos locales,Parques Urbanos,Gestión Municipal Territorial</v>
      </c>
      <c r="S1589" s="54" t="s">
        <v>3236</v>
      </c>
      <c r="T1589" s="107" t="s">
        <v>1859</v>
      </c>
      <c r="U1589" s="46" t="s">
        <v>4483</v>
      </c>
      <c r="V1589" s="93" t="str">
        <f>+Agencia[[#This Row],[idcoleccion]]&amp;"-"&amp;Agencia[[#This Row],[id]]</f>
        <v>990-1578</v>
      </c>
      <c r="W1589" s="93">
        <f>+VLOOKUP(Agencia[[#This Row],[Filtro URL]],Estructura!$X$4:$Y$500,2,0)</f>
        <v>99200013</v>
      </c>
      <c r="X1589" s="93" t="str">
        <f>+VLOOKUP(Agencia[[#This Row],[tema]],Estructura!$A$4:$C$500,3,0)</f>
        <v>T-1042</v>
      </c>
      <c r="Y1589" s="93" t="str">
        <f>+VLOOKUP(Agencia[[#This Row],[contenido]],Estructura!$E$4:$G$500,3,0)</f>
        <v>C-1015</v>
      </c>
      <c r="Z1589" s="93" t="str">
        <f>+VLOOKUP(Agencia[[#This Row],[Filtro Integrado]],Estructura!$I$4:$K$500,3,0)</f>
        <v>FI-991</v>
      </c>
      <c r="AA1589" s="93" t="str">
        <f>+VLOOKUP(Agencia[[#This Row],[Muestra]],Estructura!$M$4:$O$500,3,0)</f>
        <v>M-1090</v>
      </c>
    </row>
    <row r="1590" spans="1:27" ht="72" x14ac:dyDescent="0.3">
      <c r="A1590" s="21" t="s">
        <v>3480</v>
      </c>
      <c r="B1590" s="9">
        <v>990</v>
      </c>
      <c r="C1590" s="10" t="s">
        <v>400</v>
      </c>
      <c r="D1590" s="97" t="s">
        <v>502</v>
      </c>
      <c r="E1590" s="19">
        <v>14</v>
      </c>
      <c r="F1590" s="143" t="s">
        <v>2251</v>
      </c>
      <c r="G1590" s="10" t="s">
        <v>1909</v>
      </c>
      <c r="H1590" s="33" t="s">
        <v>16</v>
      </c>
      <c r="I1590" s="34" t="s">
        <v>381</v>
      </c>
      <c r="J1590" s="60" t="s">
        <v>18</v>
      </c>
      <c r="K1590" s="142" t="s">
        <v>2251</v>
      </c>
      <c r="L1590" s="9" t="s">
        <v>827</v>
      </c>
      <c r="M1590" s="9" t="s">
        <v>594</v>
      </c>
      <c r="N1590" s="9" t="s">
        <v>428</v>
      </c>
      <c r="O1590" s="9" t="s">
        <v>3334</v>
      </c>
      <c r="P1590" s="38" t="s">
        <v>7178</v>
      </c>
      <c r="Q1590" s="144" t="s">
        <v>794</v>
      </c>
      <c r="R1590" s="142" t="str">
        <f>Agencia[[#This Row],[territorio]]&amp;",comunas,comunal,parques,urbanos,municipal,municipio,superficie,hectáreas,"&amp;Agencia[[#This Row],[coleccion]]&amp;","&amp;Agencia[[#This Row],[sector]]&amp;","&amp;Agencia[[#This Row],[tema]]&amp;","&amp;Agencia[[#This Row],[contenido]]</f>
        <v>Región de Los Ríos,comunas,comunal,parques,urbanos,municipal,municipio,superficie,hectáreas,Agencia Información,Gobiernos locales,Parques Urbanos,Gestión Municipal Territorial</v>
      </c>
      <c r="S1590" s="54" t="s">
        <v>3237</v>
      </c>
      <c r="T1590" s="107" t="s">
        <v>1851</v>
      </c>
      <c r="U1590" s="46" t="s">
        <v>4484</v>
      </c>
      <c r="V1590" s="93" t="str">
        <f>+Agencia[[#This Row],[idcoleccion]]&amp;"-"&amp;Agencia[[#This Row],[id]]</f>
        <v>990-1579</v>
      </c>
      <c r="W1590" s="93">
        <f>+VLOOKUP(Agencia[[#This Row],[Filtro URL]],Estructura!$X$4:$Y$500,2,0)</f>
        <v>99200014</v>
      </c>
      <c r="X1590" s="93" t="str">
        <f>+VLOOKUP(Agencia[[#This Row],[tema]],Estructura!$A$4:$C$500,3,0)</f>
        <v>T-1042</v>
      </c>
      <c r="Y1590" s="93" t="str">
        <f>+VLOOKUP(Agencia[[#This Row],[contenido]],Estructura!$E$4:$G$500,3,0)</f>
        <v>C-1015</v>
      </c>
      <c r="Z1590" s="93" t="str">
        <f>+VLOOKUP(Agencia[[#This Row],[Filtro Integrado]],Estructura!$I$4:$K$500,3,0)</f>
        <v>FI-991</v>
      </c>
      <c r="AA1590" s="93" t="str">
        <f>+VLOOKUP(Agencia[[#This Row],[Muestra]],Estructura!$M$4:$O$500,3,0)</f>
        <v>M-1090</v>
      </c>
    </row>
    <row r="1591" spans="1:27" ht="72" x14ac:dyDescent="0.3">
      <c r="A1591" s="21" t="s">
        <v>3481</v>
      </c>
      <c r="B1591" s="9">
        <v>990</v>
      </c>
      <c r="C1591" s="10" t="s">
        <v>400</v>
      </c>
      <c r="D1591" s="97" t="s">
        <v>502</v>
      </c>
      <c r="E1591" s="19">
        <v>15</v>
      </c>
      <c r="F1591" s="143" t="s">
        <v>2251</v>
      </c>
      <c r="G1591" s="10" t="s">
        <v>1909</v>
      </c>
      <c r="H1591" s="33" t="s">
        <v>16</v>
      </c>
      <c r="I1591" s="34" t="s">
        <v>382</v>
      </c>
      <c r="J1591" s="60" t="s">
        <v>18</v>
      </c>
      <c r="K1591" s="142" t="s">
        <v>2251</v>
      </c>
      <c r="L1591" s="9" t="s">
        <v>827</v>
      </c>
      <c r="M1591" s="9" t="s">
        <v>594</v>
      </c>
      <c r="N1591" s="9" t="s">
        <v>428</v>
      </c>
      <c r="O1591" s="9" t="s">
        <v>3335</v>
      </c>
      <c r="P1591" s="38" t="s">
        <v>7179</v>
      </c>
      <c r="Q1591" s="144" t="s">
        <v>794</v>
      </c>
      <c r="R1591" s="142" t="str">
        <f>Agencia[[#This Row],[territorio]]&amp;",comunas,comunal,parques,urbanos,municipal,municipio,superficie,hectáreas,"&amp;Agencia[[#This Row],[coleccion]]&amp;","&amp;Agencia[[#This Row],[sector]]&amp;","&amp;Agencia[[#This Row],[tema]]&amp;","&amp;Agencia[[#This Row],[contenido]]</f>
        <v>Región de Arica y Parinacota,comunas,comunal,parques,urbanos,municipal,municipio,superficie,hectáreas,Agencia Información,Gobiernos locales,Parques Urbanos,Gestión Municipal Territorial</v>
      </c>
      <c r="S1591" s="54" t="s">
        <v>3238</v>
      </c>
      <c r="T1591" s="107" t="s">
        <v>1845</v>
      </c>
      <c r="U1591" s="46" t="s">
        <v>4485</v>
      </c>
      <c r="V1591" s="93" t="str">
        <f>+Agencia[[#This Row],[idcoleccion]]&amp;"-"&amp;Agencia[[#This Row],[id]]</f>
        <v>990-1580</v>
      </c>
      <c r="W1591" s="93">
        <f>+VLOOKUP(Agencia[[#This Row],[Filtro URL]],Estructura!$X$4:$Y$500,2,0)</f>
        <v>99200015</v>
      </c>
      <c r="X1591" s="93" t="str">
        <f>+VLOOKUP(Agencia[[#This Row],[tema]],Estructura!$A$4:$C$500,3,0)</f>
        <v>T-1042</v>
      </c>
      <c r="Y1591" s="93" t="str">
        <f>+VLOOKUP(Agencia[[#This Row],[contenido]],Estructura!$E$4:$G$500,3,0)</f>
        <v>C-1015</v>
      </c>
      <c r="Z1591" s="93" t="str">
        <f>+VLOOKUP(Agencia[[#This Row],[Filtro Integrado]],Estructura!$I$4:$K$500,3,0)</f>
        <v>FI-991</v>
      </c>
      <c r="AA1591" s="93" t="str">
        <f>+VLOOKUP(Agencia[[#This Row],[Muestra]],Estructura!$M$4:$O$500,3,0)</f>
        <v>M-1090</v>
      </c>
    </row>
    <row r="1592" spans="1:27" ht="72" x14ac:dyDescent="0.3">
      <c r="A1592" s="21" t="s">
        <v>3482</v>
      </c>
      <c r="B1592" s="9">
        <v>990</v>
      </c>
      <c r="C1592" s="10" t="s">
        <v>400</v>
      </c>
      <c r="D1592" s="97" t="s">
        <v>502</v>
      </c>
      <c r="E1592" s="89">
        <v>16</v>
      </c>
      <c r="F1592" s="143" t="s">
        <v>2251</v>
      </c>
      <c r="G1592" s="10" t="s">
        <v>1909</v>
      </c>
      <c r="H1592" s="33" t="s">
        <v>16</v>
      </c>
      <c r="I1592" s="34" t="s">
        <v>383</v>
      </c>
      <c r="J1592" s="60" t="s">
        <v>18</v>
      </c>
      <c r="K1592" s="142" t="s">
        <v>2251</v>
      </c>
      <c r="L1592" s="9" t="s">
        <v>827</v>
      </c>
      <c r="M1592" s="9" t="s">
        <v>594</v>
      </c>
      <c r="N1592" s="9" t="s">
        <v>428</v>
      </c>
      <c r="O1592" s="9" t="s">
        <v>3336</v>
      </c>
      <c r="P1592" s="38" t="s">
        <v>7180</v>
      </c>
      <c r="Q1592" s="144" t="s">
        <v>794</v>
      </c>
      <c r="R1592" s="142" t="str">
        <f>Agencia[[#This Row],[territorio]]&amp;",comunas,comunal,parques,urbanos,municipal,municipio,superficie,hectáreas,"&amp;Agencia[[#This Row],[coleccion]]&amp;","&amp;Agencia[[#This Row],[sector]]&amp;","&amp;Agencia[[#This Row],[tema]]&amp;","&amp;Agencia[[#This Row],[contenido]]</f>
        <v>Región de Ñuble,comunas,comunal,parques,urbanos,municipal,municipio,superficie,hectáreas,Agencia Información,Gobiernos locales,Parques Urbanos,Gestión Municipal Territorial</v>
      </c>
      <c r="S1592" s="54" t="s">
        <v>3239</v>
      </c>
      <c r="T1592" s="107" t="s">
        <v>1854</v>
      </c>
      <c r="U1592" s="46" t="s">
        <v>4486</v>
      </c>
      <c r="V1592" s="93" t="str">
        <f>+Agencia[[#This Row],[idcoleccion]]&amp;"-"&amp;Agencia[[#This Row],[id]]</f>
        <v>990-1581</v>
      </c>
      <c r="W1592" s="93">
        <f>+VLOOKUP(Agencia[[#This Row],[Filtro URL]],Estructura!$X$4:$Y$500,2,0)</f>
        <v>99200016</v>
      </c>
      <c r="X1592" s="93" t="str">
        <f>+VLOOKUP(Agencia[[#This Row],[tema]],Estructura!$A$4:$C$500,3,0)</f>
        <v>T-1042</v>
      </c>
      <c r="Y1592" s="93" t="str">
        <f>+VLOOKUP(Agencia[[#This Row],[contenido]],Estructura!$E$4:$G$500,3,0)</f>
        <v>C-1015</v>
      </c>
      <c r="Z1592" s="93" t="str">
        <f>+VLOOKUP(Agencia[[#This Row],[Filtro Integrado]],Estructura!$I$4:$K$500,3,0)</f>
        <v>FI-991</v>
      </c>
      <c r="AA1592" s="93" t="str">
        <f>+VLOOKUP(Agencia[[#This Row],[Muestra]],Estructura!$M$4:$O$500,3,0)</f>
        <v>M-1090</v>
      </c>
    </row>
    <row r="1593" spans="1:27" ht="60" x14ac:dyDescent="0.3">
      <c r="A1593" s="21" t="s">
        <v>3483</v>
      </c>
      <c r="B1593" s="9">
        <v>990</v>
      </c>
      <c r="C1593" s="10" t="s">
        <v>400</v>
      </c>
      <c r="D1593" s="97" t="s">
        <v>502</v>
      </c>
      <c r="E1593" s="90">
        <v>0</v>
      </c>
      <c r="F1593" s="10" t="s">
        <v>2271</v>
      </c>
      <c r="G1593" s="10" t="s">
        <v>1909</v>
      </c>
      <c r="H1593" s="31" t="s">
        <v>20</v>
      </c>
      <c r="I1593" s="32" t="s">
        <v>15</v>
      </c>
      <c r="J1593" s="60" t="s">
        <v>956</v>
      </c>
      <c r="K1593" s="9" t="s">
        <v>2271</v>
      </c>
      <c r="L1593" s="9" t="s">
        <v>827</v>
      </c>
      <c r="M1593" s="9" t="s">
        <v>594</v>
      </c>
      <c r="N1593" s="9" t="s">
        <v>428</v>
      </c>
      <c r="O1593" s="9" t="s">
        <v>9290</v>
      </c>
      <c r="P1593" s="38" t="s">
        <v>3240</v>
      </c>
      <c r="Q1593" s="9" t="s">
        <v>794</v>
      </c>
      <c r="R1593" s="9" t="str">
        <f>Agencia[[#This Row],[territorio]]&amp;",nacional,comunas,comunal,plazas,públicas,municipal,municipio,superficie,hectáreas,"&amp;Agencia[[#This Row],[coleccion]]&amp;","&amp;Agencia[[#This Row],[sector]]&amp;","&amp;Agencia[[#This Row],[tema]]&amp;","&amp;Agencia[[#This Row],[contenido]]</f>
        <v>Chile,nacional,comunas,comunal,plazas,públicas,municipal,municipio,superficie,hectáreas,Agencia Información,Gobiernos locales,Plazas Públicas,Gestión Municipal Territorial</v>
      </c>
      <c r="S1593" s="54" t="s">
        <v>3241</v>
      </c>
      <c r="T1593" s="107" t="s">
        <v>957</v>
      </c>
      <c r="U1593" s="46" t="s">
        <v>4487</v>
      </c>
      <c r="V1593" s="93" t="str">
        <f>+Agencia[[#This Row],[idcoleccion]]&amp;"-"&amp;Agencia[[#This Row],[id]]</f>
        <v>990-1582</v>
      </c>
      <c r="W1593" s="93">
        <f>+VLOOKUP(Agencia[[#This Row],[Filtro URL]],Estructura!$X$4:$Y$500,2,0)</f>
        <v>99100000</v>
      </c>
      <c r="X1593" s="93" t="str">
        <f>+VLOOKUP(Agencia[[#This Row],[tema]],Estructura!$A$4:$C$500,3,0)</f>
        <v>T-1043</v>
      </c>
      <c r="Y1593" s="93" t="str">
        <f>+VLOOKUP(Agencia[[#This Row],[contenido]],Estructura!$E$4:$G$500,3,0)</f>
        <v>C-1015</v>
      </c>
      <c r="Z1593" s="93" t="str">
        <f>+VLOOKUP(Agencia[[#This Row],[Filtro Integrado]],Estructura!$I$4:$K$500,3,0)</f>
        <v>FI-994</v>
      </c>
      <c r="AA1593" s="93" t="str">
        <f>+VLOOKUP(Agencia[[#This Row],[Muestra]],Estructura!$M$4:$O$500,3,0)</f>
        <v>M-1091</v>
      </c>
    </row>
    <row r="1594" spans="1:27" ht="72" x14ac:dyDescent="0.3">
      <c r="A1594" s="21" t="s">
        <v>3484</v>
      </c>
      <c r="B1594" s="9">
        <v>990</v>
      </c>
      <c r="C1594" s="10" t="s">
        <v>400</v>
      </c>
      <c r="D1594" s="97" t="s">
        <v>502</v>
      </c>
      <c r="E1594" s="89">
        <v>1</v>
      </c>
      <c r="F1594" s="143" t="s">
        <v>2271</v>
      </c>
      <c r="G1594" s="10" t="s">
        <v>1909</v>
      </c>
      <c r="H1594" s="33" t="s">
        <v>16</v>
      </c>
      <c r="I1594" s="34" t="s">
        <v>368</v>
      </c>
      <c r="J1594" s="60" t="s">
        <v>18</v>
      </c>
      <c r="K1594" s="142" t="s">
        <v>2271</v>
      </c>
      <c r="L1594" s="9" t="s">
        <v>827</v>
      </c>
      <c r="M1594" s="9" t="s">
        <v>594</v>
      </c>
      <c r="N1594" s="9" t="s">
        <v>428</v>
      </c>
      <c r="O1594" s="9" t="s">
        <v>3338</v>
      </c>
      <c r="P1594" s="103" t="s">
        <v>7181</v>
      </c>
      <c r="Q1594" s="9" t="s">
        <v>794</v>
      </c>
      <c r="R1594" s="142" t="str">
        <f>Agencia[[#This Row],[territorio]]&amp;",comunas,comunal,plazas,públicas,municipal,municipio,superficie,hectáreas,"&amp;Agencia[[#This Row],[coleccion]]&amp;","&amp;Agencia[[#This Row],[sector]]&amp;","&amp;Agencia[[#This Row],[tema]]&amp;","&amp;Agencia[[#This Row],[contenido]]</f>
        <v>Región de Tarapacá,comunas,comunal,plazas,públicas,municipal,municipio,superficie,hectáreas,Agencia Información,Gobiernos locales,Plazas Públicas,Gestión Municipal Territorial</v>
      </c>
      <c r="S1594" s="54" t="s">
        <v>3242</v>
      </c>
      <c r="T1594" s="107" t="s">
        <v>1856</v>
      </c>
      <c r="U1594" s="46" t="s">
        <v>4488</v>
      </c>
      <c r="V1594" s="93" t="str">
        <f>+Agencia[[#This Row],[idcoleccion]]&amp;"-"&amp;Agencia[[#This Row],[id]]</f>
        <v>990-1583</v>
      </c>
      <c r="W1594" s="93">
        <f>+VLOOKUP(Agencia[[#This Row],[Filtro URL]],Estructura!$X$4:$Y$500,2,0)</f>
        <v>99200001</v>
      </c>
      <c r="X1594" s="93" t="str">
        <f>+VLOOKUP(Agencia[[#This Row],[tema]],Estructura!$A$4:$C$500,3,0)</f>
        <v>T-1043</v>
      </c>
      <c r="Y1594" s="93" t="str">
        <f>+VLOOKUP(Agencia[[#This Row],[contenido]],Estructura!$E$4:$G$500,3,0)</f>
        <v>C-1015</v>
      </c>
      <c r="Z1594" s="93" t="str">
        <f>+VLOOKUP(Agencia[[#This Row],[Filtro Integrado]],Estructura!$I$4:$K$500,3,0)</f>
        <v>FI-991</v>
      </c>
      <c r="AA1594" s="93" t="str">
        <f>+VLOOKUP(Agencia[[#This Row],[Muestra]],Estructura!$M$4:$O$500,3,0)</f>
        <v>M-1091</v>
      </c>
    </row>
    <row r="1595" spans="1:27" ht="72" x14ac:dyDescent="0.3">
      <c r="A1595" s="21" t="s">
        <v>3485</v>
      </c>
      <c r="B1595" s="9">
        <v>990</v>
      </c>
      <c r="C1595" s="10" t="s">
        <v>400</v>
      </c>
      <c r="D1595" s="97" t="s">
        <v>502</v>
      </c>
      <c r="E1595" s="89">
        <v>2</v>
      </c>
      <c r="F1595" s="143" t="s">
        <v>2271</v>
      </c>
      <c r="G1595" s="10" t="s">
        <v>1909</v>
      </c>
      <c r="H1595" s="33" t="s">
        <v>16</v>
      </c>
      <c r="I1595" s="34" t="s">
        <v>369</v>
      </c>
      <c r="J1595" s="60" t="s">
        <v>18</v>
      </c>
      <c r="K1595" s="142" t="s">
        <v>2271</v>
      </c>
      <c r="L1595" s="9" t="s">
        <v>827</v>
      </c>
      <c r="M1595" s="9" t="s">
        <v>594</v>
      </c>
      <c r="N1595" s="9" t="s">
        <v>428</v>
      </c>
      <c r="O1595" s="9" t="s">
        <v>3339</v>
      </c>
      <c r="P1595" s="103" t="s">
        <v>7182</v>
      </c>
      <c r="Q1595" s="9" t="s">
        <v>794</v>
      </c>
      <c r="R1595" s="142" t="str">
        <f>Agencia[[#This Row],[territorio]]&amp;",comunas,comunal,plazas,públicas,municipal,municipio,superficie,hectáreas,"&amp;Agencia[[#This Row],[coleccion]]&amp;","&amp;Agencia[[#This Row],[sector]]&amp;","&amp;Agencia[[#This Row],[tema]]&amp;","&amp;Agencia[[#This Row],[contenido]]</f>
        <v>Región de Antofagasta,comunas,comunal,plazas,públicas,municipal,municipio,superficie,hectáreas,Agencia Información,Gobiernos locales,Plazas Públicas,Gestión Municipal Territorial</v>
      </c>
      <c r="S1595" s="54" t="s">
        <v>3243</v>
      </c>
      <c r="T1595" s="107" t="s">
        <v>1844</v>
      </c>
      <c r="U1595" s="46" t="s">
        <v>4489</v>
      </c>
      <c r="V1595" s="93" t="str">
        <f>+Agencia[[#This Row],[idcoleccion]]&amp;"-"&amp;Agencia[[#This Row],[id]]</f>
        <v>990-1584</v>
      </c>
      <c r="W1595" s="93">
        <f>+VLOOKUP(Agencia[[#This Row],[Filtro URL]],Estructura!$X$4:$Y$500,2,0)</f>
        <v>99200002</v>
      </c>
      <c r="X1595" s="93" t="str">
        <f>+VLOOKUP(Agencia[[#This Row],[tema]],Estructura!$A$4:$C$500,3,0)</f>
        <v>T-1043</v>
      </c>
      <c r="Y1595" s="93" t="str">
        <f>+VLOOKUP(Agencia[[#This Row],[contenido]],Estructura!$E$4:$G$500,3,0)</f>
        <v>C-1015</v>
      </c>
      <c r="Z1595" s="93" t="str">
        <f>+VLOOKUP(Agencia[[#This Row],[Filtro Integrado]],Estructura!$I$4:$K$500,3,0)</f>
        <v>FI-991</v>
      </c>
      <c r="AA1595" s="93" t="str">
        <f>+VLOOKUP(Agencia[[#This Row],[Muestra]],Estructura!$M$4:$O$500,3,0)</f>
        <v>M-1091</v>
      </c>
    </row>
    <row r="1596" spans="1:27" ht="72" x14ac:dyDescent="0.3">
      <c r="A1596" s="21" t="s">
        <v>3486</v>
      </c>
      <c r="B1596" s="9">
        <v>990</v>
      </c>
      <c r="C1596" s="10" t="s">
        <v>400</v>
      </c>
      <c r="D1596" s="97" t="s">
        <v>502</v>
      </c>
      <c r="E1596" s="89">
        <v>3</v>
      </c>
      <c r="F1596" s="143" t="s">
        <v>2271</v>
      </c>
      <c r="G1596" s="10" t="s">
        <v>1909</v>
      </c>
      <c r="H1596" s="33" t="s">
        <v>16</v>
      </c>
      <c r="I1596" s="34" t="s">
        <v>370</v>
      </c>
      <c r="J1596" s="60" t="s">
        <v>18</v>
      </c>
      <c r="K1596" s="142" t="s">
        <v>2271</v>
      </c>
      <c r="L1596" s="9" t="s">
        <v>827</v>
      </c>
      <c r="M1596" s="9" t="s">
        <v>594</v>
      </c>
      <c r="N1596" s="9" t="s">
        <v>428</v>
      </c>
      <c r="O1596" s="9" t="s">
        <v>3340</v>
      </c>
      <c r="P1596" s="103" t="s">
        <v>7183</v>
      </c>
      <c r="Q1596" s="9" t="s">
        <v>794</v>
      </c>
      <c r="R1596" s="142" t="str">
        <f>Agencia[[#This Row],[territorio]]&amp;",comunas,comunal,plazas,públicas,municipal,municipio,superficie,hectáreas,"&amp;Agencia[[#This Row],[coleccion]]&amp;","&amp;Agencia[[#This Row],[sector]]&amp;","&amp;Agencia[[#This Row],[tema]]&amp;","&amp;Agencia[[#This Row],[contenido]]</f>
        <v>Región de Atacama,comunas,comunal,plazas,públicas,municipal,municipio,superficie,hectáreas,Agencia Información,Gobiernos locales,Plazas Públicas,Gestión Municipal Territorial</v>
      </c>
      <c r="S1596" s="54" t="s">
        <v>3244</v>
      </c>
      <c r="T1596" s="107" t="s">
        <v>1846</v>
      </c>
      <c r="U1596" s="46" t="s">
        <v>4490</v>
      </c>
      <c r="V1596" s="93" t="str">
        <f>+Agencia[[#This Row],[idcoleccion]]&amp;"-"&amp;Agencia[[#This Row],[id]]</f>
        <v>990-1585</v>
      </c>
      <c r="W1596" s="93">
        <f>+VLOOKUP(Agencia[[#This Row],[Filtro URL]],Estructura!$X$4:$Y$500,2,0)</f>
        <v>99200003</v>
      </c>
      <c r="X1596" s="93" t="str">
        <f>+VLOOKUP(Agencia[[#This Row],[tema]],Estructura!$A$4:$C$500,3,0)</f>
        <v>T-1043</v>
      </c>
      <c r="Y1596" s="93" t="str">
        <f>+VLOOKUP(Agencia[[#This Row],[contenido]],Estructura!$E$4:$G$500,3,0)</f>
        <v>C-1015</v>
      </c>
      <c r="Z1596" s="93" t="str">
        <f>+VLOOKUP(Agencia[[#This Row],[Filtro Integrado]],Estructura!$I$4:$K$500,3,0)</f>
        <v>FI-991</v>
      </c>
      <c r="AA1596" s="93" t="str">
        <f>+VLOOKUP(Agencia[[#This Row],[Muestra]],Estructura!$M$4:$O$500,3,0)</f>
        <v>M-1091</v>
      </c>
    </row>
    <row r="1597" spans="1:27" ht="72" x14ac:dyDescent="0.3">
      <c r="A1597" s="21" t="s">
        <v>3487</v>
      </c>
      <c r="B1597" s="9">
        <v>990</v>
      </c>
      <c r="C1597" s="10" t="s">
        <v>400</v>
      </c>
      <c r="D1597" s="97" t="s">
        <v>502</v>
      </c>
      <c r="E1597" s="89">
        <v>4</v>
      </c>
      <c r="F1597" s="143" t="s">
        <v>2271</v>
      </c>
      <c r="G1597" s="10" t="s">
        <v>1909</v>
      </c>
      <c r="H1597" s="33" t="s">
        <v>16</v>
      </c>
      <c r="I1597" s="34" t="s">
        <v>371</v>
      </c>
      <c r="J1597" s="60" t="s">
        <v>18</v>
      </c>
      <c r="K1597" s="142" t="s">
        <v>2271</v>
      </c>
      <c r="L1597" s="9" t="s">
        <v>827</v>
      </c>
      <c r="M1597" s="9" t="s">
        <v>594</v>
      </c>
      <c r="N1597" s="9" t="s">
        <v>428</v>
      </c>
      <c r="O1597" s="9" t="s">
        <v>3341</v>
      </c>
      <c r="P1597" s="103" t="s">
        <v>7184</v>
      </c>
      <c r="Q1597" s="9" t="s">
        <v>794</v>
      </c>
      <c r="R1597" s="142" t="str">
        <f>Agencia[[#This Row],[territorio]]&amp;",comunas,comunal,plazas,públicas,municipal,municipio,superficie,hectáreas,"&amp;Agencia[[#This Row],[coleccion]]&amp;","&amp;Agencia[[#This Row],[sector]]&amp;","&amp;Agencia[[#This Row],[tema]]&amp;","&amp;Agencia[[#This Row],[contenido]]</f>
        <v>Región de Coquimbo,comunas,comunal,plazas,públicas,municipal,municipio,superficie,hectáreas,Agencia Información,Gobiernos locales,Plazas Públicas,Gestión Municipal Territorial</v>
      </c>
      <c r="S1597" s="54" t="s">
        <v>3245</v>
      </c>
      <c r="T1597" s="107" t="s">
        <v>1848</v>
      </c>
      <c r="U1597" s="46" t="s">
        <v>4491</v>
      </c>
      <c r="V1597" s="93" t="str">
        <f>+Agencia[[#This Row],[idcoleccion]]&amp;"-"&amp;Agencia[[#This Row],[id]]</f>
        <v>990-1586</v>
      </c>
      <c r="W1597" s="93">
        <f>+VLOOKUP(Agencia[[#This Row],[Filtro URL]],Estructura!$X$4:$Y$500,2,0)</f>
        <v>99200004</v>
      </c>
      <c r="X1597" s="93" t="str">
        <f>+VLOOKUP(Agencia[[#This Row],[tema]],Estructura!$A$4:$C$500,3,0)</f>
        <v>T-1043</v>
      </c>
      <c r="Y1597" s="93" t="str">
        <f>+VLOOKUP(Agencia[[#This Row],[contenido]],Estructura!$E$4:$G$500,3,0)</f>
        <v>C-1015</v>
      </c>
      <c r="Z1597" s="93" t="str">
        <f>+VLOOKUP(Agencia[[#This Row],[Filtro Integrado]],Estructura!$I$4:$K$500,3,0)</f>
        <v>FI-991</v>
      </c>
      <c r="AA1597" s="93" t="str">
        <f>+VLOOKUP(Agencia[[#This Row],[Muestra]],Estructura!$M$4:$O$500,3,0)</f>
        <v>M-1091</v>
      </c>
    </row>
    <row r="1598" spans="1:27" ht="72" x14ac:dyDescent="0.3">
      <c r="A1598" s="21" t="s">
        <v>3488</v>
      </c>
      <c r="B1598" s="9">
        <v>990</v>
      </c>
      <c r="C1598" s="10" t="s">
        <v>400</v>
      </c>
      <c r="D1598" s="97" t="s">
        <v>502</v>
      </c>
      <c r="E1598" s="89">
        <v>5</v>
      </c>
      <c r="F1598" s="143" t="s">
        <v>2271</v>
      </c>
      <c r="G1598" s="10" t="s">
        <v>1909</v>
      </c>
      <c r="H1598" s="33" t="s">
        <v>16</v>
      </c>
      <c r="I1598" s="34" t="s">
        <v>372</v>
      </c>
      <c r="J1598" s="60" t="s">
        <v>18</v>
      </c>
      <c r="K1598" s="142" t="s">
        <v>2271</v>
      </c>
      <c r="L1598" s="9" t="s">
        <v>827</v>
      </c>
      <c r="M1598" s="9" t="s">
        <v>594</v>
      </c>
      <c r="N1598" s="9" t="s">
        <v>428</v>
      </c>
      <c r="O1598" s="9" t="s">
        <v>3342</v>
      </c>
      <c r="P1598" s="103" t="s">
        <v>7185</v>
      </c>
      <c r="Q1598" s="9" t="s">
        <v>794</v>
      </c>
      <c r="R1598" s="142" t="str">
        <f>Agencia[[#This Row],[territorio]]&amp;",comunas,comunal,plazas,públicas,municipal,municipio,superficie,hectáreas,"&amp;Agencia[[#This Row],[coleccion]]&amp;","&amp;Agencia[[#This Row],[sector]]&amp;","&amp;Agencia[[#This Row],[tema]]&amp;","&amp;Agencia[[#This Row],[contenido]]</f>
        <v>Región de Valparaíso,comunas,comunal,plazas,públicas,municipal,municipio,superficie,hectáreas,Agencia Información,Gobiernos locales,Plazas Públicas,Gestión Municipal Territorial</v>
      </c>
      <c r="S1598" s="54" t="s">
        <v>3246</v>
      </c>
      <c r="T1598" s="107" t="s">
        <v>1857</v>
      </c>
      <c r="U1598" s="46" t="s">
        <v>4492</v>
      </c>
      <c r="V1598" s="93" t="str">
        <f>+Agencia[[#This Row],[idcoleccion]]&amp;"-"&amp;Agencia[[#This Row],[id]]</f>
        <v>990-1587</v>
      </c>
      <c r="W1598" s="93">
        <f>+VLOOKUP(Agencia[[#This Row],[Filtro URL]],Estructura!$X$4:$Y$500,2,0)</f>
        <v>99200005</v>
      </c>
      <c r="X1598" s="93" t="str">
        <f>+VLOOKUP(Agencia[[#This Row],[tema]],Estructura!$A$4:$C$500,3,0)</f>
        <v>T-1043</v>
      </c>
      <c r="Y1598" s="93" t="str">
        <f>+VLOOKUP(Agencia[[#This Row],[contenido]],Estructura!$E$4:$G$500,3,0)</f>
        <v>C-1015</v>
      </c>
      <c r="Z1598" s="93" t="str">
        <f>+VLOOKUP(Agencia[[#This Row],[Filtro Integrado]],Estructura!$I$4:$K$500,3,0)</f>
        <v>FI-991</v>
      </c>
      <c r="AA1598" s="93" t="str">
        <f>+VLOOKUP(Agencia[[#This Row],[Muestra]],Estructura!$M$4:$O$500,3,0)</f>
        <v>M-1091</v>
      </c>
    </row>
    <row r="1599" spans="1:27" ht="72" x14ac:dyDescent="0.3">
      <c r="A1599" s="21" t="s">
        <v>3489</v>
      </c>
      <c r="B1599" s="9">
        <v>990</v>
      </c>
      <c r="C1599" s="10" t="s">
        <v>400</v>
      </c>
      <c r="D1599" s="97" t="s">
        <v>502</v>
      </c>
      <c r="E1599" s="89">
        <v>6</v>
      </c>
      <c r="F1599" s="143" t="s">
        <v>2271</v>
      </c>
      <c r="G1599" s="10" t="s">
        <v>1909</v>
      </c>
      <c r="H1599" s="33" t="s">
        <v>16</v>
      </c>
      <c r="I1599" s="34" t="s">
        <v>373</v>
      </c>
      <c r="J1599" s="60" t="s">
        <v>18</v>
      </c>
      <c r="K1599" s="142" t="s">
        <v>2271</v>
      </c>
      <c r="L1599" s="9" t="s">
        <v>827</v>
      </c>
      <c r="M1599" s="9" t="s">
        <v>594</v>
      </c>
      <c r="N1599" s="9" t="s">
        <v>428</v>
      </c>
      <c r="O1599" s="9" t="s">
        <v>3343</v>
      </c>
      <c r="P1599" s="103" t="s">
        <v>7186</v>
      </c>
      <c r="Q1599" s="9" t="s">
        <v>794</v>
      </c>
      <c r="R1599" s="142" t="str">
        <f>Agencia[[#This Row],[territorio]]&amp;",comunas,comunal,plazas,públicas,municipal,municipio,superficie,hectáreas,"&amp;Agencia[[#This Row],[coleccion]]&amp;","&amp;Agencia[[#This Row],[sector]]&amp;","&amp;Agencia[[#This Row],[tema]]&amp;","&amp;Agencia[[#This Row],[contenido]]</f>
        <v>Región de O'Higgins,comunas,comunal,plazas,públicas,municipal,municipio,superficie,hectáreas,Agencia Información,Gobiernos locales,Plazas Públicas,Gestión Municipal Territorial</v>
      </c>
      <c r="S1599" s="54" t="s">
        <v>3247</v>
      </c>
      <c r="T1599" s="107" t="s">
        <v>1855</v>
      </c>
      <c r="U1599" s="46" t="s">
        <v>4493</v>
      </c>
      <c r="V1599" s="93" t="str">
        <f>+Agencia[[#This Row],[idcoleccion]]&amp;"-"&amp;Agencia[[#This Row],[id]]</f>
        <v>990-1588</v>
      </c>
      <c r="W1599" s="93">
        <f>+VLOOKUP(Agencia[[#This Row],[Filtro URL]],Estructura!$X$4:$Y$500,2,0)</f>
        <v>99200006</v>
      </c>
      <c r="X1599" s="93" t="str">
        <f>+VLOOKUP(Agencia[[#This Row],[tema]],Estructura!$A$4:$C$500,3,0)</f>
        <v>T-1043</v>
      </c>
      <c r="Y1599" s="93" t="str">
        <f>+VLOOKUP(Agencia[[#This Row],[contenido]],Estructura!$E$4:$G$500,3,0)</f>
        <v>C-1015</v>
      </c>
      <c r="Z1599" s="93" t="str">
        <f>+VLOOKUP(Agencia[[#This Row],[Filtro Integrado]],Estructura!$I$4:$K$500,3,0)</f>
        <v>FI-991</v>
      </c>
      <c r="AA1599" s="93" t="str">
        <f>+VLOOKUP(Agencia[[#This Row],[Muestra]],Estructura!$M$4:$O$500,3,0)</f>
        <v>M-1091</v>
      </c>
    </row>
    <row r="1600" spans="1:27" ht="60" x14ac:dyDescent="0.3">
      <c r="A1600" s="21" t="s">
        <v>3490</v>
      </c>
      <c r="B1600" s="9">
        <v>990</v>
      </c>
      <c r="C1600" s="10" t="s">
        <v>400</v>
      </c>
      <c r="D1600" s="97" t="s">
        <v>502</v>
      </c>
      <c r="E1600" s="89">
        <v>7</v>
      </c>
      <c r="F1600" s="143" t="s">
        <v>2271</v>
      </c>
      <c r="G1600" s="10" t="s">
        <v>1909</v>
      </c>
      <c r="H1600" s="33" t="s">
        <v>16</v>
      </c>
      <c r="I1600" s="34" t="s">
        <v>374</v>
      </c>
      <c r="J1600" s="60" t="s">
        <v>18</v>
      </c>
      <c r="K1600" s="142" t="s">
        <v>2271</v>
      </c>
      <c r="L1600" s="9" t="s">
        <v>827</v>
      </c>
      <c r="M1600" s="9" t="s">
        <v>594</v>
      </c>
      <c r="N1600" s="9" t="s">
        <v>428</v>
      </c>
      <c r="O1600" s="9" t="s">
        <v>3344</v>
      </c>
      <c r="P1600" s="103" t="s">
        <v>7187</v>
      </c>
      <c r="Q1600" s="9" t="s">
        <v>794</v>
      </c>
      <c r="R1600" s="142" t="str">
        <f>Agencia[[#This Row],[territorio]]&amp;",comunas,comunal,plazas,públicas,municipal,municipio,superficie,hectáreas,"&amp;Agencia[[#This Row],[coleccion]]&amp;","&amp;Agencia[[#This Row],[sector]]&amp;","&amp;Agencia[[#This Row],[tema]]&amp;","&amp;Agencia[[#This Row],[contenido]]</f>
        <v>Región de Maule,comunas,comunal,plazas,públicas,municipal,municipio,superficie,hectáreas,Agencia Información,Gobiernos locales,Plazas Públicas,Gestión Municipal Territorial</v>
      </c>
      <c r="S1600" s="54" t="s">
        <v>3248</v>
      </c>
      <c r="T1600" s="107" t="s">
        <v>1853</v>
      </c>
      <c r="U1600" s="46" t="s">
        <v>4494</v>
      </c>
      <c r="V1600" s="93" t="str">
        <f>+Agencia[[#This Row],[idcoleccion]]&amp;"-"&amp;Agencia[[#This Row],[id]]</f>
        <v>990-1589</v>
      </c>
      <c r="W1600" s="93">
        <f>+VLOOKUP(Agencia[[#This Row],[Filtro URL]],Estructura!$X$4:$Y$500,2,0)</f>
        <v>99200007</v>
      </c>
      <c r="X1600" s="93" t="str">
        <f>+VLOOKUP(Agencia[[#This Row],[tema]],Estructura!$A$4:$C$500,3,0)</f>
        <v>T-1043</v>
      </c>
      <c r="Y1600" s="93" t="str">
        <f>+VLOOKUP(Agencia[[#This Row],[contenido]],Estructura!$E$4:$G$500,3,0)</f>
        <v>C-1015</v>
      </c>
      <c r="Z1600" s="93" t="str">
        <f>+VLOOKUP(Agencia[[#This Row],[Filtro Integrado]],Estructura!$I$4:$K$500,3,0)</f>
        <v>FI-991</v>
      </c>
      <c r="AA1600" s="93" t="str">
        <f>+VLOOKUP(Agencia[[#This Row],[Muestra]],Estructura!$M$4:$O$500,3,0)</f>
        <v>M-1091</v>
      </c>
    </row>
    <row r="1601" spans="1:27" ht="60" x14ac:dyDescent="0.3">
      <c r="A1601" s="21" t="s">
        <v>3491</v>
      </c>
      <c r="B1601" s="9">
        <v>990</v>
      </c>
      <c r="C1601" s="10" t="s">
        <v>400</v>
      </c>
      <c r="D1601" s="97" t="s">
        <v>502</v>
      </c>
      <c r="E1601" s="89">
        <v>8</v>
      </c>
      <c r="F1601" s="143" t="s">
        <v>2271</v>
      </c>
      <c r="G1601" s="10" t="s">
        <v>1909</v>
      </c>
      <c r="H1601" s="33" t="s">
        <v>16</v>
      </c>
      <c r="I1601" s="34" t="s">
        <v>375</v>
      </c>
      <c r="J1601" s="60" t="s">
        <v>18</v>
      </c>
      <c r="K1601" s="142" t="s">
        <v>2271</v>
      </c>
      <c r="L1601" s="9" t="s">
        <v>827</v>
      </c>
      <c r="M1601" s="9" t="s">
        <v>594</v>
      </c>
      <c r="N1601" s="9" t="s">
        <v>428</v>
      </c>
      <c r="O1601" s="9" t="s">
        <v>3345</v>
      </c>
      <c r="P1601" s="103" t="s">
        <v>7188</v>
      </c>
      <c r="Q1601" s="9" t="s">
        <v>794</v>
      </c>
      <c r="R1601" s="142" t="str">
        <f>Agencia[[#This Row],[territorio]]&amp;",comunas,comunal,plazas,públicas,municipal,municipio,superficie,hectáreas,"&amp;Agencia[[#This Row],[coleccion]]&amp;","&amp;Agencia[[#This Row],[sector]]&amp;","&amp;Agencia[[#This Row],[tema]]&amp;","&amp;Agencia[[#This Row],[contenido]]</f>
        <v>Región del Biobío,comunas,comunal,plazas,públicas,municipal,municipio,superficie,hectáreas,Agencia Información,Gobiernos locales,Plazas Públicas,Gestión Municipal Territorial</v>
      </c>
      <c r="S1601" s="54" t="s">
        <v>3249</v>
      </c>
      <c r="T1601" s="107" t="s">
        <v>1858</v>
      </c>
      <c r="U1601" s="46" t="s">
        <v>4495</v>
      </c>
      <c r="V1601" s="93" t="str">
        <f>+Agencia[[#This Row],[idcoleccion]]&amp;"-"&amp;Agencia[[#This Row],[id]]</f>
        <v>990-1590</v>
      </c>
      <c r="W1601" s="93">
        <f>+VLOOKUP(Agencia[[#This Row],[Filtro URL]],Estructura!$X$4:$Y$500,2,0)</f>
        <v>99200008</v>
      </c>
      <c r="X1601" s="93" t="str">
        <f>+VLOOKUP(Agencia[[#This Row],[tema]],Estructura!$A$4:$C$500,3,0)</f>
        <v>T-1043</v>
      </c>
      <c r="Y1601" s="93" t="str">
        <f>+VLOOKUP(Agencia[[#This Row],[contenido]],Estructura!$E$4:$G$500,3,0)</f>
        <v>C-1015</v>
      </c>
      <c r="Z1601" s="93" t="str">
        <f>+VLOOKUP(Agencia[[#This Row],[Filtro Integrado]],Estructura!$I$4:$K$500,3,0)</f>
        <v>FI-991</v>
      </c>
      <c r="AA1601" s="93" t="str">
        <f>+VLOOKUP(Agencia[[#This Row],[Muestra]],Estructura!$M$4:$O$500,3,0)</f>
        <v>M-1091</v>
      </c>
    </row>
    <row r="1602" spans="1:27" ht="72" x14ac:dyDescent="0.3">
      <c r="A1602" s="21" t="s">
        <v>3492</v>
      </c>
      <c r="B1602" s="9">
        <v>990</v>
      </c>
      <c r="C1602" s="10" t="s">
        <v>400</v>
      </c>
      <c r="D1602" s="97" t="s">
        <v>502</v>
      </c>
      <c r="E1602" s="89">
        <v>9</v>
      </c>
      <c r="F1602" s="143" t="s">
        <v>2271</v>
      </c>
      <c r="G1602" s="10" t="s">
        <v>1909</v>
      </c>
      <c r="H1602" s="33" t="s">
        <v>16</v>
      </c>
      <c r="I1602" s="34" t="s">
        <v>376</v>
      </c>
      <c r="J1602" s="60" t="s">
        <v>18</v>
      </c>
      <c r="K1602" s="142" t="s">
        <v>2271</v>
      </c>
      <c r="L1602" s="9" t="s">
        <v>827</v>
      </c>
      <c r="M1602" s="9" t="s">
        <v>594</v>
      </c>
      <c r="N1602" s="9" t="s">
        <v>428</v>
      </c>
      <c r="O1602" s="9" t="s">
        <v>3346</v>
      </c>
      <c r="P1602" s="103" t="s">
        <v>7189</v>
      </c>
      <c r="Q1602" s="9" t="s">
        <v>794</v>
      </c>
      <c r="R1602" s="142" t="str">
        <f>Agencia[[#This Row],[territorio]]&amp;",comunas,comunal,plazas,públicas,municipal,municipio,superficie,hectáreas,"&amp;Agencia[[#This Row],[coleccion]]&amp;","&amp;Agencia[[#This Row],[sector]]&amp;","&amp;Agencia[[#This Row],[tema]]&amp;","&amp;Agencia[[#This Row],[contenido]]</f>
        <v>Región de La Araucanía,comunas,comunal,plazas,públicas,municipal,municipio,superficie,hectáreas,Agencia Información,Gobiernos locales,Plazas Públicas,Gestión Municipal Territorial</v>
      </c>
      <c r="S1602" s="54" t="s">
        <v>3250</v>
      </c>
      <c r="T1602" s="107" t="s">
        <v>1849</v>
      </c>
      <c r="U1602" s="46" t="s">
        <v>4496</v>
      </c>
      <c r="V1602" s="93" t="str">
        <f>+Agencia[[#This Row],[idcoleccion]]&amp;"-"&amp;Agencia[[#This Row],[id]]</f>
        <v>990-1591</v>
      </c>
      <c r="W1602" s="93">
        <f>+VLOOKUP(Agencia[[#This Row],[Filtro URL]],Estructura!$X$4:$Y$500,2,0)</f>
        <v>99200009</v>
      </c>
      <c r="X1602" s="93" t="str">
        <f>+VLOOKUP(Agencia[[#This Row],[tema]],Estructura!$A$4:$C$500,3,0)</f>
        <v>T-1043</v>
      </c>
      <c r="Y1602" s="93" t="str">
        <f>+VLOOKUP(Agencia[[#This Row],[contenido]],Estructura!$E$4:$G$500,3,0)</f>
        <v>C-1015</v>
      </c>
      <c r="Z1602" s="93" t="str">
        <f>+VLOOKUP(Agencia[[#This Row],[Filtro Integrado]],Estructura!$I$4:$K$500,3,0)</f>
        <v>FI-991</v>
      </c>
      <c r="AA1602" s="93" t="str">
        <f>+VLOOKUP(Agencia[[#This Row],[Muestra]],Estructura!$M$4:$O$500,3,0)</f>
        <v>M-1091</v>
      </c>
    </row>
    <row r="1603" spans="1:27" ht="60" x14ac:dyDescent="0.3">
      <c r="A1603" s="21" t="s">
        <v>3493</v>
      </c>
      <c r="B1603" s="9">
        <v>990</v>
      </c>
      <c r="C1603" s="10" t="s">
        <v>400</v>
      </c>
      <c r="D1603" s="97" t="s">
        <v>502</v>
      </c>
      <c r="E1603" s="89">
        <v>10</v>
      </c>
      <c r="F1603" s="143" t="s">
        <v>2271</v>
      </c>
      <c r="G1603" s="10" t="s">
        <v>1909</v>
      </c>
      <c r="H1603" s="33" t="s">
        <v>16</v>
      </c>
      <c r="I1603" s="34" t="s">
        <v>377</v>
      </c>
      <c r="J1603" s="60" t="s">
        <v>18</v>
      </c>
      <c r="K1603" s="142" t="s">
        <v>2271</v>
      </c>
      <c r="L1603" s="9" t="s">
        <v>827</v>
      </c>
      <c r="M1603" s="9" t="s">
        <v>594</v>
      </c>
      <c r="N1603" s="9" t="s">
        <v>428</v>
      </c>
      <c r="O1603" s="9" t="s">
        <v>3347</v>
      </c>
      <c r="P1603" s="103" t="s">
        <v>7190</v>
      </c>
      <c r="Q1603" s="9" t="s">
        <v>794</v>
      </c>
      <c r="R1603" s="142" t="str">
        <f>Agencia[[#This Row],[territorio]]&amp;",comunas,comunal,plazas,públicas,municipal,municipio,superficie,hectáreas,"&amp;Agencia[[#This Row],[coleccion]]&amp;","&amp;Agencia[[#This Row],[sector]]&amp;","&amp;Agencia[[#This Row],[tema]]&amp;","&amp;Agencia[[#This Row],[contenido]]</f>
        <v>Región de Los Lagos,comunas,comunal,plazas,públicas,municipal,municipio,superficie,hectáreas,Agencia Información,Gobiernos locales,Plazas Públicas,Gestión Municipal Territorial</v>
      </c>
      <c r="S1603" s="54" t="s">
        <v>3251</v>
      </c>
      <c r="T1603" s="107" t="s">
        <v>1850</v>
      </c>
      <c r="U1603" s="46" t="s">
        <v>4497</v>
      </c>
      <c r="V1603" s="93" t="str">
        <f>+Agencia[[#This Row],[idcoleccion]]&amp;"-"&amp;Agencia[[#This Row],[id]]</f>
        <v>990-1592</v>
      </c>
      <c r="W1603" s="93">
        <f>+VLOOKUP(Agencia[[#This Row],[Filtro URL]],Estructura!$X$4:$Y$500,2,0)</f>
        <v>99200010</v>
      </c>
      <c r="X1603" s="93" t="str">
        <f>+VLOOKUP(Agencia[[#This Row],[tema]],Estructura!$A$4:$C$500,3,0)</f>
        <v>T-1043</v>
      </c>
      <c r="Y1603" s="93" t="str">
        <f>+VLOOKUP(Agencia[[#This Row],[contenido]],Estructura!$E$4:$G$500,3,0)</f>
        <v>C-1015</v>
      </c>
      <c r="Z1603" s="93" t="str">
        <f>+VLOOKUP(Agencia[[#This Row],[Filtro Integrado]],Estructura!$I$4:$K$500,3,0)</f>
        <v>FI-991</v>
      </c>
      <c r="AA1603" s="93" t="str">
        <f>+VLOOKUP(Agencia[[#This Row],[Muestra]],Estructura!$M$4:$O$500,3,0)</f>
        <v>M-1091</v>
      </c>
    </row>
    <row r="1604" spans="1:27" ht="60" x14ac:dyDescent="0.3">
      <c r="A1604" s="21" t="s">
        <v>3494</v>
      </c>
      <c r="B1604" s="9">
        <v>990</v>
      </c>
      <c r="C1604" s="10" t="s">
        <v>400</v>
      </c>
      <c r="D1604" s="97" t="s">
        <v>502</v>
      </c>
      <c r="E1604" s="89">
        <v>11</v>
      </c>
      <c r="F1604" s="143" t="s">
        <v>2271</v>
      </c>
      <c r="G1604" s="10" t="s">
        <v>1909</v>
      </c>
      <c r="H1604" s="33" t="s">
        <v>16</v>
      </c>
      <c r="I1604" s="34" t="s">
        <v>378</v>
      </c>
      <c r="J1604" s="60" t="s">
        <v>18</v>
      </c>
      <c r="K1604" s="142" t="s">
        <v>2271</v>
      </c>
      <c r="L1604" s="9" t="s">
        <v>827</v>
      </c>
      <c r="M1604" s="9" t="s">
        <v>594</v>
      </c>
      <c r="N1604" s="9" t="s">
        <v>428</v>
      </c>
      <c r="O1604" s="9" t="s">
        <v>3348</v>
      </c>
      <c r="P1604" s="103" t="s">
        <v>7191</v>
      </c>
      <c r="Q1604" s="9" t="s">
        <v>794</v>
      </c>
      <c r="R1604" s="142" t="str">
        <f>Agencia[[#This Row],[territorio]]&amp;",comunas,comunal,plazas,públicas,municipal,municipio,superficie,hectáreas,"&amp;Agencia[[#This Row],[coleccion]]&amp;","&amp;Agencia[[#This Row],[sector]]&amp;","&amp;Agencia[[#This Row],[tema]]&amp;","&amp;Agencia[[#This Row],[contenido]]</f>
        <v>Región de Aysén,comunas,comunal,plazas,públicas,municipal,municipio,superficie,hectáreas,Agencia Información,Gobiernos locales,Plazas Públicas,Gestión Municipal Territorial</v>
      </c>
      <c r="S1604" s="54" t="s">
        <v>3252</v>
      </c>
      <c r="T1604" s="107" t="s">
        <v>1847</v>
      </c>
      <c r="U1604" s="46" t="s">
        <v>4498</v>
      </c>
      <c r="V1604" s="93" t="str">
        <f>+Agencia[[#This Row],[idcoleccion]]&amp;"-"&amp;Agencia[[#This Row],[id]]</f>
        <v>990-1593</v>
      </c>
      <c r="W1604" s="93">
        <f>+VLOOKUP(Agencia[[#This Row],[Filtro URL]],Estructura!$X$4:$Y$500,2,0)</f>
        <v>99200011</v>
      </c>
      <c r="X1604" s="93" t="str">
        <f>+VLOOKUP(Agencia[[#This Row],[tema]],Estructura!$A$4:$C$500,3,0)</f>
        <v>T-1043</v>
      </c>
      <c r="Y1604" s="93" t="str">
        <f>+VLOOKUP(Agencia[[#This Row],[contenido]],Estructura!$E$4:$G$500,3,0)</f>
        <v>C-1015</v>
      </c>
      <c r="Z1604" s="93" t="str">
        <f>+VLOOKUP(Agencia[[#This Row],[Filtro Integrado]],Estructura!$I$4:$K$500,3,0)</f>
        <v>FI-991</v>
      </c>
      <c r="AA1604" s="93" t="str">
        <f>+VLOOKUP(Agencia[[#This Row],[Muestra]],Estructura!$M$4:$O$500,3,0)</f>
        <v>M-1091</v>
      </c>
    </row>
    <row r="1605" spans="1:27" ht="72" x14ac:dyDescent="0.3">
      <c r="A1605" s="21" t="s">
        <v>3495</v>
      </c>
      <c r="B1605" s="9">
        <v>990</v>
      </c>
      <c r="C1605" s="10" t="s">
        <v>400</v>
      </c>
      <c r="D1605" s="97" t="s">
        <v>502</v>
      </c>
      <c r="E1605" s="89">
        <v>12</v>
      </c>
      <c r="F1605" s="143" t="s">
        <v>2271</v>
      </c>
      <c r="G1605" s="10" t="s">
        <v>1909</v>
      </c>
      <c r="H1605" s="33" t="s">
        <v>16</v>
      </c>
      <c r="I1605" s="34" t="s">
        <v>379</v>
      </c>
      <c r="J1605" s="60" t="s">
        <v>18</v>
      </c>
      <c r="K1605" s="142" t="s">
        <v>2271</v>
      </c>
      <c r="L1605" s="9" t="s">
        <v>827</v>
      </c>
      <c r="M1605" s="9" t="s">
        <v>594</v>
      </c>
      <c r="N1605" s="9" t="s">
        <v>428</v>
      </c>
      <c r="O1605" s="9" t="s">
        <v>3349</v>
      </c>
      <c r="P1605" s="103" t="s">
        <v>7192</v>
      </c>
      <c r="Q1605" s="9" t="s">
        <v>794</v>
      </c>
      <c r="R1605" s="142" t="str">
        <f>Agencia[[#This Row],[territorio]]&amp;",comunas,comunal,plazas,públicas,municipal,municipio,superficie,hectáreas,"&amp;Agencia[[#This Row],[coleccion]]&amp;","&amp;Agencia[[#This Row],[sector]]&amp;","&amp;Agencia[[#This Row],[tema]]&amp;","&amp;Agencia[[#This Row],[contenido]]</f>
        <v>Región de Magallanes,comunas,comunal,plazas,públicas,municipal,municipio,superficie,hectáreas,Agencia Información,Gobiernos locales,Plazas Públicas,Gestión Municipal Territorial</v>
      </c>
      <c r="S1605" s="54" t="s">
        <v>3253</v>
      </c>
      <c r="T1605" s="107" t="s">
        <v>1852</v>
      </c>
      <c r="U1605" s="46" t="s">
        <v>4499</v>
      </c>
      <c r="V1605" s="93" t="str">
        <f>+Agencia[[#This Row],[idcoleccion]]&amp;"-"&amp;Agencia[[#This Row],[id]]</f>
        <v>990-1594</v>
      </c>
      <c r="W1605" s="93">
        <f>+VLOOKUP(Agencia[[#This Row],[Filtro URL]],Estructura!$X$4:$Y$500,2,0)</f>
        <v>99200012</v>
      </c>
      <c r="X1605" s="93" t="str">
        <f>+VLOOKUP(Agencia[[#This Row],[tema]],Estructura!$A$4:$C$500,3,0)</f>
        <v>T-1043</v>
      </c>
      <c r="Y1605" s="93" t="str">
        <f>+VLOOKUP(Agencia[[#This Row],[contenido]],Estructura!$E$4:$G$500,3,0)</f>
        <v>C-1015</v>
      </c>
      <c r="Z1605" s="93" t="str">
        <f>+VLOOKUP(Agencia[[#This Row],[Filtro Integrado]],Estructura!$I$4:$K$500,3,0)</f>
        <v>FI-991</v>
      </c>
      <c r="AA1605" s="93" t="str">
        <f>+VLOOKUP(Agencia[[#This Row],[Muestra]],Estructura!$M$4:$O$500,3,0)</f>
        <v>M-1091</v>
      </c>
    </row>
    <row r="1606" spans="1:27" ht="72" x14ac:dyDescent="0.3">
      <c r="A1606" s="21" t="s">
        <v>3496</v>
      </c>
      <c r="B1606" s="9">
        <v>990</v>
      </c>
      <c r="C1606" s="10" t="s">
        <v>400</v>
      </c>
      <c r="D1606" s="97" t="s">
        <v>502</v>
      </c>
      <c r="E1606" s="89">
        <v>13</v>
      </c>
      <c r="F1606" s="143" t="s">
        <v>2271</v>
      </c>
      <c r="G1606" s="10" t="s">
        <v>1909</v>
      </c>
      <c r="H1606" s="33" t="s">
        <v>16</v>
      </c>
      <c r="I1606" s="34" t="s">
        <v>380</v>
      </c>
      <c r="J1606" s="60" t="s">
        <v>18</v>
      </c>
      <c r="K1606" s="142" t="s">
        <v>2271</v>
      </c>
      <c r="L1606" s="9" t="s">
        <v>827</v>
      </c>
      <c r="M1606" s="9" t="s">
        <v>594</v>
      </c>
      <c r="N1606" s="9" t="s">
        <v>428</v>
      </c>
      <c r="O1606" s="9" t="s">
        <v>3350</v>
      </c>
      <c r="P1606" s="103" t="s">
        <v>7193</v>
      </c>
      <c r="Q1606" s="9" t="s">
        <v>794</v>
      </c>
      <c r="R1606" s="142" t="str">
        <f>Agencia[[#This Row],[territorio]]&amp;",comunas,comunal,plazas,públicas,municipal,municipio,superficie,hectáreas,"&amp;Agencia[[#This Row],[coleccion]]&amp;","&amp;Agencia[[#This Row],[sector]]&amp;","&amp;Agencia[[#This Row],[tema]]&amp;","&amp;Agencia[[#This Row],[contenido]]</f>
        <v>Región Metropolitana,comunas,comunal,plazas,públicas,municipal,municipio,superficie,hectáreas,Agencia Información,Gobiernos locales,Plazas Públicas,Gestión Municipal Territorial</v>
      </c>
      <c r="S1606" s="54" t="s">
        <v>3254</v>
      </c>
      <c r="T1606" s="107" t="s">
        <v>1859</v>
      </c>
      <c r="U1606" s="46" t="s">
        <v>4500</v>
      </c>
      <c r="V1606" s="93" t="str">
        <f>+Agencia[[#This Row],[idcoleccion]]&amp;"-"&amp;Agencia[[#This Row],[id]]</f>
        <v>990-1595</v>
      </c>
      <c r="W1606" s="93">
        <f>+VLOOKUP(Agencia[[#This Row],[Filtro URL]],Estructura!$X$4:$Y$500,2,0)</f>
        <v>99200013</v>
      </c>
      <c r="X1606" s="93" t="str">
        <f>+VLOOKUP(Agencia[[#This Row],[tema]],Estructura!$A$4:$C$500,3,0)</f>
        <v>T-1043</v>
      </c>
      <c r="Y1606" s="93" t="str">
        <f>+VLOOKUP(Agencia[[#This Row],[contenido]],Estructura!$E$4:$G$500,3,0)</f>
        <v>C-1015</v>
      </c>
      <c r="Z1606" s="93" t="str">
        <f>+VLOOKUP(Agencia[[#This Row],[Filtro Integrado]],Estructura!$I$4:$K$500,3,0)</f>
        <v>FI-991</v>
      </c>
      <c r="AA1606" s="93" t="str">
        <f>+VLOOKUP(Agencia[[#This Row],[Muestra]],Estructura!$M$4:$O$500,3,0)</f>
        <v>M-1091</v>
      </c>
    </row>
    <row r="1607" spans="1:27" ht="60" x14ac:dyDescent="0.3">
      <c r="A1607" s="21" t="s">
        <v>3497</v>
      </c>
      <c r="B1607" s="9">
        <v>990</v>
      </c>
      <c r="C1607" s="10" t="s">
        <v>400</v>
      </c>
      <c r="D1607" s="97" t="s">
        <v>502</v>
      </c>
      <c r="E1607" s="89">
        <v>14</v>
      </c>
      <c r="F1607" s="143" t="s">
        <v>2271</v>
      </c>
      <c r="G1607" s="10" t="s">
        <v>1909</v>
      </c>
      <c r="H1607" s="33" t="s">
        <v>16</v>
      </c>
      <c r="I1607" s="34" t="s">
        <v>381</v>
      </c>
      <c r="J1607" s="60" t="s">
        <v>18</v>
      </c>
      <c r="K1607" s="142" t="s">
        <v>2271</v>
      </c>
      <c r="L1607" s="9" t="s">
        <v>827</v>
      </c>
      <c r="M1607" s="9" t="s">
        <v>594</v>
      </c>
      <c r="N1607" s="9" t="s">
        <v>428</v>
      </c>
      <c r="O1607" s="9" t="s">
        <v>3351</v>
      </c>
      <c r="P1607" s="103" t="s">
        <v>7194</v>
      </c>
      <c r="Q1607" s="9" t="s">
        <v>794</v>
      </c>
      <c r="R1607" s="142" t="str">
        <f>Agencia[[#This Row],[territorio]]&amp;",comunas,comunal,plazas,públicas,municipal,municipio,superficie,hectáreas,"&amp;Agencia[[#This Row],[coleccion]]&amp;","&amp;Agencia[[#This Row],[sector]]&amp;","&amp;Agencia[[#This Row],[tema]]&amp;","&amp;Agencia[[#This Row],[contenido]]</f>
        <v>Región de Los Ríos,comunas,comunal,plazas,públicas,municipal,municipio,superficie,hectáreas,Agencia Información,Gobiernos locales,Plazas Públicas,Gestión Municipal Territorial</v>
      </c>
      <c r="S1607" s="54" t="s">
        <v>3255</v>
      </c>
      <c r="T1607" s="107" t="s">
        <v>1851</v>
      </c>
      <c r="U1607" s="46" t="s">
        <v>4501</v>
      </c>
      <c r="V1607" s="93" t="str">
        <f>+Agencia[[#This Row],[idcoleccion]]&amp;"-"&amp;Agencia[[#This Row],[id]]</f>
        <v>990-1596</v>
      </c>
      <c r="W1607" s="93">
        <f>+VLOOKUP(Agencia[[#This Row],[Filtro URL]],Estructura!$X$4:$Y$500,2,0)</f>
        <v>99200014</v>
      </c>
      <c r="X1607" s="93" t="str">
        <f>+VLOOKUP(Agencia[[#This Row],[tema]],Estructura!$A$4:$C$500,3,0)</f>
        <v>T-1043</v>
      </c>
      <c r="Y1607" s="93" t="str">
        <f>+VLOOKUP(Agencia[[#This Row],[contenido]],Estructura!$E$4:$G$500,3,0)</f>
        <v>C-1015</v>
      </c>
      <c r="Z1607" s="93" t="str">
        <f>+VLOOKUP(Agencia[[#This Row],[Filtro Integrado]],Estructura!$I$4:$K$500,3,0)</f>
        <v>FI-991</v>
      </c>
      <c r="AA1607" s="93" t="str">
        <f>+VLOOKUP(Agencia[[#This Row],[Muestra]],Estructura!$M$4:$O$500,3,0)</f>
        <v>M-1091</v>
      </c>
    </row>
    <row r="1608" spans="1:27" ht="72" x14ac:dyDescent="0.3">
      <c r="A1608" s="21" t="s">
        <v>3498</v>
      </c>
      <c r="B1608" s="9">
        <v>990</v>
      </c>
      <c r="C1608" s="10" t="s">
        <v>400</v>
      </c>
      <c r="D1608" s="97" t="s">
        <v>502</v>
      </c>
      <c r="E1608" s="89">
        <v>15</v>
      </c>
      <c r="F1608" s="143" t="s">
        <v>2271</v>
      </c>
      <c r="G1608" s="10" t="s">
        <v>1909</v>
      </c>
      <c r="H1608" s="33" t="s">
        <v>16</v>
      </c>
      <c r="I1608" s="34" t="s">
        <v>382</v>
      </c>
      <c r="J1608" s="60" t="s">
        <v>18</v>
      </c>
      <c r="K1608" s="142" t="s">
        <v>2271</v>
      </c>
      <c r="L1608" s="9" t="s">
        <v>827</v>
      </c>
      <c r="M1608" s="9" t="s">
        <v>594</v>
      </c>
      <c r="N1608" s="9" t="s">
        <v>428</v>
      </c>
      <c r="O1608" s="9" t="s">
        <v>3352</v>
      </c>
      <c r="P1608" s="103" t="s">
        <v>7195</v>
      </c>
      <c r="Q1608" s="9" t="s">
        <v>794</v>
      </c>
      <c r="R1608" s="142" t="str">
        <f>Agencia[[#This Row],[territorio]]&amp;",comunas,comunal,plazas,públicas,municipal,municipio,superficie,hectáreas,"&amp;Agencia[[#This Row],[coleccion]]&amp;","&amp;Agencia[[#This Row],[sector]]&amp;","&amp;Agencia[[#This Row],[tema]]&amp;","&amp;Agencia[[#This Row],[contenido]]</f>
        <v>Región de Arica y Parinacota,comunas,comunal,plazas,públicas,municipal,municipio,superficie,hectáreas,Agencia Información,Gobiernos locales,Plazas Públicas,Gestión Municipal Territorial</v>
      </c>
      <c r="S1608" s="54" t="s">
        <v>3256</v>
      </c>
      <c r="T1608" s="107" t="s">
        <v>1845</v>
      </c>
      <c r="U1608" s="46" t="s">
        <v>4502</v>
      </c>
      <c r="V1608" s="93" t="str">
        <f>+Agencia[[#This Row],[idcoleccion]]&amp;"-"&amp;Agencia[[#This Row],[id]]</f>
        <v>990-1597</v>
      </c>
      <c r="W1608" s="93">
        <f>+VLOOKUP(Agencia[[#This Row],[Filtro URL]],Estructura!$X$4:$Y$500,2,0)</f>
        <v>99200015</v>
      </c>
      <c r="X1608" s="93" t="str">
        <f>+VLOOKUP(Agencia[[#This Row],[tema]],Estructura!$A$4:$C$500,3,0)</f>
        <v>T-1043</v>
      </c>
      <c r="Y1608" s="93" t="str">
        <f>+VLOOKUP(Agencia[[#This Row],[contenido]],Estructura!$E$4:$G$500,3,0)</f>
        <v>C-1015</v>
      </c>
      <c r="Z1608" s="93" t="str">
        <f>+VLOOKUP(Agencia[[#This Row],[Filtro Integrado]],Estructura!$I$4:$K$500,3,0)</f>
        <v>FI-991</v>
      </c>
      <c r="AA1608" s="93" t="str">
        <f>+VLOOKUP(Agencia[[#This Row],[Muestra]],Estructura!$M$4:$O$500,3,0)</f>
        <v>M-1091</v>
      </c>
    </row>
    <row r="1609" spans="1:27" ht="60" x14ac:dyDescent="0.3">
      <c r="A1609" s="21" t="s">
        <v>3499</v>
      </c>
      <c r="B1609" s="9">
        <v>990</v>
      </c>
      <c r="C1609" s="10" t="s">
        <v>400</v>
      </c>
      <c r="D1609" s="97" t="s">
        <v>502</v>
      </c>
      <c r="E1609" s="89">
        <v>16</v>
      </c>
      <c r="F1609" s="143" t="s">
        <v>2271</v>
      </c>
      <c r="G1609" s="10" t="s">
        <v>1909</v>
      </c>
      <c r="H1609" s="33" t="s">
        <v>16</v>
      </c>
      <c r="I1609" s="34" t="s">
        <v>383</v>
      </c>
      <c r="J1609" s="60" t="s">
        <v>18</v>
      </c>
      <c r="K1609" s="142" t="s">
        <v>2271</v>
      </c>
      <c r="L1609" s="9" t="s">
        <v>827</v>
      </c>
      <c r="M1609" s="9" t="s">
        <v>594</v>
      </c>
      <c r="N1609" s="9" t="s">
        <v>428</v>
      </c>
      <c r="O1609" s="142" t="s">
        <v>7197</v>
      </c>
      <c r="P1609" s="103" t="s">
        <v>7196</v>
      </c>
      <c r="Q1609" s="142" t="s">
        <v>794</v>
      </c>
      <c r="R1609" s="142" t="str">
        <f>Agencia[[#This Row],[territorio]]&amp;",comunas,comunal,plazas,públicas,municipal,municipio,superficie,hectáreas,"&amp;Agencia[[#This Row],[coleccion]]&amp;","&amp;Agencia[[#This Row],[sector]]&amp;","&amp;Agencia[[#This Row],[tema]]&amp;","&amp;Agencia[[#This Row],[contenido]]</f>
        <v>Región de Ñuble,comunas,comunal,plazas,públicas,municipal,municipio,superficie,hectáreas,Agencia Información,Gobiernos locales,Plazas Públicas,Gestión Municipal Territorial</v>
      </c>
      <c r="S1609" s="54" t="s">
        <v>3257</v>
      </c>
      <c r="T1609" s="107" t="s">
        <v>1854</v>
      </c>
      <c r="U1609" s="46" t="s">
        <v>4503</v>
      </c>
      <c r="V1609" s="93" t="str">
        <f>+Agencia[[#This Row],[idcoleccion]]&amp;"-"&amp;Agencia[[#This Row],[id]]</f>
        <v>990-1598</v>
      </c>
      <c r="W1609" s="93">
        <f>+VLOOKUP(Agencia[[#This Row],[Filtro URL]],Estructura!$X$4:$Y$500,2,0)</f>
        <v>99200016</v>
      </c>
      <c r="X1609" s="93" t="str">
        <f>+VLOOKUP(Agencia[[#This Row],[tema]],Estructura!$A$4:$C$500,3,0)</f>
        <v>T-1043</v>
      </c>
      <c r="Y1609" s="93" t="str">
        <f>+VLOOKUP(Agencia[[#This Row],[contenido]],Estructura!$E$4:$G$500,3,0)</f>
        <v>C-1015</v>
      </c>
      <c r="Z1609" s="93" t="str">
        <f>+VLOOKUP(Agencia[[#This Row],[Filtro Integrado]],Estructura!$I$4:$K$500,3,0)</f>
        <v>FI-991</v>
      </c>
      <c r="AA1609" s="93" t="str">
        <f>+VLOOKUP(Agencia[[#This Row],[Muestra]],Estructura!$M$4:$O$500,3,0)</f>
        <v>M-1091</v>
      </c>
    </row>
    <row r="1610" spans="1:27" ht="84" x14ac:dyDescent="0.3">
      <c r="A1610" s="21" t="s">
        <v>3500</v>
      </c>
      <c r="B1610" s="9">
        <v>990</v>
      </c>
      <c r="C1610" s="10" t="s">
        <v>400</v>
      </c>
      <c r="D1610" s="97" t="s">
        <v>823</v>
      </c>
      <c r="E1610" s="90">
        <v>0</v>
      </c>
      <c r="F1610" s="10" t="s">
        <v>940</v>
      </c>
      <c r="G1610" s="10" t="s">
        <v>3258</v>
      </c>
      <c r="H1610" s="31" t="s">
        <v>20</v>
      </c>
      <c r="I1610" s="32" t="s">
        <v>15</v>
      </c>
      <c r="J1610" s="60" t="s">
        <v>3180</v>
      </c>
      <c r="K1610" s="9" t="s">
        <v>9256</v>
      </c>
      <c r="L1610" s="9" t="s">
        <v>2189</v>
      </c>
      <c r="M1610" s="9" t="s">
        <v>864</v>
      </c>
      <c r="N1610" s="9" t="s">
        <v>2185</v>
      </c>
      <c r="O1610" s="67" t="s">
        <v>3259</v>
      </c>
      <c r="P1610" s="121" t="s">
        <v>6505</v>
      </c>
      <c r="Q1610" s="9" t="s">
        <v>784</v>
      </c>
      <c r="R1610" s="9" t="str">
        <f>Agencia[[#This Row],[territorio]]&amp;",evolución,nacional,producto,importado,importación,comercio,exterior,internacional,valor,USD,dólar, dólares,mundial,minería,alimentos,fruta,"&amp;Agencia[[#This Row],[coleccion]]&amp;","&amp;Agencia[[#This Row],[sector]]&amp;","&amp;Agencia[[#This Row],[tema]]&amp;","&amp;Agencia[[#This Row],[contenido]]</f>
        <v>Chile,evolución,nacional,producto,importado,importación,comercio,exterior,internacional,valor,USD,dólar, dólares,mundial,minería,alimentos,fruta,Agencia Información,Economía,Importaciones,Comercio exterior</v>
      </c>
      <c r="S1610" s="54" t="s">
        <v>3260</v>
      </c>
      <c r="T1610" s="107">
        <v>0</v>
      </c>
      <c r="U1610" s="46" t="s">
        <v>4504</v>
      </c>
      <c r="V1610" s="93" t="str">
        <f>+Agencia[[#This Row],[idcoleccion]]&amp;"-"&amp;Agencia[[#This Row],[id]]</f>
        <v>990-1599</v>
      </c>
      <c r="W1610" s="93">
        <f>+VLOOKUP(Agencia[[#This Row],[Filtro URL]],Estructura!$X$4:$Y$500,2,0)</f>
        <v>99100000</v>
      </c>
      <c r="X1610" s="93" t="str">
        <f>+VLOOKUP(Agencia[[#This Row],[tema]],Estructura!$A$4:$C$500,3,0)</f>
        <v>T-1031</v>
      </c>
      <c r="Y1610" s="93" t="str">
        <f>+VLOOKUP(Agencia[[#This Row],[contenido]],Estructura!$E$4:$G$500,3,0)</f>
        <v>C-1014</v>
      </c>
      <c r="Z1610" s="93" t="str">
        <f>+VLOOKUP(Agencia[[#This Row],[Filtro Integrado]],Estructura!$I$4:$K$500,3,0)</f>
        <v>FI-1006</v>
      </c>
      <c r="AA1610" s="93" t="str">
        <f>+VLOOKUP(Agencia[[#This Row],[Muestra]],Estructura!$M$4:$O$500,3,0)</f>
        <v>M-1086</v>
      </c>
    </row>
    <row r="1611" spans="1:27" ht="74.400000000000006" customHeight="1" x14ac:dyDescent="0.3">
      <c r="A1611" s="21" t="s">
        <v>3501</v>
      </c>
      <c r="B1611" s="9">
        <v>990</v>
      </c>
      <c r="C1611" s="10" t="s">
        <v>400</v>
      </c>
      <c r="D1611" s="97" t="s">
        <v>823</v>
      </c>
      <c r="E1611" s="90">
        <v>0</v>
      </c>
      <c r="F1611" s="10" t="s">
        <v>3261</v>
      </c>
      <c r="G1611" s="10" t="s">
        <v>3258</v>
      </c>
      <c r="H1611" s="31" t="s">
        <v>20</v>
      </c>
      <c r="I1611" s="32" t="s">
        <v>15</v>
      </c>
      <c r="J1611" s="60" t="s">
        <v>3180</v>
      </c>
      <c r="K1611" s="9" t="s">
        <v>9262</v>
      </c>
      <c r="L1611" s="9" t="s">
        <v>2189</v>
      </c>
      <c r="M1611" s="9" t="s">
        <v>864</v>
      </c>
      <c r="N1611" s="9" t="s">
        <v>2185</v>
      </c>
      <c r="O1611" s="67" t="s">
        <v>3262</v>
      </c>
      <c r="P1611" s="121" t="s">
        <v>6506</v>
      </c>
      <c r="Q1611" s="9" t="s">
        <v>784</v>
      </c>
      <c r="R1611" s="9" t="str">
        <f>Agencia[[#This Row],[territorio]]&amp;",evolución,nacional,trimestre,exportación,importación,comparación,comercio,exterior,internacional,valor,USD,dólar,dólares,"&amp;Agencia[[#This Row],[coleccion]]&amp;","&amp;Agencia[[#This Row],[sector]]&amp;","&amp;Agencia[[#This Row],[tema]]&amp;","&amp;Agencia[[#This Row],[contenido]]</f>
        <v>Chile,evolución,nacional,trimestre,exportación,importación,comparación,comercio,exterior,internacional,valor,USD,dólar,dólares,Agencia Información,Economía,Importaciones y exportaciones,Comercio exterior</v>
      </c>
      <c r="S1611" s="54" t="s">
        <v>3263</v>
      </c>
      <c r="T1611" s="107">
        <v>0</v>
      </c>
      <c r="U1611" s="46" t="s">
        <v>4505</v>
      </c>
      <c r="V1611" s="93" t="str">
        <f>+Agencia[[#This Row],[idcoleccion]]&amp;"-"&amp;Agencia[[#This Row],[id]]</f>
        <v>990-1600</v>
      </c>
      <c r="W1611" s="93">
        <f>+VLOOKUP(Agencia[[#This Row],[Filtro URL]],Estructura!$X$4:$Y$500,2,0)</f>
        <v>99100000</v>
      </c>
      <c r="X1611" s="93" t="str">
        <f>+VLOOKUP(Agencia[[#This Row],[tema]],Estructura!$A$4:$C$500,3,0)</f>
        <v>T-1065</v>
      </c>
      <c r="Y1611" s="93" t="str">
        <f>+VLOOKUP(Agencia[[#This Row],[contenido]],Estructura!$E$4:$G$500,3,0)</f>
        <v>C-1014</v>
      </c>
      <c r="Z1611" s="93" t="str">
        <f>+VLOOKUP(Agencia[[#This Row],[Filtro Integrado]],Estructura!$I$4:$K$500,3,0)</f>
        <v>FI-1006</v>
      </c>
      <c r="AA1611" s="93" t="str">
        <f>+VLOOKUP(Agencia[[#This Row],[Muestra]],Estructura!$M$4:$O$500,3,0)</f>
        <v>M-1106</v>
      </c>
    </row>
    <row r="1612" spans="1:27" ht="60" x14ac:dyDescent="0.3">
      <c r="A1612" s="21" t="s">
        <v>3502</v>
      </c>
      <c r="B1612" s="9">
        <v>990</v>
      </c>
      <c r="C1612" s="10" t="s">
        <v>400</v>
      </c>
      <c r="D1612" s="97" t="s">
        <v>823</v>
      </c>
      <c r="E1612" s="90">
        <v>0</v>
      </c>
      <c r="F1612" s="10" t="s">
        <v>572</v>
      </c>
      <c r="G1612" s="10" t="s">
        <v>3258</v>
      </c>
      <c r="H1612" s="31" t="s">
        <v>20</v>
      </c>
      <c r="I1612" s="32" t="s">
        <v>15</v>
      </c>
      <c r="J1612" s="60" t="s">
        <v>20</v>
      </c>
      <c r="K1612" s="9" t="s">
        <v>9258</v>
      </c>
      <c r="L1612" s="9" t="s">
        <v>2189</v>
      </c>
      <c r="M1612" s="9" t="s">
        <v>864</v>
      </c>
      <c r="N1612" s="66" t="s">
        <v>575</v>
      </c>
      <c r="O1612" s="67" t="s">
        <v>5169</v>
      </c>
      <c r="P1612" s="121" t="s">
        <v>5992</v>
      </c>
      <c r="Q1612" s="9" t="s">
        <v>794</v>
      </c>
      <c r="R1612" s="9" t="str">
        <f>Agencia[[#This Row],[territorio]]&amp;",nacional,exportación,comercio,exterior,internacional,valor,USD,dólar,dólares,mundial,China,Canadá,USA,"&amp;Agencia[[#This Row],[coleccion]]&amp;","&amp;Agencia[[#This Row],[sector]]&amp;","&amp;Agencia[[#This Row],[tema]]&amp;","&amp;Agencia[[#This Row],[contenido]]</f>
        <v>Chile,nacional,exportación,comercio,exterior,internacional,valor,USD,dólar,dólares,mundial,China,Canadá,USA,Agencia Información,Economía,Exportaciones,Comercio exterior</v>
      </c>
      <c r="S1612" s="54" t="s">
        <v>3264</v>
      </c>
      <c r="T1612" s="107">
        <v>0</v>
      </c>
      <c r="U1612" s="46" t="s">
        <v>4506</v>
      </c>
      <c r="V1612" s="93" t="str">
        <f>+Agencia[[#This Row],[idcoleccion]]&amp;"-"&amp;Agencia[[#This Row],[id]]</f>
        <v>990-1601</v>
      </c>
      <c r="W1612" s="93">
        <f>+VLOOKUP(Agencia[[#This Row],[Filtro URL]],Estructura!$X$4:$Y$500,2,0)</f>
        <v>99100000</v>
      </c>
      <c r="X1612" s="93" t="str">
        <f>+VLOOKUP(Agencia[[#This Row],[tema]],Estructura!$A$4:$C$500,3,0)</f>
        <v>T-1020</v>
      </c>
      <c r="Y1612" s="93" t="str">
        <f>+VLOOKUP(Agencia[[#This Row],[contenido]],Estructura!$E$4:$G$500,3,0)</f>
        <v>C-1014</v>
      </c>
      <c r="Z1612" s="93" t="str">
        <f>+VLOOKUP(Agencia[[#This Row],[Filtro Integrado]],Estructura!$I$4:$K$500,3,0)</f>
        <v>FI-1008</v>
      </c>
      <c r="AA1612" s="93" t="str">
        <f>+VLOOKUP(Agencia[[#This Row],[Muestra]],Estructura!$M$4:$O$500,3,0)</f>
        <v>M-1084</v>
      </c>
    </row>
    <row r="1613" spans="1:27" ht="60.9" customHeight="1" x14ac:dyDescent="0.3">
      <c r="A1613" s="21" t="s">
        <v>3503</v>
      </c>
      <c r="B1613" s="9">
        <v>990</v>
      </c>
      <c r="C1613" s="10" t="s">
        <v>400</v>
      </c>
      <c r="D1613" s="97" t="s">
        <v>823</v>
      </c>
      <c r="E1613" s="90">
        <v>0</v>
      </c>
      <c r="F1613" s="10" t="s">
        <v>940</v>
      </c>
      <c r="G1613" s="10" t="s">
        <v>3258</v>
      </c>
      <c r="H1613" s="31" t="s">
        <v>20</v>
      </c>
      <c r="I1613" s="32" t="s">
        <v>15</v>
      </c>
      <c r="J1613" s="60" t="s">
        <v>403</v>
      </c>
      <c r="K1613" s="142" t="s">
        <v>9256</v>
      </c>
      <c r="L1613" s="9" t="s">
        <v>596</v>
      </c>
      <c r="M1613" s="9" t="s">
        <v>864</v>
      </c>
      <c r="N1613" s="9" t="s">
        <v>2185</v>
      </c>
      <c r="O1613" s="67" t="s">
        <v>3265</v>
      </c>
      <c r="P1613" s="121" t="s">
        <v>5995</v>
      </c>
      <c r="Q1613" s="9" t="s">
        <v>794</v>
      </c>
      <c r="R1613" s="9" t="str">
        <f>Agencia[[#This Row],[territorio]]&amp;",nacional,importación,comercio,exterior,internacional,valor,USD,dólar,dólares,mundial,Argentina,Brasil,USA,alimentos,país,origen,"&amp;Agencia[[#This Row],[coleccion]]&amp;","&amp;Agencia[[#This Row],[sector]]&amp;","&amp;Agencia[[#This Row],[tema]]&amp;","&amp;Agencia[[#This Row],[contenido]]</f>
        <v>Chile,nacional,importación,comercio,exterior,internacional,valor,USD,dólar,dólares,mundial,Argentina,Brasil,USA,alimentos,país,origen,Agencia Información,Economía,Importaciones,Comercio exterior</v>
      </c>
      <c r="S1613" s="54" t="s">
        <v>3266</v>
      </c>
      <c r="T1613" s="107">
        <v>0</v>
      </c>
      <c r="U1613" s="46" t="s">
        <v>4507</v>
      </c>
      <c r="V1613" s="93" t="str">
        <f>+Agencia[[#This Row],[idcoleccion]]&amp;"-"&amp;Agencia[[#This Row],[id]]</f>
        <v>990-1602</v>
      </c>
      <c r="W1613" s="93">
        <f>+VLOOKUP(Agencia[[#This Row],[Filtro URL]],Estructura!$X$4:$Y$500,2,0)</f>
        <v>99100000</v>
      </c>
      <c r="X1613" s="93" t="str">
        <f>+VLOOKUP(Agencia[[#This Row],[tema]],Estructura!$A$4:$C$500,3,0)</f>
        <v>T-1031</v>
      </c>
      <c r="Y1613" s="93" t="str">
        <f>+VLOOKUP(Agencia[[#This Row],[contenido]],Estructura!$E$4:$G$500,3,0)</f>
        <v>C-1014</v>
      </c>
      <c r="Z1613" s="93" t="str">
        <f>+VLOOKUP(Agencia[[#This Row],[Filtro Integrado]],Estructura!$I$4:$K$500,3,0)</f>
        <v>FI-993</v>
      </c>
      <c r="AA1613" s="93" t="str">
        <f>+VLOOKUP(Agencia[[#This Row],[Muestra]],Estructura!$M$4:$O$500,3,0)</f>
        <v>M-1086</v>
      </c>
    </row>
    <row r="1614" spans="1:27" ht="72" x14ac:dyDescent="0.3">
      <c r="A1614" s="21" t="s">
        <v>3504</v>
      </c>
      <c r="B1614" s="9">
        <v>990</v>
      </c>
      <c r="C1614" s="10" t="s">
        <v>400</v>
      </c>
      <c r="D1614" s="97" t="s">
        <v>823</v>
      </c>
      <c r="E1614" s="90">
        <v>0</v>
      </c>
      <c r="F1614" s="10" t="s">
        <v>572</v>
      </c>
      <c r="G1614" s="10" t="s">
        <v>3258</v>
      </c>
      <c r="H1614" s="31" t="s">
        <v>20</v>
      </c>
      <c r="I1614" s="32" t="s">
        <v>15</v>
      </c>
      <c r="J1614" s="60" t="s">
        <v>2184</v>
      </c>
      <c r="K1614" s="142" t="s">
        <v>9258</v>
      </c>
      <c r="L1614" s="9" t="s">
        <v>2189</v>
      </c>
      <c r="M1614" s="9" t="s">
        <v>864</v>
      </c>
      <c r="N1614" s="66" t="s">
        <v>575</v>
      </c>
      <c r="O1614" s="67" t="s">
        <v>3267</v>
      </c>
      <c r="P1614" s="121" t="s">
        <v>5993</v>
      </c>
      <c r="Q1614" s="9" t="s">
        <v>784</v>
      </c>
      <c r="R1614" s="9" t="str">
        <f>Agencia[[#This Row],[territorio]]&amp;"evolución,nacional,exportación,comercio,exterior,internacional,valor,USD,dólar,dólares,mundial,producto,minero,minería,detalle,cobre,"&amp;Agencia[[#This Row],[coleccion]]&amp;","&amp;Agencia[[#This Row],[sector]]&amp;","&amp;Agencia[[#This Row],[tema]]&amp;","&amp;Agencia[[#This Row],[contenido]]</f>
        <v>Chileevolución,nacional,exportación,comercio,exterior,internacional,valor,USD,dólar,dólares,mundial,producto,minero,minería,detalle,cobre,Agencia Información,Economía,Exportaciones,Comercio exterior</v>
      </c>
      <c r="S1614" s="54" t="s">
        <v>3268</v>
      </c>
      <c r="T1614" s="107">
        <v>0</v>
      </c>
      <c r="U1614" s="46" t="s">
        <v>4508</v>
      </c>
      <c r="V1614" s="93" t="str">
        <f>+Agencia[[#This Row],[idcoleccion]]&amp;"-"&amp;Agencia[[#This Row],[id]]</f>
        <v>990-1603</v>
      </c>
      <c r="W1614" s="93">
        <f>+VLOOKUP(Agencia[[#This Row],[Filtro URL]],Estructura!$X$4:$Y$500,2,0)</f>
        <v>99100000</v>
      </c>
      <c r="X1614" s="93" t="str">
        <f>+VLOOKUP(Agencia[[#This Row],[tema]],Estructura!$A$4:$C$500,3,0)</f>
        <v>T-1020</v>
      </c>
      <c r="Y1614" s="93" t="str">
        <f>+VLOOKUP(Agencia[[#This Row],[contenido]],Estructura!$E$4:$G$500,3,0)</f>
        <v>C-1014</v>
      </c>
      <c r="Z1614" s="93" t="str">
        <f>+VLOOKUP(Agencia[[#This Row],[Filtro Integrado]],Estructura!$I$4:$K$500,3,0)</f>
        <v>FI-1003</v>
      </c>
      <c r="AA1614" s="93" t="str">
        <f>+VLOOKUP(Agencia[[#This Row],[Muestra]],Estructura!$M$4:$O$500,3,0)</f>
        <v>M-1084</v>
      </c>
    </row>
    <row r="1615" spans="1:27" ht="61.2" x14ac:dyDescent="0.3">
      <c r="A1615" s="21" t="s">
        <v>3505</v>
      </c>
      <c r="B1615" s="71">
        <v>990</v>
      </c>
      <c r="C1615" s="72" t="s">
        <v>400</v>
      </c>
      <c r="D1615" s="72" t="s">
        <v>823</v>
      </c>
      <c r="E1615" s="90">
        <v>0</v>
      </c>
      <c r="F1615" s="72" t="s">
        <v>4279</v>
      </c>
      <c r="G1615" s="73" t="s">
        <v>823</v>
      </c>
      <c r="H1615" s="77" t="s">
        <v>20</v>
      </c>
      <c r="I1615" s="78" t="s">
        <v>15</v>
      </c>
      <c r="J1615" s="71" t="s">
        <v>3194</v>
      </c>
      <c r="K1615" s="71" t="s">
        <v>3613</v>
      </c>
      <c r="L1615" s="71" t="s">
        <v>1445</v>
      </c>
      <c r="M1615" s="86" t="s">
        <v>3614</v>
      </c>
      <c r="N1615" s="66" t="s">
        <v>1370</v>
      </c>
      <c r="O1615" s="74" t="s">
        <v>3615</v>
      </c>
      <c r="P1615" s="113" t="s">
        <v>3616</v>
      </c>
      <c r="Q1615" s="75" t="s">
        <v>784</v>
      </c>
      <c r="R1615" s="74" t="str">
        <f>Agencia[[#This Row],[territorio]]&amp;",índice,producción,manufacturera,manufactura,nacional,industria,evolución,productividad,"&amp;Agencia[[#This Row],[coleccion]]&amp;","&amp;Agencia[[#This Row],[sector]]&amp;","&amp;Agencia[[#This Row],[tema]]&amp;","&amp;Agencia[[#This Row],[contenido]]</f>
        <v>Chile,índice,producción,manufacturera,manufactura,nacional,industria,evolución,productividad,Agencia Información,Economía,Producción Manufacturera,Economía</v>
      </c>
      <c r="S1615" s="81" t="s">
        <v>3617</v>
      </c>
      <c r="T1615" s="109" t="s">
        <v>805</v>
      </c>
      <c r="U1615" s="46" t="s">
        <v>4509</v>
      </c>
      <c r="V1615" s="93" t="str">
        <f>+Agencia[[#This Row],[idcoleccion]]&amp;"-"&amp;Agencia[[#This Row],[id]]</f>
        <v>990-1604</v>
      </c>
      <c r="W1615" s="96">
        <v>99100000</v>
      </c>
      <c r="X1615" s="93" t="str">
        <f>+VLOOKUP(Agencia[[#This Row],[tema]],Estructura!$A$4:$C$500,3,0)</f>
        <v>T-1066</v>
      </c>
      <c r="Y1615" s="93" t="str">
        <f>+VLOOKUP(Agencia[[#This Row],[contenido]],Estructura!$E$4:$G$500,3,0)</f>
        <v>C-1028</v>
      </c>
      <c r="Z1615" s="93" t="str">
        <f>+VLOOKUP(Agencia[[#This Row],[Filtro Integrado]],Estructura!$I$4:$K$500,3,0)</f>
        <v>FI-1007</v>
      </c>
      <c r="AA1615" s="93" t="str">
        <f>+VLOOKUP(Agencia[[#This Row],[Muestra]],Estructura!$M$4:$O$500,3,0)</f>
        <v>M-1019</v>
      </c>
    </row>
    <row r="1616" spans="1:27" ht="61.2" x14ac:dyDescent="0.3">
      <c r="A1616" s="21" t="s">
        <v>3506</v>
      </c>
      <c r="B1616" s="71">
        <v>990</v>
      </c>
      <c r="C1616" s="72" t="s">
        <v>400</v>
      </c>
      <c r="D1616" s="72" t="s">
        <v>823</v>
      </c>
      <c r="E1616" s="89">
        <v>5</v>
      </c>
      <c r="F1616" s="72" t="s">
        <v>4279</v>
      </c>
      <c r="G1616" s="73" t="s">
        <v>823</v>
      </c>
      <c r="H1616" s="79" t="s">
        <v>16</v>
      </c>
      <c r="I1616" s="80" t="s">
        <v>372</v>
      </c>
      <c r="J1616" s="66" t="s">
        <v>3180</v>
      </c>
      <c r="K1616" s="71" t="s">
        <v>3613</v>
      </c>
      <c r="L1616" s="71" t="s">
        <v>1445</v>
      </c>
      <c r="M1616" s="86" t="s">
        <v>3614</v>
      </c>
      <c r="N1616" s="66" t="s">
        <v>1370</v>
      </c>
      <c r="O1616" s="74" t="s">
        <v>3618</v>
      </c>
      <c r="P1616" s="113" t="s">
        <v>3619</v>
      </c>
      <c r="Q1616" s="68" t="s">
        <v>784</v>
      </c>
      <c r="R1616" s="74" t="str">
        <f>Agencia[[#This Row],[territorio]]&amp;",índice,producción,manufacturera,manufactura,nacional,industria,evolución,productividad,"&amp;Agencia[[#This Row],[coleccion]]&amp;","&amp;Agencia[[#This Row],[sector]]&amp;","&amp;Agencia[[#This Row],[tema]]&amp;","&amp;Agencia[[#This Row],[contenido]]</f>
        <v>Región de Valparaíso,índice,producción,manufacturera,manufactura,nacional,industria,evolución,productividad,Agencia Información,Economía,Producción Manufacturera,Economía</v>
      </c>
      <c r="S1616" s="87" t="s">
        <v>3620</v>
      </c>
      <c r="T1616" s="110" t="s">
        <v>1873</v>
      </c>
      <c r="U1616" s="46" t="s">
        <v>4510</v>
      </c>
      <c r="V1616" s="93" t="str">
        <f>+Agencia[[#This Row],[idcoleccion]]&amp;"-"&amp;Agencia[[#This Row],[id]]</f>
        <v>990-1605</v>
      </c>
      <c r="W1616" s="96">
        <v>99200005</v>
      </c>
      <c r="X1616" s="93" t="str">
        <f>+VLOOKUP(Agencia[[#This Row],[tema]],Estructura!$A$4:$C$500,3,0)</f>
        <v>T-1066</v>
      </c>
      <c r="Y1616" s="93" t="str">
        <f>+VLOOKUP(Agencia[[#This Row],[contenido]],Estructura!$E$4:$G$500,3,0)</f>
        <v>C-1028</v>
      </c>
      <c r="Z1616" s="93" t="str">
        <f>+VLOOKUP(Agencia[[#This Row],[Filtro Integrado]],Estructura!$I$4:$K$500,3,0)</f>
        <v>FI-1006</v>
      </c>
      <c r="AA1616" s="93" t="str">
        <f>+VLOOKUP(Agencia[[#This Row],[Muestra]],Estructura!$M$4:$O$500,3,0)</f>
        <v>M-1019</v>
      </c>
    </row>
    <row r="1617" spans="1:27" ht="61.2" x14ac:dyDescent="0.3">
      <c r="A1617" s="21" t="s">
        <v>3507</v>
      </c>
      <c r="B1617" s="71">
        <v>990</v>
      </c>
      <c r="C1617" s="72" t="s">
        <v>400</v>
      </c>
      <c r="D1617" s="72" t="s">
        <v>823</v>
      </c>
      <c r="E1617" s="89">
        <v>6</v>
      </c>
      <c r="F1617" s="72" t="s">
        <v>4279</v>
      </c>
      <c r="G1617" s="73" t="s">
        <v>823</v>
      </c>
      <c r="H1617" s="79" t="s">
        <v>16</v>
      </c>
      <c r="I1617" s="80" t="s">
        <v>373</v>
      </c>
      <c r="J1617" s="66" t="s">
        <v>3180</v>
      </c>
      <c r="K1617" s="71" t="s">
        <v>3613</v>
      </c>
      <c r="L1617" s="71" t="s">
        <v>1445</v>
      </c>
      <c r="M1617" s="86" t="s">
        <v>3614</v>
      </c>
      <c r="N1617" s="66" t="s">
        <v>1370</v>
      </c>
      <c r="O1617" s="74" t="s">
        <v>3621</v>
      </c>
      <c r="P1617" s="113" t="s">
        <v>3622</v>
      </c>
      <c r="Q1617" s="68" t="s">
        <v>784</v>
      </c>
      <c r="R1617" s="74" t="str">
        <f>Agencia[[#This Row],[territorio]]&amp;",índice,producción,manufacturera,manufactura,nacional,industria,evolución,productividad,"&amp;Agencia[[#This Row],[coleccion]]&amp;","&amp;Agencia[[#This Row],[sector]]&amp;","&amp;Agencia[[#This Row],[tema]]&amp;","&amp;Agencia[[#This Row],[contenido]]</f>
        <v>Región de O'Higgins,índice,producción,manufacturera,manufactura,nacional,industria,evolución,productividad,Agencia Información,Economía,Producción Manufacturera,Economía</v>
      </c>
      <c r="S1617" s="87" t="s">
        <v>3623</v>
      </c>
      <c r="T1617" s="110" t="s">
        <v>1871</v>
      </c>
      <c r="U1617" s="46" t="s">
        <v>4511</v>
      </c>
      <c r="V1617" s="93" t="str">
        <f>+Agencia[[#This Row],[idcoleccion]]&amp;"-"&amp;Agencia[[#This Row],[id]]</f>
        <v>990-1606</v>
      </c>
      <c r="W1617" s="96">
        <v>99200006</v>
      </c>
      <c r="X1617" s="93" t="str">
        <f>+VLOOKUP(Agencia[[#This Row],[tema]],Estructura!$A$4:$C$500,3,0)</f>
        <v>T-1066</v>
      </c>
      <c r="Y1617" s="93" t="str">
        <f>+VLOOKUP(Agencia[[#This Row],[contenido]],Estructura!$E$4:$G$500,3,0)</f>
        <v>C-1028</v>
      </c>
      <c r="Z1617" s="93" t="str">
        <f>+VLOOKUP(Agencia[[#This Row],[Filtro Integrado]],Estructura!$I$4:$K$500,3,0)</f>
        <v>FI-1006</v>
      </c>
      <c r="AA1617" s="93" t="str">
        <f>+VLOOKUP(Agencia[[#This Row],[Muestra]],Estructura!$M$4:$O$500,3,0)</f>
        <v>M-1019</v>
      </c>
    </row>
    <row r="1618" spans="1:27" ht="61.2" x14ac:dyDescent="0.3">
      <c r="A1618" s="21" t="s">
        <v>3508</v>
      </c>
      <c r="B1618" s="71">
        <v>990</v>
      </c>
      <c r="C1618" s="72" t="s">
        <v>400</v>
      </c>
      <c r="D1618" s="72" t="s">
        <v>823</v>
      </c>
      <c r="E1618" s="89">
        <v>8</v>
      </c>
      <c r="F1618" s="72" t="s">
        <v>4279</v>
      </c>
      <c r="G1618" s="73" t="s">
        <v>823</v>
      </c>
      <c r="H1618" s="79" t="s">
        <v>16</v>
      </c>
      <c r="I1618" s="80" t="s">
        <v>375</v>
      </c>
      <c r="J1618" s="66" t="s">
        <v>3180</v>
      </c>
      <c r="K1618" s="71" t="s">
        <v>3613</v>
      </c>
      <c r="L1618" s="71" t="s">
        <v>1445</v>
      </c>
      <c r="M1618" s="86" t="s">
        <v>3614</v>
      </c>
      <c r="N1618" s="66" t="s">
        <v>1370</v>
      </c>
      <c r="O1618" s="74" t="s">
        <v>3624</v>
      </c>
      <c r="P1618" s="113" t="s">
        <v>3625</v>
      </c>
      <c r="Q1618" s="68" t="s">
        <v>784</v>
      </c>
      <c r="R1618" s="74" t="str">
        <f>Agencia[[#This Row],[territorio]]&amp;",índice,producción,manufacturera,manufactura,nacional,industria,evolución,productividad,"&amp;Agencia[[#This Row],[coleccion]]&amp;","&amp;Agencia[[#This Row],[sector]]&amp;","&amp;Agencia[[#This Row],[tema]]&amp;","&amp;Agencia[[#This Row],[contenido]]</f>
        <v>Región del Biobío,índice,producción,manufacturera,manufactura,nacional,industria,evolución,productividad,Agencia Información,Economía,Producción Manufacturera,Economía</v>
      </c>
      <c r="S1618" s="87" t="s">
        <v>3626</v>
      </c>
      <c r="T1618" s="110" t="s">
        <v>1874</v>
      </c>
      <c r="U1618" s="46" t="s">
        <v>4512</v>
      </c>
      <c r="V1618" s="93" t="str">
        <f>+Agencia[[#This Row],[idcoleccion]]&amp;"-"&amp;Agencia[[#This Row],[id]]</f>
        <v>990-1607</v>
      </c>
      <c r="W1618" s="96">
        <v>99200008</v>
      </c>
      <c r="X1618" s="93" t="str">
        <f>+VLOOKUP(Agencia[[#This Row],[tema]],Estructura!$A$4:$C$500,3,0)</f>
        <v>T-1066</v>
      </c>
      <c r="Y1618" s="93" t="str">
        <f>+VLOOKUP(Agencia[[#This Row],[contenido]],Estructura!$E$4:$G$500,3,0)</f>
        <v>C-1028</v>
      </c>
      <c r="Z1618" s="93" t="str">
        <f>+VLOOKUP(Agencia[[#This Row],[Filtro Integrado]],Estructura!$I$4:$K$500,3,0)</f>
        <v>FI-1006</v>
      </c>
      <c r="AA1618" s="93" t="str">
        <f>+VLOOKUP(Agencia[[#This Row],[Muestra]],Estructura!$M$4:$O$500,3,0)</f>
        <v>M-1019</v>
      </c>
    </row>
    <row r="1619" spans="1:27" ht="71.400000000000006" x14ac:dyDescent="0.3">
      <c r="A1619" s="21" t="s">
        <v>3509</v>
      </c>
      <c r="B1619" s="71">
        <v>990</v>
      </c>
      <c r="C1619" s="72" t="s">
        <v>400</v>
      </c>
      <c r="D1619" s="72" t="s">
        <v>823</v>
      </c>
      <c r="E1619" s="89">
        <v>9</v>
      </c>
      <c r="F1619" s="72" t="s">
        <v>4279</v>
      </c>
      <c r="G1619" s="73" t="s">
        <v>823</v>
      </c>
      <c r="H1619" s="79" t="s">
        <v>16</v>
      </c>
      <c r="I1619" s="80" t="s">
        <v>376</v>
      </c>
      <c r="J1619" s="66" t="s">
        <v>3180</v>
      </c>
      <c r="K1619" s="71" t="s">
        <v>3613</v>
      </c>
      <c r="L1619" s="71" t="s">
        <v>1445</v>
      </c>
      <c r="M1619" s="86" t="s">
        <v>3614</v>
      </c>
      <c r="N1619" s="66" t="s">
        <v>1370</v>
      </c>
      <c r="O1619" s="74" t="s">
        <v>3627</v>
      </c>
      <c r="P1619" s="113" t="s">
        <v>3628</v>
      </c>
      <c r="Q1619" s="68" t="s">
        <v>784</v>
      </c>
      <c r="R1619" s="74" t="str">
        <f>Agencia[[#This Row],[territorio]]&amp;",índice,producción,manufacturera,manufactura,nacional,industria,evolución,productividad,"&amp;Agencia[[#This Row],[coleccion]]&amp;","&amp;Agencia[[#This Row],[sector]]&amp;","&amp;Agencia[[#This Row],[tema]]&amp;","&amp;Agencia[[#This Row],[contenido]]</f>
        <v>Región de La Araucanía,índice,producción,manufacturera,manufactura,nacional,industria,evolución,productividad,Agencia Información,Economía,Producción Manufacturera,Economía</v>
      </c>
      <c r="S1619" s="87" t="s">
        <v>3629</v>
      </c>
      <c r="T1619" s="110" t="s">
        <v>1865</v>
      </c>
      <c r="U1619" s="46" t="s">
        <v>4513</v>
      </c>
      <c r="V1619" s="93" t="str">
        <f>+Agencia[[#This Row],[idcoleccion]]&amp;"-"&amp;Agencia[[#This Row],[id]]</f>
        <v>990-1608</v>
      </c>
      <c r="W1619" s="96">
        <v>99200009</v>
      </c>
      <c r="X1619" s="93" t="str">
        <f>+VLOOKUP(Agencia[[#This Row],[tema]],Estructura!$A$4:$C$500,3,0)</f>
        <v>T-1066</v>
      </c>
      <c r="Y1619" s="93" t="str">
        <f>+VLOOKUP(Agencia[[#This Row],[contenido]],Estructura!$E$4:$G$500,3,0)</f>
        <v>C-1028</v>
      </c>
      <c r="Z1619" s="93" t="str">
        <f>+VLOOKUP(Agencia[[#This Row],[Filtro Integrado]],Estructura!$I$4:$K$500,3,0)</f>
        <v>FI-1006</v>
      </c>
      <c r="AA1619" s="93" t="str">
        <f>+VLOOKUP(Agencia[[#This Row],[Muestra]],Estructura!$M$4:$O$500,3,0)</f>
        <v>M-1019</v>
      </c>
    </row>
    <row r="1620" spans="1:27" ht="61.2" x14ac:dyDescent="0.3">
      <c r="A1620" s="21" t="s">
        <v>3510</v>
      </c>
      <c r="B1620" s="71">
        <v>990</v>
      </c>
      <c r="C1620" s="72" t="s">
        <v>400</v>
      </c>
      <c r="D1620" s="72" t="s">
        <v>823</v>
      </c>
      <c r="E1620" s="89">
        <v>14</v>
      </c>
      <c r="F1620" s="72" t="s">
        <v>4279</v>
      </c>
      <c r="G1620" s="73" t="s">
        <v>823</v>
      </c>
      <c r="H1620" s="79" t="s">
        <v>16</v>
      </c>
      <c r="I1620" s="80" t="s">
        <v>381</v>
      </c>
      <c r="J1620" s="66" t="s">
        <v>3180</v>
      </c>
      <c r="K1620" s="71" t="s">
        <v>3613</v>
      </c>
      <c r="L1620" s="71" t="s">
        <v>1445</v>
      </c>
      <c r="M1620" s="86" t="s">
        <v>3614</v>
      </c>
      <c r="N1620" s="66" t="s">
        <v>1370</v>
      </c>
      <c r="O1620" s="74" t="s">
        <v>3630</v>
      </c>
      <c r="P1620" s="113" t="s">
        <v>3631</v>
      </c>
      <c r="Q1620" s="68" t="s">
        <v>784</v>
      </c>
      <c r="R1620" s="74" t="str">
        <f>Agencia[[#This Row],[territorio]]&amp;",índice,producción,manufacturera,manufactura,nacional,industria,evolución,productividad,"&amp;Agencia[[#This Row],[coleccion]]&amp;","&amp;Agencia[[#This Row],[sector]]&amp;","&amp;Agencia[[#This Row],[tema]]&amp;","&amp;Agencia[[#This Row],[contenido]]</f>
        <v>Región de Los Ríos,índice,producción,manufacturera,manufactura,nacional,industria,evolución,productividad,Agencia Información,Economía,Producción Manufacturera,Economía</v>
      </c>
      <c r="S1620" s="87" t="s">
        <v>3632</v>
      </c>
      <c r="T1620" s="110" t="s">
        <v>1867</v>
      </c>
      <c r="U1620" s="46" t="s">
        <v>4514</v>
      </c>
      <c r="V1620" s="93" t="str">
        <f>+Agencia[[#This Row],[idcoleccion]]&amp;"-"&amp;Agencia[[#This Row],[id]]</f>
        <v>990-1609</v>
      </c>
      <c r="W1620" s="96">
        <v>99200014</v>
      </c>
      <c r="X1620" s="93" t="str">
        <f>+VLOOKUP(Agencia[[#This Row],[tema]],Estructura!$A$4:$C$500,3,0)</f>
        <v>T-1066</v>
      </c>
      <c r="Y1620" s="93" t="str">
        <f>+VLOOKUP(Agencia[[#This Row],[contenido]],Estructura!$E$4:$G$500,3,0)</f>
        <v>C-1028</v>
      </c>
      <c r="Z1620" s="93" t="str">
        <f>+VLOOKUP(Agencia[[#This Row],[Filtro Integrado]],Estructura!$I$4:$K$500,3,0)</f>
        <v>FI-1006</v>
      </c>
      <c r="AA1620" s="93" t="str">
        <f>+VLOOKUP(Agencia[[#This Row],[Muestra]],Estructura!$M$4:$O$500,3,0)</f>
        <v>M-1019</v>
      </c>
    </row>
    <row r="1621" spans="1:27" ht="40.799999999999997" x14ac:dyDescent="0.3">
      <c r="A1621" s="21" t="s">
        <v>3511</v>
      </c>
      <c r="B1621" s="71">
        <v>990</v>
      </c>
      <c r="C1621" s="72" t="s">
        <v>400</v>
      </c>
      <c r="D1621" s="72" t="s">
        <v>823</v>
      </c>
      <c r="E1621" s="90">
        <v>0</v>
      </c>
      <c r="F1621" s="73" t="s">
        <v>3633</v>
      </c>
      <c r="G1621" s="73" t="s">
        <v>823</v>
      </c>
      <c r="H1621" s="77" t="s">
        <v>20</v>
      </c>
      <c r="I1621" s="78" t="s">
        <v>15</v>
      </c>
      <c r="J1621" s="71" t="s">
        <v>3194</v>
      </c>
      <c r="K1621" s="71" t="s">
        <v>9277</v>
      </c>
      <c r="L1621" s="71" t="s">
        <v>1445</v>
      </c>
      <c r="M1621" s="71" t="s">
        <v>3634</v>
      </c>
      <c r="N1621" s="71" t="s">
        <v>1370</v>
      </c>
      <c r="O1621" s="74" t="s">
        <v>3635</v>
      </c>
      <c r="P1621" s="113" t="s">
        <v>3636</v>
      </c>
      <c r="Q1621" s="75" t="s">
        <v>784</v>
      </c>
      <c r="R1621" s="74" t="str">
        <f>Agencia[[#This Row],[territorio]]&amp;",cantidad,supermercado,establecimientos,cajas,instaladas,nacional,"&amp;Agencia[[#This Row],[coleccion]]&amp;","&amp;Agencia[[#This Row],[sector]]&amp;","&amp;Agencia[[#This Row],[tema]]&amp;","&amp;Agencia[[#This Row],[contenido]]</f>
        <v>Chile,cantidad,supermercado,establecimientos,cajas,instaladas,nacional,Agencia Información,Economía,Supermercados,Economía</v>
      </c>
      <c r="S1621" s="85" t="s">
        <v>3637</v>
      </c>
      <c r="T1621" s="109" t="s">
        <v>805</v>
      </c>
      <c r="U1621" s="46" t="s">
        <v>4515</v>
      </c>
      <c r="V1621" s="93" t="str">
        <f>+Agencia[[#This Row],[idcoleccion]]&amp;"-"&amp;Agencia[[#This Row],[id]]</f>
        <v>990-1610</v>
      </c>
      <c r="W1621" s="96">
        <v>99100000</v>
      </c>
      <c r="X1621" s="93" t="str">
        <f>+VLOOKUP(Agencia[[#This Row],[tema]],Estructura!$A$4:$C$500,3,0)</f>
        <v>T-1067</v>
      </c>
      <c r="Y1621" s="93" t="str">
        <f>+VLOOKUP(Agencia[[#This Row],[contenido]],Estructura!$E$4:$G$500,3,0)</f>
        <v>C-1028</v>
      </c>
      <c r="Z1621" s="93" t="str">
        <f>+VLOOKUP(Agencia[[#This Row],[Filtro Integrado]],Estructura!$I$4:$K$500,3,0)</f>
        <v>FI-1007</v>
      </c>
      <c r="AA1621" s="93" t="str">
        <f>+VLOOKUP(Agencia[[#This Row],[Muestra]],Estructura!$M$4:$O$500,3,0)</f>
        <v>M-1107</v>
      </c>
    </row>
    <row r="1622" spans="1:27" ht="40.799999999999997" x14ac:dyDescent="0.3">
      <c r="A1622" s="21" t="s">
        <v>3512</v>
      </c>
      <c r="B1622" s="71">
        <v>990</v>
      </c>
      <c r="C1622" s="72" t="s">
        <v>400</v>
      </c>
      <c r="D1622" s="72" t="s">
        <v>823</v>
      </c>
      <c r="E1622" s="89">
        <v>1</v>
      </c>
      <c r="F1622" s="73" t="s">
        <v>3633</v>
      </c>
      <c r="G1622" s="73" t="s">
        <v>823</v>
      </c>
      <c r="H1622" s="79" t="s">
        <v>16</v>
      </c>
      <c r="I1622" s="80" t="s">
        <v>368</v>
      </c>
      <c r="J1622" s="66" t="s">
        <v>3180</v>
      </c>
      <c r="K1622" s="136" t="s">
        <v>9277</v>
      </c>
      <c r="L1622" s="71" t="s">
        <v>1445</v>
      </c>
      <c r="M1622" s="71" t="s">
        <v>3634</v>
      </c>
      <c r="N1622" s="71" t="s">
        <v>1370</v>
      </c>
      <c r="O1622" s="74" t="s">
        <v>3638</v>
      </c>
      <c r="P1622" s="113" t="s">
        <v>3639</v>
      </c>
      <c r="Q1622" s="68" t="s">
        <v>784</v>
      </c>
      <c r="R1622" s="74" t="str">
        <f>Agencia[[#This Row],[territorio]]&amp;",cantidad,supermercado,establecimientos,cajas,instaladas,nacional,"&amp;Agencia[[#This Row],[coleccion]]&amp;","&amp;Agencia[[#This Row],[sector]]&amp;","&amp;Agencia[[#This Row],[tema]]&amp;","&amp;Agencia[[#This Row],[contenido]]</f>
        <v>Región de Tarapacá,cantidad,supermercado,establecimientos,cajas,instaladas,nacional,Agencia Información,Economía,Supermercados,Economía</v>
      </c>
      <c r="S1622" s="84" t="s">
        <v>3640</v>
      </c>
      <c r="T1622" s="110" t="s">
        <v>1872</v>
      </c>
      <c r="U1622" s="46" t="s">
        <v>4516</v>
      </c>
      <c r="V1622" s="93" t="str">
        <f>+Agencia[[#This Row],[idcoleccion]]&amp;"-"&amp;Agencia[[#This Row],[id]]</f>
        <v>990-1611</v>
      </c>
      <c r="W1622" s="96">
        <v>99200001</v>
      </c>
      <c r="X1622" s="93" t="str">
        <f>+VLOOKUP(Agencia[[#This Row],[tema]],Estructura!$A$4:$C$500,3,0)</f>
        <v>T-1067</v>
      </c>
      <c r="Y1622" s="93" t="str">
        <f>+VLOOKUP(Agencia[[#This Row],[contenido]],Estructura!$E$4:$G$500,3,0)</f>
        <v>C-1028</v>
      </c>
      <c r="Z1622" s="93" t="str">
        <f>+VLOOKUP(Agencia[[#This Row],[Filtro Integrado]],Estructura!$I$4:$K$500,3,0)</f>
        <v>FI-1006</v>
      </c>
      <c r="AA1622" s="93" t="str">
        <f>+VLOOKUP(Agencia[[#This Row],[Muestra]],Estructura!$M$4:$O$500,3,0)</f>
        <v>M-1107</v>
      </c>
    </row>
    <row r="1623" spans="1:27" ht="40.799999999999997" x14ac:dyDescent="0.3">
      <c r="A1623" s="21" t="s">
        <v>3513</v>
      </c>
      <c r="B1623" s="71">
        <v>990</v>
      </c>
      <c r="C1623" s="72" t="s">
        <v>400</v>
      </c>
      <c r="D1623" s="72" t="s">
        <v>823</v>
      </c>
      <c r="E1623" s="89">
        <v>2</v>
      </c>
      <c r="F1623" s="73" t="s">
        <v>3633</v>
      </c>
      <c r="G1623" s="73" t="s">
        <v>823</v>
      </c>
      <c r="H1623" s="79" t="s">
        <v>16</v>
      </c>
      <c r="I1623" s="80" t="s">
        <v>369</v>
      </c>
      <c r="J1623" s="66" t="s">
        <v>3180</v>
      </c>
      <c r="K1623" s="136" t="s">
        <v>9277</v>
      </c>
      <c r="L1623" s="71" t="s">
        <v>1445</v>
      </c>
      <c r="M1623" s="71" t="s">
        <v>3634</v>
      </c>
      <c r="N1623" s="71" t="s">
        <v>1370</v>
      </c>
      <c r="O1623" s="74" t="s">
        <v>3641</v>
      </c>
      <c r="P1623" s="113" t="s">
        <v>3642</v>
      </c>
      <c r="Q1623" s="68" t="s">
        <v>784</v>
      </c>
      <c r="R1623" s="74" t="str">
        <f>Agencia[[#This Row],[territorio]]&amp;",cantidad,supermercado,establecimientos,cajas,instaladas,nacional,"&amp;Agencia[[#This Row],[coleccion]]&amp;","&amp;Agencia[[#This Row],[sector]]&amp;","&amp;Agencia[[#This Row],[tema]]&amp;","&amp;Agencia[[#This Row],[contenido]]</f>
        <v>Región de Antofagasta,cantidad,supermercado,establecimientos,cajas,instaladas,nacional,Agencia Información,Economía,Supermercados,Economía</v>
      </c>
      <c r="S1623" s="84" t="s">
        <v>3643</v>
      </c>
      <c r="T1623" s="110" t="s">
        <v>1860</v>
      </c>
      <c r="U1623" s="46" t="s">
        <v>4517</v>
      </c>
      <c r="V1623" s="93" t="str">
        <f>+Agencia[[#This Row],[idcoleccion]]&amp;"-"&amp;Agencia[[#This Row],[id]]</f>
        <v>990-1612</v>
      </c>
      <c r="W1623" s="96">
        <v>99200002</v>
      </c>
      <c r="X1623" s="93" t="str">
        <f>+VLOOKUP(Agencia[[#This Row],[tema]],Estructura!$A$4:$C$500,3,0)</f>
        <v>T-1067</v>
      </c>
      <c r="Y1623" s="93" t="str">
        <f>+VLOOKUP(Agencia[[#This Row],[contenido]],Estructura!$E$4:$G$500,3,0)</f>
        <v>C-1028</v>
      </c>
      <c r="Z1623" s="93" t="str">
        <f>+VLOOKUP(Agencia[[#This Row],[Filtro Integrado]],Estructura!$I$4:$K$500,3,0)</f>
        <v>FI-1006</v>
      </c>
      <c r="AA1623" s="93" t="str">
        <f>+VLOOKUP(Agencia[[#This Row],[Muestra]],Estructura!$M$4:$O$500,3,0)</f>
        <v>M-1107</v>
      </c>
    </row>
    <row r="1624" spans="1:27" ht="40.799999999999997" x14ac:dyDescent="0.3">
      <c r="A1624" s="21" t="s">
        <v>3514</v>
      </c>
      <c r="B1624" s="71">
        <v>990</v>
      </c>
      <c r="C1624" s="72" t="s">
        <v>400</v>
      </c>
      <c r="D1624" s="72" t="s">
        <v>823</v>
      </c>
      <c r="E1624" s="89">
        <v>3</v>
      </c>
      <c r="F1624" s="73" t="s">
        <v>3633</v>
      </c>
      <c r="G1624" s="73" t="s">
        <v>823</v>
      </c>
      <c r="H1624" s="79" t="s">
        <v>16</v>
      </c>
      <c r="I1624" s="80" t="s">
        <v>370</v>
      </c>
      <c r="J1624" s="66" t="s">
        <v>3180</v>
      </c>
      <c r="K1624" s="136" t="s">
        <v>9277</v>
      </c>
      <c r="L1624" s="71" t="s">
        <v>1445</v>
      </c>
      <c r="M1624" s="71" t="s">
        <v>3634</v>
      </c>
      <c r="N1624" s="71" t="s">
        <v>1370</v>
      </c>
      <c r="O1624" s="74" t="s">
        <v>3644</v>
      </c>
      <c r="P1624" s="113" t="s">
        <v>3645</v>
      </c>
      <c r="Q1624" s="68" t="s">
        <v>784</v>
      </c>
      <c r="R1624" s="74" t="str">
        <f>Agencia[[#This Row],[territorio]]&amp;",cantidad,supermercado,establecimientos,cajas,instaladas,nacional,"&amp;Agencia[[#This Row],[coleccion]]&amp;","&amp;Agencia[[#This Row],[sector]]&amp;","&amp;Agencia[[#This Row],[tema]]&amp;","&amp;Agencia[[#This Row],[contenido]]</f>
        <v>Región de Atacama,cantidad,supermercado,establecimientos,cajas,instaladas,nacional,Agencia Información,Economía,Supermercados,Economía</v>
      </c>
      <c r="S1624" s="84" t="s">
        <v>3646</v>
      </c>
      <c r="T1624" s="110" t="s">
        <v>1862</v>
      </c>
      <c r="U1624" s="46" t="s">
        <v>4518</v>
      </c>
      <c r="V1624" s="93" t="str">
        <f>+Agencia[[#This Row],[idcoleccion]]&amp;"-"&amp;Agencia[[#This Row],[id]]</f>
        <v>990-1613</v>
      </c>
      <c r="W1624" s="96">
        <v>99200003</v>
      </c>
      <c r="X1624" s="93" t="str">
        <f>+VLOOKUP(Agencia[[#This Row],[tema]],Estructura!$A$4:$C$500,3,0)</f>
        <v>T-1067</v>
      </c>
      <c r="Y1624" s="93" t="str">
        <f>+VLOOKUP(Agencia[[#This Row],[contenido]],Estructura!$E$4:$G$500,3,0)</f>
        <v>C-1028</v>
      </c>
      <c r="Z1624" s="93" t="str">
        <f>+VLOOKUP(Agencia[[#This Row],[Filtro Integrado]],Estructura!$I$4:$K$500,3,0)</f>
        <v>FI-1006</v>
      </c>
      <c r="AA1624" s="93" t="str">
        <f>+VLOOKUP(Agencia[[#This Row],[Muestra]],Estructura!$M$4:$O$500,3,0)</f>
        <v>M-1107</v>
      </c>
    </row>
    <row r="1625" spans="1:27" ht="40.799999999999997" x14ac:dyDescent="0.3">
      <c r="A1625" s="21" t="s">
        <v>3515</v>
      </c>
      <c r="B1625" s="71">
        <v>990</v>
      </c>
      <c r="C1625" s="72" t="s">
        <v>400</v>
      </c>
      <c r="D1625" s="72" t="s">
        <v>823</v>
      </c>
      <c r="E1625" s="89">
        <v>4</v>
      </c>
      <c r="F1625" s="73" t="s">
        <v>3633</v>
      </c>
      <c r="G1625" s="73" t="s">
        <v>823</v>
      </c>
      <c r="H1625" s="79" t="s">
        <v>16</v>
      </c>
      <c r="I1625" s="80" t="s">
        <v>371</v>
      </c>
      <c r="J1625" s="66" t="s">
        <v>3180</v>
      </c>
      <c r="K1625" s="136" t="s">
        <v>9277</v>
      </c>
      <c r="L1625" s="71" t="s">
        <v>1445</v>
      </c>
      <c r="M1625" s="71" t="s">
        <v>3634</v>
      </c>
      <c r="N1625" s="71" t="s">
        <v>1370</v>
      </c>
      <c r="O1625" s="74" t="s">
        <v>3647</v>
      </c>
      <c r="P1625" s="113" t="s">
        <v>3648</v>
      </c>
      <c r="Q1625" s="68" t="s">
        <v>784</v>
      </c>
      <c r="R1625" s="74" t="str">
        <f>Agencia[[#This Row],[territorio]]&amp;",cantidad,supermercado,establecimientos,cajas,instaladas,nacional,"&amp;Agencia[[#This Row],[coleccion]]&amp;","&amp;Agencia[[#This Row],[sector]]&amp;","&amp;Agencia[[#This Row],[tema]]&amp;","&amp;Agencia[[#This Row],[contenido]]</f>
        <v>Región de Coquimbo,cantidad,supermercado,establecimientos,cajas,instaladas,nacional,Agencia Información,Economía,Supermercados,Economía</v>
      </c>
      <c r="S1625" s="84" t="s">
        <v>3649</v>
      </c>
      <c r="T1625" s="110" t="s">
        <v>1864</v>
      </c>
      <c r="U1625" s="46" t="s">
        <v>4519</v>
      </c>
      <c r="V1625" s="93" t="str">
        <f>+Agencia[[#This Row],[idcoleccion]]&amp;"-"&amp;Agencia[[#This Row],[id]]</f>
        <v>990-1614</v>
      </c>
      <c r="W1625" s="96">
        <v>99200004</v>
      </c>
      <c r="X1625" s="93" t="str">
        <f>+VLOOKUP(Agencia[[#This Row],[tema]],Estructura!$A$4:$C$500,3,0)</f>
        <v>T-1067</v>
      </c>
      <c r="Y1625" s="93" t="str">
        <f>+VLOOKUP(Agencia[[#This Row],[contenido]],Estructura!$E$4:$G$500,3,0)</f>
        <v>C-1028</v>
      </c>
      <c r="Z1625" s="93" t="str">
        <f>+VLOOKUP(Agencia[[#This Row],[Filtro Integrado]],Estructura!$I$4:$K$500,3,0)</f>
        <v>FI-1006</v>
      </c>
      <c r="AA1625" s="93" t="str">
        <f>+VLOOKUP(Agencia[[#This Row],[Muestra]],Estructura!$M$4:$O$500,3,0)</f>
        <v>M-1107</v>
      </c>
    </row>
    <row r="1626" spans="1:27" ht="40.799999999999997" x14ac:dyDescent="0.3">
      <c r="A1626" s="21" t="s">
        <v>3516</v>
      </c>
      <c r="B1626" s="71">
        <v>990</v>
      </c>
      <c r="C1626" s="72" t="s">
        <v>400</v>
      </c>
      <c r="D1626" s="72" t="s">
        <v>823</v>
      </c>
      <c r="E1626" s="89">
        <v>5</v>
      </c>
      <c r="F1626" s="73" t="s">
        <v>3633</v>
      </c>
      <c r="G1626" s="73" t="s">
        <v>823</v>
      </c>
      <c r="H1626" s="79" t="s">
        <v>16</v>
      </c>
      <c r="I1626" s="80" t="s">
        <v>372</v>
      </c>
      <c r="J1626" s="66" t="s">
        <v>3180</v>
      </c>
      <c r="K1626" s="136" t="s">
        <v>9277</v>
      </c>
      <c r="L1626" s="71" t="s">
        <v>1445</v>
      </c>
      <c r="M1626" s="71" t="s">
        <v>3634</v>
      </c>
      <c r="N1626" s="71" t="s">
        <v>1370</v>
      </c>
      <c r="O1626" s="74" t="s">
        <v>3650</v>
      </c>
      <c r="P1626" s="113" t="s">
        <v>3651</v>
      </c>
      <c r="Q1626" s="68" t="s">
        <v>784</v>
      </c>
      <c r="R1626" s="74" t="str">
        <f>Agencia[[#This Row],[territorio]]&amp;",cantidad,supermercado,establecimientos,cajas,instaladas,nacional,"&amp;Agencia[[#This Row],[coleccion]]&amp;","&amp;Agencia[[#This Row],[sector]]&amp;","&amp;Agencia[[#This Row],[tema]]&amp;","&amp;Agencia[[#This Row],[contenido]]</f>
        <v>Región de Valparaíso,cantidad,supermercado,establecimientos,cajas,instaladas,nacional,Agencia Información,Economía,Supermercados,Economía</v>
      </c>
      <c r="S1626" s="84" t="s">
        <v>3652</v>
      </c>
      <c r="T1626" s="110" t="s">
        <v>1873</v>
      </c>
      <c r="U1626" s="46" t="s">
        <v>4520</v>
      </c>
      <c r="V1626" s="93" t="str">
        <f>+Agencia[[#This Row],[idcoleccion]]&amp;"-"&amp;Agencia[[#This Row],[id]]</f>
        <v>990-1615</v>
      </c>
      <c r="W1626" s="96">
        <v>99200005</v>
      </c>
      <c r="X1626" s="93" t="str">
        <f>+VLOOKUP(Agencia[[#This Row],[tema]],Estructura!$A$4:$C$500,3,0)</f>
        <v>T-1067</v>
      </c>
      <c r="Y1626" s="93" t="str">
        <f>+VLOOKUP(Agencia[[#This Row],[contenido]],Estructura!$E$4:$G$500,3,0)</f>
        <v>C-1028</v>
      </c>
      <c r="Z1626" s="93" t="str">
        <f>+VLOOKUP(Agencia[[#This Row],[Filtro Integrado]],Estructura!$I$4:$K$500,3,0)</f>
        <v>FI-1006</v>
      </c>
      <c r="AA1626" s="93" t="str">
        <f>+VLOOKUP(Agencia[[#This Row],[Muestra]],Estructura!$M$4:$O$500,3,0)</f>
        <v>M-1107</v>
      </c>
    </row>
    <row r="1627" spans="1:27" ht="40.799999999999997" x14ac:dyDescent="0.3">
      <c r="A1627" s="21" t="s">
        <v>3517</v>
      </c>
      <c r="B1627" s="71">
        <v>990</v>
      </c>
      <c r="C1627" s="72" t="s">
        <v>400</v>
      </c>
      <c r="D1627" s="72" t="s">
        <v>823</v>
      </c>
      <c r="E1627" s="89">
        <v>6</v>
      </c>
      <c r="F1627" s="73" t="s">
        <v>3633</v>
      </c>
      <c r="G1627" s="73" t="s">
        <v>823</v>
      </c>
      <c r="H1627" s="79" t="s">
        <v>16</v>
      </c>
      <c r="I1627" s="80" t="s">
        <v>373</v>
      </c>
      <c r="J1627" s="66" t="s">
        <v>3180</v>
      </c>
      <c r="K1627" s="136" t="s">
        <v>9277</v>
      </c>
      <c r="L1627" s="71" t="s">
        <v>1445</v>
      </c>
      <c r="M1627" s="71" t="s">
        <v>3634</v>
      </c>
      <c r="N1627" s="71" t="s">
        <v>1370</v>
      </c>
      <c r="O1627" s="74" t="s">
        <v>3653</v>
      </c>
      <c r="P1627" s="113" t="s">
        <v>3654</v>
      </c>
      <c r="Q1627" s="68" t="s">
        <v>784</v>
      </c>
      <c r="R1627" s="74" t="str">
        <f>Agencia[[#This Row],[territorio]]&amp;",cantidad,supermercado,establecimientos,cajas,instaladas,nacional,"&amp;Agencia[[#This Row],[coleccion]]&amp;","&amp;Agencia[[#This Row],[sector]]&amp;","&amp;Agencia[[#This Row],[tema]]&amp;","&amp;Agencia[[#This Row],[contenido]]</f>
        <v>Región de O'Higgins,cantidad,supermercado,establecimientos,cajas,instaladas,nacional,Agencia Información,Economía,Supermercados,Economía</v>
      </c>
      <c r="S1627" s="84" t="s">
        <v>3655</v>
      </c>
      <c r="T1627" s="110" t="s">
        <v>1871</v>
      </c>
      <c r="U1627" s="46" t="s">
        <v>4521</v>
      </c>
      <c r="V1627" s="93" t="str">
        <f>+Agencia[[#This Row],[idcoleccion]]&amp;"-"&amp;Agencia[[#This Row],[id]]</f>
        <v>990-1616</v>
      </c>
      <c r="W1627" s="96">
        <v>99200006</v>
      </c>
      <c r="X1627" s="93" t="str">
        <f>+VLOOKUP(Agencia[[#This Row],[tema]],Estructura!$A$4:$C$500,3,0)</f>
        <v>T-1067</v>
      </c>
      <c r="Y1627" s="93" t="str">
        <f>+VLOOKUP(Agencia[[#This Row],[contenido]],Estructura!$E$4:$G$500,3,0)</f>
        <v>C-1028</v>
      </c>
      <c r="Z1627" s="93" t="str">
        <f>+VLOOKUP(Agencia[[#This Row],[Filtro Integrado]],Estructura!$I$4:$K$500,3,0)</f>
        <v>FI-1006</v>
      </c>
      <c r="AA1627" s="93" t="str">
        <f>+VLOOKUP(Agencia[[#This Row],[Muestra]],Estructura!$M$4:$O$500,3,0)</f>
        <v>M-1107</v>
      </c>
    </row>
    <row r="1628" spans="1:27" ht="40.799999999999997" x14ac:dyDescent="0.3">
      <c r="A1628" s="21" t="s">
        <v>3518</v>
      </c>
      <c r="B1628" s="71">
        <v>990</v>
      </c>
      <c r="C1628" s="72" t="s">
        <v>400</v>
      </c>
      <c r="D1628" s="72" t="s">
        <v>823</v>
      </c>
      <c r="E1628" s="89">
        <v>7</v>
      </c>
      <c r="F1628" s="73" t="s">
        <v>3633</v>
      </c>
      <c r="G1628" s="73" t="s">
        <v>823</v>
      </c>
      <c r="H1628" s="79" t="s">
        <v>16</v>
      </c>
      <c r="I1628" s="80" t="s">
        <v>374</v>
      </c>
      <c r="J1628" s="66" t="s">
        <v>3180</v>
      </c>
      <c r="K1628" s="136" t="s">
        <v>9277</v>
      </c>
      <c r="L1628" s="71" t="s">
        <v>1445</v>
      </c>
      <c r="M1628" s="71" t="s">
        <v>3634</v>
      </c>
      <c r="N1628" s="71" t="s">
        <v>1370</v>
      </c>
      <c r="O1628" s="74" t="s">
        <v>3656</v>
      </c>
      <c r="P1628" s="113" t="s">
        <v>3657</v>
      </c>
      <c r="Q1628" s="68" t="s">
        <v>784</v>
      </c>
      <c r="R1628" s="74" t="str">
        <f>Agencia[[#This Row],[territorio]]&amp;",cantidad,supermercado,establecimientos,cajas,instaladas,nacional,"&amp;Agencia[[#This Row],[coleccion]]&amp;","&amp;Agencia[[#This Row],[sector]]&amp;","&amp;Agencia[[#This Row],[tema]]&amp;","&amp;Agencia[[#This Row],[contenido]]</f>
        <v>Región de Maule,cantidad,supermercado,establecimientos,cajas,instaladas,nacional,Agencia Información,Economía,Supermercados,Economía</v>
      </c>
      <c r="S1628" s="84" t="s">
        <v>3658</v>
      </c>
      <c r="T1628" s="110" t="s">
        <v>1869</v>
      </c>
      <c r="U1628" s="46" t="s">
        <v>4522</v>
      </c>
      <c r="V1628" s="93" t="str">
        <f>+Agencia[[#This Row],[idcoleccion]]&amp;"-"&amp;Agencia[[#This Row],[id]]</f>
        <v>990-1617</v>
      </c>
      <c r="W1628" s="96">
        <v>99200007</v>
      </c>
      <c r="X1628" s="93" t="str">
        <f>+VLOOKUP(Agencia[[#This Row],[tema]],Estructura!$A$4:$C$500,3,0)</f>
        <v>T-1067</v>
      </c>
      <c r="Y1628" s="93" t="str">
        <f>+VLOOKUP(Agencia[[#This Row],[contenido]],Estructura!$E$4:$G$500,3,0)</f>
        <v>C-1028</v>
      </c>
      <c r="Z1628" s="93" t="str">
        <f>+VLOOKUP(Agencia[[#This Row],[Filtro Integrado]],Estructura!$I$4:$K$500,3,0)</f>
        <v>FI-1006</v>
      </c>
      <c r="AA1628" s="93" t="str">
        <f>+VLOOKUP(Agencia[[#This Row],[Muestra]],Estructura!$M$4:$O$500,3,0)</f>
        <v>M-1107</v>
      </c>
    </row>
    <row r="1629" spans="1:27" ht="40.799999999999997" x14ac:dyDescent="0.3">
      <c r="A1629" s="21" t="s">
        <v>3519</v>
      </c>
      <c r="B1629" s="71">
        <v>990</v>
      </c>
      <c r="C1629" s="72" t="s">
        <v>400</v>
      </c>
      <c r="D1629" s="72" t="s">
        <v>823</v>
      </c>
      <c r="E1629" s="89">
        <v>8</v>
      </c>
      <c r="F1629" s="73" t="s">
        <v>3633</v>
      </c>
      <c r="G1629" s="73" t="s">
        <v>823</v>
      </c>
      <c r="H1629" s="79" t="s">
        <v>16</v>
      </c>
      <c r="I1629" s="80" t="s">
        <v>375</v>
      </c>
      <c r="J1629" s="66" t="s">
        <v>3180</v>
      </c>
      <c r="K1629" s="136" t="s">
        <v>9277</v>
      </c>
      <c r="L1629" s="71" t="s">
        <v>1445</v>
      </c>
      <c r="M1629" s="71" t="s">
        <v>3634</v>
      </c>
      <c r="N1629" s="71" t="s">
        <v>1370</v>
      </c>
      <c r="O1629" s="74" t="s">
        <v>3659</v>
      </c>
      <c r="P1629" s="113" t="s">
        <v>3660</v>
      </c>
      <c r="Q1629" s="68" t="s">
        <v>784</v>
      </c>
      <c r="R1629" s="74" t="str">
        <f>Agencia[[#This Row],[territorio]]&amp;",cantidad,supermercado,establecimientos,cajas,instaladas,nacional,"&amp;Agencia[[#This Row],[coleccion]]&amp;","&amp;Agencia[[#This Row],[sector]]&amp;","&amp;Agencia[[#This Row],[tema]]&amp;","&amp;Agencia[[#This Row],[contenido]]</f>
        <v>Región del Biobío,cantidad,supermercado,establecimientos,cajas,instaladas,nacional,Agencia Información,Economía,Supermercados,Economía</v>
      </c>
      <c r="S1629" s="84" t="s">
        <v>3661</v>
      </c>
      <c r="T1629" s="110" t="s">
        <v>1874</v>
      </c>
      <c r="U1629" s="46" t="s">
        <v>4523</v>
      </c>
      <c r="V1629" s="93" t="str">
        <f>+Agencia[[#This Row],[idcoleccion]]&amp;"-"&amp;Agencia[[#This Row],[id]]</f>
        <v>990-1618</v>
      </c>
      <c r="W1629" s="96">
        <v>99200008</v>
      </c>
      <c r="X1629" s="93" t="str">
        <f>+VLOOKUP(Agencia[[#This Row],[tema]],Estructura!$A$4:$C$500,3,0)</f>
        <v>T-1067</v>
      </c>
      <c r="Y1629" s="93" t="str">
        <f>+VLOOKUP(Agencia[[#This Row],[contenido]],Estructura!$E$4:$G$500,3,0)</f>
        <v>C-1028</v>
      </c>
      <c r="Z1629" s="93" t="str">
        <f>+VLOOKUP(Agencia[[#This Row],[Filtro Integrado]],Estructura!$I$4:$K$500,3,0)</f>
        <v>FI-1006</v>
      </c>
      <c r="AA1629" s="93" t="str">
        <f>+VLOOKUP(Agencia[[#This Row],[Muestra]],Estructura!$M$4:$O$500,3,0)</f>
        <v>M-1107</v>
      </c>
    </row>
    <row r="1630" spans="1:27" ht="40.799999999999997" x14ac:dyDescent="0.3">
      <c r="A1630" s="21" t="s">
        <v>3520</v>
      </c>
      <c r="B1630" s="71">
        <v>990</v>
      </c>
      <c r="C1630" s="72" t="s">
        <v>400</v>
      </c>
      <c r="D1630" s="72" t="s">
        <v>823</v>
      </c>
      <c r="E1630" s="89">
        <v>9</v>
      </c>
      <c r="F1630" s="73" t="s">
        <v>3633</v>
      </c>
      <c r="G1630" s="73" t="s">
        <v>823</v>
      </c>
      <c r="H1630" s="79" t="s">
        <v>16</v>
      </c>
      <c r="I1630" s="80" t="s">
        <v>376</v>
      </c>
      <c r="J1630" s="66" t="s">
        <v>3180</v>
      </c>
      <c r="K1630" s="136" t="s">
        <v>9277</v>
      </c>
      <c r="L1630" s="71" t="s">
        <v>1445</v>
      </c>
      <c r="M1630" s="71" t="s">
        <v>3634</v>
      </c>
      <c r="N1630" s="71" t="s">
        <v>1370</v>
      </c>
      <c r="O1630" s="74" t="s">
        <v>3662</v>
      </c>
      <c r="P1630" s="113" t="s">
        <v>3663</v>
      </c>
      <c r="Q1630" s="68" t="s">
        <v>784</v>
      </c>
      <c r="R1630" s="74" t="str">
        <f>Agencia[[#This Row],[territorio]]&amp;",cantidad,supermercado,establecimientos,cajas,instaladas,nacional,"&amp;Agencia[[#This Row],[coleccion]]&amp;","&amp;Agencia[[#This Row],[sector]]&amp;","&amp;Agencia[[#This Row],[tema]]&amp;","&amp;Agencia[[#This Row],[contenido]]</f>
        <v>Región de La Araucanía,cantidad,supermercado,establecimientos,cajas,instaladas,nacional,Agencia Información,Economía,Supermercados,Economía</v>
      </c>
      <c r="S1630" s="84" t="s">
        <v>3664</v>
      </c>
      <c r="T1630" s="110" t="s">
        <v>1865</v>
      </c>
      <c r="U1630" s="46" t="s">
        <v>4524</v>
      </c>
      <c r="V1630" s="93" t="str">
        <f>+Agencia[[#This Row],[idcoleccion]]&amp;"-"&amp;Agencia[[#This Row],[id]]</f>
        <v>990-1619</v>
      </c>
      <c r="W1630" s="96">
        <v>99200009</v>
      </c>
      <c r="X1630" s="93" t="str">
        <f>+VLOOKUP(Agencia[[#This Row],[tema]],Estructura!$A$4:$C$500,3,0)</f>
        <v>T-1067</v>
      </c>
      <c r="Y1630" s="93" t="str">
        <f>+VLOOKUP(Agencia[[#This Row],[contenido]],Estructura!$E$4:$G$500,3,0)</f>
        <v>C-1028</v>
      </c>
      <c r="Z1630" s="93" t="str">
        <f>+VLOOKUP(Agencia[[#This Row],[Filtro Integrado]],Estructura!$I$4:$K$500,3,0)</f>
        <v>FI-1006</v>
      </c>
      <c r="AA1630" s="93" t="str">
        <f>+VLOOKUP(Agencia[[#This Row],[Muestra]],Estructura!$M$4:$O$500,3,0)</f>
        <v>M-1107</v>
      </c>
    </row>
    <row r="1631" spans="1:27" ht="40.799999999999997" x14ac:dyDescent="0.3">
      <c r="A1631" s="21" t="s">
        <v>3521</v>
      </c>
      <c r="B1631" s="71">
        <v>990</v>
      </c>
      <c r="C1631" s="72" t="s">
        <v>400</v>
      </c>
      <c r="D1631" s="72" t="s">
        <v>823</v>
      </c>
      <c r="E1631" s="89">
        <v>10</v>
      </c>
      <c r="F1631" s="73" t="s">
        <v>3633</v>
      </c>
      <c r="G1631" s="73" t="s">
        <v>823</v>
      </c>
      <c r="H1631" s="79" t="s">
        <v>16</v>
      </c>
      <c r="I1631" s="80" t="s">
        <v>377</v>
      </c>
      <c r="J1631" s="66" t="s">
        <v>3180</v>
      </c>
      <c r="K1631" s="136" t="s">
        <v>9277</v>
      </c>
      <c r="L1631" s="71" t="s">
        <v>1445</v>
      </c>
      <c r="M1631" s="71" t="s">
        <v>3634</v>
      </c>
      <c r="N1631" s="71" t="s">
        <v>1370</v>
      </c>
      <c r="O1631" s="74" t="s">
        <v>3665</v>
      </c>
      <c r="P1631" s="113" t="s">
        <v>3666</v>
      </c>
      <c r="Q1631" s="68" t="s">
        <v>784</v>
      </c>
      <c r="R1631" s="74" t="str">
        <f>Agencia[[#This Row],[territorio]]&amp;",cantidad,supermercado,establecimientos,cajas,instaladas,nacional,"&amp;Agencia[[#This Row],[coleccion]]&amp;","&amp;Agencia[[#This Row],[sector]]&amp;","&amp;Agencia[[#This Row],[tema]]&amp;","&amp;Agencia[[#This Row],[contenido]]</f>
        <v>Región de Los Lagos,cantidad,supermercado,establecimientos,cajas,instaladas,nacional,Agencia Información,Economía,Supermercados,Economía</v>
      </c>
      <c r="S1631" s="84" t="s">
        <v>3667</v>
      </c>
      <c r="T1631" s="110" t="s">
        <v>1866</v>
      </c>
      <c r="U1631" s="46" t="s">
        <v>4525</v>
      </c>
      <c r="V1631" s="93" t="str">
        <f>+Agencia[[#This Row],[idcoleccion]]&amp;"-"&amp;Agencia[[#This Row],[id]]</f>
        <v>990-1620</v>
      </c>
      <c r="W1631" s="96">
        <v>99200010</v>
      </c>
      <c r="X1631" s="93" t="str">
        <f>+VLOOKUP(Agencia[[#This Row],[tema]],Estructura!$A$4:$C$500,3,0)</f>
        <v>T-1067</v>
      </c>
      <c r="Y1631" s="93" t="str">
        <f>+VLOOKUP(Agencia[[#This Row],[contenido]],Estructura!$E$4:$G$500,3,0)</f>
        <v>C-1028</v>
      </c>
      <c r="Z1631" s="93" t="str">
        <f>+VLOOKUP(Agencia[[#This Row],[Filtro Integrado]],Estructura!$I$4:$K$500,3,0)</f>
        <v>FI-1006</v>
      </c>
      <c r="AA1631" s="93" t="str">
        <f>+VLOOKUP(Agencia[[#This Row],[Muestra]],Estructura!$M$4:$O$500,3,0)</f>
        <v>M-1107</v>
      </c>
    </row>
    <row r="1632" spans="1:27" ht="40.799999999999997" x14ac:dyDescent="0.3">
      <c r="A1632" s="21" t="s">
        <v>3522</v>
      </c>
      <c r="B1632" s="71">
        <v>990</v>
      </c>
      <c r="C1632" s="72" t="s">
        <v>400</v>
      </c>
      <c r="D1632" s="72" t="s">
        <v>823</v>
      </c>
      <c r="E1632" s="89">
        <v>11</v>
      </c>
      <c r="F1632" s="73" t="s">
        <v>3633</v>
      </c>
      <c r="G1632" s="73" t="s">
        <v>823</v>
      </c>
      <c r="H1632" s="79" t="s">
        <v>16</v>
      </c>
      <c r="I1632" s="80" t="s">
        <v>378</v>
      </c>
      <c r="J1632" s="66" t="s">
        <v>3180</v>
      </c>
      <c r="K1632" s="136" t="s">
        <v>9277</v>
      </c>
      <c r="L1632" s="71" t="s">
        <v>1445</v>
      </c>
      <c r="M1632" s="71" t="s">
        <v>3634</v>
      </c>
      <c r="N1632" s="71" t="s">
        <v>1370</v>
      </c>
      <c r="O1632" s="74" t="s">
        <v>3668</v>
      </c>
      <c r="P1632" s="113" t="s">
        <v>3669</v>
      </c>
      <c r="Q1632" s="68" t="s">
        <v>784</v>
      </c>
      <c r="R1632" s="74" t="str">
        <f>Agencia[[#This Row],[territorio]]&amp;",cantidad,supermercado,establecimientos,cajas,instaladas,nacional,"&amp;Agencia[[#This Row],[coleccion]]&amp;","&amp;Agencia[[#This Row],[sector]]&amp;","&amp;Agencia[[#This Row],[tema]]&amp;","&amp;Agencia[[#This Row],[contenido]]</f>
        <v>Región de Aysén,cantidad,supermercado,establecimientos,cajas,instaladas,nacional,Agencia Información,Economía,Supermercados,Economía</v>
      </c>
      <c r="S1632" s="84" t="s">
        <v>3670</v>
      </c>
      <c r="T1632" s="110" t="s">
        <v>1863</v>
      </c>
      <c r="U1632" s="46" t="s">
        <v>4526</v>
      </c>
      <c r="V1632" s="93" t="str">
        <f>+Agencia[[#This Row],[idcoleccion]]&amp;"-"&amp;Agencia[[#This Row],[id]]</f>
        <v>990-1621</v>
      </c>
      <c r="W1632" s="96">
        <v>99200011</v>
      </c>
      <c r="X1632" s="93" t="str">
        <f>+VLOOKUP(Agencia[[#This Row],[tema]],Estructura!$A$4:$C$500,3,0)</f>
        <v>T-1067</v>
      </c>
      <c r="Y1632" s="93" t="str">
        <f>+VLOOKUP(Agencia[[#This Row],[contenido]],Estructura!$E$4:$G$500,3,0)</f>
        <v>C-1028</v>
      </c>
      <c r="Z1632" s="93" t="str">
        <f>+VLOOKUP(Agencia[[#This Row],[Filtro Integrado]],Estructura!$I$4:$K$500,3,0)</f>
        <v>FI-1006</v>
      </c>
      <c r="AA1632" s="93" t="str">
        <f>+VLOOKUP(Agencia[[#This Row],[Muestra]],Estructura!$M$4:$O$500,3,0)</f>
        <v>M-1107</v>
      </c>
    </row>
    <row r="1633" spans="1:27" ht="40.799999999999997" x14ac:dyDescent="0.3">
      <c r="A1633" s="21" t="s">
        <v>3523</v>
      </c>
      <c r="B1633" s="71">
        <v>990</v>
      </c>
      <c r="C1633" s="72" t="s">
        <v>400</v>
      </c>
      <c r="D1633" s="72" t="s">
        <v>823</v>
      </c>
      <c r="E1633" s="89">
        <v>12</v>
      </c>
      <c r="F1633" s="73" t="s">
        <v>3633</v>
      </c>
      <c r="G1633" s="73" t="s">
        <v>823</v>
      </c>
      <c r="H1633" s="79" t="s">
        <v>16</v>
      </c>
      <c r="I1633" s="80" t="s">
        <v>379</v>
      </c>
      <c r="J1633" s="66" t="s">
        <v>3180</v>
      </c>
      <c r="K1633" s="136" t="s">
        <v>9277</v>
      </c>
      <c r="L1633" s="71" t="s">
        <v>1445</v>
      </c>
      <c r="M1633" s="71" t="s">
        <v>3634</v>
      </c>
      <c r="N1633" s="71" t="s">
        <v>1370</v>
      </c>
      <c r="O1633" s="74" t="s">
        <v>3671</v>
      </c>
      <c r="P1633" s="113" t="s">
        <v>3672</v>
      </c>
      <c r="Q1633" s="68" t="s">
        <v>784</v>
      </c>
      <c r="R1633" s="74" t="str">
        <f>Agencia[[#This Row],[territorio]]&amp;",cantidad,supermercado,establecimientos,cajas,instaladas,nacional,"&amp;Agencia[[#This Row],[coleccion]]&amp;","&amp;Agencia[[#This Row],[sector]]&amp;","&amp;Agencia[[#This Row],[tema]]&amp;","&amp;Agencia[[#This Row],[contenido]]</f>
        <v>Región de Magallanes,cantidad,supermercado,establecimientos,cajas,instaladas,nacional,Agencia Información,Economía,Supermercados,Economía</v>
      </c>
      <c r="S1633" s="84" t="s">
        <v>3673</v>
      </c>
      <c r="T1633" s="110" t="s">
        <v>1868</v>
      </c>
      <c r="U1633" s="46" t="s">
        <v>4527</v>
      </c>
      <c r="V1633" s="93" t="str">
        <f>+Agencia[[#This Row],[idcoleccion]]&amp;"-"&amp;Agencia[[#This Row],[id]]</f>
        <v>990-1622</v>
      </c>
      <c r="W1633" s="96">
        <v>99200012</v>
      </c>
      <c r="X1633" s="93" t="str">
        <f>+VLOOKUP(Agencia[[#This Row],[tema]],Estructura!$A$4:$C$500,3,0)</f>
        <v>T-1067</v>
      </c>
      <c r="Y1633" s="93" t="str">
        <f>+VLOOKUP(Agencia[[#This Row],[contenido]],Estructura!$E$4:$G$500,3,0)</f>
        <v>C-1028</v>
      </c>
      <c r="Z1633" s="93" t="str">
        <f>+VLOOKUP(Agencia[[#This Row],[Filtro Integrado]],Estructura!$I$4:$K$500,3,0)</f>
        <v>FI-1006</v>
      </c>
      <c r="AA1633" s="93" t="str">
        <f>+VLOOKUP(Agencia[[#This Row],[Muestra]],Estructura!$M$4:$O$500,3,0)</f>
        <v>M-1107</v>
      </c>
    </row>
    <row r="1634" spans="1:27" ht="40.799999999999997" x14ac:dyDescent="0.3">
      <c r="A1634" s="21" t="s">
        <v>3524</v>
      </c>
      <c r="B1634" s="71">
        <v>990</v>
      </c>
      <c r="C1634" s="72" t="s">
        <v>400</v>
      </c>
      <c r="D1634" s="72" t="s">
        <v>823</v>
      </c>
      <c r="E1634" s="89">
        <v>13</v>
      </c>
      <c r="F1634" s="73" t="s">
        <v>3633</v>
      </c>
      <c r="G1634" s="73" t="s">
        <v>823</v>
      </c>
      <c r="H1634" s="79" t="s">
        <v>16</v>
      </c>
      <c r="I1634" s="80" t="s">
        <v>380</v>
      </c>
      <c r="J1634" s="66" t="s">
        <v>3180</v>
      </c>
      <c r="K1634" s="136" t="s">
        <v>9277</v>
      </c>
      <c r="L1634" s="71" t="s">
        <v>1445</v>
      </c>
      <c r="M1634" s="71" t="s">
        <v>3634</v>
      </c>
      <c r="N1634" s="71" t="s">
        <v>1370</v>
      </c>
      <c r="O1634" s="74" t="s">
        <v>3674</v>
      </c>
      <c r="P1634" s="113" t="s">
        <v>3675</v>
      </c>
      <c r="Q1634" s="68" t="s">
        <v>784</v>
      </c>
      <c r="R1634" s="74" t="str">
        <f>Agencia[[#This Row],[territorio]]&amp;",cantidad,supermercado,establecimientos,cajas,instaladas,nacional,"&amp;Agencia[[#This Row],[coleccion]]&amp;","&amp;Agencia[[#This Row],[sector]]&amp;","&amp;Agencia[[#This Row],[tema]]&amp;","&amp;Agencia[[#This Row],[contenido]]</f>
        <v>Región Metropolitana,cantidad,supermercado,establecimientos,cajas,instaladas,nacional,Agencia Información,Economía,Supermercados,Economía</v>
      </c>
      <c r="S1634" s="84" t="s">
        <v>3676</v>
      </c>
      <c r="T1634" s="110" t="s">
        <v>1875</v>
      </c>
      <c r="U1634" s="46" t="s">
        <v>4528</v>
      </c>
      <c r="V1634" s="93" t="str">
        <f>+Agencia[[#This Row],[idcoleccion]]&amp;"-"&amp;Agencia[[#This Row],[id]]</f>
        <v>990-1623</v>
      </c>
      <c r="W1634" s="96">
        <v>99200013</v>
      </c>
      <c r="X1634" s="93" t="str">
        <f>+VLOOKUP(Agencia[[#This Row],[tema]],Estructura!$A$4:$C$500,3,0)</f>
        <v>T-1067</v>
      </c>
      <c r="Y1634" s="93" t="str">
        <f>+VLOOKUP(Agencia[[#This Row],[contenido]],Estructura!$E$4:$G$500,3,0)</f>
        <v>C-1028</v>
      </c>
      <c r="Z1634" s="93" t="str">
        <f>+VLOOKUP(Agencia[[#This Row],[Filtro Integrado]],Estructura!$I$4:$K$500,3,0)</f>
        <v>FI-1006</v>
      </c>
      <c r="AA1634" s="93" t="str">
        <f>+VLOOKUP(Agencia[[#This Row],[Muestra]],Estructura!$M$4:$O$500,3,0)</f>
        <v>M-1107</v>
      </c>
    </row>
    <row r="1635" spans="1:27" ht="72" x14ac:dyDescent="0.3">
      <c r="A1635" s="21" t="s">
        <v>3525</v>
      </c>
      <c r="B1635" s="71">
        <v>990</v>
      </c>
      <c r="C1635" s="72" t="s">
        <v>400</v>
      </c>
      <c r="D1635" s="72" t="s">
        <v>823</v>
      </c>
      <c r="E1635" s="89">
        <v>14</v>
      </c>
      <c r="F1635" s="73" t="s">
        <v>3633</v>
      </c>
      <c r="G1635" s="73" t="s">
        <v>823</v>
      </c>
      <c r="H1635" s="79" t="s">
        <v>16</v>
      </c>
      <c r="I1635" s="80" t="s">
        <v>381</v>
      </c>
      <c r="J1635" s="66" t="s">
        <v>3180</v>
      </c>
      <c r="K1635" s="136" t="s">
        <v>9277</v>
      </c>
      <c r="L1635" s="71" t="s">
        <v>1445</v>
      </c>
      <c r="M1635" s="71" t="s">
        <v>3634</v>
      </c>
      <c r="N1635" s="71" t="s">
        <v>1370</v>
      </c>
      <c r="O1635" s="74" t="s">
        <v>3677</v>
      </c>
      <c r="P1635" s="113" t="s">
        <v>3678</v>
      </c>
      <c r="Q1635" s="68" t="s">
        <v>784</v>
      </c>
      <c r="R1635" s="74" t="str">
        <f>Agencia[[#This Row],[territorio]]&amp;",cantidad,supermercado,establecimientos,cajas,instaladas,nacional,"&amp;Agencia[[#This Row],[coleccion]]&amp;","&amp;Agencia[[#This Row],[sector]]&amp;","&amp;Agencia[[#This Row],[tema]]&amp;","&amp;Agencia[[#This Row],[contenido]]</f>
        <v>Región de Los Ríos,cantidad,supermercado,establecimientos,cajas,instaladas,nacional,Agencia Información,Economía,Supermercados,Economía</v>
      </c>
      <c r="S1635" s="126" t="s">
        <v>3679</v>
      </c>
      <c r="T1635" s="110" t="s">
        <v>1867</v>
      </c>
      <c r="U1635" s="46" t="s">
        <v>4529</v>
      </c>
      <c r="V1635" s="93" t="str">
        <f>+Agencia[[#This Row],[idcoleccion]]&amp;"-"&amp;Agencia[[#This Row],[id]]</f>
        <v>990-1624</v>
      </c>
      <c r="W1635" s="96">
        <v>99200014</v>
      </c>
      <c r="X1635" s="93" t="str">
        <f>+VLOOKUP(Agencia[[#This Row],[tema]],Estructura!$A$4:$C$500,3,0)</f>
        <v>T-1067</v>
      </c>
      <c r="Y1635" s="93" t="str">
        <f>+VLOOKUP(Agencia[[#This Row],[contenido]],Estructura!$E$4:$G$500,3,0)</f>
        <v>C-1028</v>
      </c>
      <c r="Z1635" s="93" t="str">
        <f>+VLOOKUP(Agencia[[#This Row],[Filtro Integrado]],Estructura!$I$4:$K$500,3,0)</f>
        <v>FI-1006</v>
      </c>
      <c r="AA1635" s="93" t="str">
        <f>+VLOOKUP(Agencia[[#This Row],[Muestra]],Estructura!$M$4:$O$500,3,0)</f>
        <v>M-1107</v>
      </c>
    </row>
    <row r="1636" spans="1:27" ht="40.799999999999997" x14ac:dyDescent="0.3">
      <c r="A1636" s="21" t="s">
        <v>3526</v>
      </c>
      <c r="B1636" s="71">
        <v>990</v>
      </c>
      <c r="C1636" s="72" t="s">
        <v>400</v>
      </c>
      <c r="D1636" s="72" t="s">
        <v>823</v>
      </c>
      <c r="E1636" s="89">
        <v>15</v>
      </c>
      <c r="F1636" s="73" t="s">
        <v>3633</v>
      </c>
      <c r="G1636" s="73" t="s">
        <v>823</v>
      </c>
      <c r="H1636" s="79" t="s">
        <v>16</v>
      </c>
      <c r="I1636" s="80" t="s">
        <v>382</v>
      </c>
      <c r="J1636" s="66" t="s">
        <v>3180</v>
      </c>
      <c r="K1636" s="136" t="s">
        <v>9277</v>
      </c>
      <c r="L1636" s="71" t="s">
        <v>1445</v>
      </c>
      <c r="M1636" s="71" t="s">
        <v>3634</v>
      </c>
      <c r="N1636" s="71" t="s">
        <v>1370</v>
      </c>
      <c r="O1636" s="74" t="s">
        <v>3680</v>
      </c>
      <c r="P1636" s="113" t="s">
        <v>3681</v>
      </c>
      <c r="Q1636" s="68" t="s">
        <v>784</v>
      </c>
      <c r="R1636" s="74" t="str">
        <f>Agencia[[#This Row],[territorio]]&amp;",cantidad,supermercado,establecimientos,cajas,instaladas,nacional,"&amp;Agencia[[#This Row],[coleccion]]&amp;","&amp;Agencia[[#This Row],[sector]]&amp;","&amp;Agencia[[#This Row],[tema]]&amp;","&amp;Agencia[[#This Row],[contenido]]</f>
        <v>Región de Arica y Parinacota,cantidad,supermercado,establecimientos,cajas,instaladas,nacional,Agencia Información,Economía,Supermercados,Economía</v>
      </c>
      <c r="S1636" s="84" t="s">
        <v>3682</v>
      </c>
      <c r="T1636" s="110" t="s">
        <v>1861</v>
      </c>
      <c r="U1636" s="46" t="s">
        <v>4530</v>
      </c>
      <c r="V1636" s="93" t="str">
        <f>+Agencia[[#This Row],[idcoleccion]]&amp;"-"&amp;Agencia[[#This Row],[id]]</f>
        <v>990-1625</v>
      </c>
      <c r="W1636" s="96">
        <v>99200015</v>
      </c>
      <c r="X1636" s="93" t="str">
        <f>+VLOOKUP(Agencia[[#This Row],[tema]],Estructura!$A$4:$C$500,3,0)</f>
        <v>T-1067</v>
      </c>
      <c r="Y1636" s="93" t="str">
        <f>+VLOOKUP(Agencia[[#This Row],[contenido]],Estructura!$E$4:$G$500,3,0)</f>
        <v>C-1028</v>
      </c>
      <c r="Z1636" s="93" t="str">
        <f>+VLOOKUP(Agencia[[#This Row],[Filtro Integrado]],Estructura!$I$4:$K$500,3,0)</f>
        <v>FI-1006</v>
      </c>
      <c r="AA1636" s="93" t="str">
        <f>+VLOOKUP(Agencia[[#This Row],[Muestra]],Estructura!$M$4:$O$500,3,0)</f>
        <v>M-1107</v>
      </c>
    </row>
    <row r="1637" spans="1:27" ht="40.799999999999997" x14ac:dyDescent="0.3">
      <c r="A1637" s="21" t="s">
        <v>3527</v>
      </c>
      <c r="B1637" s="71">
        <v>990</v>
      </c>
      <c r="C1637" s="72" t="s">
        <v>400</v>
      </c>
      <c r="D1637" s="72" t="s">
        <v>823</v>
      </c>
      <c r="E1637" s="89">
        <v>16</v>
      </c>
      <c r="F1637" s="73" t="s">
        <v>3633</v>
      </c>
      <c r="G1637" s="73" t="s">
        <v>823</v>
      </c>
      <c r="H1637" s="79" t="s">
        <v>16</v>
      </c>
      <c r="I1637" s="80" t="s">
        <v>383</v>
      </c>
      <c r="J1637" s="66" t="s">
        <v>3180</v>
      </c>
      <c r="K1637" s="136" t="s">
        <v>9277</v>
      </c>
      <c r="L1637" s="71" t="s">
        <v>1445</v>
      </c>
      <c r="M1637" s="71" t="s">
        <v>3634</v>
      </c>
      <c r="N1637" s="71" t="s">
        <v>1370</v>
      </c>
      <c r="O1637" s="74" t="s">
        <v>3683</v>
      </c>
      <c r="P1637" s="113" t="s">
        <v>3684</v>
      </c>
      <c r="Q1637" s="68" t="s">
        <v>784</v>
      </c>
      <c r="R1637" s="74" t="str">
        <f>Agencia[[#This Row],[territorio]]&amp;",cantidad,supermercado,establecimientos,cajas,instaladas,nacional,"&amp;Agencia[[#This Row],[coleccion]]&amp;","&amp;Agencia[[#This Row],[sector]]&amp;","&amp;Agencia[[#This Row],[tema]]&amp;","&amp;Agencia[[#This Row],[contenido]]</f>
        <v>Región de Ñuble,cantidad,supermercado,establecimientos,cajas,instaladas,nacional,Agencia Información,Economía,Supermercados,Economía</v>
      </c>
      <c r="S1637" s="84" t="s">
        <v>3685</v>
      </c>
      <c r="T1637" s="110" t="s">
        <v>1870</v>
      </c>
      <c r="U1637" s="46" t="s">
        <v>4531</v>
      </c>
      <c r="V1637" s="93" t="str">
        <f>+Agencia[[#This Row],[idcoleccion]]&amp;"-"&amp;Agencia[[#This Row],[id]]</f>
        <v>990-1626</v>
      </c>
      <c r="W1637" s="96">
        <v>99200016</v>
      </c>
      <c r="X1637" s="93" t="str">
        <f>+VLOOKUP(Agencia[[#This Row],[tema]],Estructura!$A$4:$C$500,3,0)</f>
        <v>T-1067</v>
      </c>
      <c r="Y1637" s="93" t="str">
        <f>+VLOOKUP(Agencia[[#This Row],[contenido]],Estructura!$E$4:$G$500,3,0)</f>
        <v>C-1028</v>
      </c>
      <c r="Z1637" s="93" t="str">
        <f>+VLOOKUP(Agencia[[#This Row],[Filtro Integrado]],Estructura!$I$4:$K$500,3,0)</f>
        <v>FI-1006</v>
      </c>
      <c r="AA1637" s="93" t="str">
        <f>+VLOOKUP(Agencia[[#This Row],[Muestra]],Estructura!$M$4:$O$500,3,0)</f>
        <v>M-1107</v>
      </c>
    </row>
    <row r="1638" spans="1:27" ht="40.799999999999997" x14ac:dyDescent="0.3">
      <c r="A1638" s="21" t="s">
        <v>3528</v>
      </c>
      <c r="B1638" s="66">
        <v>990</v>
      </c>
      <c r="C1638" s="67" t="s">
        <v>400</v>
      </c>
      <c r="D1638" s="67" t="s">
        <v>823</v>
      </c>
      <c r="E1638" s="90">
        <v>0</v>
      </c>
      <c r="F1638" s="72" t="s">
        <v>4279</v>
      </c>
      <c r="G1638" s="69" t="s">
        <v>823</v>
      </c>
      <c r="H1638" s="77" t="s">
        <v>20</v>
      </c>
      <c r="I1638" s="78" t="s">
        <v>15</v>
      </c>
      <c r="J1638" s="66" t="s">
        <v>3194</v>
      </c>
      <c r="K1638" s="67" t="s">
        <v>3686</v>
      </c>
      <c r="L1638" s="71" t="s">
        <v>1445</v>
      </c>
      <c r="M1638" s="66" t="s">
        <v>3614</v>
      </c>
      <c r="N1638" s="71" t="s">
        <v>1370</v>
      </c>
      <c r="O1638" s="70" t="s">
        <v>3687</v>
      </c>
      <c r="P1638" s="112" t="s">
        <v>3688</v>
      </c>
      <c r="Q1638" s="68" t="s">
        <v>784</v>
      </c>
      <c r="R1638" s="70" t="str">
        <f>Agencia[[#This Row],[territorio]]&amp;",índice,elaboración,productos,alimenticios,alimentos,producción,nacional,"&amp;Agencia[[#This Row],[coleccion]]&amp;","&amp;Agencia[[#This Row],[sector]]&amp;","&amp;Agencia[[#This Row],[tema]]&amp;","&amp;Agencia[[#This Row],[contenido]]</f>
        <v>Chile,índice,elaboración,productos,alimenticios,alimentos,producción,nacional,Agencia Información,Economía,Producción Manufacturera,Economía</v>
      </c>
      <c r="S1638" s="84" t="s">
        <v>3689</v>
      </c>
      <c r="T1638" s="110" t="s">
        <v>805</v>
      </c>
      <c r="U1638" s="46" t="s">
        <v>4532</v>
      </c>
      <c r="V1638" s="93" t="str">
        <f>+Agencia[[#This Row],[idcoleccion]]&amp;"-"&amp;Agencia[[#This Row],[id]]</f>
        <v>990-1627</v>
      </c>
      <c r="W1638" s="96">
        <v>99100000</v>
      </c>
      <c r="X1638" s="93" t="str">
        <f>+VLOOKUP(Agencia[[#This Row],[tema]],Estructura!$A$4:$C$500,3,0)</f>
        <v>T-1066</v>
      </c>
      <c r="Y1638" s="93" t="str">
        <f>+VLOOKUP(Agencia[[#This Row],[contenido]],Estructura!$E$4:$G$500,3,0)</f>
        <v>C-1028</v>
      </c>
      <c r="Z1638" s="93" t="str">
        <f>+VLOOKUP(Agencia[[#This Row],[Filtro Integrado]],Estructura!$I$4:$K$500,3,0)</f>
        <v>FI-1007</v>
      </c>
      <c r="AA1638" s="93" t="str">
        <f>+VLOOKUP(Agencia[[#This Row],[Muestra]],Estructura!$M$4:$O$500,3,0)</f>
        <v>M-1020</v>
      </c>
    </row>
    <row r="1639" spans="1:27" ht="72" x14ac:dyDescent="0.3">
      <c r="A1639" s="21" t="s">
        <v>3529</v>
      </c>
      <c r="B1639" s="66">
        <v>990</v>
      </c>
      <c r="C1639" s="67" t="s">
        <v>400</v>
      </c>
      <c r="D1639" s="67" t="s">
        <v>823</v>
      </c>
      <c r="E1639" s="89">
        <v>5</v>
      </c>
      <c r="F1639" s="72" t="s">
        <v>4279</v>
      </c>
      <c r="G1639" s="69" t="s">
        <v>823</v>
      </c>
      <c r="H1639" s="79" t="s">
        <v>16</v>
      </c>
      <c r="I1639" s="80" t="s">
        <v>372</v>
      </c>
      <c r="J1639" s="66" t="s">
        <v>3180</v>
      </c>
      <c r="K1639" s="67" t="s">
        <v>3686</v>
      </c>
      <c r="L1639" s="71" t="s">
        <v>1445</v>
      </c>
      <c r="M1639" s="66" t="s">
        <v>3614</v>
      </c>
      <c r="N1639" s="71" t="s">
        <v>1370</v>
      </c>
      <c r="O1639" s="70" t="s">
        <v>3690</v>
      </c>
      <c r="P1639" s="112" t="s">
        <v>3691</v>
      </c>
      <c r="Q1639" s="68" t="s">
        <v>784</v>
      </c>
      <c r="R1639" s="148" t="str">
        <f>Agencia[[#This Row],[territorio]]&amp;",índice,elaboración,productos,alimenticios,alimentos,producción,regional,"&amp;Agencia[[#This Row],[coleccion]]&amp;","&amp;Agencia[[#This Row],[sector]]&amp;","&amp;Agencia[[#This Row],[tema]]&amp;","&amp;Agencia[[#This Row],[contenido]]</f>
        <v>Región de Valparaíso,índice,elaboración,productos,alimenticios,alimentos,producción,regional,Agencia Información,Economía,Producción Manufacturera,Economía</v>
      </c>
      <c r="S1639" s="126" t="s">
        <v>3692</v>
      </c>
      <c r="T1639" s="110" t="s">
        <v>1873</v>
      </c>
      <c r="U1639" s="46" t="s">
        <v>4533</v>
      </c>
      <c r="V1639" s="93" t="str">
        <f>+Agencia[[#This Row],[idcoleccion]]&amp;"-"&amp;Agencia[[#This Row],[id]]</f>
        <v>990-1628</v>
      </c>
      <c r="W1639" s="96">
        <v>99200005</v>
      </c>
      <c r="X1639" s="93" t="str">
        <f>+VLOOKUP(Agencia[[#This Row],[tema]],Estructura!$A$4:$C$500,3,0)</f>
        <v>T-1066</v>
      </c>
      <c r="Y1639" s="93" t="str">
        <f>+VLOOKUP(Agencia[[#This Row],[contenido]],Estructura!$E$4:$G$500,3,0)</f>
        <v>C-1028</v>
      </c>
      <c r="Z1639" s="93" t="str">
        <f>+VLOOKUP(Agencia[[#This Row],[Filtro Integrado]],Estructura!$I$4:$K$500,3,0)</f>
        <v>FI-1006</v>
      </c>
      <c r="AA1639" s="93" t="str">
        <f>+VLOOKUP(Agencia[[#This Row],[Muestra]],Estructura!$M$4:$O$500,3,0)</f>
        <v>M-1020</v>
      </c>
    </row>
    <row r="1640" spans="1:27" ht="51" x14ac:dyDescent="0.3">
      <c r="A1640" s="21" t="s">
        <v>3530</v>
      </c>
      <c r="B1640" s="66">
        <v>990</v>
      </c>
      <c r="C1640" s="67" t="s">
        <v>400</v>
      </c>
      <c r="D1640" s="67" t="s">
        <v>823</v>
      </c>
      <c r="E1640" s="89">
        <v>6</v>
      </c>
      <c r="F1640" s="72" t="s">
        <v>4279</v>
      </c>
      <c r="G1640" s="69" t="s">
        <v>823</v>
      </c>
      <c r="H1640" s="79" t="s">
        <v>16</v>
      </c>
      <c r="I1640" s="80" t="s">
        <v>373</v>
      </c>
      <c r="J1640" s="66" t="s">
        <v>3180</v>
      </c>
      <c r="K1640" s="67" t="s">
        <v>3686</v>
      </c>
      <c r="L1640" s="71" t="s">
        <v>1445</v>
      </c>
      <c r="M1640" s="66" t="s">
        <v>3614</v>
      </c>
      <c r="N1640" s="71" t="s">
        <v>1370</v>
      </c>
      <c r="O1640" s="70" t="s">
        <v>3693</v>
      </c>
      <c r="P1640" s="112" t="s">
        <v>3694</v>
      </c>
      <c r="Q1640" s="68" t="s">
        <v>784</v>
      </c>
      <c r="R1640" s="148" t="str">
        <f>Agencia[[#This Row],[territorio]]&amp;",índice,elaboración,productos,alimenticios,alimentos,producción,regional,"&amp;Agencia[[#This Row],[coleccion]]&amp;","&amp;Agencia[[#This Row],[sector]]&amp;","&amp;Agencia[[#This Row],[tema]]&amp;","&amp;Agencia[[#This Row],[contenido]]</f>
        <v>Región de O'Higgins,índice,elaboración,productos,alimenticios,alimentos,producción,regional,Agencia Información,Economía,Producción Manufacturera,Economía</v>
      </c>
      <c r="S1640" s="84" t="s">
        <v>3695</v>
      </c>
      <c r="T1640" s="110" t="s">
        <v>1871</v>
      </c>
      <c r="U1640" s="46" t="s">
        <v>4534</v>
      </c>
      <c r="V1640" s="93" t="str">
        <f>+Agencia[[#This Row],[idcoleccion]]&amp;"-"&amp;Agencia[[#This Row],[id]]</f>
        <v>990-1629</v>
      </c>
      <c r="W1640" s="96">
        <v>99200006</v>
      </c>
      <c r="X1640" s="93" t="str">
        <f>+VLOOKUP(Agencia[[#This Row],[tema]],Estructura!$A$4:$C$500,3,0)</f>
        <v>T-1066</v>
      </c>
      <c r="Y1640" s="93" t="str">
        <f>+VLOOKUP(Agencia[[#This Row],[contenido]],Estructura!$E$4:$G$500,3,0)</f>
        <v>C-1028</v>
      </c>
      <c r="Z1640" s="93" t="str">
        <f>+VLOOKUP(Agencia[[#This Row],[Filtro Integrado]],Estructura!$I$4:$K$500,3,0)</f>
        <v>FI-1006</v>
      </c>
      <c r="AA1640" s="93" t="str">
        <f>+VLOOKUP(Agencia[[#This Row],[Muestra]],Estructura!$M$4:$O$500,3,0)</f>
        <v>M-1020</v>
      </c>
    </row>
    <row r="1641" spans="1:27" ht="51" x14ac:dyDescent="0.3">
      <c r="A1641" s="21" t="s">
        <v>3531</v>
      </c>
      <c r="B1641" s="66">
        <v>990</v>
      </c>
      <c r="C1641" s="67" t="s">
        <v>400</v>
      </c>
      <c r="D1641" s="67" t="s">
        <v>823</v>
      </c>
      <c r="E1641" s="89">
        <v>8</v>
      </c>
      <c r="F1641" s="72" t="s">
        <v>4279</v>
      </c>
      <c r="G1641" s="69" t="s">
        <v>823</v>
      </c>
      <c r="H1641" s="79" t="s">
        <v>16</v>
      </c>
      <c r="I1641" s="80" t="s">
        <v>375</v>
      </c>
      <c r="J1641" s="66" t="s">
        <v>3180</v>
      </c>
      <c r="K1641" s="67" t="s">
        <v>3686</v>
      </c>
      <c r="L1641" s="71" t="s">
        <v>1445</v>
      </c>
      <c r="M1641" s="66" t="s">
        <v>3614</v>
      </c>
      <c r="N1641" s="71" t="s">
        <v>1370</v>
      </c>
      <c r="O1641" s="70" t="s">
        <v>3696</v>
      </c>
      <c r="P1641" s="112" t="s">
        <v>3697</v>
      </c>
      <c r="Q1641" s="68" t="s">
        <v>784</v>
      </c>
      <c r="R1641" s="148" t="str">
        <f>Agencia[[#This Row],[territorio]]&amp;",índice,elaboración,productos,alimenticios,alimentos,producción,regional,"&amp;Agencia[[#This Row],[coleccion]]&amp;","&amp;Agencia[[#This Row],[sector]]&amp;","&amp;Agencia[[#This Row],[tema]]&amp;","&amp;Agencia[[#This Row],[contenido]]</f>
        <v>Región del Biobío,índice,elaboración,productos,alimenticios,alimentos,producción,regional,Agencia Información,Economía,Producción Manufacturera,Economía</v>
      </c>
      <c r="S1641" s="84" t="s">
        <v>3698</v>
      </c>
      <c r="T1641" s="110" t="s">
        <v>1874</v>
      </c>
      <c r="U1641" s="46" t="s">
        <v>4535</v>
      </c>
      <c r="V1641" s="93" t="str">
        <f>+Agencia[[#This Row],[idcoleccion]]&amp;"-"&amp;Agencia[[#This Row],[id]]</f>
        <v>990-1630</v>
      </c>
      <c r="W1641" s="96">
        <v>99200008</v>
      </c>
      <c r="X1641" s="93" t="str">
        <f>+VLOOKUP(Agencia[[#This Row],[tema]],Estructura!$A$4:$C$500,3,0)</f>
        <v>T-1066</v>
      </c>
      <c r="Y1641" s="93" t="str">
        <f>+VLOOKUP(Agencia[[#This Row],[contenido]],Estructura!$E$4:$G$500,3,0)</f>
        <v>C-1028</v>
      </c>
      <c r="Z1641" s="93" t="str">
        <f>+VLOOKUP(Agencia[[#This Row],[Filtro Integrado]],Estructura!$I$4:$K$500,3,0)</f>
        <v>FI-1006</v>
      </c>
      <c r="AA1641" s="93" t="str">
        <f>+VLOOKUP(Agencia[[#This Row],[Muestra]],Estructura!$M$4:$O$500,3,0)</f>
        <v>M-1020</v>
      </c>
    </row>
    <row r="1642" spans="1:27" ht="51" x14ac:dyDescent="0.3">
      <c r="A1642" s="21" t="s">
        <v>3532</v>
      </c>
      <c r="B1642" s="71">
        <v>990</v>
      </c>
      <c r="C1642" s="72" t="s">
        <v>400</v>
      </c>
      <c r="D1642" s="72" t="s">
        <v>823</v>
      </c>
      <c r="E1642" s="91">
        <v>14</v>
      </c>
      <c r="F1642" s="72" t="s">
        <v>4279</v>
      </c>
      <c r="G1642" s="69" t="s">
        <v>823</v>
      </c>
      <c r="H1642" s="79" t="s">
        <v>16</v>
      </c>
      <c r="I1642" s="80" t="s">
        <v>381</v>
      </c>
      <c r="J1642" s="71" t="s">
        <v>3180</v>
      </c>
      <c r="K1642" s="67" t="s">
        <v>3686</v>
      </c>
      <c r="L1642" s="71" t="s">
        <v>1445</v>
      </c>
      <c r="M1642" s="66" t="s">
        <v>3614</v>
      </c>
      <c r="N1642" s="71" t="s">
        <v>1370</v>
      </c>
      <c r="O1642" s="70" t="s">
        <v>3699</v>
      </c>
      <c r="P1642" s="112" t="s">
        <v>3700</v>
      </c>
      <c r="Q1642" s="75" t="s">
        <v>784</v>
      </c>
      <c r="R1642" s="148" t="str">
        <f>Agencia[[#This Row],[territorio]]&amp;",índice,elaboración,productos,alimenticios,alimentos,producción,regional,"&amp;Agencia[[#This Row],[coleccion]]&amp;","&amp;Agencia[[#This Row],[sector]]&amp;","&amp;Agencia[[#This Row],[tema]]&amp;","&amp;Agencia[[#This Row],[contenido]]</f>
        <v>Región de Los Ríos,índice,elaboración,productos,alimenticios,alimentos,producción,regional,Agencia Información,Economía,Producción Manufacturera,Economía</v>
      </c>
      <c r="S1642" s="84" t="s">
        <v>3701</v>
      </c>
      <c r="T1642" s="109" t="s">
        <v>1867</v>
      </c>
      <c r="U1642" s="46" t="s">
        <v>4536</v>
      </c>
      <c r="V1642" s="93" t="str">
        <f>+Agencia[[#This Row],[idcoleccion]]&amp;"-"&amp;Agencia[[#This Row],[id]]</f>
        <v>990-1631</v>
      </c>
      <c r="W1642" s="96">
        <v>99200014</v>
      </c>
      <c r="X1642" s="93" t="str">
        <f>+VLOOKUP(Agencia[[#This Row],[tema]],Estructura!$A$4:$C$500,3,0)</f>
        <v>T-1066</v>
      </c>
      <c r="Y1642" s="93" t="str">
        <f>+VLOOKUP(Agencia[[#This Row],[contenido]],Estructura!$E$4:$G$500,3,0)</f>
        <v>C-1028</v>
      </c>
      <c r="Z1642" s="93" t="str">
        <f>+VLOOKUP(Agencia[[#This Row],[Filtro Integrado]],Estructura!$I$4:$K$500,3,0)</f>
        <v>FI-1006</v>
      </c>
      <c r="AA1642" s="93" t="str">
        <f>+VLOOKUP(Agencia[[#This Row],[Muestra]],Estructura!$M$4:$O$500,3,0)</f>
        <v>M-1020</v>
      </c>
    </row>
    <row r="1643" spans="1:27" ht="51" x14ac:dyDescent="0.3">
      <c r="A1643" s="21" t="s">
        <v>3533</v>
      </c>
      <c r="B1643" s="71">
        <v>990</v>
      </c>
      <c r="C1643" s="72" t="s">
        <v>400</v>
      </c>
      <c r="D1643" s="72" t="s">
        <v>823</v>
      </c>
      <c r="E1643" s="90">
        <v>0</v>
      </c>
      <c r="F1643" s="72" t="s">
        <v>4279</v>
      </c>
      <c r="G1643" s="73" t="s">
        <v>823</v>
      </c>
      <c r="H1643" s="77" t="s">
        <v>20</v>
      </c>
      <c r="I1643" s="78" t="s">
        <v>15</v>
      </c>
      <c r="J1643" s="71" t="s">
        <v>3180</v>
      </c>
      <c r="K1643" s="72" t="s">
        <v>3702</v>
      </c>
      <c r="L1643" s="71" t="s">
        <v>1445</v>
      </c>
      <c r="M1643" s="66" t="s">
        <v>3614</v>
      </c>
      <c r="N1643" s="71" t="s">
        <v>1370</v>
      </c>
      <c r="O1643" s="74" t="s">
        <v>3703</v>
      </c>
      <c r="P1643" s="113" t="s">
        <v>3704</v>
      </c>
      <c r="Q1643" s="75" t="s">
        <v>784</v>
      </c>
      <c r="R1643" s="74" t="str">
        <f>Agencia[[#This Row],[territorio]]&amp;",índice,fabricación,producción,productos,farmacéuticos,medicinal,botánicos,sustancias,químicas,manufactura,manufacturera,nacional,"&amp;Agencia[[#This Row],[coleccion]]&amp;","&amp;Agencia[[#This Row],[sector]]&amp;","&amp;Agencia[[#This Row],[tema]]&amp;","&amp;Agencia[[#This Row],[contenido]]</f>
        <v>Chile,índice,fabricación,producción,productos,farmacéuticos,medicinal,botánicos,sustancias,químicas,manufactura,manufacturera,nacional,Agencia Información,Economía,Producción Manufacturera,Economía</v>
      </c>
      <c r="S1643" s="81" t="s">
        <v>3705</v>
      </c>
      <c r="T1643" s="109">
        <v>0</v>
      </c>
      <c r="U1643" s="46" t="s">
        <v>4537</v>
      </c>
      <c r="V1643" s="93" t="str">
        <f>+Agencia[[#This Row],[idcoleccion]]&amp;"-"&amp;Agencia[[#This Row],[id]]</f>
        <v>990-1632</v>
      </c>
      <c r="W1643" s="96">
        <v>99100000</v>
      </c>
      <c r="X1643" s="93" t="str">
        <f>+VLOOKUP(Agencia[[#This Row],[tema]],Estructura!$A$4:$C$500,3,0)</f>
        <v>T-1066</v>
      </c>
      <c r="Y1643" s="93" t="str">
        <f>+VLOOKUP(Agencia[[#This Row],[contenido]],Estructura!$E$4:$G$500,3,0)</f>
        <v>C-1028</v>
      </c>
      <c r="Z1643" s="93" t="str">
        <f>+VLOOKUP(Agencia[[#This Row],[Filtro Integrado]],Estructura!$I$4:$K$500,3,0)</f>
        <v>FI-1006</v>
      </c>
      <c r="AA1643" s="93" t="str">
        <f>+VLOOKUP(Agencia[[#This Row],[Muestra]],Estructura!$M$4:$O$500,3,0)</f>
        <v>M-1021</v>
      </c>
    </row>
    <row r="1644" spans="1:27" ht="51" x14ac:dyDescent="0.3">
      <c r="A1644" s="21" t="s">
        <v>3534</v>
      </c>
      <c r="B1644" s="66">
        <v>990</v>
      </c>
      <c r="C1644" s="67" t="s">
        <v>400</v>
      </c>
      <c r="D1644" s="67" t="s">
        <v>823</v>
      </c>
      <c r="E1644" s="90">
        <v>0</v>
      </c>
      <c r="F1644" s="72" t="s">
        <v>4279</v>
      </c>
      <c r="G1644" s="69" t="s">
        <v>823</v>
      </c>
      <c r="H1644" s="77" t="s">
        <v>20</v>
      </c>
      <c r="I1644" s="78" t="s">
        <v>15</v>
      </c>
      <c r="J1644" s="66" t="s">
        <v>3194</v>
      </c>
      <c r="K1644" s="66" t="s">
        <v>9264</v>
      </c>
      <c r="L1644" s="71" t="s">
        <v>1445</v>
      </c>
      <c r="M1644" s="66" t="s">
        <v>3614</v>
      </c>
      <c r="N1644" s="71" t="s">
        <v>1370</v>
      </c>
      <c r="O1644" s="70" t="s">
        <v>3706</v>
      </c>
      <c r="P1644" s="112" t="s">
        <v>3707</v>
      </c>
      <c r="Q1644" s="68" t="s">
        <v>784</v>
      </c>
      <c r="R1644" s="70" t="str">
        <f>Agencia[[#This Row],[territorio]]&amp;",índice,fabricación,producción,sustancias,químicas,productos,nacional,manufactura,manufacturera,"&amp;Agencia[[#This Row],[coleccion]]&amp;","&amp;Agencia[[#This Row],[sector]]&amp;","&amp;Agencia[[#This Row],[tema]]&amp;","&amp;Agencia[[#This Row],[contenido]]</f>
        <v>Chile,índice,fabricación,producción,sustancias,químicas,productos,nacional,manufactura,manufacturera,Agencia Información,Economía,Producción Manufacturera,Economía</v>
      </c>
      <c r="S1644" s="84" t="s">
        <v>3708</v>
      </c>
      <c r="T1644" s="110" t="s">
        <v>805</v>
      </c>
      <c r="U1644" s="46" t="s">
        <v>4538</v>
      </c>
      <c r="V1644" s="93" t="str">
        <f>+Agencia[[#This Row],[idcoleccion]]&amp;"-"&amp;Agencia[[#This Row],[id]]</f>
        <v>990-1633</v>
      </c>
      <c r="W1644" s="96">
        <v>99100000</v>
      </c>
      <c r="X1644" s="93" t="str">
        <f>+VLOOKUP(Agencia[[#This Row],[tema]],Estructura!$A$4:$C$500,3,0)</f>
        <v>T-1066</v>
      </c>
      <c r="Y1644" s="93" t="str">
        <f>+VLOOKUP(Agencia[[#This Row],[contenido]],Estructura!$E$4:$G$500,3,0)</f>
        <v>C-1028</v>
      </c>
      <c r="Z1644" s="93" t="str">
        <f>+VLOOKUP(Agencia[[#This Row],[Filtro Integrado]],Estructura!$I$4:$K$500,3,0)</f>
        <v>FI-1007</v>
      </c>
      <c r="AA1644" s="93" t="str">
        <f>+VLOOKUP(Agencia[[#This Row],[Muestra]],Estructura!$M$4:$O$500,3,0)</f>
        <v>M-1022</v>
      </c>
    </row>
    <row r="1645" spans="1:27" ht="61.2" x14ac:dyDescent="0.3">
      <c r="A1645" s="21" t="s">
        <v>3535</v>
      </c>
      <c r="B1645" s="66">
        <v>990</v>
      </c>
      <c r="C1645" s="67" t="s">
        <v>400</v>
      </c>
      <c r="D1645" s="67" t="s">
        <v>823</v>
      </c>
      <c r="E1645" s="89">
        <v>5</v>
      </c>
      <c r="F1645" s="72" t="s">
        <v>4279</v>
      </c>
      <c r="G1645" s="69" t="s">
        <v>823</v>
      </c>
      <c r="H1645" s="79" t="s">
        <v>16</v>
      </c>
      <c r="I1645" s="80" t="s">
        <v>372</v>
      </c>
      <c r="J1645" s="66" t="s">
        <v>3180</v>
      </c>
      <c r="K1645" s="142" t="s">
        <v>9264</v>
      </c>
      <c r="L1645" s="71" t="s">
        <v>1445</v>
      </c>
      <c r="M1645" s="66" t="s">
        <v>3614</v>
      </c>
      <c r="N1645" s="71" t="s">
        <v>1370</v>
      </c>
      <c r="O1645" s="70" t="s">
        <v>3709</v>
      </c>
      <c r="P1645" s="112" t="s">
        <v>3710</v>
      </c>
      <c r="Q1645" s="68" t="s">
        <v>784</v>
      </c>
      <c r="R1645" s="148" t="str">
        <f>Agencia[[#This Row],[territorio]]&amp;",índice,fabricación,producción,sustancias,químicas,productos,nacional,manufactura,manufacturera,"&amp;Agencia[[#This Row],[coleccion]]&amp;","&amp;Agencia[[#This Row],[sector]]&amp;","&amp;Agencia[[#This Row],[tema]]&amp;","&amp;Agencia[[#This Row],[contenido]]</f>
        <v>Región de Valparaíso,índice,fabricación,producción,sustancias,químicas,productos,nacional,manufactura,manufacturera,Agencia Información,Economía,Producción Manufacturera,Economía</v>
      </c>
      <c r="S1645" s="84" t="s">
        <v>3711</v>
      </c>
      <c r="T1645" s="110" t="s">
        <v>1873</v>
      </c>
      <c r="U1645" s="46" t="s">
        <v>4539</v>
      </c>
      <c r="V1645" s="93" t="str">
        <f>+Agencia[[#This Row],[idcoleccion]]&amp;"-"&amp;Agencia[[#This Row],[id]]</f>
        <v>990-1634</v>
      </c>
      <c r="W1645" s="96">
        <v>99200005</v>
      </c>
      <c r="X1645" s="93" t="str">
        <f>+VLOOKUP(Agencia[[#This Row],[tema]],Estructura!$A$4:$C$500,3,0)</f>
        <v>T-1066</v>
      </c>
      <c r="Y1645" s="93" t="str">
        <f>+VLOOKUP(Agencia[[#This Row],[contenido]],Estructura!$E$4:$G$500,3,0)</f>
        <v>C-1028</v>
      </c>
      <c r="Z1645" s="93" t="str">
        <f>+VLOOKUP(Agencia[[#This Row],[Filtro Integrado]],Estructura!$I$4:$K$500,3,0)</f>
        <v>FI-1006</v>
      </c>
      <c r="AA1645" s="93" t="str">
        <f>+VLOOKUP(Agencia[[#This Row],[Muestra]],Estructura!$M$4:$O$500,3,0)</f>
        <v>M-1022</v>
      </c>
    </row>
    <row r="1646" spans="1:27" ht="61.2" x14ac:dyDescent="0.3">
      <c r="A1646" s="21" t="s">
        <v>3536</v>
      </c>
      <c r="B1646" s="66">
        <v>990</v>
      </c>
      <c r="C1646" s="67" t="s">
        <v>400</v>
      </c>
      <c r="D1646" s="67" t="s">
        <v>823</v>
      </c>
      <c r="E1646" s="89">
        <v>6</v>
      </c>
      <c r="F1646" s="72" t="s">
        <v>4279</v>
      </c>
      <c r="G1646" s="69" t="s">
        <v>823</v>
      </c>
      <c r="H1646" s="79" t="s">
        <v>16</v>
      </c>
      <c r="I1646" s="80" t="s">
        <v>373</v>
      </c>
      <c r="J1646" s="66" t="s">
        <v>3180</v>
      </c>
      <c r="K1646" s="142" t="s">
        <v>9264</v>
      </c>
      <c r="L1646" s="71" t="s">
        <v>1445</v>
      </c>
      <c r="M1646" s="66" t="s">
        <v>3614</v>
      </c>
      <c r="N1646" s="71" t="s">
        <v>1370</v>
      </c>
      <c r="O1646" s="70" t="s">
        <v>3712</v>
      </c>
      <c r="P1646" s="112" t="s">
        <v>3713</v>
      </c>
      <c r="Q1646" s="68" t="s">
        <v>784</v>
      </c>
      <c r="R1646" s="148" t="str">
        <f>Agencia[[#This Row],[territorio]]&amp;",índice,fabricación,producción,sustancias,químicas,productos,nacional,manufactura,manufacturera,"&amp;Agencia[[#This Row],[coleccion]]&amp;","&amp;Agencia[[#This Row],[sector]]&amp;","&amp;Agencia[[#This Row],[tema]]&amp;","&amp;Agencia[[#This Row],[contenido]]</f>
        <v>Región de O'Higgins,índice,fabricación,producción,sustancias,químicas,productos,nacional,manufactura,manufacturera,Agencia Información,Economía,Producción Manufacturera,Economía</v>
      </c>
      <c r="S1646" s="84" t="s">
        <v>3714</v>
      </c>
      <c r="T1646" s="110" t="s">
        <v>1871</v>
      </c>
      <c r="U1646" s="46" t="s">
        <v>4540</v>
      </c>
      <c r="V1646" s="93" t="str">
        <f>+Agencia[[#This Row],[idcoleccion]]&amp;"-"&amp;Agencia[[#This Row],[id]]</f>
        <v>990-1635</v>
      </c>
      <c r="W1646" s="96">
        <v>99200006</v>
      </c>
      <c r="X1646" s="93" t="str">
        <f>+VLOOKUP(Agencia[[#This Row],[tema]],Estructura!$A$4:$C$500,3,0)</f>
        <v>T-1066</v>
      </c>
      <c r="Y1646" s="93" t="str">
        <f>+VLOOKUP(Agencia[[#This Row],[contenido]],Estructura!$E$4:$G$500,3,0)</f>
        <v>C-1028</v>
      </c>
      <c r="Z1646" s="93" t="str">
        <f>+VLOOKUP(Agencia[[#This Row],[Filtro Integrado]],Estructura!$I$4:$K$500,3,0)</f>
        <v>FI-1006</v>
      </c>
      <c r="AA1646" s="93" t="str">
        <f>+VLOOKUP(Agencia[[#This Row],[Muestra]],Estructura!$M$4:$O$500,3,0)</f>
        <v>M-1022</v>
      </c>
    </row>
    <row r="1647" spans="1:27" ht="61.2" x14ac:dyDescent="0.3">
      <c r="A1647" s="21" t="s">
        <v>3537</v>
      </c>
      <c r="B1647" s="71">
        <v>990</v>
      </c>
      <c r="C1647" s="72" t="s">
        <v>400</v>
      </c>
      <c r="D1647" s="72" t="s">
        <v>823</v>
      </c>
      <c r="E1647" s="91">
        <v>8</v>
      </c>
      <c r="F1647" s="72" t="s">
        <v>4279</v>
      </c>
      <c r="G1647" s="73" t="s">
        <v>823</v>
      </c>
      <c r="H1647" s="79" t="s">
        <v>16</v>
      </c>
      <c r="I1647" s="80" t="s">
        <v>375</v>
      </c>
      <c r="J1647" s="71" t="s">
        <v>3180</v>
      </c>
      <c r="K1647" s="142" t="s">
        <v>9264</v>
      </c>
      <c r="L1647" s="71" t="s">
        <v>1445</v>
      </c>
      <c r="M1647" s="66" t="s">
        <v>3614</v>
      </c>
      <c r="N1647" s="71" t="s">
        <v>1370</v>
      </c>
      <c r="O1647" s="70" t="s">
        <v>3715</v>
      </c>
      <c r="P1647" s="112" t="s">
        <v>3716</v>
      </c>
      <c r="Q1647" s="75" t="s">
        <v>784</v>
      </c>
      <c r="R1647" s="148" t="str">
        <f>Agencia[[#This Row],[territorio]]&amp;",índice,fabricación,producción,sustancias,químicas,productos,nacional,manufactura,manufacturera,"&amp;Agencia[[#This Row],[coleccion]]&amp;","&amp;Agencia[[#This Row],[sector]]&amp;","&amp;Agencia[[#This Row],[tema]]&amp;","&amp;Agencia[[#This Row],[contenido]]</f>
        <v>Región del Biobío,índice,fabricación,producción,sustancias,químicas,productos,nacional,manufactura,manufacturera,Agencia Información,Economía,Producción Manufacturera,Economía</v>
      </c>
      <c r="S1647" s="84" t="s">
        <v>3717</v>
      </c>
      <c r="T1647" s="109" t="s">
        <v>1874</v>
      </c>
      <c r="U1647" s="46" t="s">
        <v>4541</v>
      </c>
      <c r="V1647" s="93" t="str">
        <f>+Agencia[[#This Row],[idcoleccion]]&amp;"-"&amp;Agencia[[#This Row],[id]]</f>
        <v>990-1636</v>
      </c>
      <c r="W1647" s="96">
        <v>99200008</v>
      </c>
      <c r="X1647" s="93" t="str">
        <f>+VLOOKUP(Agencia[[#This Row],[tema]],Estructura!$A$4:$C$500,3,0)</f>
        <v>T-1066</v>
      </c>
      <c r="Y1647" s="93" t="str">
        <f>+VLOOKUP(Agencia[[#This Row],[contenido]],Estructura!$E$4:$G$500,3,0)</f>
        <v>C-1028</v>
      </c>
      <c r="Z1647" s="93" t="str">
        <f>+VLOOKUP(Agencia[[#This Row],[Filtro Integrado]],Estructura!$I$4:$K$500,3,0)</f>
        <v>FI-1006</v>
      </c>
      <c r="AA1647" s="93" t="str">
        <f>+VLOOKUP(Agencia[[#This Row],[Muestra]],Estructura!$M$4:$O$500,3,0)</f>
        <v>M-1022</v>
      </c>
    </row>
    <row r="1648" spans="1:27" ht="40.799999999999997" x14ac:dyDescent="0.3">
      <c r="A1648" s="21" t="s">
        <v>3538</v>
      </c>
      <c r="B1648" s="66">
        <v>990</v>
      </c>
      <c r="C1648" s="67" t="s">
        <v>400</v>
      </c>
      <c r="D1648" s="67" t="s">
        <v>1375</v>
      </c>
      <c r="E1648" s="90">
        <v>0</v>
      </c>
      <c r="F1648" s="69" t="s">
        <v>3718</v>
      </c>
      <c r="G1648" s="69" t="s">
        <v>2700</v>
      </c>
      <c r="H1648" s="77" t="s">
        <v>20</v>
      </c>
      <c r="I1648" s="78" t="s">
        <v>15</v>
      </c>
      <c r="J1648" s="66" t="s">
        <v>3194</v>
      </c>
      <c r="K1648" s="66" t="s">
        <v>3719</v>
      </c>
      <c r="L1648" s="71" t="s">
        <v>1445</v>
      </c>
      <c r="M1648" s="66" t="s">
        <v>3612</v>
      </c>
      <c r="N1648" s="66" t="s">
        <v>3720</v>
      </c>
      <c r="O1648" s="70" t="s">
        <v>3721</v>
      </c>
      <c r="P1648" s="112" t="s">
        <v>6869</v>
      </c>
      <c r="Q1648" s="68" t="s">
        <v>784</v>
      </c>
      <c r="R1648" s="148" t="str">
        <f>Agencia[[#This Row],[territorio]]&amp;",vehículos,autos,peaje,pórtico,autopistas,interurbanas,nacional,"&amp;Agencia[[#This Row],[coleccion]]&amp;","&amp;Agencia[[#This Row],[sector]]&amp;","&amp;Agencia[[#This Row],[tema]]&amp;","&amp;Agencia[[#This Row],[contenido]]</f>
        <v>Chile,vehículos,autos,peaje,pórtico,autopistas,interurbanas,nacional,Agencia Información,Transporte y tránsito,Pórticos y Peajes,Tránsito</v>
      </c>
      <c r="S1648" s="83" t="s">
        <v>3722</v>
      </c>
      <c r="T1648" s="110" t="s">
        <v>805</v>
      </c>
      <c r="U1648" s="46" t="s">
        <v>4542</v>
      </c>
      <c r="V1648" s="93" t="str">
        <f>+Agencia[[#This Row],[idcoleccion]]&amp;"-"&amp;Agencia[[#This Row],[id]]</f>
        <v>990-1637</v>
      </c>
      <c r="W1648" s="96">
        <v>99100000</v>
      </c>
      <c r="X1648" s="93" t="str">
        <f>+VLOOKUP(Agencia[[#This Row],[tema]],Estructura!$A$4:$C$500,3,0)</f>
        <v>T-1089</v>
      </c>
      <c r="Y1648" s="93" t="str">
        <f>+VLOOKUP(Agencia[[#This Row],[contenido]],Estructura!$E$4:$G$500,3,0)</f>
        <v>C-1016</v>
      </c>
      <c r="Z1648" s="93" t="str">
        <f>+VLOOKUP(Agencia[[#This Row],[Filtro Integrado]],Estructura!$I$4:$K$500,3,0)</f>
        <v>FI-1007</v>
      </c>
      <c r="AA1648" s="93" t="str">
        <f>+VLOOKUP(Agencia[[#This Row],[Muestra]],Estructura!$M$4:$O$500,3,0)</f>
        <v>M-1023</v>
      </c>
    </row>
    <row r="1649" spans="1:27" ht="72" x14ac:dyDescent="0.3">
      <c r="A1649" s="21" t="s">
        <v>3539</v>
      </c>
      <c r="B1649" s="66">
        <v>990</v>
      </c>
      <c r="C1649" s="67" t="s">
        <v>400</v>
      </c>
      <c r="D1649" s="67" t="s">
        <v>1375</v>
      </c>
      <c r="E1649" s="89">
        <v>5</v>
      </c>
      <c r="F1649" s="69" t="s">
        <v>3718</v>
      </c>
      <c r="G1649" s="69" t="s">
        <v>2700</v>
      </c>
      <c r="H1649" s="79" t="s">
        <v>16</v>
      </c>
      <c r="I1649" s="80" t="s">
        <v>372</v>
      </c>
      <c r="J1649" s="66" t="s">
        <v>3180</v>
      </c>
      <c r="K1649" s="66" t="s">
        <v>3719</v>
      </c>
      <c r="L1649" s="71" t="s">
        <v>1445</v>
      </c>
      <c r="M1649" s="66" t="s">
        <v>3612</v>
      </c>
      <c r="N1649" s="66" t="s">
        <v>3720</v>
      </c>
      <c r="O1649" s="70" t="s">
        <v>3723</v>
      </c>
      <c r="P1649" s="112" t="s">
        <v>3724</v>
      </c>
      <c r="Q1649" s="68" t="s">
        <v>784</v>
      </c>
      <c r="R1649" s="148" t="str">
        <f>Agencia[[#This Row],[territorio]]&amp;",vehículos,autos,peaje,pórtico,autopistas,interurbanas,regional,"&amp;Agencia[[#This Row],[coleccion]]&amp;","&amp;Agencia[[#This Row],[sector]]&amp;","&amp;Agencia[[#This Row],[tema]]&amp;","&amp;Agencia[[#This Row],[contenido]]</f>
        <v>Región de Valparaíso,vehículos,autos,peaje,pórtico,autopistas,interurbanas,regional,Agencia Información,Transporte y tránsito,Pórticos y Peajes,Tránsito</v>
      </c>
      <c r="S1649" s="83" t="s">
        <v>3725</v>
      </c>
      <c r="T1649" s="110" t="s">
        <v>1873</v>
      </c>
      <c r="U1649" s="46" t="s">
        <v>4543</v>
      </c>
      <c r="V1649" s="93" t="str">
        <f>+Agencia[[#This Row],[idcoleccion]]&amp;"-"&amp;Agencia[[#This Row],[id]]</f>
        <v>990-1638</v>
      </c>
      <c r="W1649" s="96">
        <v>99200005</v>
      </c>
      <c r="X1649" s="93" t="str">
        <f>+VLOOKUP(Agencia[[#This Row],[tema]],Estructura!$A$4:$C$500,3,0)</f>
        <v>T-1089</v>
      </c>
      <c r="Y1649" s="93" t="str">
        <f>+VLOOKUP(Agencia[[#This Row],[contenido]],Estructura!$E$4:$G$500,3,0)</f>
        <v>C-1016</v>
      </c>
      <c r="Z1649" s="93" t="str">
        <f>+VLOOKUP(Agencia[[#This Row],[Filtro Integrado]],Estructura!$I$4:$K$500,3,0)</f>
        <v>FI-1006</v>
      </c>
      <c r="AA1649" s="93" t="str">
        <f>+VLOOKUP(Agencia[[#This Row],[Muestra]],Estructura!$M$4:$O$500,3,0)</f>
        <v>M-1023</v>
      </c>
    </row>
    <row r="1650" spans="1:27" ht="72" x14ac:dyDescent="0.3">
      <c r="A1650" s="21" t="s">
        <v>3540</v>
      </c>
      <c r="B1650" s="66">
        <v>990</v>
      </c>
      <c r="C1650" s="67" t="s">
        <v>400</v>
      </c>
      <c r="D1650" s="67" t="s">
        <v>1375</v>
      </c>
      <c r="E1650" s="89">
        <v>8</v>
      </c>
      <c r="F1650" s="69" t="s">
        <v>3718</v>
      </c>
      <c r="G1650" s="69" t="s">
        <v>2700</v>
      </c>
      <c r="H1650" s="79" t="s">
        <v>16</v>
      </c>
      <c r="I1650" s="80" t="s">
        <v>375</v>
      </c>
      <c r="J1650" s="66" t="s">
        <v>3180</v>
      </c>
      <c r="K1650" s="66" t="s">
        <v>3719</v>
      </c>
      <c r="L1650" s="71" t="s">
        <v>1445</v>
      </c>
      <c r="M1650" s="66" t="s">
        <v>3612</v>
      </c>
      <c r="N1650" s="66" t="s">
        <v>3720</v>
      </c>
      <c r="O1650" s="70" t="s">
        <v>3726</v>
      </c>
      <c r="P1650" s="112" t="s">
        <v>3727</v>
      </c>
      <c r="Q1650" s="68" t="s">
        <v>784</v>
      </c>
      <c r="R1650" s="148" t="str">
        <f>Agencia[[#This Row],[territorio]]&amp;",vehículos,autos,peaje,pórtico,autopistas,interurbanas,regional,"&amp;Agencia[[#This Row],[coleccion]]&amp;","&amp;Agencia[[#This Row],[sector]]&amp;","&amp;Agencia[[#This Row],[tema]]&amp;","&amp;Agencia[[#This Row],[contenido]]</f>
        <v>Región del Biobío,vehículos,autos,peaje,pórtico,autopistas,interurbanas,regional,Agencia Información,Transporte y tránsito,Pórticos y Peajes,Tránsito</v>
      </c>
      <c r="S1650" s="83" t="s">
        <v>3728</v>
      </c>
      <c r="T1650" s="110" t="s">
        <v>1874</v>
      </c>
      <c r="U1650" s="46" t="s">
        <v>4544</v>
      </c>
      <c r="V1650" s="93" t="str">
        <f>+Agencia[[#This Row],[idcoleccion]]&amp;"-"&amp;Agencia[[#This Row],[id]]</f>
        <v>990-1639</v>
      </c>
      <c r="W1650" s="96">
        <v>99200008</v>
      </c>
      <c r="X1650" s="93" t="str">
        <f>+VLOOKUP(Agencia[[#This Row],[tema]],Estructura!$A$4:$C$500,3,0)</f>
        <v>T-1089</v>
      </c>
      <c r="Y1650" s="93" t="str">
        <f>+VLOOKUP(Agencia[[#This Row],[contenido]],Estructura!$E$4:$G$500,3,0)</f>
        <v>C-1016</v>
      </c>
      <c r="Z1650" s="93" t="str">
        <f>+VLOOKUP(Agencia[[#This Row],[Filtro Integrado]],Estructura!$I$4:$K$500,3,0)</f>
        <v>FI-1006</v>
      </c>
      <c r="AA1650" s="93" t="str">
        <f>+VLOOKUP(Agencia[[#This Row],[Muestra]],Estructura!$M$4:$O$500,3,0)</f>
        <v>M-1023</v>
      </c>
    </row>
    <row r="1651" spans="1:27" ht="72" x14ac:dyDescent="0.3">
      <c r="A1651" s="21" t="s">
        <v>3541</v>
      </c>
      <c r="B1651" s="66">
        <v>990</v>
      </c>
      <c r="C1651" s="67" t="s">
        <v>400</v>
      </c>
      <c r="D1651" s="67" t="s">
        <v>1375</v>
      </c>
      <c r="E1651" s="89">
        <v>13</v>
      </c>
      <c r="F1651" s="69" t="s">
        <v>3718</v>
      </c>
      <c r="G1651" s="69" t="s">
        <v>2700</v>
      </c>
      <c r="H1651" s="79" t="s">
        <v>16</v>
      </c>
      <c r="I1651" s="80" t="s">
        <v>380</v>
      </c>
      <c r="J1651" s="66" t="s">
        <v>3180</v>
      </c>
      <c r="K1651" s="66" t="s">
        <v>3719</v>
      </c>
      <c r="L1651" s="71" t="s">
        <v>1445</v>
      </c>
      <c r="M1651" s="66" t="s">
        <v>3612</v>
      </c>
      <c r="N1651" s="66" t="s">
        <v>3720</v>
      </c>
      <c r="O1651" s="70" t="s">
        <v>3729</v>
      </c>
      <c r="P1651" s="112" t="s">
        <v>3730</v>
      </c>
      <c r="Q1651" s="68" t="s">
        <v>784</v>
      </c>
      <c r="R1651" s="148" t="str">
        <f>Agencia[[#This Row],[territorio]]&amp;",vehículos,autos,peaje,pórtico,autopistas,interurbanas,regional,"&amp;Agencia[[#This Row],[coleccion]]&amp;","&amp;Agencia[[#This Row],[sector]]&amp;","&amp;Agencia[[#This Row],[tema]]&amp;","&amp;Agencia[[#This Row],[contenido]]</f>
        <v>Región Metropolitana,vehículos,autos,peaje,pórtico,autopistas,interurbanas,regional,Agencia Información,Transporte y tránsito,Pórticos y Peajes,Tránsito</v>
      </c>
      <c r="S1651" s="83" t="s">
        <v>3731</v>
      </c>
      <c r="T1651" s="110" t="s">
        <v>1875</v>
      </c>
      <c r="U1651" s="46" t="s">
        <v>4545</v>
      </c>
      <c r="V1651" s="93" t="str">
        <f>+Agencia[[#This Row],[idcoleccion]]&amp;"-"&amp;Agencia[[#This Row],[id]]</f>
        <v>990-1640</v>
      </c>
      <c r="W1651" s="96">
        <v>99200013</v>
      </c>
      <c r="X1651" s="93" t="str">
        <f>+VLOOKUP(Agencia[[#This Row],[tema]],Estructura!$A$4:$C$500,3,0)</f>
        <v>T-1089</v>
      </c>
      <c r="Y1651" s="93" t="str">
        <f>+VLOOKUP(Agencia[[#This Row],[contenido]],Estructura!$E$4:$G$500,3,0)</f>
        <v>C-1016</v>
      </c>
      <c r="Z1651" s="93" t="str">
        <f>+VLOOKUP(Agencia[[#This Row],[Filtro Integrado]],Estructura!$I$4:$K$500,3,0)</f>
        <v>FI-1006</v>
      </c>
      <c r="AA1651" s="93" t="str">
        <f>+VLOOKUP(Agencia[[#This Row],[Muestra]],Estructura!$M$4:$O$500,3,0)</f>
        <v>M-1023</v>
      </c>
    </row>
    <row r="1652" spans="1:27" ht="72" x14ac:dyDescent="0.3">
      <c r="A1652" s="21" t="s">
        <v>3542</v>
      </c>
      <c r="B1652" s="71">
        <v>990</v>
      </c>
      <c r="C1652" s="72" t="s">
        <v>400</v>
      </c>
      <c r="D1652" s="67" t="s">
        <v>1375</v>
      </c>
      <c r="E1652" s="91">
        <v>16</v>
      </c>
      <c r="F1652" s="69" t="s">
        <v>3718</v>
      </c>
      <c r="G1652" s="69" t="s">
        <v>2700</v>
      </c>
      <c r="H1652" s="79" t="s">
        <v>16</v>
      </c>
      <c r="I1652" s="80" t="s">
        <v>383</v>
      </c>
      <c r="J1652" s="71" t="s">
        <v>3180</v>
      </c>
      <c r="K1652" s="66" t="s">
        <v>3719</v>
      </c>
      <c r="L1652" s="71" t="s">
        <v>1445</v>
      </c>
      <c r="M1652" s="66" t="s">
        <v>3612</v>
      </c>
      <c r="N1652" s="66" t="s">
        <v>3720</v>
      </c>
      <c r="O1652" s="70" t="s">
        <v>3732</v>
      </c>
      <c r="P1652" s="112" t="s">
        <v>3733</v>
      </c>
      <c r="Q1652" s="75" t="s">
        <v>784</v>
      </c>
      <c r="R1652" s="148" t="str">
        <f>Agencia[[#This Row],[territorio]]&amp;",vehículos,autos,peaje,pórtico,autopistas,interurbanas,regional,"&amp;Agencia[[#This Row],[coleccion]]&amp;","&amp;Agencia[[#This Row],[sector]]&amp;","&amp;Agencia[[#This Row],[tema]]&amp;","&amp;Agencia[[#This Row],[contenido]]</f>
        <v>Región de Ñuble,vehículos,autos,peaje,pórtico,autopistas,interurbanas,regional,Agencia Información,Transporte y tránsito,Pórticos y Peajes,Tránsito</v>
      </c>
      <c r="S1652" s="83" t="s">
        <v>3734</v>
      </c>
      <c r="T1652" s="109" t="s">
        <v>1870</v>
      </c>
      <c r="U1652" s="46" t="s">
        <v>4546</v>
      </c>
      <c r="V1652" s="93" t="str">
        <f>+Agencia[[#This Row],[idcoleccion]]&amp;"-"&amp;Agencia[[#This Row],[id]]</f>
        <v>990-1641</v>
      </c>
      <c r="W1652" s="96">
        <v>99200016</v>
      </c>
      <c r="X1652" s="93" t="str">
        <f>+VLOOKUP(Agencia[[#This Row],[tema]],Estructura!$A$4:$C$500,3,0)</f>
        <v>T-1089</v>
      </c>
      <c r="Y1652" s="93" t="str">
        <f>+VLOOKUP(Agencia[[#This Row],[contenido]],Estructura!$E$4:$G$500,3,0)</f>
        <v>C-1016</v>
      </c>
      <c r="Z1652" s="93" t="str">
        <f>+VLOOKUP(Agencia[[#This Row],[Filtro Integrado]],Estructura!$I$4:$K$500,3,0)</f>
        <v>FI-1006</v>
      </c>
      <c r="AA1652" s="93" t="str">
        <f>+VLOOKUP(Agencia[[#This Row],[Muestra]],Estructura!$M$4:$O$500,3,0)</f>
        <v>M-1023</v>
      </c>
    </row>
    <row r="1653" spans="1:27" ht="40.799999999999997" x14ac:dyDescent="0.3">
      <c r="A1653" s="21" t="s">
        <v>3543</v>
      </c>
      <c r="B1653" s="71">
        <v>990</v>
      </c>
      <c r="C1653" s="72" t="s">
        <v>400</v>
      </c>
      <c r="D1653" s="72" t="s">
        <v>1375</v>
      </c>
      <c r="E1653" s="90">
        <v>0</v>
      </c>
      <c r="F1653" s="72" t="s">
        <v>4287</v>
      </c>
      <c r="G1653" s="73" t="s">
        <v>1885</v>
      </c>
      <c r="H1653" s="77" t="s">
        <v>20</v>
      </c>
      <c r="I1653" s="78" t="s">
        <v>15</v>
      </c>
      <c r="J1653" s="71" t="s">
        <v>3194</v>
      </c>
      <c r="K1653" s="66" t="s">
        <v>3735</v>
      </c>
      <c r="L1653" s="71" t="s">
        <v>1445</v>
      </c>
      <c r="M1653" s="71" t="s">
        <v>3612</v>
      </c>
      <c r="N1653" s="66" t="s">
        <v>3720</v>
      </c>
      <c r="O1653" s="74" t="s">
        <v>3736</v>
      </c>
      <c r="P1653" s="113" t="s">
        <v>5946</v>
      </c>
      <c r="Q1653" s="75" t="s">
        <v>784</v>
      </c>
      <c r="R1653" s="148" t="str">
        <f>Agencia[[#This Row],[territorio]]&amp;",taxis,parque,vehicular,cantidad,vehículos,transporte,nacional,"&amp;Agencia[[#This Row],[coleccion]]&amp;","&amp;Agencia[[#This Row],[sector]]&amp;","&amp;Agencia[[#This Row],[tema]]&amp;","&amp;Agencia[[#This Row],[contenido]]</f>
        <v>Chile,taxis,parque,vehicular,cantidad,vehículos,transporte,nacional,Agencia Información,Transporte y tránsito,Parque Vehicular Taxis,Transporte</v>
      </c>
      <c r="S1653" s="81" t="s">
        <v>3737</v>
      </c>
      <c r="T1653" s="109" t="s">
        <v>805</v>
      </c>
      <c r="U1653" s="46" t="s">
        <v>4547</v>
      </c>
      <c r="V1653" s="93" t="str">
        <f>+Agencia[[#This Row],[idcoleccion]]&amp;"-"&amp;Agencia[[#This Row],[id]]</f>
        <v>990-1642</v>
      </c>
      <c r="W1653" s="96">
        <v>99100000</v>
      </c>
      <c r="X1653" s="93" t="str">
        <f>+VLOOKUP(Agencia[[#This Row],[tema]],Estructura!$A$4:$C$500,3,0)</f>
        <v>T-1068</v>
      </c>
      <c r="Y1653" s="93" t="str">
        <f>+VLOOKUP(Agencia[[#This Row],[contenido]],Estructura!$E$4:$G$500,3,0)</f>
        <v>C-1003</v>
      </c>
      <c r="Z1653" s="93" t="str">
        <f>+VLOOKUP(Agencia[[#This Row],[Filtro Integrado]],Estructura!$I$4:$K$500,3,0)</f>
        <v>FI-1007</v>
      </c>
      <c r="AA1653" s="93" t="str">
        <f>+VLOOKUP(Agencia[[#This Row],[Muestra]],Estructura!$M$4:$O$500,3,0)</f>
        <v>M-1024</v>
      </c>
    </row>
    <row r="1654" spans="1:27" ht="51" x14ac:dyDescent="0.3">
      <c r="A1654" s="21" t="s">
        <v>3544</v>
      </c>
      <c r="B1654" s="71">
        <v>990</v>
      </c>
      <c r="C1654" s="72" t="s">
        <v>400</v>
      </c>
      <c r="D1654" s="72" t="s">
        <v>1375</v>
      </c>
      <c r="E1654" s="91">
        <v>1</v>
      </c>
      <c r="F1654" s="72" t="s">
        <v>4287</v>
      </c>
      <c r="G1654" s="73" t="s">
        <v>1885</v>
      </c>
      <c r="H1654" s="79" t="s">
        <v>16</v>
      </c>
      <c r="I1654" s="80" t="s">
        <v>368</v>
      </c>
      <c r="J1654" s="71" t="s">
        <v>3180</v>
      </c>
      <c r="K1654" s="66" t="s">
        <v>3735</v>
      </c>
      <c r="L1654" s="71" t="s">
        <v>1445</v>
      </c>
      <c r="M1654" s="71" t="s">
        <v>3612</v>
      </c>
      <c r="N1654" s="66" t="s">
        <v>3720</v>
      </c>
      <c r="O1654" s="74" t="s">
        <v>3738</v>
      </c>
      <c r="P1654" s="113" t="s">
        <v>5952</v>
      </c>
      <c r="Q1654" s="75" t="s">
        <v>784</v>
      </c>
      <c r="R1654" s="148" t="str">
        <f>Agencia[[#This Row],[territorio]]&amp;",taxis,parque,vehicular,cantidad,vehículos,transporte,regional,"&amp;Agencia[[#This Row],[coleccion]]&amp;","&amp;Agencia[[#This Row],[sector]]&amp;","&amp;Agencia[[#This Row],[tema]]&amp;","&amp;Agencia[[#This Row],[contenido]]</f>
        <v>Región de Tarapacá,taxis,parque,vehicular,cantidad,vehículos,transporte,regional,Agencia Información,Transporte y tránsito,Parque Vehicular Taxis,Transporte</v>
      </c>
      <c r="S1654" s="85" t="s">
        <v>3739</v>
      </c>
      <c r="T1654" s="109" t="s">
        <v>1872</v>
      </c>
      <c r="U1654" s="46" t="s">
        <v>4548</v>
      </c>
      <c r="V1654" s="93" t="str">
        <f>+Agencia[[#This Row],[idcoleccion]]&amp;"-"&amp;Agencia[[#This Row],[id]]</f>
        <v>990-1643</v>
      </c>
      <c r="W1654" s="96">
        <v>99200001</v>
      </c>
      <c r="X1654" s="93" t="str">
        <f>+VLOOKUP(Agencia[[#This Row],[tema]],Estructura!$A$4:$C$500,3,0)</f>
        <v>T-1068</v>
      </c>
      <c r="Y1654" s="93" t="str">
        <f>+VLOOKUP(Agencia[[#This Row],[contenido]],Estructura!$E$4:$G$500,3,0)</f>
        <v>C-1003</v>
      </c>
      <c r="Z1654" s="93" t="str">
        <f>+VLOOKUP(Agencia[[#This Row],[Filtro Integrado]],Estructura!$I$4:$K$500,3,0)</f>
        <v>FI-1006</v>
      </c>
      <c r="AA1654" s="93" t="str">
        <f>+VLOOKUP(Agencia[[#This Row],[Muestra]],Estructura!$M$4:$O$500,3,0)</f>
        <v>M-1024</v>
      </c>
    </row>
    <row r="1655" spans="1:27" ht="72" x14ac:dyDescent="0.3">
      <c r="A1655" s="21" t="s">
        <v>3545</v>
      </c>
      <c r="B1655" s="71">
        <v>990</v>
      </c>
      <c r="C1655" s="72" t="s">
        <v>400</v>
      </c>
      <c r="D1655" s="72" t="s">
        <v>1375</v>
      </c>
      <c r="E1655" s="89">
        <v>2</v>
      </c>
      <c r="F1655" s="72" t="s">
        <v>4287</v>
      </c>
      <c r="G1655" s="73" t="s">
        <v>1885</v>
      </c>
      <c r="H1655" s="79" t="s">
        <v>16</v>
      </c>
      <c r="I1655" s="80" t="s">
        <v>369</v>
      </c>
      <c r="J1655" s="71" t="s">
        <v>3180</v>
      </c>
      <c r="K1655" s="66" t="s">
        <v>3735</v>
      </c>
      <c r="L1655" s="71" t="s">
        <v>1445</v>
      </c>
      <c r="M1655" s="71" t="s">
        <v>3612</v>
      </c>
      <c r="N1655" s="66" t="s">
        <v>3720</v>
      </c>
      <c r="O1655" s="74" t="s">
        <v>3740</v>
      </c>
      <c r="P1655" s="112" t="s">
        <v>5951</v>
      </c>
      <c r="Q1655" s="68" t="s">
        <v>784</v>
      </c>
      <c r="R1655" s="148" t="str">
        <f>Agencia[[#This Row],[territorio]]&amp;",taxis,parque,vehicular,cantidad,vehículos,transporte,regional,"&amp;Agencia[[#This Row],[coleccion]]&amp;","&amp;Agencia[[#This Row],[sector]]&amp;","&amp;Agencia[[#This Row],[tema]]&amp;","&amp;Agencia[[#This Row],[contenido]]</f>
        <v>Región de Antofagasta,taxis,parque,vehicular,cantidad,vehículos,transporte,regional,Agencia Información,Transporte y tránsito,Parque Vehicular Taxis,Transporte</v>
      </c>
      <c r="S1655" s="81" t="s">
        <v>3741</v>
      </c>
      <c r="T1655" s="110" t="s">
        <v>1860</v>
      </c>
      <c r="U1655" s="46" t="s">
        <v>4549</v>
      </c>
      <c r="V1655" s="93" t="str">
        <f>+Agencia[[#This Row],[idcoleccion]]&amp;"-"&amp;Agencia[[#This Row],[id]]</f>
        <v>990-1644</v>
      </c>
      <c r="W1655" s="96">
        <v>99200002</v>
      </c>
      <c r="X1655" s="93" t="str">
        <f>+VLOOKUP(Agencia[[#This Row],[tema]],Estructura!$A$4:$C$500,3,0)</f>
        <v>T-1068</v>
      </c>
      <c r="Y1655" s="93" t="str">
        <f>+VLOOKUP(Agencia[[#This Row],[contenido]],Estructura!$E$4:$G$500,3,0)</f>
        <v>C-1003</v>
      </c>
      <c r="Z1655" s="93" t="str">
        <f>+VLOOKUP(Agencia[[#This Row],[Filtro Integrado]],Estructura!$I$4:$K$500,3,0)</f>
        <v>FI-1006</v>
      </c>
      <c r="AA1655" s="93" t="str">
        <f>+VLOOKUP(Agencia[[#This Row],[Muestra]],Estructura!$M$4:$O$500,3,0)</f>
        <v>M-1024</v>
      </c>
    </row>
    <row r="1656" spans="1:27" ht="51" x14ac:dyDescent="0.3">
      <c r="A1656" s="21" t="s">
        <v>3546</v>
      </c>
      <c r="B1656" s="71">
        <v>990</v>
      </c>
      <c r="C1656" s="72" t="s">
        <v>400</v>
      </c>
      <c r="D1656" s="72" t="s">
        <v>1375</v>
      </c>
      <c r="E1656" s="91">
        <v>3</v>
      </c>
      <c r="F1656" s="72" t="s">
        <v>4287</v>
      </c>
      <c r="G1656" s="73" t="s">
        <v>1885</v>
      </c>
      <c r="H1656" s="79" t="s">
        <v>16</v>
      </c>
      <c r="I1656" s="80" t="s">
        <v>370</v>
      </c>
      <c r="J1656" s="71" t="s">
        <v>3180</v>
      </c>
      <c r="K1656" s="66" t="s">
        <v>3735</v>
      </c>
      <c r="L1656" s="71" t="s">
        <v>1445</v>
      </c>
      <c r="M1656" s="71" t="s">
        <v>3612</v>
      </c>
      <c r="N1656" s="66" t="s">
        <v>3720</v>
      </c>
      <c r="O1656" s="74" t="s">
        <v>3742</v>
      </c>
      <c r="P1656" s="112" t="s">
        <v>5953</v>
      </c>
      <c r="Q1656" s="68" t="s">
        <v>784</v>
      </c>
      <c r="R1656" s="148" t="str">
        <f>Agencia[[#This Row],[territorio]]&amp;",taxis,parque,vehicular,cantidad,vehículos,transporte,regional,"&amp;Agencia[[#This Row],[coleccion]]&amp;","&amp;Agencia[[#This Row],[sector]]&amp;","&amp;Agencia[[#This Row],[tema]]&amp;","&amp;Agencia[[#This Row],[contenido]]</f>
        <v>Región de Atacama,taxis,parque,vehicular,cantidad,vehículos,transporte,regional,Agencia Información,Transporte y tránsito,Parque Vehicular Taxis,Transporte</v>
      </c>
      <c r="S1656" s="85" t="s">
        <v>3743</v>
      </c>
      <c r="T1656" s="110" t="s">
        <v>1862</v>
      </c>
      <c r="U1656" s="46" t="s">
        <v>4550</v>
      </c>
      <c r="V1656" s="93" t="str">
        <f>+Agencia[[#This Row],[idcoleccion]]&amp;"-"&amp;Agencia[[#This Row],[id]]</f>
        <v>990-1645</v>
      </c>
      <c r="W1656" s="96">
        <v>99200003</v>
      </c>
      <c r="X1656" s="93" t="str">
        <f>+VLOOKUP(Agencia[[#This Row],[tema]],Estructura!$A$4:$C$500,3,0)</f>
        <v>T-1068</v>
      </c>
      <c r="Y1656" s="93" t="str">
        <f>+VLOOKUP(Agencia[[#This Row],[contenido]],Estructura!$E$4:$G$500,3,0)</f>
        <v>C-1003</v>
      </c>
      <c r="Z1656" s="93" t="str">
        <f>+VLOOKUP(Agencia[[#This Row],[Filtro Integrado]],Estructura!$I$4:$K$500,3,0)</f>
        <v>FI-1006</v>
      </c>
      <c r="AA1656" s="93" t="str">
        <f>+VLOOKUP(Agencia[[#This Row],[Muestra]],Estructura!$M$4:$O$500,3,0)</f>
        <v>M-1024</v>
      </c>
    </row>
    <row r="1657" spans="1:27" ht="51" x14ac:dyDescent="0.3">
      <c r="A1657" s="21" t="s">
        <v>3547</v>
      </c>
      <c r="B1657" s="71">
        <v>990</v>
      </c>
      <c r="C1657" s="72" t="s">
        <v>400</v>
      </c>
      <c r="D1657" s="72" t="s">
        <v>1375</v>
      </c>
      <c r="E1657" s="89">
        <v>4</v>
      </c>
      <c r="F1657" s="72" t="s">
        <v>4287</v>
      </c>
      <c r="G1657" s="73" t="s">
        <v>1885</v>
      </c>
      <c r="H1657" s="79" t="s">
        <v>16</v>
      </c>
      <c r="I1657" s="80" t="s">
        <v>371</v>
      </c>
      <c r="J1657" s="71" t="s">
        <v>3180</v>
      </c>
      <c r="K1657" s="66" t="s">
        <v>3735</v>
      </c>
      <c r="L1657" s="71" t="s">
        <v>1445</v>
      </c>
      <c r="M1657" s="71" t="s">
        <v>3612</v>
      </c>
      <c r="N1657" s="66" t="s">
        <v>3720</v>
      </c>
      <c r="O1657" s="74" t="s">
        <v>3744</v>
      </c>
      <c r="P1657" s="112" t="s">
        <v>5954</v>
      </c>
      <c r="Q1657" s="68" t="s">
        <v>784</v>
      </c>
      <c r="R1657" s="148" t="str">
        <f>Agencia[[#This Row],[territorio]]&amp;",taxis,parque,vehicular,cantidad,vehículos,transporte,regional,"&amp;Agencia[[#This Row],[coleccion]]&amp;","&amp;Agencia[[#This Row],[sector]]&amp;","&amp;Agencia[[#This Row],[tema]]&amp;","&amp;Agencia[[#This Row],[contenido]]</f>
        <v>Región de Coquimbo,taxis,parque,vehicular,cantidad,vehículos,transporte,regional,Agencia Información,Transporte y tránsito,Parque Vehicular Taxis,Transporte</v>
      </c>
      <c r="S1657" s="85" t="s">
        <v>3745</v>
      </c>
      <c r="T1657" s="110" t="s">
        <v>1864</v>
      </c>
      <c r="U1657" s="46" t="s">
        <v>4551</v>
      </c>
      <c r="V1657" s="93" t="str">
        <f>+Agencia[[#This Row],[idcoleccion]]&amp;"-"&amp;Agencia[[#This Row],[id]]</f>
        <v>990-1646</v>
      </c>
      <c r="W1657" s="96">
        <v>99200004</v>
      </c>
      <c r="X1657" s="93" t="str">
        <f>+VLOOKUP(Agencia[[#This Row],[tema]],Estructura!$A$4:$C$500,3,0)</f>
        <v>T-1068</v>
      </c>
      <c r="Y1657" s="93" t="str">
        <f>+VLOOKUP(Agencia[[#This Row],[contenido]],Estructura!$E$4:$G$500,3,0)</f>
        <v>C-1003</v>
      </c>
      <c r="Z1657" s="93" t="str">
        <f>+VLOOKUP(Agencia[[#This Row],[Filtro Integrado]],Estructura!$I$4:$K$500,3,0)</f>
        <v>FI-1006</v>
      </c>
      <c r="AA1657" s="93" t="str">
        <f>+VLOOKUP(Agencia[[#This Row],[Muestra]],Estructura!$M$4:$O$500,3,0)</f>
        <v>M-1024</v>
      </c>
    </row>
    <row r="1658" spans="1:27" ht="51" x14ac:dyDescent="0.3">
      <c r="A1658" s="21" t="s">
        <v>3548</v>
      </c>
      <c r="B1658" s="71">
        <v>990</v>
      </c>
      <c r="C1658" s="72" t="s">
        <v>400</v>
      </c>
      <c r="D1658" s="72" t="s">
        <v>1375</v>
      </c>
      <c r="E1658" s="91">
        <v>5</v>
      </c>
      <c r="F1658" s="72" t="s">
        <v>4287</v>
      </c>
      <c r="G1658" s="73" t="s">
        <v>1885</v>
      </c>
      <c r="H1658" s="79" t="s">
        <v>16</v>
      </c>
      <c r="I1658" s="80" t="s">
        <v>372</v>
      </c>
      <c r="J1658" s="71" t="s">
        <v>3180</v>
      </c>
      <c r="K1658" s="66" t="s">
        <v>3735</v>
      </c>
      <c r="L1658" s="71" t="s">
        <v>1445</v>
      </c>
      <c r="M1658" s="71" t="s">
        <v>3612</v>
      </c>
      <c r="N1658" s="66" t="s">
        <v>3720</v>
      </c>
      <c r="O1658" s="74" t="s">
        <v>3746</v>
      </c>
      <c r="P1658" s="112" t="s">
        <v>5955</v>
      </c>
      <c r="Q1658" s="68" t="s">
        <v>784</v>
      </c>
      <c r="R1658" s="148" t="str">
        <f>Agencia[[#This Row],[territorio]]&amp;",taxis,parque,vehicular,cantidad,vehículos,transporte,regional,"&amp;Agencia[[#This Row],[coleccion]]&amp;","&amp;Agencia[[#This Row],[sector]]&amp;","&amp;Agencia[[#This Row],[tema]]&amp;","&amp;Agencia[[#This Row],[contenido]]</f>
        <v>Región de Valparaíso,taxis,parque,vehicular,cantidad,vehículos,transporte,regional,Agencia Información,Transporte y tránsito,Parque Vehicular Taxis,Transporte</v>
      </c>
      <c r="S1658" s="85" t="s">
        <v>3747</v>
      </c>
      <c r="T1658" s="110" t="s">
        <v>1873</v>
      </c>
      <c r="U1658" s="46" t="s">
        <v>4552</v>
      </c>
      <c r="V1658" s="93" t="str">
        <f>+Agencia[[#This Row],[idcoleccion]]&amp;"-"&amp;Agencia[[#This Row],[id]]</f>
        <v>990-1647</v>
      </c>
      <c r="W1658" s="96">
        <v>99200005</v>
      </c>
      <c r="X1658" s="93" t="str">
        <f>+VLOOKUP(Agencia[[#This Row],[tema]],Estructura!$A$4:$C$500,3,0)</f>
        <v>T-1068</v>
      </c>
      <c r="Y1658" s="93" t="str">
        <f>+VLOOKUP(Agencia[[#This Row],[contenido]],Estructura!$E$4:$G$500,3,0)</f>
        <v>C-1003</v>
      </c>
      <c r="Z1658" s="93" t="str">
        <f>+VLOOKUP(Agencia[[#This Row],[Filtro Integrado]],Estructura!$I$4:$K$500,3,0)</f>
        <v>FI-1006</v>
      </c>
      <c r="AA1658" s="93" t="str">
        <f>+VLOOKUP(Agencia[[#This Row],[Muestra]],Estructura!$M$4:$O$500,3,0)</f>
        <v>M-1024</v>
      </c>
    </row>
    <row r="1659" spans="1:27" ht="51" x14ac:dyDescent="0.3">
      <c r="A1659" s="21" t="s">
        <v>3549</v>
      </c>
      <c r="B1659" s="71">
        <v>990</v>
      </c>
      <c r="C1659" s="72" t="s">
        <v>400</v>
      </c>
      <c r="D1659" s="72" t="s">
        <v>1375</v>
      </c>
      <c r="E1659" s="89">
        <v>6</v>
      </c>
      <c r="F1659" s="72" t="s">
        <v>4287</v>
      </c>
      <c r="G1659" s="73" t="s">
        <v>1885</v>
      </c>
      <c r="H1659" s="79" t="s">
        <v>16</v>
      </c>
      <c r="I1659" s="80" t="s">
        <v>373</v>
      </c>
      <c r="J1659" s="71" t="s">
        <v>3180</v>
      </c>
      <c r="K1659" s="66" t="s">
        <v>3735</v>
      </c>
      <c r="L1659" s="71" t="s">
        <v>1445</v>
      </c>
      <c r="M1659" s="71" t="s">
        <v>3612</v>
      </c>
      <c r="N1659" s="66" t="s">
        <v>3720</v>
      </c>
      <c r="O1659" s="74" t="s">
        <v>3748</v>
      </c>
      <c r="P1659" s="112" t="s">
        <v>5956</v>
      </c>
      <c r="Q1659" s="68" t="s">
        <v>784</v>
      </c>
      <c r="R1659" s="148" t="str">
        <f>Agencia[[#This Row],[territorio]]&amp;",taxis,parque,vehicular,cantidad,vehículos,transporte,regional,"&amp;Agencia[[#This Row],[coleccion]]&amp;","&amp;Agencia[[#This Row],[sector]]&amp;","&amp;Agencia[[#This Row],[tema]]&amp;","&amp;Agencia[[#This Row],[contenido]]</f>
        <v>Región de O'Higgins,taxis,parque,vehicular,cantidad,vehículos,transporte,regional,Agencia Información,Transporte y tránsito,Parque Vehicular Taxis,Transporte</v>
      </c>
      <c r="S1659" s="85" t="s">
        <v>3749</v>
      </c>
      <c r="T1659" s="110" t="s">
        <v>1871</v>
      </c>
      <c r="U1659" s="46" t="s">
        <v>4553</v>
      </c>
      <c r="V1659" s="93" t="str">
        <f>+Agencia[[#This Row],[idcoleccion]]&amp;"-"&amp;Agencia[[#This Row],[id]]</f>
        <v>990-1648</v>
      </c>
      <c r="W1659" s="96">
        <v>99200006</v>
      </c>
      <c r="X1659" s="93" t="str">
        <f>+VLOOKUP(Agencia[[#This Row],[tema]],Estructura!$A$4:$C$500,3,0)</f>
        <v>T-1068</v>
      </c>
      <c r="Y1659" s="93" t="str">
        <f>+VLOOKUP(Agencia[[#This Row],[contenido]],Estructura!$E$4:$G$500,3,0)</f>
        <v>C-1003</v>
      </c>
      <c r="Z1659" s="93" t="str">
        <f>+VLOOKUP(Agencia[[#This Row],[Filtro Integrado]],Estructura!$I$4:$K$500,3,0)</f>
        <v>FI-1006</v>
      </c>
      <c r="AA1659" s="93" t="str">
        <f>+VLOOKUP(Agencia[[#This Row],[Muestra]],Estructura!$M$4:$O$500,3,0)</f>
        <v>M-1024</v>
      </c>
    </row>
    <row r="1660" spans="1:27" ht="51" x14ac:dyDescent="0.3">
      <c r="A1660" s="21" t="s">
        <v>3550</v>
      </c>
      <c r="B1660" s="71">
        <v>990</v>
      </c>
      <c r="C1660" s="72" t="s">
        <v>400</v>
      </c>
      <c r="D1660" s="72" t="s">
        <v>1375</v>
      </c>
      <c r="E1660" s="91">
        <v>7</v>
      </c>
      <c r="F1660" s="72" t="s">
        <v>4287</v>
      </c>
      <c r="G1660" s="73" t="s">
        <v>1885</v>
      </c>
      <c r="H1660" s="79" t="s">
        <v>16</v>
      </c>
      <c r="I1660" s="80" t="s">
        <v>374</v>
      </c>
      <c r="J1660" s="71" t="s">
        <v>3180</v>
      </c>
      <c r="K1660" s="66" t="s">
        <v>3735</v>
      </c>
      <c r="L1660" s="71" t="s">
        <v>1445</v>
      </c>
      <c r="M1660" s="71" t="s">
        <v>3612</v>
      </c>
      <c r="N1660" s="66" t="s">
        <v>3720</v>
      </c>
      <c r="O1660" s="74" t="s">
        <v>3750</v>
      </c>
      <c r="P1660" s="112" t="s">
        <v>5947</v>
      </c>
      <c r="Q1660" s="68" t="s">
        <v>784</v>
      </c>
      <c r="R1660" s="148" t="str">
        <f>Agencia[[#This Row],[territorio]]&amp;",taxis,parque,vehicular,cantidad,vehículos,transporte,regional,"&amp;Agencia[[#This Row],[coleccion]]&amp;","&amp;Agencia[[#This Row],[sector]]&amp;","&amp;Agencia[[#This Row],[tema]]&amp;","&amp;Agencia[[#This Row],[contenido]]</f>
        <v>Región de Maule,taxis,parque,vehicular,cantidad,vehículos,transporte,regional,Agencia Información,Transporte y tránsito,Parque Vehicular Taxis,Transporte</v>
      </c>
      <c r="S1660" s="85" t="s">
        <v>3751</v>
      </c>
      <c r="T1660" s="110" t="s">
        <v>1869</v>
      </c>
      <c r="U1660" s="46" t="s">
        <v>4554</v>
      </c>
      <c r="V1660" s="93" t="str">
        <f>+Agencia[[#This Row],[idcoleccion]]&amp;"-"&amp;Agencia[[#This Row],[id]]</f>
        <v>990-1649</v>
      </c>
      <c r="W1660" s="96">
        <v>99200007</v>
      </c>
      <c r="X1660" s="93" t="str">
        <f>+VLOOKUP(Agencia[[#This Row],[tema]],Estructura!$A$4:$C$500,3,0)</f>
        <v>T-1068</v>
      </c>
      <c r="Y1660" s="93" t="str">
        <f>+VLOOKUP(Agencia[[#This Row],[contenido]],Estructura!$E$4:$G$500,3,0)</f>
        <v>C-1003</v>
      </c>
      <c r="Z1660" s="93" t="str">
        <f>+VLOOKUP(Agencia[[#This Row],[Filtro Integrado]],Estructura!$I$4:$K$500,3,0)</f>
        <v>FI-1006</v>
      </c>
      <c r="AA1660" s="93" t="str">
        <f>+VLOOKUP(Agencia[[#This Row],[Muestra]],Estructura!$M$4:$O$500,3,0)</f>
        <v>M-1024</v>
      </c>
    </row>
    <row r="1661" spans="1:27" ht="51" x14ac:dyDescent="0.3">
      <c r="A1661" s="21" t="s">
        <v>3551</v>
      </c>
      <c r="B1661" s="71">
        <v>990</v>
      </c>
      <c r="C1661" s="72" t="s">
        <v>400</v>
      </c>
      <c r="D1661" s="72" t="s">
        <v>1375</v>
      </c>
      <c r="E1661" s="89">
        <v>8</v>
      </c>
      <c r="F1661" s="72" t="s">
        <v>4287</v>
      </c>
      <c r="G1661" s="73" t="s">
        <v>1885</v>
      </c>
      <c r="H1661" s="79" t="s">
        <v>16</v>
      </c>
      <c r="I1661" s="80" t="s">
        <v>375</v>
      </c>
      <c r="J1661" s="71" t="s">
        <v>3180</v>
      </c>
      <c r="K1661" s="66" t="s">
        <v>3735</v>
      </c>
      <c r="L1661" s="71" t="s">
        <v>1445</v>
      </c>
      <c r="M1661" s="71" t="s">
        <v>3612</v>
      </c>
      <c r="N1661" s="66" t="s">
        <v>3720</v>
      </c>
      <c r="O1661" s="74" t="s">
        <v>3752</v>
      </c>
      <c r="P1661" s="112" t="s">
        <v>5957</v>
      </c>
      <c r="Q1661" s="68" t="s">
        <v>784</v>
      </c>
      <c r="R1661" s="148" t="str">
        <f>Agencia[[#This Row],[territorio]]&amp;",taxis,parque,vehicular,cantidad,vehículos,transporte,regional,"&amp;Agencia[[#This Row],[coleccion]]&amp;","&amp;Agencia[[#This Row],[sector]]&amp;","&amp;Agencia[[#This Row],[tema]]&amp;","&amp;Agencia[[#This Row],[contenido]]</f>
        <v>Región del Biobío,taxis,parque,vehicular,cantidad,vehículos,transporte,regional,Agencia Información,Transporte y tránsito,Parque Vehicular Taxis,Transporte</v>
      </c>
      <c r="S1661" s="85" t="s">
        <v>3753</v>
      </c>
      <c r="T1661" s="110" t="s">
        <v>1874</v>
      </c>
      <c r="U1661" s="46" t="s">
        <v>4555</v>
      </c>
      <c r="V1661" s="93" t="str">
        <f>+Agencia[[#This Row],[idcoleccion]]&amp;"-"&amp;Agencia[[#This Row],[id]]</f>
        <v>990-1650</v>
      </c>
      <c r="W1661" s="96">
        <v>99200008</v>
      </c>
      <c r="X1661" s="93" t="str">
        <f>+VLOOKUP(Agencia[[#This Row],[tema]],Estructura!$A$4:$C$500,3,0)</f>
        <v>T-1068</v>
      </c>
      <c r="Y1661" s="93" t="str">
        <f>+VLOOKUP(Agencia[[#This Row],[contenido]],Estructura!$E$4:$G$500,3,0)</f>
        <v>C-1003</v>
      </c>
      <c r="Z1661" s="93" t="str">
        <f>+VLOOKUP(Agencia[[#This Row],[Filtro Integrado]],Estructura!$I$4:$K$500,3,0)</f>
        <v>FI-1006</v>
      </c>
      <c r="AA1661" s="93" t="str">
        <f>+VLOOKUP(Agencia[[#This Row],[Muestra]],Estructura!$M$4:$O$500,3,0)</f>
        <v>M-1024</v>
      </c>
    </row>
    <row r="1662" spans="1:27" ht="51" x14ac:dyDescent="0.3">
      <c r="A1662" s="21" t="s">
        <v>3552</v>
      </c>
      <c r="B1662" s="71">
        <v>990</v>
      </c>
      <c r="C1662" s="72" t="s">
        <v>400</v>
      </c>
      <c r="D1662" s="72" t="s">
        <v>1375</v>
      </c>
      <c r="E1662" s="91">
        <v>9</v>
      </c>
      <c r="F1662" s="72" t="s">
        <v>4287</v>
      </c>
      <c r="G1662" s="73" t="s">
        <v>1885</v>
      </c>
      <c r="H1662" s="79" t="s">
        <v>16</v>
      </c>
      <c r="I1662" s="80" t="s">
        <v>376</v>
      </c>
      <c r="J1662" s="71" t="s">
        <v>3180</v>
      </c>
      <c r="K1662" s="66" t="s">
        <v>3735</v>
      </c>
      <c r="L1662" s="71" t="s">
        <v>1445</v>
      </c>
      <c r="M1662" s="71" t="s">
        <v>3612</v>
      </c>
      <c r="N1662" s="66" t="s">
        <v>3720</v>
      </c>
      <c r="O1662" s="74" t="s">
        <v>3754</v>
      </c>
      <c r="P1662" s="112" t="s">
        <v>5958</v>
      </c>
      <c r="Q1662" s="68" t="s">
        <v>784</v>
      </c>
      <c r="R1662" s="148" t="str">
        <f>Agencia[[#This Row],[territorio]]&amp;",taxis,parque,vehicular,cantidad,vehículos,transporte,regional,"&amp;Agencia[[#This Row],[coleccion]]&amp;","&amp;Agencia[[#This Row],[sector]]&amp;","&amp;Agencia[[#This Row],[tema]]&amp;","&amp;Agencia[[#This Row],[contenido]]</f>
        <v>Región de La Araucanía,taxis,parque,vehicular,cantidad,vehículos,transporte,regional,Agencia Información,Transporte y tránsito,Parque Vehicular Taxis,Transporte</v>
      </c>
      <c r="S1662" s="85" t="s">
        <v>3755</v>
      </c>
      <c r="T1662" s="110" t="s">
        <v>1865</v>
      </c>
      <c r="U1662" s="46" t="s">
        <v>4556</v>
      </c>
      <c r="V1662" s="93" t="str">
        <f>+Agencia[[#This Row],[idcoleccion]]&amp;"-"&amp;Agencia[[#This Row],[id]]</f>
        <v>990-1651</v>
      </c>
      <c r="W1662" s="96">
        <v>99200009</v>
      </c>
      <c r="X1662" s="93" t="str">
        <f>+VLOOKUP(Agencia[[#This Row],[tema]],Estructura!$A$4:$C$500,3,0)</f>
        <v>T-1068</v>
      </c>
      <c r="Y1662" s="93" t="str">
        <f>+VLOOKUP(Agencia[[#This Row],[contenido]],Estructura!$E$4:$G$500,3,0)</f>
        <v>C-1003</v>
      </c>
      <c r="Z1662" s="93" t="str">
        <f>+VLOOKUP(Agencia[[#This Row],[Filtro Integrado]],Estructura!$I$4:$K$500,3,0)</f>
        <v>FI-1006</v>
      </c>
      <c r="AA1662" s="93" t="str">
        <f>+VLOOKUP(Agencia[[#This Row],[Muestra]],Estructura!$M$4:$O$500,3,0)</f>
        <v>M-1024</v>
      </c>
    </row>
    <row r="1663" spans="1:27" ht="51" x14ac:dyDescent="0.3">
      <c r="A1663" s="21" t="s">
        <v>3553</v>
      </c>
      <c r="B1663" s="71">
        <v>990</v>
      </c>
      <c r="C1663" s="72" t="s">
        <v>400</v>
      </c>
      <c r="D1663" s="72" t="s">
        <v>1375</v>
      </c>
      <c r="E1663" s="89">
        <v>10</v>
      </c>
      <c r="F1663" s="72" t="s">
        <v>4287</v>
      </c>
      <c r="G1663" s="73" t="s">
        <v>1885</v>
      </c>
      <c r="H1663" s="79" t="s">
        <v>16</v>
      </c>
      <c r="I1663" s="80" t="s">
        <v>377</v>
      </c>
      <c r="J1663" s="71" t="s">
        <v>3180</v>
      </c>
      <c r="K1663" s="66" t="s">
        <v>3735</v>
      </c>
      <c r="L1663" s="71" t="s">
        <v>1445</v>
      </c>
      <c r="M1663" s="71" t="s">
        <v>3612</v>
      </c>
      <c r="N1663" s="66" t="s">
        <v>3720</v>
      </c>
      <c r="O1663" s="74" t="s">
        <v>3756</v>
      </c>
      <c r="P1663" s="112" t="s">
        <v>5959</v>
      </c>
      <c r="Q1663" s="68" t="s">
        <v>784</v>
      </c>
      <c r="R1663" s="148" t="str">
        <f>Agencia[[#This Row],[territorio]]&amp;",taxis,parque,vehicular,cantidad,vehículos,transporte,regional,"&amp;Agencia[[#This Row],[coleccion]]&amp;","&amp;Agencia[[#This Row],[sector]]&amp;","&amp;Agencia[[#This Row],[tema]]&amp;","&amp;Agencia[[#This Row],[contenido]]</f>
        <v>Región de Los Lagos,taxis,parque,vehicular,cantidad,vehículos,transporte,regional,Agencia Información,Transporte y tránsito,Parque Vehicular Taxis,Transporte</v>
      </c>
      <c r="S1663" s="85" t="s">
        <v>3757</v>
      </c>
      <c r="T1663" s="110" t="s">
        <v>1866</v>
      </c>
      <c r="U1663" s="46" t="s">
        <v>4557</v>
      </c>
      <c r="V1663" s="93" t="str">
        <f>+Agencia[[#This Row],[idcoleccion]]&amp;"-"&amp;Agencia[[#This Row],[id]]</f>
        <v>990-1652</v>
      </c>
      <c r="W1663" s="96">
        <v>99200010</v>
      </c>
      <c r="X1663" s="93" t="str">
        <f>+VLOOKUP(Agencia[[#This Row],[tema]],Estructura!$A$4:$C$500,3,0)</f>
        <v>T-1068</v>
      </c>
      <c r="Y1663" s="93" t="str">
        <f>+VLOOKUP(Agencia[[#This Row],[contenido]],Estructura!$E$4:$G$500,3,0)</f>
        <v>C-1003</v>
      </c>
      <c r="Z1663" s="93" t="str">
        <f>+VLOOKUP(Agencia[[#This Row],[Filtro Integrado]],Estructura!$I$4:$K$500,3,0)</f>
        <v>FI-1006</v>
      </c>
      <c r="AA1663" s="93" t="str">
        <f>+VLOOKUP(Agencia[[#This Row],[Muestra]],Estructura!$M$4:$O$500,3,0)</f>
        <v>M-1024</v>
      </c>
    </row>
    <row r="1664" spans="1:27" ht="51" x14ac:dyDescent="0.3">
      <c r="A1664" s="21" t="s">
        <v>3554</v>
      </c>
      <c r="B1664" s="71">
        <v>990</v>
      </c>
      <c r="C1664" s="72" t="s">
        <v>400</v>
      </c>
      <c r="D1664" s="72" t="s">
        <v>1375</v>
      </c>
      <c r="E1664" s="91">
        <v>11</v>
      </c>
      <c r="F1664" s="72" t="s">
        <v>4287</v>
      </c>
      <c r="G1664" s="73" t="s">
        <v>1885</v>
      </c>
      <c r="H1664" s="79" t="s">
        <v>16</v>
      </c>
      <c r="I1664" s="80" t="s">
        <v>378</v>
      </c>
      <c r="J1664" s="71" t="s">
        <v>3180</v>
      </c>
      <c r="K1664" s="66" t="s">
        <v>3735</v>
      </c>
      <c r="L1664" s="71" t="s">
        <v>1445</v>
      </c>
      <c r="M1664" s="71" t="s">
        <v>3612</v>
      </c>
      <c r="N1664" s="66" t="s">
        <v>3720</v>
      </c>
      <c r="O1664" s="74" t="s">
        <v>3758</v>
      </c>
      <c r="P1664" s="112" t="s">
        <v>5948</v>
      </c>
      <c r="Q1664" s="68" t="s">
        <v>784</v>
      </c>
      <c r="R1664" s="148" t="str">
        <f>Agencia[[#This Row],[territorio]]&amp;",taxis,parque,vehicular,cantidad,vehículos,transporte,regional,"&amp;Agencia[[#This Row],[coleccion]]&amp;","&amp;Agencia[[#This Row],[sector]]&amp;","&amp;Agencia[[#This Row],[tema]]&amp;","&amp;Agencia[[#This Row],[contenido]]</f>
        <v>Región de Aysén,taxis,parque,vehicular,cantidad,vehículos,transporte,regional,Agencia Información,Transporte y tránsito,Parque Vehicular Taxis,Transporte</v>
      </c>
      <c r="S1664" s="85" t="s">
        <v>3759</v>
      </c>
      <c r="T1664" s="110" t="s">
        <v>1863</v>
      </c>
      <c r="U1664" s="46" t="s">
        <v>4558</v>
      </c>
      <c r="V1664" s="93" t="str">
        <f>+Agencia[[#This Row],[idcoleccion]]&amp;"-"&amp;Agencia[[#This Row],[id]]</f>
        <v>990-1653</v>
      </c>
      <c r="W1664" s="96">
        <v>99200011</v>
      </c>
      <c r="X1664" s="93" t="str">
        <f>+VLOOKUP(Agencia[[#This Row],[tema]],Estructura!$A$4:$C$500,3,0)</f>
        <v>T-1068</v>
      </c>
      <c r="Y1664" s="93" t="str">
        <f>+VLOOKUP(Agencia[[#This Row],[contenido]],Estructura!$E$4:$G$500,3,0)</f>
        <v>C-1003</v>
      </c>
      <c r="Z1664" s="93" t="str">
        <f>+VLOOKUP(Agencia[[#This Row],[Filtro Integrado]],Estructura!$I$4:$K$500,3,0)</f>
        <v>FI-1006</v>
      </c>
      <c r="AA1664" s="93" t="str">
        <f>+VLOOKUP(Agencia[[#This Row],[Muestra]],Estructura!$M$4:$O$500,3,0)</f>
        <v>M-1024</v>
      </c>
    </row>
    <row r="1665" spans="1:27" ht="51" x14ac:dyDescent="0.3">
      <c r="A1665" s="21" t="s">
        <v>3555</v>
      </c>
      <c r="B1665" s="71">
        <v>990</v>
      </c>
      <c r="C1665" s="72" t="s">
        <v>400</v>
      </c>
      <c r="D1665" s="72" t="s">
        <v>1375</v>
      </c>
      <c r="E1665" s="89">
        <v>12</v>
      </c>
      <c r="F1665" s="72" t="s">
        <v>4287</v>
      </c>
      <c r="G1665" s="73" t="s">
        <v>1885</v>
      </c>
      <c r="H1665" s="79" t="s">
        <v>16</v>
      </c>
      <c r="I1665" s="80" t="s">
        <v>379</v>
      </c>
      <c r="J1665" s="71" t="s">
        <v>3180</v>
      </c>
      <c r="K1665" s="66" t="s">
        <v>3735</v>
      </c>
      <c r="L1665" s="71" t="s">
        <v>1445</v>
      </c>
      <c r="M1665" s="71" t="s">
        <v>3612</v>
      </c>
      <c r="N1665" s="66" t="s">
        <v>3720</v>
      </c>
      <c r="O1665" s="74" t="s">
        <v>3760</v>
      </c>
      <c r="P1665" s="112" t="s">
        <v>5949</v>
      </c>
      <c r="Q1665" s="68" t="s">
        <v>784</v>
      </c>
      <c r="R1665" s="148" t="str">
        <f>Agencia[[#This Row],[territorio]]&amp;",taxis,parque,vehicular,cantidad,vehículos,transporte,regional,"&amp;Agencia[[#This Row],[coleccion]]&amp;","&amp;Agencia[[#This Row],[sector]]&amp;","&amp;Agencia[[#This Row],[tema]]&amp;","&amp;Agencia[[#This Row],[contenido]]</f>
        <v>Región de Magallanes,taxis,parque,vehicular,cantidad,vehículos,transporte,regional,Agencia Información,Transporte y tránsito,Parque Vehicular Taxis,Transporte</v>
      </c>
      <c r="S1665" s="85" t="s">
        <v>3761</v>
      </c>
      <c r="T1665" s="110" t="s">
        <v>1868</v>
      </c>
      <c r="U1665" s="46" t="s">
        <v>4559</v>
      </c>
      <c r="V1665" s="93" t="str">
        <f>+Agencia[[#This Row],[idcoleccion]]&amp;"-"&amp;Agencia[[#This Row],[id]]</f>
        <v>990-1654</v>
      </c>
      <c r="W1665" s="96">
        <v>99200012</v>
      </c>
      <c r="X1665" s="93" t="str">
        <f>+VLOOKUP(Agencia[[#This Row],[tema]],Estructura!$A$4:$C$500,3,0)</f>
        <v>T-1068</v>
      </c>
      <c r="Y1665" s="93" t="str">
        <f>+VLOOKUP(Agencia[[#This Row],[contenido]],Estructura!$E$4:$G$500,3,0)</f>
        <v>C-1003</v>
      </c>
      <c r="Z1665" s="93" t="str">
        <f>+VLOOKUP(Agencia[[#This Row],[Filtro Integrado]],Estructura!$I$4:$K$500,3,0)</f>
        <v>FI-1006</v>
      </c>
      <c r="AA1665" s="93" t="str">
        <f>+VLOOKUP(Agencia[[#This Row],[Muestra]],Estructura!$M$4:$O$500,3,0)</f>
        <v>M-1024</v>
      </c>
    </row>
    <row r="1666" spans="1:27" ht="51" x14ac:dyDescent="0.3">
      <c r="A1666" s="21" t="s">
        <v>3556</v>
      </c>
      <c r="B1666" s="71">
        <v>990</v>
      </c>
      <c r="C1666" s="72" t="s">
        <v>400</v>
      </c>
      <c r="D1666" s="72" t="s">
        <v>1375</v>
      </c>
      <c r="E1666" s="91">
        <v>13</v>
      </c>
      <c r="F1666" s="72" t="s">
        <v>4287</v>
      </c>
      <c r="G1666" s="73" t="s">
        <v>1885</v>
      </c>
      <c r="H1666" s="79" t="s">
        <v>16</v>
      </c>
      <c r="I1666" s="80" t="s">
        <v>380</v>
      </c>
      <c r="J1666" s="71" t="s">
        <v>3180</v>
      </c>
      <c r="K1666" s="66" t="s">
        <v>3735</v>
      </c>
      <c r="L1666" s="71" t="s">
        <v>1445</v>
      </c>
      <c r="M1666" s="71" t="s">
        <v>3612</v>
      </c>
      <c r="N1666" s="66" t="s">
        <v>3720</v>
      </c>
      <c r="O1666" s="74" t="s">
        <v>3762</v>
      </c>
      <c r="P1666" s="112" t="s">
        <v>5960</v>
      </c>
      <c r="Q1666" s="68" t="s">
        <v>784</v>
      </c>
      <c r="R1666" s="148" t="str">
        <f>Agencia[[#This Row],[territorio]]&amp;",taxis,parque,vehicular,cantidad,vehículos,transporte,regional,"&amp;Agencia[[#This Row],[coleccion]]&amp;","&amp;Agencia[[#This Row],[sector]]&amp;","&amp;Agencia[[#This Row],[tema]]&amp;","&amp;Agencia[[#This Row],[contenido]]</f>
        <v>Región Metropolitana,taxis,parque,vehicular,cantidad,vehículos,transporte,regional,Agencia Información,Transporte y tránsito,Parque Vehicular Taxis,Transporte</v>
      </c>
      <c r="S1666" s="85" t="s">
        <v>3763</v>
      </c>
      <c r="T1666" s="110" t="s">
        <v>1875</v>
      </c>
      <c r="U1666" s="46" t="s">
        <v>4560</v>
      </c>
      <c r="V1666" s="93" t="str">
        <f>+Agencia[[#This Row],[idcoleccion]]&amp;"-"&amp;Agencia[[#This Row],[id]]</f>
        <v>990-1655</v>
      </c>
      <c r="W1666" s="96">
        <v>99200013</v>
      </c>
      <c r="X1666" s="93" t="str">
        <f>+VLOOKUP(Agencia[[#This Row],[tema]],Estructura!$A$4:$C$500,3,0)</f>
        <v>T-1068</v>
      </c>
      <c r="Y1666" s="93" t="str">
        <f>+VLOOKUP(Agencia[[#This Row],[contenido]],Estructura!$E$4:$G$500,3,0)</f>
        <v>C-1003</v>
      </c>
      <c r="Z1666" s="93" t="str">
        <f>+VLOOKUP(Agencia[[#This Row],[Filtro Integrado]],Estructura!$I$4:$K$500,3,0)</f>
        <v>FI-1006</v>
      </c>
      <c r="AA1666" s="93" t="str">
        <f>+VLOOKUP(Agencia[[#This Row],[Muestra]],Estructura!$M$4:$O$500,3,0)</f>
        <v>M-1024</v>
      </c>
    </row>
    <row r="1667" spans="1:27" ht="51" x14ac:dyDescent="0.3">
      <c r="A1667" s="21" t="s">
        <v>3557</v>
      </c>
      <c r="B1667" s="71">
        <v>990</v>
      </c>
      <c r="C1667" s="72" t="s">
        <v>400</v>
      </c>
      <c r="D1667" s="72" t="s">
        <v>1375</v>
      </c>
      <c r="E1667" s="89">
        <v>14</v>
      </c>
      <c r="F1667" s="72" t="s">
        <v>4287</v>
      </c>
      <c r="G1667" s="73" t="s">
        <v>1885</v>
      </c>
      <c r="H1667" s="79" t="s">
        <v>16</v>
      </c>
      <c r="I1667" s="80" t="s">
        <v>381</v>
      </c>
      <c r="J1667" s="71" t="s">
        <v>3180</v>
      </c>
      <c r="K1667" s="66" t="s">
        <v>3735</v>
      </c>
      <c r="L1667" s="71" t="s">
        <v>1445</v>
      </c>
      <c r="M1667" s="71" t="s">
        <v>3612</v>
      </c>
      <c r="N1667" s="66" t="s">
        <v>3720</v>
      </c>
      <c r="O1667" s="74" t="s">
        <v>3764</v>
      </c>
      <c r="P1667" s="112" t="s">
        <v>5950</v>
      </c>
      <c r="Q1667" s="68" t="s">
        <v>784</v>
      </c>
      <c r="R1667" s="148" t="str">
        <f>Agencia[[#This Row],[territorio]]&amp;",taxis,parque,vehicular,cantidad,vehículos,transporte,regional,"&amp;Agencia[[#This Row],[coleccion]]&amp;","&amp;Agencia[[#This Row],[sector]]&amp;","&amp;Agencia[[#This Row],[tema]]&amp;","&amp;Agencia[[#This Row],[contenido]]</f>
        <v>Región de Los Ríos,taxis,parque,vehicular,cantidad,vehículos,transporte,regional,Agencia Información,Transporte y tránsito,Parque Vehicular Taxis,Transporte</v>
      </c>
      <c r="S1667" s="85" t="s">
        <v>3765</v>
      </c>
      <c r="T1667" s="110" t="s">
        <v>1867</v>
      </c>
      <c r="U1667" s="46" t="s">
        <v>4561</v>
      </c>
      <c r="V1667" s="93" t="str">
        <f>+Agencia[[#This Row],[idcoleccion]]&amp;"-"&amp;Agencia[[#This Row],[id]]</f>
        <v>990-1656</v>
      </c>
      <c r="W1667" s="96">
        <v>99200014</v>
      </c>
      <c r="X1667" s="93" t="str">
        <f>+VLOOKUP(Agencia[[#This Row],[tema]],Estructura!$A$4:$C$500,3,0)</f>
        <v>T-1068</v>
      </c>
      <c r="Y1667" s="93" t="str">
        <f>+VLOOKUP(Agencia[[#This Row],[contenido]],Estructura!$E$4:$G$500,3,0)</f>
        <v>C-1003</v>
      </c>
      <c r="Z1667" s="93" t="str">
        <f>+VLOOKUP(Agencia[[#This Row],[Filtro Integrado]],Estructura!$I$4:$K$500,3,0)</f>
        <v>FI-1006</v>
      </c>
      <c r="AA1667" s="93" t="str">
        <f>+VLOOKUP(Agencia[[#This Row],[Muestra]],Estructura!$M$4:$O$500,3,0)</f>
        <v>M-1024</v>
      </c>
    </row>
    <row r="1668" spans="1:27" ht="51" x14ac:dyDescent="0.3">
      <c r="A1668" s="21" t="s">
        <v>3558</v>
      </c>
      <c r="B1668" s="71">
        <v>990</v>
      </c>
      <c r="C1668" s="72" t="s">
        <v>400</v>
      </c>
      <c r="D1668" s="72" t="s">
        <v>1375</v>
      </c>
      <c r="E1668" s="91">
        <v>15</v>
      </c>
      <c r="F1668" s="72" t="s">
        <v>4287</v>
      </c>
      <c r="G1668" s="73" t="s">
        <v>1885</v>
      </c>
      <c r="H1668" s="79" t="s">
        <v>16</v>
      </c>
      <c r="I1668" s="80" t="s">
        <v>382</v>
      </c>
      <c r="J1668" s="71" t="s">
        <v>3180</v>
      </c>
      <c r="K1668" s="66" t="s">
        <v>3735</v>
      </c>
      <c r="L1668" s="71" t="s">
        <v>1445</v>
      </c>
      <c r="M1668" s="71" t="s">
        <v>3612</v>
      </c>
      <c r="N1668" s="66" t="s">
        <v>3720</v>
      </c>
      <c r="O1668" s="74" t="s">
        <v>3766</v>
      </c>
      <c r="P1668" s="112" t="s">
        <v>5961</v>
      </c>
      <c r="Q1668" s="68" t="s">
        <v>784</v>
      </c>
      <c r="R1668" s="148" t="str">
        <f>Agencia[[#This Row],[territorio]]&amp;",taxis,parque,vehicular,cantidad,vehículos,transporte,regional,"&amp;Agencia[[#This Row],[coleccion]]&amp;","&amp;Agencia[[#This Row],[sector]]&amp;","&amp;Agencia[[#This Row],[tema]]&amp;","&amp;Agencia[[#This Row],[contenido]]</f>
        <v>Región de Arica y Parinacota,taxis,parque,vehicular,cantidad,vehículos,transporte,regional,Agencia Información,Transporte y tránsito,Parque Vehicular Taxis,Transporte</v>
      </c>
      <c r="S1668" s="85" t="s">
        <v>3767</v>
      </c>
      <c r="T1668" s="110" t="s">
        <v>1861</v>
      </c>
      <c r="U1668" s="46" t="s">
        <v>4562</v>
      </c>
      <c r="V1668" s="93" t="str">
        <f>+Agencia[[#This Row],[idcoleccion]]&amp;"-"&amp;Agencia[[#This Row],[id]]</f>
        <v>990-1657</v>
      </c>
      <c r="W1668" s="96">
        <v>99200015</v>
      </c>
      <c r="X1668" s="93" t="str">
        <f>+VLOOKUP(Agencia[[#This Row],[tema]],Estructura!$A$4:$C$500,3,0)</f>
        <v>T-1068</v>
      </c>
      <c r="Y1668" s="93" t="str">
        <f>+VLOOKUP(Agencia[[#This Row],[contenido]],Estructura!$E$4:$G$500,3,0)</f>
        <v>C-1003</v>
      </c>
      <c r="Z1668" s="93" t="str">
        <f>+VLOOKUP(Agencia[[#This Row],[Filtro Integrado]],Estructura!$I$4:$K$500,3,0)</f>
        <v>FI-1006</v>
      </c>
      <c r="AA1668" s="93" t="str">
        <f>+VLOOKUP(Agencia[[#This Row],[Muestra]],Estructura!$M$4:$O$500,3,0)</f>
        <v>M-1024</v>
      </c>
    </row>
    <row r="1669" spans="1:27" ht="51" x14ac:dyDescent="0.3">
      <c r="A1669" s="21" t="s">
        <v>3559</v>
      </c>
      <c r="B1669" s="71">
        <v>990</v>
      </c>
      <c r="C1669" s="72" t="s">
        <v>400</v>
      </c>
      <c r="D1669" s="72" t="s">
        <v>1375</v>
      </c>
      <c r="E1669" s="89">
        <v>16</v>
      </c>
      <c r="F1669" s="72" t="s">
        <v>4287</v>
      </c>
      <c r="G1669" s="73" t="s">
        <v>1885</v>
      </c>
      <c r="H1669" s="79" t="s">
        <v>16</v>
      </c>
      <c r="I1669" s="80" t="s">
        <v>383</v>
      </c>
      <c r="J1669" s="71" t="s">
        <v>3180</v>
      </c>
      <c r="K1669" s="66" t="s">
        <v>3735</v>
      </c>
      <c r="L1669" s="71" t="s">
        <v>1445</v>
      </c>
      <c r="M1669" s="71" t="s">
        <v>3612</v>
      </c>
      <c r="N1669" s="66" t="s">
        <v>3720</v>
      </c>
      <c r="O1669" s="74" t="s">
        <v>3768</v>
      </c>
      <c r="P1669" s="112" t="s">
        <v>5962</v>
      </c>
      <c r="Q1669" s="68" t="s">
        <v>784</v>
      </c>
      <c r="R1669" s="148" t="str">
        <f>Agencia[[#This Row],[territorio]]&amp;",taxis,parque,vehicular,cantidad,vehículos,transporte,regional,"&amp;Agencia[[#This Row],[coleccion]]&amp;","&amp;Agencia[[#This Row],[sector]]&amp;","&amp;Agencia[[#This Row],[tema]]&amp;","&amp;Agencia[[#This Row],[contenido]]</f>
        <v>Región de Ñuble,taxis,parque,vehicular,cantidad,vehículos,transporte,regional,Agencia Información,Transporte y tránsito,Parque Vehicular Taxis,Transporte</v>
      </c>
      <c r="S1669" s="85" t="s">
        <v>3769</v>
      </c>
      <c r="T1669" s="110" t="s">
        <v>1870</v>
      </c>
      <c r="U1669" s="46" t="s">
        <v>4563</v>
      </c>
      <c r="V1669" s="93" t="str">
        <f>+Agencia[[#This Row],[idcoleccion]]&amp;"-"&amp;Agencia[[#This Row],[id]]</f>
        <v>990-1658</v>
      </c>
      <c r="W1669" s="96">
        <v>99200016</v>
      </c>
      <c r="X1669" s="93" t="str">
        <f>+VLOOKUP(Agencia[[#This Row],[tema]],Estructura!$A$4:$C$500,3,0)</f>
        <v>T-1068</v>
      </c>
      <c r="Y1669" s="93" t="str">
        <f>+VLOOKUP(Agencia[[#This Row],[contenido]],Estructura!$E$4:$G$500,3,0)</f>
        <v>C-1003</v>
      </c>
      <c r="Z1669" s="93" t="str">
        <f>+VLOOKUP(Agencia[[#This Row],[Filtro Integrado]],Estructura!$I$4:$K$500,3,0)</f>
        <v>FI-1006</v>
      </c>
      <c r="AA1669" s="93" t="str">
        <f>+VLOOKUP(Agencia[[#This Row],[Muestra]],Estructura!$M$4:$O$500,3,0)</f>
        <v>M-1024</v>
      </c>
    </row>
    <row r="1670" spans="1:27" ht="40.799999999999997" x14ac:dyDescent="0.3">
      <c r="A1670" s="21" t="s">
        <v>3560</v>
      </c>
      <c r="B1670" s="71">
        <v>990</v>
      </c>
      <c r="C1670" s="72" t="s">
        <v>400</v>
      </c>
      <c r="D1670" s="72" t="s">
        <v>823</v>
      </c>
      <c r="E1670" s="90">
        <v>0</v>
      </c>
      <c r="F1670" s="72" t="s">
        <v>3770</v>
      </c>
      <c r="G1670" s="73" t="s">
        <v>823</v>
      </c>
      <c r="H1670" s="77" t="s">
        <v>20</v>
      </c>
      <c r="I1670" s="78" t="s">
        <v>15</v>
      </c>
      <c r="J1670" s="71" t="s">
        <v>3194</v>
      </c>
      <c r="K1670" s="71" t="s">
        <v>3771</v>
      </c>
      <c r="L1670" s="71" t="s">
        <v>1445</v>
      </c>
      <c r="M1670" s="71" t="s">
        <v>574</v>
      </c>
      <c r="N1670" s="66" t="s">
        <v>3720</v>
      </c>
      <c r="O1670" s="74" t="s">
        <v>3772</v>
      </c>
      <c r="P1670" s="113" t="s">
        <v>3773</v>
      </c>
      <c r="Q1670" s="75" t="s">
        <v>784</v>
      </c>
      <c r="R1670" s="74" t="str">
        <f>Agencia[[#This Row],[territorio]]&amp;",movimiento,transporte,carga,portuaria,embarque,exterior,nacional,"&amp;Agencia[[#This Row],[coleccion]]&amp;","&amp;Agencia[[#This Row],[sector]]&amp;","&amp;Agencia[[#This Row],[tema]]&amp;","&amp;Agencia[[#This Row],[contenido]]</f>
        <v>Chile,movimiento,transporte,carga,portuaria,embarque,exterior,nacional,Agencia Información,Economía,Carga Portuaria,Economía</v>
      </c>
      <c r="S1670" s="81" t="s">
        <v>3774</v>
      </c>
      <c r="T1670" s="109" t="s">
        <v>805</v>
      </c>
      <c r="U1670" s="46" t="s">
        <v>4564</v>
      </c>
      <c r="V1670" s="93" t="str">
        <f>+Agencia[[#This Row],[idcoleccion]]&amp;"-"&amp;Agencia[[#This Row],[id]]</f>
        <v>990-1659</v>
      </c>
      <c r="W1670" s="96">
        <v>99100000</v>
      </c>
      <c r="X1670" s="93" t="str">
        <f>+VLOOKUP(Agencia[[#This Row],[tema]],Estructura!$A$4:$C$500,3,0)</f>
        <v>T-1069</v>
      </c>
      <c r="Y1670" s="93" t="str">
        <f>+VLOOKUP(Agencia[[#This Row],[contenido]],Estructura!$E$4:$G$500,3,0)</f>
        <v>C-1028</v>
      </c>
      <c r="Z1670" s="93" t="str">
        <f>+VLOOKUP(Agencia[[#This Row],[Filtro Integrado]],Estructura!$I$4:$K$500,3,0)</f>
        <v>FI-1007</v>
      </c>
      <c r="AA1670" s="93" t="str">
        <f>+VLOOKUP(Agencia[[#This Row],[Muestra]],Estructura!$M$4:$O$500,3,0)</f>
        <v>M-1025</v>
      </c>
    </row>
    <row r="1671" spans="1:27" ht="72" x14ac:dyDescent="0.3">
      <c r="A1671" s="21" t="s">
        <v>3561</v>
      </c>
      <c r="B1671" s="71">
        <v>990</v>
      </c>
      <c r="C1671" s="72" t="s">
        <v>400</v>
      </c>
      <c r="D1671" s="72" t="s">
        <v>823</v>
      </c>
      <c r="E1671" s="91">
        <v>1</v>
      </c>
      <c r="F1671" s="72" t="s">
        <v>3770</v>
      </c>
      <c r="G1671" s="73" t="s">
        <v>823</v>
      </c>
      <c r="H1671" s="79" t="s">
        <v>16</v>
      </c>
      <c r="I1671" s="80" t="s">
        <v>368</v>
      </c>
      <c r="J1671" s="71" t="s">
        <v>3180</v>
      </c>
      <c r="K1671" s="71" t="s">
        <v>3771</v>
      </c>
      <c r="L1671" s="71" t="s">
        <v>1445</v>
      </c>
      <c r="M1671" s="71" t="s">
        <v>574</v>
      </c>
      <c r="N1671" s="66" t="s">
        <v>3720</v>
      </c>
      <c r="O1671" s="74" t="s">
        <v>3775</v>
      </c>
      <c r="P1671" s="113" t="s">
        <v>6939</v>
      </c>
      <c r="Q1671" s="75" t="s">
        <v>784</v>
      </c>
      <c r="R1671" s="74" t="str">
        <f>Agencia[[#This Row],[territorio]]&amp;",movimiento,transporte,carga,portuaria,embarque,exterior,regional,"&amp;Agencia[[#This Row],[coleccion]]&amp;","&amp;Agencia[[#This Row],[sector]]&amp;","&amp;Agencia[[#This Row],[tema]]&amp;","&amp;Agencia[[#This Row],[contenido]]</f>
        <v>Región de Tarapacá,movimiento,transporte,carga,portuaria,embarque,exterior,regional,Agencia Información,Economía,Carga Portuaria,Economía</v>
      </c>
      <c r="S1671" s="81" t="s">
        <v>3776</v>
      </c>
      <c r="T1671" s="109" t="s">
        <v>1872</v>
      </c>
      <c r="U1671" s="46" t="s">
        <v>4565</v>
      </c>
      <c r="V1671" s="93" t="str">
        <f>+Agencia[[#This Row],[idcoleccion]]&amp;"-"&amp;Agencia[[#This Row],[id]]</f>
        <v>990-1660</v>
      </c>
      <c r="W1671" s="96">
        <v>99200001</v>
      </c>
      <c r="X1671" s="93" t="str">
        <f>+VLOOKUP(Agencia[[#This Row],[tema]],Estructura!$A$4:$C$500,3,0)</f>
        <v>T-1069</v>
      </c>
      <c r="Y1671" s="93" t="str">
        <f>+VLOOKUP(Agencia[[#This Row],[contenido]],Estructura!$E$4:$G$500,3,0)</f>
        <v>C-1028</v>
      </c>
      <c r="Z1671" s="93" t="str">
        <f>+VLOOKUP(Agencia[[#This Row],[Filtro Integrado]],Estructura!$I$4:$K$500,3,0)</f>
        <v>FI-1006</v>
      </c>
      <c r="AA1671" s="93" t="str">
        <f>+VLOOKUP(Agencia[[#This Row],[Muestra]],Estructura!$M$4:$O$500,3,0)</f>
        <v>M-1025</v>
      </c>
    </row>
    <row r="1672" spans="1:27" ht="72" x14ac:dyDescent="0.3">
      <c r="A1672" s="21" t="s">
        <v>3562</v>
      </c>
      <c r="B1672" s="71">
        <v>990</v>
      </c>
      <c r="C1672" s="72" t="s">
        <v>400</v>
      </c>
      <c r="D1672" s="72" t="s">
        <v>823</v>
      </c>
      <c r="E1672" s="91">
        <v>5</v>
      </c>
      <c r="F1672" s="72" t="s">
        <v>3770</v>
      </c>
      <c r="G1672" s="73" t="s">
        <v>823</v>
      </c>
      <c r="H1672" s="79" t="s">
        <v>16</v>
      </c>
      <c r="I1672" s="80" t="s">
        <v>372</v>
      </c>
      <c r="J1672" s="71" t="s">
        <v>3180</v>
      </c>
      <c r="K1672" s="71" t="s">
        <v>3771</v>
      </c>
      <c r="L1672" s="71" t="s">
        <v>1445</v>
      </c>
      <c r="M1672" s="71" t="s">
        <v>574</v>
      </c>
      <c r="N1672" s="66" t="s">
        <v>3720</v>
      </c>
      <c r="O1672" s="74" t="s">
        <v>3777</v>
      </c>
      <c r="P1672" s="113" t="s">
        <v>6940</v>
      </c>
      <c r="Q1672" s="75" t="s">
        <v>784</v>
      </c>
      <c r="R1672" s="74" t="str">
        <f>Agencia[[#This Row],[territorio]]&amp;",movimiento,transporte,carga,portuaria,embarque,exterior,regional,"&amp;Agencia[[#This Row],[coleccion]]&amp;","&amp;Agencia[[#This Row],[sector]]&amp;","&amp;Agencia[[#This Row],[tema]]&amp;","&amp;Agencia[[#This Row],[contenido]]</f>
        <v>Región de Valparaíso,movimiento,transporte,carga,portuaria,embarque,exterior,regional,Agencia Información,Economía,Carga Portuaria,Economía</v>
      </c>
      <c r="S1672" s="81" t="s">
        <v>3778</v>
      </c>
      <c r="T1672" s="109" t="s">
        <v>1873</v>
      </c>
      <c r="U1672" s="46" t="s">
        <v>4566</v>
      </c>
      <c r="V1672" s="93" t="str">
        <f>+Agencia[[#This Row],[idcoleccion]]&amp;"-"&amp;Agencia[[#This Row],[id]]</f>
        <v>990-1661</v>
      </c>
      <c r="W1672" s="96">
        <v>99200005</v>
      </c>
      <c r="X1672" s="93" t="str">
        <f>+VLOOKUP(Agencia[[#This Row],[tema]],Estructura!$A$4:$C$500,3,0)</f>
        <v>T-1069</v>
      </c>
      <c r="Y1672" s="93" t="str">
        <f>+VLOOKUP(Agencia[[#This Row],[contenido]],Estructura!$E$4:$G$500,3,0)</f>
        <v>C-1028</v>
      </c>
      <c r="Z1672" s="93" t="str">
        <f>+VLOOKUP(Agencia[[#This Row],[Filtro Integrado]],Estructura!$I$4:$K$500,3,0)</f>
        <v>FI-1006</v>
      </c>
      <c r="AA1672" s="93" t="str">
        <f>+VLOOKUP(Agencia[[#This Row],[Muestra]],Estructura!$M$4:$O$500,3,0)</f>
        <v>M-1025</v>
      </c>
    </row>
    <row r="1673" spans="1:27" ht="72" x14ac:dyDescent="0.3">
      <c r="A1673" s="21" t="s">
        <v>3563</v>
      </c>
      <c r="B1673" s="71">
        <v>990</v>
      </c>
      <c r="C1673" s="72" t="s">
        <v>400</v>
      </c>
      <c r="D1673" s="72" t="s">
        <v>823</v>
      </c>
      <c r="E1673" s="91">
        <v>8</v>
      </c>
      <c r="F1673" s="72" t="s">
        <v>3770</v>
      </c>
      <c r="G1673" s="73" t="s">
        <v>823</v>
      </c>
      <c r="H1673" s="79" t="s">
        <v>16</v>
      </c>
      <c r="I1673" s="80" t="s">
        <v>375</v>
      </c>
      <c r="J1673" s="71" t="s">
        <v>3180</v>
      </c>
      <c r="K1673" s="71" t="s">
        <v>3771</v>
      </c>
      <c r="L1673" s="71" t="s">
        <v>1445</v>
      </c>
      <c r="M1673" s="71" t="s">
        <v>574</v>
      </c>
      <c r="N1673" s="66" t="s">
        <v>3720</v>
      </c>
      <c r="O1673" s="74" t="s">
        <v>3779</v>
      </c>
      <c r="P1673" s="113" t="s">
        <v>6941</v>
      </c>
      <c r="Q1673" s="75" t="s">
        <v>784</v>
      </c>
      <c r="R1673" s="74" t="str">
        <f>Agencia[[#This Row],[territorio]]&amp;",movimiento,transporte,carga,portuaria,embarque,exterior,regional,"&amp;Agencia[[#This Row],[coleccion]]&amp;","&amp;Agencia[[#This Row],[sector]]&amp;","&amp;Agencia[[#This Row],[tema]]&amp;","&amp;Agencia[[#This Row],[contenido]]</f>
        <v>Región del Biobío,movimiento,transporte,carga,portuaria,embarque,exterior,regional,Agencia Información,Economía,Carga Portuaria,Economía</v>
      </c>
      <c r="S1673" s="81" t="s">
        <v>3780</v>
      </c>
      <c r="T1673" s="109" t="s">
        <v>1874</v>
      </c>
      <c r="U1673" s="46" t="s">
        <v>4567</v>
      </c>
      <c r="V1673" s="93" t="str">
        <f>+Agencia[[#This Row],[idcoleccion]]&amp;"-"&amp;Agencia[[#This Row],[id]]</f>
        <v>990-1662</v>
      </c>
      <c r="W1673" s="96">
        <v>99200008</v>
      </c>
      <c r="X1673" s="93" t="str">
        <f>+VLOOKUP(Agencia[[#This Row],[tema]],Estructura!$A$4:$C$500,3,0)</f>
        <v>T-1069</v>
      </c>
      <c r="Y1673" s="93" t="str">
        <f>+VLOOKUP(Agencia[[#This Row],[contenido]],Estructura!$E$4:$G$500,3,0)</f>
        <v>C-1028</v>
      </c>
      <c r="Z1673" s="93" t="str">
        <f>+VLOOKUP(Agencia[[#This Row],[Filtro Integrado]],Estructura!$I$4:$K$500,3,0)</f>
        <v>FI-1006</v>
      </c>
      <c r="AA1673" s="93" t="str">
        <f>+VLOOKUP(Agencia[[#This Row],[Muestra]],Estructura!$M$4:$O$500,3,0)</f>
        <v>M-1025</v>
      </c>
    </row>
    <row r="1674" spans="1:27" ht="51" x14ac:dyDescent="0.3">
      <c r="A1674" s="21" t="s">
        <v>3564</v>
      </c>
      <c r="B1674" s="71">
        <v>990</v>
      </c>
      <c r="C1674" s="72" t="s">
        <v>400</v>
      </c>
      <c r="D1674" s="72" t="s">
        <v>814</v>
      </c>
      <c r="E1674" s="90">
        <v>0</v>
      </c>
      <c r="F1674" s="72" t="s">
        <v>3781</v>
      </c>
      <c r="G1674" s="73" t="s">
        <v>814</v>
      </c>
      <c r="H1674" s="77" t="s">
        <v>20</v>
      </c>
      <c r="I1674" s="78" t="s">
        <v>15</v>
      </c>
      <c r="J1674" s="71" t="s">
        <v>3180</v>
      </c>
      <c r="K1674" s="71" t="s">
        <v>3782</v>
      </c>
      <c r="L1674" s="71" t="s">
        <v>1445</v>
      </c>
      <c r="M1674" s="71" t="s">
        <v>2291</v>
      </c>
      <c r="N1674" s="66" t="s">
        <v>1370</v>
      </c>
      <c r="O1674" s="74" t="str">
        <f>"Evolución de la Superficie de las solicitudes de edificación Habitacional autorizada para construcción de Obras Nuevas a Escala Nacional, "&amp;Agencia[[#This Row],[temporalidad]]</f>
        <v>Evolución de la Superficie de las solicitudes de edificación Habitacional autorizada para construcción de Obras Nuevas a Escala Nacional, Periodo 2014-2021</v>
      </c>
      <c r="P1674" s="113" t="s">
        <v>3783</v>
      </c>
      <c r="Q1674" s="75" t="s">
        <v>784</v>
      </c>
      <c r="R1674" s="74" t="str">
        <f>Agencia[[#This Row],[territorio]]&amp;",evolución,superficie,autorizada,habitacional,obras,nuevas,vivienda,construcción,nacional,"&amp;Agencia[[#This Row],[coleccion]]&amp;","&amp;Agencia[[#This Row],[sector]]&amp;","&amp;Agencia[[#This Row],[tema]]&amp;","&amp;Agencia[[#This Row],[contenido]]</f>
        <v>Chile,evolución,superficie,autorizada,habitacional,obras,nuevas,vivienda,construcción,nacional,Agencia Información,Vivienda y Construcción,Superficie Autorizada Habitacional (Obras Nuevas),Vivienda y Construcción</v>
      </c>
      <c r="S1674" s="81" t="s">
        <v>3784</v>
      </c>
      <c r="T1674" s="109" t="s">
        <v>805</v>
      </c>
      <c r="U1674" s="46" t="s">
        <v>4568</v>
      </c>
      <c r="V1674" s="93" t="str">
        <f>+Agencia[[#This Row],[idcoleccion]]&amp;"-"&amp;Agencia[[#This Row],[id]]</f>
        <v>990-1663</v>
      </c>
      <c r="W1674" s="96">
        <v>99100000</v>
      </c>
      <c r="X1674" s="93" t="str">
        <f>+VLOOKUP(Agencia[[#This Row],[tema]],Estructura!$A$4:$C$500,3,0)</f>
        <v>T-1070</v>
      </c>
      <c r="Y1674" s="93" t="str">
        <f>+VLOOKUP(Agencia[[#This Row],[contenido]],Estructura!$E$4:$G$500,3,0)</f>
        <v>C-1011</v>
      </c>
      <c r="Z1674" s="93" t="str">
        <f>+VLOOKUP(Agencia[[#This Row],[Filtro Integrado]],Estructura!$I$4:$K$500,3,0)</f>
        <v>FI-1006</v>
      </c>
      <c r="AA1674" s="93" t="str">
        <f>+VLOOKUP(Agencia[[#This Row],[Muestra]],Estructura!$M$4:$O$500,3,0)</f>
        <v>M-1026</v>
      </c>
    </row>
    <row r="1675" spans="1:27" ht="72" x14ac:dyDescent="0.3">
      <c r="A1675" s="21" t="s">
        <v>3565</v>
      </c>
      <c r="B1675" s="71">
        <v>990</v>
      </c>
      <c r="C1675" s="72" t="s">
        <v>400</v>
      </c>
      <c r="D1675" s="72" t="s">
        <v>814</v>
      </c>
      <c r="E1675" s="89">
        <v>1</v>
      </c>
      <c r="F1675" s="72" t="s">
        <v>3781</v>
      </c>
      <c r="G1675" s="73" t="s">
        <v>814</v>
      </c>
      <c r="H1675" s="79" t="s">
        <v>16</v>
      </c>
      <c r="I1675" s="80" t="s">
        <v>368</v>
      </c>
      <c r="J1675" s="66" t="s">
        <v>3194</v>
      </c>
      <c r="K1675" s="71" t="s">
        <v>3782</v>
      </c>
      <c r="L1675" s="71" t="s">
        <v>1445</v>
      </c>
      <c r="M1675" s="71" t="str">
        <f>M1674</f>
        <v>m2</v>
      </c>
      <c r="N1675" s="66" t="s">
        <v>1370</v>
      </c>
      <c r="O167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Tarapacá, Periodo 2014-2021</v>
      </c>
      <c r="P1675" s="112" t="s">
        <v>6067</v>
      </c>
      <c r="Q1675" s="68" t="s">
        <v>784</v>
      </c>
      <c r="R1675" s="74" t="str">
        <f>Agencia[[#This Row],[territorio]]&amp;",evolución,superficie,autorizada,habitacional,obras,nuevas,vivienda,construcción,regional,"&amp;Agencia[[#This Row],[coleccion]]&amp;","&amp;Agencia[[#This Row],[sector]]&amp;","&amp;Agencia[[#This Row],[tema]]&amp;","&amp;Agencia[[#This Row],[contenido]]</f>
        <v>Región de Tarapacá,evolución,superficie,autorizada,habitacional,obras,nuevas,vivienda,construcción,regional,Agencia Información,Vivienda y Construcción,Superficie Autorizada Habitacional (Obras Nuevas),Vivienda y Construcción</v>
      </c>
      <c r="S1675" s="83" t="s">
        <v>3785</v>
      </c>
      <c r="T1675" s="110" t="s">
        <v>1872</v>
      </c>
      <c r="U1675" s="46" t="s">
        <v>4569</v>
      </c>
      <c r="V1675" s="93" t="str">
        <f>+Agencia[[#This Row],[idcoleccion]]&amp;"-"&amp;Agencia[[#This Row],[id]]</f>
        <v>990-1664</v>
      </c>
      <c r="W1675" s="96">
        <v>99200001</v>
      </c>
      <c r="X1675" s="93" t="str">
        <f>+VLOOKUP(Agencia[[#This Row],[tema]],Estructura!$A$4:$C$500,3,0)</f>
        <v>T-1070</v>
      </c>
      <c r="Y1675" s="93" t="str">
        <f>+VLOOKUP(Agencia[[#This Row],[contenido]],Estructura!$E$4:$G$500,3,0)</f>
        <v>C-1011</v>
      </c>
      <c r="Z1675" s="93" t="str">
        <f>+VLOOKUP(Agencia[[#This Row],[Filtro Integrado]],Estructura!$I$4:$K$500,3,0)</f>
        <v>FI-1007</v>
      </c>
      <c r="AA1675" s="93" t="str">
        <f>+VLOOKUP(Agencia[[#This Row],[Muestra]],Estructura!$M$4:$O$500,3,0)</f>
        <v>M-1026</v>
      </c>
    </row>
    <row r="1676" spans="1:27" ht="72" x14ac:dyDescent="0.3">
      <c r="A1676" s="21" t="s">
        <v>3566</v>
      </c>
      <c r="B1676" s="71">
        <v>990</v>
      </c>
      <c r="C1676" s="72" t="s">
        <v>400</v>
      </c>
      <c r="D1676" s="72" t="s">
        <v>814</v>
      </c>
      <c r="E1676" s="89">
        <v>2</v>
      </c>
      <c r="F1676" s="72" t="s">
        <v>3781</v>
      </c>
      <c r="G1676" s="73" t="s">
        <v>814</v>
      </c>
      <c r="H1676" s="79" t="s">
        <v>16</v>
      </c>
      <c r="I1676" s="80" t="s">
        <v>369</v>
      </c>
      <c r="J1676" s="66" t="s">
        <v>3180</v>
      </c>
      <c r="K1676" s="71" t="s">
        <v>3782</v>
      </c>
      <c r="L1676" s="71" t="s">
        <v>1445</v>
      </c>
      <c r="M1676" s="71" t="str">
        <f t="shared" ref="M1676:M1690" si="433">M1675</f>
        <v>m2</v>
      </c>
      <c r="N1676" s="66" t="s">
        <v>1370</v>
      </c>
      <c r="O167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Antofagasta, Periodo 2014-2021</v>
      </c>
      <c r="P1676" s="112" t="s">
        <v>6068</v>
      </c>
      <c r="Q1676" s="68" t="s">
        <v>784</v>
      </c>
      <c r="R1676" s="74" t="str">
        <f>Agencia[[#This Row],[territorio]]&amp;",evolución,superficie,autorizada,habitacional,obras,nuevas,vivienda,construcción,regional,"&amp;Agencia[[#This Row],[coleccion]]&amp;","&amp;Agencia[[#This Row],[sector]]&amp;","&amp;Agencia[[#This Row],[tema]]&amp;","&amp;Agencia[[#This Row],[contenido]]</f>
        <v>Región de Antofagasta,evolución,superficie,autorizada,habitacional,obras,nuevas,vivienda,construcción,regional,Agencia Información,Vivienda y Construcción,Superficie Autorizada Habitacional (Obras Nuevas),Vivienda y Construcción</v>
      </c>
      <c r="S1676" s="83" t="s">
        <v>3786</v>
      </c>
      <c r="T1676" s="110" t="s">
        <v>1860</v>
      </c>
      <c r="U1676" s="46" t="s">
        <v>4570</v>
      </c>
      <c r="V1676" s="93" t="str">
        <f>+Agencia[[#This Row],[idcoleccion]]&amp;"-"&amp;Agencia[[#This Row],[id]]</f>
        <v>990-1665</v>
      </c>
      <c r="W1676" s="96">
        <v>99200002</v>
      </c>
      <c r="X1676" s="93" t="str">
        <f>+VLOOKUP(Agencia[[#This Row],[tema]],Estructura!$A$4:$C$500,3,0)</f>
        <v>T-1070</v>
      </c>
      <c r="Y1676" s="93" t="str">
        <f>+VLOOKUP(Agencia[[#This Row],[contenido]],Estructura!$E$4:$G$500,3,0)</f>
        <v>C-1011</v>
      </c>
      <c r="Z1676" s="93" t="str">
        <f>+VLOOKUP(Agencia[[#This Row],[Filtro Integrado]],Estructura!$I$4:$K$500,3,0)</f>
        <v>FI-1006</v>
      </c>
      <c r="AA1676" s="93" t="str">
        <f>+VLOOKUP(Agencia[[#This Row],[Muestra]],Estructura!$M$4:$O$500,3,0)</f>
        <v>M-1026</v>
      </c>
    </row>
    <row r="1677" spans="1:27" ht="72" x14ac:dyDescent="0.3">
      <c r="A1677" s="21" t="s">
        <v>3567</v>
      </c>
      <c r="B1677" s="71">
        <v>990</v>
      </c>
      <c r="C1677" s="72" t="s">
        <v>400</v>
      </c>
      <c r="D1677" s="72" t="s">
        <v>814</v>
      </c>
      <c r="E1677" s="89">
        <v>3</v>
      </c>
      <c r="F1677" s="72" t="s">
        <v>3781</v>
      </c>
      <c r="G1677" s="73" t="s">
        <v>814</v>
      </c>
      <c r="H1677" s="79" t="s">
        <v>16</v>
      </c>
      <c r="I1677" s="80" t="s">
        <v>370</v>
      </c>
      <c r="J1677" s="66" t="s">
        <v>3180</v>
      </c>
      <c r="K1677" s="71" t="s">
        <v>3782</v>
      </c>
      <c r="L1677" s="71" t="s">
        <v>1445</v>
      </c>
      <c r="M1677" s="71" t="str">
        <f t="shared" si="433"/>
        <v>m2</v>
      </c>
      <c r="N1677" s="66" t="s">
        <v>1370</v>
      </c>
      <c r="O167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Atacama, Periodo 2014-2021</v>
      </c>
      <c r="P1677" s="112" t="s">
        <v>6069</v>
      </c>
      <c r="Q1677" s="68" t="s">
        <v>784</v>
      </c>
      <c r="R1677" s="74" t="str">
        <f>Agencia[[#This Row],[territorio]]&amp;",evolución,superficie,autorizada,habitacional,obras,nuevas,vivienda,construcción,regional,"&amp;Agencia[[#This Row],[coleccion]]&amp;","&amp;Agencia[[#This Row],[sector]]&amp;","&amp;Agencia[[#This Row],[tema]]&amp;","&amp;Agencia[[#This Row],[contenido]]</f>
        <v>Región de Atacama,evolución,superficie,autorizada,habitacional,obras,nuevas,vivienda,construcción,regional,Agencia Información,Vivienda y Construcción,Superficie Autorizada Habitacional (Obras Nuevas),Vivienda y Construcción</v>
      </c>
      <c r="S1677" s="83" t="s">
        <v>3787</v>
      </c>
      <c r="T1677" s="110" t="s">
        <v>1862</v>
      </c>
      <c r="U1677" s="46" t="s">
        <v>4571</v>
      </c>
      <c r="V1677" s="93" t="str">
        <f>+Agencia[[#This Row],[idcoleccion]]&amp;"-"&amp;Agencia[[#This Row],[id]]</f>
        <v>990-1666</v>
      </c>
      <c r="W1677" s="96">
        <v>99200003</v>
      </c>
      <c r="X1677" s="93" t="str">
        <f>+VLOOKUP(Agencia[[#This Row],[tema]],Estructura!$A$4:$C$500,3,0)</f>
        <v>T-1070</v>
      </c>
      <c r="Y1677" s="93" t="str">
        <f>+VLOOKUP(Agencia[[#This Row],[contenido]],Estructura!$E$4:$G$500,3,0)</f>
        <v>C-1011</v>
      </c>
      <c r="Z1677" s="93" t="str">
        <f>+VLOOKUP(Agencia[[#This Row],[Filtro Integrado]],Estructura!$I$4:$K$500,3,0)</f>
        <v>FI-1006</v>
      </c>
      <c r="AA1677" s="93" t="str">
        <f>+VLOOKUP(Agencia[[#This Row],[Muestra]],Estructura!$M$4:$O$500,3,0)</f>
        <v>M-1026</v>
      </c>
    </row>
    <row r="1678" spans="1:27" ht="72" x14ac:dyDescent="0.3">
      <c r="A1678" s="21" t="s">
        <v>3568</v>
      </c>
      <c r="B1678" s="71">
        <v>990</v>
      </c>
      <c r="C1678" s="72" t="s">
        <v>400</v>
      </c>
      <c r="D1678" s="72" t="s">
        <v>814</v>
      </c>
      <c r="E1678" s="89">
        <v>4</v>
      </c>
      <c r="F1678" s="72" t="s">
        <v>3781</v>
      </c>
      <c r="G1678" s="73" t="s">
        <v>814</v>
      </c>
      <c r="H1678" s="79" t="s">
        <v>16</v>
      </c>
      <c r="I1678" s="80" t="s">
        <v>371</v>
      </c>
      <c r="J1678" s="66" t="s">
        <v>3180</v>
      </c>
      <c r="K1678" s="71" t="s">
        <v>3782</v>
      </c>
      <c r="L1678" s="71" t="s">
        <v>1445</v>
      </c>
      <c r="M1678" s="71" t="str">
        <f t="shared" si="433"/>
        <v>m2</v>
      </c>
      <c r="N1678" s="66" t="s">
        <v>1370</v>
      </c>
      <c r="O167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Coquimbo, Periodo 2014-2021</v>
      </c>
      <c r="P1678" s="112" t="s">
        <v>6070</v>
      </c>
      <c r="Q1678" s="68" t="s">
        <v>784</v>
      </c>
      <c r="R1678" s="74" t="str">
        <f>Agencia[[#This Row],[territorio]]&amp;",evolución,superficie,autorizada,habitacional,obras,nuevas,vivienda,construcción,regional,"&amp;Agencia[[#This Row],[coleccion]]&amp;","&amp;Agencia[[#This Row],[sector]]&amp;","&amp;Agencia[[#This Row],[tema]]&amp;","&amp;Agencia[[#This Row],[contenido]]</f>
        <v>Región de Coquimbo,evolución,superficie,autorizada,habitacional,obras,nuevas,vivienda,construcción,regional,Agencia Información,Vivienda y Construcción,Superficie Autorizada Habitacional (Obras Nuevas),Vivienda y Construcción</v>
      </c>
      <c r="S1678" s="83" t="s">
        <v>3788</v>
      </c>
      <c r="T1678" s="110" t="s">
        <v>1864</v>
      </c>
      <c r="U1678" s="46" t="s">
        <v>4572</v>
      </c>
      <c r="V1678" s="93" t="str">
        <f>+Agencia[[#This Row],[idcoleccion]]&amp;"-"&amp;Agencia[[#This Row],[id]]</f>
        <v>990-1667</v>
      </c>
      <c r="W1678" s="96">
        <v>99200004</v>
      </c>
      <c r="X1678" s="93" t="str">
        <f>+VLOOKUP(Agencia[[#This Row],[tema]],Estructura!$A$4:$C$500,3,0)</f>
        <v>T-1070</v>
      </c>
      <c r="Y1678" s="93" t="str">
        <f>+VLOOKUP(Agencia[[#This Row],[contenido]],Estructura!$E$4:$G$500,3,0)</f>
        <v>C-1011</v>
      </c>
      <c r="Z1678" s="93" t="str">
        <f>+VLOOKUP(Agencia[[#This Row],[Filtro Integrado]],Estructura!$I$4:$K$500,3,0)</f>
        <v>FI-1006</v>
      </c>
      <c r="AA1678" s="93" t="str">
        <f>+VLOOKUP(Agencia[[#This Row],[Muestra]],Estructura!$M$4:$O$500,3,0)</f>
        <v>M-1026</v>
      </c>
    </row>
    <row r="1679" spans="1:27" ht="72" x14ac:dyDescent="0.3">
      <c r="A1679" s="21" t="s">
        <v>3569</v>
      </c>
      <c r="B1679" s="71">
        <v>990</v>
      </c>
      <c r="C1679" s="72" t="s">
        <v>400</v>
      </c>
      <c r="D1679" s="72" t="s">
        <v>814</v>
      </c>
      <c r="E1679" s="89">
        <v>5</v>
      </c>
      <c r="F1679" s="72" t="s">
        <v>3781</v>
      </c>
      <c r="G1679" s="73" t="s">
        <v>814</v>
      </c>
      <c r="H1679" s="79" t="s">
        <v>16</v>
      </c>
      <c r="I1679" s="80" t="s">
        <v>372</v>
      </c>
      <c r="J1679" s="66" t="s">
        <v>3180</v>
      </c>
      <c r="K1679" s="71" t="s">
        <v>3782</v>
      </c>
      <c r="L1679" s="71" t="s">
        <v>1445</v>
      </c>
      <c r="M1679" s="71" t="str">
        <f t="shared" si="433"/>
        <v>m2</v>
      </c>
      <c r="N1679" s="66" t="s">
        <v>1370</v>
      </c>
      <c r="O167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Valparaíso, Periodo 2014-2021</v>
      </c>
      <c r="P1679" s="112" t="s">
        <v>6071</v>
      </c>
      <c r="Q1679" s="68" t="s">
        <v>784</v>
      </c>
      <c r="R1679" s="74" t="str">
        <f>Agencia[[#This Row],[territorio]]&amp;",evolución,superficie,autorizada,habitacional,obras,nuevas,vivienda,construcción,regional,"&amp;Agencia[[#This Row],[coleccion]]&amp;","&amp;Agencia[[#This Row],[sector]]&amp;","&amp;Agencia[[#This Row],[tema]]&amp;","&amp;Agencia[[#This Row],[contenido]]</f>
        <v>Región de Valparaíso,evolución,superficie,autorizada,habitacional,obras,nuevas,vivienda,construcción,regional,Agencia Información,Vivienda y Construcción,Superficie Autorizada Habitacional (Obras Nuevas),Vivienda y Construcción</v>
      </c>
      <c r="S1679" s="83" t="s">
        <v>3789</v>
      </c>
      <c r="T1679" s="110" t="s">
        <v>1873</v>
      </c>
      <c r="U1679" s="46" t="s">
        <v>4573</v>
      </c>
      <c r="V1679" s="93" t="str">
        <f>+Agencia[[#This Row],[idcoleccion]]&amp;"-"&amp;Agencia[[#This Row],[id]]</f>
        <v>990-1668</v>
      </c>
      <c r="W1679" s="96">
        <v>99200005</v>
      </c>
      <c r="X1679" s="93" t="str">
        <f>+VLOOKUP(Agencia[[#This Row],[tema]],Estructura!$A$4:$C$500,3,0)</f>
        <v>T-1070</v>
      </c>
      <c r="Y1679" s="93" t="str">
        <f>+VLOOKUP(Agencia[[#This Row],[contenido]],Estructura!$E$4:$G$500,3,0)</f>
        <v>C-1011</v>
      </c>
      <c r="Z1679" s="93" t="str">
        <f>+VLOOKUP(Agencia[[#This Row],[Filtro Integrado]],Estructura!$I$4:$K$500,3,0)</f>
        <v>FI-1006</v>
      </c>
      <c r="AA1679" s="93" t="str">
        <f>+VLOOKUP(Agencia[[#This Row],[Muestra]],Estructura!$M$4:$O$500,3,0)</f>
        <v>M-1026</v>
      </c>
    </row>
    <row r="1680" spans="1:27" ht="72" x14ac:dyDescent="0.3">
      <c r="A1680" s="21" t="s">
        <v>3570</v>
      </c>
      <c r="B1680" s="71">
        <v>990</v>
      </c>
      <c r="C1680" s="72" t="s">
        <v>400</v>
      </c>
      <c r="D1680" s="72" t="s">
        <v>814</v>
      </c>
      <c r="E1680" s="89">
        <v>6</v>
      </c>
      <c r="F1680" s="72" t="s">
        <v>3781</v>
      </c>
      <c r="G1680" s="73" t="s">
        <v>814</v>
      </c>
      <c r="H1680" s="79" t="s">
        <v>16</v>
      </c>
      <c r="I1680" s="80" t="s">
        <v>373</v>
      </c>
      <c r="J1680" s="66" t="s">
        <v>3180</v>
      </c>
      <c r="K1680" s="71" t="s">
        <v>3782</v>
      </c>
      <c r="L1680" s="71" t="s">
        <v>1445</v>
      </c>
      <c r="M1680" s="71" t="str">
        <f t="shared" si="433"/>
        <v>m2</v>
      </c>
      <c r="N1680" s="66" t="s">
        <v>1370</v>
      </c>
      <c r="O168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O'Higgins, Periodo 2014-2021</v>
      </c>
      <c r="P1680" s="112" t="s">
        <v>6080</v>
      </c>
      <c r="Q1680" s="68" t="s">
        <v>784</v>
      </c>
      <c r="R1680" s="74" t="str">
        <f>Agencia[[#This Row],[territorio]]&amp;",evolución,superficie,autorizada,habitacional,obras,nuevas,vivienda,construcción,regional,"&amp;Agencia[[#This Row],[coleccion]]&amp;","&amp;Agencia[[#This Row],[sector]]&amp;","&amp;Agencia[[#This Row],[tema]]&amp;","&amp;Agencia[[#This Row],[contenido]]</f>
        <v>Región de O'Higgins,evolución,superficie,autorizada,habitacional,obras,nuevas,vivienda,construcción,regional,Agencia Información,Vivienda y Construcción,Superficie Autorizada Habitacional (Obras Nuevas),Vivienda y Construcción</v>
      </c>
      <c r="S1680" s="83" t="s">
        <v>3790</v>
      </c>
      <c r="T1680" s="110" t="s">
        <v>1871</v>
      </c>
      <c r="U1680" s="46" t="s">
        <v>4574</v>
      </c>
      <c r="V1680" s="93" t="str">
        <f>+Agencia[[#This Row],[idcoleccion]]&amp;"-"&amp;Agencia[[#This Row],[id]]</f>
        <v>990-1669</v>
      </c>
      <c r="W1680" s="96">
        <v>99200006</v>
      </c>
      <c r="X1680" s="93" t="str">
        <f>+VLOOKUP(Agencia[[#This Row],[tema]],Estructura!$A$4:$C$500,3,0)</f>
        <v>T-1070</v>
      </c>
      <c r="Y1680" s="93" t="str">
        <f>+VLOOKUP(Agencia[[#This Row],[contenido]],Estructura!$E$4:$G$500,3,0)</f>
        <v>C-1011</v>
      </c>
      <c r="Z1680" s="93" t="str">
        <f>+VLOOKUP(Agencia[[#This Row],[Filtro Integrado]],Estructura!$I$4:$K$500,3,0)</f>
        <v>FI-1006</v>
      </c>
      <c r="AA1680" s="93" t="str">
        <f>+VLOOKUP(Agencia[[#This Row],[Muestra]],Estructura!$M$4:$O$500,3,0)</f>
        <v>M-1026</v>
      </c>
    </row>
    <row r="1681" spans="1:27" ht="72" x14ac:dyDescent="0.3">
      <c r="A1681" s="21" t="s">
        <v>3571</v>
      </c>
      <c r="B1681" s="71">
        <v>990</v>
      </c>
      <c r="C1681" s="72" t="s">
        <v>400</v>
      </c>
      <c r="D1681" s="72" t="s">
        <v>814</v>
      </c>
      <c r="E1681" s="89">
        <v>7</v>
      </c>
      <c r="F1681" s="72" t="s">
        <v>3781</v>
      </c>
      <c r="G1681" s="73" t="s">
        <v>814</v>
      </c>
      <c r="H1681" s="79" t="s">
        <v>16</v>
      </c>
      <c r="I1681" s="80" t="s">
        <v>374</v>
      </c>
      <c r="J1681" s="66" t="s">
        <v>3180</v>
      </c>
      <c r="K1681" s="71" t="s">
        <v>3782</v>
      </c>
      <c r="L1681" s="71" t="s">
        <v>1445</v>
      </c>
      <c r="M1681" s="71" t="str">
        <f t="shared" si="433"/>
        <v>m2</v>
      </c>
      <c r="N1681" s="66" t="s">
        <v>1370</v>
      </c>
      <c r="O1681"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Maule, Periodo 2014-2021</v>
      </c>
      <c r="P1681" s="112" t="s">
        <v>6072</v>
      </c>
      <c r="Q1681" s="68" t="s">
        <v>784</v>
      </c>
      <c r="R1681" s="74" t="str">
        <f>Agencia[[#This Row],[territorio]]&amp;",evolución,superficie,autorizada,habitacional,obras,nuevas,vivienda,construcción,regional,"&amp;Agencia[[#This Row],[coleccion]]&amp;","&amp;Agencia[[#This Row],[sector]]&amp;","&amp;Agencia[[#This Row],[tema]]&amp;","&amp;Agencia[[#This Row],[contenido]]</f>
        <v>Región de Maule,evolución,superficie,autorizada,habitacional,obras,nuevas,vivienda,construcción,regional,Agencia Información,Vivienda y Construcción,Superficie Autorizada Habitacional (Obras Nuevas),Vivienda y Construcción</v>
      </c>
      <c r="S1681" s="83" t="s">
        <v>3791</v>
      </c>
      <c r="T1681" s="110" t="s">
        <v>1869</v>
      </c>
      <c r="U1681" s="46" t="s">
        <v>4575</v>
      </c>
      <c r="V1681" s="93" t="str">
        <f>+Agencia[[#This Row],[idcoleccion]]&amp;"-"&amp;Agencia[[#This Row],[id]]</f>
        <v>990-1670</v>
      </c>
      <c r="W1681" s="96">
        <v>99200007</v>
      </c>
      <c r="X1681" s="93" t="str">
        <f>+VLOOKUP(Agencia[[#This Row],[tema]],Estructura!$A$4:$C$500,3,0)</f>
        <v>T-1070</v>
      </c>
      <c r="Y1681" s="93" t="str">
        <f>+VLOOKUP(Agencia[[#This Row],[contenido]],Estructura!$E$4:$G$500,3,0)</f>
        <v>C-1011</v>
      </c>
      <c r="Z1681" s="93" t="str">
        <f>+VLOOKUP(Agencia[[#This Row],[Filtro Integrado]],Estructura!$I$4:$K$500,3,0)</f>
        <v>FI-1006</v>
      </c>
      <c r="AA1681" s="93" t="str">
        <f>+VLOOKUP(Agencia[[#This Row],[Muestra]],Estructura!$M$4:$O$500,3,0)</f>
        <v>M-1026</v>
      </c>
    </row>
    <row r="1682" spans="1:27" ht="72" x14ac:dyDescent="0.3">
      <c r="A1682" s="21" t="s">
        <v>3572</v>
      </c>
      <c r="B1682" s="71">
        <v>990</v>
      </c>
      <c r="C1682" s="72" t="s">
        <v>400</v>
      </c>
      <c r="D1682" s="72" t="s">
        <v>814</v>
      </c>
      <c r="E1682" s="89">
        <v>8</v>
      </c>
      <c r="F1682" s="72" t="s">
        <v>3781</v>
      </c>
      <c r="G1682" s="73" t="s">
        <v>814</v>
      </c>
      <c r="H1682" s="79" t="s">
        <v>16</v>
      </c>
      <c r="I1682" s="80" t="s">
        <v>375</v>
      </c>
      <c r="J1682" s="66" t="s">
        <v>3180</v>
      </c>
      <c r="K1682" s="71" t="s">
        <v>3782</v>
      </c>
      <c r="L1682" s="71" t="s">
        <v>1445</v>
      </c>
      <c r="M1682" s="71" t="str">
        <f t="shared" si="433"/>
        <v>m2</v>
      </c>
      <c r="N1682" s="66" t="s">
        <v>1370</v>
      </c>
      <c r="O1682"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del Biobío, Periodo 2014-2021</v>
      </c>
      <c r="P1682" s="112" t="s">
        <v>6081</v>
      </c>
      <c r="Q1682" s="68" t="s">
        <v>784</v>
      </c>
      <c r="R1682" s="74" t="str">
        <f>Agencia[[#This Row],[territorio]]&amp;",evolución,superficie,autorizada,habitacional,obras,nuevas,vivienda,construcción,regional,"&amp;Agencia[[#This Row],[coleccion]]&amp;","&amp;Agencia[[#This Row],[sector]]&amp;","&amp;Agencia[[#This Row],[tema]]&amp;","&amp;Agencia[[#This Row],[contenido]]</f>
        <v>Región del Biobío,evolución,superficie,autorizada,habitacional,obras,nuevas,vivienda,construcción,regional,Agencia Información,Vivienda y Construcción,Superficie Autorizada Habitacional (Obras Nuevas),Vivienda y Construcción</v>
      </c>
      <c r="S1682" s="83" t="s">
        <v>3792</v>
      </c>
      <c r="T1682" s="110" t="s">
        <v>1874</v>
      </c>
      <c r="U1682" s="46" t="s">
        <v>4576</v>
      </c>
      <c r="V1682" s="93" t="str">
        <f>+Agencia[[#This Row],[idcoleccion]]&amp;"-"&amp;Agencia[[#This Row],[id]]</f>
        <v>990-1671</v>
      </c>
      <c r="W1682" s="96">
        <v>99200008</v>
      </c>
      <c r="X1682" s="93" t="str">
        <f>+VLOOKUP(Agencia[[#This Row],[tema]],Estructura!$A$4:$C$500,3,0)</f>
        <v>T-1070</v>
      </c>
      <c r="Y1682" s="93" t="str">
        <f>+VLOOKUP(Agencia[[#This Row],[contenido]],Estructura!$E$4:$G$500,3,0)</f>
        <v>C-1011</v>
      </c>
      <c r="Z1682" s="93" t="str">
        <f>+VLOOKUP(Agencia[[#This Row],[Filtro Integrado]],Estructura!$I$4:$K$500,3,0)</f>
        <v>FI-1006</v>
      </c>
      <c r="AA1682" s="93" t="str">
        <f>+VLOOKUP(Agencia[[#This Row],[Muestra]],Estructura!$M$4:$O$500,3,0)</f>
        <v>M-1026</v>
      </c>
    </row>
    <row r="1683" spans="1:27" ht="72" x14ac:dyDescent="0.3">
      <c r="A1683" s="21" t="s">
        <v>3573</v>
      </c>
      <c r="B1683" s="71">
        <v>990</v>
      </c>
      <c r="C1683" s="72" t="s">
        <v>400</v>
      </c>
      <c r="D1683" s="72" t="s">
        <v>814</v>
      </c>
      <c r="E1683" s="89">
        <v>9</v>
      </c>
      <c r="F1683" s="72" t="s">
        <v>3781</v>
      </c>
      <c r="G1683" s="73" t="s">
        <v>814</v>
      </c>
      <c r="H1683" s="79" t="s">
        <v>16</v>
      </c>
      <c r="I1683" s="80" t="s">
        <v>376</v>
      </c>
      <c r="J1683" s="66" t="s">
        <v>3180</v>
      </c>
      <c r="K1683" s="71" t="s">
        <v>3782</v>
      </c>
      <c r="L1683" s="71" t="s">
        <v>1445</v>
      </c>
      <c r="M1683" s="71" t="str">
        <f t="shared" si="433"/>
        <v>m2</v>
      </c>
      <c r="N1683" s="66" t="s">
        <v>1370</v>
      </c>
      <c r="O1683"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La Araucanía, Periodo 2014-2021</v>
      </c>
      <c r="P1683" s="112" t="s">
        <v>6088</v>
      </c>
      <c r="Q1683" s="68" t="s">
        <v>784</v>
      </c>
      <c r="R1683" s="74" t="str">
        <f>Agencia[[#This Row],[territorio]]&amp;",evolución,superficie,autorizada,habitacional,obras,nuevas,vivienda,construcción,regional,"&amp;Agencia[[#This Row],[coleccion]]&amp;","&amp;Agencia[[#This Row],[sector]]&amp;","&amp;Agencia[[#This Row],[tema]]&amp;","&amp;Agencia[[#This Row],[contenido]]</f>
        <v>Región de La Araucanía,evolución,superficie,autorizada,habitacional,obras,nuevas,vivienda,construcción,regional,Agencia Información,Vivienda y Construcción,Superficie Autorizada Habitacional (Obras Nuevas),Vivienda y Construcción</v>
      </c>
      <c r="S1683" s="83" t="s">
        <v>3793</v>
      </c>
      <c r="T1683" s="110" t="s">
        <v>1865</v>
      </c>
      <c r="U1683" s="46" t="s">
        <v>4577</v>
      </c>
      <c r="V1683" s="93" t="str">
        <f>+Agencia[[#This Row],[idcoleccion]]&amp;"-"&amp;Agencia[[#This Row],[id]]</f>
        <v>990-1672</v>
      </c>
      <c r="W1683" s="96">
        <v>99200009</v>
      </c>
      <c r="X1683" s="93" t="str">
        <f>+VLOOKUP(Agencia[[#This Row],[tema]],Estructura!$A$4:$C$500,3,0)</f>
        <v>T-1070</v>
      </c>
      <c r="Y1683" s="93" t="str">
        <f>+VLOOKUP(Agencia[[#This Row],[contenido]],Estructura!$E$4:$G$500,3,0)</f>
        <v>C-1011</v>
      </c>
      <c r="Z1683" s="93" t="str">
        <f>+VLOOKUP(Agencia[[#This Row],[Filtro Integrado]],Estructura!$I$4:$K$500,3,0)</f>
        <v>FI-1006</v>
      </c>
      <c r="AA1683" s="93" t="str">
        <f>+VLOOKUP(Agencia[[#This Row],[Muestra]],Estructura!$M$4:$O$500,3,0)</f>
        <v>M-1026</v>
      </c>
    </row>
    <row r="1684" spans="1:27" ht="72" x14ac:dyDescent="0.3">
      <c r="A1684" s="21" t="s">
        <v>3574</v>
      </c>
      <c r="B1684" s="71">
        <v>990</v>
      </c>
      <c r="C1684" s="72" t="s">
        <v>400</v>
      </c>
      <c r="D1684" s="72" t="s">
        <v>814</v>
      </c>
      <c r="E1684" s="89">
        <v>10</v>
      </c>
      <c r="F1684" s="72" t="s">
        <v>3781</v>
      </c>
      <c r="G1684" s="73" t="s">
        <v>814</v>
      </c>
      <c r="H1684" s="79" t="s">
        <v>16</v>
      </c>
      <c r="I1684" s="80" t="s">
        <v>377</v>
      </c>
      <c r="J1684" s="66" t="s">
        <v>3180</v>
      </c>
      <c r="K1684" s="71" t="s">
        <v>3782</v>
      </c>
      <c r="L1684" s="71" t="s">
        <v>1445</v>
      </c>
      <c r="M1684" s="71" t="str">
        <f t="shared" si="433"/>
        <v>m2</v>
      </c>
      <c r="N1684" s="66" t="s">
        <v>1370</v>
      </c>
      <c r="O1684"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Lagos, Periodo 2014-2021</v>
      </c>
      <c r="P1684" s="112" t="s">
        <v>6073</v>
      </c>
      <c r="Q1684" s="68" t="s">
        <v>784</v>
      </c>
      <c r="R1684" s="74" t="str">
        <f>Agencia[[#This Row],[territorio]]&amp;",evolución,superficie,autorizada,habitacional,obras,nuevas,vivienda,construcción,regional,"&amp;Agencia[[#This Row],[coleccion]]&amp;","&amp;Agencia[[#This Row],[sector]]&amp;","&amp;Agencia[[#This Row],[tema]]&amp;","&amp;Agencia[[#This Row],[contenido]]</f>
        <v>Región de Los Lagos,evolución,superficie,autorizada,habitacional,obras,nuevas,vivienda,construcción,regional,Agencia Información,Vivienda y Construcción,Superficie Autorizada Habitacional (Obras Nuevas),Vivienda y Construcción</v>
      </c>
      <c r="S1684" s="83" t="s">
        <v>3794</v>
      </c>
      <c r="T1684" s="110" t="s">
        <v>1866</v>
      </c>
      <c r="U1684" s="46" t="s">
        <v>4578</v>
      </c>
      <c r="V1684" s="93" t="str">
        <f>+Agencia[[#This Row],[idcoleccion]]&amp;"-"&amp;Agencia[[#This Row],[id]]</f>
        <v>990-1673</v>
      </c>
      <c r="W1684" s="96">
        <v>99200010</v>
      </c>
      <c r="X1684" s="93" t="str">
        <f>+VLOOKUP(Agencia[[#This Row],[tema]],Estructura!$A$4:$C$500,3,0)</f>
        <v>T-1070</v>
      </c>
      <c r="Y1684" s="93" t="str">
        <f>+VLOOKUP(Agencia[[#This Row],[contenido]],Estructura!$E$4:$G$500,3,0)</f>
        <v>C-1011</v>
      </c>
      <c r="Z1684" s="93" t="str">
        <f>+VLOOKUP(Agencia[[#This Row],[Filtro Integrado]],Estructura!$I$4:$K$500,3,0)</f>
        <v>FI-1006</v>
      </c>
      <c r="AA1684" s="93" t="str">
        <f>+VLOOKUP(Agencia[[#This Row],[Muestra]],Estructura!$M$4:$O$500,3,0)</f>
        <v>M-1026</v>
      </c>
    </row>
    <row r="1685" spans="1:27" ht="72" x14ac:dyDescent="0.3">
      <c r="A1685" s="21" t="s">
        <v>3575</v>
      </c>
      <c r="B1685" s="71">
        <v>990</v>
      </c>
      <c r="C1685" s="72" t="s">
        <v>400</v>
      </c>
      <c r="D1685" s="72" t="s">
        <v>814</v>
      </c>
      <c r="E1685" s="89">
        <v>11</v>
      </c>
      <c r="F1685" s="72" t="s">
        <v>3781</v>
      </c>
      <c r="G1685" s="73" t="s">
        <v>814</v>
      </c>
      <c r="H1685" s="79" t="s">
        <v>16</v>
      </c>
      <c r="I1685" s="80" t="s">
        <v>378</v>
      </c>
      <c r="J1685" s="66" t="s">
        <v>3180</v>
      </c>
      <c r="K1685" s="71" t="s">
        <v>3782</v>
      </c>
      <c r="L1685" s="71" t="s">
        <v>1445</v>
      </c>
      <c r="M1685" s="71" t="str">
        <f t="shared" si="433"/>
        <v>m2</v>
      </c>
      <c r="N1685" s="66" t="s">
        <v>1370</v>
      </c>
      <c r="O168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Aysén, Periodo 2014-2021</v>
      </c>
      <c r="P1685" s="112" t="s">
        <v>6074</v>
      </c>
      <c r="Q1685" s="68" t="s">
        <v>784</v>
      </c>
      <c r="R1685" s="74" t="str">
        <f>Agencia[[#This Row],[territorio]]&amp;",evolución,superficie,autorizada,habitacional,obras,nuevas,vivienda,construcción,regional,"&amp;Agencia[[#This Row],[coleccion]]&amp;","&amp;Agencia[[#This Row],[sector]]&amp;","&amp;Agencia[[#This Row],[tema]]&amp;","&amp;Agencia[[#This Row],[contenido]]</f>
        <v>Región de Aysén,evolución,superficie,autorizada,habitacional,obras,nuevas,vivienda,construcción,regional,Agencia Información,Vivienda y Construcción,Superficie Autorizada Habitacional (Obras Nuevas),Vivienda y Construcción</v>
      </c>
      <c r="S1685" s="83" t="s">
        <v>3795</v>
      </c>
      <c r="T1685" s="110" t="s">
        <v>1863</v>
      </c>
      <c r="U1685" s="46" t="s">
        <v>4579</v>
      </c>
      <c r="V1685" s="93" t="str">
        <f>+Agencia[[#This Row],[idcoleccion]]&amp;"-"&amp;Agencia[[#This Row],[id]]</f>
        <v>990-1674</v>
      </c>
      <c r="W1685" s="96">
        <v>99200011</v>
      </c>
      <c r="X1685" s="93" t="str">
        <f>+VLOOKUP(Agencia[[#This Row],[tema]],Estructura!$A$4:$C$500,3,0)</f>
        <v>T-1070</v>
      </c>
      <c r="Y1685" s="93" t="str">
        <f>+VLOOKUP(Agencia[[#This Row],[contenido]],Estructura!$E$4:$G$500,3,0)</f>
        <v>C-1011</v>
      </c>
      <c r="Z1685" s="93" t="str">
        <f>+VLOOKUP(Agencia[[#This Row],[Filtro Integrado]],Estructura!$I$4:$K$500,3,0)</f>
        <v>FI-1006</v>
      </c>
      <c r="AA1685" s="93" t="str">
        <f>+VLOOKUP(Agencia[[#This Row],[Muestra]],Estructura!$M$4:$O$500,3,0)</f>
        <v>M-1026</v>
      </c>
    </row>
    <row r="1686" spans="1:27" ht="72" x14ac:dyDescent="0.3">
      <c r="A1686" s="21" t="s">
        <v>3576</v>
      </c>
      <c r="B1686" s="71">
        <v>990</v>
      </c>
      <c r="C1686" s="72" t="s">
        <v>400</v>
      </c>
      <c r="D1686" s="72" t="s">
        <v>814</v>
      </c>
      <c r="E1686" s="89">
        <v>12</v>
      </c>
      <c r="F1686" s="72" t="s">
        <v>3781</v>
      </c>
      <c r="G1686" s="73" t="s">
        <v>814</v>
      </c>
      <c r="H1686" s="79" t="s">
        <v>16</v>
      </c>
      <c r="I1686" s="80" t="s">
        <v>379</v>
      </c>
      <c r="J1686" s="66" t="s">
        <v>3180</v>
      </c>
      <c r="K1686" s="71" t="s">
        <v>3782</v>
      </c>
      <c r="L1686" s="71" t="s">
        <v>1445</v>
      </c>
      <c r="M1686" s="71" t="str">
        <f t="shared" si="433"/>
        <v>m2</v>
      </c>
      <c r="N1686" s="66" t="s">
        <v>1370</v>
      </c>
      <c r="O168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Magallanes, Periodo 2014-2021</v>
      </c>
      <c r="P1686" s="112" t="s">
        <v>6075</v>
      </c>
      <c r="Q1686" s="68" t="s">
        <v>784</v>
      </c>
      <c r="R1686" s="74" t="str">
        <f>Agencia[[#This Row],[territorio]]&amp;",evolución,superficie,autorizada,habitacional,obras,nuevas,vivienda,construcción,regional,"&amp;Agencia[[#This Row],[coleccion]]&amp;","&amp;Agencia[[#This Row],[sector]]&amp;","&amp;Agencia[[#This Row],[tema]]&amp;","&amp;Agencia[[#This Row],[contenido]]</f>
        <v>Región de Magallanes,evolución,superficie,autorizada,habitacional,obras,nuevas,vivienda,construcción,regional,Agencia Información,Vivienda y Construcción,Superficie Autorizada Habitacional (Obras Nuevas),Vivienda y Construcción</v>
      </c>
      <c r="S1686" s="83" t="s">
        <v>3796</v>
      </c>
      <c r="T1686" s="110" t="s">
        <v>1868</v>
      </c>
      <c r="U1686" s="46" t="s">
        <v>4580</v>
      </c>
      <c r="V1686" s="93" t="str">
        <f>+Agencia[[#This Row],[idcoleccion]]&amp;"-"&amp;Agencia[[#This Row],[id]]</f>
        <v>990-1675</v>
      </c>
      <c r="W1686" s="96">
        <v>99200012</v>
      </c>
      <c r="X1686" s="93" t="str">
        <f>+VLOOKUP(Agencia[[#This Row],[tema]],Estructura!$A$4:$C$500,3,0)</f>
        <v>T-1070</v>
      </c>
      <c r="Y1686" s="93" t="str">
        <f>+VLOOKUP(Agencia[[#This Row],[contenido]],Estructura!$E$4:$G$500,3,0)</f>
        <v>C-1011</v>
      </c>
      <c r="Z1686" s="93" t="str">
        <f>+VLOOKUP(Agencia[[#This Row],[Filtro Integrado]],Estructura!$I$4:$K$500,3,0)</f>
        <v>FI-1006</v>
      </c>
      <c r="AA1686" s="93" t="str">
        <f>+VLOOKUP(Agencia[[#This Row],[Muestra]],Estructura!$M$4:$O$500,3,0)</f>
        <v>M-1026</v>
      </c>
    </row>
    <row r="1687" spans="1:27" ht="72" x14ac:dyDescent="0.3">
      <c r="A1687" s="21" t="s">
        <v>3577</v>
      </c>
      <c r="B1687" s="71">
        <v>990</v>
      </c>
      <c r="C1687" s="72" t="s">
        <v>400</v>
      </c>
      <c r="D1687" s="72" t="s">
        <v>814</v>
      </c>
      <c r="E1687" s="89">
        <v>13</v>
      </c>
      <c r="F1687" s="72" t="s">
        <v>3781</v>
      </c>
      <c r="G1687" s="73" t="s">
        <v>814</v>
      </c>
      <c r="H1687" s="79" t="s">
        <v>16</v>
      </c>
      <c r="I1687" s="80" t="s">
        <v>380</v>
      </c>
      <c r="J1687" s="66" t="s">
        <v>3180</v>
      </c>
      <c r="K1687" s="71" t="s">
        <v>3782</v>
      </c>
      <c r="L1687" s="71" t="s">
        <v>1445</v>
      </c>
      <c r="M1687" s="71" t="str">
        <f t="shared" si="433"/>
        <v>m2</v>
      </c>
      <c r="N1687" s="66" t="s">
        <v>1370</v>
      </c>
      <c r="O168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Metropolitana, Periodo 2014-2021</v>
      </c>
      <c r="P1687" s="112" t="s">
        <v>6076</v>
      </c>
      <c r="Q1687" s="68" t="s">
        <v>784</v>
      </c>
      <c r="R1687" s="74" t="str">
        <f>Agencia[[#This Row],[territorio]]&amp;",evolución,superficie,autorizada,habitacional,obras,nuevas,vivienda,construcción,regional,"&amp;Agencia[[#This Row],[coleccion]]&amp;","&amp;Agencia[[#This Row],[sector]]&amp;","&amp;Agencia[[#This Row],[tema]]&amp;","&amp;Agencia[[#This Row],[contenido]]</f>
        <v>Región Metropolitana,evolución,superficie,autorizada,habitacional,obras,nuevas,vivienda,construcción,regional,Agencia Información,Vivienda y Construcción,Superficie Autorizada Habitacional (Obras Nuevas),Vivienda y Construcción</v>
      </c>
      <c r="S1687" s="83" t="s">
        <v>3797</v>
      </c>
      <c r="T1687" s="110" t="s">
        <v>1875</v>
      </c>
      <c r="U1687" s="46" t="s">
        <v>4581</v>
      </c>
      <c r="V1687" s="93" t="str">
        <f>+Agencia[[#This Row],[idcoleccion]]&amp;"-"&amp;Agencia[[#This Row],[id]]</f>
        <v>990-1676</v>
      </c>
      <c r="W1687" s="96">
        <v>99200013</v>
      </c>
      <c r="X1687" s="93" t="str">
        <f>+VLOOKUP(Agencia[[#This Row],[tema]],Estructura!$A$4:$C$500,3,0)</f>
        <v>T-1070</v>
      </c>
      <c r="Y1687" s="93" t="str">
        <f>+VLOOKUP(Agencia[[#This Row],[contenido]],Estructura!$E$4:$G$500,3,0)</f>
        <v>C-1011</v>
      </c>
      <c r="Z1687" s="93" t="str">
        <f>+VLOOKUP(Agencia[[#This Row],[Filtro Integrado]],Estructura!$I$4:$K$500,3,0)</f>
        <v>FI-1006</v>
      </c>
      <c r="AA1687" s="93" t="str">
        <f>+VLOOKUP(Agencia[[#This Row],[Muestra]],Estructura!$M$4:$O$500,3,0)</f>
        <v>M-1026</v>
      </c>
    </row>
    <row r="1688" spans="1:27" ht="72" x14ac:dyDescent="0.3">
      <c r="A1688" s="21" t="s">
        <v>3578</v>
      </c>
      <c r="B1688" s="71">
        <v>990</v>
      </c>
      <c r="C1688" s="72" t="s">
        <v>400</v>
      </c>
      <c r="D1688" s="72" t="s">
        <v>814</v>
      </c>
      <c r="E1688" s="89">
        <v>14</v>
      </c>
      <c r="F1688" s="72" t="s">
        <v>3781</v>
      </c>
      <c r="G1688" s="73" t="s">
        <v>814</v>
      </c>
      <c r="H1688" s="79" t="s">
        <v>16</v>
      </c>
      <c r="I1688" s="80" t="s">
        <v>381</v>
      </c>
      <c r="J1688" s="66" t="s">
        <v>3180</v>
      </c>
      <c r="K1688" s="71" t="s">
        <v>3782</v>
      </c>
      <c r="L1688" s="71" t="s">
        <v>1445</v>
      </c>
      <c r="M1688" s="71" t="str">
        <f t="shared" si="433"/>
        <v>m2</v>
      </c>
      <c r="N1688" s="66" t="s">
        <v>1370</v>
      </c>
      <c r="O168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Ríos, Periodo 2014-2021</v>
      </c>
      <c r="P1688" s="112" t="s">
        <v>6077</v>
      </c>
      <c r="Q1688" s="68" t="s">
        <v>784</v>
      </c>
      <c r="R1688" s="74" t="str">
        <f>Agencia[[#This Row],[territorio]]&amp;",evolución,superficie,autorizada,habitacional,obras,nuevas,vivienda,construcción,regional,"&amp;Agencia[[#This Row],[coleccion]]&amp;","&amp;Agencia[[#This Row],[sector]]&amp;","&amp;Agencia[[#This Row],[tema]]&amp;","&amp;Agencia[[#This Row],[contenido]]</f>
        <v>Región de Los Ríos,evolución,superficie,autorizada,habitacional,obras,nuevas,vivienda,construcción,regional,Agencia Información,Vivienda y Construcción,Superficie Autorizada Habitacional (Obras Nuevas),Vivienda y Construcción</v>
      </c>
      <c r="S1688" s="83" t="s">
        <v>3798</v>
      </c>
      <c r="T1688" s="110" t="s">
        <v>1867</v>
      </c>
      <c r="U1688" s="46" t="s">
        <v>4582</v>
      </c>
      <c r="V1688" s="93" t="str">
        <f>+Agencia[[#This Row],[idcoleccion]]&amp;"-"&amp;Agencia[[#This Row],[id]]</f>
        <v>990-1677</v>
      </c>
      <c r="W1688" s="96">
        <v>99200014</v>
      </c>
      <c r="X1688" s="93" t="str">
        <f>+VLOOKUP(Agencia[[#This Row],[tema]],Estructura!$A$4:$C$500,3,0)</f>
        <v>T-1070</v>
      </c>
      <c r="Y1688" s="93" t="str">
        <f>+VLOOKUP(Agencia[[#This Row],[contenido]],Estructura!$E$4:$G$500,3,0)</f>
        <v>C-1011</v>
      </c>
      <c r="Z1688" s="93" t="str">
        <f>+VLOOKUP(Agencia[[#This Row],[Filtro Integrado]],Estructura!$I$4:$K$500,3,0)</f>
        <v>FI-1006</v>
      </c>
      <c r="AA1688" s="93" t="str">
        <f>+VLOOKUP(Agencia[[#This Row],[Muestra]],Estructura!$M$4:$O$500,3,0)</f>
        <v>M-1026</v>
      </c>
    </row>
    <row r="1689" spans="1:27" ht="72" x14ac:dyDescent="0.3">
      <c r="A1689" s="21" t="s">
        <v>3579</v>
      </c>
      <c r="B1689" s="71">
        <v>990</v>
      </c>
      <c r="C1689" s="72" t="s">
        <v>400</v>
      </c>
      <c r="D1689" s="72" t="s">
        <v>814</v>
      </c>
      <c r="E1689" s="89">
        <v>15</v>
      </c>
      <c r="F1689" s="72" t="s">
        <v>3781</v>
      </c>
      <c r="G1689" s="73" t="s">
        <v>814</v>
      </c>
      <c r="H1689" s="79" t="s">
        <v>16</v>
      </c>
      <c r="I1689" s="80" t="s">
        <v>382</v>
      </c>
      <c r="J1689" s="66" t="s">
        <v>3180</v>
      </c>
      <c r="K1689" s="71" t="s">
        <v>3782</v>
      </c>
      <c r="L1689" s="71" t="s">
        <v>1445</v>
      </c>
      <c r="M1689" s="71" t="str">
        <f t="shared" si="433"/>
        <v>m2</v>
      </c>
      <c r="N1689" s="66" t="s">
        <v>1370</v>
      </c>
      <c r="O168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Arica y Parinacota, Periodo 2014-2021</v>
      </c>
      <c r="P1689" s="112" t="s">
        <v>6078</v>
      </c>
      <c r="Q1689" s="68" t="s">
        <v>784</v>
      </c>
      <c r="R1689" s="74" t="str">
        <f>Agencia[[#This Row],[territorio]]&amp;",evolución,superficie,autorizada,habitacional,obras,nuevas,vivienda,construcción,regional,"&amp;Agencia[[#This Row],[coleccion]]&amp;","&amp;Agencia[[#This Row],[sector]]&amp;","&amp;Agencia[[#This Row],[tema]]&amp;","&amp;Agencia[[#This Row],[contenido]]</f>
        <v>Región de Arica y Parinacota,evolución,superficie,autorizada,habitacional,obras,nuevas,vivienda,construcción,regional,Agencia Información,Vivienda y Construcción,Superficie Autorizada Habitacional (Obras Nuevas),Vivienda y Construcción</v>
      </c>
      <c r="S1689" s="83" t="s">
        <v>3799</v>
      </c>
      <c r="T1689" s="110" t="s">
        <v>1861</v>
      </c>
      <c r="U1689" s="46" t="s">
        <v>4583</v>
      </c>
      <c r="V1689" s="93" t="str">
        <f>+Agencia[[#This Row],[idcoleccion]]&amp;"-"&amp;Agencia[[#This Row],[id]]</f>
        <v>990-1678</v>
      </c>
      <c r="W1689" s="96">
        <v>99200015</v>
      </c>
      <c r="X1689" s="93" t="str">
        <f>+VLOOKUP(Agencia[[#This Row],[tema]],Estructura!$A$4:$C$500,3,0)</f>
        <v>T-1070</v>
      </c>
      <c r="Y1689" s="93" t="str">
        <f>+VLOOKUP(Agencia[[#This Row],[contenido]],Estructura!$E$4:$G$500,3,0)</f>
        <v>C-1011</v>
      </c>
      <c r="Z1689" s="93" t="str">
        <f>+VLOOKUP(Agencia[[#This Row],[Filtro Integrado]],Estructura!$I$4:$K$500,3,0)</f>
        <v>FI-1006</v>
      </c>
      <c r="AA1689" s="93" t="str">
        <f>+VLOOKUP(Agencia[[#This Row],[Muestra]],Estructura!$M$4:$O$500,3,0)</f>
        <v>M-1026</v>
      </c>
    </row>
    <row r="1690" spans="1:27" ht="72" x14ac:dyDescent="0.3">
      <c r="A1690" s="21" t="s">
        <v>3580</v>
      </c>
      <c r="B1690" s="71">
        <v>990</v>
      </c>
      <c r="C1690" s="72" t="s">
        <v>400</v>
      </c>
      <c r="D1690" s="72" t="s">
        <v>814</v>
      </c>
      <c r="E1690" s="89">
        <v>16</v>
      </c>
      <c r="F1690" s="72" t="s">
        <v>3781</v>
      </c>
      <c r="G1690" s="73" t="s">
        <v>814</v>
      </c>
      <c r="H1690" s="79" t="s">
        <v>16</v>
      </c>
      <c r="I1690" s="80" t="s">
        <v>383</v>
      </c>
      <c r="J1690" s="66" t="s">
        <v>3180</v>
      </c>
      <c r="K1690" s="71" t="s">
        <v>3782</v>
      </c>
      <c r="L1690" s="71" t="s">
        <v>1445</v>
      </c>
      <c r="M1690" s="71" t="str">
        <f t="shared" si="433"/>
        <v>m2</v>
      </c>
      <c r="N1690" s="66" t="s">
        <v>1370</v>
      </c>
      <c r="O169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Ñuble, Periodo 2014-2021</v>
      </c>
      <c r="P1690" s="112" t="s">
        <v>6079</v>
      </c>
      <c r="Q1690" s="68" t="s">
        <v>784</v>
      </c>
      <c r="R1690" s="74" t="str">
        <f>Agencia[[#This Row],[territorio]]&amp;",evolución,superficie,autorizada,habitacional,obras,nuevas,vivienda,construcción,regional,"&amp;Agencia[[#This Row],[coleccion]]&amp;","&amp;Agencia[[#This Row],[sector]]&amp;","&amp;Agencia[[#This Row],[tema]]&amp;","&amp;Agencia[[#This Row],[contenido]]</f>
        <v>Región de Ñuble,evolución,superficie,autorizada,habitacional,obras,nuevas,vivienda,construcción,regional,Agencia Información,Vivienda y Construcción,Superficie Autorizada Habitacional (Obras Nuevas),Vivienda y Construcción</v>
      </c>
      <c r="S1690" s="83" t="s">
        <v>3800</v>
      </c>
      <c r="T1690" s="110" t="s">
        <v>1870</v>
      </c>
      <c r="U1690" s="46" t="s">
        <v>4584</v>
      </c>
      <c r="V1690" s="93" t="str">
        <f>+Agencia[[#This Row],[idcoleccion]]&amp;"-"&amp;Agencia[[#This Row],[id]]</f>
        <v>990-1679</v>
      </c>
      <c r="W1690" s="96">
        <v>99200016</v>
      </c>
      <c r="X1690" s="93" t="str">
        <f>+VLOOKUP(Agencia[[#This Row],[tema]],Estructura!$A$4:$C$500,3,0)</f>
        <v>T-1070</v>
      </c>
      <c r="Y1690" s="93" t="str">
        <f>+VLOOKUP(Agencia[[#This Row],[contenido]],Estructura!$E$4:$G$500,3,0)</f>
        <v>C-1011</v>
      </c>
      <c r="Z1690" s="93" t="str">
        <f>+VLOOKUP(Agencia[[#This Row],[Filtro Integrado]],Estructura!$I$4:$K$500,3,0)</f>
        <v>FI-1006</v>
      </c>
      <c r="AA1690" s="93" t="str">
        <f>+VLOOKUP(Agencia[[#This Row],[Muestra]],Estructura!$M$4:$O$500,3,0)</f>
        <v>M-1026</v>
      </c>
    </row>
    <row r="1691" spans="1:27" ht="40.799999999999997" x14ac:dyDescent="0.3">
      <c r="A1691" s="21" t="s">
        <v>3581</v>
      </c>
      <c r="B1691" s="71">
        <v>990</v>
      </c>
      <c r="C1691" s="72" t="s">
        <v>400</v>
      </c>
      <c r="D1691" s="72" t="s">
        <v>814</v>
      </c>
      <c r="E1691" s="90">
        <v>0</v>
      </c>
      <c r="F1691" s="72" t="s">
        <v>3801</v>
      </c>
      <c r="G1691" s="69" t="s">
        <v>814</v>
      </c>
      <c r="H1691" s="77" t="s">
        <v>20</v>
      </c>
      <c r="I1691" s="78" t="s">
        <v>15</v>
      </c>
      <c r="J1691" s="71" t="s">
        <v>3194</v>
      </c>
      <c r="K1691" s="71" t="s">
        <v>3801</v>
      </c>
      <c r="L1691" s="71" t="s">
        <v>1445</v>
      </c>
      <c r="M1691" s="71" t="s">
        <v>3802</v>
      </c>
      <c r="N1691" s="66" t="s">
        <v>1370</v>
      </c>
      <c r="O1691" s="74" t="s">
        <v>3803</v>
      </c>
      <c r="P1691" s="113" t="s">
        <v>3804</v>
      </c>
      <c r="Q1691" s="75" t="s">
        <v>784</v>
      </c>
      <c r="R1691" s="74" t="str">
        <f>Agencia[[#This Row],[territorio]]&amp;",evolución,número,cantidad,viviendas,autorizadas,vivienda,nacional,"&amp;Agencia[[#This Row],[coleccion]]&amp;","&amp;Agencia[[#This Row],[sector]]&amp;","&amp;Agencia[[#This Row],[tema]]&amp;","&amp;Agencia[[#This Row],[contenido]]</f>
        <v>Chile,evolución,número,cantidad,viviendas,autorizadas,vivienda,nacional,Agencia Información,Vivienda y Construcción,Viviendas Autorizadas,Vivienda y Construcción</v>
      </c>
      <c r="S1691" s="81" t="s">
        <v>3805</v>
      </c>
      <c r="T1691" s="109" t="s">
        <v>805</v>
      </c>
      <c r="U1691" s="46" t="s">
        <v>4585</v>
      </c>
      <c r="V1691" s="93" t="str">
        <f>+Agencia[[#This Row],[idcoleccion]]&amp;"-"&amp;Agencia[[#This Row],[id]]</f>
        <v>990-1680</v>
      </c>
      <c r="W1691" s="96">
        <v>99100000</v>
      </c>
      <c r="X1691" s="93" t="str">
        <f>+VLOOKUP(Agencia[[#This Row],[tema]],Estructura!$A$4:$C$500,3,0)</f>
        <v>T-1071</v>
      </c>
      <c r="Y1691" s="93" t="str">
        <f>+VLOOKUP(Agencia[[#This Row],[contenido]],Estructura!$E$4:$G$500,3,0)</f>
        <v>C-1011</v>
      </c>
      <c r="Z1691" s="93" t="str">
        <f>+VLOOKUP(Agencia[[#This Row],[Filtro Integrado]],Estructura!$I$4:$K$500,3,0)</f>
        <v>FI-1007</v>
      </c>
      <c r="AA1691" s="93" t="str">
        <f>+VLOOKUP(Agencia[[#This Row],[Muestra]],Estructura!$M$4:$O$500,3,0)</f>
        <v>M-1027</v>
      </c>
    </row>
    <row r="1692" spans="1:27" ht="72" x14ac:dyDescent="0.3">
      <c r="A1692" s="21" t="s">
        <v>3582</v>
      </c>
      <c r="B1692" s="71">
        <v>990</v>
      </c>
      <c r="C1692" s="72" t="s">
        <v>400</v>
      </c>
      <c r="D1692" s="72" t="s">
        <v>814</v>
      </c>
      <c r="E1692" s="89">
        <v>1</v>
      </c>
      <c r="F1692" s="72" t="s">
        <v>3801</v>
      </c>
      <c r="G1692" s="69" t="s">
        <v>814</v>
      </c>
      <c r="H1692" s="79" t="s">
        <v>16</v>
      </c>
      <c r="I1692" s="80" t="s">
        <v>368</v>
      </c>
      <c r="J1692" s="66" t="s">
        <v>3180</v>
      </c>
      <c r="K1692" s="71" t="s">
        <v>3801</v>
      </c>
      <c r="L1692" s="71" t="s">
        <v>1445</v>
      </c>
      <c r="M1692" s="71" t="s">
        <v>3802</v>
      </c>
      <c r="N1692" s="66" t="s">
        <v>1370</v>
      </c>
      <c r="O1692" s="74" t="str">
        <f>"Evolución Mensual del Número de Viviendas Autorizadas para Construcción en la "&amp;Agencia[[#This Row],[territorio]]&amp;", "&amp;Agencia[[#This Row],[temporalidad]]</f>
        <v>Evolución Mensual del Número de Viviendas Autorizadas para Construcción en la Región de Tarapacá, Periodo 2014-2021</v>
      </c>
      <c r="P1692" s="112" t="s">
        <v>6082</v>
      </c>
      <c r="Q1692" s="68" t="s">
        <v>784</v>
      </c>
      <c r="R1692" s="74" t="str">
        <f>Agencia[[#This Row],[territorio]]&amp;",evolución,número,cantidad,viviendas,autorizadas,vivienda,regional,"&amp;Agencia[[#This Row],[coleccion]]&amp;","&amp;Agencia[[#This Row],[sector]]&amp;","&amp;Agencia[[#This Row],[tema]]&amp;","&amp;Agencia[[#This Row],[contenido]]</f>
        <v>Región de Tarapacá,evolución,número,cantidad,viviendas,autorizadas,vivienda,regional,Agencia Información,Vivienda y Construcción,Viviendas Autorizadas,Vivienda y Construcción</v>
      </c>
      <c r="S1692" s="83" t="s">
        <v>3806</v>
      </c>
      <c r="T1692" s="110" t="s">
        <v>1872</v>
      </c>
      <c r="U1692" s="46" t="s">
        <v>4586</v>
      </c>
      <c r="V1692" s="93" t="str">
        <f>+Agencia[[#This Row],[idcoleccion]]&amp;"-"&amp;Agencia[[#This Row],[id]]</f>
        <v>990-1681</v>
      </c>
      <c r="W1692" s="96">
        <v>99200001</v>
      </c>
      <c r="X1692" s="93" t="str">
        <f>+VLOOKUP(Agencia[[#This Row],[tema]],Estructura!$A$4:$C$500,3,0)</f>
        <v>T-1071</v>
      </c>
      <c r="Y1692" s="93" t="str">
        <f>+VLOOKUP(Agencia[[#This Row],[contenido]],Estructura!$E$4:$G$500,3,0)</f>
        <v>C-1011</v>
      </c>
      <c r="Z1692" s="93" t="str">
        <f>+VLOOKUP(Agencia[[#This Row],[Filtro Integrado]],Estructura!$I$4:$K$500,3,0)</f>
        <v>FI-1006</v>
      </c>
      <c r="AA1692" s="93" t="str">
        <f>+VLOOKUP(Agencia[[#This Row],[Muestra]],Estructura!$M$4:$O$500,3,0)</f>
        <v>M-1027</v>
      </c>
    </row>
    <row r="1693" spans="1:27" ht="72" x14ac:dyDescent="0.3">
      <c r="A1693" s="21" t="s">
        <v>3583</v>
      </c>
      <c r="B1693" s="71">
        <v>990</v>
      </c>
      <c r="C1693" s="72" t="s">
        <v>400</v>
      </c>
      <c r="D1693" s="72" t="s">
        <v>814</v>
      </c>
      <c r="E1693" s="89">
        <v>2</v>
      </c>
      <c r="F1693" s="72" t="s">
        <v>3801</v>
      </c>
      <c r="G1693" s="69" t="s">
        <v>814</v>
      </c>
      <c r="H1693" s="79" t="s">
        <v>16</v>
      </c>
      <c r="I1693" s="80" t="s">
        <v>369</v>
      </c>
      <c r="J1693" s="66" t="s">
        <v>3180</v>
      </c>
      <c r="K1693" s="71" t="s">
        <v>3801</v>
      </c>
      <c r="L1693" s="71" t="s">
        <v>1445</v>
      </c>
      <c r="M1693" s="71" t="s">
        <v>3802</v>
      </c>
      <c r="N1693" s="66" t="s">
        <v>1370</v>
      </c>
      <c r="O1693" s="74" t="str">
        <f>"Evolución Mensual del Número de Viviendas Autorizadas para Construcción en la "&amp;Agencia[[#This Row],[territorio]]&amp;", "&amp;Agencia[[#This Row],[temporalidad]]</f>
        <v>Evolución Mensual del Número de Viviendas Autorizadas para Construcción en la Región de Antofagasta, Periodo 2014-2021</v>
      </c>
      <c r="P1693" s="112" t="s">
        <v>6083</v>
      </c>
      <c r="Q1693" s="68" t="s">
        <v>784</v>
      </c>
      <c r="R1693" s="74" t="str">
        <f>Agencia[[#This Row],[territorio]]&amp;",evolución,número,cantidad,viviendas,autorizadas,vivienda,regional,"&amp;Agencia[[#This Row],[coleccion]]&amp;","&amp;Agencia[[#This Row],[sector]]&amp;","&amp;Agencia[[#This Row],[tema]]&amp;","&amp;Agencia[[#This Row],[contenido]]</f>
        <v>Región de Antofagasta,evolución,número,cantidad,viviendas,autorizadas,vivienda,regional,Agencia Información,Vivienda y Construcción,Viviendas Autorizadas,Vivienda y Construcción</v>
      </c>
      <c r="S1693" s="83" t="s">
        <v>3807</v>
      </c>
      <c r="T1693" s="110" t="s">
        <v>1860</v>
      </c>
      <c r="U1693" s="46" t="s">
        <v>4587</v>
      </c>
      <c r="V1693" s="93" t="str">
        <f>+Agencia[[#This Row],[idcoleccion]]&amp;"-"&amp;Agencia[[#This Row],[id]]</f>
        <v>990-1682</v>
      </c>
      <c r="W1693" s="96">
        <v>99200002</v>
      </c>
      <c r="X1693" s="93" t="str">
        <f>+VLOOKUP(Agencia[[#This Row],[tema]],Estructura!$A$4:$C$500,3,0)</f>
        <v>T-1071</v>
      </c>
      <c r="Y1693" s="93" t="str">
        <f>+VLOOKUP(Agencia[[#This Row],[contenido]],Estructura!$E$4:$G$500,3,0)</f>
        <v>C-1011</v>
      </c>
      <c r="Z1693" s="93" t="str">
        <f>+VLOOKUP(Agencia[[#This Row],[Filtro Integrado]],Estructura!$I$4:$K$500,3,0)</f>
        <v>FI-1006</v>
      </c>
      <c r="AA1693" s="93" t="str">
        <f>+VLOOKUP(Agencia[[#This Row],[Muestra]],Estructura!$M$4:$O$500,3,0)</f>
        <v>M-1027</v>
      </c>
    </row>
    <row r="1694" spans="1:27" ht="72" x14ac:dyDescent="0.3">
      <c r="A1694" s="21" t="s">
        <v>3584</v>
      </c>
      <c r="B1694" s="71">
        <v>990</v>
      </c>
      <c r="C1694" s="72" t="s">
        <v>400</v>
      </c>
      <c r="D1694" s="72" t="s">
        <v>814</v>
      </c>
      <c r="E1694" s="89">
        <v>3</v>
      </c>
      <c r="F1694" s="72" t="s">
        <v>3801</v>
      </c>
      <c r="G1694" s="69" t="s">
        <v>814</v>
      </c>
      <c r="H1694" s="79" t="s">
        <v>16</v>
      </c>
      <c r="I1694" s="80" t="s">
        <v>370</v>
      </c>
      <c r="J1694" s="66" t="s">
        <v>3180</v>
      </c>
      <c r="K1694" s="71" t="s">
        <v>3801</v>
      </c>
      <c r="L1694" s="71" t="s">
        <v>1445</v>
      </c>
      <c r="M1694" s="71" t="s">
        <v>3802</v>
      </c>
      <c r="N1694" s="66" t="s">
        <v>1370</v>
      </c>
      <c r="O1694" s="74" t="str">
        <f>"Evolución Mensual del Número de Viviendas Autorizadas para Construcción en la "&amp;Agencia[[#This Row],[territorio]]&amp;", "&amp;Agencia[[#This Row],[temporalidad]]</f>
        <v>Evolución Mensual del Número de Viviendas Autorizadas para Construcción en la Región de Atacama, Periodo 2014-2021</v>
      </c>
      <c r="P1694" s="112" t="s">
        <v>6084</v>
      </c>
      <c r="Q1694" s="68" t="s">
        <v>784</v>
      </c>
      <c r="R1694" s="74" t="str">
        <f>Agencia[[#This Row],[territorio]]&amp;",evolución,número,cantidad,viviendas,autorizadas,vivienda,regional,"&amp;Agencia[[#This Row],[coleccion]]&amp;","&amp;Agencia[[#This Row],[sector]]&amp;","&amp;Agencia[[#This Row],[tema]]&amp;","&amp;Agencia[[#This Row],[contenido]]</f>
        <v>Región de Atacama,evolución,número,cantidad,viviendas,autorizadas,vivienda,regional,Agencia Información,Vivienda y Construcción,Viviendas Autorizadas,Vivienda y Construcción</v>
      </c>
      <c r="S1694" s="83" t="s">
        <v>3808</v>
      </c>
      <c r="T1694" s="110" t="s">
        <v>1862</v>
      </c>
      <c r="U1694" s="46" t="s">
        <v>4588</v>
      </c>
      <c r="V1694" s="93" t="str">
        <f>+Agencia[[#This Row],[idcoleccion]]&amp;"-"&amp;Agencia[[#This Row],[id]]</f>
        <v>990-1683</v>
      </c>
      <c r="W1694" s="96">
        <v>99200003</v>
      </c>
      <c r="X1694" s="93" t="str">
        <f>+VLOOKUP(Agencia[[#This Row],[tema]],Estructura!$A$4:$C$500,3,0)</f>
        <v>T-1071</v>
      </c>
      <c r="Y1694" s="93" t="str">
        <f>+VLOOKUP(Agencia[[#This Row],[contenido]],Estructura!$E$4:$G$500,3,0)</f>
        <v>C-1011</v>
      </c>
      <c r="Z1694" s="93" t="str">
        <f>+VLOOKUP(Agencia[[#This Row],[Filtro Integrado]],Estructura!$I$4:$K$500,3,0)</f>
        <v>FI-1006</v>
      </c>
      <c r="AA1694" s="93" t="str">
        <f>+VLOOKUP(Agencia[[#This Row],[Muestra]],Estructura!$M$4:$O$500,3,0)</f>
        <v>M-1027</v>
      </c>
    </row>
    <row r="1695" spans="1:27" ht="72" x14ac:dyDescent="0.3">
      <c r="A1695" s="21" t="s">
        <v>3585</v>
      </c>
      <c r="B1695" s="71">
        <v>990</v>
      </c>
      <c r="C1695" s="72" t="s">
        <v>400</v>
      </c>
      <c r="D1695" s="72" t="s">
        <v>814</v>
      </c>
      <c r="E1695" s="89">
        <v>4</v>
      </c>
      <c r="F1695" s="72" t="s">
        <v>3801</v>
      </c>
      <c r="G1695" s="69" t="s">
        <v>814</v>
      </c>
      <c r="H1695" s="79" t="s">
        <v>16</v>
      </c>
      <c r="I1695" s="80" t="s">
        <v>371</v>
      </c>
      <c r="J1695" s="66" t="s">
        <v>3180</v>
      </c>
      <c r="K1695" s="71" t="s">
        <v>3801</v>
      </c>
      <c r="L1695" s="71" t="s">
        <v>1445</v>
      </c>
      <c r="M1695" s="71" t="s">
        <v>3802</v>
      </c>
      <c r="N1695" s="66" t="s">
        <v>1370</v>
      </c>
      <c r="O1695" s="74" t="str">
        <f>"Evolución Mensual del Número de Viviendas Autorizadas para Construcción en la "&amp;Agencia[[#This Row],[territorio]]&amp;", "&amp;Agencia[[#This Row],[temporalidad]]</f>
        <v>Evolución Mensual del Número de Viviendas Autorizadas para Construcción en la Región de Coquimbo, Periodo 2014-2021</v>
      </c>
      <c r="P1695" s="112" t="s">
        <v>6085</v>
      </c>
      <c r="Q1695" s="68" t="s">
        <v>784</v>
      </c>
      <c r="R1695" s="74" t="str">
        <f>Agencia[[#This Row],[territorio]]&amp;",evolución,número,cantidad,viviendas,autorizadas,vivienda,regional,"&amp;Agencia[[#This Row],[coleccion]]&amp;","&amp;Agencia[[#This Row],[sector]]&amp;","&amp;Agencia[[#This Row],[tema]]&amp;","&amp;Agencia[[#This Row],[contenido]]</f>
        <v>Región de Coquimbo,evolución,número,cantidad,viviendas,autorizadas,vivienda,regional,Agencia Información,Vivienda y Construcción,Viviendas Autorizadas,Vivienda y Construcción</v>
      </c>
      <c r="S1695" s="83" t="s">
        <v>3809</v>
      </c>
      <c r="T1695" s="110" t="s">
        <v>1864</v>
      </c>
      <c r="U1695" s="46" t="s">
        <v>4589</v>
      </c>
      <c r="V1695" s="93" t="str">
        <f>+Agencia[[#This Row],[idcoleccion]]&amp;"-"&amp;Agencia[[#This Row],[id]]</f>
        <v>990-1684</v>
      </c>
      <c r="W1695" s="96">
        <v>99200004</v>
      </c>
      <c r="X1695" s="93" t="str">
        <f>+VLOOKUP(Agencia[[#This Row],[tema]],Estructura!$A$4:$C$500,3,0)</f>
        <v>T-1071</v>
      </c>
      <c r="Y1695" s="93" t="str">
        <f>+VLOOKUP(Agencia[[#This Row],[contenido]],Estructura!$E$4:$G$500,3,0)</f>
        <v>C-1011</v>
      </c>
      <c r="Z1695" s="93" t="str">
        <f>+VLOOKUP(Agencia[[#This Row],[Filtro Integrado]],Estructura!$I$4:$K$500,3,0)</f>
        <v>FI-1006</v>
      </c>
      <c r="AA1695" s="93" t="str">
        <f>+VLOOKUP(Agencia[[#This Row],[Muestra]],Estructura!$M$4:$O$500,3,0)</f>
        <v>M-1027</v>
      </c>
    </row>
    <row r="1696" spans="1:27" ht="72" x14ac:dyDescent="0.3">
      <c r="A1696" s="21" t="s">
        <v>3586</v>
      </c>
      <c r="B1696" s="71">
        <v>990</v>
      </c>
      <c r="C1696" s="72" t="s">
        <v>400</v>
      </c>
      <c r="D1696" s="72" t="s">
        <v>814</v>
      </c>
      <c r="E1696" s="89">
        <v>6</v>
      </c>
      <c r="F1696" s="72" t="s">
        <v>3801</v>
      </c>
      <c r="G1696" s="69" t="s">
        <v>814</v>
      </c>
      <c r="H1696" s="79" t="s">
        <v>16</v>
      </c>
      <c r="I1696" s="80" t="s">
        <v>373</v>
      </c>
      <c r="J1696" s="66" t="s">
        <v>3180</v>
      </c>
      <c r="K1696" s="71" t="s">
        <v>3801</v>
      </c>
      <c r="L1696" s="71" t="s">
        <v>1445</v>
      </c>
      <c r="M1696" s="71" t="s">
        <v>3802</v>
      </c>
      <c r="N1696" s="66" t="s">
        <v>1370</v>
      </c>
      <c r="O1696" s="74" t="str">
        <f>"Evolución Mensual del Número de Viviendas Autorizadas para Construcción en la "&amp;Agencia[[#This Row],[territorio]]&amp;", "&amp;Agencia[[#This Row],[temporalidad]]</f>
        <v>Evolución Mensual del Número de Viviendas Autorizadas para Construcción en la Región de O'Higgins, Periodo 2014-2021</v>
      </c>
      <c r="P1696" s="112" t="s">
        <v>6096</v>
      </c>
      <c r="Q1696" s="68" t="s">
        <v>784</v>
      </c>
      <c r="R1696" s="74" t="str">
        <f>Agencia[[#This Row],[territorio]]&amp;",evolución,número,cantidad,viviendas,autorizadas,vivienda,regional,"&amp;Agencia[[#This Row],[coleccion]]&amp;","&amp;Agencia[[#This Row],[sector]]&amp;","&amp;Agencia[[#This Row],[tema]]&amp;","&amp;Agencia[[#This Row],[contenido]]</f>
        <v>Región de O'Higgins,evolución,número,cantidad,viviendas,autorizadas,vivienda,regional,Agencia Información,Vivienda y Construcción,Viviendas Autorizadas,Vivienda y Construcción</v>
      </c>
      <c r="S1696" s="83" t="s">
        <v>3810</v>
      </c>
      <c r="T1696" s="110" t="s">
        <v>1871</v>
      </c>
      <c r="U1696" s="46" t="s">
        <v>4590</v>
      </c>
      <c r="V1696" s="93" t="str">
        <f>+Agencia[[#This Row],[idcoleccion]]&amp;"-"&amp;Agencia[[#This Row],[id]]</f>
        <v>990-1685</v>
      </c>
      <c r="W1696" s="96">
        <v>99200006</v>
      </c>
      <c r="X1696" s="93" t="str">
        <f>+VLOOKUP(Agencia[[#This Row],[tema]],Estructura!$A$4:$C$500,3,0)</f>
        <v>T-1071</v>
      </c>
      <c r="Y1696" s="93" t="str">
        <f>+VLOOKUP(Agencia[[#This Row],[contenido]],Estructura!$E$4:$G$500,3,0)</f>
        <v>C-1011</v>
      </c>
      <c r="Z1696" s="93" t="str">
        <f>+VLOOKUP(Agencia[[#This Row],[Filtro Integrado]],Estructura!$I$4:$K$500,3,0)</f>
        <v>FI-1006</v>
      </c>
      <c r="AA1696" s="93" t="str">
        <f>+VLOOKUP(Agencia[[#This Row],[Muestra]],Estructura!$M$4:$O$500,3,0)</f>
        <v>M-1027</v>
      </c>
    </row>
    <row r="1697" spans="1:27" ht="72" x14ac:dyDescent="0.3">
      <c r="A1697" s="21" t="s">
        <v>3587</v>
      </c>
      <c r="B1697" s="71">
        <v>990</v>
      </c>
      <c r="C1697" s="72" t="s">
        <v>400</v>
      </c>
      <c r="D1697" s="72" t="s">
        <v>814</v>
      </c>
      <c r="E1697" s="89">
        <v>7</v>
      </c>
      <c r="F1697" s="72" t="s">
        <v>3801</v>
      </c>
      <c r="G1697" s="69" t="s">
        <v>814</v>
      </c>
      <c r="H1697" s="79" t="s">
        <v>16</v>
      </c>
      <c r="I1697" s="80" t="s">
        <v>374</v>
      </c>
      <c r="J1697" s="66" t="s">
        <v>3180</v>
      </c>
      <c r="K1697" s="71" t="s">
        <v>3801</v>
      </c>
      <c r="L1697" s="71" t="s">
        <v>1445</v>
      </c>
      <c r="M1697" s="71" t="s">
        <v>3802</v>
      </c>
      <c r="N1697" s="66" t="s">
        <v>1370</v>
      </c>
      <c r="O1697" s="74" t="str">
        <f>"Evolución Mensual del Número de Viviendas Autorizadas para Construcción en la "&amp;Agencia[[#This Row],[territorio]]&amp;", "&amp;Agencia[[#This Row],[temporalidad]]</f>
        <v>Evolución Mensual del Número de Viviendas Autorizadas para Construcción en la Región de Maule, Periodo 2014-2021</v>
      </c>
      <c r="P1697" s="112" t="s">
        <v>6086</v>
      </c>
      <c r="Q1697" s="68" t="s">
        <v>784</v>
      </c>
      <c r="R1697" s="74" t="str">
        <f>Agencia[[#This Row],[territorio]]&amp;",evolución,número,cantidad,viviendas,autorizadas,vivienda,regional,"&amp;Agencia[[#This Row],[coleccion]]&amp;","&amp;Agencia[[#This Row],[sector]]&amp;","&amp;Agencia[[#This Row],[tema]]&amp;","&amp;Agencia[[#This Row],[contenido]]</f>
        <v>Región de Maule,evolución,número,cantidad,viviendas,autorizadas,vivienda,regional,Agencia Información,Vivienda y Construcción,Viviendas Autorizadas,Vivienda y Construcción</v>
      </c>
      <c r="S1697" s="83" t="s">
        <v>3811</v>
      </c>
      <c r="T1697" s="110" t="s">
        <v>1869</v>
      </c>
      <c r="U1697" s="46" t="s">
        <v>4591</v>
      </c>
      <c r="V1697" s="93" t="str">
        <f>+Agencia[[#This Row],[idcoleccion]]&amp;"-"&amp;Agencia[[#This Row],[id]]</f>
        <v>990-1686</v>
      </c>
      <c r="W1697" s="96">
        <v>99200007</v>
      </c>
      <c r="X1697" s="93" t="str">
        <f>+VLOOKUP(Agencia[[#This Row],[tema]],Estructura!$A$4:$C$500,3,0)</f>
        <v>T-1071</v>
      </c>
      <c r="Y1697" s="93" t="str">
        <f>+VLOOKUP(Agencia[[#This Row],[contenido]],Estructura!$E$4:$G$500,3,0)</f>
        <v>C-1011</v>
      </c>
      <c r="Z1697" s="93" t="str">
        <f>+VLOOKUP(Agencia[[#This Row],[Filtro Integrado]],Estructura!$I$4:$K$500,3,0)</f>
        <v>FI-1006</v>
      </c>
      <c r="AA1697" s="93" t="str">
        <f>+VLOOKUP(Agencia[[#This Row],[Muestra]],Estructura!$M$4:$O$500,3,0)</f>
        <v>M-1027</v>
      </c>
    </row>
    <row r="1698" spans="1:27" ht="72" x14ac:dyDescent="0.3">
      <c r="A1698" s="21" t="s">
        <v>3588</v>
      </c>
      <c r="B1698" s="71">
        <v>990</v>
      </c>
      <c r="C1698" s="72" t="s">
        <v>400</v>
      </c>
      <c r="D1698" s="72" t="s">
        <v>814</v>
      </c>
      <c r="E1698" s="89">
        <v>8</v>
      </c>
      <c r="F1698" s="72" t="s">
        <v>3801</v>
      </c>
      <c r="G1698" s="69" t="s">
        <v>814</v>
      </c>
      <c r="H1698" s="79" t="s">
        <v>16</v>
      </c>
      <c r="I1698" s="80" t="s">
        <v>375</v>
      </c>
      <c r="J1698" s="66" t="s">
        <v>3180</v>
      </c>
      <c r="K1698" s="71" t="s">
        <v>3801</v>
      </c>
      <c r="L1698" s="71" t="s">
        <v>1445</v>
      </c>
      <c r="M1698" s="71" t="s">
        <v>3802</v>
      </c>
      <c r="N1698" s="66" t="s">
        <v>1370</v>
      </c>
      <c r="O1698" s="74" t="str">
        <f>"Evolución Mensual del Número de Viviendas Autorizadas para Construcción en la "&amp;Agencia[[#This Row],[territorio]]&amp;", "&amp;Agencia[[#This Row],[temporalidad]]</f>
        <v>Evolución Mensual del Número de Viviendas Autorizadas para Construcción en la Región del Biobío, Periodo 2014-2021</v>
      </c>
      <c r="P1698" s="112" t="s">
        <v>6097</v>
      </c>
      <c r="Q1698" s="68" t="s">
        <v>784</v>
      </c>
      <c r="R1698" s="74" t="str">
        <f>Agencia[[#This Row],[territorio]]&amp;",evolución,número,cantidad,viviendas,autorizadas,vivienda,regional,"&amp;Agencia[[#This Row],[coleccion]]&amp;","&amp;Agencia[[#This Row],[sector]]&amp;","&amp;Agencia[[#This Row],[tema]]&amp;","&amp;Agencia[[#This Row],[contenido]]</f>
        <v>Región del Biobío,evolución,número,cantidad,viviendas,autorizadas,vivienda,regional,Agencia Información,Vivienda y Construcción,Viviendas Autorizadas,Vivienda y Construcción</v>
      </c>
      <c r="S1698" s="83" t="s">
        <v>3812</v>
      </c>
      <c r="T1698" s="110" t="s">
        <v>1874</v>
      </c>
      <c r="U1698" s="46" t="s">
        <v>4592</v>
      </c>
      <c r="V1698" s="93" t="str">
        <f>+Agencia[[#This Row],[idcoleccion]]&amp;"-"&amp;Agencia[[#This Row],[id]]</f>
        <v>990-1687</v>
      </c>
      <c r="W1698" s="96">
        <v>99200008</v>
      </c>
      <c r="X1698" s="93" t="str">
        <f>+VLOOKUP(Agencia[[#This Row],[tema]],Estructura!$A$4:$C$500,3,0)</f>
        <v>T-1071</v>
      </c>
      <c r="Y1698" s="93" t="str">
        <f>+VLOOKUP(Agencia[[#This Row],[contenido]],Estructura!$E$4:$G$500,3,0)</f>
        <v>C-1011</v>
      </c>
      <c r="Z1698" s="93" t="str">
        <f>+VLOOKUP(Agencia[[#This Row],[Filtro Integrado]],Estructura!$I$4:$K$500,3,0)</f>
        <v>FI-1006</v>
      </c>
      <c r="AA1698" s="93" t="str">
        <f>+VLOOKUP(Agencia[[#This Row],[Muestra]],Estructura!$M$4:$O$500,3,0)</f>
        <v>M-1027</v>
      </c>
    </row>
    <row r="1699" spans="1:27" ht="72" x14ac:dyDescent="0.3">
      <c r="A1699" s="21" t="s">
        <v>3589</v>
      </c>
      <c r="B1699" s="71">
        <v>990</v>
      </c>
      <c r="C1699" s="72" t="s">
        <v>400</v>
      </c>
      <c r="D1699" s="72" t="s">
        <v>814</v>
      </c>
      <c r="E1699" s="89">
        <v>9</v>
      </c>
      <c r="F1699" s="72" t="s">
        <v>3801</v>
      </c>
      <c r="G1699" s="69" t="s">
        <v>814</v>
      </c>
      <c r="H1699" s="79" t="s">
        <v>16</v>
      </c>
      <c r="I1699" s="80" t="s">
        <v>376</v>
      </c>
      <c r="J1699" s="66" t="s">
        <v>3180</v>
      </c>
      <c r="K1699" s="71" t="s">
        <v>3801</v>
      </c>
      <c r="L1699" s="71" t="s">
        <v>1445</v>
      </c>
      <c r="M1699" s="71" t="s">
        <v>3802</v>
      </c>
      <c r="N1699" s="66" t="s">
        <v>1370</v>
      </c>
      <c r="O1699" s="74" t="str">
        <f>"Evolución Mensual del Número de Viviendas Autorizadas para Construcción en la "&amp;Agencia[[#This Row],[territorio]]&amp;", "&amp;Agencia[[#This Row],[temporalidad]]</f>
        <v>Evolución Mensual del Número de Viviendas Autorizadas para Construcción en la Región de La Araucanía, Periodo 2014-2021</v>
      </c>
      <c r="P1699" s="112" t="s">
        <v>6087</v>
      </c>
      <c r="Q1699" s="68" t="s">
        <v>784</v>
      </c>
      <c r="R1699" s="74" t="str">
        <f>Agencia[[#This Row],[territorio]]&amp;",evolución,número,cantidad,viviendas,autorizadas,vivienda,regional,"&amp;Agencia[[#This Row],[coleccion]]&amp;","&amp;Agencia[[#This Row],[sector]]&amp;","&amp;Agencia[[#This Row],[tema]]&amp;","&amp;Agencia[[#This Row],[contenido]]</f>
        <v>Región de La Araucanía,evolución,número,cantidad,viviendas,autorizadas,vivienda,regional,Agencia Información,Vivienda y Construcción,Viviendas Autorizadas,Vivienda y Construcción</v>
      </c>
      <c r="S1699" s="83" t="s">
        <v>3813</v>
      </c>
      <c r="T1699" s="110" t="s">
        <v>1865</v>
      </c>
      <c r="U1699" s="46" t="s">
        <v>4593</v>
      </c>
      <c r="V1699" s="93" t="str">
        <f>+Agencia[[#This Row],[idcoleccion]]&amp;"-"&amp;Agencia[[#This Row],[id]]</f>
        <v>990-1688</v>
      </c>
      <c r="W1699" s="96">
        <v>99200009</v>
      </c>
      <c r="X1699" s="93" t="str">
        <f>+VLOOKUP(Agencia[[#This Row],[tema]],Estructura!$A$4:$C$500,3,0)</f>
        <v>T-1071</v>
      </c>
      <c r="Y1699" s="93" t="str">
        <f>+VLOOKUP(Agencia[[#This Row],[contenido]],Estructura!$E$4:$G$500,3,0)</f>
        <v>C-1011</v>
      </c>
      <c r="Z1699" s="93" t="str">
        <f>+VLOOKUP(Agencia[[#This Row],[Filtro Integrado]],Estructura!$I$4:$K$500,3,0)</f>
        <v>FI-1006</v>
      </c>
      <c r="AA1699" s="93" t="str">
        <f>+VLOOKUP(Agencia[[#This Row],[Muestra]],Estructura!$M$4:$O$500,3,0)</f>
        <v>M-1027</v>
      </c>
    </row>
    <row r="1700" spans="1:27" ht="72" x14ac:dyDescent="0.3">
      <c r="A1700" s="21" t="s">
        <v>3590</v>
      </c>
      <c r="B1700" s="71">
        <v>990</v>
      </c>
      <c r="C1700" s="72" t="s">
        <v>400</v>
      </c>
      <c r="D1700" s="72" t="s">
        <v>814</v>
      </c>
      <c r="E1700" s="89">
        <v>10</v>
      </c>
      <c r="F1700" s="72" t="s">
        <v>3801</v>
      </c>
      <c r="G1700" s="69" t="s">
        <v>814</v>
      </c>
      <c r="H1700" s="79" t="s">
        <v>16</v>
      </c>
      <c r="I1700" s="80" t="s">
        <v>377</v>
      </c>
      <c r="J1700" s="66" t="s">
        <v>3180</v>
      </c>
      <c r="K1700" s="71" t="s">
        <v>3801</v>
      </c>
      <c r="L1700" s="71" t="s">
        <v>1445</v>
      </c>
      <c r="M1700" s="71" t="s">
        <v>3802</v>
      </c>
      <c r="N1700" s="66" t="s">
        <v>1370</v>
      </c>
      <c r="O1700" s="74" t="str">
        <f>"Evolución Mensual del Número de Viviendas Autorizadas para Construcción en la "&amp;Agencia[[#This Row],[territorio]]&amp;", "&amp;Agencia[[#This Row],[temporalidad]]</f>
        <v>Evolución Mensual del Número de Viviendas Autorizadas para Construcción en la Región de Los Lagos, Periodo 2014-2021</v>
      </c>
      <c r="P1700" s="112" t="s">
        <v>6089</v>
      </c>
      <c r="Q1700" s="68" t="s">
        <v>784</v>
      </c>
      <c r="R1700" s="74" t="str">
        <f>Agencia[[#This Row],[territorio]]&amp;",evolución,número,cantidad,viviendas,autorizadas,vivienda,regional,"&amp;Agencia[[#This Row],[coleccion]]&amp;","&amp;Agencia[[#This Row],[sector]]&amp;","&amp;Agencia[[#This Row],[tema]]&amp;","&amp;Agencia[[#This Row],[contenido]]</f>
        <v>Región de Los Lagos,evolución,número,cantidad,viviendas,autorizadas,vivienda,regional,Agencia Información,Vivienda y Construcción,Viviendas Autorizadas,Vivienda y Construcción</v>
      </c>
      <c r="S1700" s="83" t="s">
        <v>3814</v>
      </c>
      <c r="T1700" s="110" t="s">
        <v>1866</v>
      </c>
      <c r="U1700" s="46" t="s">
        <v>4594</v>
      </c>
      <c r="V1700" s="93" t="str">
        <f>+Agencia[[#This Row],[idcoleccion]]&amp;"-"&amp;Agencia[[#This Row],[id]]</f>
        <v>990-1689</v>
      </c>
      <c r="W1700" s="96">
        <v>99200010</v>
      </c>
      <c r="X1700" s="93" t="str">
        <f>+VLOOKUP(Agencia[[#This Row],[tema]],Estructura!$A$4:$C$500,3,0)</f>
        <v>T-1071</v>
      </c>
      <c r="Y1700" s="93" t="str">
        <f>+VLOOKUP(Agencia[[#This Row],[contenido]],Estructura!$E$4:$G$500,3,0)</f>
        <v>C-1011</v>
      </c>
      <c r="Z1700" s="93" t="str">
        <f>+VLOOKUP(Agencia[[#This Row],[Filtro Integrado]],Estructura!$I$4:$K$500,3,0)</f>
        <v>FI-1006</v>
      </c>
      <c r="AA1700" s="93" t="str">
        <f>+VLOOKUP(Agencia[[#This Row],[Muestra]],Estructura!$M$4:$O$500,3,0)</f>
        <v>M-1027</v>
      </c>
    </row>
    <row r="1701" spans="1:27" ht="72" x14ac:dyDescent="0.3">
      <c r="A1701" s="21" t="s">
        <v>3591</v>
      </c>
      <c r="B1701" s="71">
        <v>990</v>
      </c>
      <c r="C1701" s="72" t="s">
        <v>400</v>
      </c>
      <c r="D1701" s="72" t="s">
        <v>814</v>
      </c>
      <c r="E1701" s="89">
        <v>11</v>
      </c>
      <c r="F1701" s="72" t="s">
        <v>3801</v>
      </c>
      <c r="G1701" s="69" t="s">
        <v>814</v>
      </c>
      <c r="H1701" s="79" t="s">
        <v>16</v>
      </c>
      <c r="I1701" s="80" t="s">
        <v>378</v>
      </c>
      <c r="J1701" s="66" t="s">
        <v>3180</v>
      </c>
      <c r="K1701" s="71" t="s">
        <v>3801</v>
      </c>
      <c r="L1701" s="71" t="s">
        <v>1445</v>
      </c>
      <c r="M1701" s="71" t="s">
        <v>3802</v>
      </c>
      <c r="N1701" s="66" t="s">
        <v>1370</v>
      </c>
      <c r="O1701" s="74" t="str">
        <f>"Evolución Mensual del Número de Viviendas Autorizadas para Construcción en la "&amp;Agencia[[#This Row],[territorio]]&amp;", "&amp;Agencia[[#This Row],[temporalidad]]</f>
        <v>Evolución Mensual del Número de Viviendas Autorizadas para Construcción en la Región de Aysén, Periodo 2014-2021</v>
      </c>
      <c r="P1701" s="112" t="s">
        <v>6090</v>
      </c>
      <c r="Q1701" s="68" t="s">
        <v>784</v>
      </c>
      <c r="R1701" s="74" t="str">
        <f>Agencia[[#This Row],[territorio]]&amp;",evolución,número,cantidad,viviendas,autorizadas,vivienda,regional,"&amp;Agencia[[#This Row],[coleccion]]&amp;","&amp;Agencia[[#This Row],[sector]]&amp;","&amp;Agencia[[#This Row],[tema]]&amp;","&amp;Agencia[[#This Row],[contenido]]</f>
        <v>Región de Aysén,evolución,número,cantidad,viviendas,autorizadas,vivienda,regional,Agencia Información,Vivienda y Construcción,Viviendas Autorizadas,Vivienda y Construcción</v>
      </c>
      <c r="S1701" s="83" t="s">
        <v>3815</v>
      </c>
      <c r="T1701" s="110" t="s">
        <v>1863</v>
      </c>
      <c r="U1701" s="46" t="s">
        <v>4595</v>
      </c>
      <c r="V1701" s="93" t="str">
        <f>+Agencia[[#This Row],[idcoleccion]]&amp;"-"&amp;Agencia[[#This Row],[id]]</f>
        <v>990-1690</v>
      </c>
      <c r="W1701" s="96">
        <v>99200011</v>
      </c>
      <c r="X1701" s="93" t="str">
        <f>+VLOOKUP(Agencia[[#This Row],[tema]],Estructura!$A$4:$C$500,3,0)</f>
        <v>T-1071</v>
      </c>
      <c r="Y1701" s="93" t="str">
        <f>+VLOOKUP(Agencia[[#This Row],[contenido]],Estructura!$E$4:$G$500,3,0)</f>
        <v>C-1011</v>
      </c>
      <c r="Z1701" s="93" t="str">
        <f>+VLOOKUP(Agencia[[#This Row],[Filtro Integrado]],Estructura!$I$4:$K$500,3,0)</f>
        <v>FI-1006</v>
      </c>
      <c r="AA1701" s="93" t="str">
        <f>+VLOOKUP(Agencia[[#This Row],[Muestra]],Estructura!$M$4:$O$500,3,0)</f>
        <v>M-1027</v>
      </c>
    </row>
    <row r="1702" spans="1:27" ht="72" x14ac:dyDescent="0.3">
      <c r="A1702" s="21" t="s">
        <v>3592</v>
      </c>
      <c r="B1702" s="71">
        <v>990</v>
      </c>
      <c r="C1702" s="72" t="s">
        <v>400</v>
      </c>
      <c r="D1702" s="72" t="s">
        <v>814</v>
      </c>
      <c r="E1702" s="89">
        <v>12</v>
      </c>
      <c r="F1702" s="72" t="s">
        <v>3801</v>
      </c>
      <c r="G1702" s="69" t="s">
        <v>814</v>
      </c>
      <c r="H1702" s="79" t="s">
        <v>16</v>
      </c>
      <c r="I1702" s="80" t="s">
        <v>379</v>
      </c>
      <c r="J1702" s="66" t="s">
        <v>3180</v>
      </c>
      <c r="K1702" s="71" t="s">
        <v>3801</v>
      </c>
      <c r="L1702" s="71" t="s">
        <v>1445</v>
      </c>
      <c r="M1702" s="71" t="s">
        <v>3802</v>
      </c>
      <c r="N1702" s="66" t="s">
        <v>1370</v>
      </c>
      <c r="O1702" s="74" t="str">
        <f>"Evolución Mensual del Número de Viviendas Autorizadas para Construcción en la "&amp;Agencia[[#This Row],[territorio]]&amp;", "&amp;Agencia[[#This Row],[temporalidad]]</f>
        <v>Evolución Mensual del Número de Viviendas Autorizadas para Construcción en la Región de Magallanes, Periodo 2014-2021</v>
      </c>
      <c r="P1702" s="112" t="s">
        <v>6091</v>
      </c>
      <c r="Q1702" s="68" t="s">
        <v>784</v>
      </c>
      <c r="R1702" s="74" t="str">
        <f>Agencia[[#This Row],[territorio]]&amp;",evolución,número,cantidad,viviendas,autorizadas,vivienda,regional,"&amp;Agencia[[#This Row],[coleccion]]&amp;","&amp;Agencia[[#This Row],[sector]]&amp;","&amp;Agencia[[#This Row],[tema]]&amp;","&amp;Agencia[[#This Row],[contenido]]</f>
        <v>Región de Magallanes,evolución,número,cantidad,viviendas,autorizadas,vivienda,regional,Agencia Información,Vivienda y Construcción,Viviendas Autorizadas,Vivienda y Construcción</v>
      </c>
      <c r="S1702" s="83" t="s">
        <v>3816</v>
      </c>
      <c r="T1702" s="110" t="s">
        <v>1868</v>
      </c>
      <c r="U1702" s="46" t="s">
        <v>4596</v>
      </c>
      <c r="V1702" s="93" t="str">
        <f>+Agencia[[#This Row],[idcoleccion]]&amp;"-"&amp;Agencia[[#This Row],[id]]</f>
        <v>990-1691</v>
      </c>
      <c r="W1702" s="96">
        <v>99200012</v>
      </c>
      <c r="X1702" s="93" t="str">
        <f>+VLOOKUP(Agencia[[#This Row],[tema]],Estructura!$A$4:$C$500,3,0)</f>
        <v>T-1071</v>
      </c>
      <c r="Y1702" s="93" t="str">
        <f>+VLOOKUP(Agencia[[#This Row],[contenido]],Estructura!$E$4:$G$500,3,0)</f>
        <v>C-1011</v>
      </c>
      <c r="Z1702" s="93" t="str">
        <f>+VLOOKUP(Agencia[[#This Row],[Filtro Integrado]],Estructura!$I$4:$K$500,3,0)</f>
        <v>FI-1006</v>
      </c>
      <c r="AA1702" s="93" t="str">
        <f>+VLOOKUP(Agencia[[#This Row],[Muestra]],Estructura!$M$4:$O$500,3,0)</f>
        <v>M-1027</v>
      </c>
    </row>
    <row r="1703" spans="1:27" ht="72" x14ac:dyDescent="0.3">
      <c r="A1703" s="21" t="s">
        <v>3593</v>
      </c>
      <c r="B1703" s="71">
        <v>990</v>
      </c>
      <c r="C1703" s="72" t="s">
        <v>400</v>
      </c>
      <c r="D1703" s="72" t="s">
        <v>814</v>
      </c>
      <c r="E1703" s="89">
        <v>13</v>
      </c>
      <c r="F1703" s="72" t="s">
        <v>3801</v>
      </c>
      <c r="G1703" s="69" t="s">
        <v>814</v>
      </c>
      <c r="H1703" s="79" t="s">
        <v>16</v>
      </c>
      <c r="I1703" s="80" t="s">
        <v>380</v>
      </c>
      <c r="J1703" s="66" t="s">
        <v>3180</v>
      </c>
      <c r="K1703" s="71" t="s">
        <v>3801</v>
      </c>
      <c r="L1703" s="71" t="s">
        <v>1445</v>
      </c>
      <c r="M1703" s="71" t="s">
        <v>3802</v>
      </c>
      <c r="N1703" s="66" t="s">
        <v>1370</v>
      </c>
      <c r="O1703" s="74" t="str">
        <f>"Evolución Mensual del Número de Viviendas Autorizadas para Construcción en la "&amp;Agencia[[#This Row],[territorio]]&amp;", "&amp;Agencia[[#This Row],[temporalidad]]</f>
        <v>Evolución Mensual del Número de Viviendas Autorizadas para Construcción en la Región Metropolitana, Periodo 2014-2021</v>
      </c>
      <c r="P1703" s="112" t="s">
        <v>6092</v>
      </c>
      <c r="Q1703" s="68" t="s">
        <v>784</v>
      </c>
      <c r="R1703" s="74" t="str">
        <f>Agencia[[#This Row],[territorio]]&amp;",evolución,número,cantidad,viviendas,autorizadas,vivienda,regional,"&amp;Agencia[[#This Row],[coleccion]]&amp;","&amp;Agencia[[#This Row],[sector]]&amp;","&amp;Agencia[[#This Row],[tema]]&amp;","&amp;Agencia[[#This Row],[contenido]]</f>
        <v>Región Metropolitana,evolución,número,cantidad,viviendas,autorizadas,vivienda,regional,Agencia Información,Vivienda y Construcción,Viviendas Autorizadas,Vivienda y Construcción</v>
      </c>
      <c r="S1703" s="83" t="s">
        <v>3817</v>
      </c>
      <c r="T1703" s="110" t="s">
        <v>1875</v>
      </c>
      <c r="U1703" s="46" t="s">
        <v>4597</v>
      </c>
      <c r="V1703" s="93" t="str">
        <f>+Agencia[[#This Row],[idcoleccion]]&amp;"-"&amp;Agencia[[#This Row],[id]]</f>
        <v>990-1692</v>
      </c>
      <c r="W1703" s="96">
        <v>99200013</v>
      </c>
      <c r="X1703" s="93" t="str">
        <f>+VLOOKUP(Agencia[[#This Row],[tema]],Estructura!$A$4:$C$500,3,0)</f>
        <v>T-1071</v>
      </c>
      <c r="Y1703" s="93" t="str">
        <f>+VLOOKUP(Agencia[[#This Row],[contenido]],Estructura!$E$4:$G$500,3,0)</f>
        <v>C-1011</v>
      </c>
      <c r="Z1703" s="93" t="str">
        <f>+VLOOKUP(Agencia[[#This Row],[Filtro Integrado]],Estructura!$I$4:$K$500,3,0)</f>
        <v>FI-1006</v>
      </c>
      <c r="AA1703" s="93" t="str">
        <f>+VLOOKUP(Agencia[[#This Row],[Muestra]],Estructura!$M$4:$O$500,3,0)</f>
        <v>M-1027</v>
      </c>
    </row>
    <row r="1704" spans="1:27" ht="72" x14ac:dyDescent="0.3">
      <c r="A1704" s="21" t="s">
        <v>3594</v>
      </c>
      <c r="B1704" s="71">
        <v>990</v>
      </c>
      <c r="C1704" s="72" t="s">
        <v>400</v>
      </c>
      <c r="D1704" s="72" t="s">
        <v>814</v>
      </c>
      <c r="E1704" s="89">
        <v>14</v>
      </c>
      <c r="F1704" s="72" t="s">
        <v>3801</v>
      </c>
      <c r="G1704" s="69" t="s">
        <v>814</v>
      </c>
      <c r="H1704" s="79" t="s">
        <v>16</v>
      </c>
      <c r="I1704" s="80" t="s">
        <v>381</v>
      </c>
      <c r="J1704" s="66" t="s">
        <v>3180</v>
      </c>
      <c r="K1704" s="71" t="s">
        <v>3801</v>
      </c>
      <c r="L1704" s="71" t="s">
        <v>1445</v>
      </c>
      <c r="M1704" s="71" t="s">
        <v>3802</v>
      </c>
      <c r="N1704" s="66" t="s">
        <v>1370</v>
      </c>
      <c r="O1704" s="74" t="str">
        <f>"Evolución Mensual del Número de Viviendas Autorizadas para Construcción en la "&amp;Agencia[[#This Row],[territorio]]&amp;", "&amp;Agencia[[#This Row],[temporalidad]]</f>
        <v>Evolución Mensual del Número de Viviendas Autorizadas para Construcción en la Región de Los Ríos, Periodo 2014-2021</v>
      </c>
      <c r="P1704" s="112" t="s">
        <v>6093</v>
      </c>
      <c r="Q1704" s="68" t="s">
        <v>784</v>
      </c>
      <c r="R1704" s="74" t="str">
        <f>Agencia[[#This Row],[territorio]]&amp;",evolución,número,cantidad,viviendas,autorizadas,vivienda,regional,"&amp;Agencia[[#This Row],[coleccion]]&amp;","&amp;Agencia[[#This Row],[sector]]&amp;","&amp;Agencia[[#This Row],[tema]]&amp;","&amp;Agencia[[#This Row],[contenido]]</f>
        <v>Región de Los Ríos,evolución,número,cantidad,viviendas,autorizadas,vivienda,regional,Agencia Información,Vivienda y Construcción,Viviendas Autorizadas,Vivienda y Construcción</v>
      </c>
      <c r="S1704" s="83" t="s">
        <v>3818</v>
      </c>
      <c r="T1704" s="110" t="s">
        <v>1867</v>
      </c>
      <c r="U1704" s="46" t="s">
        <v>4598</v>
      </c>
      <c r="V1704" s="93" t="str">
        <f>+Agencia[[#This Row],[idcoleccion]]&amp;"-"&amp;Agencia[[#This Row],[id]]</f>
        <v>990-1693</v>
      </c>
      <c r="W1704" s="96">
        <v>99200014</v>
      </c>
      <c r="X1704" s="93" t="str">
        <f>+VLOOKUP(Agencia[[#This Row],[tema]],Estructura!$A$4:$C$500,3,0)</f>
        <v>T-1071</v>
      </c>
      <c r="Y1704" s="93" t="str">
        <f>+VLOOKUP(Agencia[[#This Row],[contenido]],Estructura!$E$4:$G$500,3,0)</f>
        <v>C-1011</v>
      </c>
      <c r="Z1704" s="93" t="str">
        <f>+VLOOKUP(Agencia[[#This Row],[Filtro Integrado]],Estructura!$I$4:$K$500,3,0)</f>
        <v>FI-1006</v>
      </c>
      <c r="AA1704" s="93" t="str">
        <f>+VLOOKUP(Agencia[[#This Row],[Muestra]],Estructura!$M$4:$O$500,3,0)</f>
        <v>M-1027</v>
      </c>
    </row>
    <row r="1705" spans="1:27" ht="72" x14ac:dyDescent="0.3">
      <c r="A1705" s="21" t="s">
        <v>3595</v>
      </c>
      <c r="B1705" s="71">
        <v>990</v>
      </c>
      <c r="C1705" s="72" t="s">
        <v>400</v>
      </c>
      <c r="D1705" s="72" t="s">
        <v>814</v>
      </c>
      <c r="E1705" s="89">
        <v>15</v>
      </c>
      <c r="F1705" s="72" t="s">
        <v>3801</v>
      </c>
      <c r="G1705" s="69" t="s">
        <v>814</v>
      </c>
      <c r="H1705" s="79" t="s">
        <v>16</v>
      </c>
      <c r="I1705" s="80" t="s">
        <v>382</v>
      </c>
      <c r="J1705" s="66" t="s">
        <v>3180</v>
      </c>
      <c r="K1705" s="71" t="s">
        <v>3801</v>
      </c>
      <c r="L1705" s="71" t="s">
        <v>1445</v>
      </c>
      <c r="M1705" s="71" t="s">
        <v>3802</v>
      </c>
      <c r="N1705" s="66" t="s">
        <v>1370</v>
      </c>
      <c r="O1705" s="74" t="str">
        <f>"Evolución Mensual del Número de Viviendas Autorizadas para Construcción en la "&amp;Agencia[[#This Row],[territorio]]&amp;", "&amp;Agencia[[#This Row],[temporalidad]]</f>
        <v>Evolución Mensual del Número de Viviendas Autorizadas para Construcción en la Región de Arica y Parinacota, Periodo 2014-2021</v>
      </c>
      <c r="P1705" s="112" t="s">
        <v>6094</v>
      </c>
      <c r="Q1705" s="68" t="s">
        <v>784</v>
      </c>
      <c r="R1705" s="74" t="str">
        <f>Agencia[[#This Row],[territorio]]&amp;",evolución,número,cantidad,viviendas,autorizadas,vivienda,regional,"&amp;Agencia[[#This Row],[coleccion]]&amp;","&amp;Agencia[[#This Row],[sector]]&amp;","&amp;Agencia[[#This Row],[tema]]&amp;","&amp;Agencia[[#This Row],[contenido]]</f>
        <v>Región de Arica y Parinacota,evolución,número,cantidad,viviendas,autorizadas,vivienda,regional,Agencia Información,Vivienda y Construcción,Viviendas Autorizadas,Vivienda y Construcción</v>
      </c>
      <c r="S1705" s="83" t="s">
        <v>3819</v>
      </c>
      <c r="T1705" s="110" t="s">
        <v>1861</v>
      </c>
      <c r="U1705" s="46" t="s">
        <v>4599</v>
      </c>
      <c r="V1705" s="93" t="str">
        <f>+Agencia[[#This Row],[idcoleccion]]&amp;"-"&amp;Agencia[[#This Row],[id]]</f>
        <v>990-1694</v>
      </c>
      <c r="W1705" s="96">
        <v>99200015</v>
      </c>
      <c r="X1705" s="93" t="str">
        <f>+VLOOKUP(Agencia[[#This Row],[tema]],Estructura!$A$4:$C$500,3,0)</f>
        <v>T-1071</v>
      </c>
      <c r="Y1705" s="93" t="str">
        <f>+VLOOKUP(Agencia[[#This Row],[contenido]],Estructura!$E$4:$G$500,3,0)</f>
        <v>C-1011</v>
      </c>
      <c r="Z1705" s="93" t="str">
        <f>+VLOOKUP(Agencia[[#This Row],[Filtro Integrado]],Estructura!$I$4:$K$500,3,0)</f>
        <v>FI-1006</v>
      </c>
      <c r="AA1705" s="93" t="str">
        <f>+VLOOKUP(Agencia[[#This Row],[Muestra]],Estructura!$M$4:$O$500,3,0)</f>
        <v>M-1027</v>
      </c>
    </row>
    <row r="1706" spans="1:27" ht="72" x14ac:dyDescent="0.3">
      <c r="A1706" s="21" t="s">
        <v>3596</v>
      </c>
      <c r="B1706" s="71">
        <v>990</v>
      </c>
      <c r="C1706" s="72" t="s">
        <v>400</v>
      </c>
      <c r="D1706" s="72" t="s">
        <v>814</v>
      </c>
      <c r="E1706" s="89">
        <v>16</v>
      </c>
      <c r="F1706" s="72" t="s">
        <v>3801</v>
      </c>
      <c r="G1706" s="69" t="s">
        <v>814</v>
      </c>
      <c r="H1706" s="79" t="s">
        <v>16</v>
      </c>
      <c r="I1706" s="80" t="s">
        <v>383</v>
      </c>
      <c r="J1706" s="66" t="s">
        <v>3180</v>
      </c>
      <c r="K1706" s="71" t="s">
        <v>3801</v>
      </c>
      <c r="L1706" s="71" t="s">
        <v>1445</v>
      </c>
      <c r="M1706" s="71" t="s">
        <v>3802</v>
      </c>
      <c r="N1706" s="66" t="s">
        <v>1370</v>
      </c>
      <c r="O1706" s="74" t="str">
        <f>"Evolución Mensual del Número de Viviendas Autorizadas para Construcción en la "&amp;Agencia[[#This Row],[territorio]]&amp;", "&amp;Agencia[[#This Row],[temporalidad]]</f>
        <v>Evolución Mensual del Número de Viviendas Autorizadas para Construcción en la Región de Ñuble, Periodo 2014-2021</v>
      </c>
      <c r="P1706" s="113" t="s">
        <v>6095</v>
      </c>
      <c r="Q1706" s="75" t="s">
        <v>784</v>
      </c>
      <c r="R1706" s="74" t="str">
        <f>Agencia[[#This Row],[territorio]]&amp;",evolución,número,cantidad,viviendas,autorizadas,vivienda,regional,"&amp;Agencia[[#This Row],[coleccion]]&amp;","&amp;Agencia[[#This Row],[sector]]&amp;","&amp;Agencia[[#This Row],[tema]]&amp;","&amp;Agencia[[#This Row],[contenido]]</f>
        <v>Región de Ñuble,evolución,número,cantidad,viviendas,autorizadas,vivienda,regional,Agencia Información,Vivienda y Construcción,Viviendas Autorizadas,Vivienda y Construcción</v>
      </c>
      <c r="S1706" s="83" t="s">
        <v>3820</v>
      </c>
      <c r="T1706" s="109" t="s">
        <v>1870</v>
      </c>
      <c r="U1706" s="46" t="s">
        <v>4600</v>
      </c>
      <c r="V1706" s="93" t="str">
        <f>+Agencia[[#This Row],[idcoleccion]]&amp;"-"&amp;Agencia[[#This Row],[id]]</f>
        <v>990-1695</v>
      </c>
      <c r="W1706" s="96">
        <v>99200016</v>
      </c>
      <c r="X1706" s="93" t="str">
        <f>+VLOOKUP(Agencia[[#This Row],[tema]],Estructura!$A$4:$C$500,3,0)</f>
        <v>T-1071</v>
      </c>
      <c r="Y1706" s="93" t="str">
        <f>+VLOOKUP(Agencia[[#This Row],[contenido]],Estructura!$E$4:$G$500,3,0)</f>
        <v>C-1011</v>
      </c>
      <c r="Z1706" s="93" t="str">
        <f>+VLOOKUP(Agencia[[#This Row],[Filtro Integrado]],Estructura!$I$4:$K$500,3,0)</f>
        <v>FI-1006</v>
      </c>
      <c r="AA1706" s="93" t="str">
        <f>+VLOOKUP(Agencia[[#This Row],[Muestra]],Estructura!$M$4:$O$500,3,0)</f>
        <v>M-1027</v>
      </c>
    </row>
    <row r="1707" spans="1:27" ht="71.400000000000006" x14ac:dyDescent="0.3">
      <c r="A1707" s="21" t="s">
        <v>3597</v>
      </c>
      <c r="B1707" s="71">
        <v>990</v>
      </c>
      <c r="C1707" s="72" t="s">
        <v>400</v>
      </c>
      <c r="D1707" s="72" t="s">
        <v>814</v>
      </c>
      <c r="E1707" s="90">
        <v>0</v>
      </c>
      <c r="F1707" s="73" t="s">
        <v>3821</v>
      </c>
      <c r="G1707" s="73" t="s">
        <v>814</v>
      </c>
      <c r="H1707" s="77" t="s">
        <v>20</v>
      </c>
      <c r="I1707" s="78" t="s">
        <v>15</v>
      </c>
      <c r="J1707" s="71" t="s">
        <v>3194</v>
      </c>
      <c r="K1707" s="71" t="s">
        <v>6114</v>
      </c>
      <c r="L1707" s="71" t="s">
        <v>1445</v>
      </c>
      <c r="M1707" s="71" t="s">
        <v>2291</v>
      </c>
      <c r="N1707" s="66" t="s">
        <v>1370</v>
      </c>
      <c r="O1707" s="74" t="s">
        <v>3822</v>
      </c>
      <c r="P1707" s="113" t="s">
        <v>6115</v>
      </c>
      <c r="Q1707" s="75" t="s">
        <v>784</v>
      </c>
      <c r="R1707" s="74" t="str">
        <f>Agencia[[#This Row],[territorio]]&amp;",superficie,no-habitacional,autorizada,ampliaciones,icef,industria,comercio,establecimientos,financieros,construcción,nacional,"&amp;Agencia[[#This Row],[coleccion]]&amp;","&amp;Agencia[[#This Row],[sector]]&amp;","&amp;Agencia[[#This Row],[tema]]&amp;","&amp;Agencia[[#This Row],[contenido]]</f>
        <v>Chile,superficie,no-habitacional,autorizada,ampliaciones,icef,industria,comercio,establecimientos,financieros,construcción,nacional,Agencia Información,Vivienda y Construcción,Superficie Autorizada No Habitacional (Ampliaciones ICEF),Vivienda y Construcción</v>
      </c>
      <c r="S1707" s="81" t="s">
        <v>3823</v>
      </c>
      <c r="T1707" s="109" t="s">
        <v>805</v>
      </c>
      <c r="U1707" s="46" t="s">
        <v>4601</v>
      </c>
      <c r="V1707" s="93" t="str">
        <f>+Agencia[[#This Row],[idcoleccion]]&amp;"-"&amp;Agencia[[#This Row],[id]]</f>
        <v>990-1696</v>
      </c>
      <c r="W1707" s="96">
        <v>99100000</v>
      </c>
      <c r="X1707" s="93" t="str">
        <f>+VLOOKUP(Agencia[[#This Row],[tema]],Estructura!$A$4:$C$500,3,0)</f>
        <v>T-1072</v>
      </c>
      <c r="Y1707" s="93" t="str">
        <f>+VLOOKUP(Agencia[[#This Row],[contenido]],Estructura!$E$4:$G$500,3,0)</f>
        <v>C-1011</v>
      </c>
      <c r="Z1707" s="93" t="str">
        <f>+VLOOKUP(Agencia[[#This Row],[Filtro Integrado]],Estructura!$I$4:$K$500,3,0)</f>
        <v>FI-1007</v>
      </c>
      <c r="AA1707" s="93" t="str">
        <f>+VLOOKUP(Agencia[[#This Row],[Muestra]],Estructura!$M$4:$O$500,3,0)</f>
        <v>M-1108</v>
      </c>
    </row>
    <row r="1708" spans="1:27" ht="72" x14ac:dyDescent="0.3">
      <c r="A1708" s="21" t="s">
        <v>3598</v>
      </c>
      <c r="B1708" s="71">
        <v>990</v>
      </c>
      <c r="C1708" s="72" t="s">
        <v>400</v>
      </c>
      <c r="D1708" s="72" t="s">
        <v>814</v>
      </c>
      <c r="E1708" s="89">
        <v>1</v>
      </c>
      <c r="F1708" s="73" t="s">
        <v>3821</v>
      </c>
      <c r="G1708" s="73" t="s">
        <v>814</v>
      </c>
      <c r="H1708" s="79" t="s">
        <v>16</v>
      </c>
      <c r="I1708" s="80" t="s">
        <v>368</v>
      </c>
      <c r="J1708" s="66" t="s">
        <v>3180</v>
      </c>
      <c r="K1708" s="71" t="s">
        <v>6114</v>
      </c>
      <c r="L1708" s="71" t="s">
        <v>1445</v>
      </c>
      <c r="M1708" s="71" t="str">
        <f>M1707</f>
        <v>m2</v>
      </c>
      <c r="N1708" s="66" t="s">
        <v>1370</v>
      </c>
      <c r="O170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Tarapacá, Periodo 2014-2021</v>
      </c>
      <c r="P1708" s="112" t="s">
        <v>6098</v>
      </c>
      <c r="Q1708" s="68" t="s">
        <v>784</v>
      </c>
      <c r="R1708"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Tarapacá,superficie,no-habitacional,autorizada,ampliaciones,servicios,icef,industria,comercio,establecimientos,financieros,construcción,regional,Agencia Información,Vivienda y Construcción,Superficie Autorizada No Habitacional (Ampliaciones ICEF),Vivienda y Construcción</v>
      </c>
      <c r="S1708" s="83" t="s">
        <v>3824</v>
      </c>
      <c r="T1708" s="110" t="s">
        <v>1872</v>
      </c>
      <c r="U1708" s="46" t="s">
        <v>4602</v>
      </c>
      <c r="V1708" s="93" t="str">
        <f>+Agencia[[#This Row],[idcoleccion]]&amp;"-"&amp;Agencia[[#This Row],[id]]</f>
        <v>990-1697</v>
      </c>
      <c r="W1708" s="96">
        <v>99200001</v>
      </c>
      <c r="X1708" s="93" t="str">
        <f>+VLOOKUP(Agencia[[#This Row],[tema]],Estructura!$A$4:$C$500,3,0)</f>
        <v>T-1072</v>
      </c>
      <c r="Y1708" s="93" t="str">
        <f>+VLOOKUP(Agencia[[#This Row],[contenido]],Estructura!$E$4:$G$500,3,0)</f>
        <v>C-1011</v>
      </c>
      <c r="Z1708" s="93" t="str">
        <f>+VLOOKUP(Agencia[[#This Row],[Filtro Integrado]],Estructura!$I$4:$K$500,3,0)</f>
        <v>FI-1006</v>
      </c>
      <c r="AA1708" s="93" t="str">
        <f>+VLOOKUP(Agencia[[#This Row],[Muestra]],Estructura!$M$4:$O$500,3,0)</f>
        <v>M-1108</v>
      </c>
    </row>
    <row r="1709" spans="1:27" ht="72" x14ac:dyDescent="0.3">
      <c r="A1709" s="21" t="s">
        <v>3599</v>
      </c>
      <c r="B1709" s="71">
        <v>990</v>
      </c>
      <c r="C1709" s="72" t="s">
        <v>400</v>
      </c>
      <c r="D1709" s="72" t="s">
        <v>814</v>
      </c>
      <c r="E1709" s="89">
        <v>2</v>
      </c>
      <c r="F1709" s="73" t="s">
        <v>3821</v>
      </c>
      <c r="G1709" s="73" t="s">
        <v>814</v>
      </c>
      <c r="H1709" s="79" t="s">
        <v>16</v>
      </c>
      <c r="I1709" s="80" t="s">
        <v>369</v>
      </c>
      <c r="J1709" s="66" t="s">
        <v>3180</v>
      </c>
      <c r="K1709" s="71" t="s">
        <v>6114</v>
      </c>
      <c r="L1709" s="71" t="s">
        <v>1445</v>
      </c>
      <c r="M1709" s="71" t="str">
        <f t="shared" ref="M1709:M1723" si="434">M1708</f>
        <v>m2</v>
      </c>
      <c r="N1709" s="66" t="s">
        <v>1370</v>
      </c>
      <c r="O170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Antofagasta, Periodo 2014-2021</v>
      </c>
      <c r="P1709" s="112" t="s">
        <v>6101</v>
      </c>
      <c r="Q1709" s="68" t="s">
        <v>784</v>
      </c>
      <c r="R1709"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Antofagasta,superficie,no-habitacional,autorizada,ampliaciones,servicios,icef,industria,comercio,establecimientos,financieros,construcción,regional,Agencia Información,Vivienda y Construcción,Superficie Autorizada No Habitacional (Ampliaciones ICEF),Vivienda y Construcción</v>
      </c>
      <c r="S1709" s="83" t="s">
        <v>3825</v>
      </c>
      <c r="T1709" s="110" t="s">
        <v>1860</v>
      </c>
      <c r="U1709" s="46" t="s">
        <v>4603</v>
      </c>
      <c r="V1709" s="93" t="str">
        <f>+Agencia[[#This Row],[idcoleccion]]&amp;"-"&amp;Agencia[[#This Row],[id]]</f>
        <v>990-1698</v>
      </c>
      <c r="W1709" s="96">
        <v>99200002</v>
      </c>
      <c r="X1709" s="93" t="str">
        <f>+VLOOKUP(Agencia[[#This Row],[tema]],Estructura!$A$4:$C$500,3,0)</f>
        <v>T-1072</v>
      </c>
      <c r="Y1709" s="93" t="str">
        <f>+VLOOKUP(Agencia[[#This Row],[contenido]],Estructura!$E$4:$G$500,3,0)</f>
        <v>C-1011</v>
      </c>
      <c r="Z1709" s="93" t="str">
        <f>+VLOOKUP(Agencia[[#This Row],[Filtro Integrado]],Estructura!$I$4:$K$500,3,0)</f>
        <v>FI-1006</v>
      </c>
      <c r="AA1709" s="93" t="str">
        <f>+VLOOKUP(Agencia[[#This Row],[Muestra]],Estructura!$M$4:$O$500,3,0)</f>
        <v>M-1108</v>
      </c>
    </row>
    <row r="1710" spans="1:27" ht="72" x14ac:dyDescent="0.3">
      <c r="A1710" s="21" t="s">
        <v>3600</v>
      </c>
      <c r="B1710" s="71">
        <v>990</v>
      </c>
      <c r="C1710" s="72" t="s">
        <v>400</v>
      </c>
      <c r="D1710" s="72" t="s">
        <v>814</v>
      </c>
      <c r="E1710" s="89">
        <v>3</v>
      </c>
      <c r="F1710" s="73" t="s">
        <v>3821</v>
      </c>
      <c r="G1710" s="73" t="s">
        <v>814</v>
      </c>
      <c r="H1710" s="79" t="s">
        <v>16</v>
      </c>
      <c r="I1710" s="80" t="s">
        <v>370</v>
      </c>
      <c r="J1710" s="66" t="s">
        <v>3180</v>
      </c>
      <c r="K1710" s="71" t="s">
        <v>6114</v>
      </c>
      <c r="L1710" s="71" t="s">
        <v>1445</v>
      </c>
      <c r="M1710" s="71" t="str">
        <f t="shared" si="434"/>
        <v>m2</v>
      </c>
      <c r="N1710" s="66" t="s">
        <v>1370</v>
      </c>
      <c r="O171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Atacama, Periodo 2014-2021</v>
      </c>
      <c r="P1710" s="112" t="s">
        <v>6102</v>
      </c>
      <c r="Q1710" s="68" t="s">
        <v>784</v>
      </c>
      <c r="R1710"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Atacama,superficie,no-habitacional,autorizada,ampliaciones,servicios,icef,industria,comercio,establecimientos,financieros,construcción,regional,Agencia Información,Vivienda y Construcción,Superficie Autorizada No Habitacional (Ampliaciones ICEF),Vivienda y Construcción</v>
      </c>
      <c r="S1710" s="83" t="s">
        <v>3826</v>
      </c>
      <c r="T1710" s="110" t="s">
        <v>1862</v>
      </c>
      <c r="U1710" s="46" t="s">
        <v>4604</v>
      </c>
      <c r="V1710" s="93" t="str">
        <f>+Agencia[[#This Row],[idcoleccion]]&amp;"-"&amp;Agencia[[#This Row],[id]]</f>
        <v>990-1699</v>
      </c>
      <c r="W1710" s="96">
        <v>99200003</v>
      </c>
      <c r="X1710" s="93" t="str">
        <f>+VLOOKUP(Agencia[[#This Row],[tema]],Estructura!$A$4:$C$500,3,0)</f>
        <v>T-1072</v>
      </c>
      <c r="Y1710" s="93" t="str">
        <f>+VLOOKUP(Agencia[[#This Row],[contenido]],Estructura!$E$4:$G$500,3,0)</f>
        <v>C-1011</v>
      </c>
      <c r="Z1710" s="93" t="str">
        <f>+VLOOKUP(Agencia[[#This Row],[Filtro Integrado]],Estructura!$I$4:$K$500,3,0)</f>
        <v>FI-1006</v>
      </c>
      <c r="AA1710" s="93" t="str">
        <f>+VLOOKUP(Agencia[[#This Row],[Muestra]],Estructura!$M$4:$O$500,3,0)</f>
        <v>M-1108</v>
      </c>
    </row>
    <row r="1711" spans="1:27" ht="72" x14ac:dyDescent="0.3">
      <c r="A1711" s="21" t="s">
        <v>3601</v>
      </c>
      <c r="B1711" s="71">
        <v>990</v>
      </c>
      <c r="C1711" s="72" t="s">
        <v>400</v>
      </c>
      <c r="D1711" s="72" t="s">
        <v>814</v>
      </c>
      <c r="E1711" s="89">
        <v>4</v>
      </c>
      <c r="F1711" s="73" t="s">
        <v>3821</v>
      </c>
      <c r="G1711" s="73" t="s">
        <v>814</v>
      </c>
      <c r="H1711" s="79" t="s">
        <v>16</v>
      </c>
      <c r="I1711" s="80" t="s">
        <v>371</v>
      </c>
      <c r="J1711" s="66" t="s">
        <v>3180</v>
      </c>
      <c r="K1711" s="71" t="s">
        <v>6114</v>
      </c>
      <c r="L1711" s="71" t="s">
        <v>1445</v>
      </c>
      <c r="M1711" s="71" t="str">
        <f t="shared" si="434"/>
        <v>m2</v>
      </c>
      <c r="N1711" s="66" t="s">
        <v>1370</v>
      </c>
      <c r="O171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Coquimbo, Periodo 2014-2021</v>
      </c>
      <c r="P1711" s="112" t="s">
        <v>6103</v>
      </c>
      <c r="Q1711" s="68" t="s">
        <v>784</v>
      </c>
      <c r="R1711"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Coquimbo,superficie,no-habitacional,autorizada,ampliaciones,servicios,icef,industria,comercio,establecimientos,financieros,construcción,regional,Agencia Información,Vivienda y Construcción,Superficie Autorizada No Habitacional (Ampliaciones ICEF),Vivienda y Construcción</v>
      </c>
      <c r="S1711" s="83" t="s">
        <v>3827</v>
      </c>
      <c r="T1711" s="110" t="s">
        <v>1864</v>
      </c>
      <c r="U1711" s="46" t="s">
        <v>4605</v>
      </c>
      <c r="V1711" s="93" t="str">
        <f>+Agencia[[#This Row],[idcoleccion]]&amp;"-"&amp;Agencia[[#This Row],[id]]</f>
        <v>990-1700</v>
      </c>
      <c r="W1711" s="96">
        <v>99200004</v>
      </c>
      <c r="X1711" s="93" t="str">
        <f>+VLOOKUP(Agencia[[#This Row],[tema]],Estructura!$A$4:$C$500,3,0)</f>
        <v>T-1072</v>
      </c>
      <c r="Y1711" s="93" t="str">
        <f>+VLOOKUP(Agencia[[#This Row],[contenido]],Estructura!$E$4:$G$500,3,0)</f>
        <v>C-1011</v>
      </c>
      <c r="Z1711" s="93" t="str">
        <f>+VLOOKUP(Agencia[[#This Row],[Filtro Integrado]],Estructura!$I$4:$K$500,3,0)</f>
        <v>FI-1006</v>
      </c>
      <c r="AA1711" s="93" t="str">
        <f>+VLOOKUP(Agencia[[#This Row],[Muestra]],Estructura!$M$4:$O$500,3,0)</f>
        <v>M-1108</v>
      </c>
    </row>
    <row r="1712" spans="1:27" ht="72" x14ac:dyDescent="0.3">
      <c r="A1712" s="21" t="s">
        <v>3602</v>
      </c>
      <c r="B1712" s="71">
        <v>990</v>
      </c>
      <c r="C1712" s="72" t="s">
        <v>400</v>
      </c>
      <c r="D1712" s="72" t="s">
        <v>814</v>
      </c>
      <c r="E1712" s="89">
        <v>5</v>
      </c>
      <c r="F1712" s="73" t="s">
        <v>3821</v>
      </c>
      <c r="G1712" s="73" t="s">
        <v>814</v>
      </c>
      <c r="H1712" s="79" t="s">
        <v>16</v>
      </c>
      <c r="I1712" s="80" t="s">
        <v>372</v>
      </c>
      <c r="J1712" s="66" t="s">
        <v>3180</v>
      </c>
      <c r="K1712" s="71" t="s">
        <v>6114</v>
      </c>
      <c r="L1712" s="71" t="s">
        <v>1445</v>
      </c>
      <c r="M1712" s="71" t="str">
        <f t="shared" si="434"/>
        <v>m2</v>
      </c>
      <c r="N1712" s="66" t="s">
        <v>1370</v>
      </c>
      <c r="O171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Valparaíso, Periodo 2014-2021</v>
      </c>
      <c r="P1712" s="112" t="s">
        <v>6104</v>
      </c>
      <c r="Q1712" s="68" t="s">
        <v>784</v>
      </c>
      <c r="R1712"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Valparaíso,superficie,no-habitacional,autorizada,ampliaciones,servicios,icef,industria,comercio,establecimientos,financieros,construcción,regional,Agencia Información,Vivienda y Construcción,Superficie Autorizada No Habitacional (Ampliaciones ICEF),Vivienda y Construcción</v>
      </c>
      <c r="S1712" s="83" t="s">
        <v>3828</v>
      </c>
      <c r="T1712" s="110" t="s">
        <v>1873</v>
      </c>
      <c r="U1712" s="46" t="s">
        <v>4606</v>
      </c>
      <c r="V1712" s="93" t="str">
        <f>+Agencia[[#This Row],[idcoleccion]]&amp;"-"&amp;Agencia[[#This Row],[id]]</f>
        <v>990-1701</v>
      </c>
      <c r="W1712" s="96">
        <v>99200005</v>
      </c>
      <c r="X1712" s="93" t="str">
        <f>+VLOOKUP(Agencia[[#This Row],[tema]],Estructura!$A$4:$C$500,3,0)</f>
        <v>T-1072</v>
      </c>
      <c r="Y1712" s="93" t="str">
        <f>+VLOOKUP(Agencia[[#This Row],[contenido]],Estructura!$E$4:$G$500,3,0)</f>
        <v>C-1011</v>
      </c>
      <c r="Z1712" s="93" t="str">
        <f>+VLOOKUP(Agencia[[#This Row],[Filtro Integrado]],Estructura!$I$4:$K$500,3,0)</f>
        <v>FI-1006</v>
      </c>
      <c r="AA1712" s="93" t="str">
        <f>+VLOOKUP(Agencia[[#This Row],[Muestra]],Estructura!$M$4:$O$500,3,0)</f>
        <v>M-1108</v>
      </c>
    </row>
    <row r="1713" spans="1:27" ht="72" x14ac:dyDescent="0.3">
      <c r="A1713" s="21" t="s">
        <v>3603</v>
      </c>
      <c r="B1713" s="71">
        <v>990</v>
      </c>
      <c r="C1713" s="72" t="s">
        <v>400</v>
      </c>
      <c r="D1713" s="72" t="s">
        <v>814</v>
      </c>
      <c r="E1713" s="89">
        <v>6</v>
      </c>
      <c r="F1713" s="73" t="s">
        <v>3821</v>
      </c>
      <c r="G1713" s="73" t="s">
        <v>814</v>
      </c>
      <c r="H1713" s="79" t="s">
        <v>16</v>
      </c>
      <c r="I1713" s="80" t="s">
        <v>373</v>
      </c>
      <c r="J1713" s="66" t="s">
        <v>3180</v>
      </c>
      <c r="K1713" s="71" t="s">
        <v>6114</v>
      </c>
      <c r="L1713" s="71" t="s">
        <v>1445</v>
      </c>
      <c r="M1713" s="71" t="str">
        <f t="shared" si="434"/>
        <v>m2</v>
      </c>
      <c r="N1713" s="66" t="s">
        <v>1370</v>
      </c>
      <c r="O171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O'Higgins, Periodo 2014-2021</v>
      </c>
      <c r="P1713" s="112" t="s">
        <v>6105</v>
      </c>
      <c r="Q1713" s="68" t="s">
        <v>784</v>
      </c>
      <c r="R1713"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O'Higgins,superficie,no-habitacional,autorizada,ampliaciones,servicios,icef,industria,comercio,establecimientos,financieros,construcción,regional,Agencia Información,Vivienda y Construcción,Superficie Autorizada No Habitacional (Ampliaciones ICEF),Vivienda y Construcción</v>
      </c>
      <c r="S1713" s="83" t="s">
        <v>3829</v>
      </c>
      <c r="T1713" s="110" t="s">
        <v>1871</v>
      </c>
      <c r="U1713" s="46" t="s">
        <v>4607</v>
      </c>
      <c r="V1713" s="93" t="str">
        <f>+Agencia[[#This Row],[idcoleccion]]&amp;"-"&amp;Agencia[[#This Row],[id]]</f>
        <v>990-1702</v>
      </c>
      <c r="W1713" s="96">
        <v>99200006</v>
      </c>
      <c r="X1713" s="93" t="str">
        <f>+VLOOKUP(Agencia[[#This Row],[tema]],Estructura!$A$4:$C$500,3,0)</f>
        <v>T-1072</v>
      </c>
      <c r="Y1713" s="93" t="str">
        <f>+VLOOKUP(Agencia[[#This Row],[contenido]],Estructura!$E$4:$G$500,3,0)</f>
        <v>C-1011</v>
      </c>
      <c r="Z1713" s="93" t="str">
        <f>+VLOOKUP(Agencia[[#This Row],[Filtro Integrado]],Estructura!$I$4:$K$500,3,0)</f>
        <v>FI-1006</v>
      </c>
      <c r="AA1713" s="93" t="str">
        <f>+VLOOKUP(Agencia[[#This Row],[Muestra]],Estructura!$M$4:$O$500,3,0)</f>
        <v>M-1108</v>
      </c>
    </row>
    <row r="1714" spans="1:27" ht="72" x14ac:dyDescent="0.3">
      <c r="A1714" s="21" t="s">
        <v>4843</v>
      </c>
      <c r="B1714" s="71">
        <v>990</v>
      </c>
      <c r="C1714" s="72" t="s">
        <v>400</v>
      </c>
      <c r="D1714" s="72" t="s">
        <v>814</v>
      </c>
      <c r="E1714" s="89">
        <v>7</v>
      </c>
      <c r="F1714" s="73" t="s">
        <v>3821</v>
      </c>
      <c r="G1714" s="73" t="s">
        <v>814</v>
      </c>
      <c r="H1714" s="79" t="s">
        <v>16</v>
      </c>
      <c r="I1714" s="80" t="s">
        <v>374</v>
      </c>
      <c r="J1714" s="66" t="s">
        <v>3180</v>
      </c>
      <c r="K1714" s="71" t="s">
        <v>6114</v>
      </c>
      <c r="L1714" s="71" t="s">
        <v>1445</v>
      </c>
      <c r="M1714" s="71" t="str">
        <f t="shared" si="434"/>
        <v>m2</v>
      </c>
      <c r="N1714" s="66" t="s">
        <v>1370</v>
      </c>
      <c r="O1714"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Maule, Periodo 2014-2021</v>
      </c>
      <c r="P1714" s="112" t="s">
        <v>6099</v>
      </c>
      <c r="Q1714" s="68" t="s">
        <v>784</v>
      </c>
      <c r="R1714"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Maule,superficie,no-habitacional,autorizada,ampliaciones,servicios,icef,industria,comercio,establecimientos,financieros,construcción,regional,Agencia Información,Vivienda y Construcción,Superficie Autorizada No Habitacional (Ampliaciones ICEF),Vivienda y Construcción</v>
      </c>
      <c r="S1714" s="83" t="s">
        <v>3830</v>
      </c>
      <c r="T1714" s="110" t="s">
        <v>1869</v>
      </c>
      <c r="U1714" s="46" t="s">
        <v>4608</v>
      </c>
      <c r="V1714" s="93" t="str">
        <f>+Agencia[[#This Row],[idcoleccion]]&amp;"-"&amp;Agencia[[#This Row],[id]]</f>
        <v>990-1703</v>
      </c>
      <c r="W1714" s="96">
        <v>99200007</v>
      </c>
      <c r="X1714" s="93" t="str">
        <f>+VLOOKUP(Agencia[[#This Row],[tema]],Estructura!$A$4:$C$500,3,0)</f>
        <v>T-1072</v>
      </c>
      <c r="Y1714" s="93" t="str">
        <f>+VLOOKUP(Agencia[[#This Row],[contenido]],Estructura!$E$4:$G$500,3,0)</f>
        <v>C-1011</v>
      </c>
      <c r="Z1714" s="93" t="str">
        <f>+VLOOKUP(Agencia[[#This Row],[Filtro Integrado]],Estructura!$I$4:$K$500,3,0)</f>
        <v>FI-1006</v>
      </c>
      <c r="AA1714" s="93" t="str">
        <f>+VLOOKUP(Agencia[[#This Row],[Muestra]],Estructura!$M$4:$O$500,3,0)</f>
        <v>M-1108</v>
      </c>
    </row>
    <row r="1715" spans="1:27" ht="72" x14ac:dyDescent="0.3">
      <c r="A1715" s="21" t="s">
        <v>4844</v>
      </c>
      <c r="B1715" s="71">
        <v>990</v>
      </c>
      <c r="C1715" s="72" t="s">
        <v>400</v>
      </c>
      <c r="D1715" s="72" t="s">
        <v>814</v>
      </c>
      <c r="E1715" s="89">
        <v>8</v>
      </c>
      <c r="F1715" s="73" t="s">
        <v>3821</v>
      </c>
      <c r="G1715" s="73" t="s">
        <v>814</v>
      </c>
      <c r="H1715" s="79" t="s">
        <v>16</v>
      </c>
      <c r="I1715" s="80" t="s">
        <v>375</v>
      </c>
      <c r="J1715" s="66" t="s">
        <v>3180</v>
      </c>
      <c r="K1715" s="71" t="s">
        <v>6114</v>
      </c>
      <c r="L1715" s="71" t="s">
        <v>1445</v>
      </c>
      <c r="M1715" s="71" t="str">
        <f t="shared" si="434"/>
        <v>m2</v>
      </c>
      <c r="N1715" s="66" t="s">
        <v>1370</v>
      </c>
      <c r="O1715"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del Biobío, Periodo 2014-2021</v>
      </c>
      <c r="P1715" s="112" t="s">
        <v>6106</v>
      </c>
      <c r="Q1715" s="68" t="s">
        <v>784</v>
      </c>
      <c r="R1715"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del Biobío,superficie,no-habitacional,autorizada,ampliaciones,servicios,icef,industria,comercio,establecimientos,financieros,construcción,regional,Agencia Información,Vivienda y Construcción,Superficie Autorizada No Habitacional (Ampliaciones ICEF),Vivienda y Construcción</v>
      </c>
      <c r="S1715" s="83" t="s">
        <v>3831</v>
      </c>
      <c r="T1715" s="110" t="s">
        <v>1874</v>
      </c>
      <c r="U1715" s="46" t="s">
        <v>4609</v>
      </c>
      <c r="V1715" s="93" t="str">
        <f>+Agencia[[#This Row],[idcoleccion]]&amp;"-"&amp;Agencia[[#This Row],[id]]</f>
        <v>990-1704</v>
      </c>
      <c r="W1715" s="96">
        <v>99200008</v>
      </c>
      <c r="X1715" s="93" t="str">
        <f>+VLOOKUP(Agencia[[#This Row],[tema]],Estructura!$A$4:$C$500,3,0)</f>
        <v>T-1072</v>
      </c>
      <c r="Y1715" s="93" t="str">
        <f>+VLOOKUP(Agencia[[#This Row],[contenido]],Estructura!$E$4:$G$500,3,0)</f>
        <v>C-1011</v>
      </c>
      <c r="Z1715" s="93" t="str">
        <f>+VLOOKUP(Agencia[[#This Row],[Filtro Integrado]],Estructura!$I$4:$K$500,3,0)</f>
        <v>FI-1006</v>
      </c>
      <c r="AA1715" s="93" t="str">
        <f>+VLOOKUP(Agencia[[#This Row],[Muestra]],Estructura!$M$4:$O$500,3,0)</f>
        <v>M-1108</v>
      </c>
    </row>
    <row r="1716" spans="1:27" ht="72" x14ac:dyDescent="0.3">
      <c r="A1716" s="21" t="s">
        <v>4845</v>
      </c>
      <c r="B1716" s="71">
        <v>990</v>
      </c>
      <c r="C1716" s="72" t="s">
        <v>400</v>
      </c>
      <c r="D1716" s="72" t="s">
        <v>814</v>
      </c>
      <c r="E1716" s="89">
        <v>9</v>
      </c>
      <c r="F1716" s="73" t="s">
        <v>3821</v>
      </c>
      <c r="G1716" s="73" t="s">
        <v>814</v>
      </c>
      <c r="H1716" s="79" t="s">
        <v>16</v>
      </c>
      <c r="I1716" s="80" t="s">
        <v>376</v>
      </c>
      <c r="J1716" s="66" t="s">
        <v>3180</v>
      </c>
      <c r="K1716" s="71" t="s">
        <v>6114</v>
      </c>
      <c r="L1716" s="71" t="s">
        <v>1445</v>
      </c>
      <c r="M1716" s="71" t="str">
        <f t="shared" si="434"/>
        <v>m2</v>
      </c>
      <c r="N1716" s="66" t="s">
        <v>1370</v>
      </c>
      <c r="O1716"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La Araucanía, Periodo 2014-2021</v>
      </c>
      <c r="P1716" s="112" t="s">
        <v>6107</v>
      </c>
      <c r="Q1716" s="68" t="s">
        <v>784</v>
      </c>
      <c r="R1716"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La Araucanía,superficie,no-habitacional,autorizada,ampliaciones,servicios,icef,industria,comercio,establecimientos,financieros,construcción,regional,Agencia Información,Vivienda y Construcción,Superficie Autorizada No Habitacional (Ampliaciones ICEF),Vivienda y Construcción</v>
      </c>
      <c r="S1716" s="83" t="s">
        <v>3832</v>
      </c>
      <c r="T1716" s="110" t="s">
        <v>1865</v>
      </c>
      <c r="U1716" s="46" t="s">
        <v>4610</v>
      </c>
      <c r="V1716" s="93" t="str">
        <f>+Agencia[[#This Row],[idcoleccion]]&amp;"-"&amp;Agencia[[#This Row],[id]]</f>
        <v>990-1705</v>
      </c>
      <c r="W1716" s="96">
        <v>99200009</v>
      </c>
      <c r="X1716" s="93" t="str">
        <f>+VLOOKUP(Agencia[[#This Row],[tema]],Estructura!$A$4:$C$500,3,0)</f>
        <v>T-1072</v>
      </c>
      <c r="Y1716" s="93" t="str">
        <f>+VLOOKUP(Agencia[[#This Row],[contenido]],Estructura!$E$4:$G$500,3,0)</f>
        <v>C-1011</v>
      </c>
      <c r="Z1716" s="93" t="str">
        <f>+VLOOKUP(Agencia[[#This Row],[Filtro Integrado]],Estructura!$I$4:$K$500,3,0)</f>
        <v>FI-1006</v>
      </c>
      <c r="AA1716" s="93" t="str">
        <f>+VLOOKUP(Agencia[[#This Row],[Muestra]],Estructura!$M$4:$O$500,3,0)</f>
        <v>M-1108</v>
      </c>
    </row>
    <row r="1717" spans="1:27" ht="72" x14ac:dyDescent="0.3">
      <c r="A1717" s="21" t="s">
        <v>4846</v>
      </c>
      <c r="B1717" s="71">
        <v>990</v>
      </c>
      <c r="C1717" s="72" t="s">
        <v>400</v>
      </c>
      <c r="D1717" s="72" t="s">
        <v>814</v>
      </c>
      <c r="E1717" s="89">
        <v>10</v>
      </c>
      <c r="F1717" s="73" t="s">
        <v>3821</v>
      </c>
      <c r="G1717" s="73" t="s">
        <v>814</v>
      </c>
      <c r="H1717" s="79" t="s">
        <v>16</v>
      </c>
      <c r="I1717" s="80" t="s">
        <v>377</v>
      </c>
      <c r="J1717" s="66" t="s">
        <v>3180</v>
      </c>
      <c r="K1717" s="71" t="s">
        <v>6114</v>
      </c>
      <c r="L1717" s="71" t="s">
        <v>1445</v>
      </c>
      <c r="M1717" s="71" t="str">
        <f t="shared" si="434"/>
        <v>m2</v>
      </c>
      <c r="N1717" s="66" t="s">
        <v>1370</v>
      </c>
      <c r="O1717"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Lagos, Periodo 2014-2021</v>
      </c>
      <c r="P1717" s="112" t="s">
        <v>6108</v>
      </c>
      <c r="Q1717" s="68" t="s">
        <v>784</v>
      </c>
      <c r="R1717"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Los Lagos,superficie,no-habitacional,autorizada,ampliaciones,servicios,icef,industria,comercio,establecimientos,financieros,construcción,regional,Agencia Información,Vivienda y Construcción,Superficie Autorizada No Habitacional (Ampliaciones ICEF),Vivienda y Construcción</v>
      </c>
      <c r="S1717" s="83" t="s">
        <v>3833</v>
      </c>
      <c r="T1717" s="110" t="s">
        <v>1866</v>
      </c>
      <c r="U1717" s="46" t="s">
        <v>4611</v>
      </c>
      <c r="V1717" s="93" t="str">
        <f>+Agencia[[#This Row],[idcoleccion]]&amp;"-"&amp;Agencia[[#This Row],[id]]</f>
        <v>990-1706</v>
      </c>
      <c r="W1717" s="96">
        <v>99200010</v>
      </c>
      <c r="X1717" s="93" t="str">
        <f>+VLOOKUP(Agencia[[#This Row],[tema]],Estructura!$A$4:$C$500,3,0)</f>
        <v>T-1072</v>
      </c>
      <c r="Y1717" s="93" t="str">
        <f>+VLOOKUP(Agencia[[#This Row],[contenido]],Estructura!$E$4:$G$500,3,0)</f>
        <v>C-1011</v>
      </c>
      <c r="Z1717" s="93" t="str">
        <f>+VLOOKUP(Agencia[[#This Row],[Filtro Integrado]],Estructura!$I$4:$K$500,3,0)</f>
        <v>FI-1006</v>
      </c>
      <c r="AA1717" s="93" t="str">
        <f>+VLOOKUP(Agencia[[#This Row],[Muestra]],Estructura!$M$4:$O$500,3,0)</f>
        <v>M-1108</v>
      </c>
    </row>
    <row r="1718" spans="1:27" ht="72" x14ac:dyDescent="0.3">
      <c r="A1718" s="21" t="s">
        <v>4847</v>
      </c>
      <c r="B1718" s="71">
        <v>990</v>
      </c>
      <c r="C1718" s="72" t="s">
        <v>400</v>
      </c>
      <c r="D1718" s="72" t="s">
        <v>814</v>
      </c>
      <c r="E1718" s="89">
        <v>11</v>
      </c>
      <c r="F1718" s="73" t="s">
        <v>3821</v>
      </c>
      <c r="G1718" s="73" t="s">
        <v>814</v>
      </c>
      <c r="H1718" s="79" t="s">
        <v>16</v>
      </c>
      <c r="I1718" s="80" t="s">
        <v>378</v>
      </c>
      <c r="J1718" s="66" t="s">
        <v>3180</v>
      </c>
      <c r="K1718" s="71" t="s">
        <v>6114</v>
      </c>
      <c r="L1718" s="71" t="s">
        <v>1445</v>
      </c>
      <c r="M1718" s="71" t="str">
        <f t="shared" si="434"/>
        <v>m2</v>
      </c>
      <c r="N1718" s="66" t="s">
        <v>1370</v>
      </c>
      <c r="O171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Aysén, Periodo 2014-2021</v>
      </c>
      <c r="P1718" s="112" t="s">
        <v>6100</v>
      </c>
      <c r="Q1718" s="68" t="s">
        <v>784</v>
      </c>
      <c r="R1718"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Aysén,superficie,no-habitacional,autorizada,ampliaciones,servicios,icef,industria,comercio,establecimientos,financieros,construcción,regional,Agencia Información,Vivienda y Construcción,Superficie Autorizada No Habitacional (Ampliaciones ICEF),Vivienda y Construcción</v>
      </c>
      <c r="S1718" s="83" t="s">
        <v>3834</v>
      </c>
      <c r="T1718" s="110" t="s">
        <v>1863</v>
      </c>
      <c r="U1718" s="46" t="s">
        <v>4612</v>
      </c>
      <c r="V1718" s="93" t="str">
        <f>+Agencia[[#This Row],[idcoleccion]]&amp;"-"&amp;Agencia[[#This Row],[id]]</f>
        <v>990-1707</v>
      </c>
      <c r="W1718" s="96">
        <v>99200011</v>
      </c>
      <c r="X1718" s="93" t="str">
        <f>+VLOOKUP(Agencia[[#This Row],[tema]],Estructura!$A$4:$C$500,3,0)</f>
        <v>T-1072</v>
      </c>
      <c r="Y1718" s="93" t="str">
        <f>+VLOOKUP(Agencia[[#This Row],[contenido]],Estructura!$E$4:$G$500,3,0)</f>
        <v>C-1011</v>
      </c>
      <c r="Z1718" s="93" t="str">
        <f>+VLOOKUP(Agencia[[#This Row],[Filtro Integrado]],Estructura!$I$4:$K$500,3,0)</f>
        <v>FI-1006</v>
      </c>
      <c r="AA1718" s="93" t="str">
        <f>+VLOOKUP(Agencia[[#This Row],[Muestra]],Estructura!$M$4:$O$500,3,0)</f>
        <v>M-1108</v>
      </c>
    </row>
    <row r="1719" spans="1:27" ht="72" x14ac:dyDescent="0.3">
      <c r="A1719" s="21" t="s">
        <v>4848</v>
      </c>
      <c r="B1719" s="71">
        <v>990</v>
      </c>
      <c r="C1719" s="72" t="s">
        <v>400</v>
      </c>
      <c r="D1719" s="72" t="s">
        <v>814</v>
      </c>
      <c r="E1719" s="89">
        <v>12</v>
      </c>
      <c r="F1719" s="73" t="s">
        <v>3821</v>
      </c>
      <c r="G1719" s="73" t="s">
        <v>814</v>
      </c>
      <c r="H1719" s="79" t="s">
        <v>16</v>
      </c>
      <c r="I1719" s="80" t="s">
        <v>379</v>
      </c>
      <c r="J1719" s="66" t="s">
        <v>3180</v>
      </c>
      <c r="K1719" s="71" t="s">
        <v>6114</v>
      </c>
      <c r="L1719" s="71" t="s">
        <v>1445</v>
      </c>
      <c r="M1719" s="71" t="str">
        <f t="shared" si="434"/>
        <v>m2</v>
      </c>
      <c r="N1719" s="66" t="s">
        <v>1370</v>
      </c>
      <c r="O171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Magallanes, Periodo 2014-2021</v>
      </c>
      <c r="P1719" s="112" t="s">
        <v>6109</v>
      </c>
      <c r="Q1719" s="68" t="s">
        <v>784</v>
      </c>
      <c r="R1719"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Magallanes,superficie,no-habitacional,autorizada,ampliaciones,servicios,icef,industria,comercio,establecimientos,financieros,construcción,regional,Agencia Información,Vivienda y Construcción,Superficie Autorizada No Habitacional (Ampliaciones ICEF),Vivienda y Construcción</v>
      </c>
      <c r="S1719" s="83" t="s">
        <v>3835</v>
      </c>
      <c r="T1719" s="110" t="s">
        <v>1868</v>
      </c>
      <c r="U1719" s="46" t="s">
        <v>4613</v>
      </c>
      <c r="V1719" s="93" t="str">
        <f>+Agencia[[#This Row],[idcoleccion]]&amp;"-"&amp;Agencia[[#This Row],[id]]</f>
        <v>990-1708</v>
      </c>
      <c r="W1719" s="96">
        <v>99200012</v>
      </c>
      <c r="X1719" s="93" t="str">
        <f>+VLOOKUP(Agencia[[#This Row],[tema]],Estructura!$A$4:$C$500,3,0)</f>
        <v>T-1072</v>
      </c>
      <c r="Y1719" s="93" t="str">
        <f>+VLOOKUP(Agencia[[#This Row],[contenido]],Estructura!$E$4:$G$500,3,0)</f>
        <v>C-1011</v>
      </c>
      <c r="Z1719" s="93" t="str">
        <f>+VLOOKUP(Agencia[[#This Row],[Filtro Integrado]],Estructura!$I$4:$K$500,3,0)</f>
        <v>FI-1006</v>
      </c>
      <c r="AA1719" s="93" t="str">
        <f>+VLOOKUP(Agencia[[#This Row],[Muestra]],Estructura!$M$4:$O$500,3,0)</f>
        <v>M-1108</v>
      </c>
    </row>
    <row r="1720" spans="1:27" ht="72" x14ac:dyDescent="0.3">
      <c r="A1720" s="21" t="s">
        <v>4849</v>
      </c>
      <c r="B1720" s="71">
        <v>990</v>
      </c>
      <c r="C1720" s="72" t="s">
        <v>400</v>
      </c>
      <c r="D1720" s="72" t="s">
        <v>814</v>
      </c>
      <c r="E1720" s="89">
        <v>13</v>
      </c>
      <c r="F1720" s="73" t="s">
        <v>3821</v>
      </c>
      <c r="G1720" s="73" t="s">
        <v>814</v>
      </c>
      <c r="H1720" s="79" t="s">
        <v>16</v>
      </c>
      <c r="I1720" s="80" t="s">
        <v>380</v>
      </c>
      <c r="J1720" s="66" t="s">
        <v>3180</v>
      </c>
      <c r="K1720" s="71" t="s">
        <v>6114</v>
      </c>
      <c r="L1720" s="71" t="s">
        <v>1445</v>
      </c>
      <c r="M1720" s="71" t="str">
        <f t="shared" si="434"/>
        <v>m2</v>
      </c>
      <c r="N1720" s="66" t="s">
        <v>1370</v>
      </c>
      <c r="O172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Metropolitana, Periodo 2014-2021</v>
      </c>
      <c r="P1720" s="112" t="s">
        <v>6110</v>
      </c>
      <c r="Q1720" s="68" t="s">
        <v>784</v>
      </c>
      <c r="R1720"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Metropolitana,superficie,no-habitacional,autorizada,ampliaciones,servicios,icef,industria,comercio,establecimientos,financieros,construcción,regional,Agencia Información,Vivienda y Construcción,Superficie Autorizada No Habitacional (Ampliaciones ICEF),Vivienda y Construcción</v>
      </c>
      <c r="S1720" s="83" t="s">
        <v>3836</v>
      </c>
      <c r="T1720" s="110" t="s">
        <v>1875</v>
      </c>
      <c r="U1720" s="46" t="s">
        <v>4614</v>
      </c>
      <c r="V1720" s="93" t="str">
        <f>+Agencia[[#This Row],[idcoleccion]]&amp;"-"&amp;Agencia[[#This Row],[id]]</f>
        <v>990-1709</v>
      </c>
      <c r="W1720" s="96">
        <v>99200013</v>
      </c>
      <c r="X1720" s="93" t="str">
        <f>+VLOOKUP(Agencia[[#This Row],[tema]],Estructura!$A$4:$C$500,3,0)</f>
        <v>T-1072</v>
      </c>
      <c r="Y1720" s="93" t="str">
        <f>+VLOOKUP(Agencia[[#This Row],[contenido]],Estructura!$E$4:$G$500,3,0)</f>
        <v>C-1011</v>
      </c>
      <c r="Z1720" s="93" t="str">
        <f>+VLOOKUP(Agencia[[#This Row],[Filtro Integrado]],Estructura!$I$4:$K$500,3,0)</f>
        <v>FI-1006</v>
      </c>
      <c r="AA1720" s="93" t="str">
        <f>+VLOOKUP(Agencia[[#This Row],[Muestra]],Estructura!$M$4:$O$500,3,0)</f>
        <v>M-1108</v>
      </c>
    </row>
    <row r="1721" spans="1:27" ht="72" x14ac:dyDescent="0.3">
      <c r="A1721" s="21" t="s">
        <v>4850</v>
      </c>
      <c r="B1721" s="71">
        <v>990</v>
      </c>
      <c r="C1721" s="72" t="s">
        <v>400</v>
      </c>
      <c r="D1721" s="72" t="s">
        <v>814</v>
      </c>
      <c r="E1721" s="89">
        <v>14</v>
      </c>
      <c r="F1721" s="73" t="s">
        <v>3821</v>
      </c>
      <c r="G1721" s="73" t="s">
        <v>814</v>
      </c>
      <c r="H1721" s="79" t="s">
        <v>16</v>
      </c>
      <c r="I1721" s="80" t="s">
        <v>381</v>
      </c>
      <c r="J1721" s="66" t="s">
        <v>3180</v>
      </c>
      <c r="K1721" s="71" t="s">
        <v>6114</v>
      </c>
      <c r="L1721" s="71" t="s">
        <v>1445</v>
      </c>
      <c r="M1721" s="71" t="str">
        <f t="shared" si="434"/>
        <v>m2</v>
      </c>
      <c r="N1721" s="66" t="s">
        <v>1370</v>
      </c>
      <c r="O172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Ríos, Periodo 2014-2021</v>
      </c>
      <c r="P1721" s="112" t="s">
        <v>6111</v>
      </c>
      <c r="Q1721" s="68" t="s">
        <v>784</v>
      </c>
      <c r="R1721"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Los Ríos,superficie,no-habitacional,autorizada,ampliaciones,servicios,icef,industria,comercio,establecimientos,financieros,construcción,regional,Agencia Información,Vivienda y Construcción,Superficie Autorizada No Habitacional (Ampliaciones ICEF),Vivienda y Construcción</v>
      </c>
      <c r="S1721" s="83" t="s">
        <v>3837</v>
      </c>
      <c r="T1721" s="110" t="s">
        <v>1867</v>
      </c>
      <c r="U1721" s="46" t="s">
        <v>4615</v>
      </c>
      <c r="V1721" s="93" t="str">
        <f>+Agencia[[#This Row],[idcoleccion]]&amp;"-"&amp;Agencia[[#This Row],[id]]</f>
        <v>990-1710</v>
      </c>
      <c r="W1721" s="96">
        <v>99200014</v>
      </c>
      <c r="X1721" s="93" t="str">
        <f>+VLOOKUP(Agencia[[#This Row],[tema]],Estructura!$A$4:$C$500,3,0)</f>
        <v>T-1072</v>
      </c>
      <c r="Y1721" s="93" t="str">
        <f>+VLOOKUP(Agencia[[#This Row],[contenido]],Estructura!$E$4:$G$500,3,0)</f>
        <v>C-1011</v>
      </c>
      <c r="Z1721" s="93" t="str">
        <f>+VLOOKUP(Agencia[[#This Row],[Filtro Integrado]],Estructura!$I$4:$K$500,3,0)</f>
        <v>FI-1006</v>
      </c>
      <c r="AA1721" s="93" t="str">
        <f>+VLOOKUP(Agencia[[#This Row],[Muestra]],Estructura!$M$4:$O$500,3,0)</f>
        <v>M-1108</v>
      </c>
    </row>
    <row r="1722" spans="1:27" ht="72" x14ac:dyDescent="0.3">
      <c r="A1722" s="21" t="s">
        <v>4851</v>
      </c>
      <c r="B1722" s="71">
        <v>990</v>
      </c>
      <c r="C1722" s="72" t="s">
        <v>400</v>
      </c>
      <c r="D1722" s="72" t="s">
        <v>814</v>
      </c>
      <c r="E1722" s="89">
        <v>15</v>
      </c>
      <c r="F1722" s="73" t="s">
        <v>3821</v>
      </c>
      <c r="G1722" s="73" t="s">
        <v>814</v>
      </c>
      <c r="H1722" s="79" t="s">
        <v>16</v>
      </c>
      <c r="I1722" s="80" t="s">
        <v>382</v>
      </c>
      <c r="J1722" s="66" t="s">
        <v>3180</v>
      </c>
      <c r="K1722" s="71" t="s">
        <v>6114</v>
      </c>
      <c r="L1722" s="71" t="s">
        <v>1445</v>
      </c>
      <c r="M1722" s="71" t="str">
        <f t="shared" si="434"/>
        <v>m2</v>
      </c>
      <c r="N1722" s="66" t="s">
        <v>1370</v>
      </c>
      <c r="O172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Arica y Parinacota, Periodo 2014-2021</v>
      </c>
      <c r="P1722" s="112" t="s">
        <v>6112</v>
      </c>
      <c r="Q1722" s="68" t="s">
        <v>784</v>
      </c>
      <c r="R1722"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Arica y Parinacota,superficie,no-habitacional,autorizada,ampliaciones,servicios,icef,industria,comercio,establecimientos,financieros,construcción,regional,Agencia Información,Vivienda y Construcción,Superficie Autorizada No Habitacional (Ampliaciones ICEF),Vivienda y Construcción</v>
      </c>
      <c r="S1722" s="83" t="s">
        <v>3838</v>
      </c>
      <c r="T1722" s="110" t="s">
        <v>1861</v>
      </c>
      <c r="U1722" s="46" t="s">
        <v>4616</v>
      </c>
      <c r="V1722" s="93" t="str">
        <f>+Agencia[[#This Row],[idcoleccion]]&amp;"-"&amp;Agencia[[#This Row],[id]]</f>
        <v>990-1711</v>
      </c>
      <c r="W1722" s="96">
        <v>99200015</v>
      </c>
      <c r="X1722" s="93" t="str">
        <f>+VLOOKUP(Agencia[[#This Row],[tema]],Estructura!$A$4:$C$500,3,0)</f>
        <v>T-1072</v>
      </c>
      <c r="Y1722" s="93" t="str">
        <f>+VLOOKUP(Agencia[[#This Row],[contenido]],Estructura!$E$4:$G$500,3,0)</f>
        <v>C-1011</v>
      </c>
      <c r="Z1722" s="93" t="str">
        <f>+VLOOKUP(Agencia[[#This Row],[Filtro Integrado]],Estructura!$I$4:$K$500,3,0)</f>
        <v>FI-1006</v>
      </c>
      <c r="AA1722" s="93" t="str">
        <f>+VLOOKUP(Agencia[[#This Row],[Muestra]],Estructura!$M$4:$O$500,3,0)</f>
        <v>M-1108</v>
      </c>
    </row>
    <row r="1723" spans="1:27" ht="72" x14ac:dyDescent="0.3">
      <c r="A1723" s="21" t="s">
        <v>4852</v>
      </c>
      <c r="B1723" s="71">
        <v>990</v>
      </c>
      <c r="C1723" s="72" t="s">
        <v>400</v>
      </c>
      <c r="D1723" s="72" t="s">
        <v>814</v>
      </c>
      <c r="E1723" s="89">
        <v>16</v>
      </c>
      <c r="F1723" s="73" t="s">
        <v>3821</v>
      </c>
      <c r="G1723" s="73" t="s">
        <v>814</v>
      </c>
      <c r="H1723" s="79" t="s">
        <v>16</v>
      </c>
      <c r="I1723" s="80" t="s">
        <v>383</v>
      </c>
      <c r="J1723" s="66" t="s">
        <v>3180</v>
      </c>
      <c r="K1723" s="71" t="s">
        <v>6114</v>
      </c>
      <c r="L1723" s="71" t="s">
        <v>1445</v>
      </c>
      <c r="M1723" s="71" t="str">
        <f t="shared" si="434"/>
        <v>m2</v>
      </c>
      <c r="N1723" s="66" t="s">
        <v>1370</v>
      </c>
      <c r="O172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Ñuble, Periodo 2014-2021</v>
      </c>
      <c r="P1723" s="113" t="s">
        <v>6113</v>
      </c>
      <c r="Q1723" s="75" t="s">
        <v>784</v>
      </c>
      <c r="R1723" s="74" t="str">
        <f>Agencia[[#This Row],[territorio]]&amp;",superficie,no-habitacional,autorizada,ampliaciones,servicios,icef,industria,comercio,establecimientos,financieros,construcción,regional,"&amp;Agencia[[#This Row],[coleccion]]&amp;","&amp;Agencia[[#This Row],[sector]]&amp;","&amp;Agencia[[#This Row],[tema]]&amp;","&amp;Agencia[[#This Row],[contenido]]</f>
        <v>Región de Ñuble,superficie,no-habitacional,autorizada,ampliaciones,servicios,icef,industria,comercio,establecimientos,financieros,construcción,regional,Agencia Información,Vivienda y Construcción,Superficie Autorizada No Habitacional (Ampliaciones ICEF),Vivienda y Construcción</v>
      </c>
      <c r="S1723" s="83" t="s">
        <v>3839</v>
      </c>
      <c r="T1723" s="109" t="s">
        <v>1870</v>
      </c>
      <c r="U1723" s="46" t="s">
        <v>4617</v>
      </c>
      <c r="V1723" s="93" t="str">
        <f>+Agencia[[#This Row],[idcoleccion]]&amp;"-"&amp;Agencia[[#This Row],[id]]</f>
        <v>990-1712</v>
      </c>
      <c r="W1723" s="96">
        <v>99200016</v>
      </c>
      <c r="X1723" s="93" t="str">
        <f>+VLOOKUP(Agencia[[#This Row],[tema]],Estructura!$A$4:$C$500,3,0)</f>
        <v>T-1072</v>
      </c>
      <c r="Y1723" s="93" t="str">
        <f>+VLOOKUP(Agencia[[#This Row],[contenido]],Estructura!$E$4:$G$500,3,0)</f>
        <v>C-1011</v>
      </c>
      <c r="Z1723" s="93" t="str">
        <f>+VLOOKUP(Agencia[[#This Row],[Filtro Integrado]],Estructura!$I$4:$K$500,3,0)</f>
        <v>FI-1006</v>
      </c>
      <c r="AA1723" s="93" t="str">
        <f>+VLOOKUP(Agencia[[#This Row],[Muestra]],Estructura!$M$4:$O$500,3,0)</f>
        <v>M-1108</v>
      </c>
    </row>
    <row r="1724" spans="1:27" ht="71.099999999999994" customHeight="1" x14ac:dyDescent="0.3">
      <c r="A1724" s="21" t="s">
        <v>4853</v>
      </c>
      <c r="B1724" s="71">
        <v>990</v>
      </c>
      <c r="C1724" s="72" t="s">
        <v>400</v>
      </c>
      <c r="D1724" s="72" t="s">
        <v>785</v>
      </c>
      <c r="E1724" s="90">
        <v>0</v>
      </c>
      <c r="F1724" s="72" t="s">
        <v>4284</v>
      </c>
      <c r="G1724" s="73" t="s">
        <v>1879</v>
      </c>
      <c r="H1724" s="77" t="s">
        <v>20</v>
      </c>
      <c r="I1724" s="78" t="s">
        <v>15</v>
      </c>
      <c r="J1724" s="71" t="s">
        <v>16</v>
      </c>
      <c r="K1724" s="71" t="s">
        <v>9275</v>
      </c>
      <c r="L1724" s="71" t="s">
        <v>500</v>
      </c>
      <c r="M1724" s="71" t="s">
        <v>2312</v>
      </c>
      <c r="N1724" s="71" t="s">
        <v>456</v>
      </c>
      <c r="O1724" s="74" t="s">
        <v>3840</v>
      </c>
      <c r="P1724" s="113" t="s">
        <v>3841</v>
      </c>
      <c r="Q1724" s="75" t="s">
        <v>576</v>
      </c>
      <c r="R1724" s="74" t="str">
        <f>Agencia[[#This Row],[territorio]]&amp;",variación,frecuencia,casos policiales,robo,violencia,intimidación,delitos,nacional,"&amp;Agencia[[#This Row],[coleccion]]&amp;","&amp;Agencia[[#This Row],[sector]]&amp;","&amp;Agencia[[#This Row],[tema]]&amp;","&amp;Agencia[[#This Row],[contenido]]</f>
        <v>Chile,variación,frecuencia,casos policiales,robo,violencia,intimidación,delitos,nacional,Agencia Información,Social,DMCS - Robo con Violencia o Intimidación,Delincuencia</v>
      </c>
      <c r="S1724" s="81" t="s">
        <v>3842</v>
      </c>
      <c r="T1724" s="109" t="s">
        <v>957</v>
      </c>
      <c r="U1724" s="46" t="s">
        <v>4618</v>
      </c>
      <c r="V1724" s="93" t="str">
        <f>+Agencia[[#This Row],[idcoleccion]]&amp;"-"&amp;Agencia[[#This Row],[id]]</f>
        <v>990-1713</v>
      </c>
      <c r="W1724" s="96">
        <v>99100000</v>
      </c>
      <c r="X1724" s="93" t="str">
        <f>+VLOOKUP(Agencia[[#This Row],[tema]],Estructura!$A$4:$C$500,3,0)</f>
        <v>T-1073</v>
      </c>
      <c r="Y1724" s="93" t="str">
        <f>+VLOOKUP(Agencia[[#This Row],[contenido]],Estructura!$E$4:$G$500,3,0)</f>
        <v>C-998</v>
      </c>
      <c r="Z1724" s="93" t="str">
        <f>+VLOOKUP(Agencia[[#This Row],[Filtro Integrado]],Estructura!$I$4:$K$500,3,0)</f>
        <v>FI-992</v>
      </c>
      <c r="AA1724" s="93" t="str">
        <f>+VLOOKUP(Agencia[[#This Row],[Muestra]],Estructura!$M$4:$O$500,3,0)</f>
        <v>M-1109</v>
      </c>
    </row>
    <row r="1725" spans="1:27" ht="74.400000000000006" customHeight="1" x14ac:dyDescent="0.3">
      <c r="A1725" s="21" t="s">
        <v>4854</v>
      </c>
      <c r="B1725" s="71">
        <v>990</v>
      </c>
      <c r="C1725" s="72" t="s">
        <v>400</v>
      </c>
      <c r="D1725" s="72" t="s">
        <v>785</v>
      </c>
      <c r="E1725" s="89">
        <v>1</v>
      </c>
      <c r="F1725" s="72" t="s">
        <v>4284</v>
      </c>
      <c r="G1725" s="73" t="s">
        <v>1879</v>
      </c>
      <c r="H1725" s="79" t="s">
        <v>16</v>
      </c>
      <c r="I1725" s="80" t="s">
        <v>368</v>
      </c>
      <c r="J1725" s="66" t="s">
        <v>403</v>
      </c>
      <c r="K1725" s="136" t="s">
        <v>9275</v>
      </c>
      <c r="L1725" s="71" t="s">
        <v>500</v>
      </c>
      <c r="M1725" s="71" t="s">
        <v>2312</v>
      </c>
      <c r="N1725" s="71" t="s">
        <v>456</v>
      </c>
      <c r="O1725" s="74" t="s">
        <v>3843</v>
      </c>
      <c r="P1725" s="112" t="s">
        <v>5269</v>
      </c>
      <c r="Q1725" s="75" t="s">
        <v>576</v>
      </c>
      <c r="R1725" s="74" t="str">
        <f>Agencia[[#This Row],[territorio]]&amp;",variación,frecuencia,casos policiales,robo,violencia,intimidación,delitos,regional,"&amp;Agencia[[#This Row],[coleccion]]&amp;","&amp;Agencia[[#This Row],[sector]]&amp;","&amp;Agencia[[#This Row],[tema]]&amp;","&amp;Agencia[[#This Row],[contenido]]</f>
        <v>Región de Tarapacá,variación,frecuencia,casos policiales,robo,violencia,intimidación,delitos,regional,Agencia Información,Social,DMCS - Robo con Violencia o Intimidación,Delincuencia</v>
      </c>
      <c r="S1725" s="102" t="str">
        <f>HYPERLINK("https://analytics.zoho.com/open-view/2395394000009232951?ZOHO_CRITERIA=%22Localiza%20Chile%22.%22Codreg%22%3D"&amp;Agencia[[#This Row],[Filtro URL]])</f>
        <v>https://analytics.zoho.com/open-view/2395394000009232951?ZOHO_CRITERIA=%22Localiza%20Chile%22.%22Codreg%22%3D1</v>
      </c>
      <c r="T1725" s="110" t="s">
        <v>1856</v>
      </c>
      <c r="U1725" s="46" t="s">
        <v>4619</v>
      </c>
      <c r="V1725" s="93" t="str">
        <f>+Agencia[[#This Row],[idcoleccion]]&amp;"-"&amp;Agencia[[#This Row],[id]]</f>
        <v>990-1714</v>
      </c>
      <c r="W1725" s="96">
        <v>99200001</v>
      </c>
      <c r="X1725" s="93" t="str">
        <f>+VLOOKUP(Agencia[[#This Row],[tema]],Estructura!$A$4:$C$500,3,0)</f>
        <v>T-1073</v>
      </c>
      <c r="Y1725" s="93" t="str">
        <f>+VLOOKUP(Agencia[[#This Row],[contenido]],Estructura!$E$4:$G$500,3,0)</f>
        <v>C-998</v>
      </c>
      <c r="Z1725" s="93" t="str">
        <f>+VLOOKUP(Agencia[[#This Row],[Filtro Integrado]],Estructura!$I$4:$K$500,3,0)</f>
        <v>FI-993</v>
      </c>
      <c r="AA1725" s="93" t="str">
        <f>+VLOOKUP(Agencia[[#This Row],[Muestra]],Estructura!$M$4:$O$500,3,0)</f>
        <v>M-1109</v>
      </c>
    </row>
    <row r="1726" spans="1:27" ht="57.6" x14ac:dyDescent="0.3">
      <c r="A1726" s="21" t="s">
        <v>4855</v>
      </c>
      <c r="B1726" s="71">
        <v>990</v>
      </c>
      <c r="C1726" s="72" t="s">
        <v>400</v>
      </c>
      <c r="D1726" s="72" t="s">
        <v>785</v>
      </c>
      <c r="E1726" s="89">
        <v>2</v>
      </c>
      <c r="F1726" s="72" t="s">
        <v>4284</v>
      </c>
      <c r="G1726" s="73" t="s">
        <v>1879</v>
      </c>
      <c r="H1726" s="79" t="s">
        <v>16</v>
      </c>
      <c r="I1726" s="80" t="s">
        <v>369</v>
      </c>
      <c r="J1726" s="66" t="s">
        <v>403</v>
      </c>
      <c r="K1726" s="136" t="s">
        <v>9275</v>
      </c>
      <c r="L1726" s="71" t="s">
        <v>500</v>
      </c>
      <c r="M1726" s="71" t="s">
        <v>2312</v>
      </c>
      <c r="N1726" s="71" t="s">
        <v>456</v>
      </c>
      <c r="O1726" s="74" t="s">
        <v>3844</v>
      </c>
      <c r="P1726" s="112" t="s">
        <v>5271</v>
      </c>
      <c r="Q1726" s="75" t="s">
        <v>576</v>
      </c>
      <c r="R1726" s="74" t="str">
        <f>Agencia[[#This Row],[territorio]]&amp;",variación,frecuencia,casos policiales,robo,violencia,intimidación,delitos,regional,"&amp;Agencia[[#This Row],[coleccion]]&amp;","&amp;Agencia[[#This Row],[sector]]&amp;","&amp;Agencia[[#This Row],[tema]]&amp;","&amp;Agencia[[#This Row],[contenido]]</f>
        <v>Región de Antofagasta,variación,frecuencia,casos policiales,robo,violencia,intimidación,delitos,regional,Agencia Información,Social,DMCS - Robo con Violencia o Intimidación,Delincuencia</v>
      </c>
      <c r="S1726" s="102" t="str">
        <f>HYPERLINK("https://analytics.zoho.com/open-view/2395394000009232951?ZOHO_CRITERIA=%22Localiza%20Chile%22.%22Codreg%22%3D"&amp;Agencia[[#This Row],[Filtro URL]])</f>
        <v>https://analytics.zoho.com/open-view/2395394000009232951?ZOHO_CRITERIA=%22Localiza%20Chile%22.%22Codreg%22%3D2</v>
      </c>
      <c r="T1726" s="110" t="s">
        <v>1844</v>
      </c>
      <c r="U1726" s="46" t="s">
        <v>4620</v>
      </c>
      <c r="V1726" s="93" t="str">
        <f>+Agencia[[#This Row],[idcoleccion]]&amp;"-"&amp;Agencia[[#This Row],[id]]</f>
        <v>990-1715</v>
      </c>
      <c r="W1726" s="96">
        <v>99200002</v>
      </c>
      <c r="X1726" s="93" t="str">
        <f>+VLOOKUP(Agencia[[#This Row],[tema]],Estructura!$A$4:$C$500,3,0)</f>
        <v>T-1073</v>
      </c>
      <c r="Y1726" s="93" t="str">
        <f>+VLOOKUP(Agencia[[#This Row],[contenido]],Estructura!$E$4:$G$500,3,0)</f>
        <v>C-998</v>
      </c>
      <c r="Z1726" s="93" t="str">
        <f>+VLOOKUP(Agencia[[#This Row],[Filtro Integrado]],Estructura!$I$4:$K$500,3,0)</f>
        <v>FI-993</v>
      </c>
      <c r="AA1726" s="93" t="str">
        <f>+VLOOKUP(Agencia[[#This Row],[Muestra]],Estructura!$M$4:$O$500,3,0)</f>
        <v>M-1109</v>
      </c>
    </row>
    <row r="1727" spans="1:27" ht="57.6" x14ac:dyDescent="0.3">
      <c r="A1727" s="21" t="s">
        <v>4856</v>
      </c>
      <c r="B1727" s="71">
        <v>990</v>
      </c>
      <c r="C1727" s="72" t="s">
        <v>400</v>
      </c>
      <c r="D1727" s="72" t="s">
        <v>785</v>
      </c>
      <c r="E1727" s="89">
        <v>3</v>
      </c>
      <c r="F1727" s="72" t="s">
        <v>4284</v>
      </c>
      <c r="G1727" s="73" t="s">
        <v>1879</v>
      </c>
      <c r="H1727" s="79" t="s">
        <v>16</v>
      </c>
      <c r="I1727" s="80" t="s">
        <v>370</v>
      </c>
      <c r="J1727" s="66" t="s">
        <v>403</v>
      </c>
      <c r="K1727" s="136" t="s">
        <v>9275</v>
      </c>
      <c r="L1727" s="71" t="s">
        <v>500</v>
      </c>
      <c r="M1727" s="71" t="s">
        <v>2312</v>
      </c>
      <c r="N1727" s="71" t="s">
        <v>456</v>
      </c>
      <c r="O1727" s="74" t="s">
        <v>3845</v>
      </c>
      <c r="P1727" s="112" t="s">
        <v>5272</v>
      </c>
      <c r="Q1727" s="75" t="s">
        <v>576</v>
      </c>
      <c r="R1727" s="74" t="str">
        <f>Agencia[[#This Row],[territorio]]&amp;",variación,frecuencia,casos policiales,robo,violencia,intimidación,delitos,regional,"&amp;Agencia[[#This Row],[coleccion]]&amp;","&amp;Agencia[[#This Row],[sector]]&amp;","&amp;Agencia[[#This Row],[tema]]&amp;","&amp;Agencia[[#This Row],[contenido]]</f>
        <v>Región de Atacama,variación,frecuencia,casos policiales,robo,violencia,intimidación,delitos,regional,Agencia Información,Social,DMCS - Robo con Violencia o Intimidación,Delincuencia</v>
      </c>
      <c r="S1727" s="102" t="str">
        <f>HYPERLINK("https://analytics.zoho.com/open-view/2395394000009232951?ZOHO_CRITERIA=%22Localiza%20Chile%22.%22Codreg%22%3D"&amp;Agencia[[#This Row],[Filtro URL]])</f>
        <v>https://analytics.zoho.com/open-view/2395394000009232951?ZOHO_CRITERIA=%22Localiza%20Chile%22.%22Codreg%22%3D3</v>
      </c>
      <c r="T1727" s="110" t="s">
        <v>1846</v>
      </c>
      <c r="U1727" s="46" t="s">
        <v>4621</v>
      </c>
      <c r="V1727" s="93" t="str">
        <f>+Agencia[[#This Row],[idcoleccion]]&amp;"-"&amp;Agencia[[#This Row],[id]]</f>
        <v>990-1716</v>
      </c>
      <c r="W1727" s="96">
        <v>99200003</v>
      </c>
      <c r="X1727" s="93" t="str">
        <f>+VLOOKUP(Agencia[[#This Row],[tema]],Estructura!$A$4:$C$500,3,0)</f>
        <v>T-1073</v>
      </c>
      <c r="Y1727" s="93" t="str">
        <f>+VLOOKUP(Agencia[[#This Row],[contenido]],Estructura!$E$4:$G$500,3,0)</f>
        <v>C-998</v>
      </c>
      <c r="Z1727" s="93" t="str">
        <f>+VLOOKUP(Agencia[[#This Row],[Filtro Integrado]],Estructura!$I$4:$K$500,3,0)</f>
        <v>FI-993</v>
      </c>
      <c r="AA1727" s="93" t="str">
        <f>+VLOOKUP(Agencia[[#This Row],[Muestra]],Estructura!$M$4:$O$500,3,0)</f>
        <v>M-1109</v>
      </c>
    </row>
    <row r="1728" spans="1:27" ht="57.6" x14ac:dyDescent="0.3">
      <c r="A1728" s="21" t="s">
        <v>4857</v>
      </c>
      <c r="B1728" s="71">
        <v>990</v>
      </c>
      <c r="C1728" s="72" t="s">
        <v>400</v>
      </c>
      <c r="D1728" s="72" t="s">
        <v>785</v>
      </c>
      <c r="E1728" s="89">
        <v>4</v>
      </c>
      <c r="F1728" s="72" t="s">
        <v>4284</v>
      </c>
      <c r="G1728" s="73" t="s">
        <v>1879</v>
      </c>
      <c r="H1728" s="79" t="s">
        <v>16</v>
      </c>
      <c r="I1728" s="80" t="s">
        <v>371</v>
      </c>
      <c r="J1728" s="66" t="s">
        <v>403</v>
      </c>
      <c r="K1728" s="136" t="s">
        <v>9275</v>
      </c>
      <c r="L1728" s="71" t="s">
        <v>500</v>
      </c>
      <c r="M1728" s="71" t="s">
        <v>2312</v>
      </c>
      <c r="N1728" s="71" t="s">
        <v>456</v>
      </c>
      <c r="O1728" s="74" t="s">
        <v>3846</v>
      </c>
      <c r="P1728" s="112" t="s">
        <v>5273</v>
      </c>
      <c r="Q1728" s="75" t="s">
        <v>576</v>
      </c>
      <c r="R1728" s="74" t="str">
        <f>Agencia[[#This Row],[territorio]]&amp;",variación,frecuencia,casos policiales,robo,violencia,intimidación,delitos,regional,"&amp;Agencia[[#This Row],[coleccion]]&amp;","&amp;Agencia[[#This Row],[sector]]&amp;","&amp;Agencia[[#This Row],[tema]]&amp;","&amp;Agencia[[#This Row],[contenido]]</f>
        <v>Región de Coquimbo,variación,frecuencia,casos policiales,robo,violencia,intimidación,delitos,regional,Agencia Información,Social,DMCS - Robo con Violencia o Intimidación,Delincuencia</v>
      </c>
      <c r="S1728" s="102" t="str">
        <f>HYPERLINK("https://analytics.zoho.com/open-view/2395394000009232951?ZOHO_CRITERIA=%22Localiza%20Chile%22.%22Codreg%22%3D"&amp;Agencia[[#This Row],[Filtro URL]])</f>
        <v>https://analytics.zoho.com/open-view/2395394000009232951?ZOHO_CRITERIA=%22Localiza%20Chile%22.%22Codreg%22%3D4</v>
      </c>
      <c r="T1728" s="110" t="s">
        <v>1848</v>
      </c>
      <c r="U1728" s="46" t="s">
        <v>4622</v>
      </c>
      <c r="V1728" s="93" t="str">
        <f>+Agencia[[#This Row],[idcoleccion]]&amp;"-"&amp;Agencia[[#This Row],[id]]</f>
        <v>990-1717</v>
      </c>
      <c r="W1728" s="96">
        <v>99200004</v>
      </c>
      <c r="X1728" s="93" t="str">
        <f>+VLOOKUP(Agencia[[#This Row],[tema]],Estructura!$A$4:$C$500,3,0)</f>
        <v>T-1073</v>
      </c>
      <c r="Y1728" s="93" t="str">
        <f>+VLOOKUP(Agencia[[#This Row],[contenido]],Estructura!$E$4:$G$500,3,0)</f>
        <v>C-998</v>
      </c>
      <c r="Z1728" s="93" t="str">
        <f>+VLOOKUP(Agencia[[#This Row],[Filtro Integrado]],Estructura!$I$4:$K$500,3,0)</f>
        <v>FI-993</v>
      </c>
      <c r="AA1728" s="93" t="str">
        <f>+VLOOKUP(Agencia[[#This Row],[Muestra]],Estructura!$M$4:$O$500,3,0)</f>
        <v>M-1109</v>
      </c>
    </row>
    <row r="1729" spans="1:27" ht="57.6" x14ac:dyDescent="0.3">
      <c r="A1729" s="21" t="s">
        <v>4858</v>
      </c>
      <c r="B1729" s="71">
        <v>990</v>
      </c>
      <c r="C1729" s="72" t="s">
        <v>400</v>
      </c>
      <c r="D1729" s="72" t="s">
        <v>785</v>
      </c>
      <c r="E1729" s="89">
        <v>5</v>
      </c>
      <c r="F1729" s="72" t="s">
        <v>4284</v>
      </c>
      <c r="G1729" s="73" t="s">
        <v>1879</v>
      </c>
      <c r="H1729" s="79" t="s">
        <v>16</v>
      </c>
      <c r="I1729" s="80" t="s">
        <v>372</v>
      </c>
      <c r="J1729" s="66" t="s">
        <v>403</v>
      </c>
      <c r="K1729" s="136" t="s">
        <v>9275</v>
      </c>
      <c r="L1729" s="71" t="s">
        <v>500</v>
      </c>
      <c r="M1729" s="71" t="s">
        <v>2312</v>
      </c>
      <c r="N1729" s="71" t="s">
        <v>456</v>
      </c>
      <c r="O1729" s="74" t="s">
        <v>3847</v>
      </c>
      <c r="P1729" s="112" t="s">
        <v>5274</v>
      </c>
      <c r="Q1729" s="75" t="s">
        <v>576</v>
      </c>
      <c r="R1729" s="74" t="str">
        <f>Agencia[[#This Row],[territorio]]&amp;",variación,frecuencia,casos policiales,robo,violencia,intimidación,delitos,regional,"&amp;Agencia[[#This Row],[coleccion]]&amp;","&amp;Agencia[[#This Row],[sector]]&amp;","&amp;Agencia[[#This Row],[tema]]&amp;","&amp;Agencia[[#This Row],[contenido]]</f>
        <v>Región de Valparaíso,variación,frecuencia,casos policiales,robo,violencia,intimidación,delitos,regional,Agencia Información,Social,DMCS - Robo con Violencia o Intimidación,Delincuencia</v>
      </c>
      <c r="S1729" s="102" t="str">
        <f>HYPERLINK("https://analytics.zoho.com/open-view/2395394000009232951?ZOHO_CRITERIA=%22Localiza%20Chile%22.%22Codreg%22%3D"&amp;Agencia[[#This Row],[Filtro URL]])</f>
        <v>https://analytics.zoho.com/open-view/2395394000009232951?ZOHO_CRITERIA=%22Localiza%20Chile%22.%22Codreg%22%3D5</v>
      </c>
      <c r="T1729" s="110" t="s">
        <v>1857</v>
      </c>
      <c r="U1729" s="46" t="s">
        <v>4623</v>
      </c>
      <c r="V1729" s="93" t="str">
        <f>+Agencia[[#This Row],[idcoleccion]]&amp;"-"&amp;Agencia[[#This Row],[id]]</f>
        <v>990-1718</v>
      </c>
      <c r="W1729" s="96">
        <v>99200005</v>
      </c>
      <c r="X1729" s="93" t="str">
        <f>+VLOOKUP(Agencia[[#This Row],[tema]],Estructura!$A$4:$C$500,3,0)</f>
        <v>T-1073</v>
      </c>
      <c r="Y1729" s="93" t="str">
        <f>+VLOOKUP(Agencia[[#This Row],[contenido]],Estructura!$E$4:$G$500,3,0)</f>
        <v>C-998</v>
      </c>
      <c r="Z1729" s="93" t="str">
        <f>+VLOOKUP(Agencia[[#This Row],[Filtro Integrado]],Estructura!$I$4:$K$500,3,0)</f>
        <v>FI-993</v>
      </c>
      <c r="AA1729" s="93" t="str">
        <f>+VLOOKUP(Agencia[[#This Row],[Muestra]],Estructura!$M$4:$O$500,3,0)</f>
        <v>M-1109</v>
      </c>
    </row>
    <row r="1730" spans="1:27" ht="57.6" x14ac:dyDescent="0.3">
      <c r="A1730" s="21" t="s">
        <v>4859</v>
      </c>
      <c r="B1730" s="71">
        <v>990</v>
      </c>
      <c r="C1730" s="72" t="s">
        <v>400</v>
      </c>
      <c r="D1730" s="72" t="s">
        <v>785</v>
      </c>
      <c r="E1730" s="89">
        <v>6</v>
      </c>
      <c r="F1730" s="72" t="s">
        <v>4284</v>
      </c>
      <c r="G1730" s="73" t="s">
        <v>1879</v>
      </c>
      <c r="H1730" s="79" t="s">
        <v>16</v>
      </c>
      <c r="I1730" s="80" t="s">
        <v>373</v>
      </c>
      <c r="J1730" s="66" t="s">
        <v>403</v>
      </c>
      <c r="K1730" s="136" t="s">
        <v>9275</v>
      </c>
      <c r="L1730" s="71" t="s">
        <v>500</v>
      </c>
      <c r="M1730" s="71" t="s">
        <v>2312</v>
      </c>
      <c r="N1730" s="71" t="s">
        <v>456</v>
      </c>
      <c r="O1730" s="74" t="s">
        <v>3848</v>
      </c>
      <c r="P1730" s="112" t="s">
        <v>5275</v>
      </c>
      <c r="Q1730" s="75" t="s">
        <v>576</v>
      </c>
      <c r="R1730" s="74" t="str">
        <f>Agencia[[#This Row],[territorio]]&amp;",variación,frecuencia,casos policiales,robo,violencia,intimidación,delitos,regional,"&amp;Agencia[[#This Row],[coleccion]]&amp;","&amp;Agencia[[#This Row],[sector]]&amp;","&amp;Agencia[[#This Row],[tema]]&amp;","&amp;Agencia[[#This Row],[contenido]]</f>
        <v>Región de O'Higgins,variación,frecuencia,casos policiales,robo,violencia,intimidación,delitos,regional,Agencia Información,Social,DMCS - Robo con Violencia o Intimidación,Delincuencia</v>
      </c>
      <c r="S1730" s="102" t="str">
        <f>HYPERLINK("https://analytics.zoho.com/open-view/2395394000009232951?ZOHO_CRITERIA=%22Localiza%20Chile%22.%22Codreg%22%3D"&amp;Agencia[[#This Row],[Filtro URL]])</f>
        <v>https://analytics.zoho.com/open-view/2395394000009232951?ZOHO_CRITERIA=%22Localiza%20Chile%22.%22Codreg%22%3D6</v>
      </c>
      <c r="T1730" s="110" t="s">
        <v>1855</v>
      </c>
      <c r="U1730" s="46" t="s">
        <v>4624</v>
      </c>
      <c r="V1730" s="93" t="str">
        <f>+Agencia[[#This Row],[idcoleccion]]&amp;"-"&amp;Agencia[[#This Row],[id]]</f>
        <v>990-1719</v>
      </c>
      <c r="W1730" s="96">
        <v>99200006</v>
      </c>
      <c r="X1730" s="93" t="str">
        <f>+VLOOKUP(Agencia[[#This Row],[tema]],Estructura!$A$4:$C$500,3,0)</f>
        <v>T-1073</v>
      </c>
      <c r="Y1730" s="93" t="str">
        <f>+VLOOKUP(Agencia[[#This Row],[contenido]],Estructura!$E$4:$G$500,3,0)</f>
        <v>C-998</v>
      </c>
      <c r="Z1730" s="93" t="str">
        <f>+VLOOKUP(Agencia[[#This Row],[Filtro Integrado]],Estructura!$I$4:$K$500,3,0)</f>
        <v>FI-993</v>
      </c>
      <c r="AA1730" s="93" t="str">
        <f>+VLOOKUP(Agencia[[#This Row],[Muestra]],Estructura!$M$4:$O$500,3,0)</f>
        <v>M-1109</v>
      </c>
    </row>
    <row r="1731" spans="1:27" ht="57.6" x14ac:dyDescent="0.3">
      <c r="A1731" s="21" t="s">
        <v>4860</v>
      </c>
      <c r="B1731" s="71">
        <v>990</v>
      </c>
      <c r="C1731" s="72" t="s">
        <v>400</v>
      </c>
      <c r="D1731" s="72" t="s">
        <v>785</v>
      </c>
      <c r="E1731" s="89">
        <v>7</v>
      </c>
      <c r="F1731" s="72" t="s">
        <v>4284</v>
      </c>
      <c r="G1731" s="73" t="s">
        <v>1879</v>
      </c>
      <c r="H1731" s="79" t="s">
        <v>16</v>
      </c>
      <c r="I1731" s="80" t="s">
        <v>374</v>
      </c>
      <c r="J1731" s="66" t="s">
        <v>403</v>
      </c>
      <c r="K1731" s="136" t="s">
        <v>9275</v>
      </c>
      <c r="L1731" s="71" t="s">
        <v>500</v>
      </c>
      <c r="M1731" s="71" t="s">
        <v>2312</v>
      </c>
      <c r="N1731" s="71" t="s">
        <v>456</v>
      </c>
      <c r="O1731" s="74" t="s">
        <v>3849</v>
      </c>
      <c r="P1731" s="112" t="s">
        <v>5276</v>
      </c>
      <c r="Q1731" s="75" t="s">
        <v>576</v>
      </c>
      <c r="R1731" s="74" t="str">
        <f>Agencia[[#This Row],[territorio]]&amp;",variación,frecuencia,casos policiales,robo,violencia,intimidación,delitos,regional,"&amp;Agencia[[#This Row],[coleccion]]&amp;","&amp;Agencia[[#This Row],[sector]]&amp;","&amp;Agencia[[#This Row],[tema]]&amp;","&amp;Agencia[[#This Row],[contenido]]</f>
        <v>Región de Maule,variación,frecuencia,casos policiales,robo,violencia,intimidación,delitos,regional,Agencia Información,Social,DMCS - Robo con Violencia o Intimidación,Delincuencia</v>
      </c>
      <c r="S1731" s="102" t="str">
        <f>HYPERLINK("https://analytics.zoho.com/open-view/2395394000009232951?ZOHO_CRITERIA=%22Localiza%20Chile%22.%22Codreg%22%3D"&amp;Agencia[[#This Row],[Filtro URL]])</f>
        <v>https://analytics.zoho.com/open-view/2395394000009232951?ZOHO_CRITERIA=%22Localiza%20Chile%22.%22Codreg%22%3D7</v>
      </c>
      <c r="T1731" s="110" t="s">
        <v>1853</v>
      </c>
      <c r="U1731" s="46" t="s">
        <v>4625</v>
      </c>
      <c r="V1731" s="93" t="str">
        <f>+Agencia[[#This Row],[idcoleccion]]&amp;"-"&amp;Agencia[[#This Row],[id]]</f>
        <v>990-1720</v>
      </c>
      <c r="W1731" s="96">
        <v>99200007</v>
      </c>
      <c r="X1731" s="93" t="str">
        <f>+VLOOKUP(Agencia[[#This Row],[tema]],Estructura!$A$4:$C$500,3,0)</f>
        <v>T-1073</v>
      </c>
      <c r="Y1731" s="93" t="str">
        <f>+VLOOKUP(Agencia[[#This Row],[contenido]],Estructura!$E$4:$G$500,3,0)</f>
        <v>C-998</v>
      </c>
      <c r="Z1731" s="93" t="str">
        <f>+VLOOKUP(Agencia[[#This Row],[Filtro Integrado]],Estructura!$I$4:$K$500,3,0)</f>
        <v>FI-993</v>
      </c>
      <c r="AA1731" s="93" t="str">
        <f>+VLOOKUP(Agencia[[#This Row],[Muestra]],Estructura!$M$4:$O$500,3,0)</f>
        <v>M-1109</v>
      </c>
    </row>
    <row r="1732" spans="1:27" ht="57.6" x14ac:dyDescent="0.3">
      <c r="A1732" s="21" t="s">
        <v>4861</v>
      </c>
      <c r="B1732" s="71">
        <v>990</v>
      </c>
      <c r="C1732" s="72" t="s">
        <v>400</v>
      </c>
      <c r="D1732" s="72" t="s">
        <v>785</v>
      </c>
      <c r="E1732" s="89">
        <v>8</v>
      </c>
      <c r="F1732" s="72" t="s">
        <v>4284</v>
      </c>
      <c r="G1732" s="73" t="s">
        <v>1879</v>
      </c>
      <c r="H1732" s="79" t="s">
        <v>16</v>
      </c>
      <c r="I1732" s="80" t="s">
        <v>375</v>
      </c>
      <c r="J1732" s="66" t="s">
        <v>403</v>
      </c>
      <c r="K1732" s="136" t="s">
        <v>9275</v>
      </c>
      <c r="L1732" s="71" t="s">
        <v>500</v>
      </c>
      <c r="M1732" s="71" t="s">
        <v>2312</v>
      </c>
      <c r="N1732" s="71" t="s">
        <v>456</v>
      </c>
      <c r="O1732" s="74" t="s">
        <v>3850</v>
      </c>
      <c r="P1732" s="112" t="s">
        <v>5277</v>
      </c>
      <c r="Q1732" s="75" t="s">
        <v>576</v>
      </c>
      <c r="R1732" s="74" t="str">
        <f>Agencia[[#This Row],[territorio]]&amp;",variación,frecuencia,casos policiales,robo,violencia,intimidación,delitos,regional,"&amp;Agencia[[#This Row],[coleccion]]&amp;","&amp;Agencia[[#This Row],[sector]]&amp;","&amp;Agencia[[#This Row],[tema]]&amp;","&amp;Agencia[[#This Row],[contenido]]</f>
        <v>Región del Biobío,variación,frecuencia,casos policiales,robo,violencia,intimidación,delitos,regional,Agencia Información,Social,DMCS - Robo con Violencia o Intimidación,Delincuencia</v>
      </c>
      <c r="S1732" s="102" t="str">
        <f>HYPERLINK("https://analytics.zoho.com/open-view/2395394000009232951?ZOHO_CRITERIA=%22Localiza%20Chile%22.%22Codreg%22%3D"&amp;Agencia[[#This Row],[Filtro URL]])</f>
        <v>https://analytics.zoho.com/open-view/2395394000009232951?ZOHO_CRITERIA=%22Localiza%20Chile%22.%22Codreg%22%3D8</v>
      </c>
      <c r="T1732" s="110" t="s">
        <v>1858</v>
      </c>
      <c r="U1732" s="46" t="s">
        <v>4626</v>
      </c>
      <c r="V1732" s="93" t="str">
        <f>+Agencia[[#This Row],[idcoleccion]]&amp;"-"&amp;Agencia[[#This Row],[id]]</f>
        <v>990-1721</v>
      </c>
      <c r="W1732" s="96">
        <v>99200008</v>
      </c>
      <c r="X1732" s="93" t="str">
        <f>+VLOOKUP(Agencia[[#This Row],[tema]],Estructura!$A$4:$C$500,3,0)</f>
        <v>T-1073</v>
      </c>
      <c r="Y1732" s="93" t="str">
        <f>+VLOOKUP(Agencia[[#This Row],[contenido]],Estructura!$E$4:$G$500,3,0)</f>
        <v>C-998</v>
      </c>
      <c r="Z1732" s="93" t="str">
        <f>+VLOOKUP(Agencia[[#This Row],[Filtro Integrado]],Estructura!$I$4:$K$500,3,0)</f>
        <v>FI-993</v>
      </c>
      <c r="AA1732" s="93" t="str">
        <f>+VLOOKUP(Agencia[[#This Row],[Muestra]],Estructura!$M$4:$O$500,3,0)</f>
        <v>M-1109</v>
      </c>
    </row>
    <row r="1733" spans="1:27" ht="57.6" x14ac:dyDescent="0.3">
      <c r="A1733" s="21" t="s">
        <v>4862</v>
      </c>
      <c r="B1733" s="71">
        <v>990</v>
      </c>
      <c r="C1733" s="72" t="s">
        <v>400</v>
      </c>
      <c r="D1733" s="72" t="s">
        <v>785</v>
      </c>
      <c r="E1733" s="89">
        <v>9</v>
      </c>
      <c r="F1733" s="72" t="s">
        <v>4284</v>
      </c>
      <c r="G1733" s="73" t="s">
        <v>1879</v>
      </c>
      <c r="H1733" s="79" t="s">
        <v>16</v>
      </c>
      <c r="I1733" s="80" t="s">
        <v>376</v>
      </c>
      <c r="J1733" s="66" t="s">
        <v>403</v>
      </c>
      <c r="K1733" s="136" t="s">
        <v>9275</v>
      </c>
      <c r="L1733" s="71" t="s">
        <v>500</v>
      </c>
      <c r="M1733" s="71" t="s">
        <v>2312</v>
      </c>
      <c r="N1733" s="71" t="s">
        <v>456</v>
      </c>
      <c r="O1733" s="74" t="s">
        <v>3851</v>
      </c>
      <c r="P1733" s="112" t="s">
        <v>5278</v>
      </c>
      <c r="Q1733" s="75" t="s">
        <v>576</v>
      </c>
      <c r="R1733" s="74" t="str">
        <f>Agencia[[#This Row],[territorio]]&amp;",variación,frecuencia,casos policiales,robo,violencia,intimidación,delitos,regional,"&amp;Agencia[[#This Row],[coleccion]]&amp;","&amp;Agencia[[#This Row],[sector]]&amp;","&amp;Agencia[[#This Row],[tema]]&amp;","&amp;Agencia[[#This Row],[contenido]]</f>
        <v>Región de La Araucanía,variación,frecuencia,casos policiales,robo,violencia,intimidación,delitos,regional,Agencia Información,Social,DMCS - Robo con Violencia o Intimidación,Delincuencia</v>
      </c>
      <c r="S1733" s="102" t="str">
        <f>HYPERLINK("https://analytics.zoho.com/open-view/2395394000009232951?ZOHO_CRITERIA=%22Localiza%20Chile%22.%22Codreg%22%3D"&amp;Agencia[[#This Row],[Filtro URL]])</f>
        <v>https://analytics.zoho.com/open-view/2395394000009232951?ZOHO_CRITERIA=%22Localiza%20Chile%22.%22Codreg%22%3D9</v>
      </c>
      <c r="T1733" s="110" t="s">
        <v>1849</v>
      </c>
      <c r="U1733" s="46" t="s">
        <v>4627</v>
      </c>
      <c r="V1733" s="93" t="str">
        <f>+Agencia[[#This Row],[idcoleccion]]&amp;"-"&amp;Agencia[[#This Row],[id]]</f>
        <v>990-1722</v>
      </c>
      <c r="W1733" s="96">
        <v>99200009</v>
      </c>
      <c r="X1733" s="93" t="str">
        <f>+VLOOKUP(Agencia[[#This Row],[tema]],Estructura!$A$4:$C$500,3,0)</f>
        <v>T-1073</v>
      </c>
      <c r="Y1733" s="93" t="str">
        <f>+VLOOKUP(Agencia[[#This Row],[contenido]],Estructura!$E$4:$G$500,3,0)</f>
        <v>C-998</v>
      </c>
      <c r="Z1733" s="93" t="str">
        <f>+VLOOKUP(Agencia[[#This Row],[Filtro Integrado]],Estructura!$I$4:$K$500,3,0)</f>
        <v>FI-993</v>
      </c>
      <c r="AA1733" s="93" t="str">
        <f>+VLOOKUP(Agencia[[#This Row],[Muestra]],Estructura!$M$4:$O$500,3,0)</f>
        <v>M-1109</v>
      </c>
    </row>
    <row r="1734" spans="1:27" ht="57.6" x14ac:dyDescent="0.3">
      <c r="A1734" s="21" t="s">
        <v>4863</v>
      </c>
      <c r="B1734" s="71">
        <v>990</v>
      </c>
      <c r="C1734" s="72" t="s">
        <v>400</v>
      </c>
      <c r="D1734" s="72" t="s">
        <v>785</v>
      </c>
      <c r="E1734" s="89">
        <v>10</v>
      </c>
      <c r="F1734" s="72" t="s">
        <v>4284</v>
      </c>
      <c r="G1734" s="73" t="s">
        <v>1879</v>
      </c>
      <c r="H1734" s="79" t="s">
        <v>16</v>
      </c>
      <c r="I1734" s="80" t="s">
        <v>377</v>
      </c>
      <c r="J1734" s="66" t="s">
        <v>403</v>
      </c>
      <c r="K1734" s="136" t="s">
        <v>9275</v>
      </c>
      <c r="L1734" s="71" t="s">
        <v>500</v>
      </c>
      <c r="M1734" s="71" t="s">
        <v>2312</v>
      </c>
      <c r="N1734" s="71" t="s">
        <v>456</v>
      </c>
      <c r="O1734" s="74" t="s">
        <v>3852</v>
      </c>
      <c r="P1734" s="112" t="s">
        <v>5279</v>
      </c>
      <c r="Q1734" s="75" t="s">
        <v>576</v>
      </c>
      <c r="R1734" s="74" t="str">
        <f>Agencia[[#This Row],[territorio]]&amp;",variación,frecuencia,casos policiales,robo,violencia,intimidación,delitos,regional,"&amp;Agencia[[#This Row],[coleccion]]&amp;","&amp;Agencia[[#This Row],[sector]]&amp;","&amp;Agencia[[#This Row],[tema]]&amp;","&amp;Agencia[[#This Row],[contenido]]</f>
        <v>Región de Los Lagos,variación,frecuencia,casos policiales,robo,violencia,intimidación,delitos,regional,Agencia Información,Social,DMCS - Robo con Violencia o Intimidación,Delincuencia</v>
      </c>
      <c r="S1734" s="102" t="str">
        <f>HYPERLINK("https://analytics.zoho.com/open-view/2395394000009232951?ZOHO_CRITERIA=%22Localiza%20Chile%22.%22Codreg%22%3D"&amp;Agencia[[#This Row],[Filtro URL]])</f>
        <v>https://analytics.zoho.com/open-view/2395394000009232951?ZOHO_CRITERIA=%22Localiza%20Chile%22.%22Codreg%22%3D10</v>
      </c>
      <c r="T1734" s="110" t="s">
        <v>1850</v>
      </c>
      <c r="U1734" s="46" t="s">
        <v>4628</v>
      </c>
      <c r="V1734" s="93" t="str">
        <f>+Agencia[[#This Row],[idcoleccion]]&amp;"-"&amp;Agencia[[#This Row],[id]]</f>
        <v>990-1723</v>
      </c>
      <c r="W1734" s="96">
        <v>99200010</v>
      </c>
      <c r="X1734" s="93" t="str">
        <f>+VLOOKUP(Agencia[[#This Row],[tema]],Estructura!$A$4:$C$500,3,0)</f>
        <v>T-1073</v>
      </c>
      <c r="Y1734" s="93" t="str">
        <f>+VLOOKUP(Agencia[[#This Row],[contenido]],Estructura!$E$4:$G$500,3,0)</f>
        <v>C-998</v>
      </c>
      <c r="Z1734" s="93" t="str">
        <f>+VLOOKUP(Agencia[[#This Row],[Filtro Integrado]],Estructura!$I$4:$K$500,3,0)</f>
        <v>FI-993</v>
      </c>
      <c r="AA1734" s="93" t="str">
        <f>+VLOOKUP(Agencia[[#This Row],[Muestra]],Estructura!$M$4:$O$500,3,0)</f>
        <v>M-1109</v>
      </c>
    </row>
    <row r="1735" spans="1:27" ht="57.6" x14ac:dyDescent="0.3">
      <c r="A1735" s="21" t="s">
        <v>4864</v>
      </c>
      <c r="B1735" s="71">
        <v>990</v>
      </c>
      <c r="C1735" s="72" t="s">
        <v>400</v>
      </c>
      <c r="D1735" s="72" t="s">
        <v>785</v>
      </c>
      <c r="E1735" s="89">
        <v>11</v>
      </c>
      <c r="F1735" s="72" t="s">
        <v>4284</v>
      </c>
      <c r="G1735" s="73" t="s">
        <v>1879</v>
      </c>
      <c r="H1735" s="79" t="s">
        <v>16</v>
      </c>
      <c r="I1735" s="80" t="s">
        <v>378</v>
      </c>
      <c r="J1735" s="66" t="s">
        <v>403</v>
      </c>
      <c r="K1735" s="136" t="s">
        <v>9275</v>
      </c>
      <c r="L1735" s="71" t="s">
        <v>500</v>
      </c>
      <c r="M1735" s="71" t="s">
        <v>2312</v>
      </c>
      <c r="N1735" s="71" t="s">
        <v>456</v>
      </c>
      <c r="O1735" s="74" t="s">
        <v>3853</v>
      </c>
      <c r="P1735" s="112" t="s">
        <v>5280</v>
      </c>
      <c r="Q1735" s="75" t="s">
        <v>576</v>
      </c>
      <c r="R1735" s="74" t="str">
        <f>Agencia[[#This Row],[territorio]]&amp;",variación,frecuencia,casos policiales,robo,violencia,intimidación,delitos,regional,"&amp;Agencia[[#This Row],[coleccion]]&amp;","&amp;Agencia[[#This Row],[sector]]&amp;","&amp;Agencia[[#This Row],[tema]]&amp;","&amp;Agencia[[#This Row],[contenido]]</f>
        <v>Región de Aysén,variación,frecuencia,casos policiales,robo,violencia,intimidación,delitos,regional,Agencia Información,Social,DMCS - Robo con Violencia o Intimidación,Delincuencia</v>
      </c>
      <c r="S1735" s="102" t="str">
        <f>HYPERLINK("https://analytics.zoho.com/open-view/2395394000009232951?ZOHO_CRITERIA=%22Localiza%20Chile%22.%22Codreg%22%3D"&amp;Agencia[[#This Row],[Filtro URL]])</f>
        <v>https://analytics.zoho.com/open-view/2395394000009232951?ZOHO_CRITERIA=%22Localiza%20Chile%22.%22Codreg%22%3D11</v>
      </c>
      <c r="T1735" s="110" t="s">
        <v>1847</v>
      </c>
      <c r="U1735" s="46" t="s">
        <v>4629</v>
      </c>
      <c r="V1735" s="93" t="str">
        <f>+Agencia[[#This Row],[idcoleccion]]&amp;"-"&amp;Agencia[[#This Row],[id]]</f>
        <v>990-1724</v>
      </c>
      <c r="W1735" s="96">
        <v>99200011</v>
      </c>
      <c r="X1735" s="93" t="str">
        <f>+VLOOKUP(Agencia[[#This Row],[tema]],Estructura!$A$4:$C$500,3,0)</f>
        <v>T-1073</v>
      </c>
      <c r="Y1735" s="93" t="str">
        <f>+VLOOKUP(Agencia[[#This Row],[contenido]],Estructura!$E$4:$G$500,3,0)</f>
        <v>C-998</v>
      </c>
      <c r="Z1735" s="93" t="str">
        <f>+VLOOKUP(Agencia[[#This Row],[Filtro Integrado]],Estructura!$I$4:$K$500,3,0)</f>
        <v>FI-993</v>
      </c>
      <c r="AA1735" s="93" t="str">
        <f>+VLOOKUP(Agencia[[#This Row],[Muestra]],Estructura!$M$4:$O$500,3,0)</f>
        <v>M-1109</v>
      </c>
    </row>
    <row r="1736" spans="1:27" ht="57.6" x14ac:dyDescent="0.3">
      <c r="A1736" s="21" t="s">
        <v>4865</v>
      </c>
      <c r="B1736" s="71">
        <v>990</v>
      </c>
      <c r="C1736" s="72" t="s">
        <v>400</v>
      </c>
      <c r="D1736" s="72" t="s">
        <v>785</v>
      </c>
      <c r="E1736" s="89">
        <v>12</v>
      </c>
      <c r="F1736" s="72" t="s">
        <v>4284</v>
      </c>
      <c r="G1736" s="73" t="s">
        <v>1879</v>
      </c>
      <c r="H1736" s="79" t="s">
        <v>16</v>
      </c>
      <c r="I1736" s="80" t="s">
        <v>379</v>
      </c>
      <c r="J1736" s="66" t="s">
        <v>403</v>
      </c>
      <c r="K1736" s="136" t="s">
        <v>9275</v>
      </c>
      <c r="L1736" s="71" t="s">
        <v>500</v>
      </c>
      <c r="M1736" s="71" t="s">
        <v>2312</v>
      </c>
      <c r="N1736" s="71" t="s">
        <v>456</v>
      </c>
      <c r="O1736" s="74" t="s">
        <v>3854</v>
      </c>
      <c r="P1736" s="112" t="s">
        <v>5281</v>
      </c>
      <c r="Q1736" s="75" t="s">
        <v>576</v>
      </c>
      <c r="R1736" s="74" t="str">
        <f>Agencia[[#This Row],[territorio]]&amp;",variación,frecuencia,casos policiales,robo,violencia,intimidación,delitos,regional,"&amp;Agencia[[#This Row],[coleccion]]&amp;","&amp;Agencia[[#This Row],[sector]]&amp;","&amp;Agencia[[#This Row],[tema]]&amp;","&amp;Agencia[[#This Row],[contenido]]</f>
        <v>Región de Magallanes,variación,frecuencia,casos policiales,robo,violencia,intimidación,delitos,regional,Agencia Información,Social,DMCS - Robo con Violencia o Intimidación,Delincuencia</v>
      </c>
      <c r="S1736" s="102" t="str">
        <f>HYPERLINK("https://analytics.zoho.com/open-view/2395394000009232951?ZOHO_CRITERIA=%22Localiza%20Chile%22.%22Codreg%22%3D"&amp;Agencia[[#This Row],[Filtro URL]])</f>
        <v>https://analytics.zoho.com/open-view/2395394000009232951?ZOHO_CRITERIA=%22Localiza%20Chile%22.%22Codreg%22%3D12</v>
      </c>
      <c r="T1736" s="110" t="s">
        <v>1852</v>
      </c>
      <c r="U1736" s="46" t="s">
        <v>4630</v>
      </c>
      <c r="V1736" s="93" t="str">
        <f>+Agencia[[#This Row],[idcoleccion]]&amp;"-"&amp;Agencia[[#This Row],[id]]</f>
        <v>990-1725</v>
      </c>
      <c r="W1736" s="96">
        <v>99200012</v>
      </c>
      <c r="X1736" s="93" t="str">
        <f>+VLOOKUP(Agencia[[#This Row],[tema]],Estructura!$A$4:$C$500,3,0)</f>
        <v>T-1073</v>
      </c>
      <c r="Y1736" s="93" t="str">
        <f>+VLOOKUP(Agencia[[#This Row],[contenido]],Estructura!$E$4:$G$500,3,0)</f>
        <v>C-998</v>
      </c>
      <c r="Z1736" s="93" t="str">
        <f>+VLOOKUP(Agencia[[#This Row],[Filtro Integrado]],Estructura!$I$4:$K$500,3,0)</f>
        <v>FI-993</v>
      </c>
      <c r="AA1736" s="93" t="str">
        <f>+VLOOKUP(Agencia[[#This Row],[Muestra]],Estructura!$M$4:$O$500,3,0)</f>
        <v>M-1109</v>
      </c>
    </row>
    <row r="1737" spans="1:27" ht="57.6" x14ac:dyDescent="0.3">
      <c r="A1737" s="21" t="s">
        <v>4866</v>
      </c>
      <c r="B1737" s="71">
        <v>990</v>
      </c>
      <c r="C1737" s="72" t="s">
        <v>400</v>
      </c>
      <c r="D1737" s="72" t="s">
        <v>785</v>
      </c>
      <c r="E1737" s="89">
        <v>13</v>
      </c>
      <c r="F1737" s="72" t="s">
        <v>4284</v>
      </c>
      <c r="G1737" s="73" t="s">
        <v>1879</v>
      </c>
      <c r="H1737" s="79" t="s">
        <v>16</v>
      </c>
      <c r="I1737" s="80" t="s">
        <v>380</v>
      </c>
      <c r="J1737" s="66" t="s">
        <v>403</v>
      </c>
      <c r="K1737" s="136" t="s">
        <v>9275</v>
      </c>
      <c r="L1737" s="71" t="s">
        <v>500</v>
      </c>
      <c r="M1737" s="71" t="s">
        <v>2312</v>
      </c>
      <c r="N1737" s="71" t="s">
        <v>456</v>
      </c>
      <c r="O1737" s="74" t="s">
        <v>3855</v>
      </c>
      <c r="P1737" s="112" t="s">
        <v>5282</v>
      </c>
      <c r="Q1737" s="75" t="s">
        <v>576</v>
      </c>
      <c r="R1737" s="74" t="str">
        <f>Agencia[[#This Row],[territorio]]&amp;",variación,frecuencia,casos policiales,robo,violencia,intimidación,delitos,regional,"&amp;Agencia[[#This Row],[coleccion]]&amp;","&amp;Agencia[[#This Row],[sector]]&amp;","&amp;Agencia[[#This Row],[tema]]&amp;","&amp;Agencia[[#This Row],[contenido]]</f>
        <v>Región Metropolitana,variación,frecuencia,casos policiales,robo,violencia,intimidación,delitos,regional,Agencia Información,Social,DMCS - Robo con Violencia o Intimidación,Delincuencia</v>
      </c>
      <c r="S1737" s="102" t="str">
        <f>HYPERLINK("https://analytics.zoho.com/open-view/2395394000009232951?ZOHO_CRITERIA=%22Localiza%20Chile%22.%22Codreg%22%3D"&amp;Agencia[[#This Row],[Filtro URL]])</f>
        <v>https://analytics.zoho.com/open-view/2395394000009232951?ZOHO_CRITERIA=%22Localiza%20Chile%22.%22Codreg%22%3D13</v>
      </c>
      <c r="T1737" s="110" t="s">
        <v>1859</v>
      </c>
      <c r="U1737" s="46" t="s">
        <v>4631</v>
      </c>
      <c r="V1737" s="93" t="str">
        <f>+Agencia[[#This Row],[idcoleccion]]&amp;"-"&amp;Agencia[[#This Row],[id]]</f>
        <v>990-1726</v>
      </c>
      <c r="W1737" s="96">
        <v>99200013</v>
      </c>
      <c r="X1737" s="93" t="str">
        <f>+VLOOKUP(Agencia[[#This Row],[tema]],Estructura!$A$4:$C$500,3,0)</f>
        <v>T-1073</v>
      </c>
      <c r="Y1737" s="93" t="str">
        <f>+VLOOKUP(Agencia[[#This Row],[contenido]],Estructura!$E$4:$G$500,3,0)</f>
        <v>C-998</v>
      </c>
      <c r="Z1737" s="93" t="str">
        <f>+VLOOKUP(Agencia[[#This Row],[Filtro Integrado]],Estructura!$I$4:$K$500,3,0)</f>
        <v>FI-993</v>
      </c>
      <c r="AA1737" s="93" t="str">
        <f>+VLOOKUP(Agencia[[#This Row],[Muestra]],Estructura!$M$4:$O$500,3,0)</f>
        <v>M-1109</v>
      </c>
    </row>
    <row r="1738" spans="1:27" ht="57.6" x14ac:dyDescent="0.3">
      <c r="A1738" s="21" t="s">
        <v>4867</v>
      </c>
      <c r="B1738" s="71">
        <v>990</v>
      </c>
      <c r="C1738" s="72" t="s">
        <v>400</v>
      </c>
      <c r="D1738" s="72" t="s">
        <v>785</v>
      </c>
      <c r="E1738" s="89">
        <v>14</v>
      </c>
      <c r="F1738" s="72" t="s">
        <v>4284</v>
      </c>
      <c r="G1738" s="73" t="s">
        <v>1879</v>
      </c>
      <c r="H1738" s="79" t="s">
        <v>16</v>
      </c>
      <c r="I1738" s="80" t="s">
        <v>381</v>
      </c>
      <c r="J1738" s="66" t="s">
        <v>403</v>
      </c>
      <c r="K1738" s="136" t="s">
        <v>9275</v>
      </c>
      <c r="L1738" s="71" t="s">
        <v>500</v>
      </c>
      <c r="M1738" s="71" t="s">
        <v>2312</v>
      </c>
      <c r="N1738" s="71" t="s">
        <v>456</v>
      </c>
      <c r="O1738" s="74" t="s">
        <v>3856</v>
      </c>
      <c r="P1738" s="112" t="s">
        <v>5283</v>
      </c>
      <c r="Q1738" s="75" t="s">
        <v>576</v>
      </c>
      <c r="R1738" s="74" t="str">
        <f>Agencia[[#This Row],[territorio]]&amp;",variación,frecuencia,casos policiales,robo,violencia,intimidación,delitos,regional,"&amp;Agencia[[#This Row],[coleccion]]&amp;","&amp;Agencia[[#This Row],[sector]]&amp;","&amp;Agencia[[#This Row],[tema]]&amp;","&amp;Agencia[[#This Row],[contenido]]</f>
        <v>Región de Los Ríos,variación,frecuencia,casos policiales,robo,violencia,intimidación,delitos,regional,Agencia Información,Social,DMCS - Robo con Violencia o Intimidación,Delincuencia</v>
      </c>
      <c r="S1738" s="102" t="str">
        <f>HYPERLINK("https://analytics.zoho.com/open-view/2395394000009232951?ZOHO_CRITERIA=%22Localiza%20Chile%22.%22Codreg%22%3D"&amp;Agencia[[#This Row],[Filtro URL]])</f>
        <v>https://analytics.zoho.com/open-view/2395394000009232951?ZOHO_CRITERIA=%22Localiza%20Chile%22.%22Codreg%22%3D14</v>
      </c>
      <c r="T1738" s="110" t="s">
        <v>1851</v>
      </c>
      <c r="U1738" s="46" t="s">
        <v>4632</v>
      </c>
      <c r="V1738" s="93" t="str">
        <f>+Agencia[[#This Row],[idcoleccion]]&amp;"-"&amp;Agencia[[#This Row],[id]]</f>
        <v>990-1727</v>
      </c>
      <c r="W1738" s="96">
        <v>99200014</v>
      </c>
      <c r="X1738" s="93" t="str">
        <f>+VLOOKUP(Agencia[[#This Row],[tema]],Estructura!$A$4:$C$500,3,0)</f>
        <v>T-1073</v>
      </c>
      <c r="Y1738" s="93" t="str">
        <f>+VLOOKUP(Agencia[[#This Row],[contenido]],Estructura!$E$4:$G$500,3,0)</f>
        <v>C-998</v>
      </c>
      <c r="Z1738" s="93" t="str">
        <f>+VLOOKUP(Agencia[[#This Row],[Filtro Integrado]],Estructura!$I$4:$K$500,3,0)</f>
        <v>FI-993</v>
      </c>
      <c r="AA1738" s="93" t="str">
        <f>+VLOOKUP(Agencia[[#This Row],[Muestra]],Estructura!$M$4:$O$500,3,0)</f>
        <v>M-1109</v>
      </c>
    </row>
    <row r="1739" spans="1:27" ht="57.6" x14ac:dyDescent="0.3">
      <c r="A1739" s="21" t="s">
        <v>4868</v>
      </c>
      <c r="B1739" s="71">
        <v>990</v>
      </c>
      <c r="C1739" s="72" t="s">
        <v>400</v>
      </c>
      <c r="D1739" s="72" t="s">
        <v>785</v>
      </c>
      <c r="E1739" s="89">
        <v>15</v>
      </c>
      <c r="F1739" s="72" t="s">
        <v>4284</v>
      </c>
      <c r="G1739" s="73" t="s">
        <v>1879</v>
      </c>
      <c r="H1739" s="79" t="s">
        <v>16</v>
      </c>
      <c r="I1739" s="80" t="s">
        <v>382</v>
      </c>
      <c r="J1739" s="66" t="s">
        <v>403</v>
      </c>
      <c r="K1739" s="136" t="s">
        <v>9275</v>
      </c>
      <c r="L1739" s="71" t="s">
        <v>500</v>
      </c>
      <c r="M1739" s="71" t="s">
        <v>2312</v>
      </c>
      <c r="N1739" s="71" t="s">
        <v>456</v>
      </c>
      <c r="O1739" s="74" t="s">
        <v>3857</v>
      </c>
      <c r="P1739" s="112" t="s">
        <v>5284</v>
      </c>
      <c r="Q1739" s="75" t="s">
        <v>576</v>
      </c>
      <c r="R1739" s="74" t="str">
        <f>Agencia[[#This Row],[territorio]]&amp;",variación,frecuencia,casos policiales,robo,violencia,intimidación,delitos,regional,"&amp;Agencia[[#This Row],[coleccion]]&amp;","&amp;Agencia[[#This Row],[sector]]&amp;","&amp;Agencia[[#This Row],[tema]]&amp;","&amp;Agencia[[#This Row],[contenido]]</f>
        <v>Región de Arica y Parinacota,variación,frecuencia,casos policiales,robo,violencia,intimidación,delitos,regional,Agencia Información,Social,DMCS - Robo con Violencia o Intimidación,Delincuencia</v>
      </c>
      <c r="S1739" s="102" t="str">
        <f>HYPERLINK("https://analytics.zoho.com/open-view/2395394000009232951?ZOHO_CRITERIA=%22Localiza%20Chile%22.%22Codreg%22%3D"&amp;Agencia[[#This Row],[Filtro URL]])</f>
        <v>https://analytics.zoho.com/open-view/2395394000009232951?ZOHO_CRITERIA=%22Localiza%20Chile%22.%22Codreg%22%3D15</v>
      </c>
      <c r="T1739" s="110" t="s">
        <v>1845</v>
      </c>
      <c r="U1739" s="46" t="s">
        <v>4633</v>
      </c>
      <c r="V1739" s="93" t="str">
        <f>+Agencia[[#This Row],[idcoleccion]]&amp;"-"&amp;Agencia[[#This Row],[id]]</f>
        <v>990-1728</v>
      </c>
      <c r="W1739" s="96">
        <v>99200015</v>
      </c>
      <c r="X1739" s="93" t="str">
        <f>+VLOOKUP(Agencia[[#This Row],[tema]],Estructura!$A$4:$C$500,3,0)</f>
        <v>T-1073</v>
      </c>
      <c r="Y1739" s="93" t="str">
        <f>+VLOOKUP(Agencia[[#This Row],[contenido]],Estructura!$E$4:$G$500,3,0)</f>
        <v>C-998</v>
      </c>
      <c r="Z1739" s="93" t="str">
        <f>+VLOOKUP(Agencia[[#This Row],[Filtro Integrado]],Estructura!$I$4:$K$500,3,0)</f>
        <v>FI-993</v>
      </c>
      <c r="AA1739" s="93" t="str">
        <f>+VLOOKUP(Agencia[[#This Row],[Muestra]],Estructura!$M$4:$O$500,3,0)</f>
        <v>M-1109</v>
      </c>
    </row>
    <row r="1740" spans="1:27" ht="57.6" x14ac:dyDescent="0.3">
      <c r="A1740" s="21" t="s">
        <v>4869</v>
      </c>
      <c r="B1740" s="71">
        <v>990</v>
      </c>
      <c r="C1740" s="72" t="s">
        <v>400</v>
      </c>
      <c r="D1740" s="72" t="s">
        <v>785</v>
      </c>
      <c r="E1740" s="89">
        <v>16</v>
      </c>
      <c r="F1740" s="72" t="s">
        <v>4284</v>
      </c>
      <c r="G1740" s="73" t="s">
        <v>1879</v>
      </c>
      <c r="H1740" s="79" t="s">
        <v>16</v>
      </c>
      <c r="I1740" s="80" t="s">
        <v>383</v>
      </c>
      <c r="J1740" s="66" t="s">
        <v>403</v>
      </c>
      <c r="K1740" s="136" t="s">
        <v>9275</v>
      </c>
      <c r="L1740" s="71" t="s">
        <v>500</v>
      </c>
      <c r="M1740" s="71" t="s">
        <v>2312</v>
      </c>
      <c r="N1740" s="71" t="s">
        <v>456</v>
      </c>
      <c r="O1740" s="74" t="s">
        <v>3858</v>
      </c>
      <c r="P1740" s="113" t="s">
        <v>5285</v>
      </c>
      <c r="Q1740" s="75" t="s">
        <v>576</v>
      </c>
      <c r="R1740" s="74" t="str">
        <f>Agencia[[#This Row],[territorio]]&amp;",variación,frecuencia,casos policiales,robo,violencia,intimidación,delitos,regional,"&amp;Agencia[[#This Row],[coleccion]]&amp;","&amp;Agencia[[#This Row],[sector]]&amp;","&amp;Agencia[[#This Row],[tema]]&amp;","&amp;Agencia[[#This Row],[contenido]]</f>
        <v>Región de Ñuble,variación,frecuencia,casos policiales,robo,violencia,intimidación,delitos,regional,Agencia Información,Social,DMCS - Robo con Violencia o Intimidación,Delincuencia</v>
      </c>
      <c r="S1740" s="102" t="str">
        <f>HYPERLINK("https://analytics.zoho.com/open-view/2395394000009232951?ZOHO_CRITERIA=%22Localiza%20Chile%22.%22Codreg%22%3D"&amp;Agencia[[#This Row],[Filtro URL]])</f>
        <v>https://analytics.zoho.com/open-view/2395394000009232951?ZOHO_CRITERIA=%22Localiza%20Chile%22.%22Codreg%22%3D16</v>
      </c>
      <c r="T1740" s="109" t="s">
        <v>1854</v>
      </c>
      <c r="U1740" s="46" t="s">
        <v>4634</v>
      </c>
      <c r="V1740" s="93" t="str">
        <f>+Agencia[[#This Row],[idcoleccion]]&amp;"-"&amp;Agencia[[#This Row],[id]]</f>
        <v>990-1729</v>
      </c>
      <c r="W1740" s="96">
        <v>99200016</v>
      </c>
      <c r="X1740" s="93" t="str">
        <f>+VLOOKUP(Agencia[[#This Row],[tema]],Estructura!$A$4:$C$500,3,0)</f>
        <v>T-1073</v>
      </c>
      <c r="Y1740" s="93" t="str">
        <f>+VLOOKUP(Agencia[[#This Row],[contenido]],Estructura!$E$4:$G$500,3,0)</f>
        <v>C-998</v>
      </c>
      <c r="Z1740" s="93" t="str">
        <f>+VLOOKUP(Agencia[[#This Row],[Filtro Integrado]],Estructura!$I$4:$K$500,3,0)</f>
        <v>FI-993</v>
      </c>
      <c r="AA1740" s="93" t="str">
        <f>+VLOOKUP(Agencia[[#This Row],[Muestra]],Estructura!$M$4:$O$500,3,0)</f>
        <v>M-1109</v>
      </c>
    </row>
    <row r="1741" spans="1:27" ht="48" x14ac:dyDescent="0.3">
      <c r="A1741" s="21" t="s">
        <v>4870</v>
      </c>
      <c r="B1741" s="71">
        <v>990</v>
      </c>
      <c r="C1741" s="72" t="s">
        <v>400</v>
      </c>
      <c r="D1741" s="72" t="s">
        <v>785</v>
      </c>
      <c r="E1741" s="90">
        <v>0</v>
      </c>
      <c r="F1741" s="72" t="s">
        <v>4285</v>
      </c>
      <c r="G1741" s="73" t="s">
        <v>1879</v>
      </c>
      <c r="H1741" s="77" t="s">
        <v>20</v>
      </c>
      <c r="I1741" s="78" t="s">
        <v>15</v>
      </c>
      <c r="J1741" s="71" t="s">
        <v>16</v>
      </c>
      <c r="K1741" s="136" t="s">
        <v>9275</v>
      </c>
      <c r="L1741" s="71" t="s">
        <v>500</v>
      </c>
      <c r="M1741" s="71" t="s">
        <v>2312</v>
      </c>
      <c r="N1741" s="71" t="s">
        <v>456</v>
      </c>
      <c r="O1741" s="74" t="s">
        <v>3859</v>
      </c>
      <c r="P1741" s="113" t="s">
        <v>5270</v>
      </c>
      <c r="Q1741" s="75" t="s">
        <v>576</v>
      </c>
      <c r="R1741" s="70" t="str">
        <f>Agencia[[#This Row],[territorio]]&amp;",social,variación,frecuencia,casos policiales,homicidios,delitos,anual,"&amp;Agencia[[#This Row],[coleccion]]&amp;","&amp;Agencia[[#This Row],[sector]]&amp;","&amp;Agencia[[#This Row],[tema]]&amp;","&amp;Agencia[[#This Row],[contenido]]</f>
        <v>Chile,social,variación,frecuencia,casos policiales,homicidios,delitos,anual,Agencia Información,Social,DMCS - Homicidio,Delincuencia</v>
      </c>
      <c r="S1741" s="81" t="s">
        <v>5251</v>
      </c>
      <c r="T1741" s="109" t="s">
        <v>957</v>
      </c>
      <c r="U1741" s="46" t="s">
        <v>4635</v>
      </c>
      <c r="V1741" s="93" t="str">
        <f>+Agencia[[#This Row],[idcoleccion]]&amp;"-"&amp;Agencia[[#This Row],[id]]</f>
        <v>990-1730</v>
      </c>
      <c r="W1741" s="96">
        <v>99100000</v>
      </c>
      <c r="X1741" s="93" t="str">
        <f>+VLOOKUP(Agencia[[#This Row],[tema]],Estructura!$A$4:$C$500,3,0)</f>
        <v>T-1074</v>
      </c>
      <c r="Y1741" s="93" t="str">
        <f>+VLOOKUP(Agencia[[#This Row],[contenido]],Estructura!$E$4:$G$500,3,0)</f>
        <v>C-998</v>
      </c>
      <c r="Z1741" s="93" t="str">
        <f>+VLOOKUP(Agencia[[#This Row],[Filtro Integrado]],Estructura!$I$4:$K$500,3,0)</f>
        <v>FI-992</v>
      </c>
      <c r="AA1741" s="93" t="str">
        <f>+VLOOKUP(Agencia[[#This Row],[Muestra]],Estructura!$M$4:$O$500,3,0)</f>
        <v>M-1109</v>
      </c>
    </row>
    <row r="1742" spans="1:27" ht="57.6" x14ac:dyDescent="0.3">
      <c r="A1742" s="21" t="s">
        <v>4871</v>
      </c>
      <c r="B1742" s="71">
        <v>990</v>
      </c>
      <c r="C1742" s="72" t="s">
        <v>400</v>
      </c>
      <c r="D1742" s="72" t="s">
        <v>785</v>
      </c>
      <c r="E1742" s="89">
        <v>1</v>
      </c>
      <c r="F1742" s="72" t="s">
        <v>4285</v>
      </c>
      <c r="G1742" s="73" t="s">
        <v>1879</v>
      </c>
      <c r="H1742" s="79" t="s">
        <v>16</v>
      </c>
      <c r="I1742" s="80" t="s">
        <v>368</v>
      </c>
      <c r="J1742" s="66" t="s">
        <v>403</v>
      </c>
      <c r="K1742" s="136" t="s">
        <v>9275</v>
      </c>
      <c r="L1742" s="71" t="s">
        <v>500</v>
      </c>
      <c r="M1742" s="71" t="s">
        <v>2312</v>
      </c>
      <c r="N1742" s="71" t="s">
        <v>456</v>
      </c>
      <c r="O1742" s="74" t="s">
        <v>3860</v>
      </c>
      <c r="P1742" s="112" t="s">
        <v>5286</v>
      </c>
      <c r="Q1742" s="75" t="s">
        <v>576</v>
      </c>
      <c r="R1742" s="148" t="str">
        <f>Agencia[[#This Row],[territorio]]&amp;",social,variación,frecuencia,casos policiales,homicidios,delitos,anual,"&amp;Agencia[[#This Row],[coleccion]]&amp;","&amp;Agencia[[#This Row],[sector]]&amp;","&amp;Agencia[[#This Row],[tema]]&amp;","&amp;Agencia[[#This Row],[contenido]]</f>
        <v>Región de Tarapacá,social,variación,frecuencia,casos policiales,homicidios,delitos,anual,Agencia Información,Social,DMCS - Homicidio,Delincuencia</v>
      </c>
      <c r="S1742" s="102" t="str">
        <f>HYPERLINK("https://analytics.zoho.com/open-view/2395394000009208859?ZOHO_CRITERIA=%22Localiza%20Chile%22.%22Codreg%22%3D"&amp;Agencia[[#This Row],[Filtro URL]])</f>
        <v>https://analytics.zoho.com/open-view/2395394000009208859?ZOHO_CRITERIA=%22Localiza%20Chile%22.%22Codreg%22%3D1</v>
      </c>
      <c r="T1742" s="110" t="s">
        <v>1856</v>
      </c>
      <c r="U1742" s="46" t="s">
        <v>4636</v>
      </c>
      <c r="V1742" s="93" t="str">
        <f>+Agencia[[#This Row],[idcoleccion]]&amp;"-"&amp;Agencia[[#This Row],[id]]</f>
        <v>990-1731</v>
      </c>
      <c r="W1742" s="96">
        <v>99200001</v>
      </c>
      <c r="X1742" s="93" t="str">
        <f>+VLOOKUP(Agencia[[#This Row],[tema]],Estructura!$A$4:$C$500,3,0)</f>
        <v>T-1074</v>
      </c>
      <c r="Y1742" s="93" t="str">
        <f>+VLOOKUP(Agencia[[#This Row],[contenido]],Estructura!$E$4:$G$500,3,0)</f>
        <v>C-998</v>
      </c>
      <c r="Z1742" s="93" t="str">
        <f>+VLOOKUP(Agencia[[#This Row],[Filtro Integrado]],Estructura!$I$4:$K$500,3,0)</f>
        <v>FI-993</v>
      </c>
      <c r="AA1742" s="93" t="str">
        <f>+VLOOKUP(Agencia[[#This Row],[Muestra]],Estructura!$M$4:$O$500,3,0)</f>
        <v>M-1109</v>
      </c>
    </row>
    <row r="1743" spans="1:27" ht="57.6" x14ac:dyDescent="0.3">
      <c r="A1743" s="21" t="s">
        <v>4872</v>
      </c>
      <c r="B1743" s="71">
        <v>990</v>
      </c>
      <c r="C1743" s="72" t="s">
        <v>400</v>
      </c>
      <c r="D1743" s="72" t="s">
        <v>785</v>
      </c>
      <c r="E1743" s="89">
        <v>2</v>
      </c>
      <c r="F1743" s="72" t="s">
        <v>4285</v>
      </c>
      <c r="G1743" s="73" t="s">
        <v>1879</v>
      </c>
      <c r="H1743" s="79" t="s">
        <v>16</v>
      </c>
      <c r="I1743" s="80" t="s">
        <v>369</v>
      </c>
      <c r="J1743" s="66" t="s">
        <v>403</v>
      </c>
      <c r="K1743" s="136" t="s">
        <v>9275</v>
      </c>
      <c r="L1743" s="71" t="s">
        <v>500</v>
      </c>
      <c r="M1743" s="71" t="s">
        <v>2312</v>
      </c>
      <c r="N1743" s="71" t="s">
        <v>456</v>
      </c>
      <c r="O1743" s="74" t="s">
        <v>3861</v>
      </c>
      <c r="P1743" s="112" t="s">
        <v>5287</v>
      </c>
      <c r="Q1743" s="75" t="s">
        <v>576</v>
      </c>
      <c r="R1743" s="148" t="str">
        <f>Agencia[[#This Row],[territorio]]&amp;",social,variación,frecuencia,casos policiales,homicidios,delitos,anual,"&amp;Agencia[[#This Row],[coleccion]]&amp;","&amp;Agencia[[#This Row],[sector]]&amp;","&amp;Agencia[[#This Row],[tema]]&amp;","&amp;Agencia[[#This Row],[contenido]]</f>
        <v>Región de Antofagasta,social,variación,frecuencia,casos policiales,homicidios,delitos,anual,Agencia Información,Social,DMCS - Homicidio,Delincuencia</v>
      </c>
      <c r="S1743" s="102" t="str">
        <f>HYPERLINK("https://analytics.zoho.com/open-view/2395394000009208859?ZOHO_CRITERIA=%22Localiza%20Chile%22.%22Codreg%22%3D"&amp;Agencia[[#This Row],[Filtro URL]])</f>
        <v>https://analytics.zoho.com/open-view/2395394000009208859?ZOHO_CRITERIA=%22Localiza%20Chile%22.%22Codreg%22%3D2</v>
      </c>
      <c r="T1743" s="110" t="s">
        <v>1844</v>
      </c>
      <c r="U1743" s="46" t="s">
        <v>4637</v>
      </c>
      <c r="V1743" s="93" t="str">
        <f>+Agencia[[#This Row],[idcoleccion]]&amp;"-"&amp;Agencia[[#This Row],[id]]</f>
        <v>990-1732</v>
      </c>
      <c r="W1743" s="96">
        <v>99200002</v>
      </c>
      <c r="X1743" s="93" t="str">
        <f>+VLOOKUP(Agencia[[#This Row],[tema]],Estructura!$A$4:$C$500,3,0)</f>
        <v>T-1074</v>
      </c>
      <c r="Y1743" s="93" t="str">
        <f>+VLOOKUP(Agencia[[#This Row],[contenido]],Estructura!$E$4:$G$500,3,0)</f>
        <v>C-998</v>
      </c>
      <c r="Z1743" s="93" t="str">
        <f>+VLOOKUP(Agencia[[#This Row],[Filtro Integrado]],Estructura!$I$4:$K$500,3,0)</f>
        <v>FI-993</v>
      </c>
      <c r="AA1743" s="93" t="str">
        <f>+VLOOKUP(Agencia[[#This Row],[Muestra]],Estructura!$M$4:$O$500,3,0)</f>
        <v>M-1109</v>
      </c>
    </row>
    <row r="1744" spans="1:27" ht="57.6" x14ac:dyDescent="0.3">
      <c r="A1744" s="21" t="s">
        <v>4873</v>
      </c>
      <c r="B1744" s="71">
        <v>990</v>
      </c>
      <c r="C1744" s="72" t="s">
        <v>400</v>
      </c>
      <c r="D1744" s="72" t="s">
        <v>785</v>
      </c>
      <c r="E1744" s="89">
        <v>3</v>
      </c>
      <c r="F1744" s="72" t="s">
        <v>4285</v>
      </c>
      <c r="G1744" s="73" t="s">
        <v>1879</v>
      </c>
      <c r="H1744" s="79" t="s">
        <v>16</v>
      </c>
      <c r="I1744" s="80" t="s">
        <v>370</v>
      </c>
      <c r="J1744" s="66" t="s">
        <v>403</v>
      </c>
      <c r="K1744" s="136" t="s">
        <v>9275</v>
      </c>
      <c r="L1744" s="71" t="s">
        <v>500</v>
      </c>
      <c r="M1744" s="71" t="s">
        <v>2312</v>
      </c>
      <c r="N1744" s="71" t="s">
        <v>456</v>
      </c>
      <c r="O1744" s="74" t="s">
        <v>3862</v>
      </c>
      <c r="P1744" s="112" t="s">
        <v>5288</v>
      </c>
      <c r="Q1744" s="75" t="s">
        <v>576</v>
      </c>
      <c r="R1744" s="148" t="str">
        <f>Agencia[[#This Row],[territorio]]&amp;",social,variación,frecuencia,casos policiales,homicidios,delitos,anual,"&amp;Agencia[[#This Row],[coleccion]]&amp;","&amp;Agencia[[#This Row],[sector]]&amp;","&amp;Agencia[[#This Row],[tema]]&amp;","&amp;Agencia[[#This Row],[contenido]]</f>
        <v>Región de Atacama,social,variación,frecuencia,casos policiales,homicidios,delitos,anual,Agencia Información,Social,DMCS - Homicidio,Delincuencia</v>
      </c>
      <c r="S1744" s="102" t="str">
        <f>HYPERLINK("https://analytics.zoho.com/open-view/2395394000009208859?ZOHO_CRITERIA=%22Localiza%20Chile%22.%22Codreg%22%3D"&amp;Agencia[[#This Row],[Filtro URL]])</f>
        <v>https://analytics.zoho.com/open-view/2395394000009208859?ZOHO_CRITERIA=%22Localiza%20Chile%22.%22Codreg%22%3D3</v>
      </c>
      <c r="T1744" s="110" t="s">
        <v>1846</v>
      </c>
      <c r="U1744" s="46" t="s">
        <v>4638</v>
      </c>
      <c r="V1744" s="93" t="str">
        <f>+Agencia[[#This Row],[idcoleccion]]&amp;"-"&amp;Agencia[[#This Row],[id]]</f>
        <v>990-1733</v>
      </c>
      <c r="W1744" s="96">
        <v>99200003</v>
      </c>
      <c r="X1744" s="93" t="str">
        <f>+VLOOKUP(Agencia[[#This Row],[tema]],Estructura!$A$4:$C$500,3,0)</f>
        <v>T-1074</v>
      </c>
      <c r="Y1744" s="93" t="str">
        <f>+VLOOKUP(Agencia[[#This Row],[contenido]],Estructura!$E$4:$G$500,3,0)</f>
        <v>C-998</v>
      </c>
      <c r="Z1744" s="93" t="str">
        <f>+VLOOKUP(Agencia[[#This Row],[Filtro Integrado]],Estructura!$I$4:$K$500,3,0)</f>
        <v>FI-993</v>
      </c>
      <c r="AA1744" s="93" t="str">
        <f>+VLOOKUP(Agencia[[#This Row],[Muestra]],Estructura!$M$4:$O$500,3,0)</f>
        <v>M-1109</v>
      </c>
    </row>
    <row r="1745" spans="1:27" ht="57.6" x14ac:dyDescent="0.3">
      <c r="A1745" s="21" t="s">
        <v>4874</v>
      </c>
      <c r="B1745" s="71">
        <v>990</v>
      </c>
      <c r="C1745" s="72" t="s">
        <v>400</v>
      </c>
      <c r="D1745" s="72" t="s">
        <v>785</v>
      </c>
      <c r="E1745" s="89">
        <v>4</v>
      </c>
      <c r="F1745" s="72" t="s">
        <v>4285</v>
      </c>
      <c r="G1745" s="73" t="s">
        <v>1879</v>
      </c>
      <c r="H1745" s="79" t="s">
        <v>16</v>
      </c>
      <c r="I1745" s="80" t="s">
        <v>371</v>
      </c>
      <c r="J1745" s="66" t="s">
        <v>403</v>
      </c>
      <c r="K1745" s="136" t="s">
        <v>9275</v>
      </c>
      <c r="L1745" s="71" t="s">
        <v>500</v>
      </c>
      <c r="M1745" s="71" t="s">
        <v>2312</v>
      </c>
      <c r="N1745" s="71" t="s">
        <v>456</v>
      </c>
      <c r="O1745" s="74" t="s">
        <v>3863</v>
      </c>
      <c r="P1745" s="112" t="s">
        <v>5289</v>
      </c>
      <c r="Q1745" s="75" t="s">
        <v>576</v>
      </c>
      <c r="R1745" s="148" t="str">
        <f>Agencia[[#This Row],[territorio]]&amp;",social,variación,frecuencia,casos policiales,homicidios,delitos,anual,"&amp;Agencia[[#This Row],[coleccion]]&amp;","&amp;Agencia[[#This Row],[sector]]&amp;","&amp;Agencia[[#This Row],[tema]]&amp;","&amp;Agencia[[#This Row],[contenido]]</f>
        <v>Región de Coquimbo,social,variación,frecuencia,casos policiales,homicidios,delitos,anual,Agencia Información,Social,DMCS - Homicidio,Delincuencia</v>
      </c>
      <c r="S1745" s="102" t="str">
        <f>HYPERLINK("https://analytics.zoho.com/open-view/2395394000009208859?ZOHO_CRITERIA=%22Localiza%20Chile%22.%22Codreg%22%3D"&amp;Agencia[[#This Row],[Filtro URL]])</f>
        <v>https://analytics.zoho.com/open-view/2395394000009208859?ZOHO_CRITERIA=%22Localiza%20Chile%22.%22Codreg%22%3D4</v>
      </c>
      <c r="T1745" s="110" t="s">
        <v>1848</v>
      </c>
      <c r="U1745" s="46" t="s">
        <v>4639</v>
      </c>
      <c r="V1745" s="93" t="str">
        <f>+Agencia[[#This Row],[idcoleccion]]&amp;"-"&amp;Agencia[[#This Row],[id]]</f>
        <v>990-1734</v>
      </c>
      <c r="W1745" s="96">
        <v>99200004</v>
      </c>
      <c r="X1745" s="93" t="str">
        <f>+VLOOKUP(Agencia[[#This Row],[tema]],Estructura!$A$4:$C$500,3,0)</f>
        <v>T-1074</v>
      </c>
      <c r="Y1745" s="93" t="str">
        <f>+VLOOKUP(Agencia[[#This Row],[contenido]],Estructura!$E$4:$G$500,3,0)</f>
        <v>C-998</v>
      </c>
      <c r="Z1745" s="93" t="str">
        <f>+VLOOKUP(Agencia[[#This Row],[Filtro Integrado]],Estructura!$I$4:$K$500,3,0)</f>
        <v>FI-993</v>
      </c>
      <c r="AA1745" s="93" t="str">
        <f>+VLOOKUP(Agencia[[#This Row],[Muestra]],Estructura!$M$4:$O$500,3,0)</f>
        <v>M-1109</v>
      </c>
    </row>
    <row r="1746" spans="1:27" ht="57.6" x14ac:dyDescent="0.3">
      <c r="A1746" s="21" t="s">
        <v>4875</v>
      </c>
      <c r="B1746" s="71">
        <v>990</v>
      </c>
      <c r="C1746" s="72" t="s">
        <v>400</v>
      </c>
      <c r="D1746" s="72" t="s">
        <v>785</v>
      </c>
      <c r="E1746" s="89">
        <v>5</v>
      </c>
      <c r="F1746" s="72" t="s">
        <v>4285</v>
      </c>
      <c r="G1746" s="73" t="s">
        <v>1879</v>
      </c>
      <c r="H1746" s="79" t="s">
        <v>16</v>
      </c>
      <c r="I1746" s="80" t="s">
        <v>372</v>
      </c>
      <c r="J1746" s="66" t="s">
        <v>403</v>
      </c>
      <c r="K1746" s="136" t="s">
        <v>9275</v>
      </c>
      <c r="L1746" s="71" t="s">
        <v>500</v>
      </c>
      <c r="M1746" s="71" t="s">
        <v>2312</v>
      </c>
      <c r="N1746" s="71" t="s">
        <v>456</v>
      </c>
      <c r="O1746" s="74" t="s">
        <v>3864</v>
      </c>
      <c r="P1746" s="112" t="s">
        <v>5290</v>
      </c>
      <c r="Q1746" s="75" t="s">
        <v>576</v>
      </c>
      <c r="R1746" s="148" t="str">
        <f>Agencia[[#This Row],[territorio]]&amp;",social,variación,frecuencia,casos policiales,homicidios,delitos,anual,"&amp;Agencia[[#This Row],[coleccion]]&amp;","&amp;Agencia[[#This Row],[sector]]&amp;","&amp;Agencia[[#This Row],[tema]]&amp;","&amp;Agencia[[#This Row],[contenido]]</f>
        <v>Región de Valparaíso,social,variación,frecuencia,casos policiales,homicidios,delitos,anual,Agencia Información,Social,DMCS - Homicidio,Delincuencia</v>
      </c>
      <c r="S1746" s="102" t="str">
        <f>HYPERLINK("https://analytics.zoho.com/open-view/2395394000009208859?ZOHO_CRITERIA=%22Localiza%20Chile%22.%22Codreg%22%3D"&amp;Agencia[[#This Row],[Filtro URL]])</f>
        <v>https://analytics.zoho.com/open-view/2395394000009208859?ZOHO_CRITERIA=%22Localiza%20Chile%22.%22Codreg%22%3D5</v>
      </c>
      <c r="T1746" s="110" t="s">
        <v>1857</v>
      </c>
      <c r="U1746" s="46" t="s">
        <v>4640</v>
      </c>
      <c r="V1746" s="93" t="str">
        <f>+Agencia[[#This Row],[idcoleccion]]&amp;"-"&amp;Agencia[[#This Row],[id]]</f>
        <v>990-1735</v>
      </c>
      <c r="W1746" s="96">
        <v>99200005</v>
      </c>
      <c r="X1746" s="93" t="str">
        <f>+VLOOKUP(Agencia[[#This Row],[tema]],Estructura!$A$4:$C$500,3,0)</f>
        <v>T-1074</v>
      </c>
      <c r="Y1746" s="93" t="str">
        <f>+VLOOKUP(Agencia[[#This Row],[contenido]],Estructura!$E$4:$G$500,3,0)</f>
        <v>C-998</v>
      </c>
      <c r="Z1746" s="93" t="str">
        <f>+VLOOKUP(Agencia[[#This Row],[Filtro Integrado]],Estructura!$I$4:$K$500,3,0)</f>
        <v>FI-993</v>
      </c>
      <c r="AA1746" s="93" t="str">
        <f>+VLOOKUP(Agencia[[#This Row],[Muestra]],Estructura!$M$4:$O$500,3,0)</f>
        <v>M-1109</v>
      </c>
    </row>
    <row r="1747" spans="1:27" ht="57.6" x14ac:dyDescent="0.3">
      <c r="A1747" s="21" t="s">
        <v>4876</v>
      </c>
      <c r="B1747" s="71">
        <v>990</v>
      </c>
      <c r="C1747" s="72" t="s">
        <v>400</v>
      </c>
      <c r="D1747" s="72" t="s">
        <v>785</v>
      </c>
      <c r="E1747" s="89">
        <v>6</v>
      </c>
      <c r="F1747" s="72" t="s">
        <v>4285</v>
      </c>
      <c r="G1747" s="73" t="s">
        <v>1879</v>
      </c>
      <c r="H1747" s="79" t="s">
        <v>16</v>
      </c>
      <c r="I1747" s="80" t="s">
        <v>373</v>
      </c>
      <c r="J1747" s="66" t="s">
        <v>403</v>
      </c>
      <c r="K1747" s="136" t="s">
        <v>9275</v>
      </c>
      <c r="L1747" s="71" t="s">
        <v>500</v>
      </c>
      <c r="M1747" s="71" t="s">
        <v>2312</v>
      </c>
      <c r="N1747" s="71" t="s">
        <v>456</v>
      </c>
      <c r="O1747" s="74" t="s">
        <v>3865</v>
      </c>
      <c r="P1747" s="112" t="s">
        <v>5291</v>
      </c>
      <c r="Q1747" s="75" t="s">
        <v>576</v>
      </c>
      <c r="R1747" s="148" t="str">
        <f>Agencia[[#This Row],[territorio]]&amp;",social,variación,frecuencia,casos policiales,homicidios,delitos,anual,"&amp;Agencia[[#This Row],[coleccion]]&amp;","&amp;Agencia[[#This Row],[sector]]&amp;","&amp;Agencia[[#This Row],[tema]]&amp;","&amp;Agencia[[#This Row],[contenido]]</f>
        <v>Región de O'Higgins,social,variación,frecuencia,casos policiales,homicidios,delitos,anual,Agencia Información,Social,DMCS - Homicidio,Delincuencia</v>
      </c>
      <c r="S1747" s="102" t="str">
        <f>HYPERLINK("https://analytics.zoho.com/open-view/2395394000009208859?ZOHO_CRITERIA=%22Localiza%20Chile%22.%22Codreg%22%3D"&amp;Agencia[[#This Row],[Filtro URL]])</f>
        <v>https://analytics.zoho.com/open-view/2395394000009208859?ZOHO_CRITERIA=%22Localiza%20Chile%22.%22Codreg%22%3D6</v>
      </c>
      <c r="T1747" s="110" t="s">
        <v>1855</v>
      </c>
      <c r="U1747" s="46" t="s">
        <v>4641</v>
      </c>
      <c r="V1747" s="93" t="str">
        <f>+Agencia[[#This Row],[idcoleccion]]&amp;"-"&amp;Agencia[[#This Row],[id]]</f>
        <v>990-1736</v>
      </c>
      <c r="W1747" s="96">
        <v>99200006</v>
      </c>
      <c r="X1747" s="93" t="str">
        <f>+VLOOKUP(Agencia[[#This Row],[tema]],Estructura!$A$4:$C$500,3,0)</f>
        <v>T-1074</v>
      </c>
      <c r="Y1747" s="93" t="str">
        <f>+VLOOKUP(Agencia[[#This Row],[contenido]],Estructura!$E$4:$G$500,3,0)</f>
        <v>C-998</v>
      </c>
      <c r="Z1747" s="93" t="str">
        <f>+VLOOKUP(Agencia[[#This Row],[Filtro Integrado]],Estructura!$I$4:$K$500,3,0)</f>
        <v>FI-993</v>
      </c>
      <c r="AA1747" s="93" t="str">
        <f>+VLOOKUP(Agencia[[#This Row],[Muestra]],Estructura!$M$4:$O$500,3,0)</f>
        <v>M-1109</v>
      </c>
    </row>
    <row r="1748" spans="1:27" ht="57.6" x14ac:dyDescent="0.3">
      <c r="A1748" s="21" t="s">
        <v>4877</v>
      </c>
      <c r="B1748" s="71">
        <v>990</v>
      </c>
      <c r="C1748" s="72" t="s">
        <v>400</v>
      </c>
      <c r="D1748" s="72" t="s">
        <v>785</v>
      </c>
      <c r="E1748" s="89">
        <v>7</v>
      </c>
      <c r="F1748" s="72" t="s">
        <v>4285</v>
      </c>
      <c r="G1748" s="73" t="s">
        <v>1879</v>
      </c>
      <c r="H1748" s="79" t="s">
        <v>16</v>
      </c>
      <c r="I1748" s="80" t="s">
        <v>374</v>
      </c>
      <c r="J1748" s="66" t="s">
        <v>403</v>
      </c>
      <c r="K1748" s="136" t="s">
        <v>9275</v>
      </c>
      <c r="L1748" s="71" t="s">
        <v>500</v>
      </c>
      <c r="M1748" s="71" t="s">
        <v>2312</v>
      </c>
      <c r="N1748" s="71" t="s">
        <v>456</v>
      </c>
      <c r="O1748" s="74" t="s">
        <v>3866</v>
      </c>
      <c r="P1748" s="112" t="s">
        <v>5292</v>
      </c>
      <c r="Q1748" s="75" t="s">
        <v>576</v>
      </c>
      <c r="R1748" s="148" t="str">
        <f>Agencia[[#This Row],[territorio]]&amp;",social,variación,frecuencia,casos policiales,homicidios,delitos,anual,"&amp;Agencia[[#This Row],[coleccion]]&amp;","&amp;Agencia[[#This Row],[sector]]&amp;","&amp;Agencia[[#This Row],[tema]]&amp;","&amp;Agencia[[#This Row],[contenido]]</f>
        <v>Región de Maule,social,variación,frecuencia,casos policiales,homicidios,delitos,anual,Agencia Información,Social,DMCS - Homicidio,Delincuencia</v>
      </c>
      <c r="S1748" s="102" t="str">
        <f>HYPERLINK("https://analytics.zoho.com/open-view/2395394000009208859?ZOHO_CRITERIA=%22Localiza%20Chile%22.%22Codreg%22%3D"&amp;Agencia[[#This Row],[Filtro URL]])</f>
        <v>https://analytics.zoho.com/open-view/2395394000009208859?ZOHO_CRITERIA=%22Localiza%20Chile%22.%22Codreg%22%3D7</v>
      </c>
      <c r="T1748" s="110" t="s">
        <v>1853</v>
      </c>
      <c r="U1748" s="46" t="s">
        <v>4642</v>
      </c>
      <c r="V1748" s="93" t="str">
        <f>+Agencia[[#This Row],[idcoleccion]]&amp;"-"&amp;Agencia[[#This Row],[id]]</f>
        <v>990-1737</v>
      </c>
      <c r="W1748" s="96">
        <v>99200007</v>
      </c>
      <c r="X1748" s="93" t="str">
        <f>+VLOOKUP(Agencia[[#This Row],[tema]],Estructura!$A$4:$C$500,3,0)</f>
        <v>T-1074</v>
      </c>
      <c r="Y1748" s="93" t="str">
        <f>+VLOOKUP(Agencia[[#This Row],[contenido]],Estructura!$E$4:$G$500,3,0)</f>
        <v>C-998</v>
      </c>
      <c r="Z1748" s="93" t="str">
        <f>+VLOOKUP(Agencia[[#This Row],[Filtro Integrado]],Estructura!$I$4:$K$500,3,0)</f>
        <v>FI-993</v>
      </c>
      <c r="AA1748" s="93" t="str">
        <f>+VLOOKUP(Agencia[[#This Row],[Muestra]],Estructura!$M$4:$O$500,3,0)</f>
        <v>M-1109</v>
      </c>
    </row>
    <row r="1749" spans="1:27" ht="57.6" x14ac:dyDescent="0.3">
      <c r="A1749" s="21" t="s">
        <v>4878</v>
      </c>
      <c r="B1749" s="71">
        <v>990</v>
      </c>
      <c r="C1749" s="72" t="s">
        <v>400</v>
      </c>
      <c r="D1749" s="72" t="s">
        <v>785</v>
      </c>
      <c r="E1749" s="89">
        <v>8</v>
      </c>
      <c r="F1749" s="72" t="s">
        <v>4285</v>
      </c>
      <c r="G1749" s="73" t="s">
        <v>1879</v>
      </c>
      <c r="H1749" s="79" t="s">
        <v>16</v>
      </c>
      <c r="I1749" s="80" t="s">
        <v>375</v>
      </c>
      <c r="J1749" s="66" t="s">
        <v>403</v>
      </c>
      <c r="K1749" s="136" t="s">
        <v>9275</v>
      </c>
      <c r="L1749" s="71" t="s">
        <v>500</v>
      </c>
      <c r="M1749" s="71" t="s">
        <v>2312</v>
      </c>
      <c r="N1749" s="71" t="s">
        <v>456</v>
      </c>
      <c r="O1749" s="74" t="s">
        <v>3867</v>
      </c>
      <c r="P1749" s="112" t="s">
        <v>5293</v>
      </c>
      <c r="Q1749" s="75" t="s">
        <v>576</v>
      </c>
      <c r="R1749" s="148" t="str">
        <f>Agencia[[#This Row],[territorio]]&amp;",social,variación,frecuencia,casos policiales,homicidios,delitos,anual,"&amp;Agencia[[#This Row],[coleccion]]&amp;","&amp;Agencia[[#This Row],[sector]]&amp;","&amp;Agencia[[#This Row],[tema]]&amp;","&amp;Agencia[[#This Row],[contenido]]</f>
        <v>Región del Biobío,social,variación,frecuencia,casos policiales,homicidios,delitos,anual,Agencia Información,Social,DMCS - Homicidio,Delincuencia</v>
      </c>
      <c r="S1749" s="102" t="str">
        <f>HYPERLINK("https://analytics.zoho.com/open-view/2395394000009208859?ZOHO_CRITERIA=%22Localiza%20Chile%22.%22Codreg%22%3D"&amp;Agencia[[#This Row],[Filtro URL]])</f>
        <v>https://analytics.zoho.com/open-view/2395394000009208859?ZOHO_CRITERIA=%22Localiza%20Chile%22.%22Codreg%22%3D8</v>
      </c>
      <c r="T1749" s="110" t="s">
        <v>1858</v>
      </c>
      <c r="U1749" s="46" t="s">
        <v>4643</v>
      </c>
      <c r="V1749" s="93" t="str">
        <f>+Agencia[[#This Row],[idcoleccion]]&amp;"-"&amp;Agencia[[#This Row],[id]]</f>
        <v>990-1738</v>
      </c>
      <c r="W1749" s="96">
        <v>99200008</v>
      </c>
      <c r="X1749" s="93" t="str">
        <f>+VLOOKUP(Agencia[[#This Row],[tema]],Estructura!$A$4:$C$500,3,0)</f>
        <v>T-1074</v>
      </c>
      <c r="Y1749" s="93" t="str">
        <f>+VLOOKUP(Agencia[[#This Row],[contenido]],Estructura!$E$4:$G$500,3,0)</f>
        <v>C-998</v>
      </c>
      <c r="Z1749" s="93" t="str">
        <f>+VLOOKUP(Agencia[[#This Row],[Filtro Integrado]],Estructura!$I$4:$K$500,3,0)</f>
        <v>FI-993</v>
      </c>
      <c r="AA1749" s="93" t="str">
        <f>+VLOOKUP(Agencia[[#This Row],[Muestra]],Estructura!$M$4:$O$500,3,0)</f>
        <v>M-1109</v>
      </c>
    </row>
    <row r="1750" spans="1:27" ht="57.6" x14ac:dyDescent="0.3">
      <c r="A1750" s="21" t="s">
        <v>4879</v>
      </c>
      <c r="B1750" s="71">
        <v>990</v>
      </c>
      <c r="C1750" s="72" t="s">
        <v>400</v>
      </c>
      <c r="D1750" s="72" t="s">
        <v>785</v>
      </c>
      <c r="E1750" s="89">
        <v>9</v>
      </c>
      <c r="F1750" s="72" t="s">
        <v>4285</v>
      </c>
      <c r="G1750" s="73" t="s">
        <v>1879</v>
      </c>
      <c r="H1750" s="79" t="s">
        <v>16</v>
      </c>
      <c r="I1750" s="80" t="s">
        <v>376</v>
      </c>
      <c r="J1750" s="66" t="s">
        <v>403</v>
      </c>
      <c r="K1750" s="136" t="s">
        <v>9275</v>
      </c>
      <c r="L1750" s="71" t="s">
        <v>500</v>
      </c>
      <c r="M1750" s="71" t="s">
        <v>2312</v>
      </c>
      <c r="N1750" s="71" t="s">
        <v>456</v>
      </c>
      <c r="O1750" s="74" t="s">
        <v>3868</v>
      </c>
      <c r="P1750" s="112" t="s">
        <v>5294</v>
      </c>
      <c r="Q1750" s="75" t="s">
        <v>576</v>
      </c>
      <c r="R1750" s="148" t="str">
        <f>Agencia[[#This Row],[territorio]]&amp;",social,variación,frecuencia,casos policiales,homicidios,delitos,anual,"&amp;Agencia[[#This Row],[coleccion]]&amp;","&amp;Agencia[[#This Row],[sector]]&amp;","&amp;Agencia[[#This Row],[tema]]&amp;","&amp;Agencia[[#This Row],[contenido]]</f>
        <v>Región de La Araucanía,social,variación,frecuencia,casos policiales,homicidios,delitos,anual,Agencia Información,Social,DMCS - Homicidio,Delincuencia</v>
      </c>
      <c r="S1750" s="102" t="str">
        <f>HYPERLINK("https://analytics.zoho.com/open-view/2395394000009208859?ZOHO_CRITERIA=%22Localiza%20Chile%22.%22Codreg%22%3D"&amp;Agencia[[#This Row],[Filtro URL]])</f>
        <v>https://analytics.zoho.com/open-view/2395394000009208859?ZOHO_CRITERIA=%22Localiza%20Chile%22.%22Codreg%22%3D9</v>
      </c>
      <c r="T1750" s="110" t="s">
        <v>1849</v>
      </c>
      <c r="U1750" s="46" t="s">
        <v>4644</v>
      </c>
      <c r="V1750" s="93" t="str">
        <f>+Agencia[[#This Row],[idcoleccion]]&amp;"-"&amp;Agencia[[#This Row],[id]]</f>
        <v>990-1739</v>
      </c>
      <c r="W1750" s="96">
        <v>99200009</v>
      </c>
      <c r="X1750" s="93" t="str">
        <f>+VLOOKUP(Agencia[[#This Row],[tema]],Estructura!$A$4:$C$500,3,0)</f>
        <v>T-1074</v>
      </c>
      <c r="Y1750" s="93" t="str">
        <f>+VLOOKUP(Agencia[[#This Row],[contenido]],Estructura!$E$4:$G$500,3,0)</f>
        <v>C-998</v>
      </c>
      <c r="Z1750" s="93" t="str">
        <f>+VLOOKUP(Agencia[[#This Row],[Filtro Integrado]],Estructura!$I$4:$K$500,3,0)</f>
        <v>FI-993</v>
      </c>
      <c r="AA1750" s="93" t="str">
        <f>+VLOOKUP(Agencia[[#This Row],[Muestra]],Estructura!$M$4:$O$500,3,0)</f>
        <v>M-1109</v>
      </c>
    </row>
    <row r="1751" spans="1:27" ht="57.6" x14ac:dyDescent="0.3">
      <c r="A1751" s="21" t="s">
        <v>4880</v>
      </c>
      <c r="B1751" s="71">
        <v>990</v>
      </c>
      <c r="C1751" s="72" t="s">
        <v>400</v>
      </c>
      <c r="D1751" s="72" t="s">
        <v>785</v>
      </c>
      <c r="E1751" s="89">
        <v>10</v>
      </c>
      <c r="F1751" s="72" t="s">
        <v>4285</v>
      </c>
      <c r="G1751" s="73" t="s">
        <v>1879</v>
      </c>
      <c r="H1751" s="79" t="s">
        <v>16</v>
      </c>
      <c r="I1751" s="80" t="s">
        <v>377</v>
      </c>
      <c r="J1751" s="66" t="s">
        <v>403</v>
      </c>
      <c r="K1751" s="136" t="s">
        <v>9275</v>
      </c>
      <c r="L1751" s="71" t="s">
        <v>500</v>
      </c>
      <c r="M1751" s="71" t="s">
        <v>2312</v>
      </c>
      <c r="N1751" s="71" t="s">
        <v>456</v>
      </c>
      <c r="O1751" s="74" t="s">
        <v>3869</v>
      </c>
      <c r="P1751" s="112" t="s">
        <v>5295</v>
      </c>
      <c r="Q1751" s="75" t="s">
        <v>576</v>
      </c>
      <c r="R1751" s="148" t="str">
        <f>Agencia[[#This Row],[territorio]]&amp;",social,variación,frecuencia,casos policiales,homicidios,delitos,anual,"&amp;Agencia[[#This Row],[coleccion]]&amp;","&amp;Agencia[[#This Row],[sector]]&amp;","&amp;Agencia[[#This Row],[tema]]&amp;","&amp;Agencia[[#This Row],[contenido]]</f>
        <v>Región de Los Lagos,social,variación,frecuencia,casos policiales,homicidios,delitos,anual,Agencia Información,Social,DMCS - Homicidio,Delincuencia</v>
      </c>
      <c r="S1751" s="102" t="str">
        <f>HYPERLINK("https://analytics.zoho.com/open-view/2395394000009208859?ZOHO_CRITERIA=%22Localiza%20Chile%22.%22Codreg%22%3D"&amp;Agencia[[#This Row],[Filtro URL]])</f>
        <v>https://analytics.zoho.com/open-view/2395394000009208859?ZOHO_CRITERIA=%22Localiza%20Chile%22.%22Codreg%22%3D10</v>
      </c>
      <c r="T1751" s="110" t="s">
        <v>1850</v>
      </c>
      <c r="U1751" s="46" t="s">
        <v>4645</v>
      </c>
      <c r="V1751" s="93" t="str">
        <f>+Agencia[[#This Row],[idcoleccion]]&amp;"-"&amp;Agencia[[#This Row],[id]]</f>
        <v>990-1740</v>
      </c>
      <c r="W1751" s="96">
        <v>99200010</v>
      </c>
      <c r="X1751" s="93" t="str">
        <f>+VLOOKUP(Agencia[[#This Row],[tema]],Estructura!$A$4:$C$500,3,0)</f>
        <v>T-1074</v>
      </c>
      <c r="Y1751" s="93" t="str">
        <f>+VLOOKUP(Agencia[[#This Row],[contenido]],Estructura!$E$4:$G$500,3,0)</f>
        <v>C-998</v>
      </c>
      <c r="Z1751" s="93" t="str">
        <f>+VLOOKUP(Agencia[[#This Row],[Filtro Integrado]],Estructura!$I$4:$K$500,3,0)</f>
        <v>FI-993</v>
      </c>
      <c r="AA1751" s="93" t="str">
        <f>+VLOOKUP(Agencia[[#This Row],[Muestra]],Estructura!$M$4:$O$500,3,0)</f>
        <v>M-1109</v>
      </c>
    </row>
    <row r="1752" spans="1:27" ht="57.6" x14ac:dyDescent="0.3">
      <c r="A1752" s="21" t="s">
        <v>4881</v>
      </c>
      <c r="B1752" s="71">
        <v>990</v>
      </c>
      <c r="C1752" s="72" t="s">
        <v>400</v>
      </c>
      <c r="D1752" s="72" t="s">
        <v>785</v>
      </c>
      <c r="E1752" s="89">
        <v>11</v>
      </c>
      <c r="F1752" s="72" t="s">
        <v>4285</v>
      </c>
      <c r="G1752" s="73" t="s">
        <v>1879</v>
      </c>
      <c r="H1752" s="79" t="s">
        <v>16</v>
      </c>
      <c r="I1752" s="80" t="s">
        <v>378</v>
      </c>
      <c r="J1752" s="66" t="s">
        <v>403</v>
      </c>
      <c r="K1752" s="136" t="s">
        <v>9275</v>
      </c>
      <c r="L1752" s="71" t="s">
        <v>500</v>
      </c>
      <c r="M1752" s="71" t="s">
        <v>2312</v>
      </c>
      <c r="N1752" s="71" t="s">
        <v>456</v>
      </c>
      <c r="O1752" s="74" t="s">
        <v>3870</v>
      </c>
      <c r="P1752" s="112" t="s">
        <v>5296</v>
      </c>
      <c r="Q1752" s="75" t="s">
        <v>576</v>
      </c>
      <c r="R1752" s="148" t="str">
        <f>Agencia[[#This Row],[territorio]]&amp;",social,variación,frecuencia,casos policiales,homicidios,delitos,anual,"&amp;Agencia[[#This Row],[coleccion]]&amp;","&amp;Agencia[[#This Row],[sector]]&amp;","&amp;Agencia[[#This Row],[tema]]&amp;","&amp;Agencia[[#This Row],[contenido]]</f>
        <v>Región de Aysén,social,variación,frecuencia,casos policiales,homicidios,delitos,anual,Agencia Información,Social,DMCS - Homicidio,Delincuencia</v>
      </c>
      <c r="S1752" s="102" t="str">
        <f>HYPERLINK("https://analytics.zoho.com/open-view/2395394000009208859?ZOHO_CRITERIA=%22Localiza%20Chile%22.%22Codreg%22%3D"&amp;Agencia[[#This Row],[Filtro URL]])</f>
        <v>https://analytics.zoho.com/open-view/2395394000009208859?ZOHO_CRITERIA=%22Localiza%20Chile%22.%22Codreg%22%3D11</v>
      </c>
      <c r="T1752" s="110" t="s">
        <v>1847</v>
      </c>
      <c r="U1752" s="46" t="s">
        <v>4646</v>
      </c>
      <c r="V1752" s="93" t="str">
        <f>+Agencia[[#This Row],[idcoleccion]]&amp;"-"&amp;Agencia[[#This Row],[id]]</f>
        <v>990-1741</v>
      </c>
      <c r="W1752" s="96">
        <v>99200011</v>
      </c>
      <c r="X1752" s="93" t="str">
        <f>+VLOOKUP(Agencia[[#This Row],[tema]],Estructura!$A$4:$C$500,3,0)</f>
        <v>T-1074</v>
      </c>
      <c r="Y1752" s="93" t="str">
        <f>+VLOOKUP(Agencia[[#This Row],[contenido]],Estructura!$E$4:$G$500,3,0)</f>
        <v>C-998</v>
      </c>
      <c r="Z1752" s="93" t="str">
        <f>+VLOOKUP(Agencia[[#This Row],[Filtro Integrado]],Estructura!$I$4:$K$500,3,0)</f>
        <v>FI-993</v>
      </c>
      <c r="AA1752" s="93" t="str">
        <f>+VLOOKUP(Agencia[[#This Row],[Muestra]],Estructura!$M$4:$O$500,3,0)</f>
        <v>M-1109</v>
      </c>
    </row>
    <row r="1753" spans="1:27" ht="57.6" x14ac:dyDescent="0.3">
      <c r="A1753" s="21" t="s">
        <v>4882</v>
      </c>
      <c r="B1753" s="71">
        <v>990</v>
      </c>
      <c r="C1753" s="72" t="s">
        <v>400</v>
      </c>
      <c r="D1753" s="72" t="s">
        <v>785</v>
      </c>
      <c r="E1753" s="89">
        <v>12</v>
      </c>
      <c r="F1753" s="72" t="s">
        <v>4285</v>
      </c>
      <c r="G1753" s="73" t="s">
        <v>1879</v>
      </c>
      <c r="H1753" s="79" t="s">
        <v>16</v>
      </c>
      <c r="I1753" s="80" t="s">
        <v>379</v>
      </c>
      <c r="J1753" s="66" t="s">
        <v>403</v>
      </c>
      <c r="K1753" s="136" t="s">
        <v>9275</v>
      </c>
      <c r="L1753" s="71" t="s">
        <v>500</v>
      </c>
      <c r="M1753" s="71" t="s">
        <v>2312</v>
      </c>
      <c r="N1753" s="71" t="s">
        <v>456</v>
      </c>
      <c r="O1753" s="74" t="s">
        <v>3871</v>
      </c>
      <c r="P1753" s="112" t="s">
        <v>5297</v>
      </c>
      <c r="Q1753" s="75" t="s">
        <v>576</v>
      </c>
      <c r="R1753" s="148" t="str">
        <f>Agencia[[#This Row],[territorio]]&amp;",social,variación,frecuencia,casos policiales,homicidios,delitos,anual,"&amp;Agencia[[#This Row],[coleccion]]&amp;","&amp;Agencia[[#This Row],[sector]]&amp;","&amp;Agencia[[#This Row],[tema]]&amp;","&amp;Agencia[[#This Row],[contenido]]</f>
        <v>Región de Magallanes,social,variación,frecuencia,casos policiales,homicidios,delitos,anual,Agencia Información,Social,DMCS - Homicidio,Delincuencia</v>
      </c>
      <c r="S1753" s="102" t="str">
        <f>HYPERLINK("https://analytics.zoho.com/open-view/2395394000009208859?ZOHO_CRITERIA=%22Localiza%20Chile%22.%22Codreg%22%3D"&amp;Agencia[[#This Row],[Filtro URL]])</f>
        <v>https://analytics.zoho.com/open-view/2395394000009208859?ZOHO_CRITERIA=%22Localiza%20Chile%22.%22Codreg%22%3D12</v>
      </c>
      <c r="T1753" s="110" t="s">
        <v>1852</v>
      </c>
      <c r="U1753" s="46" t="s">
        <v>4647</v>
      </c>
      <c r="V1753" s="93" t="str">
        <f>+Agencia[[#This Row],[idcoleccion]]&amp;"-"&amp;Agencia[[#This Row],[id]]</f>
        <v>990-1742</v>
      </c>
      <c r="W1753" s="96">
        <v>99200012</v>
      </c>
      <c r="X1753" s="93" t="str">
        <f>+VLOOKUP(Agencia[[#This Row],[tema]],Estructura!$A$4:$C$500,3,0)</f>
        <v>T-1074</v>
      </c>
      <c r="Y1753" s="93" t="str">
        <f>+VLOOKUP(Agencia[[#This Row],[contenido]],Estructura!$E$4:$G$500,3,0)</f>
        <v>C-998</v>
      </c>
      <c r="Z1753" s="93" t="str">
        <f>+VLOOKUP(Agencia[[#This Row],[Filtro Integrado]],Estructura!$I$4:$K$500,3,0)</f>
        <v>FI-993</v>
      </c>
      <c r="AA1753" s="93" t="str">
        <f>+VLOOKUP(Agencia[[#This Row],[Muestra]],Estructura!$M$4:$O$500,3,0)</f>
        <v>M-1109</v>
      </c>
    </row>
    <row r="1754" spans="1:27" ht="57.6" x14ac:dyDescent="0.3">
      <c r="A1754" s="21" t="s">
        <v>4883</v>
      </c>
      <c r="B1754" s="71">
        <v>990</v>
      </c>
      <c r="C1754" s="72" t="s">
        <v>400</v>
      </c>
      <c r="D1754" s="72" t="s">
        <v>785</v>
      </c>
      <c r="E1754" s="89">
        <v>13</v>
      </c>
      <c r="F1754" s="72" t="s">
        <v>4285</v>
      </c>
      <c r="G1754" s="73" t="s">
        <v>1879</v>
      </c>
      <c r="H1754" s="79" t="s">
        <v>16</v>
      </c>
      <c r="I1754" s="80" t="s">
        <v>380</v>
      </c>
      <c r="J1754" s="66" t="s">
        <v>403</v>
      </c>
      <c r="K1754" s="136" t="s">
        <v>9275</v>
      </c>
      <c r="L1754" s="71" t="s">
        <v>500</v>
      </c>
      <c r="M1754" s="71" t="s">
        <v>2312</v>
      </c>
      <c r="N1754" s="71" t="s">
        <v>456</v>
      </c>
      <c r="O1754" s="74" t="s">
        <v>3872</v>
      </c>
      <c r="P1754" s="112" t="s">
        <v>5298</v>
      </c>
      <c r="Q1754" s="75" t="s">
        <v>576</v>
      </c>
      <c r="R1754" s="148" t="str">
        <f>Agencia[[#This Row],[territorio]]&amp;",social,variación,frecuencia,casos policiales,homicidios,delitos,anual,"&amp;Agencia[[#This Row],[coleccion]]&amp;","&amp;Agencia[[#This Row],[sector]]&amp;","&amp;Agencia[[#This Row],[tema]]&amp;","&amp;Agencia[[#This Row],[contenido]]</f>
        <v>Región Metropolitana,social,variación,frecuencia,casos policiales,homicidios,delitos,anual,Agencia Información,Social,DMCS - Homicidio,Delincuencia</v>
      </c>
      <c r="S1754" s="102" t="str">
        <f>HYPERLINK("https://analytics.zoho.com/open-view/2395394000009208859?ZOHO_CRITERIA=%22Localiza%20Chile%22.%22Codreg%22%3D"&amp;Agencia[[#This Row],[Filtro URL]])</f>
        <v>https://analytics.zoho.com/open-view/2395394000009208859?ZOHO_CRITERIA=%22Localiza%20Chile%22.%22Codreg%22%3D13</v>
      </c>
      <c r="T1754" s="110" t="s">
        <v>1859</v>
      </c>
      <c r="U1754" s="46" t="s">
        <v>4648</v>
      </c>
      <c r="V1754" s="93" t="str">
        <f>+Agencia[[#This Row],[idcoleccion]]&amp;"-"&amp;Agencia[[#This Row],[id]]</f>
        <v>990-1743</v>
      </c>
      <c r="W1754" s="96">
        <v>99200013</v>
      </c>
      <c r="X1754" s="93" t="str">
        <f>+VLOOKUP(Agencia[[#This Row],[tema]],Estructura!$A$4:$C$500,3,0)</f>
        <v>T-1074</v>
      </c>
      <c r="Y1754" s="93" t="str">
        <f>+VLOOKUP(Agencia[[#This Row],[contenido]],Estructura!$E$4:$G$500,3,0)</f>
        <v>C-998</v>
      </c>
      <c r="Z1754" s="93" t="str">
        <f>+VLOOKUP(Agencia[[#This Row],[Filtro Integrado]],Estructura!$I$4:$K$500,3,0)</f>
        <v>FI-993</v>
      </c>
      <c r="AA1754" s="93" t="str">
        <f>+VLOOKUP(Agencia[[#This Row],[Muestra]],Estructura!$M$4:$O$500,3,0)</f>
        <v>M-1109</v>
      </c>
    </row>
    <row r="1755" spans="1:27" ht="57.6" x14ac:dyDescent="0.3">
      <c r="A1755" s="21" t="s">
        <v>4884</v>
      </c>
      <c r="B1755" s="71">
        <v>990</v>
      </c>
      <c r="C1755" s="72" t="s">
        <v>400</v>
      </c>
      <c r="D1755" s="72" t="s">
        <v>785</v>
      </c>
      <c r="E1755" s="89">
        <v>14</v>
      </c>
      <c r="F1755" s="72" t="s">
        <v>4285</v>
      </c>
      <c r="G1755" s="73" t="s">
        <v>1879</v>
      </c>
      <c r="H1755" s="79" t="s">
        <v>16</v>
      </c>
      <c r="I1755" s="80" t="s">
        <v>381</v>
      </c>
      <c r="J1755" s="66" t="s">
        <v>403</v>
      </c>
      <c r="K1755" s="136" t="s">
        <v>9275</v>
      </c>
      <c r="L1755" s="71" t="s">
        <v>500</v>
      </c>
      <c r="M1755" s="71" t="s">
        <v>2312</v>
      </c>
      <c r="N1755" s="71" t="s">
        <v>456</v>
      </c>
      <c r="O1755" s="74" t="s">
        <v>3873</v>
      </c>
      <c r="P1755" s="112" t="s">
        <v>5299</v>
      </c>
      <c r="Q1755" s="75" t="s">
        <v>576</v>
      </c>
      <c r="R1755" s="148" t="str">
        <f>Agencia[[#This Row],[territorio]]&amp;",social,variación,frecuencia,casos policiales,homicidios,delitos,anual,"&amp;Agencia[[#This Row],[coleccion]]&amp;","&amp;Agencia[[#This Row],[sector]]&amp;","&amp;Agencia[[#This Row],[tema]]&amp;","&amp;Agencia[[#This Row],[contenido]]</f>
        <v>Región de Los Ríos,social,variación,frecuencia,casos policiales,homicidios,delitos,anual,Agencia Información,Social,DMCS - Homicidio,Delincuencia</v>
      </c>
      <c r="S1755" s="102" t="str">
        <f>HYPERLINK("https://analytics.zoho.com/open-view/2395394000009208859?ZOHO_CRITERIA=%22Localiza%20Chile%22.%22Codreg%22%3D"&amp;Agencia[[#This Row],[Filtro URL]])</f>
        <v>https://analytics.zoho.com/open-view/2395394000009208859?ZOHO_CRITERIA=%22Localiza%20Chile%22.%22Codreg%22%3D14</v>
      </c>
      <c r="T1755" s="110" t="s">
        <v>1851</v>
      </c>
      <c r="U1755" s="46" t="s">
        <v>4649</v>
      </c>
      <c r="V1755" s="93" t="str">
        <f>+Agencia[[#This Row],[idcoleccion]]&amp;"-"&amp;Agencia[[#This Row],[id]]</f>
        <v>990-1744</v>
      </c>
      <c r="W1755" s="96">
        <v>99200014</v>
      </c>
      <c r="X1755" s="93" t="str">
        <f>+VLOOKUP(Agencia[[#This Row],[tema]],Estructura!$A$4:$C$500,3,0)</f>
        <v>T-1074</v>
      </c>
      <c r="Y1755" s="93" t="str">
        <f>+VLOOKUP(Agencia[[#This Row],[contenido]],Estructura!$E$4:$G$500,3,0)</f>
        <v>C-998</v>
      </c>
      <c r="Z1755" s="93" t="str">
        <f>+VLOOKUP(Agencia[[#This Row],[Filtro Integrado]],Estructura!$I$4:$K$500,3,0)</f>
        <v>FI-993</v>
      </c>
      <c r="AA1755" s="93" t="str">
        <f>+VLOOKUP(Agencia[[#This Row],[Muestra]],Estructura!$M$4:$O$500,3,0)</f>
        <v>M-1109</v>
      </c>
    </row>
    <row r="1756" spans="1:27" ht="57.6" x14ac:dyDescent="0.3">
      <c r="A1756" s="21" t="s">
        <v>4885</v>
      </c>
      <c r="B1756" s="71">
        <v>990</v>
      </c>
      <c r="C1756" s="72" t="s">
        <v>400</v>
      </c>
      <c r="D1756" s="72" t="s">
        <v>785</v>
      </c>
      <c r="E1756" s="89">
        <v>15</v>
      </c>
      <c r="F1756" s="72" t="s">
        <v>4285</v>
      </c>
      <c r="G1756" s="73" t="s">
        <v>1879</v>
      </c>
      <c r="H1756" s="79" t="s">
        <v>16</v>
      </c>
      <c r="I1756" s="80" t="s">
        <v>382</v>
      </c>
      <c r="J1756" s="66" t="s">
        <v>403</v>
      </c>
      <c r="K1756" s="136" t="s">
        <v>9275</v>
      </c>
      <c r="L1756" s="71" t="s">
        <v>500</v>
      </c>
      <c r="M1756" s="71" t="s">
        <v>2312</v>
      </c>
      <c r="N1756" s="71" t="s">
        <v>456</v>
      </c>
      <c r="O1756" s="74" t="s">
        <v>3874</v>
      </c>
      <c r="P1756" s="112" t="s">
        <v>5300</v>
      </c>
      <c r="Q1756" s="75" t="s">
        <v>576</v>
      </c>
      <c r="R1756" s="148" t="str">
        <f>Agencia[[#This Row],[territorio]]&amp;",social,variación,frecuencia,casos policiales,homicidios,delitos,anual,"&amp;Agencia[[#This Row],[coleccion]]&amp;","&amp;Agencia[[#This Row],[sector]]&amp;","&amp;Agencia[[#This Row],[tema]]&amp;","&amp;Agencia[[#This Row],[contenido]]</f>
        <v>Región de Arica y Parinacota,social,variación,frecuencia,casos policiales,homicidios,delitos,anual,Agencia Información,Social,DMCS - Homicidio,Delincuencia</v>
      </c>
      <c r="S1756" s="102" t="str">
        <f>HYPERLINK("https://analytics.zoho.com/open-view/2395394000009208859?ZOHO_CRITERIA=%22Localiza%20Chile%22.%22Codreg%22%3D"&amp;Agencia[[#This Row],[Filtro URL]])</f>
        <v>https://analytics.zoho.com/open-view/2395394000009208859?ZOHO_CRITERIA=%22Localiza%20Chile%22.%22Codreg%22%3D15</v>
      </c>
      <c r="T1756" s="110" t="s">
        <v>1845</v>
      </c>
      <c r="U1756" s="46" t="s">
        <v>4650</v>
      </c>
      <c r="V1756" s="93" t="str">
        <f>+Agencia[[#This Row],[idcoleccion]]&amp;"-"&amp;Agencia[[#This Row],[id]]</f>
        <v>990-1745</v>
      </c>
      <c r="W1756" s="96">
        <v>99200015</v>
      </c>
      <c r="X1756" s="93" t="str">
        <f>+VLOOKUP(Agencia[[#This Row],[tema]],Estructura!$A$4:$C$500,3,0)</f>
        <v>T-1074</v>
      </c>
      <c r="Y1756" s="93" t="str">
        <f>+VLOOKUP(Agencia[[#This Row],[contenido]],Estructura!$E$4:$G$500,3,0)</f>
        <v>C-998</v>
      </c>
      <c r="Z1756" s="93" t="str">
        <f>+VLOOKUP(Agencia[[#This Row],[Filtro Integrado]],Estructura!$I$4:$K$500,3,0)</f>
        <v>FI-993</v>
      </c>
      <c r="AA1756" s="93" t="str">
        <f>+VLOOKUP(Agencia[[#This Row],[Muestra]],Estructura!$M$4:$O$500,3,0)</f>
        <v>M-1109</v>
      </c>
    </row>
    <row r="1757" spans="1:27" ht="57.6" x14ac:dyDescent="0.3">
      <c r="A1757" s="21" t="s">
        <v>4886</v>
      </c>
      <c r="B1757" s="71">
        <v>990</v>
      </c>
      <c r="C1757" s="72" t="s">
        <v>400</v>
      </c>
      <c r="D1757" s="72" t="s">
        <v>785</v>
      </c>
      <c r="E1757" s="89">
        <v>16</v>
      </c>
      <c r="F1757" s="72" t="s">
        <v>4285</v>
      </c>
      <c r="G1757" s="73" t="s">
        <v>1879</v>
      </c>
      <c r="H1757" s="79" t="s">
        <v>16</v>
      </c>
      <c r="I1757" s="80" t="s">
        <v>383</v>
      </c>
      <c r="J1757" s="66" t="s">
        <v>403</v>
      </c>
      <c r="K1757" s="136" t="s">
        <v>9275</v>
      </c>
      <c r="L1757" s="71" t="s">
        <v>500</v>
      </c>
      <c r="M1757" s="71" t="s">
        <v>2312</v>
      </c>
      <c r="N1757" s="71" t="s">
        <v>456</v>
      </c>
      <c r="O1757" s="74" t="s">
        <v>3875</v>
      </c>
      <c r="P1757" s="113" t="s">
        <v>5301</v>
      </c>
      <c r="Q1757" s="75" t="s">
        <v>576</v>
      </c>
      <c r="R1757" s="148" t="str">
        <f>Agencia[[#This Row],[territorio]]&amp;",social,variación,frecuencia,casos policiales,homicidios,delitos,anual,"&amp;Agencia[[#This Row],[coleccion]]&amp;","&amp;Agencia[[#This Row],[sector]]&amp;","&amp;Agencia[[#This Row],[tema]]&amp;","&amp;Agencia[[#This Row],[contenido]]</f>
        <v>Región de Ñuble,social,variación,frecuencia,casos policiales,homicidios,delitos,anual,Agencia Información,Social,DMCS - Homicidio,Delincuencia</v>
      </c>
      <c r="S1757" s="102" t="str">
        <f>HYPERLINK("https://analytics.zoho.com/open-view/2395394000009208859?ZOHO_CRITERIA=%22Localiza%20Chile%22.%22Codreg%22%3D"&amp;Agencia[[#This Row],[Filtro URL]])</f>
        <v>https://analytics.zoho.com/open-view/2395394000009208859?ZOHO_CRITERIA=%22Localiza%20Chile%22.%22Codreg%22%3D16</v>
      </c>
      <c r="T1757" s="109" t="s">
        <v>1854</v>
      </c>
      <c r="U1757" s="46" t="s">
        <v>4651</v>
      </c>
      <c r="V1757" s="93" t="str">
        <f>+Agencia[[#This Row],[idcoleccion]]&amp;"-"&amp;Agencia[[#This Row],[id]]</f>
        <v>990-1746</v>
      </c>
      <c r="W1757" s="96">
        <v>99200016</v>
      </c>
      <c r="X1757" s="93" t="str">
        <f>+VLOOKUP(Agencia[[#This Row],[tema]],Estructura!$A$4:$C$500,3,0)</f>
        <v>T-1074</v>
      </c>
      <c r="Y1757" s="93" t="str">
        <f>+VLOOKUP(Agencia[[#This Row],[contenido]],Estructura!$E$4:$G$500,3,0)</f>
        <v>C-998</v>
      </c>
      <c r="Z1757" s="93" t="str">
        <f>+VLOOKUP(Agencia[[#This Row],[Filtro Integrado]],Estructura!$I$4:$K$500,3,0)</f>
        <v>FI-993</v>
      </c>
      <c r="AA1757" s="93" t="str">
        <f>+VLOOKUP(Agencia[[#This Row],[Muestra]],Estructura!$M$4:$O$500,3,0)</f>
        <v>M-1109</v>
      </c>
    </row>
    <row r="1758" spans="1:27" ht="48" x14ac:dyDescent="0.3">
      <c r="A1758" s="21" t="s">
        <v>4887</v>
      </c>
      <c r="B1758" s="71">
        <v>990</v>
      </c>
      <c r="C1758" s="72" t="s">
        <v>400</v>
      </c>
      <c r="D1758" s="72" t="s">
        <v>785</v>
      </c>
      <c r="E1758" s="90">
        <v>0</v>
      </c>
      <c r="F1758" s="72" t="s">
        <v>4286</v>
      </c>
      <c r="G1758" s="73" t="s">
        <v>1879</v>
      </c>
      <c r="H1758" s="77" t="s">
        <v>20</v>
      </c>
      <c r="I1758" s="78" t="s">
        <v>15</v>
      </c>
      <c r="J1758" s="71" t="s">
        <v>16</v>
      </c>
      <c r="K1758" s="71" t="s">
        <v>9276</v>
      </c>
      <c r="L1758" s="71" t="s">
        <v>1547</v>
      </c>
      <c r="M1758" s="71" t="s">
        <v>2312</v>
      </c>
      <c r="N1758" s="71" t="s">
        <v>456</v>
      </c>
      <c r="O1758" s="74" t="s">
        <v>3876</v>
      </c>
      <c r="P1758" s="113" t="s">
        <v>5302</v>
      </c>
      <c r="Q1758" s="75" t="s">
        <v>784</v>
      </c>
      <c r="R1758" s="74" t="str">
        <f>Agencia[[#This Row],[territorio]]&amp;",relación,detenciones,denuncias,delitos,homicidio,violación,nacional,"&amp;Agencia[[#This Row],[coleccion]]&amp;","&amp;Agencia[[#This Row],[sector]]&amp;","&amp;Agencia[[#This Row],[tema]]&amp;","&amp;Agencia[[#This Row],[contenido]]</f>
        <v>Chile,relación,detenciones,denuncias,delitos,homicidio,violación,nacional,Agencia Información,Social,DMCS - Homicidio y Violación,Delincuencia</v>
      </c>
      <c r="S1758" s="81" t="s">
        <v>3877</v>
      </c>
      <c r="T1758" s="109" t="s">
        <v>805</v>
      </c>
      <c r="U1758" s="46" t="s">
        <v>4652</v>
      </c>
      <c r="V1758" s="93" t="str">
        <f>+Agencia[[#This Row],[idcoleccion]]&amp;"-"&amp;Agencia[[#This Row],[id]]</f>
        <v>990-1747</v>
      </c>
      <c r="W1758" s="96">
        <v>99100000</v>
      </c>
      <c r="X1758" s="93" t="str">
        <f>+VLOOKUP(Agencia[[#This Row],[tema]],Estructura!$A$4:$C$500,3,0)</f>
        <v>T-1075</v>
      </c>
      <c r="Y1758" s="93" t="str">
        <f>+VLOOKUP(Agencia[[#This Row],[contenido]],Estructura!$E$4:$G$500,3,0)</f>
        <v>C-998</v>
      </c>
      <c r="Z1758" s="93" t="str">
        <f>+VLOOKUP(Agencia[[#This Row],[Filtro Integrado]],Estructura!$I$4:$K$500,3,0)</f>
        <v>FI-992</v>
      </c>
      <c r="AA1758" s="93" t="str">
        <f>+VLOOKUP(Agencia[[#This Row],[Muestra]],Estructura!$M$4:$O$500,3,0)</f>
        <v>M-1110</v>
      </c>
    </row>
    <row r="1759" spans="1:27" ht="57.6" x14ac:dyDescent="0.3">
      <c r="A1759" s="21" t="s">
        <v>4888</v>
      </c>
      <c r="B1759" s="71">
        <v>990</v>
      </c>
      <c r="C1759" s="72" t="s">
        <v>400</v>
      </c>
      <c r="D1759" s="72" t="s">
        <v>785</v>
      </c>
      <c r="E1759" s="89">
        <v>1</v>
      </c>
      <c r="F1759" s="72" t="s">
        <v>4286</v>
      </c>
      <c r="G1759" s="73" t="s">
        <v>1879</v>
      </c>
      <c r="H1759" s="79" t="s">
        <v>16</v>
      </c>
      <c r="I1759" s="80" t="s">
        <v>368</v>
      </c>
      <c r="J1759" s="66" t="s">
        <v>403</v>
      </c>
      <c r="K1759" s="136" t="s">
        <v>9276</v>
      </c>
      <c r="L1759" s="71" t="s">
        <v>1547</v>
      </c>
      <c r="M1759" s="71" t="s">
        <v>2312</v>
      </c>
      <c r="N1759" s="71" t="s">
        <v>456</v>
      </c>
      <c r="O1759" s="74" t="s">
        <v>3878</v>
      </c>
      <c r="P1759" s="112" t="s">
        <v>5303</v>
      </c>
      <c r="Q1759" s="68" t="s">
        <v>784</v>
      </c>
      <c r="R1759" s="74" t="str">
        <f>Agencia[[#This Row],[territorio]]&amp;",relación,detenciones,denuncias,delitos,homicidio,violación,nacional,"&amp;Agencia[[#This Row],[coleccion]]&amp;","&amp;Agencia[[#This Row],[sector]]&amp;","&amp;Agencia[[#This Row],[tema]]&amp;","&amp;Agencia[[#This Row],[contenido]]</f>
        <v>Región de Tarapacá,relación,detenciones,denuncias,delitos,homicidio,violación,nacional,Agencia Información,Social,DMCS - Homicidio y Violación,Delincuencia</v>
      </c>
      <c r="S1759" s="83" t="s">
        <v>3879</v>
      </c>
      <c r="T1759" s="110" t="s">
        <v>1872</v>
      </c>
      <c r="U1759" s="46" t="s">
        <v>4653</v>
      </c>
      <c r="V1759" s="93" t="str">
        <f>+Agencia[[#This Row],[idcoleccion]]&amp;"-"&amp;Agencia[[#This Row],[id]]</f>
        <v>990-1748</v>
      </c>
      <c r="W1759" s="96">
        <v>99200001</v>
      </c>
      <c r="X1759" s="93" t="str">
        <f>+VLOOKUP(Agencia[[#This Row],[tema]],Estructura!$A$4:$C$500,3,0)</f>
        <v>T-1075</v>
      </c>
      <c r="Y1759" s="93" t="str">
        <f>+VLOOKUP(Agencia[[#This Row],[contenido]],Estructura!$E$4:$G$500,3,0)</f>
        <v>C-998</v>
      </c>
      <c r="Z1759" s="93" t="str">
        <f>+VLOOKUP(Agencia[[#This Row],[Filtro Integrado]],Estructura!$I$4:$K$500,3,0)</f>
        <v>FI-993</v>
      </c>
      <c r="AA1759" s="93" t="str">
        <f>+VLOOKUP(Agencia[[#This Row],[Muestra]],Estructura!$M$4:$O$500,3,0)</f>
        <v>M-1110</v>
      </c>
    </row>
    <row r="1760" spans="1:27" ht="57.6" x14ac:dyDescent="0.3">
      <c r="A1760" s="21" t="s">
        <v>4889</v>
      </c>
      <c r="B1760" s="71">
        <v>990</v>
      </c>
      <c r="C1760" s="72" t="s">
        <v>400</v>
      </c>
      <c r="D1760" s="72" t="s">
        <v>785</v>
      </c>
      <c r="E1760" s="89">
        <v>2</v>
      </c>
      <c r="F1760" s="72" t="s">
        <v>4286</v>
      </c>
      <c r="G1760" s="73" t="s">
        <v>1879</v>
      </c>
      <c r="H1760" s="79" t="s">
        <v>16</v>
      </c>
      <c r="I1760" s="80" t="s">
        <v>369</v>
      </c>
      <c r="J1760" s="66" t="s">
        <v>403</v>
      </c>
      <c r="K1760" s="136" t="s">
        <v>9276</v>
      </c>
      <c r="L1760" s="71" t="s">
        <v>1547</v>
      </c>
      <c r="M1760" s="71" t="s">
        <v>2312</v>
      </c>
      <c r="N1760" s="71" t="s">
        <v>456</v>
      </c>
      <c r="O1760" s="74" t="s">
        <v>3880</v>
      </c>
      <c r="P1760" s="112" t="s">
        <v>5304</v>
      </c>
      <c r="Q1760" s="68" t="s">
        <v>784</v>
      </c>
      <c r="R1760" s="74" t="str">
        <f>Agencia[[#This Row],[territorio]]&amp;",relación,detenciones,denuncias,delitos,homicidio,violación,nacional,"&amp;Agencia[[#This Row],[coleccion]]&amp;","&amp;Agencia[[#This Row],[sector]]&amp;","&amp;Agencia[[#This Row],[tema]]&amp;","&amp;Agencia[[#This Row],[contenido]]</f>
        <v>Región de Antofagasta,relación,detenciones,denuncias,delitos,homicidio,violación,nacional,Agencia Información,Social,DMCS - Homicidio y Violación,Delincuencia</v>
      </c>
      <c r="S1760" s="83" t="s">
        <v>3881</v>
      </c>
      <c r="T1760" s="110" t="s">
        <v>1860</v>
      </c>
      <c r="U1760" s="46" t="s">
        <v>4654</v>
      </c>
      <c r="V1760" s="93" t="str">
        <f>+Agencia[[#This Row],[idcoleccion]]&amp;"-"&amp;Agencia[[#This Row],[id]]</f>
        <v>990-1749</v>
      </c>
      <c r="W1760" s="96">
        <v>99200002</v>
      </c>
      <c r="X1760" s="93" t="str">
        <f>+VLOOKUP(Agencia[[#This Row],[tema]],Estructura!$A$4:$C$500,3,0)</f>
        <v>T-1075</v>
      </c>
      <c r="Y1760" s="93" t="str">
        <f>+VLOOKUP(Agencia[[#This Row],[contenido]],Estructura!$E$4:$G$500,3,0)</f>
        <v>C-998</v>
      </c>
      <c r="Z1760" s="93" t="str">
        <f>+VLOOKUP(Agencia[[#This Row],[Filtro Integrado]],Estructura!$I$4:$K$500,3,0)</f>
        <v>FI-993</v>
      </c>
      <c r="AA1760" s="93" t="str">
        <f>+VLOOKUP(Agencia[[#This Row],[Muestra]],Estructura!$M$4:$O$500,3,0)</f>
        <v>M-1110</v>
      </c>
    </row>
    <row r="1761" spans="1:27" ht="51" x14ac:dyDescent="0.3">
      <c r="A1761" s="21" t="s">
        <v>4890</v>
      </c>
      <c r="B1761" s="71">
        <v>990</v>
      </c>
      <c r="C1761" s="72" t="s">
        <v>400</v>
      </c>
      <c r="D1761" s="72" t="s">
        <v>785</v>
      </c>
      <c r="E1761" s="89">
        <v>3</v>
      </c>
      <c r="F1761" s="72" t="s">
        <v>4286</v>
      </c>
      <c r="G1761" s="73" t="s">
        <v>1879</v>
      </c>
      <c r="H1761" s="79" t="s">
        <v>16</v>
      </c>
      <c r="I1761" s="80" t="s">
        <v>370</v>
      </c>
      <c r="J1761" s="66" t="s">
        <v>403</v>
      </c>
      <c r="K1761" s="136" t="s">
        <v>9276</v>
      </c>
      <c r="L1761" s="71" t="s">
        <v>1547</v>
      </c>
      <c r="M1761" s="71" t="s">
        <v>2312</v>
      </c>
      <c r="N1761" s="71" t="s">
        <v>456</v>
      </c>
      <c r="O1761" s="74" t="s">
        <v>3882</v>
      </c>
      <c r="P1761" s="112" t="s">
        <v>5305</v>
      </c>
      <c r="Q1761" s="68" t="s">
        <v>784</v>
      </c>
      <c r="R1761" s="74" t="str">
        <f>Agencia[[#This Row],[territorio]]&amp;",relación,detenciones,denuncias,delitos,homicidio,violación,nacional,"&amp;Agencia[[#This Row],[coleccion]]&amp;","&amp;Agencia[[#This Row],[sector]]&amp;","&amp;Agencia[[#This Row],[tema]]&amp;","&amp;Agencia[[#This Row],[contenido]]</f>
        <v>Región de Atacama,relación,detenciones,denuncias,delitos,homicidio,violación,nacional,Agencia Información,Social,DMCS - Homicidio y Violación,Delincuencia</v>
      </c>
      <c r="S1761" s="84" t="s">
        <v>3883</v>
      </c>
      <c r="T1761" s="110" t="s">
        <v>1862</v>
      </c>
      <c r="U1761" s="46" t="s">
        <v>4655</v>
      </c>
      <c r="V1761" s="93" t="str">
        <f>+Agencia[[#This Row],[idcoleccion]]&amp;"-"&amp;Agencia[[#This Row],[id]]</f>
        <v>990-1750</v>
      </c>
      <c r="W1761" s="96">
        <v>99200003</v>
      </c>
      <c r="X1761" s="93" t="str">
        <f>+VLOOKUP(Agencia[[#This Row],[tema]],Estructura!$A$4:$C$500,3,0)</f>
        <v>T-1075</v>
      </c>
      <c r="Y1761" s="93" t="str">
        <f>+VLOOKUP(Agencia[[#This Row],[contenido]],Estructura!$E$4:$G$500,3,0)</f>
        <v>C-998</v>
      </c>
      <c r="Z1761" s="93" t="str">
        <f>+VLOOKUP(Agencia[[#This Row],[Filtro Integrado]],Estructura!$I$4:$K$500,3,0)</f>
        <v>FI-993</v>
      </c>
      <c r="AA1761" s="93" t="str">
        <f>+VLOOKUP(Agencia[[#This Row],[Muestra]],Estructura!$M$4:$O$500,3,0)</f>
        <v>M-1110</v>
      </c>
    </row>
    <row r="1762" spans="1:27" ht="51" x14ac:dyDescent="0.3">
      <c r="A1762" s="21" t="s">
        <v>4891</v>
      </c>
      <c r="B1762" s="71">
        <v>990</v>
      </c>
      <c r="C1762" s="72" t="s">
        <v>400</v>
      </c>
      <c r="D1762" s="72" t="s">
        <v>785</v>
      </c>
      <c r="E1762" s="89">
        <v>4</v>
      </c>
      <c r="F1762" s="72" t="s">
        <v>4286</v>
      </c>
      <c r="G1762" s="73" t="s">
        <v>1879</v>
      </c>
      <c r="H1762" s="79" t="s">
        <v>16</v>
      </c>
      <c r="I1762" s="80" t="s">
        <v>371</v>
      </c>
      <c r="J1762" s="66" t="s">
        <v>403</v>
      </c>
      <c r="K1762" s="136" t="s">
        <v>9276</v>
      </c>
      <c r="L1762" s="71" t="s">
        <v>1547</v>
      </c>
      <c r="M1762" s="71" t="s">
        <v>2312</v>
      </c>
      <c r="N1762" s="71" t="s">
        <v>456</v>
      </c>
      <c r="O1762" s="74" t="s">
        <v>3884</v>
      </c>
      <c r="P1762" s="112" t="s">
        <v>5306</v>
      </c>
      <c r="Q1762" s="68" t="s">
        <v>784</v>
      </c>
      <c r="R1762" s="74" t="str">
        <f>Agencia[[#This Row],[territorio]]&amp;",relación,detenciones,denuncias,delitos,homicidio,violación,nacional,"&amp;Agencia[[#This Row],[coleccion]]&amp;","&amp;Agencia[[#This Row],[sector]]&amp;","&amp;Agencia[[#This Row],[tema]]&amp;","&amp;Agencia[[#This Row],[contenido]]</f>
        <v>Región de Coquimbo,relación,detenciones,denuncias,delitos,homicidio,violación,nacional,Agencia Información,Social,DMCS - Homicidio y Violación,Delincuencia</v>
      </c>
      <c r="S1762" s="84" t="s">
        <v>3885</v>
      </c>
      <c r="T1762" s="110" t="s">
        <v>1864</v>
      </c>
      <c r="U1762" s="46" t="s">
        <v>4656</v>
      </c>
      <c r="V1762" s="93" t="str">
        <f>+Agencia[[#This Row],[idcoleccion]]&amp;"-"&amp;Agencia[[#This Row],[id]]</f>
        <v>990-1751</v>
      </c>
      <c r="W1762" s="96">
        <v>99200004</v>
      </c>
      <c r="X1762" s="93" t="str">
        <f>+VLOOKUP(Agencia[[#This Row],[tema]],Estructura!$A$4:$C$500,3,0)</f>
        <v>T-1075</v>
      </c>
      <c r="Y1762" s="93" t="str">
        <f>+VLOOKUP(Agencia[[#This Row],[contenido]],Estructura!$E$4:$G$500,3,0)</f>
        <v>C-998</v>
      </c>
      <c r="Z1762" s="93" t="str">
        <f>+VLOOKUP(Agencia[[#This Row],[Filtro Integrado]],Estructura!$I$4:$K$500,3,0)</f>
        <v>FI-993</v>
      </c>
      <c r="AA1762" s="93" t="str">
        <f>+VLOOKUP(Agencia[[#This Row],[Muestra]],Estructura!$M$4:$O$500,3,0)</f>
        <v>M-1110</v>
      </c>
    </row>
    <row r="1763" spans="1:27" ht="51" x14ac:dyDescent="0.3">
      <c r="A1763" s="21" t="s">
        <v>4892</v>
      </c>
      <c r="B1763" s="71">
        <v>990</v>
      </c>
      <c r="C1763" s="72" t="s">
        <v>400</v>
      </c>
      <c r="D1763" s="72" t="s">
        <v>785</v>
      </c>
      <c r="E1763" s="89">
        <v>5</v>
      </c>
      <c r="F1763" s="72" t="s">
        <v>4286</v>
      </c>
      <c r="G1763" s="73" t="s">
        <v>1879</v>
      </c>
      <c r="H1763" s="79" t="s">
        <v>16</v>
      </c>
      <c r="I1763" s="80" t="s">
        <v>372</v>
      </c>
      <c r="J1763" s="66" t="s">
        <v>403</v>
      </c>
      <c r="K1763" s="136" t="s">
        <v>9276</v>
      </c>
      <c r="L1763" s="71" t="s">
        <v>1547</v>
      </c>
      <c r="M1763" s="71" t="s">
        <v>2312</v>
      </c>
      <c r="N1763" s="71" t="s">
        <v>456</v>
      </c>
      <c r="O1763" s="74" t="s">
        <v>3886</v>
      </c>
      <c r="P1763" s="112" t="s">
        <v>5307</v>
      </c>
      <c r="Q1763" s="68" t="s">
        <v>784</v>
      </c>
      <c r="R1763" s="74" t="str">
        <f>Agencia[[#This Row],[territorio]]&amp;",relación,detenciones,denuncias,delitos,homicidio,violación,nacional,"&amp;Agencia[[#This Row],[coleccion]]&amp;","&amp;Agencia[[#This Row],[sector]]&amp;","&amp;Agencia[[#This Row],[tema]]&amp;","&amp;Agencia[[#This Row],[contenido]]</f>
        <v>Región de Valparaíso,relación,detenciones,denuncias,delitos,homicidio,violación,nacional,Agencia Información,Social,DMCS - Homicidio y Violación,Delincuencia</v>
      </c>
      <c r="S1763" s="84" t="s">
        <v>3887</v>
      </c>
      <c r="T1763" s="110" t="s">
        <v>1873</v>
      </c>
      <c r="U1763" s="46" t="s">
        <v>4657</v>
      </c>
      <c r="V1763" s="93" t="str">
        <f>+Agencia[[#This Row],[idcoleccion]]&amp;"-"&amp;Agencia[[#This Row],[id]]</f>
        <v>990-1752</v>
      </c>
      <c r="W1763" s="96">
        <v>99200005</v>
      </c>
      <c r="X1763" s="93" t="str">
        <f>+VLOOKUP(Agencia[[#This Row],[tema]],Estructura!$A$4:$C$500,3,0)</f>
        <v>T-1075</v>
      </c>
      <c r="Y1763" s="93" t="str">
        <f>+VLOOKUP(Agencia[[#This Row],[contenido]],Estructura!$E$4:$G$500,3,0)</f>
        <v>C-998</v>
      </c>
      <c r="Z1763" s="93" t="str">
        <f>+VLOOKUP(Agencia[[#This Row],[Filtro Integrado]],Estructura!$I$4:$K$500,3,0)</f>
        <v>FI-993</v>
      </c>
      <c r="AA1763" s="93" t="str">
        <f>+VLOOKUP(Agencia[[#This Row],[Muestra]],Estructura!$M$4:$O$500,3,0)</f>
        <v>M-1110</v>
      </c>
    </row>
    <row r="1764" spans="1:27" ht="51" x14ac:dyDescent="0.3">
      <c r="A1764" s="21" t="s">
        <v>4893</v>
      </c>
      <c r="B1764" s="71">
        <v>990</v>
      </c>
      <c r="C1764" s="72" t="s">
        <v>400</v>
      </c>
      <c r="D1764" s="72" t="s">
        <v>785</v>
      </c>
      <c r="E1764" s="89">
        <v>6</v>
      </c>
      <c r="F1764" s="72" t="s">
        <v>4286</v>
      </c>
      <c r="G1764" s="73" t="s">
        <v>1879</v>
      </c>
      <c r="H1764" s="79" t="s">
        <v>16</v>
      </c>
      <c r="I1764" s="80" t="s">
        <v>373</v>
      </c>
      <c r="J1764" s="66" t="s">
        <v>403</v>
      </c>
      <c r="K1764" s="136" t="s">
        <v>9276</v>
      </c>
      <c r="L1764" s="71" t="s">
        <v>1547</v>
      </c>
      <c r="M1764" s="71" t="s">
        <v>2312</v>
      </c>
      <c r="N1764" s="71" t="s">
        <v>456</v>
      </c>
      <c r="O1764" s="74" t="s">
        <v>3888</v>
      </c>
      <c r="P1764" s="112" t="s">
        <v>5308</v>
      </c>
      <c r="Q1764" s="68" t="s">
        <v>784</v>
      </c>
      <c r="R1764" s="74" t="str">
        <f>Agencia[[#This Row],[territorio]]&amp;",relación,detenciones,denuncias,delitos,homicidio,violación,nacional,"&amp;Agencia[[#This Row],[coleccion]]&amp;","&amp;Agencia[[#This Row],[sector]]&amp;","&amp;Agencia[[#This Row],[tema]]&amp;","&amp;Agencia[[#This Row],[contenido]]</f>
        <v>Región de O'Higgins,relación,detenciones,denuncias,delitos,homicidio,violación,nacional,Agencia Información,Social,DMCS - Homicidio y Violación,Delincuencia</v>
      </c>
      <c r="S1764" s="84" t="s">
        <v>3889</v>
      </c>
      <c r="T1764" s="110" t="s">
        <v>1871</v>
      </c>
      <c r="U1764" s="46" t="s">
        <v>4658</v>
      </c>
      <c r="V1764" s="93" t="str">
        <f>+Agencia[[#This Row],[idcoleccion]]&amp;"-"&amp;Agencia[[#This Row],[id]]</f>
        <v>990-1753</v>
      </c>
      <c r="W1764" s="96">
        <v>99200006</v>
      </c>
      <c r="X1764" s="93" t="str">
        <f>+VLOOKUP(Agencia[[#This Row],[tema]],Estructura!$A$4:$C$500,3,0)</f>
        <v>T-1075</v>
      </c>
      <c r="Y1764" s="93" t="str">
        <f>+VLOOKUP(Agencia[[#This Row],[contenido]],Estructura!$E$4:$G$500,3,0)</f>
        <v>C-998</v>
      </c>
      <c r="Z1764" s="93" t="str">
        <f>+VLOOKUP(Agencia[[#This Row],[Filtro Integrado]],Estructura!$I$4:$K$500,3,0)</f>
        <v>FI-993</v>
      </c>
      <c r="AA1764" s="93" t="str">
        <f>+VLOOKUP(Agencia[[#This Row],[Muestra]],Estructura!$M$4:$O$500,3,0)</f>
        <v>M-1110</v>
      </c>
    </row>
    <row r="1765" spans="1:27" ht="51" x14ac:dyDescent="0.3">
      <c r="A1765" s="21" t="s">
        <v>4894</v>
      </c>
      <c r="B1765" s="71">
        <v>990</v>
      </c>
      <c r="C1765" s="72" t="s">
        <v>400</v>
      </c>
      <c r="D1765" s="72" t="s">
        <v>785</v>
      </c>
      <c r="E1765" s="89">
        <v>7</v>
      </c>
      <c r="F1765" s="72" t="s">
        <v>4286</v>
      </c>
      <c r="G1765" s="73" t="s">
        <v>1879</v>
      </c>
      <c r="H1765" s="79" t="s">
        <v>16</v>
      </c>
      <c r="I1765" s="80" t="s">
        <v>374</v>
      </c>
      <c r="J1765" s="66" t="s">
        <v>403</v>
      </c>
      <c r="K1765" s="136" t="s">
        <v>9276</v>
      </c>
      <c r="L1765" s="71" t="s">
        <v>1547</v>
      </c>
      <c r="M1765" s="71" t="s">
        <v>2312</v>
      </c>
      <c r="N1765" s="71" t="s">
        <v>456</v>
      </c>
      <c r="O1765" s="74" t="s">
        <v>3890</v>
      </c>
      <c r="P1765" s="112" t="s">
        <v>5309</v>
      </c>
      <c r="Q1765" s="68" t="s">
        <v>784</v>
      </c>
      <c r="R1765" s="74" t="str">
        <f>Agencia[[#This Row],[territorio]]&amp;",relación,detenciones,denuncias,delitos,homicidio,violación,nacional,"&amp;Agencia[[#This Row],[coleccion]]&amp;","&amp;Agencia[[#This Row],[sector]]&amp;","&amp;Agencia[[#This Row],[tema]]&amp;","&amp;Agencia[[#This Row],[contenido]]</f>
        <v>Región de Maule,relación,detenciones,denuncias,delitos,homicidio,violación,nacional,Agencia Información,Social,DMCS - Homicidio y Violación,Delincuencia</v>
      </c>
      <c r="S1765" s="84" t="s">
        <v>3891</v>
      </c>
      <c r="T1765" s="110" t="s">
        <v>1869</v>
      </c>
      <c r="U1765" s="46" t="s">
        <v>4659</v>
      </c>
      <c r="V1765" s="93" t="str">
        <f>+Agencia[[#This Row],[idcoleccion]]&amp;"-"&amp;Agencia[[#This Row],[id]]</f>
        <v>990-1754</v>
      </c>
      <c r="W1765" s="96">
        <v>99200007</v>
      </c>
      <c r="X1765" s="93" t="str">
        <f>+VLOOKUP(Agencia[[#This Row],[tema]],Estructura!$A$4:$C$500,3,0)</f>
        <v>T-1075</v>
      </c>
      <c r="Y1765" s="93" t="str">
        <f>+VLOOKUP(Agencia[[#This Row],[contenido]],Estructura!$E$4:$G$500,3,0)</f>
        <v>C-998</v>
      </c>
      <c r="Z1765" s="93" t="str">
        <f>+VLOOKUP(Agencia[[#This Row],[Filtro Integrado]],Estructura!$I$4:$K$500,3,0)</f>
        <v>FI-993</v>
      </c>
      <c r="AA1765" s="93" t="str">
        <f>+VLOOKUP(Agencia[[#This Row],[Muestra]],Estructura!$M$4:$O$500,3,0)</f>
        <v>M-1110</v>
      </c>
    </row>
    <row r="1766" spans="1:27" ht="51" x14ac:dyDescent="0.3">
      <c r="A1766" s="21" t="s">
        <v>4895</v>
      </c>
      <c r="B1766" s="71">
        <v>990</v>
      </c>
      <c r="C1766" s="72" t="s">
        <v>400</v>
      </c>
      <c r="D1766" s="72" t="s">
        <v>785</v>
      </c>
      <c r="E1766" s="89">
        <v>8</v>
      </c>
      <c r="F1766" s="72" t="s">
        <v>4286</v>
      </c>
      <c r="G1766" s="73" t="s">
        <v>1879</v>
      </c>
      <c r="H1766" s="79" t="s">
        <v>16</v>
      </c>
      <c r="I1766" s="80" t="s">
        <v>375</v>
      </c>
      <c r="J1766" s="66" t="s">
        <v>403</v>
      </c>
      <c r="K1766" s="136" t="s">
        <v>9276</v>
      </c>
      <c r="L1766" s="71" t="s">
        <v>1547</v>
      </c>
      <c r="M1766" s="71" t="s">
        <v>2312</v>
      </c>
      <c r="N1766" s="71" t="s">
        <v>456</v>
      </c>
      <c r="O1766" s="74" t="s">
        <v>3892</v>
      </c>
      <c r="P1766" s="112" t="s">
        <v>5310</v>
      </c>
      <c r="Q1766" s="68" t="s">
        <v>784</v>
      </c>
      <c r="R1766" s="74" t="str">
        <f>Agencia[[#This Row],[territorio]]&amp;",relación,detenciones,denuncias,delitos,homicidio,violación,nacional,"&amp;Agencia[[#This Row],[coleccion]]&amp;","&amp;Agencia[[#This Row],[sector]]&amp;","&amp;Agencia[[#This Row],[tema]]&amp;","&amp;Agencia[[#This Row],[contenido]]</f>
        <v>Región del Biobío,relación,detenciones,denuncias,delitos,homicidio,violación,nacional,Agencia Información,Social,DMCS - Homicidio y Violación,Delincuencia</v>
      </c>
      <c r="S1766" s="84" t="s">
        <v>3893</v>
      </c>
      <c r="T1766" s="110" t="s">
        <v>1874</v>
      </c>
      <c r="U1766" s="46" t="s">
        <v>4660</v>
      </c>
      <c r="V1766" s="93" t="str">
        <f>+Agencia[[#This Row],[idcoleccion]]&amp;"-"&amp;Agencia[[#This Row],[id]]</f>
        <v>990-1755</v>
      </c>
      <c r="W1766" s="96">
        <v>99200008</v>
      </c>
      <c r="X1766" s="93" t="str">
        <f>+VLOOKUP(Agencia[[#This Row],[tema]],Estructura!$A$4:$C$500,3,0)</f>
        <v>T-1075</v>
      </c>
      <c r="Y1766" s="93" t="str">
        <f>+VLOOKUP(Agencia[[#This Row],[contenido]],Estructura!$E$4:$G$500,3,0)</f>
        <v>C-998</v>
      </c>
      <c r="Z1766" s="93" t="str">
        <f>+VLOOKUP(Agencia[[#This Row],[Filtro Integrado]],Estructura!$I$4:$K$500,3,0)</f>
        <v>FI-993</v>
      </c>
      <c r="AA1766" s="93" t="str">
        <f>+VLOOKUP(Agencia[[#This Row],[Muestra]],Estructura!$M$4:$O$500,3,0)</f>
        <v>M-1110</v>
      </c>
    </row>
    <row r="1767" spans="1:27" ht="51" x14ac:dyDescent="0.3">
      <c r="A1767" s="21" t="s">
        <v>4896</v>
      </c>
      <c r="B1767" s="71">
        <v>990</v>
      </c>
      <c r="C1767" s="72" t="s">
        <v>400</v>
      </c>
      <c r="D1767" s="72" t="s">
        <v>785</v>
      </c>
      <c r="E1767" s="89">
        <v>9</v>
      </c>
      <c r="F1767" s="72" t="s">
        <v>4286</v>
      </c>
      <c r="G1767" s="73" t="s">
        <v>1879</v>
      </c>
      <c r="H1767" s="79" t="s">
        <v>16</v>
      </c>
      <c r="I1767" s="80" t="s">
        <v>376</v>
      </c>
      <c r="J1767" s="66" t="s">
        <v>403</v>
      </c>
      <c r="K1767" s="136" t="s">
        <v>9276</v>
      </c>
      <c r="L1767" s="71" t="s">
        <v>1547</v>
      </c>
      <c r="M1767" s="71" t="s">
        <v>2312</v>
      </c>
      <c r="N1767" s="71" t="s">
        <v>456</v>
      </c>
      <c r="O1767" s="74" t="s">
        <v>3894</v>
      </c>
      <c r="P1767" s="112" t="s">
        <v>5311</v>
      </c>
      <c r="Q1767" s="68" t="s">
        <v>784</v>
      </c>
      <c r="R1767" s="74" t="str">
        <f>Agencia[[#This Row],[territorio]]&amp;",relación,detenciones,denuncias,delitos,homicidio,violación,nacional,"&amp;Agencia[[#This Row],[coleccion]]&amp;","&amp;Agencia[[#This Row],[sector]]&amp;","&amp;Agencia[[#This Row],[tema]]&amp;","&amp;Agencia[[#This Row],[contenido]]</f>
        <v>Región de La Araucanía,relación,detenciones,denuncias,delitos,homicidio,violación,nacional,Agencia Información,Social,DMCS - Homicidio y Violación,Delincuencia</v>
      </c>
      <c r="S1767" s="84" t="s">
        <v>3895</v>
      </c>
      <c r="T1767" s="110" t="s">
        <v>1865</v>
      </c>
      <c r="U1767" s="46" t="s">
        <v>4661</v>
      </c>
      <c r="V1767" s="93" t="str">
        <f>+Agencia[[#This Row],[idcoleccion]]&amp;"-"&amp;Agencia[[#This Row],[id]]</f>
        <v>990-1756</v>
      </c>
      <c r="W1767" s="96">
        <v>99200009</v>
      </c>
      <c r="X1767" s="93" t="str">
        <f>+VLOOKUP(Agencia[[#This Row],[tema]],Estructura!$A$4:$C$500,3,0)</f>
        <v>T-1075</v>
      </c>
      <c r="Y1767" s="93" t="str">
        <f>+VLOOKUP(Agencia[[#This Row],[contenido]],Estructura!$E$4:$G$500,3,0)</f>
        <v>C-998</v>
      </c>
      <c r="Z1767" s="93" t="str">
        <f>+VLOOKUP(Agencia[[#This Row],[Filtro Integrado]],Estructura!$I$4:$K$500,3,0)</f>
        <v>FI-993</v>
      </c>
      <c r="AA1767" s="93" t="str">
        <f>+VLOOKUP(Agencia[[#This Row],[Muestra]],Estructura!$M$4:$O$500,3,0)</f>
        <v>M-1110</v>
      </c>
    </row>
    <row r="1768" spans="1:27" ht="57.6" x14ac:dyDescent="0.3">
      <c r="A1768" s="21" t="s">
        <v>4897</v>
      </c>
      <c r="B1768" s="71">
        <v>990</v>
      </c>
      <c r="C1768" s="72" t="s">
        <v>400</v>
      </c>
      <c r="D1768" s="72" t="s">
        <v>785</v>
      </c>
      <c r="E1768" s="89">
        <v>10</v>
      </c>
      <c r="F1768" s="72" t="s">
        <v>4286</v>
      </c>
      <c r="G1768" s="73" t="s">
        <v>1879</v>
      </c>
      <c r="H1768" s="79" t="s">
        <v>16</v>
      </c>
      <c r="I1768" s="80" t="s">
        <v>377</v>
      </c>
      <c r="J1768" s="66" t="s">
        <v>403</v>
      </c>
      <c r="K1768" s="136" t="s">
        <v>9276</v>
      </c>
      <c r="L1768" s="71" t="s">
        <v>1547</v>
      </c>
      <c r="M1768" s="71" t="s">
        <v>2312</v>
      </c>
      <c r="N1768" s="71" t="s">
        <v>456</v>
      </c>
      <c r="O1768" s="74" t="s">
        <v>3896</v>
      </c>
      <c r="P1768" s="112" t="s">
        <v>5312</v>
      </c>
      <c r="Q1768" s="68" t="s">
        <v>784</v>
      </c>
      <c r="R1768" s="74" t="str">
        <f>Agencia[[#This Row],[territorio]]&amp;",relación,detenciones,denuncias,delitos,homicidio,violación,nacional,"&amp;Agencia[[#This Row],[coleccion]]&amp;","&amp;Agencia[[#This Row],[sector]]&amp;","&amp;Agencia[[#This Row],[tema]]&amp;","&amp;Agencia[[#This Row],[contenido]]</f>
        <v>Región de Los Lagos,relación,detenciones,denuncias,delitos,homicidio,violación,nacional,Agencia Información,Social,DMCS - Homicidio y Violación,Delincuencia</v>
      </c>
      <c r="S1768" s="83" t="s">
        <v>3897</v>
      </c>
      <c r="T1768" s="110" t="s">
        <v>1866</v>
      </c>
      <c r="U1768" s="46" t="s">
        <v>4662</v>
      </c>
      <c r="V1768" s="93" t="str">
        <f>+Agencia[[#This Row],[idcoleccion]]&amp;"-"&amp;Agencia[[#This Row],[id]]</f>
        <v>990-1757</v>
      </c>
      <c r="W1768" s="96">
        <v>99200010</v>
      </c>
      <c r="X1768" s="93" t="str">
        <f>+VLOOKUP(Agencia[[#This Row],[tema]],Estructura!$A$4:$C$500,3,0)</f>
        <v>T-1075</v>
      </c>
      <c r="Y1768" s="93" t="str">
        <f>+VLOOKUP(Agencia[[#This Row],[contenido]],Estructura!$E$4:$G$500,3,0)</f>
        <v>C-998</v>
      </c>
      <c r="Z1768" s="93" t="str">
        <f>+VLOOKUP(Agencia[[#This Row],[Filtro Integrado]],Estructura!$I$4:$K$500,3,0)</f>
        <v>FI-993</v>
      </c>
      <c r="AA1768" s="93" t="str">
        <f>+VLOOKUP(Agencia[[#This Row],[Muestra]],Estructura!$M$4:$O$500,3,0)</f>
        <v>M-1110</v>
      </c>
    </row>
    <row r="1769" spans="1:27" ht="51" x14ac:dyDescent="0.3">
      <c r="A1769" s="21" t="s">
        <v>4898</v>
      </c>
      <c r="B1769" s="71">
        <v>990</v>
      </c>
      <c r="C1769" s="72" t="s">
        <v>400</v>
      </c>
      <c r="D1769" s="72" t="s">
        <v>785</v>
      </c>
      <c r="E1769" s="89">
        <v>11</v>
      </c>
      <c r="F1769" s="72" t="s">
        <v>4286</v>
      </c>
      <c r="G1769" s="73" t="s">
        <v>1879</v>
      </c>
      <c r="H1769" s="79" t="s">
        <v>16</v>
      </c>
      <c r="I1769" s="80" t="s">
        <v>378</v>
      </c>
      <c r="J1769" s="66" t="s">
        <v>403</v>
      </c>
      <c r="K1769" s="136" t="s">
        <v>9276</v>
      </c>
      <c r="L1769" s="71" t="s">
        <v>1547</v>
      </c>
      <c r="M1769" s="71" t="s">
        <v>2312</v>
      </c>
      <c r="N1769" s="71" t="s">
        <v>456</v>
      </c>
      <c r="O1769" s="74" t="s">
        <v>3898</v>
      </c>
      <c r="P1769" s="112" t="s">
        <v>5313</v>
      </c>
      <c r="Q1769" s="68" t="s">
        <v>784</v>
      </c>
      <c r="R1769" s="74" t="str">
        <f>Agencia[[#This Row],[territorio]]&amp;",relación,detenciones,denuncias,delitos,homicidio,violación,nacional,"&amp;Agencia[[#This Row],[coleccion]]&amp;","&amp;Agencia[[#This Row],[sector]]&amp;","&amp;Agencia[[#This Row],[tema]]&amp;","&amp;Agencia[[#This Row],[contenido]]</f>
        <v>Región de Aysén,relación,detenciones,denuncias,delitos,homicidio,violación,nacional,Agencia Información,Social,DMCS - Homicidio y Violación,Delincuencia</v>
      </c>
      <c r="S1769" s="84" t="s">
        <v>3899</v>
      </c>
      <c r="T1769" s="110" t="s">
        <v>1863</v>
      </c>
      <c r="U1769" s="46" t="s">
        <v>4663</v>
      </c>
      <c r="V1769" s="93" t="str">
        <f>+Agencia[[#This Row],[idcoleccion]]&amp;"-"&amp;Agencia[[#This Row],[id]]</f>
        <v>990-1758</v>
      </c>
      <c r="W1769" s="96">
        <v>99200011</v>
      </c>
      <c r="X1769" s="93" t="str">
        <f>+VLOOKUP(Agencia[[#This Row],[tema]],Estructura!$A$4:$C$500,3,0)</f>
        <v>T-1075</v>
      </c>
      <c r="Y1769" s="93" t="str">
        <f>+VLOOKUP(Agencia[[#This Row],[contenido]],Estructura!$E$4:$G$500,3,0)</f>
        <v>C-998</v>
      </c>
      <c r="Z1769" s="93" t="str">
        <f>+VLOOKUP(Agencia[[#This Row],[Filtro Integrado]],Estructura!$I$4:$K$500,3,0)</f>
        <v>FI-993</v>
      </c>
      <c r="AA1769" s="93" t="str">
        <f>+VLOOKUP(Agencia[[#This Row],[Muestra]],Estructura!$M$4:$O$500,3,0)</f>
        <v>M-1110</v>
      </c>
    </row>
    <row r="1770" spans="1:27" ht="57.6" x14ac:dyDescent="0.3">
      <c r="A1770" s="21" t="s">
        <v>4899</v>
      </c>
      <c r="B1770" s="71">
        <v>990</v>
      </c>
      <c r="C1770" s="72" t="s">
        <v>400</v>
      </c>
      <c r="D1770" s="72" t="s">
        <v>785</v>
      </c>
      <c r="E1770" s="89">
        <v>12</v>
      </c>
      <c r="F1770" s="72" t="s">
        <v>4286</v>
      </c>
      <c r="G1770" s="73" t="s">
        <v>1879</v>
      </c>
      <c r="H1770" s="79" t="s">
        <v>16</v>
      </c>
      <c r="I1770" s="80" t="s">
        <v>379</v>
      </c>
      <c r="J1770" s="66" t="s">
        <v>403</v>
      </c>
      <c r="K1770" s="136" t="s">
        <v>9276</v>
      </c>
      <c r="L1770" s="71" t="s">
        <v>1547</v>
      </c>
      <c r="M1770" s="71" t="s">
        <v>2312</v>
      </c>
      <c r="N1770" s="71" t="s">
        <v>456</v>
      </c>
      <c r="O1770" s="74" t="s">
        <v>3900</v>
      </c>
      <c r="P1770" s="112" t="s">
        <v>5314</v>
      </c>
      <c r="Q1770" s="68" t="s">
        <v>784</v>
      </c>
      <c r="R1770" s="74" t="str">
        <f>Agencia[[#This Row],[territorio]]&amp;",relación,detenciones,denuncias,delitos,homicidio,violación,nacional,"&amp;Agencia[[#This Row],[coleccion]]&amp;","&amp;Agencia[[#This Row],[sector]]&amp;","&amp;Agencia[[#This Row],[tema]]&amp;","&amp;Agencia[[#This Row],[contenido]]</f>
        <v>Región de Magallanes,relación,detenciones,denuncias,delitos,homicidio,violación,nacional,Agencia Información,Social,DMCS - Homicidio y Violación,Delincuencia</v>
      </c>
      <c r="S1770" s="83" t="s">
        <v>3901</v>
      </c>
      <c r="T1770" s="110" t="s">
        <v>1868</v>
      </c>
      <c r="U1770" s="46" t="s">
        <v>4664</v>
      </c>
      <c r="V1770" s="93" t="str">
        <f>+Agencia[[#This Row],[idcoleccion]]&amp;"-"&amp;Agencia[[#This Row],[id]]</f>
        <v>990-1759</v>
      </c>
      <c r="W1770" s="96">
        <v>99200012</v>
      </c>
      <c r="X1770" s="93" t="str">
        <f>+VLOOKUP(Agencia[[#This Row],[tema]],Estructura!$A$4:$C$500,3,0)</f>
        <v>T-1075</v>
      </c>
      <c r="Y1770" s="93" t="str">
        <f>+VLOOKUP(Agencia[[#This Row],[contenido]],Estructura!$E$4:$G$500,3,0)</f>
        <v>C-998</v>
      </c>
      <c r="Z1770" s="93" t="str">
        <f>+VLOOKUP(Agencia[[#This Row],[Filtro Integrado]],Estructura!$I$4:$K$500,3,0)</f>
        <v>FI-993</v>
      </c>
      <c r="AA1770" s="93" t="str">
        <f>+VLOOKUP(Agencia[[#This Row],[Muestra]],Estructura!$M$4:$O$500,3,0)</f>
        <v>M-1110</v>
      </c>
    </row>
    <row r="1771" spans="1:27" ht="51" x14ac:dyDescent="0.3">
      <c r="A1771" s="21" t="s">
        <v>4900</v>
      </c>
      <c r="B1771" s="71">
        <v>990</v>
      </c>
      <c r="C1771" s="72" t="s">
        <v>400</v>
      </c>
      <c r="D1771" s="72" t="s">
        <v>785</v>
      </c>
      <c r="E1771" s="89">
        <v>13</v>
      </c>
      <c r="F1771" s="72" t="s">
        <v>4286</v>
      </c>
      <c r="G1771" s="73" t="s">
        <v>1879</v>
      </c>
      <c r="H1771" s="79" t="s">
        <v>16</v>
      </c>
      <c r="I1771" s="80" t="s">
        <v>380</v>
      </c>
      <c r="J1771" s="66" t="s">
        <v>403</v>
      </c>
      <c r="K1771" s="136" t="s">
        <v>9276</v>
      </c>
      <c r="L1771" s="71" t="s">
        <v>1547</v>
      </c>
      <c r="M1771" s="71" t="s">
        <v>2312</v>
      </c>
      <c r="N1771" s="71" t="s">
        <v>456</v>
      </c>
      <c r="O1771" s="74" t="s">
        <v>3902</v>
      </c>
      <c r="P1771" s="112" t="s">
        <v>5315</v>
      </c>
      <c r="Q1771" s="68" t="s">
        <v>784</v>
      </c>
      <c r="R1771" s="74" t="str">
        <f>Agencia[[#This Row],[territorio]]&amp;",relación,detenciones,denuncias,delitos,homicidio,violación,nacional,"&amp;Agencia[[#This Row],[coleccion]]&amp;","&amp;Agencia[[#This Row],[sector]]&amp;","&amp;Agencia[[#This Row],[tema]]&amp;","&amp;Agencia[[#This Row],[contenido]]</f>
        <v>Región Metropolitana,relación,detenciones,denuncias,delitos,homicidio,violación,nacional,Agencia Información,Social,DMCS - Homicidio y Violación,Delincuencia</v>
      </c>
      <c r="S1771" s="84" t="s">
        <v>3903</v>
      </c>
      <c r="T1771" s="110" t="s">
        <v>1875</v>
      </c>
      <c r="U1771" s="46" t="s">
        <v>4665</v>
      </c>
      <c r="V1771" s="93" t="str">
        <f>+Agencia[[#This Row],[idcoleccion]]&amp;"-"&amp;Agencia[[#This Row],[id]]</f>
        <v>990-1760</v>
      </c>
      <c r="W1771" s="96">
        <v>99200013</v>
      </c>
      <c r="X1771" s="93" t="str">
        <f>+VLOOKUP(Agencia[[#This Row],[tema]],Estructura!$A$4:$C$500,3,0)</f>
        <v>T-1075</v>
      </c>
      <c r="Y1771" s="93" t="str">
        <f>+VLOOKUP(Agencia[[#This Row],[contenido]],Estructura!$E$4:$G$500,3,0)</f>
        <v>C-998</v>
      </c>
      <c r="Z1771" s="93" t="str">
        <f>+VLOOKUP(Agencia[[#This Row],[Filtro Integrado]],Estructura!$I$4:$K$500,3,0)</f>
        <v>FI-993</v>
      </c>
      <c r="AA1771" s="93" t="str">
        <f>+VLOOKUP(Agencia[[#This Row],[Muestra]],Estructura!$M$4:$O$500,3,0)</f>
        <v>M-1110</v>
      </c>
    </row>
    <row r="1772" spans="1:27" ht="51" x14ac:dyDescent="0.3">
      <c r="A1772" s="21" t="s">
        <v>4901</v>
      </c>
      <c r="B1772" s="71">
        <v>990</v>
      </c>
      <c r="C1772" s="72" t="s">
        <v>400</v>
      </c>
      <c r="D1772" s="72" t="s">
        <v>785</v>
      </c>
      <c r="E1772" s="89">
        <v>14</v>
      </c>
      <c r="F1772" s="72" t="s">
        <v>4286</v>
      </c>
      <c r="G1772" s="73" t="s">
        <v>1879</v>
      </c>
      <c r="H1772" s="79" t="s">
        <v>16</v>
      </c>
      <c r="I1772" s="80" t="s">
        <v>381</v>
      </c>
      <c r="J1772" s="66" t="s">
        <v>403</v>
      </c>
      <c r="K1772" s="136" t="s">
        <v>9276</v>
      </c>
      <c r="L1772" s="71" t="s">
        <v>1547</v>
      </c>
      <c r="M1772" s="71" t="s">
        <v>2312</v>
      </c>
      <c r="N1772" s="71" t="s">
        <v>456</v>
      </c>
      <c r="O1772" s="74" t="s">
        <v>3904</v>
      </c>
      <c r="P1772" s="112" t="s">
        <v>5316</v>
      </c>
      <c r="Q1772" s="68" t="s">
        <v>784</v>
      </c>
      <c r="R1772" s="74" t="str">
        <f>Agencia[[#This Row],[territorio]]&amp;",relación,detenciones,denuncias,delitos,homicidio,violación,nacional,"&amp;Agencia[[#This Row],[coleccion]]&amp;","&amp;Agencia[[#This Row],[sector]]&amp;","&amp;Agencia[[#This Row],[tema]]&amp;","&amp;Agencia[[#This Row],[contenido]]</f>
        <v>Región de Los Ríos,relación,detenciones,denuncias,delitos,homicidio,violación,nacional,Agencia Información,Social,DMCS - Homicidio y Violación,Delincuencia</v>
      </c>
      <c r="S1772" s="84" t="s">
        <v>3905</v>
      </c>
      <c r="T1772" s="110" t="s">
        <v>1867</v>
      </c>
      <c r="U1772" s="46" t="s">
        <v>4666</v>
      </c>
      <c r="V1772" s="93" t="str">
        <f>+Agencia[[#This Row],[idcoleccion]]&amp;"-"&amp;Agencia[[#This Row],[id]]</f>
        <v>990-1761</v>
      </c>
      <c r="W1772" s="96">
        <v>99200014</v>
      </c>
      <c r="X1772" s="93" t="str">
        <f>+VLOOKUP(Agencia[[#This Row],[tema]],Estructura!$A$4:$C$500,3,0)</f>
        <v>T-1075</v>
      </c>
      <c r="Y1772" s="93" t="str">
        <f>+VLOOKUP(Agencia[[#This Row],[contenido]],Estructura!$E$4:$G$500,3,0)</f>
        <v>C-998</v>
      </c>
      <c r="Z1772" s="93" t="str">
        <f>+VLOOKUP(Agencia[[#This Row],[Filtro Integrado]],Estructura!$I$4:$K$500,3,0)</f>
        <v>FI-993</v>
      </c>
      <c r="AA1772" s="93" t="str">
        <f>+VLOOKUP(Agencia[[#This Row],[Muestra]],Estructura!$M$4:$O$500,3,0)</f>
        <v>M-1110</v>
      </c>
    </row>
    <row r="1773" spans="1:27" ht="51" x14ac:dyDescent="0.3">
      <c r="A1773" s="21" t="s">
        <v>4902</v>
      </c>
      <c r="B1773" s="71">
        <v>990</v>
      </c>
      <c r="C1773" s="72" t="s">
        <v>400</v>
      </c>
      <c r="D1773" s="72" t="s">
        <v>785</v>
      </c>
      <c r="E1773" s="89">
        <v>15</v>
      </c>
      <c r="F1773" s="72" t="s">
        <v>4286</v>
      </c>
      <c r="G1773" s="73" t="s">
        <v>1879</v>
      </c>
      <c r="H1773" s="79" t="s">
        <v>16</v>
      </c>
      <c r="I1773" s="80" t="s">
        <v>382</v>
      </c>
      <c r="J1773" s="66" t="s">
        <v>403</v>
      </c>
      <c r="K1773" s="136" t="s">
        <v>9276</v>
      </c>
      <c r="L1773" s="71" t="s">
        <v>1547</v>
      </c>
      <c r="M1773" s="71" t="s">
        <v>2312</v>
      </c>
      <c r="N1773" s="71" t="s">
        <v>456</v>
      </c>
      <c r="O1773" s="74" t="s">
        <v>3906</v>
      </c>
      <c r="P1773" s="112" t="s">
        <v>5317</v>
      </c>
      <c r="Q1773" s="68" t="s">
        <v>784</v>
      </c>
      <c r="R1773" s="74" t="str">
        <f>Agencia[[#This Row],[territorio]]&amp;",relación,detenciones,denuncias,delitos,homicidio,violación,nacional,"&amp;Agencia[[#This Row],[coleccion]]&amp;","&amp;Agencia[[#This Row],[sector]]&amp;","&amp;Agencia[[#This Row],[tema]]&amp;","&amp;Agencia[[#This Row],[contenido]]</f>
        <v>Región de Arica y Parinacota,relación,detenciones,denuncias,delitos,homicidio,violación,nacional,Agencia Información,Social,DMCS - Homicidio y Violación,Delincuencia</v>
      </c>
      <c r="S1773" s="84" t="s">
        <v>3907</v>
      </c>
      <c r="T1773" s="110" t="s">
        <v>1861</v>
      </c>
      <c r="U1773" s="46" t="s">
        <v>4667</v>
      </c>
      <c r="V1773" s="93" t="str">
        <f>+Agencia[[#This Row],[idcoleccion]]&amp;"-"&amp;Agencia[[#This Row],[id]]</f>
        <v>990-1762</v>
      </c>
      <c r="W1773" s="96">
        <v>99200015</v>
      </c>
      <c r="X1773" s="93" t="str">
        <f>+VLOOKUP(Agencia[[#This Row],[tema]],Estructura!$A$4:$C$500,3,0)</f>
        <v>T-1075</v>
      </c>
      <c r="Y1773" s="93" t="str">
        <f>+VLOOKUP(Agencia[[#This Row],[contenido]],Estructura!$E$4:$G$500,3,0)</f>
        <v>C-998</v>
      </c>
      <c r="Z1773" s="93" t="str">
        <f>+VLOOKUP(Agencia[[#This Row],[Filtro Integrado]],Estructura!$I$4:$K$500,3,0)</f>
        <v>FI-993</v>
      </c>
      <c r="AA1773" s="93" t="str">
        <f>+VLOOKUP(Agencia[[#This Row],[Muestra]],Estructura!$M$4:$O$500,3,0)</f>
        <v>M-1110</v>
      </c>
    </row>
    <row r="1774" spans="1:27" ht="51" x14ac:dyDescent="0.3">
      <c r="A1774" s="21" t="s">
        <v>4903</v>
      </c>
      <c r="B1774" s="71">
        <v>990</v>
      </c>
      <c r="C1774" s="72" t="s">
        <v>400</v>
      </c>
      <c r="D1774" s="72" t="s">
        <v>785</v>
      </c>
      <c r="E1774" s="89">
        <v>16</v>
      </c>
      <c r="F1774" s="72" t="s">
        <v>4286</v>
      </c>
      <c r="G1774" s="73" t="s">
        <v>1879</v>
      </c>
      <c r="H1774" s="79" t="s">
        <v>16</v>
      </c>
      <c r="I1774" s="80" t="s">
        <v>383</v>
      </c>
      <c r="J1774" s="66" t="s">
        <v>403</v>
      </c>
      <c r="K1774" s="136" t="s">
        <v>9276</v>
      </c>
      <c r="L1774" s="71" t="s">
        <v>1547</v>
      </c>
      <c r="M1774" s="71" t="s">
        <v>2312</v>
      </c>
      <c r="N1774" s="71" t="s">
        <v>456</v>
      </c>
      <c r="O1774" s="74" t="s">
        <v>3908</v>
      </c>
      <c r="P1774" s="113" t="s">
        <v>5318</v>
      </c>
      <c r="Q1774" s="75" t="s">
        <v>784</v>
      </c>
      <c r="R1774" s="74" t="str">
        <f>Agencia[[#This Row],[territorio]]&amp;",relación,detenciones,denuncias,delitos,homicidio,violación,nacional,"&amp;Agencia[[#This Row],[coleccion]]&amp;","&amp;Agencia[[#This Row],[sector]]&amp;","&amp;Agencia[[#This Row],[tema]]&amp;","&amp;Agencia[[#This Row],[contenido]]</f>
        <v>Región de Ñuble,relación,detenciones,denuncias,delitos,homicidio,violación,nacional,Agencia Información,Social,DMCS - Homicidio y Violación,Delincuencia</v>
      </c>
      <c r="S1774" s="84" t="s">
        <v>3909</v>
      </c>
      <c r="T1774" s="109" t="s">
        <v>1870</v>
      </c>
      <c r="U1774" s="46" t="s">
        <v>4668</v>
      </c>
      <c r="V1774" s="93" t="str">
        <f>+Agencia[[#This Row],[idcoleccion]]&amp;"-"&amp;Agencia[[#This Row],[id]]</f>
        <v>990-1763</v>
      </c>
      <c r="W1774" s="96">
        <v>99200016</v>
      </c>
      <c r="X1774" s="93" t="str">
        <f>+VLOOKUP(Agencia[[#This Row],[tema]],Estructura!$A$4:$C$500,3,0)</f>
        <v>T-1075</v>
      </c>
      <c r="Y1774" s="93" t="str">
        <f>+VLOOKUP(Agencia[[#This Row],[contenido]],Estructura!$E$4:$G$500,3,0)</f>
        <v>C-998</v>
      </c>
      <c r="Z1774" s="93" t="str">
        <f>+VLOOKUP(Agencia[[#This Row],[Filtro Integrado]],Estructura!$I$4:$K$500,3,0)</f>
        <v>FI-993</v>
      </c>
      <c r="AA1774" s="93" t="str">
        <f>+VLOOKUP(Agencia[[#This Row],[Muestra]],Estructura!$M$4:$O$500,3,0)</f>
        <v>M-1110</v>
      </c>
    </row>
    <row r="1775" spans="1:27" ht="60.9" customHeight="1" x14ac:dyDescent="0.3">
      <c r="A1775" s="21" t="s">
        <v>4904</v>
      </c>
      <c r="B1775" s="71">
        <v>990</v>
      </c>
      <c r="C1775" s="72" t="s">
        <v>400</v>
      </c>
      <c r="D1775" s="72" t="s">
        <v>404</v>
      </c>
      <c r="E1775" s="90">
        <v>0</v>
      </c>
      <c r="F1775" s="72" t="s">
        <v>5165</v>
      </c>
      <c r="G1775" s="73" t="s">
        <v>3911</v>
      </c>
      <c r="H1775" s="77" t="s">
        <v>20</v>
      </c>
      <c r="I1775" s="78" t="s">
        <v>15</v>
      </c>
      <c r="J1775" s="71" t="s">
        <v>16</v>
      </c>
      <c r="K1775" s="71" t="s">
        <v>3911</v>
      </c>
      <c r="L1775" s="86" t="s">
        <v>457</v>
      </c>
      <c r="M1775" s="71" t="s">
        <v>2312</v>
      </c>
      <c r="N1775" s="66" t="s">
        <v>402</v>
      </c>
      <c r="O1775" s="74" t="str">
        <f>"Pobreza Extrema y No Extrema en la Población Autodefinida como Indígena a Escala Comunal en "&amp;Agencia[[#This Row],[territorio]]&amp;", "&amp;Agencia[[#This Row],[temporalidad]]</f>
        <v>Pobreza Extrema y No Extrema en la Población Autodefinida como Indígena a Escala Comunal en Chile, Año 2020</v>
      </c>
      <c r="P1775" s="113" t="s">
        <v>5393</v>
      </c>
      <c r="Q1775" s="75" t="s">
        <v>794</v>
      </c>
      <c r="R1775" s="74" t="str">
        <f>Agencia[[#This Row],[territorio]]&amp;",no extrema,extrema,población,autodefinida,indígena,comunal,nacional,porcentaje,"&amp;Agencia[[#This Row],[coleccion]]&amp;","&amp;Agencia[[#This Row],[sector]]&amp;","&amp;Agencia[[#This Row],[tema]]&amp;","&amp;Agencia[[#This Row],[contenido]]</f>
        <v>Chile,no extrema,extrema,población,autodefinida,indígena,comunal,nacional,porcentaje,Agencia Información,Socioeconómico,Pobreza población Indígena,Pobreza</v>
      </c>
      <c r="S1775" s="85" t="s">
        <v>3913</v>
      </c>
      <c r="T1775" s="109" t="s">
        <v>957</v>
      </c>
      <c r="U1775" s="46" t="s">
        <v>4669</v>
      </c>
      <c r="V1775" s="93" t="str">
        <f>+Agencia[[#This Row],[idcoleccion]]&amp;"-"&amp;Agencia[[#This Row],[id]]</f>
        <v>990-1764</v>
      </c>
      <c r="W1775" s="96">
        <v>99100000</v>
      </c>
      <c r="X1775" s="93" t="str">
        <f>+VLOOKUP(Agencia[[#This Row],[tema]],Estructura!$A$4:$C$500,3,0)</f>
        <v>T-1090</v>
      </c>
      <c r="Y1775" s="93" t="str">
        <f>+VLOOKUP(Agencia[[#This Row],[contenido]],Estructura!$E$4:$G$500,3,0)</f>
        <v>C-1025</v>
      </c>
      <c r="Z1775" s="93" t="str">
        <f>+VLOOKUP(Agencia[[#This Row],[Filtro Integrado]],Estructura!$I$4:$K$500,3,0)</f>
        <v>FI-992</v>
      </c>
      <c r="AA1775" s="93" t="str">
        <f>+VLOOKUP(Agencia[[#This Row],[Muestra]],Estructura!$M$4:$O$500,3,0)</f>
        <v>M-1111</v>
      </c>
    </row>
    <row r="1776" spans="1:27" ht="51" x14ac:dyDescent="0.3">
      <c r="A1776" s="21" t="s">
        <v>4905</v>
      </c>
      <c r="B1776" s="71">
        <v>990</v>
      </c>
      <c r="C1776" s="72" t="s">
        <v>400</v>
      </c>
      <c r="D1776" s="72" t="s">
        <v>404</v>
      </c>
      <c r="E1776" s="89">
        <v>1</v>
      </c>
      <c r="F1776" s="72" t="s">
        <v>5165</v>
      </c>
      <c r="G1776" s="73" t="s">
        <v>3911</v>
      </c>
      <c r="H1776" s="79" t="s">
        <v>16</v>
      </c>
      <c r="I1776" s="80" t="s">
        <v>368</v>
      </c>
      <c r="J1776" s="66" t="s">
        <v>403</v>
      </c>
      <c r="K1776" s="136" t="s">
        <v>3911</v>
      </c>
      <c r="L1776" s="86" t="s">
        <v>457</v>
      </c>
      <c r="M1776" s="71" t="s">
        <v>2312</v>
      </c>
      <c r="N1776" s="66" t="s">
        <v>402</v>
      </c>
      <c r="O1776"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Tarapacá, Año 2020</v>
      </c>
      <c r="P1776" s="112" t="s">
        <v>5394</v>
      </c>
      <c r="Q1776" s="75" t="s">
        <v>794</v>
      </c>
      <c r="R1776" s="74" t="str">
        <f>Agencia[[#This Row],[territorio]]&amp;",no extrema,extrema,población,autodefinida,indígena,comunal,regional,porcentaje,"&amp;Agencia[[#This Row],[coleccion]]&amp;","&amp;Agencia[[#This Row],[sector]]&amp;","&amp;Agencia[[#This Row],[tema]]&amp;","&amp;Agencia[[#This Row],[contenido]]</f>
        <v>Región de Tarapacá,no extrema,extrema,población,autodefinida,indígena,comunal,regional,porcentaje,Agencia Información,Socioeconómico,Pobreza población Indígena,Pobreza</v>
      </c>
      <c r="S1776" s="84" t="s">
        <v>3915</v>
      </c>
      <c r="T1776" s="110" t="s">
        <v>1856</v>
      </c>
      <c r="U1776" s="46" t="s">
        <v>4670</v>
      </c>
      <c r="V1776" s="93" t="str">
        <f>+Agencia[[#This Row],[idcoleccion]]&amp;"-"&amp;Agencia[[#This Row],[id]]</f>
        <v>990-1765</v>
      </c>
      <c r="W1776" s="96">
        <v>99200001</v>
      </c>
      <c r="X1776" s="93" t="str">
        <f>+VLOOKUP(Agencia[[#This Row],[tema]],Estructura!$A$4:$C$500,3,0)</f>
        <v>T-1090</v>
      </c>
      <c r="Y1776" s="93" t="str">
        <f>+VLOOKUP(Agencia[[#This Row],[contenido]],Estructura!$E$4:$G$500,3,0)</f>
        <v>C-1025</v>
      </c>
      <c r="Z1776" s="93" t="str">
        <f>+VLOOKUP(Agencia[[#This Row],[Filtro Integrado]],Estructura!$I$4:$K$500,3,0)</f>
        <v>FI-993</v>
      </c>
      <c r="AA1776" s="93" t="str">
        <f>+VLOOKUP(Agencia[[#This Row],[Muestra]],Estructura!$M$4:$O$500,3,0)</f>
        <v>M-1111</v>
      </c>
    </row>
    <row r="1777" spans="1:27" ht="51" x14ac:dyDescent="0.3">
      <c r="A1777" s="21" t="s">
        <v>4906</v>
      </c>
      <c r="B1777" s="71">
        <v>990</v>
      </c>
      <c r="C1777" s="72" t="s">
        <v>400</v>
      </c>
      <c r="D1777" s="72" t="s">
        <v>404</v>
      </c>
      <c r="E1777" s="89">
        <v>2</v>
      </c>
      <c r="F1777" s="72" t="s">
        <v>5165</v>
      </c>
      <c r="G1777" s="73" t="s">
        <v>3911</v>
      </c>
      <c r="H1777" s="79" t="s">
        <v>16</v>
      </c>
      <c r="I1777" s="80" t="s">
        <v>369</v>
      </c>
      <c r="J1777" s="66" t="s">
        <v>403</v>
      </c>
      <c r="K1777" s="136" t="s">
        <v>3911</v>
      </c>
      <c r="L1777" s="86" t="s">
        <v>457</v>
      </c>
      <c r="M1777" s="71" t="s">
        <v>2312</v>
      </c>
      <c r="N1777" s="66" t="s">
        <v>402</v>
      </c>
      <c r="O1777"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Antofagasta, Año 2020</v>
      </c>
      <c r="P1777" s="112" t="s">
        <v>5395</v>
      </c>
      <c r="Q1777" s="75" t="s">
        <v>794</v>
      </c>
      <c r="R1777" s="74" t="str">
        <f>Agencia[[#This Row],[territorio]]&amp;",no extrema,extrema,población,autodefinida,indígena,comunal,regional,porcentaje,"&amp;Agencia[[#This Row],[coleccion]]&amp;","&amp;Agencia[[#This Row],[sector]]&amp;","&amp;Agencia[[#This Row],[tema]]&amp;","&amp;Agencia[[#This Row],[contenido]]</f>
        <v>Región de Antofagasta,no extrema,extrema,población,autodefinida,indígena,comunal,regional,porcentaje,Agencia Información,Socioeconómico,Pobreza población Indígena,Pobreza</v>
      </c>
      <c r="S1777" s="84" t="s">
        <v>3917</v>
      </c>
      <c r="T1777" s="110" t="s">
        <v>1844</v>
      </c>
      <c r="U1777" s="46" t="s">
        <v>4671</v>
      </c>
      <c r="V1777" s="93" t="str">
        <f>+Agencia[[#This Row],[idcoleccion]]&amp;"-"&amp;Agencia[[#This Row],[id]]</f>
        <v>990-1766</v>
      </c>
      <c r="W1777" s="96">
        <v>99200002</v>
      </c>
      <c r="X1777" s="93" t="str">
        <f>+VLOOKUP(Agencia[[#This Row],[tema]],Estructura!$A$4:$C$500,3,0)</f>
        <v>T-1090</v>
      </c>
      <c r="Y1777" s="93" t="str">
        <f>+VLOOKUP(Agencia[[#This Row],[contenido]],Estructura!$E$4:$G$500,3,0)</f>
        <v>C-1025</v>
      </c>
      <c r="Z1777" s="93" t="str">
        <f>+VLOOKUP(Agencia[[#This Row],[Filtro Integrado]],Estructura!$I$4:$K$500,3,0)</f>
        <v>FI-993</v>
      </c>
      <c r="AA1777" s="93" t="str">
        <f>+VLOOKUP(Agencia[[#This Row],[Muestra]],Estructura!$M$4:$O$500,3,0)</f>
        <v>M-1111</v>
      </c>
    </row>
    <row r="1778" spans="1:27" ht="51" x14ac:dyDescent="0.3">
      <c r="A1778" s="21" t="s">
        <v>4907</v>
      </c>
      <c r="B1778" s="71">
        <v>990</v>
      </c>
      <c r="C1778" s="72" t="s">
        <v>400</v>
      </c>
      <c r="D1778" s="72" t="s">
        <v>404</v>
      </c>
      <c r="E1778" s="89">
        <v>3</v>
      </c>
      <c r="F1778" s="72" t="s">
        <v>5165</v>
      </c>
      <c r="G1778" s="73" t="s">
        <v>3911</v>
      </c>
      <c r="H1778" s="79" t="s">
        <v>16</v>
      </c>
      <c r="I1778" s="80" t="s">
        <v>370</v>
      </c>
      <c r="J1778" s="66" t="s">
        <v>403</v>
      </c>
      <c r="K1778" s="136" t="s">
        <v>3911</v>
      </c>
      <c r="L1778" s="86" t="s">
        <v>457</v>
      </c>
      <c r="M1778" s="71" t="s">
        <v>2312</v>
      </c>
      <c r="N1778" s="66" t="s">
        <v>402</v>
      </c>
      <c r="O1778"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Atacama, Año 2020</v>
      </c>
      <c r="P1778" s="112" t="s">
        <v>5396</v>
      </c>
      <c r="Q1778" s="75" t="s">
        <v>794</v>
      </c>
      <c r="R1778" s="74" t="str">
        <f>Agencia[[#This Row],[territorio]]&amp;",no extrema,extrema,población,autodefinida,indígena,comunal,regional,porcentaje,"&amp;Agencia[[#This Row],[coleccion]]&amp;","&amp;Agencia[[#This Row],[sector]]&amp;","&amp;Agencia[[#This Row],[tema]]&amp;","&amp;Agencia[[#This Row],[contenido]]</f>
        <v>Región de Atacama,no extrema,extrema,población,autodefinida,indígena,comunal,regional,porcentaje,Agencia Información,Socioeconómico,Pobreza población Indígena,Pobreza</v>
      </c>
      <c r="S1778" s="84" t="s">
        <v>3919</v>
      </c>
      <c r="T1778" s="110" t="s">
        <v>1846</v>
      </c>
      <c r="U1778" s="46" t="s">
        <v>4672</v>
      </c>
      <c r="V1778" s="93" t="str">
        <f>+Agencia[[#This Row],[idcoleccion]]&amp;"-"&amp;Agencia[[#This Row],[id]]</f>
        <v>990-1767</v>
      </c>
      <c r="W1778" s="96">
        <v>99200003</v>
      </c>
      <c r="X1778" s="93" t="str">
        <f>+VLOOKUP(Agencia[[#This Row],[tema]],Estructura!$A$4:$C$500,3,0)</f>
        <v>T-1090</v>
      </c>
      <c r="Y1778" s="93" t="str">
        <f>+VLOOKUP(Agencia[[#This Row],[contenido]],Estructura!$E$4:$G$500,3,0)</f>
        <v>C-1025</v>
      </c>
      <c r="Z1778" s="93" t="str">
        <f>+VLOOKUP(Agencia[[#This Row],[Filtro Integrado]],Estructura!$I$4:$K$500,3,0)</f>
        <v>FI-993</v>
      </c>
      <c r="AA1778" s="93" t="str">
        <f>+VLOOKUP(Agencia[[#This Row],[Muestra]],Estructura!$M$4:$O$500,3,0)</f>
        <v>M-1111</v>
      </c>
    </row>
    <row r="1779" spans="1:27" ht="51" x14ac:dyDescent="0.3">
      <c r="A1779" s="21" t="s">
        <v>4908</v>
      </c>
      <c r="B1779" s="71">
        <v>990</v>
      </c>
      <c r="C1779" s="72" t="s">
        <v>400</v>
      </c>
      <c r="D1779" s="72" t="s">
        <v>404</v>
      </c>
      <c r="E1779" s="89">
        <v>4</v>
      </c>
      <c r="F1779" s="72" t="s">
        <v>5165</v>
      </c>
      <c r="G1779" s="73" t="s">
        <v>3911</v>
      </c>
      <c r="H1779" s="79" t="s">
        <v>16</v>
      </c>
      <c r="I1779" s="80" t="s">
        <v>371</v>
      </c>
      <c r="J1779" s="66" t="s">
        <v>403</v>
      </c>
      <c r="K1779" s="136" t="s">
        <v>3911</v>
      </c>
      <c r="L1779" s="86" t="s">
        <v>457</v>
      </c>
      <c r="M1779" s="71" t="s">
        <v>2312</v>
      </c>
      <c r="N1779" s="66" t="s">
        <v>402</v>
      </c>
      <c r="O1779"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Coquimbo, Año 2020</v>
      </c>
      <c r="P1779" s="112" t="s">
        <v>5397</v>
      </c>
      <c r="Q1779" s="75" t="s">
        <v>794</v>
      </c>
      <c r="R1779" s="74" t="str">
        <f>Agencia[[#This Row],[territorio]]&amp;",no extrema,extrema,población,autodefinida,indígena,comunal,regional,porcentaje,"&amp;Agencia[[#This Row],[coleccion]]&amp;","&amp;Agencia[[#This Row],[sector]]&amp;","&amp;Agencia[[#This Row],[tema]]&amp;","&amp;Agencia[[#This Row],[contenido]]</f>
        <v>Región de Coquimbo,no extrema,extrema,población,autodefinida,indígena,comunal,regional,porcentaje,Agencia Información,Socioeconómico,Pobreza población Indígena,Pobreza</v>
      </c>
      <c r="S1779" s="84" t="s">
        <v>3921</v>
      </c>
      <c r="T1779" s="110" t="s">
        <v>1848</v>
      </c>
      <c r="U1779" s="46" t="s">
        <v>4673</v>
      </c>
      <c r="V1779" s="93" t="str">
        <f>+Agencia[[#This Row],[idcoleccion]]&amp;"-"&amp;Agencia[[#This Row],[id]]</f>
        <v>990-1768</v>
      </c>
      <c r="W1779" s="96">
        <v>99200004</v>
      </c>
      <c r="X1779" s="93" t="str">
        <f>+VLOOKUP(Agencia[[#This Row],[tema]],Estructura!$A$4:$C$500,3,0)</f>
        <v>T-1090</v>
      </c>
      <c r="Y1779" s="93" t="str">
        <f>+VLOOKUP(Agencia[[#This Row],[contenido]],Estructura!$E$4:$G$500,3,0)</f>
        <v>C-1025</v>
      </c>
      <c r="Z1779" s="93" t="str">
        <f>+VLOOKUP(Agencia[[#This Row],[Filtro Integrado]],Estructura!$I$4:$K$500,3,0)</f>
        <v>FI-993</v>
      </c>
      <c r="AA1779" s="93" t="str">
        <f>+VLOOKUP(Agencia[[#This Row],[Muestra]],Estructura!$M$4:$O$500,3,0)</f>
        <v>M-1111</v>
      </c>
    </row>
    <row r="1780" spans="1:27" ht="51" x14ac:dyDescent="0.3">
      <c r="A1780" s="21" t="s">
        <v>4909</v>
      </c>
      <c r="B1780" s="71">
        <v>990</v>
      </c>
      <c r="C1780" s="72" t="s">
        <v>400</v>
      </c>
      <c r="D1780" s="72" t="s">
        <v>404</v>
      </c>
      <c r="E1780" s="89">
        <v>5</v>
      </c>
      <c r="F1780" s="72" t="s">
        <v>5165</v>
      </c>
      <c r="G1780" s="73" t="s">
        <v>3911</v>
      </c>
      <c r="H1780" s="79" t="s">
        <v>16</v>
      </c>
      <c r="I1780" s="80" t="s">
        <v>372</v>
      </c>
      <c r="J1780" s="66" t="s">
        <v>403</v>
      </c>
      <c r="K1780" s="136" t="s">
        <v>3911</v>
      </c>
      <c r="L1780" s="86" t="s">
        <v>457</v>
      </c>
      <c r="M1780" s="71" t="s">
        <v>2312</v>
      </c>
      <c r="N1780" s="66" t="s">
        <v>402</v>
      </c>
      <c r="O1780"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Valparaíso, Año 2020</v>
      </c>
      <c r="P1780" s="112" t="s">
        <v>5398</v>
      </c>
      <c r="Q1780" s="75" t="s">
        <v>794</v>
      </c>
      <c r="R1780" s="74" t="str">
        <f>Agencia[[#This Row],[territorio]]&amp;",no extrema,extrema,población,autodefinida,indígena,comunal,regional,porcentaje,"&amp;Agencia[[#This Row],[coleccion]]&amp;","&amp;Agencia[[#This Row],[sector]]&amp;","&amp;Agencia[[#This Row],[tema]]&amp;","&amp;Agencia[[#This Row],[contenido]]</f>
        <v>Región de Valparaíso,no extrema,extrema,población,autodefinida,indígena,comunal,regional,porcentaje,Agencia Información,Socioeconómico,Pobreza población Indígena,Pobreza</v>
      </c>
      <c r="S1780" s="84" t="s">
        <v>3923</v>
      </c>
      <c r="T1780" s="110" t="s">
        <v>1857</v>
      </c>
      <c r="U1780" s="46" t="s">
        <v>4674</v>
      </c>
      <c r="V1780" s="93" t="str">
        <f>+Agencia[[#This Row],[idcoleccion]]&amp;"-"&amp;Agencia[[#This Row],[id]]</f>
        <v>990-1769</v>
      </c>
      <c r="W1780" s="96">
        <v>99200005</v>
      </c>
      <c r="X1780" s="93" t="str">
        <f>+VLOOKUP(Agencia[[#This Row],[tema]],Estructura!$A$4:$C$500,3,0)</f>
        <v>T-1090</v>
      </c>
      <c r="Y1780" s="93" t="str">
        <f>+VLOOKUP(Agencia[[#This Row],[contenido]],Estructura!$E$4:$G$500,3,0)</f>
        <v>C-1025</v>
      </c>
      <c r="Z1780" s="93" t="str">
        <f>+VLOOKUP(Agencia[[#This Row],[Filtro Integrado]],Estructura!$I$4:$K$500,3,0)</f>
        <v>FI-993</v>
      </c>
      <c r="AA1780" s="93" t="str">
        <f>+VLOOKUP(Agencia[[#This Row],[Muestra]],Estructura!$M$4:$O$500,3,0)</f>
        <v>M-1111</v>
      </c>
    </row>
    <row r="1781" spans="1:27" ht="51" x14ac:dyDescent="0.3">
      <c r="A1781" s="21" t="s">
        <v>4910</v>
      </c>
      <c r="B1781" s="71">
        <v>990</v>
      </c>
      <c r="C1781" s="72" t="s">
        <v>400</v>
      </c>
      <c r="D1781" s="72" t="s">
        <v>404</v>
      </c>
      <c r="E1781" s="89">
        <v>6</v>
      </c>
      <c r="F1781" s="72" t="s">
        <v>5165</v>
      </c>
      <c r="G1781" s="73" t="s">
        <v>3911</v>
      </c>
      <c r="H1781" s="79" t="s">
        <v>16</v>
      </c>
      <c r="I1781" s="80" t="s">
        <v>373</v>
      </c>
      <c r="J1781" s="66" t="s">
        <v>403</v>
      </c>
      <c r="K1781" s="136" t="s">
        <v>3911</v>
      </c>
      <c r="L1781" s="86" t="s">
        <v>457</v>
      </c>
      <c r="M1781" s="71" t="s">
        <v>2312</v>
      </c>
      <c r="N1781" s="66" t="s">
        <v>402</v>
      </c>
      <c r="O1781"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O'Higgins, Año 2020</v>
      </c>
      <c r="P1781" s="112" t="s">
        <v>5399</v>
      </c>
      <c r="Q1781" s="75" t="s">
        <v>794</v>
      </c>
      <c r="R1781" s="74" t="str">
        <f>Agencia[[#This Row],[territorio]]&amp;",no extrema,extrema,población,autodefinida,indígena,comunal,regional,porcentaje,"&amp;Agencia[[#This Row],[coleccion]]&amp;","&amp;Agencia[[#This Row],[sector]]&amp;","&amp;Agencia[[#This Row],[tema]]&amp;","&amp;Agencia[[#This Row],[contenido]]</f>
        <v>Región de O'Higgins,no extrema,extrema,población,autodefinida,indígena,comunal,regional,porcentaje,Agencia Información,Socioeconómico,Pobreza población Indígena,Pobreza</v>
      </c>
      <c r="S1781" s="84" t="s">
        <v>3925</v>
      </c>
      <c r="T1781" s="110" t="s">
        <v>1855</v>
      </c>
      <c r="U1781" s="46" t="s">
        <v>4675</v>
      </c>
      <c r="V1781" s="93" t="str">
        <f>+Agencia[[#This Row],[idcoleccion]]&amp;"-"&amp;Agencia[[#This Row],[id]]</f>
        <v>990-1770</v>
      </c>
      <c r="W1781" s="96">
        <v>99200006</v>
      </c>
      <c r="X1781" s="93" t="str">
        <f>+VLOOKUP(Agencia[[#This Row],[tema]],Estructura!$A$4:$C$500,3,0)</f>
        <v>T-1090</v>
      </c>
      <c r="Y1781" s="93" t="str">
        <f>+VLOOKUP(Agencia[[#This Row],[contenido]],Estructura!$E$4:$G$500,3,0)</f>
        <v>C-1025</v>
      </c>
      <c r="Z1781" s="93" t="str">
        <f>+VLOOKUP(Agencia[[#This Row],[Filtro Integrado]],Estructura!$I$4:$K$500,3,0)</f>
        <v>FI-993</v>
      </c>
      <c r="AA1781" s="93" t="str">
        <f>+VLOOKUP(Agencia[[#This Row],[Muestra]],Estructura!$M$4:$O$500,3,0)</f>
        <v>M-1111</v>
      </c>
    </row>
    <row r="1782" spans="1:27" ht="51" x14ac:dyDescent="0.3">
      <c r="A1782" s="21" t="s">
        <v>4911</v>
      </c>
      <c r="B1782" s="71">
        <v>990</v>
      </c>
      <c r="C1782" s="72" t="s">
        <v>400</v>
      </c>
      <c r="D1782" s="72" t="s">
        <v>404</v>
      </c>
      <c r="E1782" s="89">
        <v>7</v>
      </c>
      <c r="F1782" s="72" t="s">
        <v>5165</v>
      </c>
      <c r="G1782" s="73" t="s">
        <v>3911</v>
      </c>
      <c r="H1782" s="79" t="s">
        <v>16</v>
      </c>
      <c r="I1782" s="80" t="s">
        <v>374</v>
      </c>
      <c r="J1782" s="66" t="s">
        <v>403</v>
      </c>
      <c r="K1782" s="136" t="s">
        <v>3911</v>
      </c>
      <c r="L1782" s="86" t="s">
        <v>457</v>
      </c>
      <c r="M1782" s="71" t="s">
        <v>2312</v>
      </c>
      <c r="N1782" s="66" t="s">
        <v>402</v>
      </c>
      <c r="O1782"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Maule, Año 2020</v>
      </c>
      <c r="P1782" s="112" t="s">
        <v>5400</v>
      </c>
      <c r="Q1782" s="75" t="s">
        <v>794</v>
      </c>
      <c r="R1782" s="74" t="str">
        <f>Agencia[[#This Row],[territorio]]&amp;",no extrema,extrema,población,autodefinida,indígena,comunal,regional,porcentaje,"&amp;Agencia[[#This Row],[coleccion]]&amp;","&amp;Agencia[[#This Row],[sector]]&amp;","&amp;Agencia[[#This Row],[tema]]&amp;","&amp;Agencia[[#This Row],[contenido]]</f>
        <v>Región de Maule,no extrema,extrema,población,autodefinida,indígena,comunal,regional,porcentaje,Agencia Información,Socioeconómico,Pobreza población Indígena,Pobreza</v>
      </c>
      <c r="S1782" s="84" t="s">
        <v>3927</v>
      </c>
      <c r="T1782" s="110" t="s">
        <v>1853</v>
      </c>
      <c r="U1782" s="46" t="s">
        <v>4676</v>
      </c>
      <c r="V1782" s="93" t="str">
        <f>+Agencia[[#This Row],[idcoleccion]]&amp;"-"&amp;Agencia[[#This Row],[id]]</f>
        <v>990-1771</v>
      </c>
      <c r="W1782" s="96">
        <v>99200007</v>
      </c>
      <c r="X1782" s="93" t="str">
        <f>+VLOOKUP(Agencia[[#This Row],[tema]],Estructura!$A$4:$C$500,3,0)</f>
        <v>T-1090</v>
      </c>
      <c r="Y1782" s="93" t="str">
        <f>+VLOOKUP(Agencia[[#This Row],[contenido]],Estructura!$E$4:$G$500,3,0)</f>
        <v>C-1025</v>
      </c>
      <c r="Z1782" s="93" t="str">
        <f>+VLOOKUP(Agencia[[#This Row],[Filtro Integrado]],Estructura!$I$4:$K$500,3,0)</f>
        <v>FI-993</v>
      </c>
      <c r="AA1782" s="93" t="str">
        <f>+VLOOKUP(Agencia[[#This Row],[Muestra]],Estructura!$M$4:$O$500,3,0)</f>
        <v>M-1111</v>
      </c>
    </row>
    <row r="1783" spans="1:27" ht="51" x14ac:dyDescent="0.3">
      <c r="A1783" s="21" t="s">
        <v>4912</v>
      </c>
      <c r="B1783" s="71">
        <v>990</v>
      </c>
      <c r="C1783" s="72" t="s">
        <v>400</v>
      </c>
      <c r="D1783" s="72" t="s">
        <v>404</v>
      </c>
      <c r="E1783" s="89">
        <v>8</v>
      </c>
      <c r="F1783" s="72" t="s">
        <v>5165</v>
      </c>
      <c r="G1783" s="73" t="s">
        <v>3911</v>
      </c>
      <c r="H1783" s="79" t="s">
        <v>16</v>
      </c>
      <c r="I1783" s="80" t="s">
        <v>375</v>
      </c>
      <c r="J1783" s="66" t="s">
        <v>403</v>
      </c>
      <c r="K1783" s="136" t="s">
        <v>3911</v>
      </c>
      <c r="L1783" s="86" t="s">
        <v>457</v>
      </c>
      <c r="M1783" s="71" t="s">
        <v>2312</v>
      </c>
      <c r="N1783" s="66" t="s">
        <v>402</v>
      </c>
      <c r="O1783"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del Biobío, Año 2020</v>
      </c>
      <c r="P1783" s="112" t="s">
        <v>5401</v>
      </c>
      <c r="Q1783" s="75" t="s">
        <v>794</v>
      </c>
      <c r="R1783" s="74" t="str">
        <f>Agencia[[#This Row],[territorio]]&amp;",no extrema,extrema,población,autodefinida,indígena,comunal,regional,porcentaje,"&amp;Agencia[[#This Row],[coleccion]]&amp;","&amp;Agencia[[#This Row],[sector]]&amp;","&amp;Agencia[[#This Row],[tema]]&amp;","&amp;Agencia[[#This Row],[contenido]]</f>
        <v>Región del Biobío,no extrema,extrema,población,autodefinida,indígena,comunal,regional,porcentaje,Agencia Información,Socioeconómico,Pobreza población Indígena,Pobreza</v>
      </c>
      <c r="S1783" s="84" t="s">
        <v>3929</v>
      </c>
      <c r="T1783" s="110" t="s">
        <v>1858</v>
      </c>
      <c r="U1783" s="46" t="s">
        <v>4677</v>
      </c>
      <c r="V1783" s="93" t="str">
        <f>+Agencia[[#This Row],[idcoleccion]]&amp;"-"&amp;Agencia[[#This Row],[id]]</f>
        <v>990-1772</v>
      </c>
      <c r="W1783" s="96">
        <v>99200008</v>
      </c>
      <c r="X1783" s="93" t="str">
        <f>+VLOOKUP(Agencia[[#This Row],[tema]],Estructura!$A$4:$C$500,3,0)</f>
        <v>T-1090</v>
      </c>
      <c r="Y1783" s="93" t="str">
        <f>+VLOOKUP(Agencia[[#This Row],[contenido]],Estructura!$E$4:$G$500,3,0)</f>
        <v>C-1025</v>
      </c>
      <c r="Z1783" s="93" t="str">
        <f>+VLOOKUP(Agencia[[#This Row],[Filtro Integrado]],Estructura!$I$4:$K$500,3,0)</f>
        <v>FI-993</v>
      </c>
      <c r="AA1783" s="93" t="str">
        <f>+VLOOKUP(Agencia[[#This Row],[Muestra]],Estructura!$M$4:$O$500,3,0)</f>
        <v>M-1111</v>
      </c>
    </row>
    <row r="1784" spans="1:27" ht="51" x14ac:dyDescent="0.3">
      <c r="A1784" s="21" t="s">
        <v>4913</v>
      </c>
      <c r="B1784" s="71">
        <v>990</v>
      </c>
      <c r="C1784" s="72" t="s">
        <v>400</v>
      </c>
      <c r="D1784" s="72" t="s">
        <v>404</v>
      </c>
      <c r="E1784" s="89">
        <v>9</v>
      </c>
      <c r="F1784" s="72" t="s">
        <v>5165</v>
      </c>
      <c r="G1784" s="73" t="s">
        <v>3911</v>
      </c>
      <c r="H1784" s="79" t="s">
        <v>16</v>
      </c>
      <c r="I1784" s="80" t="s">
        <v>376</v>
      </c>
      <c r="J1784" s="66" t="s">
        <v>403</v>
      </c>
      <c r="K1784" s="136" t="s">
        <v>3911</v>
      </c>
      <c r="L1784" s="86" t="s">
        <v>457</v>
      </c>
      <c r="M1784" s="71" t="s">
        <v>2312</v>
      </c>
      <c r="N1784" s="66" t="s">
        <v>402</v>
      </c>
      <c r="O1784"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La Araucanía, Año 2020</v>
      </c>
      <c r="P1784" s="112" t="s">
        <v>5402</v>
      </c>
      <c r="Q1784" s="75" t="s">
        <v>794</v>
      </c>
      <c r="R1784" s="74" t="str">
        <f>Agencia[[#This Row],[territorio]]&amp;",no extrema,extrema,población,autodefinida,indígena,comunal,regional,porcentaje,"&amp;Agencia[[#This Row],[coleccion]]&amp;","&amp;Agencia[[#This Row],[sector]]&amp;","&amp;Agencia[[#This Row],[tema]]&amp;","&amp;Agencia[[#This Row],[contenido]]</f>
        <v>Región de La Araucanía,no extrema,extrema,población,autodefinida,indígena,comunal,regional,porcentaje,Agencia Información,Socioeconómico,Pobreza población Indígena,Pobreza</v>
      </c>
      <c r="S1784" s="84" t="s">
        <v>3931</v>
      </c>
      <c r="T1784" s="110" t="s">
        <v>1849</v>
      </c>
      <c r="U1784" s="46" t="s">
        <v>4678</v>
      </c>
      <c r="V1784" s="93" t="str">
        <f>+Agencia[[#This Row],[idcoleccion]]&amp;"-"&amp;Agencia[[#This Row],[id]]</f>
        <v>990-1773</v>
      </c>
      <c r="W1784" s="96">
        <v>99200009</v>
      </c>
      <c r="X1784" s="93" t="str">
        <f>+VLOOKUP(Agencia[[#This Row],[tema]],Estructura!$A$4:$C$500,3,0)</f>
        <v>T-1090</v>
      </c>
      <c r="Y1784" s="93" t="str">
        <f>+VLOOKUP(Agencia[[#This Row],[contenido]],Estructura!$E$4:$G$500,3,0)</f>
        <v>C-1025</v>
      </c>
      <c r="Z1784" s="93" t="str">
        <f>+VLOOKUP(Agencia[[#This Row],[Filtro Integrado]],Estructura!$I$4:$K$500,3,0)</f>
        <v>FI-993</v>
      </c>
      <c r="AA1784" s="93" t="str">
        <f>+VLOOKUP(Agencia[[#This Row],[Muestra]],Estructura!$M$4:$O$500,3,0)</f>
        <v>M-1111</v>
      </c>
    </row>
    <row r="1785" spans="1:27" ht="51" x14ac:dyDescent="0.3">
      <c r="A1785" s="21" t="s">
        <v>4914</v>
      </c>
      <c r="B1785" s="71">
        <v>990</v>
      </c>
      <c r="C1785" s="72" t="s">
        <v>400</v>
      </c>
      <c r="D1785" s="72" t="s">
        <v>404</v>
      </c>
      <c r="E1785" s="89">
        <v>10</v>
      </c>
      <c r="F1785" s="72" t="s">
        <v>5165</v>
      </c>
      <c r="G1785" s="73" t="s">
        <v>3911</v>
      </c>
      <c r="H1785" s="79" t="s">
        <v>16</v>
      </c>
      <c r="I1785" s="80" t="s">
        <v>377</v>
      </c>
      <c r="J1785" s="66" t="s">
        <v>403</v>
      </c>
      <c r="K1785" s="136" t="s">
        <v>3911</v>
      </c>
      <c r="L1785" s="86" t="s">
        <v>457</v>
      </c>
      <c r="M1785" s="71" t="s">
        <v>2312</v>
      </c>
      <c r="N1785" s="66" t="s">
        <v>402</v>
      </c>
      <c r="O1785"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Los Lagos, Año 2020</v>
      </c>
      <c r="P1785" s="112" t="s">
        <v>5403</v>
      </c>
      <c r="Q1785" s="75" t="s">
        <v>794</v>
      </c>
      <c r="R1785" s="74" t="str">
        <f>Agencia[[#This Row],[territorio]]&amp;",no extrema,extrema,población,autodefinida,indígena,comunal,regional,porcentaje,"&amp;Agencia[[#This Row],[coleccion]]&amp;","&amp;Agencia[[#This Row],[sector]]&amp;","&amp;Agencia[[#This Row],[tema]]&amp;","&amp;Agencia[[#This Row],[contenido]]</f>
        <v>Región de Los Lagos,no extrema,extrema,población,autodefinida,indígena,comunal,regional,porcentaje,Agencia Información,Socioeconómico,Pobreza población Indígena,Pobreza</v>
      </c>
      <c r="S1785" s="84" t="s">
        <v>3933</v>
      </c>
      <c r="T1785" s="110" t="s">
        <v>1850</v>
      </c>
      <c r="U1785" s="46" t="s">
        <v>4679</v>
      </c>
      <c r="V1785" s="93" t="str">
        <f>+Agencia[[#This Row],[idcoleccion]]&amp;"-"&amp;Agencia[[#This Row],[id]]</f>
        <v>990-1774</v>
      </c>
      <c r="W1785" s="96">
        <v>99200010</v>
      </c>
      <c r="X1785" s="93" t="str">
        <f>+VLOOKUP(Agencia[[#This Row],[tema]],Estructura!$A$4:$C$500,3,0)</f>
        <v>T-1090</v>
      </c>
      <c r="Y1785" s="93" t="str">
        <f>+VLOOKUP(Agencia[[#This Row],[contenido]],Estructura!$E$4:$G$500,3,0)</f>
        <v>C-1025</v>
      </c>
      <c r="Z1785" s="93" t="str">
        <f>+VLOOKUP(Agencia[[#This Row],[Filtro Integrado]],Estructura!$I$4:$K$500,3,0)</f>
        <v>FI-993</v>
      </c>
      <c r="AA1785" s="93" t="str">
        <f>+VLOOKUP(Agencia[[#This Row],[Muestra]],Estructura!$M$4:$O$500,3,0)</f>
        <v>M-1111</v>
      </c>
    </row>
    <row r="1786" spans="1:27" ht="51" x14ac:dyDescent="0.3">
      <c r="A1786" s="21" t="s">
        <v>4915</v>
      </c>
      <c r="B1786" s="71">
        <v>990</v>
      </c>
      <c r="C1786" s="72" t="s">
        <v>400</v>
      </c>
      <c r="D1786" s="72" t="s">
        <v>404</v>
      </c>
      <c r="E1786" s="89">
        <v>11</v>
      </c>
      <c r="F1786" s="72" t="s">
        <v>5165</v>
      </c>
      <c r="G1786" s="73" t="s">
        <v>3911</v>
      </c>
      <c r="H1786" s="79" t="s">
        <v>16</v>
      </c>
      <c r="I1786" s="80" t="s">
        <v>378</v>
      </c>
      <c r="J1786" s="66" t="s">
        <v>403</v>
      </c>
      <c r="K1786" s="136" t="s">
        <v>3911</v>
      </c>
      <c r="L1786" s="86" t="s">
        <v>457</v>
      </c>
      <c r="M1786" s="71" t="s">
        <v>2312</v>
      </c>
      <c r="N1786" s="66" t="s">
        <v>402</v>
      </c>
      <c r="O1786"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Aysén, Año 2020</v>
      </c>
      <c r="P1786" s="112" t="s">
        <v>5404</v>
      </c>
      <c r="Q1786" s="75" t="s">
        <v>794</v>
      </c>
      <c r="R1786" s="74" t="str">
        <f>Agencia[[#This Row],[territorio]]&amp;",no extrema,extrema,población,autodefinida,indígena,comunal,regional,porcentaje,"&amp;Agencia[[#This Row],[coleccion]]&amp;","&amp;Agencia[[#This Row],[sector]]&amp;","&amp;Agencia[[#This Row],[tema]]&amp;","&amp;Agencia[[#This Row],[contenido]]</f>
        <v>Región de Aysén,no extrema,extrema,población,autodefinida,indígena,comunal,regional,porcentaje,Agencia Información,Socioeconómico,Pobreza población Indígena,Pobreza</v>
      </c>
      <c r="S1786" s="84" t="s">
        <v>3935</v>
      </c>
      <c r="T1786" s="110" t="s">
        <v>1847</v>
      </c>
      <c r="U1786" s="46" t="s">
        <v>4680</v>
      </c>
      <c r="V1786" s="93" t="str">
        <f>+Agencia[[#This Row],[idcoleccion]]&amp;"-"&amp;Agencia[[#This Row],[id]]</f>
        <v>990-1775</v>
      </c>
      <c r="W1786" s="96">
        <v>99200011</v>
      </c>
      <c r="X1786" s="93" t="str">
        <f>+VLOOKUP(Agencia[[#This Row],[tema]],Estructura!$A$4:$C$500,3,0)</f>
        <v>T-1090</v>
      </c>
      <c r="Y1786" s="93" t="str">
        <f>+VLOOKUP(Agencia[[#This Row],[contenido]],Estructura!$E$4:$G$500,3,0)</f>
        <v>C-1025</v>
      </c>
      <c r="Z1786" s="93" t="str">
        <f>+VLOOKUP(Agencia[[#This Row],[Filtro Integrado]],Estructura!$I$4:$K$500,3,0)</f>
        <v>FI-993</v>
      </c>
      <c r="AA1786" s="93" t="str">
        <f>+VLOOKUP(Agencia[[#This Row],[Muestra]],Estructura!$M$4:$O$500,3,0)</f>
        <v>M-1111</v>
      </c>
    </row>
    <row r="1787" spans="1:27" ht="51" x14ac:dyDescent="0.3">
      <c r="A1787" s="21" t="s">
        <v>4916</v>
      </c>
      <c r="B1787" s="71">
        <v>990</v>
      </c>
      <c r="C1787" s="72" t="s">
        <v>400</v>
      </c>
      <c r="D1787" s="72" t="s">
        <v>404</v>
      </c>
      <c r="E1787" s="89">
        <v>12</v>
      </c>
      <c r="F1787" s="72" t="s">
        <v>5165</v>
      </c>
      <c r="G1787" s="73" t="s">
        <v>3911</v>
      </c>
      <c r="H1787" s="79" t="s">
        <v>16</v>
      </c>
      <c r="I1787" s="80" t="s">
        <v>379</v>
      </c>
      <c r="J1787" s="66" t="s">
        <v>403</v>
      </c>
      <c r="K1787" s="136" t="s">
        <v>3911</v>
      </c>
      <c r="L1787" s="86" t="s">
        <v>457</v>
      </c>
      <c r="M1787" s="71" t="s">
        <v>2312</v>
      </c>
      <c r="N1787" s="66" t="s">
        <v>402</v>
      </c>
      <c r="O1787"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Magallanes, Año 2020</v>
      </c>
      <c r="P1787" s="112" t="s">
        <v>5405</v>
      </c>
      <c r="Q1787" s="75" t="s">
        <v>794</v>
      </c>
      <c r="R1787" s="74" t="str">
        <f>Agencia[[#This Row],[territorio]]&amp;",no extrema,extrema,población,autodefinida,indígena,comunal,regional,porcentaje,"&amp;Agencia[[#This Row],[coleccion]]&amp;","&amp;Agencia[[#This Row],[sector]]&amp;","&amp;Agencia[[#This Row],[tema]]&amp;","&amp;Agencia[[#This Row],[contenido]]</f>
        <v>Región de Magallanes,no extrema,extrema,población,autodefinida,indígena,comunal,regional,porcentaje,Agencia Información,Socioeconómico,Pobreza población Indígena,Pobreza</v>
      </c>
      <c r="S1787" s="84" t="s">
        <v>3937</v>
      </c>
      <c r="T1787" s="110" t="s">
        <v>1852</v>
      </c>
      <c r="U1787" s="46" t="s">
        <v>4681</v>
      </c>
      <c r="V1787" s="93" t="str">
        <f>+Agencia[[#This Row],[idcoleccion]]&amp;"-"&amp;Agencia[[#This Row],[id]]</f>
        <v>990-1776</v>
      </c>
      <c r="W1787" s="96">
        <v>99200012</v>
      </c>
      <c r="X1787" s="93" t="str">
        <f>+VLOOKUP(Agencia[[#This Row],[tema]],Estructura!$A$4:$C$500,3,0)</f>
        <v>T-1090</v>
      </c>
      <c r="Y1787" s="93" t="str">
        <f>+VLOOKUP(Agencia[[#This Row],[contenido]],Estructura!$E$4:$G$500,3,0)</f>
        <v>C-1025</v>
      </c>
      <c r="Z1787" s="93" t="str">
        <f>+VLOOKUP(Agencia[[#This Row],[Filtro Integrado]],Estructura!$I$4:$K$500,3,0)</f>
        <v>FI-993</v>
      </c>
      <c r="AA1787" s="93" t="str">
        <f>+VLOOKUP(Agencia[[#This Row],[Muestra]],Estructura!$M$4:$O$500,3,0)</f>
        <v>M-1111</v>
      </c>
    </row>
    <row r="1788" spans="1:27" ht="51" x14ac:dyDescent="0.3">
      <c r="A1788" s="21" t="s">
        <v>4917</v>
      </c>
      <c r="B1788" s="71">
        <v>990</v>
      </c>
      <c r="C1788" s="72" t="s">
        <v>400</v>
      </c>
      <c r="D1788" s="72" t="s">
        <v>404</v>
      </c>
      <c r="E1788" s="89">
        <v>13</v>
      </c>
      <c r="F1788" s="72" t="s">
        <v>5165</v>
      </c>
      <c r="G1788" s="73" t="s">
        <v>3911</v>
      </c>
      <c r="H1788" s="79" t="s">
        <v>16</v>
      </c>
      <c r="I1788" s="80" t="s">
        <v>380</v>
      </c>
      <c r="J1788" s="66" t="s">
        <v>403</v>
      </c>
      <c r="K1788" s="136" t="s">
        <v>3911</v>
      </c>
      <c r="L1788" s="86" t="s">
        <v>457</v>
      </c>
      <c r="M1788" s="71" t="s">
        <v>2312</v>
      </c>
      <c r="N1788" s="66" t="s">
        <v>402</v>
      </c>
      <c r="O1788" s="74" t="str">
        <f>"Pobreza Extrema y No Extrema en la Población Autodefinida como Indígena a Escala Comunal en la "&amp;Agencia[[#This Row],[territorio]]&amp;", "&amp;Agencia[[#This Row],[temporalidad]]</f>
        <v>Pobreza Extrema y No Extrema en la Población Autodefinida como Indígena a Escala Comunal en la Región Metropolitana, Año 2020</v>
      </c>
      <c r="P1788" s="112" t="s">
        <v>5406</v>
      </c>
      <c r="Q1788" s="75" t="s">
        <v>794</v>
      </c>
      <c r="R1788" s="74" t="str">
        <f>Agencia[[#This Row],[territorio]]&amp;",no extrema,extrema,población,autodefinida,indígena,comunal,regional,porcentaje,"&amp;Agencia[[#This Row],[coleccion]]&amp;","&amp;Agencia[[#This Row],[sector]]&amp;","&amp;Agencia[[#This Row],[tema]]&amp;","&amp;Agencia[[#This Row],[contenido]]</f>
        <v>Región Metropolitana,no extrema,extrema,población,autodefinida,indígena,comunal,regional,porcentaje,Agencia Información,Socioeconómico,Pobreza población Indígena,Pobreza</v>
      </c>
      <c r="S1788" s="84" t="s">
        <v>3939</v>
      </c>
      <c r="T1788" s="110" t="s">
        <v>1859</v>
      </c>
      <c r="U1788" s="46" t="s">
        <v>4682</v>
      </c>
      <c r="V1788" s="93" t="str">
        <f>+Agencia[[#This Row],[idcoleccion]]&amp;"-"&amp;Agencia[[#This Row],[id]]</f>
        <v>990-1777</v>
      </c>
      <c r="W1788" s="96">
        <v>99200013</v>
      </c>
      <c r="X1788" s="93" t="str">
        <f>+VLOOKUP(Agencia[[#This Row],[tema]],Estructura!$A$4:$C$500,3,0)</f>
        <v>T-1090</v>
      </c>
      <c r="Y1788" s="93" t="str">
        <f>+VLOOKUP(Agencia[[#This Row],[contenido]],Estructura!$E$4:$G$500,3,0)</f>
        <v>C-1025</v>
      </c>
      <c r="Z1788" s="93" t="str">
        <f>+VLOOKUP(Agencia[[#This Row],[Filtro Integrado]],Estructura!$I$4:$K$500,3,0)</f>
        <v>FI-993</v>
      </c>
      <c r="AA1788" s="93" t="str">
        <f>+VLOOKUP(Agencia[[#This Row],[Muestra]],Estructura!$M$4:$O$500,3,0)</f>
        <v>M-1111</v>
      </c>
    </row>
    <row r="1789" spans="1:27" ht="57.6" x14ac:dyDescent="0.3">
      <c r="A1789" s="21" t="s">
        <v>4918</v>
      </c>
      <c r="B1789" s="71">
        <v>990</v>
      </c>
      <c r="C1789" s="72" t="s">
        <v>400</v>
      </c>
      <c r="D1789" s="72" t="s">
        <v>404</v>
      </c>
      <c r="E1789" s="89">
        <v>14</v>
      </c>
      <c r="F1789" s="72" t="s">
        <v>5165</v>
      </c>
      <c r="G1789" s="73" t="s">
        <v>3911</v>
      </c>
      <c r="H1789" s="79" t="s">
        <v>16</v>
      </c>
      <c r="I1789" s="80" t="s">
        <v>381</v>
      </c>
      <c r="J1789" s="66" t="s">
        <v>403</v>
      </c>
      <c r="K1789" s="136" t="s">
        <v>3911</v>
      </c>
      <c r="L1789" s="86" t="s">
        <v>457</v>
      </c>
      <c r="M1789" s="71" t="s">
        <v>2312</v>
      </c>
      <c r="N1789" s="66" t="s">
        <v>402</v>
      </c>
      <c r="O1789"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Los Ríos, Año 2020</v>
      </c>
      <c r="P1789" s="112" t="s">
        <v>5407</v>
      </c>
      <c r="Q1789" s="75" t="s">
        <v>794</v>
      </c>
      <c r="R1789" s="74" t="str">
        <f>Agencia[[#This Row],[territorio]]&amp;",no extrema,extrema,población,autodefinida,indígena,comunal,regional,porcentaje,"&amp;Agencia[[#This Row],[coleccion]]&amp;","&amp;Agencia[[#This Row],[sector]]&amp;","&amp;Agencia[[#This Row],[tema]]&amp;","&amp;Agencia[[#This Row],[contenido]]</f>
        <v>Región de Los Ríos,no extrema,extrema,población,autodefinida,indígena,comunal,regional,porcentaje,Agencia Información,Socioeconómico,Pobreza población Indígena,Pobreza</v>
      </c>
      <c r="S1789" s="83" t="s">
        <v>3941</v>
      </c>
      <c r="T1789" s="110" t="s">
        <v>1851</v>
      </c>
      <c r="U1789" s="46" t="s">
        <v>4683</v>
      </c>
      <c r="V1789" s="93" t="str">
        <f>+Agencia[[#This Row],[idcoleccion]]&amp;"-"&amp;Agencia[[#This Row],[id]]</f>
        <v>990-1778</v>
      </c>
      <c r="W1789" s="96">
        <v>99200014</v>
      </c>
      <c r="X1789" s="93" t="str">
        <f>+VLOOKUP(Agencia[[#This Row],[tema]],Estructura!$A$4:$C$500,3,0)</f>
        <v>T-1090</v>
      </c>
      <c r="Y1789" s="93" t="str">
        <f>+VLOOKUP(Agencia[[#This Row],[contenido]],Estructura!$E$4:$G$500,3,0)</f>
        <v>C-1025</v>
      </c>
      <c r="Z1789" s="93" t="str">
        <f>+VLOOKUP(Agencia[[#This Row],[Filtro Integrado]],Estructura!$I$4:$K$500,3,0)</f>
        <v>FI-993</v>
      </c>
      <c r="AA1789" s="93" t="str">
        <f>+VLOOKUP(Agencia[[#This Row],[Muestra]],Estructura!$M$4:$O$500,3,0)</f>
        <v>M-1111</v>
      </c>
    </row>
    <row r="1790" spans="1:27" ht="51" x14ac:dyDescent="0.3">
      <c r="A1790" s="21" t="s">
        <v>4919</v>
      </c>
      <c r="B1790" s="71">
        <v>990</v>
      </c>
      <c r="C1790" s="72" t="s">
        <v>400</v>
      </c>
      <c r="D1790" s="72" t="s">
        <v>404</v>
      </c>
      <c r="E1790" s="89">
        <v>15</v>
      </c>
      <c r="F1790" s="72" t="s">
        <v>5165</v>
      </c>
      <c r="G1790" s="73" t="s">
        <v>3911</v>
      </c>
      <c r="H1790" s="79" t="s">
        <v>16</v>
      </c>
      <c r="I1790" s="80" t="s">
        <v>382</v>
      </c>
      <c r="J1790" s="66" t="s">
        <v>403</v>
      </c>
      <c r="K1790" s="136" t="s">
        <v>3911</v>
      </c>
      <c r="L1790" s="86" t="s">
        <v>457</v>
      </c>
      <c r="M1790" s="71" t="s">
        <v>2312</v>
      </c>
      <c r="N1790" s="66" t="s">
        <v>402</v>
      </c>
      <c r="O1790"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Arica y Parinacota, Año 2020</v>
      </c>
      <c r="P1790" s="112" t="s">
        <v>5408</v>
      </c>
      <c r="Q1790" s="75" t="s">
        <v>794</v>
      </c>
      <c r="R1790" s="74" t="str">
        <f>Agencia[[#This Row],[territorio]]&amp;",no extrema,extrema,población,autodefinida,indígena,comunal,regional,porcentaje,"&amp;Agencia[[#This Row],[coleccion]]&amp;","&amp;Agencia[[#This Row],[sector]]&amp;","&amp;Agencia[[#This Row],[tema]]&amp;","&amp;Agencia[[#This Row],[contenido]]</f>
        <v>Región de Arica y Parinacota,no extrema,extrema,población,autodefinida,indígena,comunal,regional,porcentaje,Agencia Información,Socioeconómico,Pobreza población Indígena,Pobreza</v>
      </c>
      <c r="S1790" s="84" t="s">
        <v>3943</v>
      </c>
      <c r="T1790" s="110" t="s">
        <v>1845</v>
      </c>
      <c r="U1790" s="46" t="s">
        <v>4684</v>
      </c>
      <c r="V1790" s="93" t="str">
        <f>+Agencia[[#This Row],[idcoleccion]]&amp;"-"&amp;Agencia[[#This Row],[id]]</f>
        <v>990-1779</v>
      </c>
      <c r="W1790" s="96">
        <v>99200015</v>
      </c>
      <c r="X1790" s="93" t="str">
        <f>+VLOOKUP(Agencia[[#This Row],[tema]],Estructura!$A$4:$C$500,3,0)</f>
        <v>T-1090</v>
      </c>
      <c r="Y1790" s="93" t="str">
        <f>+VLOOKUP(Agencia[[#This Row],[contenido]],Estructura!$E$4:$G$500,3,0)</f>
        <v>C-1025</v>
      </c>
      <c r="Z1790" s="93" t="str">
        <f>+VLOOKUP(Agencia[[#This Row],[Filtro Integrado]],Estructura!$I$4:$K$500,3,0)</f>
        <v>FI-993</v>
      </c>
      <c r="AA1790" s="93" t="str">
        <f>+VLOOKUP(Agencia[[#This Row],[Muestra]],Estructura!$M$4:$O$500,3,0)</f>
        <v>M-1111</v>
      </c>
    </row>
    <row r="1791" spans="1:27" ht="51" x14ac:dyDescent="0.3">
      <c r="A1791" s="21" t="s">
        <v>4920</v>
      </c>
      <c r="B1791" s="71">
        <v>990</v>
      </c>
      <c r="C1791" s="72" t="s">
        <v>400</v>
      </c>
      <c r="D1791" s="72" t="s">
        <v>404</v>
      </c>
      <c r="E1791" s="89">
        <v>16</v>
      </c>
      <c r="F1791" s="72" t="s">
        <v>5165</v>
      </c>
      <c r="G1791" s="73" t="s">
        <v>3911</v>
      </c>
      <c r="H1791" s="79" t="s">
        <v>16</v>
      </c>
      <c r="I1791" s="80" t="s">
        <v>383</v>
      </c>
      <c r="J1791" s="66" t="s">
        <v>403</v>
      </c>
      <c r="K1791" s="136" t="s">
        <v>3911</v>
      </c>
      <c r="L1791" s="86" t="s">
        <v>457</v>
      </c>
      <c r="M1791" s="71" t="s">
        <v>2312</v>
      </c>
      <c r="N1791" s="66" t="s">
        <v>402</v>
      </c>
      <c r="O1791" s="74" t="str">
        <f>"Pobreza Extrema y No Extrema en la Población Autodefinida como Indígena a Escala Comunal en la "&amp;Agencia[[#This Row],[territorio]]&amp;", "&amp;Agencia[[#This Row],[temporalidad]]</f>
        <v>Pobreza Extrema y No Extrema en la Población Autodefinida como Indígena a Escala Comunal en la Región de Ñuble, Año 2020</v>
      </c>
      <c r="P1791" s="112" t="s">
        <v>5409</v>
      </c>
      <c r="Q1791" s="75" t="s">
        <v>794</v>
      </c>
      <c r="R1791" s="74" t="str">
        <f>Agencia[[#This Row],[territorio]]&amp;",no extrema,extrema,población,autodefinida,indígena,comunal,regional,porcentaje,"&amp;Agencia[[#This Row],[coleccion]]&amp;","&amp;Agencia[[#This Row],[sector]]&amp;","&amp;Agencia[[#This Row],[tema]]&amp;","&amp;Agencia[[#This Row],[contenido]]</f>
        <v>Región de Ñuble,no extrema,extrema,población,autodefinida,indígena,comunal,regional,porcentaje,Agencia Información,Socioeconómico,Pobreza población Indígena,Pobreza</v>
      </c>
      <c r="S1791" s="84" t="s">
        <v>3945</v>
      </c>
      <c r="T1791" s="109" t="s">
        <v>1854</v>
      </c>
      <c r="U1791" s="46" t="s">
        <v>4685</v>
      </c>
      <c r="V1791" s="93" t="str">
        <f>+Agencia[[#This Row],[idcoleccion]]&amp;"-"&amp;Agencia[[#This Row],[id]]</f>
        <v>990-1780</v>
      </c>
      <c r="W1791" s="96">
        <v>99200016</v>
      </c>
      <c r="X1791" s="93" t="str">
        <f>+VLOOKUP(Agencia[[#This Row],[tema]],Estructura!$A$4:$C$500,3,0)</f>
        <v>T-1090</v>
      </c>
      <c r="Y1791" s="93" t="str">
        <f>+VLOOKUP(Agencia[[#This Row],[contenido]],Estructura!$E$4:$G$500,3,0)</f>
        <v>C-1025</v>
      </c>
      <c r="Z1791" s="93" t="str">
        <f>+VLOOKUP(Agencia[[#This Row],[Filtro Integrado]],Estructura!$I$4:$K$500,3,0)</f>
        <v>FI-993</v>
      </c>
      <c r="AA1791" s="93" t="str">
        <f>+VLOOKUP(Agencia[[#This Row],[Muestra]],Estructura!$M$4:$O$500,3,0)</f>
        <v>M-1111</v>
      </c>
    </row>
    <row r="1792" spans="1:27" ht="40.799999999999997" x14ac:dyDescent="0.3">
      <c r="A1792" s="21" t="s">
        <v>4921</v>
      </c>
      <c r="B1792" s="71">
        <v>990</v>
      </c>
      <c r="C1792" s="72" t="s">
        <v>400</v>
      </c>
      <c r="D1792" s="72" t="s">
        <v>404</v>
      </c>
      <c r="E1792" s="90">
        <v>0</v>
      </c>
      <c r="F1792" s="72" t="s">
        <v>3910</v>
      </c>
      <c r="G1792" s="73" t="s">
        <v>3911</v>
      </c>
      <c r="H1792" s="77" t="s">
        <v>20</v>
      </c>
      <c r="I1792" s="78" t="s">
        <v>15</v>
      </c>
      <c r="J1792" s="71" t="s">
        <v>16</v>
      </c>
      <c r="K1792" s="71" t="s">
        <v>3946</v>
      </c>
      <c r="L1792" s="71" t="s">
        <v>3947</v>
      </c>
      <c r="M1792" s="71" t="s">
        <v>2312</v>
      </c>
      <c r="N1792" s="66" t="s">
        <v>402</v>
      </c>
      <c r="O1792" s="74" t="s">
        <v>3948</v>
      </c>
      <c r="P1792" s="113" t="s">
        <v>3949</v>
      </c>
      <c r="Q1792" s="75" t="s">
        <v>784</v>
      </c>
      <c r="R1792" s="74" t="str">
        <f>Agencia[[#This Row],[territorio]]&amp;",evolución,variación,CASEN,pobreza,extrema,nacional,"&amp;Agencia[[#This Row],[coleccion]]&amp;","&amp;Agencia[[#This Row],[sector]]&amp;","&amp;Agencia[[#This Row],[tema]]&amp;","&amp;Agencia[[#This Row],[contenido]]</f>
        <v>Chile,evolución,variación,CASEN,pobreza,extrema,nacional,Agencia Información,Socioeconómico,Pobreza Extrema y No Extrema,Pobreza</v>
      </c>
      <c r="S1792" s="85" t="s">
        <v>3950</v>
      </c>
      <c r="T1792" s="109" t="s">
        <v>805</v>
      </c>
      <c r="U1792" s="46" t="s">
        <v>4686</v>
      </c>
      <c r="V1792" s="93" t="str">
        <f>+Agencia[[#This Row],[idcoleccion]]&amp;"-"&amp;Agencia[[#This Row],[id]]</f>
        <v>990-1781</v>
      </c>
      <c r="W1792" s="96">
        <v>99100000</v>
      </c>
      <c r="X1792" s="93" t="str">
        <f>+VLOOKUP(Agencia[[#This Row],[tema]],Estructura!$A$4:$C$500,3,0)</f>
        <v>T-1076</v>
      </c>
      <c r="Y1792" s="93" t="str">
        <f>+VLOOKUP(Agencia[[#This Row],[contenido]],Estructura!$E$4:$G$500,3,0)</f>
        <v>C-1025</v>
      </c>
      <c r="Z1792" s="93" t="str">
        <f>+VLOOKUP(Agencia[[#This Row],[Filtro Integrado]],Estructura!$I$4:$K$500,3,0)</f>
        <v>FI-992</v>
      </c>
      <c r="AA1792" s="93" t="str">
        <f>+VLOOKUP(Agencia[[#This Row],[Muestra]],Estructura!$M$4:$O$500,3,0)</f>
        <v>M-1028</v>
      </c>
    </row>
    <row r="1793" spans="1:27" ht="51" x14ac:dyDescent="0.3">
      <c r="A1793" s="21" t="s">
        <v>4922</v>
      </c>
      <c r="B1793" s="71">
        <v>990</v>
      </c>
      <c r="C1793" s="72" t="s">
        <v>400</v>
      </c>
      <c r="D1793" s="72" t="s">
        <v>404</v>
      </c>
      <c r="E1793" s="89">
        <v>1</v>
      </c>
      <c r="F1793" s="72" t="s">
        <v>3910</v>
      </c>
      <c r="G1793" s="73" t="s">
        <v>3911</v>
      </c>
      <c r="H1793" s="79" t="s">
        <v>16</v>
      </c>
      <c r="I1793" s="80" t="s">
        <v>368</v>
      </c>
      <c r="J1793" s="66" t="s">
        <v>403</v>
      </c>
      <c r="K1793" s="71" t="s">
        <v>3946</v>
      </c>
      <c r="L1793" s="71" t="s">
        <v>3947</v>
      </c>
      <c r="M1793" s="71" t="s">
        <v>2312</v>
      </c>
      <c r="N1793" s="66" t="s">
        <v>402</v>
      </c>
      <c r="O1793" s="74" t="s">
        <v>3951</v>
      </c>
      <c r="P1793" s="112" t="s">
        <v>5410</v>
      </c>
      <c r="Q1793" s="68" t="s">
        <v>784</v>
      </c>
      <c r="R1793" s="74" t="str">
        <f>Agencia[[#This Row],[territorio]]&amp;",evolución,variación,CASEN,pobreza,extrema,regional,"&amp;Agencia[[#This Row],[coleccion]]&amp;","&amp;Agencia[[#This Row],[sector]]&amp;","&amp;Agencia[[#This Row],[tema]]&amp;","&amp;Agencia[[#This Row],[contenido]]</f>
        <v>Región de Tarapacá,evolución,variación,CASEN,pobreza,extrema,regional,Agencia Información,Socioeconómico,Pobreza Extrema y No Extrema,Pobreza</v>
      </c>
      <c r="S1793" s="84" t="s">
        <v>3952</v>
      </c>
      <c r="T1793" s="110" t="s">
        <v>1872</v>
      </c>
      <c r="U1793" s="46" t="s">
        <v>4687</v>
      </c>
      <c r="V1793" s="93" t="str">
        <f>+Agencia[[#This Row],[idcoleccion]]&amp;"-"&amp;Agencia[[#This Row],[id]]</f>
        <v>990-1782</v>
      </c>
      <c r="W1793" s="96">
        <v>99200001</v>
      </c>
      <c r="X1793" s="93" t="str">
        <f>+VLOOKUP(Agencia[[#This Row],[tema]],Estructura!$A$4:$C$500,3,0)</f>
        <v>T-1076</v>
      </c>
      <c r="Y1793" s="93" t="str">
        <f>+VLOOKUP(Agencia[[#This Row],[contenido]],Estructura!$E$4:$G$500,3,0)</f>
        <v>C-1025</v>
      </c>
      <c r="Z1793" s="93" t="str">
        <f>+VLOOKUP(Agencia[[#This Row],[Filtro Integrado]],Estructura!$I$4:$K$500,3,0)</f>
        <v>FI-993</v>
      </c>
      <c r="AA1793" s="93" t="str">
        <f>+VLOOKUP(Agencia[[#This Row],[Muestra]],Estructura!$M$4:$O$500,3,0)</f>
        <v>M-1028</v>
      </c>
    </row>
    <row r="1794" spans="1:27" ht="51" x14ac:dyDescent="0.3">
      <c r="A1794" s="21" t="s">
        <v>4923</v>
      </c>
      <c r="B1794" s="71">
        <v>990</v>
      </c>
      <c r="C1794" s="72" t="s">
        <v>400</v>
      </c>
      <c r="D1794" s="72" t="s">
        <v>404</v>
      </c>
      <c r="E1794" s="89">
        <v>2</v>
      </c>
      <c r="F1794" s="72" t="s">
        <v>3910</v>
      </c>
      <c r="G1794" s="73" t="s">
        <v>3911</v>
      </c>
      <c r="H1794" s="79" t="s">
        <v>16</v>
      </c>
      <c r="I1794" s="80" t="s">
        <v>369</v>
      </c>
      <c r="J1794" s="66" t="s">
        <v>403</v>
      </c>
      <c r="K1794" s="71" t="s">
        <v>3946</v>
      </c>
      <c r="L1794" s="71" t="s">
        <v>3947</v>
      </c>
      <c r="M1794" s="71" t="s">
        <v>2312</v>
      </c>
      <c r="N1794" s="66" t="s">
        <v>402</v>
      </c>
      <c r="O1794" s="74" t="s">
        <v>3953</v>
      </c>
      <c r="P1794" s="112" t="s">
        <v>5411</v>
      </c>
      <c r="Q1794" s="68" t="s">
        <v>784</v>
      </c>
      <c r="R1794" s="74" t="str">
        <f>Agencia[[#This Row],[territorio]]&amp;",evolución,variación,CASEN,pobreza,extrema,regional,"&amp;Agencia[[#This Row],[coleccion]]&amp;","&amp;Agencia[[#This Row],[sector]]&amp;","&amp;Agencia[[#This Row],[tema]]&amp;","&amp;Agencia[[#This Row],[contenido]]</f>
        <v>Región de Antofagasta,evolución,variación,CASEN,pobreza,extrema,regional,Agencia Información,Socioeconómico,Pobreza Extrema y No Extrema,Pobreza</v>
      </c>
      <c r="S1794" s="84" t="s">
        <v>3954</v>
      </c>
      <c r="T1794" s="110" t="s">
        <v>1860</v>
      </c>
      <c r="U1794" s="46" t="s">
        <v>4688</v>
      </c>
      <c r="V1794" s="93" t="str">
        <f>+Agencia[[#This Row],[idcoleccion]]&amp;"-"&amp;Agencia[[#This Row],[id]]</f>
        <v>990-1783</v>
      </c>
      <c r="W1794" s="96">
        <v>99200002</v>
      </c>
      <c r="X1794" s="93" t="str">
        <f>+VLOOKUP(Agencia[[#This Row],[tema]],Estructura!$A$4:$C$500,3,0)</f>
        <v>T-1076</v>
      </c>
      <c r="Y1794" s="93" t="str">
        <f>+VLOOKUP(Agencia[[#This Row],[contenido]],Estructura!$E$4:$G$500,3,0)</f>
        <v>C-1025</v>
      </c>
      <c r="Z1794" s="93" t="str">
        <f>+VLOOKUP(Agencia[[#This Row],[Filtro Integrado]],Estructura!$I$4:$K$500,3,0)</f>
        <v>FI-993</v>
      </c>
      <c r="AA1794" s="93" t="str">
        <f>+VLOOKUP(Agencia[[#This Row],[Muestra]],Estructura!$M$4:$O$500,3,0)</f>
        <v>M-1028</v>
      </c>
    </row>
    <row r="1795" spans="1:27" ht="51" x14ac:dyDescent="0.3">
      <c r="A1795" s="21" t="s">
        <v>4924</v>
      </c>
      <c r="B1795" s="71">
        <v>990</v>
      </c>
      <c r="C1795" s="72" t="s">
        <v>400</v>
      </c>
      <c r="D1795" s="72" t="s">
        <v>404</v>
      </c>
      <c r="E1795" s="89">
        <v>3</v>
      </c>
      <c r="F1795" s="72" t="s">
        <v>3910</v>
      </c>
      <c r="G1795" s="73" t="s">
        <v>3911</v>
      </c>
      <c r="H1795" s="79" t="s">
        <v>16</v>
      </c>
      <c r="I1795" s="80" t="s">
        <v>370</v>
      </c>
      <c r="J1795" s="66" t="s">
        <v>403</v>
      </c>
      <c r="K1795" s="71" t="s">
        <v>3946</v>
      </c>
      <c r="L1795" s="71" t="s">
        <v>3947</v>
      </c>
      <c r="M1795" s="71" t="s">
        <v>2312</v>
      </c>
      <c r="N1795" s="66" t="s">
        <v>402</v>
      </c>
      <c r="O1795" s="74" t="s">
        <v>3955</v>
      </c>
      <c r="P1795" s="112" t="s">
        <v>5412</v>
      </c>
      <c r="Q1795" s="68" t="s">
        <v>784</v>
      </c>
      <c r="R1795" s="74" t="str">
        <f>Agencia[[#This Row],[territorio]]&amp;",evolución,variación,CASEN,pobreza,extrema,regional,"&amp;Agencia[[#This Row],[coleccion]]&amp;","&amp;Agencia[[#This Row],[sector]]&amp;","&amp;Agencia[[#This Row],[tema]]&amp;","&amp;Agencia[[#This Row],[contenido]]</f>
        <v>Región de Atacama,evolución,variación,CASEN,pobreza,extrema,regional,Agencia Información,Socioeconómico,Pobreza Extrema y No Extrema,Pobreza</v>
      </c>
      <c r="S1795" s="84" t="s">
        <v>3956</v>
      </c>
      <c r="T1795" s="110" t="s">
        <v>1862</v>
      </c>
      <c r="U1795" s="46" t="s">
        <v>4689</v>
      </c>
      <c r="V1795" s="93" t="str">
        <f>+Agencia[[#This Row],[idcoleccion]]&amp;"-"&amp;Agencia[[#This Row],[id]]</f>
        <v>990-1784</v>
      </c>
      <c r="W1795" s="96">
        <v>99200003</v>
      </c>
      <c r="X1795" s="93" t="str">
        <f>+VLOOKUP(Agencia[[#This Row],[tema]],Estructura!$A$4:$C$500,3,0)</f>
        <v>T-1076</v>
      </c>
      <c r="Y1795" s="93" t="str">
        <f>+VLOOKUP(Agencia[[#This Row],[contenido]],Estructura!$E$4:$G$500,3,0)</f>
        <v>C-1025</v>
      </c>
      <c r="Z1795" s="93" t="str">
        <f>+VLOOKUP(Agencia[[#This Row],[Filtro Integrado]],Estructura!$I$4:$K$500,3,0)</f>
        <v>FI-993</v>
      </c>
      <c r="AA1795" s="93" t="str">
        <f>+VLOOKUP(Agencia[[#This Row],[Muestra]],Estructura!$M$4:$O$500,3,0)</f>
        <v>M-1028</v>
      </c>
    </row>
    <row r="1796" spans="1:27" ht="51" x14ac:dyDescent="0.3">
      <c r="A1796" s="21" t="s">
        <v>4925</v>
      </c>
      <c r="B1796" s="71">
        <v>990</v>
      </c>
      <c r="C1796" s="72" t="s">
        <v>400</v>
      </c>
      <c r="D1796" s="72" t="s">
        <v>404</v>
      </c>
      <c r="E1796" s="89">
        <v>4</v>
      </c>
      <c r="F1796" s="72" t="s">
        <v>3910</v>
      </c>
      <c r="G1796" s="73" t="s">
        <v>3911</v>
      </c>
      <c r="H1796" s="79" t="s">
        <v>16</v>
      </c>
      <c r="I1796" s="80" t="s">
        <v>371</v>
      </c>
      <c r="J1796" s="66" t="s">
        <v>403</v>
      </c>
      <c r="K1796" s="71" t="s">
        <v>3946</v>
      </c>
      <c r="L1796" s="71" t="s">
        <v>3947</v>
      </c>
      <c r="M1796" s="71" t="s">
        <v>2312</v>
      </c>
      <c r="N1796" s="66" t="s">
        <v>402</v>
      </c>
      <c r="O1796" s="74" t="s">
        <v>3957</v>
      </c>
      <c r="P1796" s="112" t="s">
        <v>5413</v>
      </c>
      <c r="Q1796" s="68" t="s">
        <v>784</v>
      </c>
      <c r="R1796" s="74" t="str">
        <f>Agencia[[#This Row],[territorio]]&amp;",evolución,variación,CASEN,pobreza,extrema,regional,"&amp;Agencia[[#This Row],[coleccion]]&amp;","&amp;Agencia[[#This Row],[sector]]&amp;","&amp;Agencia[[#This Row],[tema]]&amp;","&amp;Agencia[[#This Row],[contenido]]</f>
        <v>Región de Coquimbo,evolución,variación,CASEN,pobreza,extrema,regional,Agencia Información,Socioeconómico,Pobreza Extrema y No Extrema,Pobreza</v>
      </c>
      <c r="S1796" s="84" t="s">
        <v>3958</v>
      </c>
      <c r="T1796" s="110" t="s">
        <v>1864</v>
      </c>
      <c r="U1796" s="46" t="s">
        <v>4690</v>
      </c>
      <c r="V1796" s="93" t="str">
        <f>+Agencia[[#This Row],[idcoleccion]]&amp;"-"&amp;Agencia[[#This Row],[id]]</f>
        <v>990-1785</v>
      </c>
      <c r="W1796" s="96">
        <v>99200004</v>
      </c>
      <c r="X1796" s="93" t="str">
        <f>+VLOOKUP(Agencia[[#This Row],[tema]],Estructura!$A$4:$C$500,3,0)</f>
        <v>T-1076</v>
      </c>
      <c r="Y1796" s="93" t="str">
        <f>+VLOOKUP(Agencia[[#This Row],[contenido]],Estructura!$E$4:$G$500,3,0)</f>
        <v>C-1025</v>
      </c>
      <c r="Z1796" s="93" t="str">
        <f>+VLOOKUP(Agencia[[#This Row],[Filtro Integrado]],Estructura!$I$4:$K$500,3,0)</f>
        <v>FI-993</v>
      </c>
      <c r="AA1796" s="93" t="str">
        <f>+VLOOKUP(Agencia[[#This Row],[Muestra]],Estructura!$M$4:$O$500,3,0)</f>
        <v>M-1028</v>
      </c>
    </row>
    <row r="1797" spans="1:27" ht="51" x14ac:dyDescent="0.3">
      <c r="A1797" s="21" t="s">
        <v>4926</v>
      </c>
      <c r="B1797" s="71">
        <v>990</v>
      </c>
      <c r="C1797" s="72" t="s">
        <v>400</v>
      </c>
      <c r="D1797" s="72" t="s">
        <v>404</v>
      </c>
      <c r="E1797" s="89">
        <v>5</v>
      </c>
      <c r="F1797" s="72" t="s">
        <v>3910</v>
      </c>
      <c r="G1797" s="73" t="s">
        <v>3911</v>
      </c>
      <c r="H1797" s="79" t="s">
        <v>16</v>
      </c>
      <c r="I1797" s="80" t="s">
        <v>372</v>
      </c>
      <c r="J1797" s="66" t="s">
        <v>403</v>
      </c>
      <c r="K1797" s="71" t="s">
        <v>3946</v>
      </c>
      <c r="L1797" s="71" t="s">
        <v>3947</v>
      </c>
      <c r="M1797" s="71" t="s">
        <v>2312</v>
      </c>
      <c r="N1797" s="66" t="s">
        <v>402</v>
      </c>
      <c r="O1797" s="74" t="s">
        <v>3959</v>
      </c>
      <c r="P1797" s="112" t="s">
        <v>5414</v>
      </c>
      <c r="Q1797" s="68" t="s">
        <v>784</v>
      </c>
      <c r="R1797" s="74" t="str">
        <f>Agencia[[#This Row],[territorio]]&amp;",evolución,variación,CASEN,pobreza,extrema,regional,"&amp;Agencia[[#This Row],[coleccion]]&amp;","&amp;Agencia[[#This Row],[sector]]&amp;","&amp;Agencia[[#This Row],[tema]]&amp;","&amp;Agencia[[#This Row],[contenido]]</f>
        <v>Región de Valparaíso,evolución,variación,CASEN,pobreza,extrema,regional,Agencia Información,Socioeconómico,Pobreza Extrema y No Extrema,Pobreza</v>
      </c>
      <c r="S1797" s="84" t="s">
        <v>3960</v>
      </c>
      <c r="T1797" s="110" t="s">
        <v>1873</v>
      </c>
      <c r="U1797" s="46" t="s">
        <v>4691</v>
      </c>
      <c r="V1797" s="93" t="str">
        <f>+Agencia[[#This Row],[idcoleccion]]&amp;"-"&amp;Agencia[[#This Row],[id]]</f>
        <v>990-1786</v>
      </c>
      <c r="W1797" s="96">
        <v>99200005</v>
      </c>
      <c r="X1797" s="93" t="str">
        <f>+VLOOKUP(Agencia[[#This Row],[tema]],Estructura!$A$4:$C$500,3,0)</f>
        <v>T-1076</v>
      </c>
      <c r="Y1797" s="93" t="str">
        <f>+VLOOKUP(Agencia[[#This Row],[contenido]],Estructura!$E$4:$G$500,3,0)</f>
        <v>C-1025</v>
      </c>
      <c r="Z1797" s="93" t="str">
        <f>+VLOOKUP(Agencia[[#This Row],[Filtro Integrado]],Estructura!$I$4:$K$500,3,0)</f>
        <v>FI-993</v>
      </c>
      <c r="AA1797" s="93" t="str">
        <f>+VLOOKUP(Agencia[[#This Row],[Muestra]],Estructura!$M$4:$O$500,3,0)</f>
        <v>M-1028</v>
      </c>
    </row>
    <row r="1798" spans="1:27" ht="51" x14ac:dyDescent="0.3">
      <c r="A1798" s="21" t="s">
        <v>4927</v>
      </c>
      <c r="B1798" s="71">
        <v>990</v>
      </c>
      <c r="C1798" s="72" t="s">
        <v>400</v>
      </c>
      <c r="D1798" s="72" t="s">
        <v>404</v>
      </c>
      <c r="E1798" s="89">
        <v>6</v>
      </c>
      <c r="F1798" s="72" t="s">
        <v>3910</v>
      </c>
      <c r="G1798" s="73" t="s">
        <v>3911</v>
      </c>
      <c r="H1798" s="79" t="s">
        <v>16</v>
      </c>
      <c r="I1798" s="80" t="s">
        <v>373</v>
      </c>
      <c r="J1798" s="66" t="s">
        <v>403</v>
      </c>
      <c r="K1798" s="71" t="s">
        <v>3946</v>
      </c>
      <c r="L1798" s="71" t="s">
        <v>3947</v>
      </c>
      <c r="M1798" s="71" t="s">
        <v>2312</v>
      </c>
      <c r="N1798" s="66" t="s">
        <v>402</v>
      </c>
      <c r="O1798" s="74" t="s">
        <v>3961</v>
      </c>
      <c r="P1798" s="112" t="s">
        <v>5415</v>
      </c>
      <c r="Q1798" s="68" t="s">
        <v>784</v>
      </c>
      <c r="R1798" s="74" t="str">
        <f>Agencia[[#This Row],[territorio]]&amp;",evolución,variación,CASEN,pobreza,extrema,regional,"&amp;Agencia[[#This Row],[coleccion]]&amp;","&amp;Agencia[[#This Row],[sector]]&amp;","&amp;Agencia[[#This Row],[tema]]&amp;","&amp;Agencia[[#This Row],[contenido]]</f>
        <v>Región de O'Higgins,evolución,variación,CASEN,pobreza,extrema,regional,Agencia Información,Socioeconómico,Pobreza Extrema y No Extrema,Pobreza</v>
      </c>
      <c r="S1798" s="84" t="s">
        <v>3962</v>
      </c>
      <c r="T1798" s="110" t="s">
        <v>1871</v>
      </c>
      <c r="U1798" s="46" t="s">
        <v>4692</v>
      </c>
      <c r="V1798" s="93" t="str">
        <f>+Agencia[[#This Row],[idcoleccion]]&amp;"-"&amp;Agencia[[#This Row],[id]]</f>
        <v>990-1787</v>
      </c>
      <c r="W1798" s="96">
        <v>99200006</v>
      </c>
      <c r="X1798" s="93" t="str">
        <f>+VLOOKUP(Agencia[[#This Row],[tema]],Estructura!$A$4:$C$500,3,0)</f>
        <v>T-1076</v>
      </c>
      <c r="Y1798" s="93" t="str">
        <f>+VLOOKUP(Agencia[[#This Row],[contenido]],Estructura!$E$4:$G$500,3,0)</f>
        <v>C-1025</v>
      </c>
      <c r="Z1798" s="93" t="str">
        <f>+VLOOKUP(Agencia[[#This Row],[Filtro Integrado]],Estructura!$I$4:$K$500,3,0)</f>
        <v>FI-993</v>
      </c>
      <c r="AA1798" s="93" t="str">
        <f>+VLOOKUP(Agencia[[#This Row],[Muestra]],Estructura!$M$4:$O$500,3,0)</f>
        <v>M-1028</v>
      </c>
    </row>
    <row r="1799" spans="1:27" ht="51" x14ac:dyDescent="0.3">
      <c r="A1799" s="21" t="s">
        <v>4928</v>
      </c>
      <c r="B1799" s="71">
        <v>990</v>
      </c>
      <c r="C1799" s="72" t="s">
        <v>400</v>
      </c>
      <c r="D1799" s="72" t="s">
        <v>404</v>
      </c>
      <c r="E1799" s="89">
        <v>7</v>
      </c>
      <c r="F1799" s="72" t="s">
        <v>3910</v>
      </c>
      <c r="G1799" s="73" t="s">
        <v>3911</v>
      </c>
      <c r="H1799" s="79" t="s">
        <v>16</v>
      </c>
      <c r="I1799" s="80" t="s">
        <v>374</v>
      </c>
      <c r="J1799" s="66" t="s">
        <v>403</v>
      </c>
      <c r="K1799" s="71" t="s">
        <v>3946</v>
      </c>
      <c r="L1799" s="71" t="s">
        <v>3947</v>
      </c>
      <c r="M1799" s="71" t="s">
        <v>2312</v>
      </c>
      <c r="N1799" s="66" t="s">
        <v>402</v>
      </c>
      <c r="O1799" s="74" t="s">
        <v>3963</v>
      </c>
      <c r="P1799" s="112" t="s">
        <v>5416</v>
      </c>
      <c r="Q1799" s="68" t="s">
        <v>784</v>
      </c>
      <c r="R1799" s="74" t="str">
        <f>Agencia[[#This Row],[territorio]]&amp;",evolución,variación,CASEN,pobreza,extrema,regional,"&amp;Agencia[[#This Row],[coleccion]]&amp;","&amp;Agencia[[#This Row],[sector]]&amp;","&amp;Agencia[[#This Row],[tema]]&amp;","&amp;Agencia[[#This Row],[contenido]]</f>
        <v>Región de Maule,evolución,variación,CASEN,pobreza,extrema,regional,Agencia Información,Socioeconómico,Pobreza Extrema y No Extrema,Pobreza</v>
      </c>
      <c r="S1799" s="84" t="s">
        <v>3964</v>
      </c>
      <c r="T1799" s="110" t="s">
        <v>1869</v>
      </c>
      <c r="U1799" s="46" t="s">
        <v>4693</v>
      </c>
      <c r="V1799" s="93" t="str">
        <f>+Agencia[[#This Row],[idcoleccion]]&amp;"-"&amp;Agencia[[#This Row],[id]]</f>
        <v>990-1788</v>
      </c>
      <c r="W1799" s="96">
        <v>99200007</v>
      </c>
      <c r="X1799" s="93" t="str">
        <f>+VLOOKUP(Agencia[[#This Row],[tema]],Estructura!$A$4:$C$500,3,0)</f>
        <v>T-1076</v>
      </c>
      <c r="Y1799" s="93" t="str">
        <f>+VLOOKUP(Agencia[[#This Row],[contenido]],Estructura!$E$4:$G$500,3,0)</f>
        <v>C-1025</v>
      </c>
      <c r="Z1799" s="93" t="str">
        <f>+VLOOKUP(Agencia[[#This Row],[Filtro Integrado]],Estructura!$I$4:$K$500,3,0)</f>
        <v>FI-993</v>
      </c>
      <c r="AA1799" s="93" t="str">
        <f>+VLOOKUP(Agencia[[#This Row],[Muestra]],Estructura!$M$4:$O$500,3,0)</f>
        <v>M-1028</v>
      </c>
    </row>
    <row r="1800" spans="1:27" ht="51" x14ac:dyDescent="0.3">
      <c r="A1800" s="21" t="s">
        <v>4929</v>
      </c>
      <c r="B1800" s="71">
        <v>990</v>
      </c>
      <c r="C1800" s="72" t="s">
        <v>400</v>
      </c>
      <c r="D1800" s="72" t="s">
        <v>404</v>
      </c>
      <c r="E1800" s="89">
        <v>8</v>
      </c>
      <c r="F1800" s="72" t="s">
        <v>3910</v>
      </c>
      <c r="G1800" s="73" t="s">
        <v>3911</v>
      </c>
      <c r="H1800" s="79" t="s">
        <v>16</v>
      </c>
      <c r="I1800" s="80" t="s">
        <v>375</v>
      </c>
      <c r="J1800" s="66" t="s">
        <v>403</v>
      </c>
      <c r="K1800" s="71" t="s">
        <v>3946</v>
      </c>
      <c r="L1800" s="71" t="s">
        <v>3947</v>
      </c>
      <c r="M1800" s="71" t="s">
        <v>2312</v>
      </c>
      <c r="N1800" s="66" t="s">
        <v>402</v>
      </c>
      <c r="O1800" s="74" t="s">
        <v>3965</v>
      </c>
      <c r="P1800" s="112" t="s">
        <v>5417</v>
      </c>
      <c r="Q1800" s="68" t="s">
        <v>784</v>
      </c>
      <c r="R1800" s="74" t="str">
        <f>Agencia[[#This Row],[territorio]]&amp;",evolución,variación,CASEN,pobreza,extrema,regional,"&amp;Agencia[[#This Row],[coleccion]]&amp;","&amp;Agencia[[#This Row],[sector]]&amp;","&amp;Agencia[[#This Row],[tema]]&amp;","&amp;Agencia[[#This Row],[contenido]]</f>
        <v>Región del Biobío,evolución,variación,CASEN,pobreza,extrema,regional,Agencia Información,Socioeconómico,Pobreza Extrema y No Extrema,Pobreza</v>
      </c>
      <c r="S1800" s="84" t="s">
        <v>3966</v>
      </c>
      <c r="T1800" s="110" t="s">
        <v>1874</v>
      </c>
      <c r="U1800" s="46" t="s">
        <v>4694</v>
      </c>
      <c r="V1800" s="93" t="str">
        <f>+Agencia[[#This Row],[idcoleccion]]&amp;"-"&amp;Agencia[[#This Row],[id]]</f>
        <v>990-1789</v>
      </c>
      <c r="W1800" s="96">
        <v>99200008</v>
      </c>
      <c r="X1800" s="93" t="str">
        <f>+VLOOKUP(Agencia[[#This Row],[tema]],Estructura!$A$4:$C$500,3,0)</f>
        <v>T-1076</v>
      </c>
      <c r="Y1800" s="93" t="str">
        <f>+VLOOKUP(Agencia[[#This Row],[contenido]],Estructura!$E$4:$G$500,3,0)</f>
        <v>C-1025</v>
      </c>
      <c r="Z1800" s="93" t="str">
        <f>+VLOOKUP(Agencia[[#This Row],[Filtro Integrado]],Estructura!$I$4:$K$500,3,0)</f>
        <v>FI-993</v>
      </c>
      <c r="AA1800" s="93" t="str">
        <f>+VLOOKUP(Agencia[[#This Row],[Muestra]],Estructura!$M$4:$O$500,3,0)</f>
        <v>M-1028</v>
      </c>
    </row>
    <row r="1801" spans="1:27" ht="51" x14ac:dyDescent="0.3">
      <c r="A1801" s="21" t="s">
        <v>4930</v>
      </c>
      <c r="B1801" s="71">
        <v>990</v>
      </c>
      <c r="C1801" s="72" t="s">
        <v>400</v>
      </c>
      <c r="D1801" s="72" t="s">
        <v>404</v>
      </c>
      <c r="E1801" s="89">
        <v>9</v>
      </c>
      <c r="F1801" s="72" t="s">
        <v>3910</v>
      </c>
      <c r="G1801" s="73" t="s">
        <v>3911</v>
      </c>
      <c r="H1801" s="79" t="s">
        <v>16</v>
      </c>
      <c r="I1801" s="80" t="s">
        <v>376</v>
      </c>
      <c r="J1801" s="66" t="s">
        <v>403</v>
      </c>
      <c r="K1801" s="71" t="s">
        <v>3946</v>
      </c>
      <c r="L1801" s="71" t="s">
        <v>3947</v>
      </c>
      <c r="M1801" s="71" t="s">
        <v>2312</v>
      </c>
      <c r="N1801" s="66" t="s">
        <v>402</v>
      </c>
      <c r="O1801" s="74" t="s">
        <v>3967</v>
      </c>
      <c r="P1801" s="112" t="s">
        <v>5418</v>
      </c>
      <c r="Q1801" s="68" t="s">
        <v>784</v>
      </c>
      <c r="R1801" s="74" t="str">
        <f>Agencia[[#This Row],[territorio]]&amp;",evolución,variación,CASEN,pobreza,extrema,regional,"&amp;Agencia[[#This Row],[coleccion]]&amp;","&amp;Agencia[[#This Row],[sector]]&amp;","&amp;Agencia[[#This Row],[tema]]&amp;","&amp;Agencia[[#This Row],[contenido]]</f>
        <v>Región de La Araucanía,evolución,variación,CASEN,pobreza,extrema,regional,Agencia Información,Socioeconómico,Pobreza Extrema y No Extrema,Pobreza</v>
      </c>
      <c r="S1801" s="84" t="s">
        <v>3968</v>
      </c>
      <c r="T1801" s="110" t="s">
        <v>1865</v>
      </c>
      <c r="U1801" s="46" t="s">
        <v>4695</v>
      </c>
      <c r="V1801" s="93" t="str">
        <f>+Agencia[[#This Row],[idcoleccion]]&amp;"-"&amp;Agencia[[#This Row],[id]]</f>
        <v>990-1790</v>
      </c>
      <c r="W1801" s="96">
        <v>99200009</v>
      </c>
      <c r="X1801" s="93" t="str">
        <f>+VLOOKUP(Agencia[[#This Row],[tema]],Estructura!$A$4:$C$500,3,0)</f>
        <v>T-1076</v>
      </c>
      <c r="Y1801" s="93" t="str">
        <f>+VLOOKUP(Agencia[[#This Row],[contenido]],Estructura!$E$4:$G$500,3,0)</f>
        <v>C-1025</v>
      </c>
      <c r="Z1801" s="93" t="str">
        <f>+VLOOKUP(Agencia[[#This Row],[Filtro Integrado]],Estructura!$I$4:$K$500,3,0)</f>
        <v>FI-993</v>
      </c>
      <c r="AA1801" s="93" t="str">
        <f>+VLOOKUP(Agencia[[#This Row],[Muestra]],Estructura!$M$4:$O$500,3,0)</f>
        <v>M-1028</v>
      </c>
    </row>
    <row r="1802" spans="1:27" ht="57.6" x14ac:dyDescent="0.3">
      <c r="A1802" s="21" t="s">
        <v>4931</v>
      </c>
      <c r="B1802" s="71">
        <v>990</v>
      </c>
      <c r="C1802" s="72" t="s">
        <v>400</v>
      </c>
      <c r="D1802" s="72" t="s">
        <v>404</v>
      </c>
      <c r="E1802" s="89">
        <v>10</v>
      </c>
      <c r="F1802" s="72" t="s">
        <v>3910</v>
      </c>
      <c r="G1802" s="73" t="s">
        <v>3911</v>
      </c>
      <c r="H1802" s="79" t="s">
        <v>16</v>
      </c>
      <c r="I1802" s="80" t="s">
        <v>377</v>
      </c>
      <c r="J1802" s="66" t="s">
        <v>403</v>
      </c>
      <c r="K1802" s="71" t="s">
        <v>3946</v>
      </c>
      <c r="L1802" s="71" t="s">
        <v>3947</v>
      </c>
      <c r="M1802" s="71" t="s">
        <v>2312</v>
      </c>
      <c r="N1802" s="66" t="s">
        <v>402</v>
      </c>
      <c r="O1802" s="74" t="s">
        <v>3969</v>
      </c>
      <c r="P1802" s="112" t="s">
        <v>5419</v>
      </c>
      <c r="Q1802" s="68" t="s">
        <v>784</v>
      </c>
      <c r="R1802" s="74" t="str">
        <f>Agencia[[#This Row],[territorio]]&amp;",evolución,variación,CASEN,pobreza,extrema,regional,"&amp;Agencia[[#This Row],[coleccion]]&amp;","&amp;Agencia[[#This Row],[sector]]&amp;","&amp;Agencia[[#This Row],[tema]]&amp;","&amp;Agencia[[#This Row],[contenido]]</f>
        <v>Región de Los Lagos,evolución,variación,CASEN,pobreza,extrema,regional,Agencia Información,Socioeconómico,Pobreza Extrema y No Extrema,Pobreza</v>
      </c>
      <c r="S1802" s="83" t="s">
        <v>3970</v>
      </c>
      <c r="T1802" s="110" t="s">
        <v>1866</v>
      </c>
      <c r="U1802" s="46" t="s">
        <v>4696</v>
      </c>
      <c r="V1802" s="93" t="str">
        <f>+Agencia[[#This Row],[idcoleccion]]&amp;"-"&amp;Agencia[[#This Row],[id]]</f>
        <v>990-1791</v>
      </c>
      <c r="W1802" s="96">
        <v>99200010</v>
      </c>
      <c r="X1802" s="93" t="str">
        <f>+VLOOKUP(Agencia[[#This Row],[tema]],Estructura!$A$4:$C$500,3,0)</f>
        <v>T-1076</v>
      </c>
      <c r="Y1802" s="93" t="str">
        <f>+VLOOKUP(Agencia[[#This Row],[contenido]],Estructura!$E$4:$G$500,3,0)</f>
        <v>C-1025</v>
      </c>
      <c r="Z1802" s="93" t="str">
        <f>+VLOOKUP(Agencia[[#This Row],[Filtro Integrado]],Estructura!$I$4:$K$500,3,0)</f>
        <v>FI-993</v>
      </c>
      <c r="AA1802" s="93" t="str">
        <f>+VLOOKUP(Agencia[[#This Row],[Muestra]],Estructura!$M$4:$O$500,3,0)</f>
        <v>M-1028</v>
      </c>
    </row>
    <row r="1803" spans="1:27" ht="51" x14ac:dyDescent="0.3">
      <c r="A1803" s="21" t="s">
        <v>4932</v>
      </c>
      <c r="B1803" s="71">
        <v>990</v>
      </c>
      <c r="C1803" s="72" t="s">
        <v>400</v>
      </c>
      <c r="D1803" s="72" t="s">
        <v>404</v>
      </c>
      <c r="E1803" s="89">
        <v>11</v>
      </c>
      <c r="F1803" s="72" t="s">
        <v>3910</v>
      </c>
      <c r="G1803" s="73" t="s">
        <v>3911</v>
      </c>
      <c r="H1803" s="79" t="s">
        <v>16</v>
      </c>
      <c r="I1803" s="80" t="s">
        <v>378</v>
      </c>
      <c r="J1803" s="66" t="s">
        <v>403</v>
      </c>
      <c r="K1803" s="71" t="s">
        <v>3946</v>
      </c>
      <c r="L1803" s="71" t="s">
        <v>3947</v>
      </c>
      <c r="M1803" s="71" t="s">
        <v>2312</v>
      </c>
      <c r="N1803" s="66" t="s">
        <v>402</v>
      </c>
      <c r="O1803" s="74" t="s">
        <v>3971</v>
      </c>
      <c r="P1803" s="112" t="s">
        <v>5420</v>
      </c>
      <c r="Q1803" s="68" t="s">
        <v>784</v>
      </c>
      <c r="R1803" s="74" t="str">
        <f>Agencia[[#This Row],[territorio]]&amp;",evolución,variación,CASEN,pobreza,extrema,regional,"&amp;Agencia[[#This Row],[coleccion]]&amp;","&amp;Agencia[[#This Row],[sector]]&amp;","&amp;Agencia[[#This Row],[tema]]&amp;","&amp;Agencia[[#This Row],[contenido]]</f>
        <v>Región de Aysén,evolución,variación,CASEN,pobreza,extrema,regional,Agencia Información,Socioeconómico,Pobreza Extrema y No Extrema,Pobreza</v>
      </c>
      <c r="S1803" s="84" t="s">
        <v>3972</v>
      </c>
      <c r="T1803" s="110" t="s">
        <v>1863</v>
      </c>
      <c r="U1803" s="46" t="s">
        <v>4697</v>
      </c>
      <c r="V1803" s="93" t="str">
        <f>+Agencia[[#This Row],[idcoleccion]]&amp;"-"&amp;Agencia[[#This Row],[id]]</f>
        <v>990-1792</v>
      </c>
      <c r="W1803" s="96">
        <v>99200011</v>
      </c>
      <c r="X1803" s="93" t="str">
        <f>+VLOOKUP(Agencia[[#This Row],[tema]],Estructura!$A$4:$C$500,3,0)</f>
        <v>T-1076</v>
      </c>
      <c r="Y1803" s="93" t="str">
        <f>+VLOOKUP(Agencia[[#This Row],[contenido]],Estructura!$E$4:$G$500,3,0)</f>
        <v>C-1025</v>
      </c>
      <c r="Z1803" s="93" t="str">
        <f>+VLOOKUP(Agencia[[#This Row],[Filtro Integrado]],Estructura!$I$4:$K$500,3,0)</f>
        <v>FI-993</v>
      </c>
      <c r="AA1803" s="93" t="str">
        <f>+VLOOKUP(Agencia[[#This Row],[Muestra]],Estructura!$M$4:$O$500,3,0)</f>
        <v>M-1028</v>
      </c>
    </row>
    <row r="1804" spans="1:27" ht="51" x14ac:dyDescent="0.3">
      <c r="A1804" s="21" t="s">
        <v>4933</v>
      </c>
      <c r="B1804" s="71">
        <v>990</v>
      </c>
      <c r="C1804" s="72" t="s">
        <v>400</v>
      </c>
      <c r="D1804" s="72" t="s">
        <v>404</v>
      </c>
      <c r="E1804" s="89">
        <v>12</v>
      </c>
      <c r="F1804" s="72" t="s">
        <v>3910</v>
      </c>
      <c r="G1804" s="73" t="s">
        <v>3911</v>
      </c>
      <c r="H1804" s="79" t="s">
        <v>16</v>
      </c>
      <c r="I1804" s="80" t="s">
        <v>379</v>
      </c>
      <c r="J1804" s="66" t="s">
        <v>403</v>
      </c>
      <c r="K1804" s="71" t="s">
        <v>3946</v>
      </c>
      <c r="L1804" s="71" t="s">
        <v>3947</v>
      </c>
      <c r="M1804" s="71" t="s">
        <v>2312</v>
      </c>
      <c r="N1804" s="66" t="s">
        <v>402</v>
      </c>
      <c r="O1804" s="74" t="s">
        <v>3973</v>
      </c>
      <c r="P1804" s="112" t="s">
        <v>5421</v>
      </c>
      <c r="Q1804" s="68" t="s">
        <v>784</v>
      </c>
      <c r="R1804" s="74" t="str">
        <f>Agencia[[#This Row],[territorio]]&amp;",evolución,variación,CASEN,pobreza,extrema,regional,"&amp;Agencia[[#This Row],[coleccion]]&amp;","&amp;Agencia[[#This Row],[sector]]&amp;","&amp;Agencia[[#This Row],[tema]]&amp;","&amp;Agencia[[#This Row],[contenido]]</f>
        <v>Región de Magallanes,evolución,variación,CASEN,pobreza,extrema,regional,Agencia Información,Socioeconómico,Pobreza Extrema y No Extrema,Pobreza</v>
      </c>
      <c r="S1804" s="84" t="s">
        <v>3974</v>
      </c>
      <c r="T1804" s="110" t="s">
        <v>1868</v>
      </c>
      <c r="U1804" s="46" t="s">
        <v>4698</v>
      </c>
      <c r="V1804" s="93" t="str">
        <f>+Agencia[[#This Row],[idcoleccion]]&amp;"-"&amp;Agencia[[#This Row],[id]]</f>
        <v>990-1793</v>
      </c>
      <c r="W1804" s="96">
        <v>99200012</v>
      </c>
      <c r="X1804" s="93" t="str">
        <f>+VLOOKUP(Agencia[[#This Row],[tema]],Estructura!$A$4:$C$500,3,0)</f>
        <v>T-1076</v>
      </c>
      <c r="Y1804" s="93" t="str">
        <f>+VLOOKUP(Agencia[[#This Row],[contenido]],Estructura!$E$4:$G$500,3,0)</f>
        <v>C-1025</v>
      </c>
      <c r="Z1804" s="93" t="str">
        <f>+VLOOKUP(Agencia[[#This Row],[Filtro Integrado]],Estructura!$I$4:$K$500,3,0)</f>
        <v>FI-993</v>
      </c>
      <c r="AA1804" s="93" t="str">
        <f>+VLOOKUP(Agencia[[#This Row],[Muestra]],Estructura!$M$4:$O$500,3,0)</f>
        <v>M-1028</v>
      </c>
    </row>
    <row r="1805" spans="1:27" ht="51" x14ac:dyDescent="0.3">
      <c r="A1805" s="21" t="s">
        <v>4934</v>
      </c>
      <c r="B1805" s="71">
        <v>990</v>
      </c>
      <c r="C1805" s="72" t="s">
        <v>400</v>
      </c>
      <c r="D1805" s="72" t="s">
        <v>404</v>
      </c>
      <c r="E1805" s="89">
        <v>13</v>
      </c>
      <c r="F1805" s="72" t="s">
        <v>3910</v>
      </c>
      <c r="G1805" s="73" t="s">
        <v>3911</v>
      </c>
      <c r="H1805" s="79" t="s">
        <v>16</v>
      </c>
      <c r="I1805" s="80" t="s">
        <v>380</v>
      </c>
      <c r="J1805" s="66" t="s">
        <v>403</v>
      </c>
      <c r="K1805" s="71" t="s">
        <v>3946</v>
      </c>
      <c r="L1805" s="71" t="s">
        <v>3947</v>
      </c>
      <c r="M1805" s="71" t="s">
        <v>2312</v>
      </c>
      <c r="N1805" s="66" t="s">
        <v>402</v>
      </c>
      <c r="O1805" s="74" t="s">
        <v>3975</v>
      </c>
      <c r="P1805" s="112" t="s">
        <v>5422</v>
      </c>
      <c r="Q1805" s="68" t="s">
        <v>784</v>
      </c>
      <c r="R1805" s="74" t="str">
        <f>Agencia[[#This Row],[territorio]]&amp;",evolución,variación,CASEN,pobreza,extrema,regional,"&amp;Agencia[[#This Row],[coleccion]]&amp;","&amp;Agencia[[#This Row],[sector]]&amp;","&amp;Agencia[[#This Row],[tema]]&amp;","&amp;Agencia[[#This Row],[contenido]]</f>
        <v>Región Metropolitana,evolución,variación,CASEN,pobreza,extrema,regional,Agencia Información,Socioeconómico,Pobreza Extrema y No Extrema,Pobreza</v>
      </c>
      <c r="S1805" s="84" t="s">
        <v>3976</v>
      </c>
      <c r="T1805" s="110" t="s">
        <v>1875</v>
      </c>
      <c r="U1805" s="46" t="s">
        <v>4699</v>
      </c>
      <c r="V1805" s="93" t="str">
        <f>+Agencia[[#This Row],[idcoleccion]]&amp;"-"&amp;Agencia[[#This Row],[id]]</f>
        <v>990-1794</v>
      </c>
      <c r="W1805" s="96">
        <v>99200013</v>
      </c>
      <c r="X1805" s="93" t="str">
        <f>+VLOOKUP(Agencia[[#This Row],[tema]],Estructura!$A$4:$C$500,3,0)</f>
        <v>T-1076</v>
      </c>
      <c r="Y1805" s="93" t="str">
        <f>+VLOOKUP(Agencia[[#This Row],[contenido]],Estructura!$E$4:$G$500,3,0)</f>
        <v>C-1025</v>
      </c>
      <c r="Z1805" s="93" t="str">
        <f>+VLOOKUP(Agencia[[#This Row],[Filtro Integrado]],Estructura!$I$4:$K$500,3,0)</f>
        <v>FI-993</v>
      </c>
      <c r="AA1805" s="93" t="str">
        <f>+VLOOKUP(Agencia[[#This Row],[Muestra]],Estructura!$M$4:$O$500,3,0)</f>
        <v>M-1028</v>
      </c>
    </row>
    <row r="1806" spans="1:27" ht="51" x14ac:dyDescent="0.3">
      <c r="A1806" s="21" t="s">
        <v>4935</v>
      </c>
      <c r="B1806" s="71">
        <v>990</v>
      </c>
      <c r="C1806" s="72" t="s">
        <v>400</v>
      </c>
      <c r="D1806" s="72" t="s">
        <v>404</v>
      </c>
      <c r="E1806" s="89">
        <v>14</v>
      </c>
      <c r="F1806" s="72" t="s">
        <v>3910</v>
      </c>
      <c r="G1806" s="73" t="s">
        <v>3911</v>
      </c>
      <c r="H1806" s="79" t="s">
        <v>16</v>
      </c>
      <c r="I1806" s="80" t="s">
        <v>381</v>
      </c>
      <c r="J1806" s="66" t="s">
        <v>403</v>
      </c>
      <c r="K1806" s="71" t="s">
        <v>3946</v>
      </c>
      <c r="L1806" s="71" t="s">
        <v>3947</v>
      </c>
      <c r="M1806" s="71" t="s">
        <v>2312</v>
      </c>
      <c r="N1806" s="66" t="s">
        <v>402</v>
      </c>
      <c r="O1806" s="74" t="s">
        <v>3977</v>
      </c>
      <c r="P1806" s="112" t="s">
        <v>5423</v>
      </c>
      <c r="Q1806" s="68" t="s">
        <v>784</v>
      </c>
      <c r="R1806" s="74" t="str">
        <f>Agencia[[#This Row],[territorio]]&amp;",evolución,variación,CASEN,pobreza,extrema,regional,"&amp;Agencia[[#This Row],[coleccion]]&amp;","&amp;Agencia[[#This Row],[sector]]&amp;","&amp;Agencia[[#This Row],[tema]]&amp;","&amp;Agencia[[#This Row],[contenido]]</f>
        <v>Región de Los Ríos,evolución,variación,CASEN,pobreza,extrema,regional,Agencia Información,Socioeconómico,Pobreza Extrema y No Extrema,Pobreza</v>
      </c>
      <c r="S1806" s="84" t="s">
        <v>3978</v>
      </c>
      <c r="T1806" s="110" t="s">
        <v>1867</v>
      </c>
      <c r="U1806" s="46" t="s">
        <v>4700</v>
      </c>
      <c r="V1806" s="93" t="str">
        <f>+Agencia[[#This Row],[idcoleccion]]&amp;"-"&amp;Agencia[[#This Row],[id]]</f>
        <v>990-1795</v>
      </c>
      <c r="W1806" s="96">
        <v>99200014</v>
      </c>
      <c r="X1806" s="93" t="str">
        <f>+VLOOKUP(Agencia[[#This Row],[tema]],Estructura!$A$4:$C$500,3,0)</f>
        <v>T-1076</v>
      </c>
      <c r="Y1806" s="93" t="str">
        <f>+VLOOKUP(Agencia[[#This Row],[contenido]],Estructura!$E$4:$G$500,3,0)</f>
        <v>C-1025</v>
      </c>
      <c r="Z1806" s="93" t="str">
        <f>+VLOOKUP(Agencia[[#This Row],[Filtro Integrado]],Estructura!$I$4:$K$500,3,0)</f>
        <v>FI-993</v>
      </c>
      <c r="AA1806" s="93" t="str">
        <f>+VLOOKUP(Agencia[[#This Row],[Muestra]],Estructura!$M$4:$O$500,3,0)</f>
        <v>M-1028</v>
      </c>
    </row>
    <row r="1807" spans="1:27" ht="51" x14ac:dyDescent="0.3">
      <c r="A1807" s="21" t="s">
        <v>4936</v>
      </c>
      <c r="B1807" s="71">
        <v>990</v>
      </c>
      <c r="C1807" s="72" t="s">
        <v>400</v>
      </c>
      <c r="D1807" s="72" t="s">
        <v>404</v>
      </c>
      <c r="E1807" s="89">
        <v>15</v>
      </c>
      <c r="F1807" s="72" t="s">
        <v>3910</v>
      </c>
      <c r="G1807" s="73" t="s">
        <v>3911</v>
      </c>
      <c r="H1807" s="79" t="s">
        <v>16</v>
      </c>
      <c r="I1807" s="80" t="s">
        <v>382</v>
      </c>
      <c r="J1807" s="66" t="s">
        <v>403</v>
      </c>
      <c r="K1807" s="71" t="s">
        <v>3946</v>
      </c>
      <c r="L1807" s="71" t="s">
        <v>3947</v>
      </c>
      <c r="M1807" s="71" t="s">
        <v>2312</v>
      </c>
      <c r="N1807" s="66" t="s">
        <v>402</v>
      </c>
      <c r="O1807" s="74" t="s">
        <v>3979</v>
      </c>
      <c r="P1807" s="112" t="s">
        <v>5424</v>
      </c>
      <c r="Q1807" s="68" t="s">
        <v>784</v>
      </c>
      <c r="R1807" s="74" t="str">
        <f>Agencia[[#This Row],[territorio]]&amp;",evolución,variación,CASEN,pobreza,extrema,regional,"&amp;Agencia[[#This Row],[coleccion]]&amp;","&amp;Agencia[[#This Row],[sector]]&amp;","&amp;Agencia[[#This Row],[tema]]&amp;","&amp;Agencia[[#This Row],[contenido]]</f>
        <v>Región de Arica y Parinacota,evolución,variación,CASEN,pobreza,extrema,regional,Agencia Información,Socioeconómico,Pobreza Extrema y No Extrema,Pobreza</v>
      </c>
      <c r="S1807" s="84" t="s">
        <v>3980</v>
      </c>
      <c r="T1807" s="110" t="s">
        <v>1861</v>
      </c>
      <c r="U1807" s="46" t="s">
        <v>4701</v>
      </c>
      <c r="V1807" s="93" t="str">
        <f>+Agencia[[#This Row],[idcoleccion]]&amp;"-"&amp;Agencia[[#This Row],[id]]</f>
        <v>990-1796</v>
      </c>
      <c r="W1807" s="96">
        <v>99200015</v>
      </c>
      <c r="X1807" s="93" t="str">
        <f>+VLOOKUP(Agencia[[#This Row],[tema]],Estructura!$A$4:$C$500,3,0)</f>
        <v>T-1076</v>
      </c>
      <c r="Y1807" s="93" t="str">
        <f>+VLOOKUP(Agencia[[#This Row],[contenido]],Estructura!$E$4:$G$500,3,0)</f>
        <v>C-1025</v>
      </c>
      <c r="Z1807" s="93" t="str">
        <f>+VLOOKUP(Agencia[[#This Row],[Filtro Integrado]],Estructura!$I$4:$K$500,3,0)</f>
        <v>FI-993</v>
      </c>
      <c r="AA1807" s="93" t="str">
        <f>+VLOOKUP(Agencia[[#This Row],[Muestra]],Estructura!$M$4:$O$500,3,0)</f>
        <v>M-1028</v>
      </c>
    </row>
    <row r="1808" spans="1:27" ht="51" x14ac:dyDescent="0.3">
      <c r="A1808" s="21" t="s">
        <v>4937</v>
      </c>
      <c r="B1808" s="71">
        <v>990</v>
      </c>
      <c r="C1808" s="72" t="s">
        <v>400</v>
      </c>
      <c r="D1808" s="72" t="s">
        <v>404</v>
      </c>
      <c r="E1808" s="89">
        <v>16</v>
      </c>
      <c r="F1808" s="72" t="s">
        <v>3910</v>
      </c>
      <c r="G1808" s="73" t="s">
        <v>3911</v>
      </c>
      <c r="H1808" s="79" t="s">
        <v>16</v>
      </c>
      <c r="I1808" s="80" t="s">
        <v>383</v>
      </c>
      <c r="J1808" s="66" t="s">
        <v>403</v>
      </c>
      <c r="K1808" s="71" t="s">
        <v>3946</v>
      </c>
      <c r="L1808" s="71" t="s">
        <v>3947</v>
      </c>
      <c r="M1808" s="71" t="s">
        <v>2312</v>
      </c>
      <c r="N1808" s="66" t="s">
        <v>402</v>
      </c>
      <c r="O1808" s="74" t="s">
        <v>3981</v>
      </c>
      <c r="P1808" s="112" t="s">
        <v>5425</v>
      </c>
      <c r="Q1808" s="68" t="s">
        <v>784</v>
      </c>
      <c r="R1808" s="74" t="str">
        <f>Agencia[[#This Row],[territorio]]&amp;",evolución,variación,CASEN,pobreza,extrema,regional,"&amp;Agencia[[#This Row],[coleccion]]&amp;","&amp;Agencia[[#This Row],[sector]]&amp;","&amp;Agencia[[#This Row],[tema]]&amp;","&amp;Agencia[[#This Row],[contenido]]</f>
        <v>Región de Ñuble,evolución,variación,CASEN,pobreza,extrema,regional,Agencia Información,Socioeconómico,Pobreza Extrema y No Extrema,Pobreza</v>
      </c>
      <c r="S1808" s="84" t="s">
        <v>3982</v>
      </c>
      <c r="T1808" s="110" t="s">
        <v>1870</v>
      </c>
      <c r="U1808" s="46" t="s">
        <v>4702</v>
      </c>
      <c r="V1808" s="93" t="str">
        <f>+Agencia[[#This Row],[idcoleccion]]&amp;"-"&amp;Agencia[[#This Row],[id]]</f>
        <v>990-1797</v>
      </c>
      <c r="W1808" s="96">
        <v>99200016</v>
      </c>
      <c r="X1808" s="93" t="str">
        <f>+VLOOKUP(Agencia[[#This Row],[tema]],Estructura!$A$4:$C$500,3,0)</f>
        <v>T-1076</v>
      </c>
      <c r="Y1808" s="93" t="str">
        <f>+VLOOKUP(Agencia[[#This Row],[contenido]],Estructura!$E$4:$G$500,3,0)</f>
        <v>C-1025</v>
      </c>
      <c r="Z1808" s="93" t="str">
        <f>+VLOOKUP(Agencia[[#This Row],[Filtro Integrado]],Estructura!$I$4:$K$500,3,0)</f>
        <v>FI-993</v>
      </c>
      <c r="AA1808" s="93" t="str">
        <f>+VLOOKUP(Agencia[[#This Row],[Muestra]],Estructura!$M$4:$O$500,3,0)</f>
        <v>M-1028</v>
      </c>
    </row>
    <row r="1809" spans="1:27" ht="40.799999999999997" x14ac:dyDescent="0.3">
      <c r="A1809" s="21" t="s">
        <v>4938</v>
      </c>
      <c r="B1809" s="71">
        <v>990</v>
      </c>
      <c r="C1809" s="72" t="s">
        <v>400</v>
      </c>
      <c r="D1809" s="72" t="s">
        <v>404</v>
      </c>
      <c r="E1809" s="90">
        <v>0</v>
      </c>
      <c r="F1809" s="72" t="s">
        <v>3983</v>
      </c>
      <c r="G1809" s="73" t="s">
        <v>3911</v>
      </c>
      <c r="H1809" s="77" t="s">
        <v>20</v>
      </c>
      <c r="I1809" s="78" t="s">
        <v>15</v>
      </c>
      <c r="J1809" s="71" t="s">
        <v>16</v>
      </c>
      <c r="K1809" s="71" t="s">
        <v>3983</v>
      </c>
      <c r="L1809" s="86" t="s">
        <v>457</v>
      </c>
      <c r="M1809" s="71" t="s">
        <v>2312</v>
      </c>
      <c r="N1809" s="66" t="s">
        <v>402</v>
      </c>
      <c r="O1809" s="88" t="s">
        <v>3984</v>
      </c>
      <c r="P1809" s="113" t="s">
        <v>3985</v>
      </c>
      <c r="Q1809" s="75" t="s">
        <v>794</v>
      </c>
      <c r="R1809" s="74" t="str">
        <f>Agencia[[#This Row],[territorio]]&amp;",porcentaje,pobreza,extrema,comunal,nacional,"&amp;Agencia[[#This Row],[coleccion]]&amp;","&amp;Agencia[[#This Row],[sector]]&amp;","&amp;Agencia[[#This Row],[tema]]&amp;","&amp;Agencia[[#This Row],[contenido]]</f>
        <v>Chile,porcentaje,pobreza,extrema,comunal,nacional,Agencia Información,Socioeconómico,Pobreza Extrema,Pobreza</v>
      </c>
      <c r="S1809" s="85" t="s">
        <v>3986</v>
      </c>
      <c r="T1809" s="109" t="s">
        <v>957</v>
      </c>
      <c r="U1809" s="46" t="s">
        <v>4703</v>
      </c>
      <c r="V1809" s="93" t="str">
        <f>+Agencia[[#This Row],[idcoleccion]]&amp;"-"&amp;Agencia[[#This Row],[id]]</f>
        <v>990-1798</v>
      </c>
      <c r="W1809" s="96">
        <v>99100000</v>
      </c>
      <c r="X1809" s="93" t="str">
        <f>+VLOOKUP(Agencia[[#This Row],[tema]],Estructura!$A$4:$C$500,3,0)</f>
        <v>T-1077</v>
      </c>
      <c r="Y1809" s="93" t="str">
        <f>+VLOOKUP(Agencia[[#This Row],[contenido]],Estructura!$E$4:$G$500,3,0)</f>
        <v>C-1025</v>
      </c>
      <c r="Z1809" s="93" t="str">
        <f>+VLOOKUP(Agencia[[#This Row],[Filtro Integrado]],Estructura!$I$4:$K$500,3,0)</f>
        <v>FI-992</v>
      </c>
      <c r="AA1809" s="93" t="str">
        <f>+VLOOKUP(Agencia[[#This Row],[Muestra]],Estructura!$M$4:$O$500,3,0)</f>
        <v>M-1029</v>
      </c>
    </row>
    <row r="1810" spans="1:27" ht="51" x14ac:dyDescent="0.3">
      <c r="A1810" s="21" t="s">
        <v>4939</v>
      </c>
      <c r="B1810" s="71">
        <v>990</v>
      </c>
      <c r="C1810" s="72" t="s">
        <v>400</v>
      </c>
      <c r="D1810" s="72" t="s">
        <v>404</v>
      </c>
      <c r="E1810" s="89">
        <v>1</v>
      </c>
      <c r="F1810" s="72" t="s">
        <v>3983</v>
      </c>
      <c r="G1810" s="73" t="s">
        <v>3911</v>
      </c>
      <c r="H1810" s="79" t="s">
        <v>16</v>
      </c>
      <c r="I1810" s="80" t="s">
        <v>368</v>
      </c>
      <c r="J1810" s="66" t="s">
        <v>403</v>
      </c>
      <c r="K1810" s="71" t="s">
        <v>3983</v>
      </c>
      <c r="L1810" s="86" t="s">
        <v>457</v>
      </c>
      <c r="M1810" s="71" t="s">
        <v>2312</v>
      </c>
      <c r="N1810" s="66" t="s">
        <v>402</v>
      </c>
      <c r="O1810" s="88" t="s">
        <v>3987</v>
      </c>
      <c r="P1810" s="112" t="s">
        <v>5426</v>
      </c>
      <c r="Q1810" s="75" t="s">
        <v>794</v>
      </c>
      <c r="R1810" s="74" t="str">
        <f>Agencia[[#This Row],[territorio]]&amp;",porcentaje,pobreza,extrema,comunal,regional,"&amp;Agencia[[#This Row],[coleccion]]&amp;","&amp;Agencia[[#This Row],[sector]]&amp;","&amp;Agencia[[#This Row],[tema]]&amp;","&amp;Agencia[[#This Row],[contenido]]</f>
        <v>Región de Tarapacá,porcentaje,pobreza,extrema,comunal,regional,Agencia Información,Socioeconómico,Pobreza Extrema,Pobreza</v>
      </c>
      <c r="S1810" s="84" t="s">
        <v>3988</v>
      </c>
      <c r="T1810" s="110" t="s">
        <v>1856</v>
      </c>
      <c r="U1810" s="46" t="s">
        <v>4704</v>
      </c>
      <c r="V1810" s="93" t="str">
        <f>+Agencia[[#This Row],[idcoleccion]]&amp;"-"&amp;Agencia[[#This Row],[id]]</f>
        <v>990-1799</v>
      </c>
      <c r="W1810" s="96">
        <v>99200001</v>
      </c>
      <c r="X1810" s="93" t="str">
        <f>+VLOOKUP(Agencia[[#This Row],[tema]],Estructura!$A$4:$C$500,3,0)</f>
        <v>T-1077</v>
      </c>
      <c r="Y1810" s="93" t="str">
        <f>+VLOOKUP(Agencia[[#This Row],[contenido]],Estructura!$E$4:$G$500,3,0)</f>
        <v>C-1025</v>
      </c>
      <c r="Z1810" s="93" t="str">
        <f>+VLOOKUP(Agencia[[#This Row],[Filtro Integrado]],Estructura!$I$4:$K$500,3,0)</f>
        <v>FI-993</v>
      </c>
      <c r="AA1810" s="93" t="str">
        <f>+VLOOKUP(Agencia[[#This Row],[Muestra]],Estructura!$M$4:$O$500,3,0)</f>
        <v>M-1029</v>
      </c>
    </row>
    <row r="1811" spans="1:27" ht="51" x14ac:dyDescent="0.3">
      <c r="A1811" s="21" t="s">
        <v>4940</v>
      </c>
      <c r="B1811" s="71">
        <v>990</v>
      </c>
      <c r="C1811" s="72" t="s">
        <v>400</v>
      </c>
      <c r="D1811" s="72" t="s">
        <v>404</v>
      </c>
      <c r="E1811" s="89">
        <v>2</v>
      </c>
      <c r="F1811" s="72" t="s">
        <v>3983</v>
      </c>
      <c r="G1811" s="73" t="s">
        <v>3911</v>
      </c>
      <c r="H1811" s="79" t="s">
        <v>16</v>
      </c>
      <c r="I1811" s="80" t="s">
        <v>369</v>
      </c>
      <c r="J1811" s="66" t="s">
        <v>403</v>
      </c>
      <c r="K1811" s="71" t="s">
        <v>3983</v>
      </c>
      <c r="L1811" s="86" t="s">
        <v>457</v>
      </c>
      <c r="M1811" s="71" t="s">
        <v>2312</v>
      </c>
      <c r="N1811" s="66" t="s">
        <v>402</v>
      </c>
      <c r="O1811" s="88" t="s">
        <v>3989</v>
      </c>
      <c r="P1811" s="112" t="s">
        <v>5427</v>
      </c>
      <c r="Q1811" s="75" t="s">
        <v>794</v>
      </c>
      <c r="R1811" s="74" t="str">
        <f>Agencia[[#This Row],[territorio]]&amp;",porcentaje,pobreza,extrema,comunal,regional,"&amp;Agencia[[#This Row],[coleccion]]&amp;","&amp;Agencia[[#This Row],[sector]]&amp;","&amp;Agencia[[#This Row],[tema]]&amp;","&amp;Agencia[[#This Row],[contenido]]</f>
        <v>Región de Antofagasta,porcentaje,pobreza,extrema,comunal,regional,Agencia Información,Socioeconómico,Pobreza Extrema,Pobreza</v>
      </c>
      <c r="S1811" s="84" t="s">
        <v>3990</v>
      </c>
      <c r="T1811" s="110" t="s">
        <v>1844</v>
      </c>
      <c r="U1811" s="46" t="s">
        <v>4705</v>
      </c>
      <c r="V1811" s="93" t="str">
        <f>+Agencia[[#This Row],[idcoleccion]]&amp;"-"&amp;Agencia[[#This Row],[id]]</f>
        <v>990-1800</v>
      </c>
      <c r="W1811" s="96">
        <v>99200002</v>
      </c>
      <c r="X1811" s="93" t="str">
        <f>+VLOOKUP(Agencia[[#This Row],[tema]],Estructura!$A$4:$C$500,3,0)</f>
        <v>T-1077</v>
      </c>
      <c r="Y1811" s="93" t="str">
        <f>+VLOOKUP(Agencia[[#This Row],[contenido]],Estructura!$E$4:$G$500,3,0)</f>
        <v>C-1025</v>
      </c>
      <c r="Z1811" s="93" t="str">
        <f>+VLOOKUP(Agencia[[#This Row],[Filtro Integrado]],Estructura!$I$4:$K$500,3,0)</f>
        <v>FI-993</v>
      </c>
      <c r="AA1811" s="93" t="str">
        <f>+VLOOKUP(Agencia[[#This Row],[Muestra]],Estructura!$M$4:$O$500,3,0)</f>
        <v>M-1029</v>
      </c>
    </row>
    <row r="1812" spans="1:27" ht="51" x14ac:dyDescent="0.3">
      <c r="A1812" s="21" t="s">
        <v>4941</v>
      </c>
      <c r="B1812" s="71">
        <v>990</v>
      </c>
      <c r="C1812" s="72" t="s">
        <v>400</v>
      </c>
      <c r="D1812" s="72" t="s">
        <v>404</v>
      </c>
      <c r="E1812" s="89">
        <v>3</v>
      </c>
      <c r="F1812" s="72" t="s">
        <v>3983</v>
      </c>
      <c r="G1812" s="73" t="s">
        <v>3911</v>
      </c>
      <c r="H1812" s="79" t="s">
        <v>16</v>
      </c>
      <c r="I1812" s="80" t="s">
        <v>370</v>
      </c>
      <c r="J1812" s="66" t="s">
        <v>403</v>
      </c>
      <c r="K1812" s="71" t="s">
        <v>3983</v>
      </c>
      <c r="L1812" s="86" t="s">
        <v>457</v>
      </c>
      <c r="M1812" s="71" t="s">
        <v>2312</v>
      </c>
      <c r="N1812" s="66" t="s">
        <v>402</v>
      </c>
      <c r="O1812" s="88" t="s">
        <v>3991</v>
      </c>
      <c r="P1812" s="112" t="s">
        <v>5428</v>
      </c>
      <c r="Q1812" s="75" t="s">
        <v>794</v>
      </c>
      <c r="R1812" s="74" t="str">
        <f>Agencia[[#This Row],[territorio]]&amp;",porcentaje,pobreza,extrema,comunal,regional,"&amp;Agencia[[#This Row],[coleccion]]&amp;","&amp;Agencia[[#This Row],[sector]]&amp;","&amp;Agencia[[#This Row],[tema]]&amp;","&amp;Agencia[[#This Row],[contenido]]</f>
        <v>Región de Atacama,porcentaje,pobreza,extrema,comunal,regional,Agencia Información,Socioeconómico,Pobreza Extrema,Pobreza</v>
      </c>
      <c r="S1812" s="84" t="s">
        <v>3992</v>
      </c>
      <c r="T1812" s="110" t="s">
        <v>1846</v>
      </c>
      <c r="U1812" s="46" t="s">
        <v>4706</v>
      </c>
      <c r="V1812" s="93" t="str">
        <f>+Agencia[[#This Row],[idcoleccion]]&amp;"-"&amp;Agencia[[#This Row],[id]]</f>
        <v>990-1801</v>
      </c>
      <c r="W1812" s="96">
        <v>99200003</v>
      </c>
      <c r="X1812" s="93" t="str">
        <f>+VLOOKUP(Agencia[[#This Row],[tema]],Estructura!$A$4:$C$500,3,0)</f>
        <v>T-1077</v>
      </c>
      <c r="Y1812" s="93" t="str">
        <f>+VLOOKUP(Agencia[[#This Row],[contenido]],Estructura!$E$4:$G$500,3,0)</f>
        <v>C-1025</v>
      </c>
      <c r="Z1812" s="93" t="str">
        <f>+VLOOKUP(Agencia[[#This Row],[Filtro Integrado]],Estructura!$I$4:$K$500,3,0)</f>
        <v>FI-993</v>
      </c>
      <c r="AA1812" s="93" t="str">
        <f>+VLOOKUP(Agencia[[#This Row],[Muestra]],Estructura!$M$4:$O$500,3,0)</f>
        <v>M-1029</v>
      </c>
    </row>
    <row r="1813" spans="1:27" ht="51" x14ac:dyDescent="0.3">
      <c r="A1813" s="21" t="s">
        <v>4942</v>
      </c>
      <c r="B1813" s="71">
        <v>990</v>
      </c>
      <c r="C1813" s="72" t="s">
        <v>400</v>
      </c>
      <c r="D1813" s="72" t="s">
        <v>404</v>
      </c>
      <c r="E1813" s="89">
        <v>4</v>
      </c>
      <c r="F1813" s="72" t="s">
        <v>3983</v>
      </c>
      <c r="G1813" s="73" t="s">
        <v>3911</v>
      </c>
      <c r="H1813" s="79" t="s">
        <v>16</v>
      </c>
      <c r="I1813" s="80" t="s">
        <v>371</v>
      </c>
      <c r="J1813" s="66" t="s">
        <v>403</v>
      </c>
      <c r="K1813" s="71" t="s">
        <v>3983</v>
      </c>
      <c r="L1813" s="86" t="s">
        <v>457</v>
      </c>
      <c r="M1813" s="71" t="s">
        <v>2312</v>
      </c>
      <c r="N1813" s="66" t="s">
        <v>402</v>
      </c>
      <c r="O1813" s="88" t="s">
        <v>3993</v>
      </c>
      <c r="P1813" s="112" t="s">
        <v>5429</v>
      </c>
      <c r="Q1813" s="75" t="s">
        <v>794</v>
      </c>
      <c r="R1813" s="74" t="str">
        <f>Agencia[[#This Row],[territorio]]&amp;",porcentaje,pobreza,extrema,comunal,regional,"&amp;Agencia[[#This Row],[coleccion]]&amp;","&amp;Agencia[[#This Row],[sector]]&amp;","&amp;Agencia[[#This Row],[tema]]&amp;","&amp;Agencia[[#This Row],[contenido]]</f>
        <v>Región de Coquimbo,porcentaje,pobreza,extrema,comunal,regional,Agencia Información,Socioeconómico,Pobreza Extrema,Pobreza</v>
      </c>
      <c r="S1813" s="84" t="s">
        <v>3994</v>
      </c>
      <c r="T1813" s="110" t="s">
        <v>1848</v>
      </c>
      <c r="U1813" s="46" t="s">
        <v>4707</v>
      </c>
      <c r="V1813" s="93" t="str">
        <f>+Agencia[[#This Row],[idcoleccion]]&amp;"-"&amp;Agencia[[#This Row],[id]]</f>
        <v>990-1802</v>
      </c>
      <c r="W1813" s="96">
        <v>99200004</v>
      </c>
      <c r="X1813" s="93" t="str">
        <f>+VLOOKUP(Agencia[[#This Row],[tema]],Estructura!$A$4:$C$500,3,0)</f>
        <v>T-1077</v>
      </c>
      <c r="Y1813" s="93" t="str">
        <f>+VLOOKUP(Agencia[[#This Row],[contenido]],Estructura!$E$4:$G$500,3,0)</f>
        <v>C-1025</v>
      </c>
      <c r="Z1813" s="93" t="str">
        <f>+VLOOKUP(Agencia[[#This Row],[Filtro Integrado]],Estructura!$I$4:$K$500,3,0)</f>
        <v>FI-993</v>
      </c>
      <c r="AA1813" s="93" t="str">
        <f>+VLOOKUP(Agencia[[#This Row],[Muestra]],Estructura!$M$4:$O$500,3,0)</f>
        <v>M-1029</v>
      </c>
    </row>
    <row r="1814" spans="1:27" ht="51" x14ac:dyDescent="0.3">
      <c r="A1814" s="21" t="s">
        <v>4943</v>
      </c>
      <c r="B1814" s="71">
        <v>990</v>
      </c>
      <c r="C1814" s="72" t="s">
        <v>400</v>
      </c>
      <c r="D1814" s="72" t="s">
        <v>404</v>
      </c>
      <c r="E1814" s="89">
        <v>5</v>
      </c>
      <c r="F1814" s="72" t="s">
        <v>3983</v>
      </c>
      <c r="G1814" s="73" t="s">
        <v>3911</v>
      </c>
      <c r="H1814" s="79" t="s">
        <v>16</v>
      </c>
      <c r="I1814" s="80" t="s">
        <v>372</v>
      </c>
      <c r="J1814" s="66" t="s">
        <v>403</v>
      </c>
      <c r="K1814" s="71" t="s">
        <v>3983</v>
      </c>
      <c r="L1814" s="86" t="s">
        <v>457</v>
      </c>
      <c r="M1814" s="71" t="s">
        <v>2312</v>
      </c>
      <c r="N1814" s="66" t="s">
        <v>402</v>
      </c>
      <c r="O1814" s="88" t="s">
        <v>3995</v>
      </c>
      <c r="P1814" s="112" t="s">
        <v>5430</v>
      </c>
      <c r="Q1814" s="75" t="s">
        <v>794</v>
      </c>
      <c r="R1814" s="74" t="str">
        <f>Agencia[[#This Row],[territorio]]&amp;",porcentaje,pobreza,extrema,comunal,regional,"&amp;Agencia[[#This Row],[coleccion]]&amp;","&amp;Agencia[[#This Row],[sector]]&amp;","&amp;Agencia[[#This Row],[tema]]&amp;","&amp;Agencia[[#This Row],[contenido]]</f>
        <v>Región de Valparaíso,porcentaje,pobreza,extrema,comunal,regional,Agencia Información,Socioeconómico,Pobreza Extrema,Pobreza</v>
      </c>
      <c r="S1814" s="84" t="s">
        <v>3996</v>
      </c>
      <c r="T1814" s="110" t="s">
        <v>1857</v>
      </c>
      <c r="U1814" s="46" t="s">
        <v>4708</v>
      </c>
      <c r="V1814" s="93" t="str">
        <f>+Agencia[[#This Row],[idcoleccion]]&amp;"-"&amp;Agencia[[#This Row],[id]]</f>
        <v>990-1803</v>
      </c>
      <c r="W1814" s="96">
        <v>99200005</v>
      </c>
      <c r="X1814" s="93" t="str">
        <f>+VLOOKUP(Agencia[[#This Row],[tema]],Estructura!$A$4:$C$500,3,0)</f>
        <v>T-1077</v>
      </c>
      <c r="Y1814" s="93" t="str">
        <f>+VLOOKUP(Agencia[[#This Row],[contenido]],Estructura!$E$4:$G$500,3,0)</f>
        <v>C-1025</v>
      </c>
      <c r="Z1814" s="93" t="str">
        <f>+VLOOKUP(Agencia[[#This Row],[Filtro Integrado]],Estructura!$I$4:$K$500,3,0)</f>
        <v>FI-993</v>
      </c>
      <c r="AA1814" s="93" t="str">
        <f>+VLOOKUP(Agencia[[#This Row],[Muestra]],Estructura!$M$4:$O$500,3,0)</f>
        <v>M-1029</v>
      </c>
    </row>
    <row r="1815" spans="1:27" ht="51" x14ac:dyDescent="0.3">
      <c r="A1815" s="21" t="s">
        <v>4944</v>
      </c>
      <c r="B1815" s="71">
        <v>990</v>
      </c>
      <c r="C1815" s="72" t="s">
        <v>400</v>
      </c>
      <c r="D1815" s="72" t="s">
        <v>404</v>
      </c>
      <c r="E1815" s="89">
        <v>6</v>
      </c>
      <c r="F1815" s="72" t="s">
        <v>3983</v>
      </c>
      <c r="G1815" s="73" t="s">
        <v>3911</v>
      </c>
      <c r="H1815" s="79" t="s">
        <v>16</v>
      </c>
      <c r="I1815" s="80" t="s">
        <v>373</v>
      </c>
      <c r="J1815" s="66" t="s">
        <v>403</v>
      </c>
      <c r="K1815" s="71" t="s">
        <v>3983</v>
      </c>
      <c r="L1815" s="86" t="s">
        <v>457</v>
      </c>
      <c r="M1815" s="71" t="s">
        <v>2312</v>
      </c>
      <c r="N1815" s="66" t="s">
        <v>402</v>
      </c>
      <c r="O1815" s="88" t="s">
        <v>3997</v>
      </c>
      <c r="P1815" s="112" t="s">
        <v>5431</v>
      </c>
      <c r="Q1815" s="75" t="s">
        <v>794</v>
      </c>
      <c r="R1815" s="74" t="str">
        <f>Agencia[[#This Row],[territorio]]&amp;",porcentaje,pobreza,extrema,comunal,regional,"&amp;Agencia[[#This Row],[coleccion]]&amp;","&amp;Agencia[[#This Row],[sector]]&amp;","&amp;Agencia[[#This Row],[tema]]&amp;","&amp;Agencia[[#This Row],[contenido]]</f>
        <v>Región de O'Higgins,porcentaje,pobreza,extrema,comunal,regional,Agencia Información,Socioeconómico,Pobreza Extrema,Pobreza</v>
      </c>
      <c r="S1815" s="84" t="s">
        <v>3998</v>
      </c>
      <c r="T1815" s="110" t="s">
        <v>1855</v>
      </c>
      <c r="U1815" s="46" t="s">
        <v>4709</v>
      </c>
      <c r="V1815" s="93" t="str">
        <f>+Agencia[[#This Row],[idcoleccion]]&amp;"-"&amp;Agencia[[#This Row],[id]]</f>
        <v>990-1804</v>
      </c>
      <c r="W1815" s="96">
        <v>99200006</v>
      </c>
      <c r="X1815" s="93" t="str">
        <f>+VLOOKUP(Agencia[[#This Row],[tema]],Estructura!$A$4:$C$500,3,0)</f>
        <v>T-1077</v>
      </c>
      <c r="Y1815" s="93" t="str">
        <f>+VLOOKUP(Agencia[[#This Row],[contenido]],Estructura!$E$4:$G$500,3,0)</f>
        <v>C-1025</v>
      </c>
      <c r="Z1815" s="93" t="str">
        <f>+VLOOKUP(Agencia[[#This Row],[Filtro Integrado]],Estructura!$I$4:$K$500,3,0)</f>
        <v>FI-993</v>
      </c>
      <c r="AA1815" s="93" t="str">
        <f>+VLOOKUP(Agencia[[#This Row],[Muestra]],Estructura!$M$4:$O$500,3,0)</f>
        <v>M-1029</v>
      </c>
    </row>
    <row r="1816" spans="1:27" ht="51" x14ac:dyDescent="0.3">
      <c r="A1816" s="21" t="s">
        <v>4945</v>
      </c>
      <c r="B1816" s="71">
        <v>990</v>
      </c>
      <c r="C1816" s="72" t="s">
        <v>400</v>
      </c>
      <c r="D1816" s="72" t="s">
        <v>404</v>
      </c>
      <c r="E1816" s="89">
        <v>7</v>
      </c>
      <c r="F1816" s="72" t="s">
        <v>3983</v>
      </c>
      <c r="G1816" s="73" t="s">
        <v>3911</v>
      </c>
      <c r="H1816" s="79" t="s">
        <v>16</v>
      </c>
      <c r="I1816" s="80" t="s">
        <v>374</v>
      </c>
      <c r="J1816" s="66" t="s">
        <v>403</v>
      </c>
      <c r="K1816" s="71" t="s">
        <v>3983</v>
      </c>
      <c r="L1816" s="86" t="s">
        <v>457</v>
      </c>
      <c r="M1816" s="71" t="s">
        <v>2312</v>
      </c>
      <c r="N1816" s="66" t="s">
        <v>402</v>
      </c>
      <c r="O1816" s="88" t="s">
        <v>3999</v>
      </c>
      <c r="P1816" s="112" t="s">
        <v>5432</v>
      </c>
      <c r="Q1816" s="75" t="s">
        <v>794</v>
      </c>
      <c r="R1816" s="74" t="str">
        <f>Agencia[[#This Row],[territorio]]&amp;",porcentaje,pobreza,extrema,comunal,regional,"&amp;Agencia[[#This Row],[coleccion]]&amp;","&amp;Agencia[[#This Row],[sector]]&amp;","&amp;Agencia[[#This Row],[tema]]&amp;","&amp;Agencia[[#This Row],[contenido]]</f>
        <v>Región de Maule,porcentaje,pobreza,extrema,comunal,regional,Agencia Información,Socioeconómico,Pobreza Extrema,Pobreza</v>
      </c>
      <c r="S1816" s="84" t="s">
        <v>4000</v>
      </c>
      <c r="T1816" s="110" t="s">
        <v>1853</v>
      </c>
      <c r="U1816" s="46" t="s">
        <v>4710</v>
      </c>
      <c r="V1816" s="93" t="str">
        <f>+Agencia[[#This Row],[idcoleccion]]&amp;"-"&amp;Agencia[[#This Row],[id]]</f>
        <v>990-1805</v>
      </c>
      <c r="W1816" s="96">
        <v>99200007</v>
      </c>
      <c r="X1816" s="93" t="str">
        <f>+VLOOKUP(Agencia[[#This Row],[tema]],Estructura!$A$4:$C$500,3,0)</f>
        <v>T-1077</v>
      </c>
      <c r="Y1816" s="93" t="str">
        <f>+VLOOKUP(Agencia[[#This Row],[contenido]],Estructura!$E$4:$G$500,3,0)</f>
        <v>C-1025</v>
      </c>
      <c r="Z1816" s="93" t="str">
        <f>+VLOOKUP(Agencia[[#This Row],[Filtro Integrado]],Estructura!$I$4:$K$500,3,0)</f>
        <v>FI-993</v>
      </c>
      <c r="AA1816" s="93" t="str">
        <f>+VLOOKUP(Agencia[[#This Row],[Muestra]],Estructura!$M$4:$O$500,3,0)</f>
        <v>M-1029</v>
      </c>
    </row>
    <row r="1817" spans="1:27" ht="51" x14ac:dyDescent="0.3">
      <c r="A1817" s="21" t="s">
        <v>4946</v>
      </c>
      <c r="B1817" s="71">
        <v>990</v>
      </c>
      <c r="C1817" s="72" t="s">
        <v>400</v>
      </c>
      <c r="D1817" s="72" t="s">
        <v>404</v>
      </c>
      <c r="E1817" s="89">
        <v>8</v>
      </c>
      <c r="F1817" s="72" t="s">
        <v>3983</v>
      </c>
      <c r="G1817" s="73" t="s">
        <v>3911</v>
      </c>
      <c r="H1817" s="79" t="s">
        <v>16</v>
      </c>
      <c r="I1817" s="80" t="s">
        <v>375</v>
      </c>
      <c r="J1817" s="66" t="s">
        <v>403</v>
      </c>
      <c r="K1817" s="71" t="s">
        <v>3983</v>
      </c>
      <c r="L1817" s="86" t="s">
        <v>457</v>
      </c>
      <c r="M1817" s="71" t="s">
        <v>2312</v>
      </c>
      <c r="N1817" s="66" t="s">
        <v>402</v>
      </c>
      <c r="O1817" s="88" t="s">
        <v>4001</v>
      </c>
      <c r="P1817" s="112" t="s">
        <v>5433</v>
      </c>
      <c r="Q1817" s="75" t="s">
        <v>794</v>
      </c>
      <c r="R1817" s="74" t="str">
        <f>Agencia[[#This Row],[territorio]]&amp;",porcentaje,pobreza,extrema,comunal,regional,"&amp;Agencia[[#This Row],[coleccion]]&amp;","&amp;Agencia[[#This Row],[sector]]&amp;","&amp;Agencia[[#This Row],[tema]]&amp;","&amp;Agencia[[#This Row],[contenido]]</f>
        <v>Región del Biobío,porcentaje,pobreza,extrema,comunal,regional,Agencia Información,Socioeconómico,Pobreza Extrema,Pobreza</v>
      </c>
      <c r="S1817" s="84" t="s">
        <v>4002</v>
      </c>
      <c r="T1817" s="110" t="s">
        <v>1858</v>
      </c>
      <c r="U1817" s="46" t="s">
        <v>4711</v>
      </c>
      <c r="V1817" s="93" t="str">
        <f>+Agencia[[#This Row],[idcoleccion]]&amp;"-"&amp;Agencia[[#This Row],[id]]</f>
        <v>990-1806</v>
      </c>
      <c r="W1817" s="96">
        <v>99200008</v>
      </c>
      <c r="X1817" s="93" t="str">
        <f>+VLOOKUP(Agencia[[#This Row],[tema]],Estructura!$A$4:$C$500,3,0)</f>
        <v>T-1077</v>
      </c>
      <c r="Y1817" s="93" t="str">
        <f>+VLOOKUP(Agencia[[#This Row],[contenido]],Estructura!$E$4:$G$500,3,0)</f>
        <v>C-1025</v>
      </c>
      <c r="Z1817" s="93" t="str">
        <f>+VLOOKUP(Agencia[[#This Row],[Filtro Integrado]],Estructura!$I$4:$K$500,3,0)</f>
        <v>FI-993</v>
      </c>
      <c r="AA1817" s="93" t="str">
        <f>+VLOOKUP(Agencia[[#This Row],[Muestra]],Estructura!$M$4:$O$500,3,0)</f>
        <v>M-1029</v>
      </c>
    </row>
    <row r="1818" spans="1:27" ht="51" x14ac:dyDescent="0.3">
      <c r="A1818" s="21" t="s">
        <v>4947</v>
      </c>
      <c r="B1818" s="71">
        <v>990</v>
      </c>
      <c r="C1818" s="72" t="s">
        <v>400</v>
      </c>
      <c r="D1818" s="72" t="s">
        <v>404</v>
      </c>
      <c r="E1818" s="89">
        <v>9</v>
      </c>
      <c r="F1818" s="72" t="s">
        <v>3983</v>
      </c>
      <c r="G1818" s="73" t="s">
        <v>3911</v>
      </c>
      <c r="H1818" s="79" t="s">
        <v>16</v>
      </c>
      <c r="I1818" s="80" t="s">
        <v>376</v>
      </c>
      <c r="J1818" s="66" t="s">
        <v>403</v>
      </c>
      <c r="K1818" s="71" t="s">
        <v>3983</v>
      </c>
      <c r="L1818" s="86" t="s">
        <v>457</v>
      </c>
      <c r="M1818" s="71" t="s">
        <v>2312</v>
      </c>
      <c r="N1818" s="66" t="s">
        <v>402</v>
      </c>
      <c r="O1818" s="88" t="s">
        <v>4003</v>
      </c>
      <c r="P1818" s="112" t="s">
        <v>5434</v>
      </c>
      <c r="Q1818" s="75" t="s">
        <v>794</v>
      </c>
      <c r="R1818" s="74" t="str">
        <f>Agencia[[#This Row],[territorio]]&amp;",porcentaje,pobreza,extrema,comunal,regional,"&amp;Agencia[[#This Row],[coleccion]]&amp;","&amp;Agencia[[#This Row],[sector]]&amp;","&amp;Agencia[[#This Row],[tema]]&amp;","&amp;Agencia[[#This Row],[contenido]]</f>
        <v>Región de La Araucanía,porcentaje,pobreza,extrema,comunal,regional,Agencia Información,Socioeconómico,Pobreza Extrema,Pobreza</v>
      </c>
      <c r="S1818" s="84" t="s">
        <v>4004</v>
      </c>
      <c r="T1818" s="110" t="s">
        <v>1849</v>
      </c>
      <c r="U1818" s="46" t="s">
        <v>4712</v>
      </c>
      <c r="V1818" s="93" t="str">
        <f>+Agencia[[#This Row],[idcoleccion]]&amp;"-"&amp;Agencia[[#This Row],[id]]</f>
        <v>990-1807</v>
      </c>
      <c r="W1818" s="96">
        <v>99200009</v>
      </c>
      <c r="X1818" s="93" t="str">
        <f>+VLOOKUP(Agencia[[#This Row],[tema]],Estructura!$A$4:$C$500,3,0)</f>
        <v>T-1077</v>
      </c>
      <c r="Y1818" s="93" t="str">
        <f>+VLOOKUP(Agencia[[#This Row],[contenido]],Estructura!$E$4:$G$500,3,0)</f>
        <v>C-1025</v>
      </c>
      <c r="Z1818" s="93" t="str">
        <f>+VLOOKUP(Agencia[[#This Row],[Filtro Integrado]],Estructura!$I$4:$K$500,3,0)</f>
        <v>FI-993</v>
      </c>
      <c r="AA1818" s="93" t="str">
        <f>+VLOOKUP(Agencia[[#This Row],[Muestra]],Estructura!$M$4:$O$500,3,0)</f>
        <v>M-1029</v>
      </c>
    </row>
    <row r="1819" spans="1:27" ht="51" x14ac:dyDescent="0.3">
      <c r="A1819" s="21" t="s">
        <v>4948</v>
      </c>
      <c r="B1819" s="71">
        <v>990</v>
      </c>
      <c r="C1819" s="72" t="s">
        <v>400</v>
      </c>
      <c r="D1819" s="72" t="s">
        <v>404</v>
      </c>
      <c r="E1819" s="89">
        <v>10</v>
      </c>
      <c r="F1819" s="72" t="s">
        <v>3983</v>
      </c>
      <c r="G1819" s="73" t="s">
        <v>3911</v>
      </c>
      <c r="H1819" s="79" t="s">
        <v>16</v>
      </c>
      <c r="I1819" s="80" t="s">
        <v>377</v>
      </c>
      <c r="J1819" s="66" t="s">
        <v>403</v>
      </c>
      <c r="K1819" s="71" t="s">
        <v>3983</v>
      </c>
      <c r="L1819" s="86" t="s">
        <v>457</v>
      </c>
      <c r="M1819" s="71" t="s">
        <v>2312</v>
      </c>
      <c r="N1819" s="66" t="s">
        <v>402</v>
      </c>
      <c r="O1819" s="88" t="s">
        <v>4005</v>
      </c>
      <c r="P1819" s="112" t="s">
        <v>5435</v>
      </c>
      <c r="Q1819" s="75" t="s">
        <v>794</v>
      </c>
      <c r="R1819" s="74" t="str">
        <f>Agencia[[#This Row],[territorio]]&amp;",porcentaje,pobreza,extrema,comunal,regional,"&amp;Agencia[[#This Row],[coleccion]]&amp;","&amp;Agencia[[#This Row],[sector]]&amp;","&amp;Agencia[[#This Row],[tema]]&amp;","&amp;Agencia[[#This Row],[contenido]]</f>
        <v>Región de Los Lagos,porcentaje,pobreza,extrema,comunal,regional,Agencia Información,Socioeconómico,Pobreza Extrema,Pobreza</v>
      </c>
      <c r="S1819" s="84" t="s">
        <v>4006</v>
      </c>
      <c r="T1819" s="110" t="s">
        <v>1850</v>
      </c>
      <c r="U1819" s="46" t="s">
        <v>4713</v>
      </c>
      <c r="V1819" s="93" t="str">
        <f>+Agencia[[#This Row],[idcoleccion]]&amp;"-"&amp;Agencia[[#This Row],[id]]</f>
        <v>990-1808</v>
      </c>
      <c r="W1819" s="96">
        <v>99200010</v>
      </c>
      <c r="X1819" s="93" t="str">
        <f>+VLOOKUP(Agencia[[#This Row],[tema]],Estructura!$A$4:$C$500,3,0)</f>
        <v>T-1077</v>
      </c>
      <c r="Y1819" s="93" t="str">
        <f>+VLOOKUP(Agencia[[#This Row],[contenido]],Estructura!$E$4:$G$500,3,0)</f>
        <v>C-1025</v>
      </c>
      <c r="Z1819" s="93" t="str">
        <f>+VLOOKUP(Agencia[[#This Row],[Filtro Integrado]],Estructura!$I$4:$K$500,3,0)</f>
        <v>FI-993</v>
      </c>
      <c r="AA1819" s="93" t="str">
        <f>+VLOOKUP(Agencia[[#This Row],[Muestra]],Estructura!$M$4:$O$500,3,0)</f>
        <v>M-1029</v>
      </c>
    </row>
    <row r="1820" spans="1:27" ht="57.6" x14ac:dyDescent="0.3">
      <c r="A1820" s="21" t="s">
        <v>4949</v>
      </c>
      <c r="B1820" s="71">
        <v>990</v>
      </c>
      <c r="C1820" s="72" t="s">
        <v>400</v>
      </c>
      <c r="D1820" s="72" t="s">
        <v>404</v>
      </c>
      <c r="E1820" s="89">
        <v>11</v>
      </c>
      <c r="F1820" s="72" t="s">
        <v>3983</v>
      </c>
      <c r="G1820" s="73" t="s">
        <v>3911</v>
      </c>
      <c r="H1820" s="79" t="s">
        <v>16</v>
      </c>
      <c r="I1820" s="80" t="s">
        <v>378</v>
      </c>
      <c r="J1820" s="66" t="s">
        <v>403</v>
      </c>
      <c r="K1820" s="71" t="s">
        <v>3983</v>
      </c>
      <c r="L1820" s="86" t="s">
        <v>457</v>
      </c>
      <c r="M1820" s="71" t="s">
        <v>2312</v>
      </c>
      <c r="N1820" s="66" t="s">
        <v>402</v>
      </c>
      <c r="O1820" s="88" t="s">
        <v>4007</v>
      </c>
      <c r="P1820" s="112" t="s">
        <v>5436</v>
      </c>
      <c r="Q1820" s="75" t="s">
        <v>794</v>
      </c>
      <c r="R1820" s="74" t="str">
        <f>Agencia[[#This Row],[territorio]]&amp;",porcentaje,pobreza,extrema,comunal,regional,"&amp;Agencia[[#This Row],[coleccion]]&amp;","&amp;Agencia[[#This Row],[sector]]&amp;","&amp;Agencia[[#This Row],[tema]]&amp;","&amp;Agencia[[#This Row],[contenido]]</f>
        <v>Región de Aysén,porcentaje,pobreza,extrema,comunal,regional,Agencia Información,Socioeconómico,Pobreza Extrema,Pobreza</v>
      </c>
      <c r="S1820" s="83" t="s">
        <v>4008</v>
      </c>
      <c r="T1820" s="110" t="s">
        <v>1847</v>
      </c>
      <c r="U1820" s="46" t="s">
        <v>4714</v>
      </c>
      <c r="V1820" s="93" t="str">
        <f>+Agencia[[#This Row],[idcoleccion]]&amp;"-"&amp;Agencia[[#This Row],[id]]</f>
        <v>990-1809</v>
      </c>
      <c r="W1820" s="96">
        <v>99200011</v>
      </c>
      <c r="X1820" s="93" t="str">
        <f>+VLOOKUP(Agencia[[#This Row],[tema]],Estructura!$A$4:$C$500,3,0)</f>
        <v>T-1077</v>
      </c>
      <c r="Y1820" s="93" t="str">
        <f>+VLOOKUP(Agencia[[#This Row],[contenido]],Estructura!$E$4:$G$500,3,0)</f>
        <v>C-1025</v>
      </c>
      <c r="Z1820" s="93" t="str">
        <f>+VLOOKUP(Agencia[[#This Row],[Filtro Integrado]],Estructura!$I$4:$K$500,3,0)</f>
        <v>FI-993</v>
      </c>
      <c r="AA1820" s="93" t="str">
        <f>+VLOOKUP(Agencia[[#This Row],[Muestra]],Estructura!$M$4:$O$500,3,0)</f>
        <v>M-1029</v>
      </c>
    </row>
    <row r="1821" spans="1:27" ht="51" x14ac:dyDescent="0.3">
      <c r="A1821" s="21" t="s">
        <v>4950</v>
      </c>
      <c r="B1821" s="71">
        <v>990</v>
      </c>
      <c r="C1821" s="72" t="s">
        <v>400</v>
      </c>
      <c r="D1821" s="72" t="s">
        <v>404</v>
      </c>
      <c r="E1821" s="89">
        <v>12</v>
      </c>
      <c r="F1821" s="72" t="s">
        <v>3983</v>
      </c>
      <c r="G1821" s="73" t="s">
        <v>3911</v>
      </c>
      <c r="H1821" s="79" t="s">
        <v>16</v>
      </c>
      <c r="I1821" s="80" t="s">
        <v>379</v>
      </c>
      <c r="J1821" s="66" t="s">
        <v>403</v>
      </c>
      <c r="K1821" s="71" t="s">
        <v>3983</v>
      </c>
      <c r="L1821" s="86" t="s">
        <v>457</v>
      </c>
      <c r="M1821" s="71" t="s">
        <v>2312</v>
      </c>
      <c r="N1821" s="66" t="s">
        <v>402</v>
      </c>
      <c r="O1821" s="88" t="s">
        <v>4009</v>
      </c>
      <c r="P1821" s="112" t="s">
        <v>5437</v>
      </c>
      <c r="Q1821" s="75" t="s">
        <v>794</v>
      </c>
      <c r="R1821" s="74" t="str">
        <f>Agencia[[#This Row],[territorio]]&amp;",porcentaje,pobreza,extrema,comunal,regional,"&amp;Agencia[[#This Row],[coleccion]]&amp;","&amp;Agencia[[#This Row],[sector]]&amp;","&amp;Agencia[[#This Row],[tema]]&amp;","&amp;Agencia[[#This Row],[contenido]]</f>
        <v>Región de Magallanes,porcentaje,pobreza,extrema,comunal,regional,Agencia Información,Socioeconómico,Pobreza Extrema,Pobreza</v>
      </c>
      <c r="S1821" s="84" t="s">
        <v>4010</v>
      </c>
      <c r="T1821" s="110" t="s">
        <v>1852</v>
      </c>
      <c r="U1821" s="46" t="s">
        <v>4715</v>
      </c>
      <c r="V1821" s="93" t="str">
        <f>+Agencia[[#This Row],[idcoleccion]]&amp;"-"&amp;Agencia[[#This Row],[id]]</f>
        <v>990-1810</v>
      </c>
      <c r="W1821" s="96">
        <v>99200012</v>
      </c>
      <c r="X1821" s="93" t="str">
        <f>+VLOOKUP(Agencia[[#This Row],[tema]],Estructura!$A$4:$C$500,3,0)</f>
        <v>T-1077</v>
      </c>
      <c r="Y1821" s="93" t="str">
        <f>+VLOOKUP(Agencia[[#This Row],[contenido]],Estructura!$E$4:$G$500,3,0)</f>
        <v>C-1025</v>
      </c>
      <c r="Z1821" s="93" t="str">
        <f>+VLOOKUP(Agencia[[#This Row],[Filtro Integrado]],Estructura!$I$4:$K$500,3,0)</f>
        <v>FI-993</v>
      </c>
      <c r="AA1821" s="93" t="str">
        <f>+VLOOKUP(Agencia[[#This Row],[Muestra]],Estructura!$M$4:$O$500,3,0)</f>
        <v>M-1029</v>
      </c>
    </row>
    <row r="1822" spans="1:27" ht="51" x14ac:dyDescent="0.3">
      <c r="A1822" s="21" t="s">
        <v>4951</v>
      </c>
      <c r="B1822" s="71">
        <v>990</v>
      </c>
      <c r="C1822" s="72" t="s">
        <v>400</v>
      </c>
      <c r="D1822" s="72" t="s">
        <v>404</v>
      </c>
      <c r="E1822" s="89">
        <v>13</v>
      </c>
      <c r="F1822" s="72" t="s">
        <v>3983</v>
      </c>
      <c r="G1822" s="73" t="s">
        <v>3911</v>
      </c>
      <c r="H1822" s="79" t="s">
        <v>16</v>
      </c>
      <c r="I1822" s="80" t="s">
        <v>380</v>
      </c>
      <c r="J1822" s="66" t="s">
        <v>403</v>
      </c>
      <c r="K1822" s="71" t="s">
        <v>3983</v>
      </c>
      <c r="L1822" s="86" t="s">
        <v>457</v>
      </c>
      <c r="M1822" s="71" t="s">
        <v>2312</v>
      </c>
      <c r="N1822" s="66" t="s">
        <v>402</v>
      </c>
      <c r="O1822" s="88" t="s">
        <v>4011</v>
      </c>
      <c r="P1822" s="112" t="s">
        <v>5438</v>
      </c>
      <c r="Q1822" s="75" t="s">
        <v>794</v>
      </c>
      <c r="R1822" s="74" t="str">
        <f>Agencia[[#This Row],[territorio]]&amp;",porcentaje,pobreza,extrema,comunal,regional,"&amp;Agencia[[#This Row],[coleccion]]&amp;","&amp;Agencia[[#This Row],[sector]]&amp;","&amp;Agencia[[#This Row],[tema]]&amp;","&amp;Agencia[[#This Row],[contenido]]</f>
        <v>Región Metropolitana,porcentaje,pobreza,extrema,comunal,regional,Agencia Información,Socioeconómico,Pobreza Extrema,Pobreza</v>
      </c>
      <c r="S1822" s="84" t="s">
        <v>4012</v>
      </c>
      <c r="T1822" s="110" t="s">
        <v>1859</v>
      </c>
      <c r="U1822" s="46" t="s">
        <v>4716</v>
      </c>
      <c r="V1822" s="93" t="str">
        <f>+Agencia[[#This Row],[idcoleccion]]&amp;"-"&amp;Agencia[[#This Row],[id]]</f>
        <v>990-1811</v>
      </c>
      <c r="W1822" s="96">
        <v>99200013</v>
      </c>
      <c r="X1822" s="93" t="str">
        <f>+VLOOKUP(Agencia[[#This Row],[tema]],Estructura!$A$4:$C$500,3,0)</f>
        <v>T-1077</v>
      </c>
      <c r="Y1822" s="93" t="str">
        <f>+VLOOKUP(Agencia[[#This Row],[contenido]],Estructura!$E$4:$G$500,3,0)</f>
        <v>C-1025</v>
      </c>
      <c r="Z1822" s="93" t="str">
        <f>+VLOOKUP(Agencia[[#This Row],[Filtro Integrado]],Estructura!$I$4:$K$500,3,0)</f>
        <v>FI-993</v>
      </c>
      <c r="AA1822" s="93" t="str">
        <f>+VLOOKUP(Agencia[[#This Row],[Muestra]],Estructura!$M$4:$O$500,3,0)</f>
        <v>M-1029</v>
      </c>
    </row>
    <row r="1823" spans="1:27" ht="40.799999999999997" x14ac:dyDescent="0.3">
      <c r="A1823" s="21" t="s">
        <v>4952</v>
      </c>
      <c r="B1823" s="71">
        <v>990</v>
      </c>
      <c r="C1823" s="72" t="s">
        <v>400</v>
      </c>
      <c r="D1823" s="72" t="s">
        <v>404</v>
      </c>
      <c r="E1823" s="89">
        <v>14</v>
      </c>
      <c r="F1823" s="72" t="s">
        <v>3983</v>
      </c>
      <c r="G1823" s="73" t="s">
        <v>3911</v>
      </c>
      <c r="H1823" s="79" t="s">
        <v>16</v>
      </c>
      <c r="I1823" s="80" t="s">
        <v>381</v>
      </c>
      <c r="J1823" s="66" t="s">
        <v>403</v>
      </c>
      <c r="K1823" s="71" t="s">
        <v>3983</v>
      </c>
      <c r="L1823" s="86" t="s">
        <v>457</v>
      </c>
      <c r="M1823" s="71" t="s">
        <v>2312</v>
      </c>
      <c r="N1823" s="66" t="s">
        <v>402</v>
      </c>
      <c r="O1823" s="88" t="s">
        <v>4013</v>
      </c>
      <c r="P1823" s="112" t="s">
        <v>5439</v>
      </c>
      <c r="Q1823" s="75" t="s">
        <v>794</v>
      </c>
      <c r="R1823" s="74" t="str">
        <f>Agencia[[#This Row],[territorio]]&amp;",porcentaje,pobreza,extrema,comunal,regional,"&amp;Agencia[[#This Row],[coleccion]]&amp;","&amp;Agencia[[#This Row],[sector]]&amp;","&amp;Agencia[[#This Row],[tema]]&amp;","&amp;Agencia[[#This Row],[contenido]]</f>
        <v>Región de Los Ríos,porcentaje,pobreza,extrema,comunal,regional,Agencia Información,Socioeconómico,Pobreza Extrema,Pobreza</v>
      </c>
      <c r="S1823" s="84" t="s">
        <v>4014</v>
      </c>
      <c r="T1823" s="110" t="s">
        <v>1851</v>
      </c>
      <c r="U1823" s="46" t="s">
        <v>4717</v>
      </c>
      <c r="V1823" s="93" t="str">
        <f>+Agencia[[#This Row],[idcoleccion]]&amp;"-"&amp;Agencia[[#This Row],[id]]</f>
        <v>990-1812</v>
      </c>
      <c r="W1823" s="96">
        <v>99200014</v>
      </c>
      <c r="X1823" s="93" t="str">
        <f>+VLOOKUP(Agencia[[#This Row],[tema]],Estructura!$A$4:$C$500,3,0)</f>
        <v>T-1077</v>
      </c>
      <c r="Y1823" s="93" t="str">
        <f>+VLOOKUP(Agencia[[#This Row],[contenido]],Estructura!$E$4:$G$500,3,0)</f>
        <v>C-1025</v>
      </c>
      <c r="Z1823" s="93" t="str">
        <f>+VLOOKUP(Agencia[[#This Row],[Filtro Integrado]],Estructura!$I$4:$K$500,3,0)</f>
        <v>FI-993</v>
      </c>
      <c r="AA1823" s="93" t="str">
        <f>+VLOOKUP(Agencia[[#This Row],[Muestra]],Estructura!$M$4:$O$500,3,0)</f>
        <v>M-1029</v>
      </c>
    </row>
    <row r="1824" spans="1:27" ht="51" x14ac:dyDescent="0.3">
      <c r="A1824" s="21" t="s">
        <v>4953</v>
      </c>
      <c r="B1824" s="71">
        <v>990</v>
      </c>
      <c r="C1824" s="72" t="s">
        <v>400</v>
      </c>
      <c r="D1824" s="72" t="s">
        <v>404</v>
      </c>
      <c r="E1824" s="89">
        <v>15</v>
      </c>
      <c r="F1824" s="72" t="s">
        <v>3983</v>
      </c>
      <c r="G1824" s="73" t="s">
        <v>3911</v>
      </c>
      <c r="H1824" s="79" t="s">
        <v>16</v>
      </c>
      <c r="I1824" s="80" t="s">
        <v>382</v>
      </c>
      <c r="J1824" s="66" t="s">
        <v>403</v>
      </c>
      <c r="K1824" s="71" t="s">
        <v>3983</v>
      </c>
      <c r="L1824" s="86" t="s">
        <v>457</v>
      </c>
      <c r="M1824" s="71" t="s">
        <v>2312</v>
      </c>
      <c r="N1824" s="66" t="s">
        <v>402</v>
      </c>
      <c r="O1824" s="88" t="s">
        <v>4015</v>
      </c>
      <c r="P1824" s="112" t="s">
        <v>5440</v>
      </c>
      <c r="Q1824" s="75" t="s">
        <v>794</v>
      </c>
      <c r="R1824" s="74" t="str">
        <f>Agencia[[#This Row],[territorio]]&amp;",porcentaje,pobreza,extrema,comunal,regional,"&amp;Agencia[[#This Row],[coleccion]]&amp;","&amp;Agencia[[#This Row],[sector]]&amp;","&amp;Agencia[[#This Row],[tema]]&amp;","&amp;Agencia[[#This Row],[contenido]]</f>
        <v>Región de Arica y Parinacota,porcentaje,pobreza,extrema,comunal,regional,Agencia Información,Socioeconómico,Pobreza Extrema,Pobreza</v>
      </c>
      <c r="S1824" s="84" t="s">
        <v>4016</v>
      </c>
      <c r="T1824" s="110" t="s">
        <v>1845</v>
      </c>
      <c r="U1824" s="46" t="s">
        <v>4718</v>
      </c>
      <c r="V1824" s="93" t="str">
        <f>+Agencia[[#This Row],[idcoleccion]]&amp;"-"&amp;Agencia[[#This Row],[id]]</f>
        <v>990-1813</v>
      </c>
      <c r="W1824" s="96">
        <v>99200015</v>
      </c>
      <c r="X1824" s="93" t="str">
        <f>+VLOOKUP(Agencia[[#This Row],[tema]],Estructura!$A$4:$C$500,3,0)</f>
        <v>T-1077</v>
      </c>
      <c r="Y1824" s="93" t="str">
        <f>+VLOOKUP(Agencia[[#This Row],[contenido]],Estructura!$E$4:$G$500,3,0)</f>
        <v>C-1025</v>
      </c>
      <c r="Z1824" s="93" t="str">
        <f>+VLOOKUP(Agencia[[#This Row],[Filtro Integrado]],Estructura!$I$4:$K$500,3,0)</f>
        <v>FI-993</v>
      </c>
      <c r="AA1824" s="93" t="str">
        <f>+VLOOKUP(Agencia[[#This Row],[Muestra]],Estructura!$M$4:$O$500,3,0)</f>
        <v>M-1029</v>
      </c>
    </row>
    <row r="1825" spans="1:27" ht="51" x14ac:dyDescent="0.3">
      <c r="A1825" s="21" t="s">
        <v>4954</v>
      </c>
      <c r="B1825" s="71">
        <v>990</v>
      </c>
      <c r="C1825" s="72" t="s">
        <v>400</v>
      </c>
      <c r="D1825" s="72" t="s">
        <v>404</v>
      </c>
      <c r="E1825" s="89">
        <v>16</v>
      </c>
      <c r="F1825" s="72" t="s">
        <v>3983</v>
      </c>
      <c r="G1825" s="73" t="s">
        <v>3911</v>
      </c>
      <c r="H1825" s="79" t="s">
        <v>16</v>
      </c>
      <c r="I1825" s="80" t="s">
        <v>383</v>
      </c>
      <c r="J1825" s="66" t="s">
        <v>403</v>
      </c>
      <c r="K1825" s="71" t="s">
        <v>3983</v>
      </c>
      <c r="L1825" s="86" t="s">
        <v>457</v>
      </c>
      <c r="M1825" s="71" t="s">
        <v>2312</v>
      </c>
      <c r="N1825" s="66" t="s">
        <v>402</v>
      </c>
      <c r="O1825" s="88" t="s">
        <v>4017</v>
      </c>
      <c r="P1825" s="112" t="s">
        <v>5441</v>
      </c>
      <c r="Q1825" s="75" t="s">
        <v>794</v>
      </c>
      <c r="R1825" s="74" t="str">
        <f>Agencia[[#This Row],[territorio]]&amp;",porcentaje,pobreza,extrema,comunal,regional,"&amp;Agencia[[#This Row],[coleccion]]&amp;","&amp;Agencia[[#This Row],[sector]]&amp;","&amp;Agencia[[#This Row],[tema]]&amp;","&amp;Agencia[[#This Row],[contenido]]</f>
        <v>Región de Ñuble,porcentaje,pobreza,extrema,comunal,regional,Agencia Información,Socioeconómico,Pobreza Extrema,Pobreza</v>
      </c>
      <c r="S1825" s="84" t="s">
        <v>4018</v>
      </c>
      <c r="T1825" s="109" t="s">
        <v>1854</v>
      </c>
      <c r="U1825" s="46" t="s">
        <v>4719</v>
      </c>
      <c r="V1825" s="93" t="str">
        <f>+Agencia[[#This Row],[idcoleccion]]&amp;"-"&amp;Agencia[[#This Row],[id]]</f>
        <v>990-1814</v>
      </c>
      <c r="W1825" s="96">
        <v>99200016</v>
      </c>
      <c r="X1825" s="93" t="str">
        <f>+VLOOKUP(Agencia[[#This Row],[tema]],Estructura!$A$4:$C$500,3,0)</f>
        <v>T-1077</v>
      </c>
      <c r="Y1825" s="93" t="str">
        <f>+VLOOKUP(Agencia[[#This Row],[contenido]],Estructura!$E$4:$G$500,3,0)</f>
        <v>C-1025</v>
      </c>
      <c r="Z1825" s="93" t="str">
        <f>+VLOOKUP(Agencia[[#This Row],[Filtro Integrado]],Estructura!$I$4:$K$500,3,0)</f>
        <v>FI-993</v>
      </c>
      <c r="AA1825" s="93" t="str">
        <f>+VLOOKUP(Agencia[[#This Row],[Muestra]],Estructura!$M$4:$O$500,3,0)</f>
        <v>M-1029</v>
      </c>
    </row>
    <row r="1826" spans="1:27" ht="72" x14ac:dyDescent="0.3">
      <c r="A1826" s="21" t="s">
        <v>4955</v>
      </c>
      <c r="B1826" s="71">
        <v>990</v>
      </c>
      <c r="C1826" s="72" t="s">
        <v>400</v>
      </c>
      <c r="D1826" s="72" t="s">
        <v>785</v>
      </c>
      <c r="E1826" s="90">
        <v>0</v>
      </c>
      <c r="F1826" s="72" t="s">
        <v>5162</v>
      </c>
      <c r="G1826" s="73" t="s">
        <v>4019</v>
      </c>
      <c r="H1826" s="77" t="s">
        <v>20</v>
      </c>
      <c r="I1826" s="78" t="s">
        <v>15</v>
      </c>
      <c r="J1826" s="71" t="s">
        <v>403</v>
      </c>
      <c r="K1826" s="71" t="s">
        <v>5162</v>
      </c>
      <c r="L1826" s="71" t="s">
        <v>4020</v>
      </c>
      <c r="M1826" s="86" t="s">
        <v>4021</v>
      </c>
      <c r="N1826" s="71" t="s">
        <v>4022</v>
      </c>
      <c r="O1826" s="74" t="s">
        <v>4023</v>
      </c>
      <c r="P1826" s="113" t="s">
        <v>6963</v>
      </c>
      <c r="Q1826" s="75" t="s">
        <v>590</v>
      </c>
      <c r="R1826" s="74" t="str">
        <f>Agencia[[#This Row],[territorio]]&amp;",protección,restitución,derechos,evolución,ingresos,egresos,niños,niñas,adolescentes,NNA,sename,protección,menores,nacional,variación,"&amp;Agencia[[#This Row],[coleccion]]&amp;","&amp;Agencia[[#This Row],[sector]]&amp;","&amp;Agencia[[#This Row],[tema]]&amp;","&amp;Agencia[[#This Row],[contenido]]</f>
        <v>Chile,protección,restitución,derechos,evolución,ingresos,egresos,niños,niñas,adolescentes,NNA,sename,protección,menores,nacional,variación,Agencia Información,Social,Ingresos y Egresos de NNA,Protección de Menores</v>
      </c>
      <c r="S1826" s="138" t="s">
        <v>4024</v>
      </c>
      <c r="T1826" s="109">
        <v>0</v>
      </c>
      <c r="U1826" s="46" t="s">
        <v>4720</v>
      </c>
      <c r="V1826" s="93" t="str">
        <f>+Agencia[[#This Row],[idcoleccion]]&amp;"-"&amp;Agencia[[#This Row],[id]]</f>
        <v>990-1815</v>
      </c>
      <c r="W1826" s="96">
        <v>99100000</v>
      </c>
      <c r="X1826" s="93" t="str">
        <f>+VLOOKUP(Agencia[[#This Row],[tema]],Estructura!$A$4:$C$500,3,0)</f>
        <v>T-1091</v>
      </c>
      <c r="Y1826" s="93" t="str">
        <f>+VLOOKUP(Agencia[[#This Row],[contenido]],Estructura!$E$4:$G$500,3,0)</f>
        <v>C-1026</v>
      </c>
      <c r="Z1826" s="93" t="str">
        <f>+VLOOKUP(Agencia[[#This Row],[Filtro Integrado]],Estructura!$I$4:$K$500,3,0)</f>
        <v>FI-993</v>
      </c>
      <c r="AA1826" s="93" t="str">
        <f>+VLOOKUP(Agencia[[#This Row],[Muestra]],Estructura!$M$4:$O$500,3,0)</f>
        <v>M-1112</v>
      </c>
    </row>
    <row r="1827" spans="1:27" ht="72" x14ac:dyDescent="0.3">
      <c r="A1827" s="21" t="s">
        <v>4956</v>
      </c>
      <c r="B1827" s="71">
        <v>990</v>
      </c>
      <c r="C1827" s="72" t="s">
        <v>400</v>
      </c>
      <c r="D1827" s="72" t="s">
        <v>785</v>
      </c>
      <c r="E1827" s="90">
        <v>0</v>
      </c>
      <c r="F1827" s="72" t="s">
        <v>5162</v>
      </c>
      <c r="G1827" s="73" t="s">
        <v>4019</v>
      </c>
      <c r="H1827" s="77" t="s">
        <v>20</v>
      </c>
      <c r="I1827" s="78" t="s">
        <v>15</v>
      </c>
      <c r="J1827" s="71" t="s">
        <v>6965</v>
      </c>
      <c r="K1827" s="136" t="s">
        <v>5162</v>
      </c>
      <c r="L1827" s="71" t="s">
        <v>827</v>
      </c>
      <c r="M1827" s="86" t="s">
        <v>4025</v>
      </c>
      <c r="N1827" s="71" t="s">
        <v>4022</v>
      </c>
      <c r="O1827" s="74" t="s">
        <v>4026</v>
      </c>
      <c r="P1827" s="113" t="s">
        <v>6964</v>
      </c>
      <c r="Q1827" s="75" t="s">
        <v>590</v>
      </c>
      <c r="R1827" s="74" t="str">
        <f>Agencia[[#This Row],[territorio]]&amp;",protección,restitución,derechos,sename,menores,ingresos,egresos,niños,niñas,adolescentes,NNA,línea de atención,ambulatoria,diagnóstico,cuidado alternativo,nacional,"&amp;Agencia[[#This Row],[coleccion]]&amp;","&amp;Agencia[[#This Row],[sector]]&amp;","&amp;Agencia[[#This Row],[tema]]&amp;","&amp;Agencia[[#This Row],[contenido]]</f>
        <v>Chile,protección,restitución,derechos,sename,menores,ingresos,egresos,niños,niñas,adolescentes,NNA,línea de atención,ambulatoria,diagnóstico,cuidado alternativo,nacional,Agencia Información,Social,Ingresos y Egresos de NNA,Protección de Menores</v>
      </c>
      <c r="S1827" s="138" t="s">
        <v>4027</v>
      </c>
      <c r="T1827" s="109">
        <v>0</v>
      </c>
      <c r="U1827" s="46" t="s">
        <v>4721</v>
      </c>
      <c r="V1827" s="93" t="str">
        <f>+Agencia[[#This Row],[idcoleccion]]&amp;"-"&amp;Agencia[[#This Row],[id]]</f>
        <v>990-1816</v>
      </c>
      <c r="W1827" s="96">
        <v>99100000</v>
      </c>
      <c r="X1827" s="93" t="str">
        <f>+VLOOKUP(Agencia[[#This Row],[tema]],Estructura!$A$4:$C$500,3,0)</f>
        <v>T-1091</v>
      </c>
      <c r="Y1827" s="93" t="str">
        <f>+VLOOKUP(Agencia[[#This Row],[contenido]],Estructura!$E$4:$G$500,3,0)</f>
        <v>C-1026</v>
      </c>
      <c r="Z1827" s="93" t="str">
        <f>+VLOOKUP(Agencia[[#This Row],[Filtro Integrado]],Estructura!$I$4:$K$500,3,0)</f>
        <v>FI-1010</v>
      </c>
      <c r="AA1827" s="93" t="str">
        <f>+VLOOKUP(Agencia[[#This Row],[Muestra]],Estructura!$M$4:$O$500,3,0)</f>
        <v>M-1112</v>
      </c>
    </row>
    <row r="1828" spans="1:27" ht="72" x14ac:dyDescent="0.3">
      <c r="A1828" s="21" t="s">
        <v>4957</v>
      </c>
      <c r="B1828" s="71">
        <v>990</v>
      </c>
      <c r="C1828" s="72" t="s">
        <v>400</v>
      </c>
      <c r="D1828" s="72" t="s">
        <v>785</v>
      </c>
      <c r="E1828" s="90">
        <v>0</v>
      </c>
      <c r="F1828" s="72" t="s">
        <v>5162</v>
      </c>
      <c r="G1828" s="73" t="s">
        <v>4019</v>
      </c>
      <c r="H1828" s="77" t="s">
        <v>20</v>
      </c>
      <c r="I1828" s="78" t="s">
        <v>15</v>
      </c>
      <c r="J1828" s="71" t="s">
        <v>6965</v>
      </c>
      <c r="K1828" s="136" t="s">
        <v>5162</v>
      </c>
      <c r="L1828" s="71" t="s">
        <v>827</v>
      </c>
      <c r="M1828" s="86" t="s">
        <v>4025</v>
      </c>
      <c r="N1828" s="71" t="s">
        <v>4022</v>
      </c>
      <c r="O1828" s="74" t="s">
        <v>4028</v>
      </c>
      <c r="P1828" s="113" t="s">
        <v>4029</v>
      </c>
      <c r="Q1828" s="75" t="s">
        <v>590</v>
      </c>
      <c r="R1828" s="74" t="str">
        <f>Agencia[[#This Row],[territorio]]&amp;",protección,restitución,derechos,sename,protección,menores,ingresos,egresos,niños,niñas,adolescentes,NNA,regional,"&amp;Agencia[[#This Row],[coleccion]]&amp;","&amp;Agencia[[#This Row],[sector]]&amp;","&amp;Agencia[[#This Row],[tema]]&amp;","&amp;Agencia[[#This Row],[contenido]]</f>
        <v>Chile,protección,restitución,derechos,sename,protección,menores,ingresos,egresos,niños,niñas,adolescentes,NNA,regional,Agencia Información,Social,Ingresos y Egresos de NNA,Protección de Menores</v>
      </c>
      <c r="S1828" s="138" t="s">
        <v>4030</v>
      </c>
      <c r="T1828" s="109">
        <v>0</v>
      </c>
      <c r="U1828" s="46" t="s">
        <v>4722</v>
      </c>
      <c r="V1828" s="93" t="str">
        <f>+Agencia[[#This Row],[idcoleccion]]&amp;"-"&amp;Agencia[[#This Row],[id]]</f>
        <v>990-1817</v>
      </c>
      <c r="W1828" s="96">
        <v>99100000</v>
      </c>
      <c r="X1828" s="93" t="str">
        <f>+VLOOKUP(Agencia[[#This Row],[tema]],Estructura!$A$4:$C$500,3,0)</f>
        <v>T-1091</v>
      </c>
      <c r="Y1828" s="93" t="str">
        <f>+VLOOKUP(Agencia[[#This Row],[contenido]],Estructura!$E$4:$G$500,3,0)</f>
        <v>C-1026</v>
      </c>
      <c r="Z1828" s="93" t="str">
        <f>+VLOOKUP(Agencia[[#This Row],[Filtro Integrado]],Estructura!$I$4:$K$500,3,0)</f>
        <v>FI-1010</v>
      </c>
      <c r="AA1828" s="93" t="str">
        <f>+VLOOKUP(Agencia[[#This Row],[Muestra]],Estructura!$M$4:$O$500,3,0)</f>
        <v>M-1112</v>
      </c>
    </row>
    <row r="1829" spans="1:27" ht="61.2" x14ac:dyDescent="0.3">
      <c r="A1829" s="21" t="s">
        <v>4958</v>
      </c>
      <c r="B1829" s="71">
        <v>990</v>
      </c>
      <c r="C1829" s="72" t="s">
        <v>400</v>
      </c>
      <c r="D1829" s="72" t="s">
        <v>2250</v>
      </c>
      <c r="E1829" s="90">
        <v>0</v>
      </c>
      <c r="F1829" s="72" t="s">
        <v>4031</v>
      </c>
      <c r="G1829" s="73" t="s">
        <v>1909</v>
      </c>
      <c r="H1829" s="77" t="s">
        <v>20</v>
      </c>
      <c r="I1829" s="78" t="s">
        <v>15</v>
      </c>
      <c r="J1829" s="71" t="s">
        <v>16</v>
      </c>
      <c r="K1829" s="136" t="s">
        <v>4031</v>
      </c>
      <c r="L1829" s="71" t="s">
        <v>1911</v>
      </c>
      <c r="M1829" s="71" t="s">
        <v>4032</v>
      </c>
      <c r="N1829" s="71" t="s">
        <v>428</v>
      </c>
      <c r="O1829" s="74" t="s">
        <v>4033</v>
      </c>
      <c r="P1829" s="113" t="s">
        <v>4034</v>
      </c>
      <c r="Q1829" s="75" t="s">
        <v>784</v>
      </c>
      <c r="R1829" s="74" t="str">
        <f>Agencia[[#This Row],[territorio]]&amp;",gobiernos,locales,catastro,predio,municipal,municipio,no agrícola,habitacional,"&amp;Agencia[[#This Row],[coleccion]]&amp;","&amp;Agencia[[#This Row],[sector]]&amp;","&amp;Agencia[[#This Row],[tema]]&amp;","&amp;Agencia[[#This Row],[contenido]]</f>
        <v>Chile,gobiernos,locales,catastro,predio,municipal,municipio,no agrícola,habitacional,Agencia Información,Gobiernos Locales,Predios No Agrícolas Habitacionales,Gestión Municipal Territorial</v>
      </c>
      <c r="S1829" s="81" t="s">
        <v>4035</v>
      </c>
      <c r="T1829" s="109" t="s">
        <v>957</v>
      </c>
      <c r="U1829" s="46" t="s">
        <v>4723</v>
      </c>
      <c r="V1829" s="93" t="str">
        <f>+Agencia[[#This Row],[idcoleccion]]&amp;"-"&amp;Agencia[[#This Row],[id]]</f>
        <v>990-1818</v>
      </c>
      <c r="W1829" s="96">
        <v>99100000</v>
      </c>
      <c r="X1829" s="93" t="str">
        <f>+VLOOKUP(Agencia[[#This Row],[tema]],Estructura!$A$4:$C$500,3,0)</f>
        <v>T-1078</v>
      </c>
      <c r="Y1829" s="93" t="str">
        <f>+VLOOKUP(Agencia[[#This Row],[contenido]],Estructura!$E$4:$G$500,3,0)</f>
        <v>C-1015</v>
      </c>
      <c r="Z1829" s="93" t="str">
        <f>+VLOOKUP(Agencia[[#This Row],[Filtro Integrado]],Estructura!$I$4:$K$500,3,0)</f>
        <v>FI-992</v>
      </c>
      <c r="AA1829" s="93" t="str">
        <f>+VLOOKUP(Agencia[[#This Row],[Muestra]],Estructura!$M$4:$O$500,3,0)</f>
        <v>M-1113</v>
      </c>
    </row>
    <row r="1830" spans="1:27" ht="71.400000000000006" x14ac:dyDescent="0.3">
      <c r="A1830" s="21" t="s">
        <v>4959</v>
      </c>
      <c r="B1830" s="66">
        <v>990</v>
      </c>
      <c r="C1830" s="67" t="s">
        <v>400</v>
      </c>
      <c r="D1830" s="67" t="s">
        <v>2250</v>
      </c>
      <c r="E1830" s="89">
        <v>1</v>
      </c>
      <c r="F1830" s="72" t="s">
        <v>4031</v>
      </c>
      <c r="G1830" s="73" t="s">
        <v>1909</v>
      </c>
      <c r="H1830" s="79" t="s">
        <v>16</v>
      </c>
      <c r="I1830" s="80" t="s">
        <v>368</v>
      </c>
      <c r="J1830" s="66" t="s">
        <v>403</v>
      </c>
      <c r="K1830" s="136" t="s">
        <v>4031</v>
      </c>
      <c r="L1830" s="71" t="s">
        <v>1911</v>
      </c>
      <c r="M1830" s="71" t="s">
        <v>4032</v>
      </c>
      <c r="N1830" s="71" t="s">
        <v>428</v>
      </c>
      <c r="O1830" s="74" t="s">
        <v>4036</v>
      </c>
      <c r="P1830" s="112" t="s">
        <v>6456</v>
      </c>
      <c r="Q1830" s="68" t="s">
        <v>784</v>
      </c>
      <c r="R1830" s="74" t="str">
        <f>Agencia[[#This Row],[territorio]]&amp;",gobiernos,locales,catastro,predio,municipal,municipio,no agrícola,habitacional,"&amp;Agencia[[#This Row],[coleccion]]&amp;","&amp;Agencia[[#This Row],[sector]]&amp;","&amp;Agencia[[#This Row],[tema]]&amp;","&amp;Agencia[[#This Row],[contenido]]</f>
        <v>Región de Tarapacá,gobiernos,locales,catastro,predio,municipal,municipio,no agrícola,habitacional,Agencia Información,Gobiernos Locales,Predios No Agrícolas Habitacionales,Gestión Municipal Territorial</v>
      </c>
      <c r="S1830" s="87" t="s">
        <v>4037</v>
      </c>
      <c r="T1830" s="110" t="s">
        <v>1856</v>
      </c>
      <c r="U1830" s="46" t="s">
        <v>4724</v>
      </c>
      <c r="V1830" s="93" t="str">
        <f>+Agencia[[#This Row],[idcoleccion]]&amp;"-"&amp;Agencia[[#This Row],[id]]</f>
        <v>990-1819</v>
      </c>
      <c r="W1830" s="96">
        <v>99200001</v>
      </c>
      <c r="X1830" s="93" t="str">
        <f>+VLOOKUP(Agencia[[#This Row],[tema]],Estructura!$A$4:$C$500,3,0)</f>
        <v>T-1078</v>
      </c>
      <c r="Y1830" s="93" t="str">
        <f>+VLOOKUP(Agencia[[#This Row],[contenido]],Estructura!$E$4:$G$500,3,0)</f>
        <v>C-1015</v>
      </c>
      <c r="Z1830" s="93" t="str">
        <f>+VLOOKUP(Agencia[[#This Row],[Filtro Integrado]],Estructura!$I$4:$K$500,3,0)</f>
        <v>FI-993</v>
      </c>
      <c r="AA1830" s="93" t="str">
        <f>+VLOOKUP(Agencia[[#This Row],[Muestra]],Estructura!$M$4:$O$500,3,0)</f>
        <v>M-1113</v>
      </c>
    </row>
    <row r="1831" spans="1:27" ht="71.400000000000006" x14ac:dyDescent="0.3">
      <c r="A1831" s="21" t="s">
        <v>4960</v>
      </c>
      <c r="B1831" s="66">
        <v>990</v>
      </c>
      <c r="C1831" s="67" t="s">
        <v>400</v>
      </c>
      <c r="D1831" s="67" t="s">
        <v>2250</v>
      </c>
      <c r="E1831" s="89">
        <v>2</v>
      </c>
      <c r="F1831" s="72" t="s">
        <v>4031</v>
      </c>
      <c r="G1831" s="73" t="s">
        <v>1909</v>
      </c>
      <c r="H1831" s="79" t="s">
        <v>16</v>
      </c>
      <c r="I1831" s="80" t="s">
        <v>369</v>
      </c>
      <c r="J1831" s="66" t="s">
        <v>403</v>
      </c>
      <c r="K1831" s="136" t="s">
        <v>4031</v>
      </c>
      <c r="L1831" s="71" t="s">
        <v>1911</v>
      </c>
      <c r="M1831" s="71" t="s">
        <v>4032</v>
      </c>
      <c r="N1831" s="71" t="s">
        <v>428</v>
      </c>
      <c r="O1831" s="74" t="s">
        <v>4038</v>
      </c>
      <c r="P1831" s="112" t="s">
        <v>6457</v>
      </c>
      <c r="Q1831" s="68" t="s">
        <v>784</v>
      </c>
      <c r="R1831" s="74" t="str">
        <f>Agencia[[#This Row],[territorio]]&amp;",gobiernos,locales,catastro,predio,municipal,municipio,no agrícola,habitacional,"&amp;Agencia[[#This Row],[coleccion]]&amp;","&amp;Agencia[[#This Row],[sector]]&amp;","&amp;Agencia[[#This Row],[tema]]&amp;","&amp;Agencia[[#This Row],[contenido]]</f>
        <v>Región de Antofagasta,gobiernos,locales,catastro,predio,municipal,municipio,no agrícola,habitacional,Agencia Información,Gobiernos Locales,Predios No Agrícolas Habitacionales,Gestión Municipal Territorial</v>
      </c>
      <c r="S1831" s="87" t="s">
        <v>4039</v>
      </c>
      <c r="T1831" s="110" t="s">
        <v>1844</v>
      </c>
      <c r="U1831" s="46" t="s">
        <v>4725</v>
      </c>
      <c r="V1831" s="93" t="str">
        <f>+Agencia[[#This Row],[idcoleccion]]&amp;"-"&amp;Agencia[[#This Row],[id]]</f>
        <v>990-1820</v>
      </c>
      <c r="W1831" s="96">
        <v>99200002</v>
      </c>
      <c r="X1831" s="93" t="str">
        <f>+VLOOKUP(Agencia[[#This Row],[tema]],Estructura!$A$4:$C$500,3,0)</f>
        <v>T-1078</v>
      </c>
      <c r="Y1831" s="93" t="str">
        <f>+VLOOKUP(Agencia[[#This Row],[contenido]],Estructura!$E$4:$G$500,3,0)</f>
        <v>C-1015</v>
      </c>
      <c r="Z1831" s="93" t="str">
        <f>+VLOOKUP(Agencia[[#This Row],[Filtro Integrado]],Estructura!$I$4:$K$500,3,0)</f>
        <v>FI-993</v>
      </c>
      <c r="AA1831" s="93" t="str">
        <f>+VLOOKUP(Agencia[[#This Row],[Muestra]],Estructura!$M$4:$O$500,3,0)</f>
        <v>M-1113</v>
      </c>
    </row>
    <row r="1832" spans="1:27" ht="71.400000000000006" x14ac:dyDescent="0.3">
      <c r="A1832" s="21" t="s">
        <v>4961</v>
      </c>
      <c r="B1832" s="66">
        <v>990</v>
      </c>
      <c r="C1832" s="67" t="s">
        <v>400</v>
      </c>
      <c r="D1832" s="67" t="s">
        <v>2250</v>
      </c>
      <c r="E1832" s="89">
        <v>3</v>
      </c>
      <c r="F1832" s="72" t="s">
        <v>4031</v>
      </c>
      <c r="G1832" s="73" t="s">
        <v>1909</v>
      </c>
      <c r="H1832" s="79" t="s">
        <v>16</v>
      </c>
      <c r="I1832" s="80" t="s">
        <v>370</v>
      </c>
      <c r="J1832" s="66" t="s">
        <v>403</v>
      </c>
      <c r="K1832" s="136" t="s">
        <v>4031</v>
      </c>
      <c r="L1832" s="71" t="s">
        <v>1911</v>
      </c>
      <c r="M1832" s="71" t="s">
        <v>4032</v>
      </c>
      <c r="N1832" s="71" t="s">
        <v>428</v>
      </c>
      <c r="O1832" s="74" t="s">
        <v>4040</v>
      </c>
      <c r="P1832" s="112" t="s">
        <v>6458</v>
      </c>
      <c r="Q1832" s="68" t="s">
        <v>784</v>
      </c>
      <c r="R1832" s="74" t="str">
        <f>Agencia[[#This Row],[territorio]]&amp;",gobiernos,locales,catastro,predio,municipal,municipio,no agrícola,habitacional,"&amp;Agencia[[#This Row],[coleccion]]&amp;","&amp;Agencia[[#This Row],[sector]]&amp;","&amp;Agencia[[#This Row],[tema]]&amp;","&amp;Agencia[[#This Row],[contenido]]</f>
        <v>Región de Atacama,gobiernos,locales,catastro,predio,municipal,municipio,no agrícola,habitacional,Agencia Información,Gobiernos Locales,Predios No Agrícolas Habitacionales,Gestión Municipal Territorial</v>
      </c>
      <c r="S1832" s="87" t="s">
        <v>4041</v>
      </c>
      <c r="T1832" s="110" t="s">
        <v>1846</v>
      </c>
      <c r="U1832" s="46" t="s">
        <v>4726</v>
      </c>
      <c r="V1832" s="93" t="str">
        <f>+Agencia[[#This Row],[idcoleccion]]&amp;"-"&amp;Agencia[[#This Row],[id]]</f>
        <v>990-1821</v>
      </c>
      <c r="W1832" s="96">
        <v>99200003</v>
      </c>
      <c r="X1832" s="93" t="str">
        <f>+VLOOKUP(Agencia[[#This Row],[tema]],Estructura!$A$4:$C$500,3,0)</f>
        <v>T-1078</v>
      </c>
      <c r="Y1832" s="93" t="str">
        <f>+VLOOKUP(Agencia[[#This Row],[contenido]],Estructura!$E$4:$G$500,3,0)</f>
        <v>C-1015</v>
      </c>
      <c r="Z1832" s="93" t="str">
        <f>+VLOOKUP(Agencia[[#This Row],[Filtro Integrado]],Estructura!$I$4:$K$500,3,0)</f>
        <v>FI-993</v>
      </c>
      <c r="AA1832" s="93" t="str">
        <f>+VLOOKUP(Agencia[[#This Row],[Muestra]],Estructura!$M$4:$O$500,3,0)</f>
        <v>M-1113</v>
      </c>
    </row>
    <row r="1833" spans="1:27" ht="71.400000000000006" x14ac:dyDescent="0.3">
      <c r="A1833" s="21" t="s">
        <v>4962</v>
      </c>
      <c r="B1833" s="66">
        <v>990</v>
      </c>
      <c r="C1833" s="67" t="s">
        <v>400</v>
      </c>
      <c r="D1833" s="67" t="s">
        <v>2250</v>
      </c>
      <c r="E1833" s="89">
        <v>4</v>
      </c>
      <c r="F1833" s="72" t="s">
        <v>4031</v>
      </c>
      <c r="G1833" s="73" t="s">
        <v>1909</v>
      </c>
      <c r="H1833" s="79" t="s">
        <v>16</v>
      </c>
      <c r="I1833" s="80" t="s">
        <v>371</v>
      </c>
      <c r="J1833" s="66" t="s">
        <v>403</v>
      </c>
      <c r="K1833" s="136" t="s">
        <v>4031</v>
      </c>
      <c r="L1833" s="71" t="s">
        <v>1911</v>
      </c>
      <c r="M1833" s="71" t="s">
        <v>4032</v>
      </c>
      <c r="N1833" s="71" t="s">
        <v>428</v>
      </c>
      <c r="O1833" s="74" t="s">
        <v>4042</v>
      </c>
      <c r="P1833" s="112" t="s">
        <v>6459</v>
      </c>
      <c r="Q1833" s="68" t="s">
        <v>784</v>
      </c>
      <c r="R1833" s="74" t="str">
        <f>Agencia[[#This Row],[territorio]]&amp;",gobiernos,locales,catastro,predio,municipal,municipio,no agrícola,habitacional,"&amp;Agencia[[#This Row],[coleccion]]&amp;","&amp;Agencia[[#This Row],[sector]]&amp;","&amp;Agencia[[#This Row],[tema]]&amp;","&amp;Agencia[[#This Row],[contenido]]</f>
        <v>Región de Coquimbo,gobiernos,locales,catastro,predio,municipal,municipio,no agrícola,habitacional,Agencia Información,Gobiernos Locales,Predios No Agrícolas Habitacionales,Gestión Municipal Territorial</v>
      </c>
      <c r="S1833" s="87" t="s">
        <v>4043</v>
      </c>
      <c r="T1833" s="110" t="s">
        <v>1848</v>
      </c>
      <c r="U1833" s="46" t="s">
        <v>4727</v>
      </c>
      <c r="V1833" s="93" t="str">
        <f>+Agencia[[#This Row],[idcoleccion]]&amp;"-"&amp;Agencia[[#This Row],[id]]</f>
        <v>990-1822</v>
      </c>
      <c r="W1833" s="96">
        <v>99200004</v>
      </c>
      <c r="X1833" s="93" t="str">
        <f>+VLOOKUP(Agencia[[#This Row],[tema]],Estructura!$A$4:$C$500,3,0)</f>
        <v>T-1078</v>
      </c>
      <c r="Y1833" s="93" t="str">
        <f>+VLOOKUP(Agencia[[#This Row],[contenido]],Estructura!$E$4:$G$500,3,0)</f>
        <v>C-1015</v>
      </c>
      <c r="Z1833" s="93" t="str">
        <f>+VLOOKUP(Agencia[[#This Row],[Filtro Integrado]],Estructura!$I$4:$K$500,3,0)</f>
        <v>FI-993</v>
      </c>
      <c r="AA1833" s="93" t="str">
        <f>+VLOOKUP(Agencia[[#This Row],[Muestra]],Estructura!$M$4:$O$500,3,0)</f>
        <v>M-1113</v>
      </c>
    </row>
    <row r="1834" spans="1:27" ht="71.400000000000006" x14ac:dyDescent="0.3">
      <c r="A1834" s="21" t="s">
        <v>4963</v>
      </c>
      <c r="B1834" s="66">
        <v>990</v>
      </c>
      <c r="C1834" s="67" t="s">
        <v>400</v>
      </c>
      <c r="D1834" s="67" t="s">
        <v>2250</v>
      </c>
      <c r="E1834" s="89">
        <v>5</v>
      </c>
      <c r="F1834" s="72" t="s">
        <v>4031</v>
      </c>
      <c r="G1834" s="73" t="s">
        <v>1909</v>
      </c>
      <c r="H1834" s="79" t="s">
        <v>16</v>
      </c>
      <c r="I1834" s="80" t="s">
        <v>372</v>
      </c>
      <c r="J1834" s="66" t="s">
        <v>403</v>
      </c>
      <c r="K1834" s="136" t="s">
        <v>4031</v>
      </c>
      <c r="L1834" s="71" t="s">
        <v>1911</v>
      </c>
      <c r="M1834" s="71" t="s">
        <v>4032</v>
      </c>
      <c r="N1834" s="71" t="s">
        <v>428</v>
      </c>
      <c r="O1834" s="74" t="s">
        <v>4044</v>
      </c>
      <c r="P1834" s="112" t="s">
        <v>6460</v>
      </c>
      <c r="Q1834" s="68" t="s">
        <v>784</v>
      </c>
      <c r="R1834" s="74" t="str">
        <f>Agencia[[#This Row],[territorio]]&amp;",gobiernos,locales,catastro,predio,municipal,municipio,no agrícola,habitacional,"&amp;Agencia[[#This Row],[coleccion]]&amp;","&amp;Agencia[[#This Row],[sector]]&amp;","&amp;Agencia[[#This Row],[tema]]&amp;","&amp;Agencia[[#This Row],[contenido]]</f>
        <v>Región de Valparaíso,gobiernos,locales,catastro,predio,municipal,municipio,no agrícola,habitacional,Agencia Información,Gobiernos Locales,Predios No Agrícolas Habitacionales,Gestión Municipal Territorial</v>
      </c>
      <c r="S1834" s="87" t="s">
        <v>4045</v>
      </c>
      <c r="T1834" s="110" t="s">
        <v>1857</v>
      </c>
      <c r="U1834" s="46" t="s">
        <v>4728</v>
      </c>
      <c r="V1834" s="93" t="str">
        <f>+Agencia[[#This Row],[idcoleccion]]&amp;"-"&amp;Agencia[[#This Row],[id]]</f>
        <v>990-1823</v>
      </c>
      <c r="W1834" s="96">
        <v>99200005</v>
      </c>
      <c r="X1834" s="93" t="str">
        <f>+VLOOKUP(Agencia[[#This Row],[tema]],Estructura!$A$4:$C$500,3,0)</f>
        <v>T-1078</v>
      </c>
      <c r="Y1834" s="93" t="str">
        <f>+VLOOKUP(Agencia[[#This Row],[contenido]],Estructura!$E$4:$G$500,3,0)</f>
        <v>C-1015</v>
      </c>
      <c r="Z1834" s="93" t="str">
        <f>+VLOOKUP(Agencia[[#This Row],[Filtro Integrado]],Estructura!$I$4:$K$500,3,0)</f>
        <v>FI-993</v>
      </c>
      <c r="AA1834" s="93" t="str">
        <f>+VLOOKUP(Agencia[[#This Row],[Muestra]],Estructura!$M$4:$O$500,3,0)</f>
        <v>M-1113</v>
      </c>
    </row>
    <row r="1835" spans="1:27" ht="71.400000000000006" x14ac:dyDescent="0.3">
      <c r="A1835" s="21" t="s">
        <v>4964</v>
      </c>
      <c r="B1835" s="66">
        <v>990</v>
      </c>
      <c r="C1835" s="67" t="s">
        <v>400</v>
      </c>
      <c r="D1835" s="67" t="s">
        <v>2250</v>
      </c>
      <c r="E1835" s="89">
        <v>6</v>
      </c>
      <c r="F1835" s="72" t="s">
        <v>4031</v>
      </c>
      <c r="G1835" s="73" t="s">
        <v>1909</v>
      </c>
      <c r="H1835" s="79" t="s">
        <v>16</v>
      </c>
      <c r="I1835" s="80" t="s">
        <v>373</v>
      </c>
      <c r="J1835" s="66" t="s">
        <v>403</v>
      </c>
      <c r="K1835" s="136" t="s">
        <v>4031</v>
      </c>
      <c r="L1835" s="71" t="s">
        <v>1911</v>
      </c>
      <c r="M1835" s="71" t="s">
        <v>4032</v>
      </c>
      <c r="N1835" s="71" t="s">
        <v>428</v>
      </c>
      <c r="O1835" s="74" t="s">
        <v>4046</v>
      </c>
      <c r="P1835" s="112" t="s">
        <v>6461</v>
      </c>
      <c r="Q1835" s="68" t="s">
        <v>784</v>
      </c>
      <c r="R1835" s="74" t="str">
        <f>Agencia[[#This Row],[territorio]]&amp;",gobiernos,locales,catastro,predio,municipal,municipio,no agrícola,habitacional,"&amp;Agencia[[#This Row],[coleccion]]&amp;","&amp;Agencia[[#This Row],[sector]]&amp;","&amp;Agencia[[#This Row],[tema]]&amp;","&amp;Agencia[[#This Row],[contenido]]</f>
        <v>Región de O'Higgins,gobiernos,locales,catastro,predio,municipal,municipio,no agrícola,habitacional,Agencia Información,Gobiernos Locales,Predios No Agrícolas Habitacionales,Gestión Municipal Territorial</v>
      </c>
      <c r="S1835" s="87" t="s">
        <v>4047</v>
      </c>
      <c r="T1835" s="110" t="s">
        <v>1855</v>
      </c>
      <c r="U1835" s="46" t="s">
        <v>4729</v>
      </c>
      <c r="V1835" s="93" t="str">
        <f>+Agencia[[#This Row],[idcoleccion]]&amp;"-"&amp;Agencia[[#This Row],[id]]</f>
        <v>990-1824</v>
      </c>
      <c r="W1835" s="96">
        <v>99200006</v>
      </c>
      <c r="X1835" s="93" t="str">
        <f>+VLOOKUP(Agencia[[#This Row],[tema]],Estructura!$A$4:$C$500,3,0)</f>
        <v>T-1078</v>
      </c>
      <c r="Y1835" s="93" t="str">
        <f>+VLOOKUP(Agencia[[#This Row],[contenido]],Estructura!$E$4:$G$500,3,0)</f>
        <v>C-1015</v>
      </c>
      <c r="Z1835" s="93" t="str">
        <f>+VLOOKUP(Agencia[[#This Row],[Filtro Integrado]],Estructura!$I$4:$K$500,3,0)</f>
        <v>FI-993</v>
      </c>
      <c r="AA1835" s="93" t="str">
        <f>+VLOOKUP(Agencia[[#This Row],[Muestra]],Estructura!$M$4:$O$500,3,0)</f>
        <v>M-1113</v>
      </c>
    </row>
    <row r="1836" spans="1:27" ht="61.2" x14ac:dyDescent="0.3">
      <c r="A1836" s="21" t="s">
        <v>4965</v>
      </c>
      <c r="B1836" s="66">
        <v>990</v>
      </c>
      <c r="C1836" s="67" t="s">
        <v>400</v>
      </c>
      <c r="D1836" s="67" t="s">
        <v>2250</v>
      </c>
      <c r="E1836" s="89">
        <v>7</v>
      </c>
      <c r="F1836" s="72" t="s">
        <v>4031</v>
      </c>
      <c r="G1836" s="73" t="s">
        <v>1909</v>
      </c>
      <c r="H1836" s="79" t="s">
        <v>16</v>
      </c>
      <c r="I1836" s="80" t="s">
        <v>374</v>
      </c>
      <c r="J1836" s="66" t="s">
        <v>403</v>
      </c>
      <c r="K1836" s="136" t="s">
        <v>4031</v>
      </c>
      <c r="L1836" s="71" t="s">
        <v>1911</v>
      </c>
      <c r="M1836" s="71" t="s">
        <v>4032</v>
      </c>
      <c r="N1836" s="71" t="s">
        <v>428</v>
      </c>
      <c r="O1836" s="74" t="s">
        <v>4048</v>
      </c>
      <c r="P1836" s="112" t="s">
        <v>6462</v>
      </c>
      <c r="Q1836" s="68" t="s">
        <v>784</v>
      </c>
      <c r="R1836" s="74" t="str">
        <f>Agencia[[#This Row],[territorio]]&amp;",gobiernos,locales,catastro,predio,municipal,municipio,no agrícola,habitacional,"&amp;Agencia[[#This Row],[coleccion]]&amp;","&amp;Agencia[[#This Row],[sector]]&amp;","&amp;Agencia[[#This Row],[tema]]&amp;","&amp;Agencia[[#This Row],[contenido]]</f>
        <v>Región de Maule,gobiernos,locales,catastro,predio,municipal,municipio,no agrícola,habitacional,Agencia Información,Gobiernos Locales,Predios No Agrícolas Habitacionales,Gestión Municipal Territorial</v>
      </c>
      <c r="S1836" s="87" t="s">
        <v>4049</v>
      </c>
      <c r="T1836" s="110" t="s">
        <v>1853</v>
      </c>
      <c r="U1836" s="46" t="s">
        <v>4730</v>
      </c>
      <c r="V1836" s="93" t="str">
        <f>+Agencia[[#This Row],[idcoleccion]]&amp;"-"&amp;Agencia[[#This Row],[id]]</f>
        <v>990-1825</v>
      </c>
      <c r="W1836" s="96">
        <v>99200007</v>
      </c>
      <c r="X1836" s="93" t="str">
        <f>+VLOOKUP(Agencia[[#This Row],[tema]],Estructura!$A$4:$C$500,3,0)</f>
        <v>T-1078</v>
      </c>
      <c r="Y1836" s="93" t="str">
        <f>+VLOOKUP(Agencia[[#This Row],[contenido]],Estructura!$E$4:$G$500,3,0)</f>
        <v>C-1015</v>
      </c>
      <c r="Z1836" s="93" t="str">
        <f>+VLOOKUP(Agencia[[#This Row],[Filtro Integrado]],Estructura!$I$4:$K$500,3,0)</f>
        <v>FI-993</v>
      </c>
      <c r="AA1836" s="93" t="str">
        <f>+VLOOKUP(Agencia[[#This Row],[Muestra]],Estructura!$M$4:$O$500,3,0)</f>
        <v>M-1113</v>
      </c>
    </row>
    <row r="1837" spans="1:27" ht="61.2" x14ac:dyDescent="0.3">
      <c r="A1837" s="21" t="s">
        <v>4966</v>
      </c>
      <c r="B1837" s="66">
        <v>990</v>
      </c>
      <c r="C1837" s="67" t="s">
        <v>400</v>
      </c>
      <c r="D1837" s="67" t="s">
        <v>2250</v>
      </c>
      <c r="E1837" s="89">
        <v>8</v>
      </c>
      <c r="F1837" s="72" t="s">
        <v>4031</v>
      </c>
      <c r="G1837" s="73" t="s">
        <v>1909</v>
      </c>
      <c r="H1837" s="79" t="s">
        <v>16</v>
      </c>
      <c r="I1837" s="80" t="s">
        <v>375</v>
      </c>
      <c r="J1837" s="66" t="s">
        <v>403</v>
      </c>
      <c r="K1837" s="136" t="s">
        <v>4031</v>
      </c>
      <c r="L1837" s="71" t="s">
        <v>1911</v>
      </c>
      <c r="M1837" s="71" t="s">
        <v>4032</v>
      </c>
      <c r="N1837" s="71" t="s">
        <v>428</v>
      </c>
      <c r="O1837" s="74" t="s">
        <v>4050</v>
      </c>
      <c r="P1837" s="112" t="s">
        <v>6463</v>
      </c>
      <c r="Q1837" s="68" t="s">
        <v>784</v>
      </c>
      <c r="R1837" s="74" t="str">
        <f>Agencia[[#This Row],[territorio]]&amp;",gobiernos,locales,catastro,predio,municipal,municipio,no agrícola,habitacional,"&amp;Agencia[[#This Row],[coleccion]]&amp;","&amp;Agencia[[#This Row],[sector]]&amp;","&amp;Agencia[[#This Row],[tema]]&amp;","&amp;Agencia[[#This Row],[contenido]]</f>
        <v>Región del Biobío,gobiernos,locales,catastro,predio,municipal,municipio,no agrícola,habitacional,Agencia Información,Gobiernos Locales,Predios No Agrícolas Habitacionales,Gestión Municipal Territorial</v>
      </c>
      <c r="S1837" s="87" t="s">
        <v>4051</v>
      </c>
      <c r="T1837" s="110" t="s">
        <v>1858</v>
      </c>
      <c r="U1837" s="46" t="s">
        <v>4731</v>
      </c>
      <c r="V1837" s="93" t="str">
        <f>+Agencia[[#This Row],[idcoleccion]]&amp;"-"&amp;Agencia[[#This Row],[id]]</f>
        <v>990-1826</v>
      </c>
      <c r="W1837" s="96">
        <v>99200008</v>
      </c>
      <c r="X1837" s="93" t="str">
        <f>+VLOOKUP(Agencia[[#This Row],[tema]],Estructura!$A$4:$C$500,3,0)</f>
        <v>T-1078</v>
      </c>
      <c r="Y1837" s="93" t="str">
        <f>+VLOOKUP(Agencia[[#This Row],[contenido]],Estructura!$E$4:$G$500,3,0)</f>
        <v>C-1015</v>
      </c>
      <c r="Z1837" s="93" t="str">
        <f>+VLOOKUP(Agencia[[#This Row],[Filtro Integrado]],Estructura!$I$4:$K$500,3,0)</f>
        <v>FI-993</v>
      </c>
      <c r="AA1837" s="93" t="str">
        <f>+VLOOKUP(Agencia[[#This Row],[Muestra]],Estructura!$M$4:$O$500,3,0)</f>
        <v>M-1113</v>
      </c>
    </row>
    <row r="1838" spans="1:27" ht="71.400000000000006" x14ac:dyDescent="0.3">
      <c r="A1838" s="21" t="s">
        <v>4967</v>
      </c>
      <c r="B1838" s="66">
        <v>990</v>
      </c>
      <c r="C1838" s="67" t="s">
        <v>400</v>
      </c>
      <c r="D1838" s="67" t="s">
        <v>2250</v>
      </c>
      <c r="E1838" s="89">
        <v>9</v>
      </c>
      <c r="F1838" s="72" t="s">
        <v>4031</v>
      </c>
      <c r="G1838" s="73" t="s">
        <v>1909</v>
      </c>
      <c r="H1838" s="79" t="s">
        <v>16</v>
      </c>
      <c r="I1838" s="80" t="s">
        <v>376</v>
      </c>
      <c r="J1838" s="66" t="s">
        <v>403</v>
      </c>
      <c r="K1838" s="136" t="s">
        <v>4031</v>
      </c>
      <c r="L1838" s="71" t="s">
        <v>1911</v>
      </c>
      <c r="M1838" s="71" t="s">
        <v>4032</v>
      </c>
      <c r="N1838" s="71" t="s">
        <v>428</v>
      </c>
      <c r="O1838" s="74" t="s">
        <v>4052</v>
      </c>
      <c r="P1838" s="112" t="s">
        <v>6464</v>
      </c>
      <c r="Q1838" s="68" t="s">
        <v>784</v>
      </c>
      <c r="R1838" s="74" t="str">
        <f>Agencia[[#This Row],[territorio]]&amp;",gobiernos,locales,catastro,predio,municipal,municipio,no agrícola,habitacional,"&amp;Agencia[[#This Row],[coleccion]]&amp;","&amp;Agencia[[#This Row],[sector]]&amp;","&amp;Agencia[[#This Row],[tema]]&amp;","&amp;Agencia[[#This Row],[contenido]]</f>
        <v>Región de La Araucanía,gobiernos,locales,catastro,predio,municipal,municipio,no agrícola,habitacional,Agencia Información,Gobiernos Locales,Predios No Agrícolas Habitacionales,Gestión Municipal Territorial</v>
      </c>
      <c r="S1838" s="87" t="s">
        <v>4053</v>
      </c>
      <c r="T1838" s="110" t="s">
        <v>1849</v>
      </c>
      <c r="U1838" s="46" t="s">
        <v>4732</v>
      </c>
      <c r="V1838" s="93" t="str">
        <f>+Agencia[[#This Row],[idcoleccion]]&amp;"-"&amp;Agencia[[#This Row],[id]]</f>
        <v>990-1827</v>
      </c>
      <c r="W1838" s="96">
        <v>99200009</v>
      </c>
      <c r="X1838" s="93" t="str">
        <f>+VLOOKUP(Agencia[[#This Row],[tema]],Estructura!$A$4:$C$500,3,0)</f>
        <v>T-1078</v>
      </c>
      <c r="Y1838" s="93" t="str">
        <f>+VLOOKUP(Agencia[[#This Row],[contenido]],Estructura!$E$4:$G$500,3,0)</f>
        <v>C-1015</v>
      </c>
      <c r="Z1838" s="93" t="str">
        <f>+VLOOKUP(Agencia[[#This Row],[Filtro Integrado]],Estructura!$I$4:$K$500,3,0)</f>
        <v>FI-993</v>
      </c>
      <c r="AA1838" s="93" t="str">
        <f>+VLOOKUP(Agencia[[#This Row],[Muestra]],Estructura!$M$4:$O$500,3,0)</f>
        <v>M-1113</v>
      </c>
    </row>
    <row r="1839" spans="1:27" ht="61.2" x14ac:dyDescent="0.3">
      <c r="A1839" s="21" t="s">
        <v>4968</v>
      </c>
      <c r="B1839" s="66">
        <v>990</v>
      </c>
      <c r="C1839" s="67" t="s">
        <v>400</v>
      </c>
      <c r="D1839" s="67" t="s">
        <v>2250</v>
      </c>
      <c r="E1839" s="89">
        <v>10</v>
      </c>
      <c r="F1839" s="72" t="s">
        <v>4031</v>
      </c>
      <c r="G1839" s="73" t="s">
        <v>1909</v>
      </c>
      <c r="H1839" s="79" t="s">
        <v>16</v>
      </c>
      <c r="I1839" s="80" t="s">
        <v>377</v>
      </c>
      <c r="J1839" s="66" t="s">
        <v>403</v>
      </c>
      <c r="K1839" s="136" t="s">
        <v>4031</v>
      </c>
      <c r="L1839" s="71" t="s">
        <v>1911</v>
      </c>
      <c r="M1839" s="71" t="s">
        <v>4032</v>
      </c>
      <c r="N1839" s="71" t="s">
        <v>428</v>
      </c>
      <c r="O1839" s="74" t="s">
        <v>4054</v>
      </c>
      <c r="P1839" s="112" t="s">
        <v>6465</v>
      </c>
      <c r="Q1839" s="68" t="s">
        <v>784</v>
      </c>
      <c r="R1839" s="74" t="str">
        <f>Agencia[[#This Row],[territorio]]&amp;",gobiernos,locales,catastro,predio,municipal,municipio,no agrícola,habitacional,"&amp;Agencia[[#This Row],[coleccion]]&amp;","&amp;Agencia[[#This Row],[sector]]&amp;","&amp;Agencia[[#This Row],[tema]]&amp;","&amp;Agencia[[#This Row],[contenido]]</f>
        <v>Región de Los Lagos,gobiernos,locales,catastro,predio,municipal,municipio,no agrícola,habitacional,Agencia Información,Gobiernos Locales,Predios No Agrícolas Habitacionales,Gestión Municipal Territorial</v>
      </c>
      <c r="S1839" s="87" t="s">
        <v>4055</v>
      </c>
      <c r="T1839" s="110" t="s">
        <v>1850</v>
      </c>
      <c r="U1839" s="46" t="s">
        <v>4733</v>
      </c>
      <c r="V1839" s="93" t="str">
        <f>+Agencia[[#This Row],[idcoleccion]]&amp;"-"&amp;Agencia[[#This Row],[id]]</f>
        <v>990-1828</v>
      </c>
      <c r="W1839" s="96">
        <v>99200010</v>
      </c>
      <c r="X1839" s="93" t="str">
        <f>+VLOOKUP(Agencia[[#This Row],[tema]],Estructura!$A$4:$C$500,3,0)</f>
        <v>T-1078</v>
      </c>
      <c r="Y1839" s="93" t="str">
        <f>+VLOOKUP(Agencia[[#This Row],[contenido]],Estructura!$E$4:$G$500,3,0)</f>
        <v>C-1015</v>
      </c>
      <c r="Z1839" s="93" t="str">
        <f>+VLOOKUP(Agencia[[#This Row],[Filtro Integrado]],Estructura!$I$4:$K$500,3,0)</f>
        <v>FI-993</v>
      </c>
      <c r="AA1839" s="93" t="str">
        <f>+VLOOKUP(Agencia[[#This Row],[Muestra]],Estructura!$M$4:$O$500,3,0)</f>
        <v>M-1113</v>
      </c>
    </row>
    <row r="1840" spans="1:27" ht="61.2" x14ac:dyDescent="0.3">
      <c r="A1840" s="21" t="s">
        <v>4969</v>
      </c>
      <c r="B1840" s="66">
        <v>990</v>
      </c>
      <c r="C1840" s="67" t="s">
        <v>400</v>
      </c>
      <c r="D1840" s="67" t="s">
        <v>2250</v>
      </c>
      <c r="E1840" s="89">
        <v>11</v>
      </c>
      <c r="F1840" s="72" t="s">
        <v>4031</v>
      </c>
      <c r="G1840" s="73" t="s">
        <v>1909</v>
      </c>
      <c r="H1840" s="79" t="s">
        <v>16</v>
      </c>
      <c r="I1840" s="80" t="s">
        <v>378</v>
      </c>
      <c r="J1840" s="66" t="s">
        <v>403</v>
      </c>
      <c r="K1840" s="136" t="s">
        <v>4031</v>
      </c>
      <c r="L1840" s="71" t="s">
        <v>1911</v>
      </c>
      <c r="M1840" s="71" t="s">
        <v>4032</v>
      </c>
      <c r="N1840" s="71" t="s">
        <v>428</v>
      </c>
      <c r="O1840" s="74" t="s">
        <v>4056</v>
      </c>
      <c r="P1840" s="112" t="s">
        <v>6466</v>
      </c>
      <c r="Q1840" s="68" t="s">
        <v>784</v>
      </c>
      <c r="R1840" s="74" t="str">
        <f>Agencia[[#This Row],[territorio]]&amp;",gobiernos,locales,catastro,predio,municipal,municipio,no agrícola,habitacional,"&amp;Agencia[[#This Row],[coleccion]]&amp;","&amp;Agencia[[#This Row],[sector]]&amp;","&amp;Agencia[[#This Row],[tema]]&amp;","&amp;Agencia[[#This Row],[contenido]]</f>
        <v>Región de Aysén,gobiernos,locales,catastro,predio,municipal,municipio,no agrícola,habitacional,Agencia Información,Gobiernos Locales,Predios No Agrícolas Habitacionales,Gestión Municipal Territorial</v>
      </c>
      <c r="S1840" s="87" t="s">
        <v>4057</v>
      </c>
      <c r="T1840" s="110" t="s">
        <v>1847</v>
      </c>
      <c r="U1840" s="46" t="s">
        <v>4734</v>
      </c>
      <c r="V1840" s="93" t="str">
        <f>+Agencia[[#This Row],[idcoleccion]]&amp;"-"&amp;Agencia[[#This Row],[id]]</f>
        <v>990-1829</v>
      </c>
      <c r="W1840" s="96">
        <v>99200011</v>
      </c>
      <c r="X1840" s="93" t="str">
        <f>+VLOOKUP(Agencia[[#This Row],[tema]],Estructura!$A$4:$C$500,3,0)</f>
        <v>T-1078</v>
      </c>
      <c r="Y1840" s="93" t="str">
        <f>+VLOOKUP(Agencia[[#This Row],[contenido]],Estructura!$E$4:$G$500,3,0)</f>
        <v>C-1015</v>
      </c>
      <c r="Z1840" s="93" t="str">
        <f>+VLOOKUP(Agencia[[#This Row],[Filtro Integrado]],Estructura!$I$4:$K$500,3,0)</f>
        <v>FI-993</v>
      </c>
      <c r="AA1840" s="93" t="str">
        <f>+VLOOKUP(Agencia[[#This Row],[Muestra]],Estructura!$M$4:$O$500,3,0)</f>
        <v>M-1113</v>
      </c>
    </row>
    <row r="1841" spans="1:27" ht="71.400000000000006" x14ac:dyDescent="0.3">
      <c r="A1841" s="21" t="s">
        <v>4970</v>
      </c>
      <c r="B1841" s="66">
        <v>990</v>
      </c>
      <c r="C1841" s="67" t="s">
        <v>400</v>
      </c>
      <c r="D1841" s="67" t="s">
        <v>2250</v>
      </c>
      <c r="E1841" s="89">
        <v>12</v>
      </c>
      <c r="F1841" s="72" t="s">
        <v>4031</v>
      </c>
      <c r="G1841" s="73" t="s">
        <v>1909</v>
      </c>
      <c r="H1841" s="79" t="s">
        <v>16</v>
      </c>
      <c r="I1841" s="80" t="s">
        <v>379</v>
      </c>
      <c r="J1841" s="66" t="s">
        <v>403</v>
      </c>
      <c r="K1841" s="136" t="s">
        <v>4031</v>
      </c>
      <c r="L1841" s="71" t="s">
        <v>1911</v>
      </c>
      <c r="M1841" s="71" t="s">
        <v>4032</v>
      </c>
      <c r="N1841" s="71" t="s">
        <v>428</v>
      </c>
      <c r="O1841" s="74" t="s">
        <v>4058</v>
      </c>
      <c r="P1841" s="112" t="s">
        <v>6467</v>
      </c>
      <c r="Q1841" s="68" t="s">
        <v>784</v>
      </c>
      <c r="R1841" s="74" t="str">
        <f>Agencia[[#This Row],[territorio]]&amp;",gobiernos,locales,catastro,predio,municipal,municipio,no agrícola,habitacional,"&amp;Agencia[[#This Row],[coleccion]]&amp;","&amp;Agencia[[#This Row],[sector]]&amp;","&amp;Agencia[[#This Row],[tema]]&amp;","&amp;Agencia[[#This Row],[contenido]]</f>
        <v>Región de Magallanes,gobiernos,locales,catastro,predio,municipal,municipio,no agrícola,habitacional,Agencia Información,Gobiernos Locales,Predios No Agrícolas Habitacionales,Gestión Municipal Territorial</v>
      </c>
      <c r="S1841" s="87" t="s">
        <v>4059</v>
      </c>
      <c r="T1841" s="110" t="s">
        <v>1852</v>
      </c>
      <c r="U1841" s="46" t="s">
        <v>4735</v>
      </c>
      <c r="V1841" s="93" t="str">
        <f>+Agencia[[#This Row],[idcoleccion]]&amp;"-"&amp;Agencia[[#This Row],[id]]</f>
        <v>990-1830</v>
      </c>
      <c r="W1841" s="96">
        <v>99200012</v>
      </c>
      <c r="X1841" s="93" t="str">
        <f>+VLOOKUP(Agencia[[#This Row],[tema]],Estructura!$A$4:$C$500,3,0)</f>
        <v>T-1078</v>
      </c>
      <c r="Y1841" s="93" t="str">
        <f>+VLOOKUP(Agencia[[#This Row],[contenido]],Estructura!$E$4:$G$500,3,0)</f>
        <v>C-1015</v>
      </c>
      <c r="Z1841" s="93" t="str">
        <f>+VLOOKUP(Agencia[[#This Row],[Filtro Integrado]],Estructura!$I$4:$K$500,3,0)</f>
        <v>FI-993</v>
      </c>
      <c r="AA1841" s="93" t="str">
        <f>+VLOOKUP(Agencia[[#This Row],[Muestra]],Estructura!$M$4:$O$500,3,0)</f>
        <v>M-1113</v>
      </c>
    </row>
    <row r="1842" spans="1:27" ht="71.400000000000006" x14ac:dyDescent="0.3">
      <c r="A1842" s="21" t="s">
        <v>4971</v>
      </c>
      <c r="B1842" s="66">
        <v>990</v>
      </c>
      <c r="C1842" s="67" t="s">
        <v>400</v>
      </c>
      <c r="D1842" s="67" t="s">
        <v>2250</v>
      </c>
      <c r="E1842" s="89">
        <v>13</v>
      </c>
      <c r="F1842" s="72" t="s">
        <v>4031</v>
      </c>
      <c r="G1842" s="73" t="s">
        <v>1909</v>
      </c>
      <c r="H1842" s="79" t="s">
        <v>16</v>
      </c>
      <c r="I1842" s="80" t="s">
        <v>380</v>
      </c>
      <c r="J1842" s="66" t="s">
        <v>403</v>
      </c>
      <c r="K1842" s="136" t="s">
        <v>4031</v>
      </c>
      <c r="L1842" s="71" t="s">
        <v>1911</v>
      </c>
      <c r="M1842" s="71" t="s">
        <v>4032</v>
      </c>
      <c r="N1842" s="71" t="s">
        <v>428</v>
      </c>
      <c r="O1842" s="74" t="s">
        <v>4060</v>
      </c>
      <c r="P1842" s="112" t="s">
        <v>6468</v>
      </c>
      <c r="Q1842" s="68" t="s">
        <v>784</v>
      </c>
      <c r="R1842" s="74" t="str">
        <f>Agencia[[#This Row],[territorio]]&amp;",gobiernos,locales,catastro,predio,municipal,municipio,no agrícola,habitacional,"&amp;Agencia[[#This Row],[coleccion]]&amp;","&amp;Agencia[[#This Row],[sector]]&amp;","&amp;Agencia[[#This Row],[tema]]&amp;","&amp;Agencia[[#This Row],[contenido]]</f>
        <v>Región Metropolitana,gobiernos,locales,catastro,predio,municipal,municipio,no agrícola,habitacional,Agencia Información,Gobiernos Locales,Predios No Agrícolas Habitacionales,Gestión Municipal Territorial</v>
      </c>
      <c r="S1842" s="87" t="s">
        <v>4061</v>
      </c>
      <c r="T1842" s="110" t="s">
        <v>1859</v>
      </c>
      <c r="U1842" s="46" t="s">
        <v>4736</v>
      </c>
      <c r="V1842" s="93" t="str">
        <f>+Agencia[[#This Row],[idcoleccion]]&amp;"-"&amp;Agencia[[#This Row],[id]]</f>
        <v>990-1831</v>
      </c>
      <c r="W1842" s="96">
        <v>99200013</v>
      </c>
      <c r="X1842" s="93" t="str">
        <f>+VLOOKUP(Agencia[[#This Row],[tema]],Estructura!$A$4:$C$500,3,0)</f>
        <v>T-1078</v>
      </c>
      <c r="Y1842" s="93" t="str">
        <f>+VLOOKUP(Agencia[[#This Row],[contenido]],Estructura!$E$4:$G$500,3,0)</f>
        <v>C-1015</v>
      </c>
      <c r="Z1842" s="93" t="str">
        <f>+VLOOKUP(Agencia[[#This Row],[Filtro Integrado]],Estructura!$I$4:$K$500,3,0)</f>
        <v>FI-993</v>
      </c>
      <c r="AA1842" s="93" t="str">
        <f>+VLOOKUP(Agencia[[#This Row],[Muestra]],Estructura!$M$4:$O$500,3,0)</f>
        <v>M-1113</v>
      </c>
    </row>
    <row r="1843" spans="1:27" ht="61.2" x14ac:dyDescent="0.3">
      <c r="A1843" s="21" t="s">
        <v>4972</v>
      </c>
      <c r="B1843" s="66">
        <v>990</v>
      </c>
      <c r="C1843" s="67" t="s">
        <v>400</v>
      </c>
      <c r="D1843" s="67" t="s">
        <v>2250</v>
      </c>
      <c r="E1843" s="89">
        <v>14</v>
      </c>
      <c r="F1843" s="72" t="s">
        <v>4031</v>
      </c>
      <c r="G1843" s="73" t="s">
        <v>1909</v>
      </c>
      <c r="H1843" s="79" t="s">
        <v>16</v>
      </c>
      <c r="I1843" s="80" t="s">
        <v>381</v>
      </c>
      <c r="J1843" s="66" t="s">
        <v>403</v>
      </c>
      <c r="K1843" s="136" t="s">
        <v>4031</v>
      </c>
      <c r="L1843" s="71" t="s">
        <v>1911</v>
      </c>
      <c r="M1843" s="71" t="s">
        <v>4032</v>
      </c>
      <c r="N1843" s="71" t="s">
        <v>428</v>
      </c>
      <c r="O1843" s="74" t="s">
        <v>4062</v>
      </c>
      <c r="P1843" s="112" t="s">
        <v>6469</v>
      </c>
      <c r="Q1843" s="68" t="s">
        <v>784</v>
      </c>
      <c r="R1843" s="74" t="str">
        <f>Agencia[[#This Row],[territorio]]&amp;",gobiernos,locales,catastro,predio,municipal,municipio,no agrícola,habitacional,"&amp;Agencia[[#This Row],[coleccion]]&amp;","&amp;Agencia[[#This Row],[sector]]&amp;","&amp;Agencia[[#This Row],[tema]]&amp;","&amp;Agencia[[#This Row],[contenido]]</f>
        <v>Región de Los Ríos,gobiernos,locales,catastro,predio,municipal,municipio,no agrícola,habitacional,Agencia Información,Gobiernos Locales,Predios No Agrícolas Habitacionales,Gestión Municipal Territorial</v>
      </c>
      <c r="S1843" s="87" t="s">
        <v>4063</v>
      </c>
      <c r="T1843" s="110" t="s">
        <v>1851</v>
      </c>
      <c r="U1843" s="46" t="s">
        <v>4737</v>
      </c>
      <c r="V1843" s="93" t="str">
        <f>+Agencia[[#This Row],[idcoleccion]]&amp;"-"&amp;Agencia[[#This Row],[id]]</f>
        <v>990-1832</v>
      </c>
      <c r="W1843" s="96">
        <v>99200014</v>
      </c>
      <c r="X1843" s="93" t="str">
        <f>+VLOOKUP(Agencia[[#This Row],[tema]],Estructura!$A$4:$C$500,3,0)</f>
        <v>T-1078</v>
      </c>
      <c r="Y1843" s="93" t="str">
        <f>+VLOOKUP(Agencia[[#This Row],[contenido]],Estructura!$E$4:$G$500,3,0)</f>
        <v>C-1015</v>
      </c>
      <c r="Z1843" s="93" t="str">
        <f>+VLOOKUP(Agencia[[#This Row],[Filtro Integrado]],Estructura!$I$4:$K$500,3,0)</f>
        <v>FI-993</v>
      </c>
      <c r="AA1843" s="93" t="str">
        <f>+VLOOKUP(Agencia[[#This Row],[Muestra]],Estructura!$M$4:$O$500,3,0)</f>
        <v>M-1113</v>
      </c>
    </row>
    <row r="1844" spans="1:27" ht="71.400000000000006" x14ac:dyDescent="0.3">
      <c r="A1844" s="21" t="s">
        <v>4973</v>
      </c>
      <c r="B1844" s="66">
        <v>990</v>
      </c>
      <c r="C1844" s="67" t="s">
        <v>400</v>
      </c>
      <c r="D1844" s="67" t="s">
        <v>2250</v>
      </c>
      <c r="E1844" s="89">
        <v>15</v>
      </c>
      <c r="F1844" s="72" t="s">
        <v>4031</v>
      </c>
      <c r="G1844" s="73" t="s">
        <v>1909</v>
      </c>
      <c r="H1844" s="79" t="s">
        <v>16</v>
      </c>
      <c r="I1844" s="80" t="s">
        <v>382</v>
      </c>
      <c r="J1844" s="66" t="s">
        <v>403</v>
      </c>
      <c r="K1844" s="136" t="s">
        <v>4031</v>
      </c>
      <c r="L1844" s="71" t="s">
        <v>1911</v>
      </c>
      <c r="M1844" s="71" t="s">
        <v>4032</v>
      </c>
      <c r="N1844" s="71" t="s">
        <v>428</v>
      </c>
      <c r="O1844" s="74" t="s">
        <v>4064</v>
      </c>
      <c r="P1844" s="112" t="s">
        <v>6503</v>
      </c>
      <c r="Q1844" s="68" t="s">
        <v>784</v>
      </c>
      <c r="R1844" s="74" t="str">
        <f>Agencia[[#This Row],[territorio]]&amp;",gobiernos,locales,catastro,predio,municipal,municipio,no agrícola,habitacional,"&amp;Agencia[[#This Row],[coleccion]]&amp;","&amp;Agencia[[#This Row],[sector]]&amp;","&amp;Agencia[[#This Row],[tema]]&amp;","&amp;Agencia[[#This Row],[contenido]]</f>
        <v>Región de Arica y Parinacota,gobiernos,locales,catastro,predio,municipal,municipio,no agrícola,habitacional,Agencia Información,Gobiernos Locales,Predios No Agrícolas Habitacionales,Gestión Municipal Territorial</v>
      </c>
      <c r="S1844" s="87" t="s">
        <v>4065</v>
      </c>
      <c r="T1844" s="110" t="s">
        <v>1845</v>
      </c>
      <c r="U1844" s="46" t="s">
        <v>4738</v>
      </c>
      <c r="V1844" s="93" t="str">
        <f>+Agencia[[#This Row],[idcoleccion]]&amp;"-"&amp;Agencia[[#This Row],[id]]</f>
        <v>990-1833</v>
      </c>
      <c r="W1844" s="96">
        <v>99200015</v>
      </c>
      <c r="X1844" s="93" t="str">
        <f>+VLOOKUP(Agencia[[#This Row],[tema]],Estructura!$A$4:$C$500,3,0)</f>
        <v>T-1078</v>
      </c>
      <c r="Y1844" s="93" t="str">
        <f>+VLOOKUP(Agencia[[#This Row],[contenido]],Estructura!$E$4:$G$500,3,0)</f>
        <v>C-1015</v>
      </c>
      <c r="Z1844" s="93" t="str">
        <f>+VLOOKUP(Agencia[[#This Row],[Filtro Integrado]],Estructura!$I$4:$K$500,3,0)</f>
        <v>FI-993</v>
      </c>
      <c r="AA1844" s="93" t="str">
        <f>+VLOOKUP(Agencia[[#This Row],[Muestra]],Estructura!$M$4:$O$500,3,0)</f>
        <v>M-1113</v>
      </c>
    </row>
    <row r="1845" spans="1:27" ht="61.2" x14ac:dyDescent="0.3">
      <c r="A1845" s="21" t="s">
        <v>4974</v>
      </c>
      <c r="B1845" s="71">
        <v>990</v>
      </c>
      <c r="C1845" s="72" t="s">
        <v>400</v>
      </c>
      <c r="D1845" s="72" t="s">
        <v>2250</v>
      </c>
      <c r="E1845" s="89">
        <v>16</v>
      </c>
      <c r="F1845" s="72" t="s">
        <v>4031</v>
      </c>
      <c r="G1845" s="73" t="s">
        <v>1909</v>
      </c>
      <c r="H1845" s="79" t="s">
        <v>16</v>
      </c>
      <c r="I1845" s="80" t="s">
        <v>383</v>
      </c>
      <c r="J1845" s="66" t="s">
        <v>403</v>
      </c>
      <c r="K1845" s="136" t="s">
        <v>4031</v>
      </c>
      <c r="L1845" s="71" t="s">
        <v>1911</v>
      </c>
      <c r="M1845" s="71" t="s">
        <v>4032</v>
      </c>
      <c r="N1845" s="71" t="s">
        <v>428</v>
      </c>
      <c r="O1845" s="74" t="s">
        <v>4066</v>
      </c>
      <c r="P1845" s="113" t="s">
        <v>6470</v>
      </c>
      <c r="Q1845" s="75" t="s">
        <v>784</v>
      </c>
      <c r="R1845" s="74" t="str">
        <f>Agencia[[#This Row],[territorio]]&amp;",gobiernos,locales,catastro,predio,municipal,municipio,no agrícola,habitacional,"&amp;Agencia[[#This Row],[coleccion]]&amp;","&amp;Agencia[[#This Row],[sector]]&amp;","&amp;Agencia[[#This Row],[tema]]&amp;","&amp;Agencia[[#This Row],[contenido]]</f>
        <v>Región de Ñuble,gobiernos,locales,catastro,predio,municipal,municipio,no agrícola,habitacional,Agencia Información,Gobiernos Locales,Predios No Agrícolas Habitacionales,Gestión Municipal Territorial</v>
      </c>
      <c r="S1845" s="87" t="s">
        <v>4067</v>
      </c>
      <c r="T1845" s="109" t="s">
        <v>1854</v>
      </c>
      <c r="U1845" s="46" t="s">
        <v>4739</v>
      </c>
      <c r="V1845" s="93" t="str">
        <f>+Agencia[[#This Row],[idcoleccion]]&amp;"-"&amp;Agencia[[#This Row],[id]]</f>
        <v>990-1834</v>
      </c>
      <c r="W1845" s="96">
        <v>99200016</v>
      </c>
      <c r="X1845" s="93" t="str">
        <f>+VLOOKUP(Agencia[[#This Row],[tema]],Estructura!$A$4:$C$500,3,0)</f>
        <v>T-1078</v>
      </c>
      <c r="Y1845" s="93" t="str">
        <f>+VLOOKUP(Agencia[[#This Row],[contenido]],Estructura!$E$4:$G$500,3,0)</f>
        <v>C-1015</v>
      </c>
      <c r="Z1845" s="93" t="str">
        <f>+VLOOKUP(Agencia[[#This Row],[Filtro Integrado]],Estructura!$I$4:$K$500,3,0)</f>
        <v>FI-993</v>
      </c>
      <c r="AA1845" s="93" t="str">
        <f>+VLOOKUP(Agencia[[#This Row],[Muestra]],Estructura!$M$4:$O$500,3,0)</f>
        <v>M-1113</v>
      </c>
    </row>
    <row r="1846" spans="1:27" ht="51" x14ac:dyDescent="0.3">
      <c r="A1846" s="21" t="s">
        <v>4975</v>
      </c>
      <c r="B1846" s="71">
        <v>990</v>
      </c>
      <c r="C1846" s="72" t="s">
        <v>400</v>
      </c>
      <c r="D1846" s="72" t="s">
        <v>2250</v>
      </c>
      <c r="E1846" s="90">
        <v>0</v>
      </c>
      <c r="F1846" s="72" t="s">
        <v>4068</v>
      </c>
      <c r="G1846" s="73" t="s">
        <v>1909</v>
      </c>
      <c r="H1846" s="77" t="s">
        <v>20</v>
      </c>
      <c r="I1846" s="78" t="s">
        <v>15</v>
      </c>
      <c r="J1846" s="71" t="s">
        <v>16</v>
      </c>
      <c r="K1846" s="71" t="s">
        <v>4068</v>
      </c>
      <c r="L1846" s="71" t="s">
        <v>811</v>
      </c>
      <c r="M1846" s="71" t="s">
        <v>4069</v>
      </c>
      <c r="N1846" s="71" t="s">
        <v>428</v>
      </c>
      <c r="O1846" s="74" t="s">
        <v>4070</v>
      </c>
      <c r="P1846" s="113" t="s">
        <v>6470</v>
      </c>
      <c r="Q1846" s="75" t="s">
        <v>784</v>
      </c>
      <c r="R1846" s="74" t="str">
        <f>Agencia[[#This Row],[territorio]]&amp;",gobiernos,locales,propiedades,municipal,municipio,cantidad,comunal,"&amp;Agencia[[#This Row],[coleccion]]&amp;","&amp;Agencia[[#This Row],[sector]]&amp;","&amp;Agencia[[#This Row],[tema]]&amp;","&amp;Agencia[[#This Row],[contenido]]</f>
        <v>Chile,gobiernos,locales,propiedades,municipal,municipio,cantidad,comunal,Agencia Información,Gobiernos Locales,Propiedades Municipales,Gestión Municipal Territorial</v>
      </c>
      <c r="S1846" s="85" t="s">
        <v>4071</v>
      </c>
      <c r="T1846" s="109" t="s">
        <v>957</v>
      </c>
      <c r="U1846" s="46" t="s">
        <v>4740</v>
      </c>
      <c r="V1846" s="93" t="str">
        <f>+Agencia[[#This Row],[idcoleccion]]&amp;"-"&amp;Agencia[[#This Row],[id]]</f>
        <v>990-1835</v>
      </c>
      <c r="W1846" s="96">
        <v>99100000</v>
      </c>
      <c r="X1846" s="93" t="str">
        <f>+VLOOKUP(Agencia[[#This Row],[tema]],Estructura!$A$4:$C$500,3,0)</f>
        <v>T-1079</v>
      </c>
      <c r="Y1846" s="93" t="str">
        <f>+VLOOKUP(Agencia[[#This Row],[contenido]],Estructura!$E$4:$G$500,3,0)</f>
        <v>C-1015</v>
      </c>
      <c r="Z1846" s="93" t="str">
        <f>+VLOOKUP(Agencia[[#This Row],[Filtro Integrado]],Estructura!$I$4:$K$500,3,0)</f>
        <v>FI-992</v>
      </c>
      <c r="AA1846" s="93" t="str">
        <f>+VLOOKUP(Agencia[[#This Row],[Muestra]],Estructura!$M$4:$O$500,3,0)</f>
        <v>M-1114</v>
      </c>
    </row>
    <row r="1847" spans="1:27" ht="57.6" x14ac:dyDescent="0.3">
      <c r="A1847" s="21" t="s">
        <v>4976</v>
      </c>
      <c r="B1847" s="66">
        <v>990</v>
      </c>
      <c r="C1847" s="67" t="s">
        <v>400</v>
      </c>
      <c r="D1847" s="67" t="s">
        <v>2250</v>
      </c>
      <c r="E1847" s="89">
        <v>1</v>
      </c>
      <c r="F1847" s="72" t="s">
        <v>4068</v>
      </c>
      <c r="G1847" s="73" t="s">
        <v>1909</v>
      </c>
      <c r="H1847" s="79" t="s">
        <v>16</v>
      </c>
      <c r="I1847" s="80" t="s">
        <v>368</v>
      </c>
      <c r="J1847" s="66" t="s">
        <v>403</v>
      </c>
      <c r="K1847" s="136" t="s">
        <v>4068</v>
      </c>
      <c r="L1847" s="71" t="s">
        <v>811</v>
      </c>
      <c r="M1847" s="71" t="s">
        <v>4069</v>
      </c>
      <c r="N1847" s="71" t="s">
        <v>428</v>
      </c>
      <c r="O1847" s="74" t="s">
        <v>4072</v>
      </c>
      <c r="P1847" s="112" t="s">
        <v>6493</v>
      </c>
      <c r="Q1847" s="68" t="s">
        <v>784</v>
      </c>
      <c r="R1847" s="74" t="str">
        <f>Agencia[[#This Row],[territorio]]&amp;",gobiernos,locales,propiedades,municipal,municipio,cantidad,comunal,"&amp;Agencia[[#This Row],[coleccion]]&amp;","&amp;Agencia[[#This Row],[sector]]&amp;","&amp;Agencia[[#This Row],[tema]]&amp;","&amp;Agencia[[#This Row],[contenido]]</f>
        <v>Región de Tarapacá,gobiernos,locales,propiedades,municipal,municipio,cantidad,comunal,Agencia Información,Gobiernos Locales,Propiedades Municipales,Gestión Municipal Territorial</v>
      </c>
      <c r="S1847" s="83" t="s">
        <v>4073</v>
      </c>
      <c r="T1847" s="110" t="s">
        <v>1856</v>
      </c>
      <c r="U1847" s="46" t="s">
        <v>4741</v>
      </c>
      <c r="V1847" s="93" t="str">
        <f>+Agencia[[#This Row],[idcoleccion]]&amp;"-"&amp;Agencia[[#This Row],[id]]</f>
        <v>990-1836</v>
      </c>
      <c r="W1847" s="96">
        <v>99200001</v>
      </c>
      <c r="X1847" s="93" t="str">
        <f>+VLOOKUP(Agencia[[#This Row],[tema]],Estructura!$A$4:$C$500,3,0)</f>
        <v>T-1079</v>
      </c>
      <c r="Y1847" s="93" t="str">
        <f>+VLOOKUP(Agencia[[#This Row],[contenido]],Estructura!$E$4:$G$500,3,0)</f>
        <v>C-1015</v>
      </c>
      <c r="Z1847" s="93" t="str">
        <f>+VLOOKUP(Agencia[[#This Row],[Filtro Integrado]],Estructura!$I$4:$K$500,3,0)</f>
        <v>FI-993</v>
      </c>
      <c r="AA1847" s="93" t="str">
        <f>+VLOOKUP(Agencia[[#This Row],[Muestra]],Estructura!$M$4:$O$500,3,0)</f>
        <v>M-1114</v>
      </c>
    </row>
    <row r="1848" spans="1:27" ht="57.6" x14ac:dyDescent="0.3">
      <c r="A1848" s="21" t="s">
        <v>4977</v>
      </c>
      <c r="B1848" s="66">
        <v>990</v>
      </c>
      <c r="C1848" s="67" t="s">
        <v>400</v>
      </c>
      <c r="D1848" s="67" t="s">
        <v>2250</v>
      </c>
      <c r="E1848" s="89">
        <v>2</v>
      </c>
      <c r="F1848" s="72" t="s">
        <v>4068</v>
      </c>
      <c r="G1848" s="73" t="s">
        <v>1909</v>
      </c>
      <c r="H1848" s="79" t="s">
        <v>16</v>
      </c>
      <c r="I1848" s="80" t="s">
        <v>369</v>
      </c>
      <c r="J1848" s="66" t="s">
        <v>403</v>
      </c>
      <c r="K1848" s="136" t="s">
        <v>4068</v>
      </c>
      <c r="L1848" s="71" t="s">
        <v>811</v>
      </c>
      <c r="M1848" s="71" t="s">
        <v>4069</v>
      </c>
      <c r="N1848" s="71" t="s">
        <v>428</v>
      </c>
      <c r="O1848" s="74" t="s">
        <v>4074</v>
      </c>
      <c r="P1848" s="112" t="s">
        <v>6494</v>
      </c>
      <c r="Q1848" s="68" t="s">
        <v>784</v>
      </c>
      <c r="R1848" s="74" t="str">
        <f>Agencia[[#This Row],[territorio]]&amp;",gobiernos,locales,propiedades,municipal,municipio,cantidad,comunal,"&amp;Agencia[[#This Row],[coleccion]]&amp;","&amp;Agencia[[#This Row],[sector]]&amp;","&amp;Agencia[[#This Row],[tema]]&amp;","&amp;Agencia[[#This Row],[contenido]]</f>
        <v>Región de Antofagasta,gobiernos,locales,propiedades,municipal,municipio,cantidad,comunal,Agencia Información,Gobiernos Locales,Propiedades Municipales,Gestión Municipal Territorial</v>
      </c>
      <c r="S1848" s="83" t="s">
        <v>4075</v>
      </c>
      <c r="T1848" s="110" t="s">
        <v>1844</v>
      </c>
      <c r="U1848" s="46" t="s">
        <v>4742</v>
      </c>
      <c r="V1848" s="93" t="str">
        <f>+Agencia[[#This Row],[idcoleccion]]&amp;"-"&amp;Agencia[[#This Row],[id]]</f>
        <v>990-1837</v>
      </c>
      <c r="W1848" s="96">
        <v>99200002</v>
      </c>
      <c r="X1848" s="93" t="str">
        <f>+VLOOKUP(Agencia[[#This Row],[tema]],Estructura!$A$4:$C$500,3,0)</f>
        <v>T-1079</v>
      </c>
      <c r="Y1848" s="93" t="str">
        <f>+VLOOKUP(Agencia[[#This Row],[contenido]],Estructura!$E$4:$G$500,3,0)</f>
        <v>C-1015</v>
      </c>
      <c r="Z1848" s="93" t="str">
        <f>+VLOOKUP(Agencia[[#This Row],[Filtro Integrado]],Estructura!$I$4:$K$500,3,0)</f>
        <v>FI-993</v>
      </c>
      <c r="AA1848" s="93" t="str">
        <f>+VLOOKUP(Agencia[[#This Row],[Muestra]],Estructura!$M$4:$O$500,3,0)</f>
        <v>M-1114</v>
      </c>
    </row>
    <row r="1849" spans="1:27" ht="57.6" x14ac:dyDescent="0.3">
      <c r="A1849" s="21" t="s">
        <v>4978</v>
      </c>
      <c r="B1849" s="66">
        <v>990</v>
      </c>
      <c r="C1849" s="67" t="s">
        <v>400</v>
      </c>
      <c r="D1849" s="67" t="s">
        <v>2250</v>
      </c>
      <c r="E1849" s="89">
        <v>3</v>
      </c>
      <c r="F1849" s="72" t="s">
        <v>4068</v>
      </c>
      <c r="G1849" s="73" t="s">
        <v>1909</v>
      </c>
      <c r="H1849" s="79" t="s">
        <v>16</v>
      </c>
      <c r="I1849" s="80" t="s">
        <v>370</v>
      </c>
      <c r="J1849" s="66" t="s">
        <v>403</v>
      </c>
      <c r="K1849" s="136" t="s">
        <v>4068</v>
      </c>
      <c r="L1849" s="71" t="s">
        <v>811</v>
      </c>
      <c r="M1849" s="71" t="s">
        <v>4069</v>
      </c>
      <c r="N1849" s="71" t="s">
        <v>428</v>
      </c>
      <c r="O1849" s="74" t="s">
        <v>4076</v>
      </c>
      <c r="P1849" s="112" t="s">
        <v>6491</v>
      </c>
      <c r="Q1849" s="68" t="s">
        <v>784</v>
      </c>
      <c r="R1849" s="74" t="str">
        <f>Agencia[[#This Row],[territorio]]&amp;",gobiernos,locales,propiedades,municipal,municipio,cantidad,comunal,"&amp;Agencia[[#This Row],[coleccion]]&amp;","&amp;Agencia[[#This Row],[sector]]&amp;","&amp;Agencia[[#This Row],[tema]]&amp;","&amp;Agencia[[#This Row],[contenido]]</f>
        <v>Región de Atacama,gobiernos,locales,propiedades,municipal,municipio,cantidad,comunal,Agencia Información,Gobiernos Locales,Propiedades Municipales,Gestión Municipal Territorial</v>
      </c>
      <c r="S1849" s="83" t="s">
        <v>4077</v>
      </c>
      <c r="T1849" s="110" t="s">
        <v>1846</v>
      </c>
      <c r="U1849" s="46" t="s">
        <v>4743</v>
      </c>
      <c r="V1849" s="93" t="str">
        <f>+Agencia[[#This Row],[idcoleccion]]&amp;"-"&amp;Agencia[[#This Row],[id]]</f>
        <v>990-1838</v>
      </c>
      <c r="W1849" s="96">
        <v>99200003</v>
      </c>
      <c r="X1849" s="93" t="str">
        <f>+VLOOKUP(Agencia[[#This Row],[tema]],Estructura!$A$4:$C$500,3,0)</f>
        <v>T-1079</v>
      </c>
      <c r="Y1849" s="93" t="str">
        <f>+VLOOKUP(Agencia[[#This Row],[contenido]],Estructura!$E$4:$G$500,3,0)</f>
        <v>C-1015</v>
      </c>
      <c r="Z1849" s="93" t="str">
        <f>+VLOOKUP(Agencia[[#This Row],[Filtro Integrado]],Estructura!$I$4:$K$500,3,0)</f>
        <v>FI-993</v>
      </c>
      <c r="AA1849" s="93" t="str">
        <f>+VLOOKUP(Agencia[[#This Row],[Muestra]],Estructura!$M$4:$O$500,3,0)</f>
        <v>M-1114</v>
      </c>
    </row>
    <row r="1850" spans="1:27" ht="57.6" x14ac:dyDescent="0.3">
      <c r="A1850" s="21" t="s">
        <v>4979</v>
      </c>
      <c r="B1850" s="66">
        <v>990</v>
      </c>
      <c r="C1850" s="67" t="s">
        <v>400</v>
      </c>
      <c r="D1850" s="67" t="s">
        <v>2250</v>
      </c>
      <c r="E1850" s="89">
        <v>4</v>
      </c>
      <c r="F1850" s="72" t="s">
        <v>4068</v>
      </c>
      <c r="G1850" s="73" t="s">
        <v>1909</v>
      </c>
      <c r="H1850" s="79" t="s">
        <v>16</v>
      </c>
      <c r="I1850" s="80" t="s">
        <v>371</v>
      </c>
      <c r="J1850" s="66" t="s">
        <v>403</v>
      </c>
      <c r="K1850" s="136" t="s">
        <v>4068</v>
      </c>
      <c r="L1850" s="71" t="s">
        <v>811</v>
      </c>
      <c r="M1850" s="71" t="s">
        <v>4069</v>
      </c>
      <c r="N1850" s="71" t="s">
        <v>428</v>
      </c>
      <c r="O1850" s="74" t="s">
        <v>4078</v>
      </c>
      <c r="P1850" s="112" t="s">
        <v>6492</v>
      </c>
      <c r="Q1850" s="68" t="s">
        <v>784</v>
      </c>
      <c r="R1850" s="74" t="str">
        <f>Agencia[[#This Row],[territorio]]&amp;",gobiernos,locales,propiedades,municipal,municipio,cantidad,comunal,"&amp;Agencia[[#This Row],[coleccion]]&amp;","&amp;Agencia[[#This Row],[sector]]&amp;","&amp;Agencia[[#This Row],[tema]]&amp;","&amp;Agencia[[#This Row],[contenido]]</f>
        <v>Región de Coquimbo,gobiernos,locales,propiedades,municipal,municipio,cantidad,comunal,Agencia Información,Gobiernos Locales,Propiedades Municipales,Gestión Municipal Territorial</v>
      </c>
      <c r="S1850" s="83" t="s">
        <v>4079</v>
      </c>
      <c r="T1850" s="110" t="s">
        <v>1848</v>
      </c>
      <c r="U1850" s="46" t="s">
        <v>4744</v>
      </c>
      <c r="V1850" s="93" t="str">
        <f>+Agencia[[#This Row],[idcoleccion]]&amp;"-"&amp;Agencia[[#This Row],[id]]</f>
        <v>990-1839</v>
      </c>
      <c r="W1850" s="96">
        <v>99200004</v>
      </c>
      <c r="X1850" s="93" t="str">
        <f>+VLOOKUP(Agencia[[#This Row],[tema]],Estructura!$A$4:$C$500,3,0)</f>
        <v>T-1079</v>
      </c>
      <c r="Y1850" s="93" t="str">
        <f>+VLOOKUP(Agencia[[#This Row],[contenido]],Estructura!$E$4:$G$500,3,0)</f>
        <v>C-1015</v>
      </c>
      <c r="Z1850" s="93" t="str">
        <f>+VLOOKUP(Agencia[[#This Row],[Filtro Integrado]],Estructura!$I$4:$K$500,3,0)</f>
        <v>FI-993</v>
      </c>
      <c r="AA1850" s="93" t="str">
        <f>+VLOOKUP(Agencia[[#This Row],[Muestra]],Estructura!$M$4:$O$500,3,0)</f>
        <v>M-1114</v>
      </c>
    </row>
    <row r="1851" spans="1:27" ht="57.6" x14ac:dyDescent="0.3">
      <c r="A1851" s="21" t="s">
        <v>4980</v>
      </c>
      <c r="B1851" s="66">
        <v>990</v>
      </c>
      <c r="C1851" s="67" t="s">
        <v>400</v>
      </c>
      <c r="D1851" s="67" t="s">
        <v>2250</v>
      </c>
      <c r="E1851" s="89">
        <v>5</v>
      </c>
      <c r="F1851" s="72" t="s">
        <v>4068</v>
      </c>
      <c r="G1851" s="73" t="s">
        <v>1909</v>
      </c>
      <c r="H1851" s="79" t="s">
        <v>16</v>
      </c>
      <c r="I1851" s="80" t="s">
        <v>372</v>
      </c>
      <c r="J1851" s="66" t="s">
        <v>403</v>
      </c>
      <c r="K1851" s="136" t="s">
        <v>4068</v>
      </c>
      <c r="L1851" s="71" t="s">
        <v>811</v>
      </c>
      <c r="M1851" s="71" t="s">
        <v>4069</v>
      </c>
      <c r="N1851" s="71" t="s">
        <v>428</v>
      </c>
      <c r="O1851" s="74" t="s">
        <v>4080</v>
      </c>
      <c r="P1851" s="112" t="s">
        <v>6495</v>
      </c>
      <c r="Q1851" s="68" t="s">
        <v>784</v>
      </c>
      <c r="R1851" s="74" t="str">
        <f>Agencia[[#This Row],[territorio]]&amp;",gobiernos,locales,propiedades,municipal,municipio,cantidad,comunal,"&amp;Agencia[[#This Row],[coleccion]]&amp;","&amp;Agencia[[#This Row],[sector]]&amp;","&amp;Agencia[[#This Row],[tema]]&amp;","&amp;Agencia[[#This Row],[contenido]]</f>
        <v>Región de Valparaíso,gobiernos,locales,propiedades,municipal,municipio,cantidad,comunal,Agencia Información,Gobiernos Locales,Propiedades Municipales,Gestión Municipal Territorial</v>
      </c>
      <c r="S1851" s="83" t="s">
        <v>4081</v>
      </c>
      <c r="T1851" s="110" t="s">
        <v>1857</v>
      </c>
      <c r="U1851" s="46" t="s">
        <v>4745</v>
      </c>
      <c r="V1851" s="93" t="str">
        <f>+Agencia[[#This Row],[idcoleccion]]&amp;"-"&amp;Agencia[[#This Row],[id]]</f>
        <v>990-1840</v>
      </c>
      <c r="W1851" s="96">
        <v>99200005</v>
      </c>
      <c r="X1851" s="93" t="str">
        <f>+VLOOKUP(Agencia[[#This Row],[tema]],Estructura!$A$4:$C$500,3,0)</f>
        <v>T-1079</v>
      </c>
      <c r="Y1851" s="93" t="str">
        <f>+VLOOKUP(Agencia[[#This Row],[contenido]],Estructura!$E$4:$G$500,3,0)</f>
        <v>C-1015</v>
      </c>
      <c r="Z1851" s="93" t="str">
        <f>+VLOOKUP(Agencia[[#This Row],[Filtro Integrado]],Estructura!$I$4:$K$500,3,0)</f>
        <v>FI-993</v>
      </c>
      <c r="AA1851" s="93" t="str">
        <f>+VLOOKUP(Agencia[[#This Row],[Muestra]],Estructura!$M$4:$O$500,3,0)</f>
        <v>M-1114</v>
      </c>
    </row>
    <row r="1852" spans="1:27" ht="57.6" x14ac:dyDescent="0.3">
      <c r="A1852" s="21" t="s">
        <v>4981</v>
      </c>
      <c r="B1852" s="66">
        <v>990</v>
      </c>
      <c r="C1852" s="67" t="s">
        <v>400</v>
      </c>
      <c r="D1852" s="67" t="s">
        <v>2250</v>
      </c>
      <c r="E1852" s="89">
        <v>6</v>
      </c>
      <c r="F1852" s="72" t="s">
        <v>4068</v>
      </c>
      <c r="G1852" s="73" t="s">
        <v>1909</v>
      </c>
      <c r="H1852" s="79" t="s">
        <v>16</v>
      </c>
      <c r="I1852" s="80" t="s">
        <v>373</v>
      </c>
      <c r="J1852" s="66" t="s">
        <v>403</v>
      </c>
      <c r="K1852" s="136" t="s">
        <v>4068</v>
      </c>
      <c r="L1852" s="71" t="s">
        <v>811</v>
      </c>
      <c r="M1852" s="71" t="s">
        <v>4069</v>
      </c>
      <c r="N1852" s="71" t="s">
        <v>428</v>
      </c>
      <c r="O1852" s="74" t="s">
        <v>4082</v>
      </c>
      <c r="P1852" s="112" t="s">
        <v>6496</v>
      </c>
      <c r="Q1852" s="68" t="s">
        <v>784</v>
      </c>
      <c r="R1852" s="74" t="str">
        <f>Agencia[[#This Row],[territorio]]&amp;",gobiernos,locales,propiedades,municipal,municipio,cantidad,comunal,"&amp;Agencia[[#This Row],[coleccion]]&amp;","&amp;Agencia[[#This Row],[sector]]&amp;","&amp;Agencia[[#This Row],[tema]]&amp;","&amp;Agencia[[#This Row],[contenido]]</f>
        <v>Región de O'Higgins,gobiernos,locales,propiedades,municipal,municipio,cantidad,comunal,Agencia Información,Gobiernos Locales,Propiedades Municipales,Gestión Municipal Territorial</v>
      </c>
      <c r="S1852" s="83" t="s">
        <v>4083</v>
      </c>
      <c r="T1852" s="110" t="s">
        <v>1855</v>
      </c>
      <c r="U1852" s="46" t="s">
        <v>4746</v>
      </c>
      <c r="V1852" s="93" t="str">
        <f>+Agencia[[#This Row],[idcoleccion]]&amp;"-"&amp;Agencia[[#This Row],[id]]</f>
        <v>990-1841</v>
      </c>
      <c r="W1852" s="96">
        <v>99200006</v>
      </c>
      <c r="X1852" s="93" t="str">
        <f>+VLOOKUP(Agencia[[#This Row],[tema]],Estructura!$A$4:$C$500,3,0)</f>
        <v>T-1079</v>
      </c>
      <c r="Y1852" s="93" t="str">
        <f>+VLOOKUP(Agencia[[#This Row],[contenido]],Estructura!$E$4:$G$500,3,0)</f>
        <v>C-1015</v>
      </c>
      <c r="Z1852" s="93" t="str">
        <f>+VLOOKUP(Agencia[[#This Row],[Filtro Integrado]],Estructura!$I$4:$K$500,3,0)</f>
        <v>FI-993</v>
      </c>
      <c r="AA1852" s="93" t="str">
        <f>+VLOOKUP(Agencia[[#This Row],[Muestra]],Estructura!$M$4:$O$500,3,0)</f>
        <v>M-1114</v>
      </c>
    </row>
    <row r="1853" spans="1:27" ht="57.6" x14ac:dyDescent="0.3">
      <c r="A1853" s="21" t="s">
        <v>4982</v>
      </c>
      <c r="B1853" s="66">
        <v>990</v>
      </c>
      <c r="C1853" s="67" t="s">
        <v>400</v>
      </c>
      <c r="D1853" s="67" t="s">
        <v>2250</v>
      </c>
      <c r="E1853" s="89">
        <v>7</v>
      </c>
      <c r="F1853" s="72" t="s">
        <v>4068</v>
      </c>
      <c r="G1853" s="73" t="s">
        <v>1909</v>
      </c>
      <c r="H1853" s="79" t="s">
        <v>16</v>
      </c>
      <c r="I1853" s="80" t="s">
        <v>374</v>
      </c>
      <c r="J1853" s="66" t="s">
        <v>403</v>
      </c>
      <c r="K1853" s="136" t="s">
        <v>4068</v>
      </c>
      <c r="L1853" s="71" t="s">
        <v>811</v>
      </c>
      <c r="M1853" s="71" t="s">
        <v>4069</v>
      </c>
      <c r="N1853" s="71" t="s">
        <v>428</v>
      </c>
      <c r="O1853" s="74" t="s">
        <v>4084</v>
      </c>
      <c r="P1853" s="112" t="s">
        <v>6497</v>
      </c>
      <c r="Q1853" s="68" t="s">
        <v>784</v>
      </c>
      <c r="R1853" s="74" t="str">
        <f>Agencia[[#This Row],[territorio]]&amp;",gobiernos,locales,propiedades,municipal,municipio,cantidad,comunal,"&amp;Agencia[[#This Row],[coleccion]]&amp;","&amp;Agencia[[#This Row],[sector]]&amp;","&amp;Agencia[[#This Row],[tema]]&amp;","&amp;Agencia[[#This Row],[contenido]]</f>
        <v>Región de Maule,gobiernos,locales,propiedades,municipal,municipio,cantidad,comunal,Agencia Información,Gobiernos Locales,Propiedades Municipales,Gestión Municipal Territorial</v>
      </c>
      <c r="S1853" s="83" t="s">
        <v>4085</v>
      </c>
      <c r="T1853" s="110" t="s">
        <v>1853</v>
      </c>
      <c r="U1853" s="46" t="s">
        <v>4747</v>
      </c>
      <c r="V1853" s="93" t="str">
        <f>+Agencia[[#This Row],[idcoleccion]]&amp;"-"&amp;Agencia[[#This Row],[id]]</f>
        <v>990-1842</v>
      </c>
      <c r="W1853" s="96">
        <v>99200007</v>
      </c>
      <c r="X1853" s="93" t="str">
        <f>+VLOOKUP(Agencia[[#This Row],[tema]],Estructura!$A$4:$C$500,3,0)</f>
        <v>T-1079</v>
      </c>
      <c r="Y1853" s="93" t="str">
        <f>+VLOOKUP(Agencia[[#This Row],[contenido]],Estructura!$E$4:$G$500,3,0)</f>
        <v>C-1015</v>
      </c>
      <c r="Z1853" s="93" t="str">
        <f>+VLOOKUP(Agencia[[#This Row],[Filtro Integrado]],Estructura!$I$4:$K$500,3,0)</f>
        <v>FI-993</v>
      </c>
      <c r="AA1853" s="93" t="str">
        <f>+VLOOKUP(Agencia[[#This Row],[Muestra]],Estructura!$M$4:$O$500,3,0)</f>
        <v>M-1114</v>
      </c>
    </row>
    <row r="1854" spans="1:27" ht="57.6" x14ac:dyDescent="0.3">
      <c r="A1854" s="21" t="s">
        <v>4983</v>
      </c>
      <c r="B1854" s="66">
        <v>990</v>
      </c>
      <c r="C1854" s="67" t="s">
        <v>400</v>
      </c>
      <c r="D1854" s="67" t="s">
        <v>2250</v>
      </c>
      <c r="E1854" s="89">
        <v>8</v>
      </c>
      <c r="F1854" s="72" t="s">
        <v>4068</v>
      </c>
      <c r="G1854" s="73" t="s">
        <v>1909</v>
      </c>
      <c r="H1854" s="79" t="s">
        <v>16</v>
      </c>
      <c r="I1854" s="80" t="s">
        <v>375</v>
      </c>
      <c r="J1854" s="66" t="s">
        <v>403</v>
      </c>
      <c r="K1854" s="136" t="s">
        <v>4068</v>
      </c>
      <c r="L1854" s="71" t="s">
        <v>811</v>
      </c>
      <c r="M1854" s="71" t="s">
        <v>4069</v>
      </c>
      <c r="N1854" s="71" t="s">
        <v>428</v>
      </c>
      <c r="O1854" s="74" t="s">
        <v>4086</v>
      </c>
      <c r="P1854" s="112" t="s">
        <v>6498</v>
      </c>
      <c r="Q1854" s="68" t="s">
        <v>784</v>
      </c>
      <c r="R1854" s="74" t="str">
        <f>Agencia[[#This Row],[territorio]]&amp;",gobiernos,locales,propiedades,municipal,municipio,cantidad,comunal,"&amp;Agencia[[#This Row],[coleccion]]&amp;","&amp;Agencia[[#This Row],[sector]]&amp;","&amp;Agencia[[#This Row],[tema]]&amp;","&amp;Agencia[[#This Row],[contenido]]</f>
        <v>Región del Biobío,gobiernos,locales,propiedades,municipal,municipio,cantidad,comunal,Agencia Información,Gobiernos Locales,Propiedades Municipales,Gestión Municipal Territorial</v>
      </c>
      <c r="S1854" s="83" t="s">
        <v>4087</v>
      </c>
      <c r="T1854" s="110" t="s">
        <v>1858</v>
      </c>
      <c r="U1854" s="46" t="s">
        <v>4748</v>
      </c>
      <c r="V1854" s="93" t="str">
        <f>+Agencia[[#This Row],[idcoleccion]]&amp;"-"&amp;Agencia[[#This Row],[id]]</f>
        <v>990-1843</v>
      </c>
      <c r="W1854" s="96">
        <v>99200008</v>
      </c>
      <c r="X1854" s="93" t="str">
        <f>+VLOOKUP(Agencia[[#This Row],[tema]],Estructura!$A$4:$C$500,3,0)</f>
        <v>T-1079</v>
      </c>
      <c r="Y1854" s="93" t="str">
        <f>+VLOOKUP(Agencia[[#This Row],[contenido]],Estructura!$E$4:$G$500,3,0)</f>
        <v>C-1015</v>
      </c>
      <c r="Z1854" s="93" t="str">
        <f>+VLOOKUP(Agencia[[#This Row],[Filtro Integrado]],Estructura!$I$4:$K$500,3,0)</f>
        <v>FI-993</v>
      </c>
      <c r="AA1854" s="93" t="str">
        <f>+VLOOKUP(Agencia[[#This Row],[Muestra]],Estructura!$M$4:$O$500,3,0)</f>
        <v>M-1114</v>
      </c>
    </row>
    <row r="1855" spans="1:27" ht="57.6" x14ac:dyDescent="0.3">
      <c r="A1855" s="21" t="s">
        <v>4984</v>
      </c>
      <c r="B1855" s="66">
        <v>990</v>
      </c>
      <c r="C1855" s="67" t="s">
        <v>400</v>
      </c>
      <c r="D1855" s="67" t="s">
        <v>2250</v>
      </c>
      <c r="E1855" s="89">
        <v>9</v>
      </c>
      <c r="F1855" s="72" t="s">
        <v>4068</v>
      </c>
      <c r="G1855" s="73" t="s">
        <v>1909</v>
      </c>
      <c r="H1855" s="79" t="s">
        <v>16</v>
      </c>
      <c r="I1855" s="80" t="s">
        <v>376</v>
      </c>
      <c r="J1855" s="66" t="s">
        <v>403</v>
      </c>
      <c r="K1855" s="136" t="s">
        <v>4068</v>
      </c>
      <c r="L1855" s="71" t="s">
        <v>811</v>
      </c>
      <c r="M1855" s="71" t="s">
        <v>4069</v>
      </c>
      <c r="N1855" s="71" t="s">
        <v>428</v>
      </c>
      <c r="O1855" s="74" t="s">
        <v>4088</v>
      </c>
      <c r="P1855" s="112" t="s">
        <v>6499</v>
      </c>
      <c r="Q1855" s="68" t="s">
        <v>784</v>
      </c>
      <c r="R1855" s="74" t="str">
        <f>Agencia[[#This Row],[territorio]]&amp;",gobiernos,locales,propiedades,municipal,municipio,cantidad,comunal,"&amp;Agencia[[#This Row],[coleccion]]&amp;","&amp;Agencia[[#This Row],[sector]]&amp;","&amp;Agencia[[#This Row],[tema]]&amp;","&amp;Agencia[[#This Row],[contenido]]</f>
        <v>Región de La Araucanía,gobiernos,locales,propiedades,municipal,municipio,cantidad,comunal,Agencia Información,Gobiernos Locales,Propiedades Municipales,Gestión Municipal Territorial</v>
      </c>
      <c r="S1855" s="83" t="s">
        <v>4089</v>
      </c>
      <c r="T1855" s="110" t="s">
        <v>1849</v>
      </c>
      <c r="U1855" s="46" t="s">
        <v>4749</v>
      </c>
      <c r="V1855" s="93" t="str">
        <f>+Agencia[[#This Row],[idcoleccion]]&amp;"-"&amp;Agencia[[#This Row],[id]]</f>
        <v>990-1844</v>
      </c>
      <c r="W1855" s="96">
        <v>99200009</v>
      </c>
      <c r="X1855" s="93" t="str">
        <f>+VLOOKUP(Agencia[[#This Row],[tema]],Estructura!$A$4:$C$500,3,0)</f>
        <v>T-1079</v>
      </c>
      <c r="Y1855" s="93" t="str">
        <f>+VLOOKUP(Agencia[[#This Row],[contenido]],Estructura!$E$4:$G$500,3,0)</f>
        <v>C-1015</v>
      </c>
      <c r="Z1855" s="93" t="str">
        <f>+VLOOKUP(Agencia[[#This Row],[Filtro Integrado]],Estructura!$I$4:$K$500,3,0)</f>
        <v>FI-993</v>
      </c>
      <c r="AA1855" s="93" t="str">
        <f>+VLOOKUP(Agencia[[#This Row],[Muestra]],Estructura!$M$4:$O$500,3,0)</f>
        <v>M-1114</v>
      </c>
    </row>
    <row r="1856" spans="1:27" ht="57.6" x14ac:dyDescent="0.3">
      <c r="A1856" s="21" t="s">
        <v>4985</v>
      </c>
      <c r="B1856" s="66">
        <v>990</v>
      </c>
      <c r="C1856" s="67" t="s">
        <v>400</v>
      </c>
      <c r="D1856" s="67" t="s">
        <v>2250</v>
      </c>
      <c r="E1856" s="89">
        <v>10</v>
      </c>
      <c r="F1856" s="72" t="s">
        <v>4068</v>
      </c>
      <c r="G1856" s="73" t="s">
        <v>1909</v>
      </c>
      <c r="H1856" s="79" t="s">
        <v>16</v>
      </c>
      <c r="I1856" s="80" t="s">
        <v>377</v>
      </c>
      <c r="J1856" s="66" t="s">
        <v>403</v>
      </c>
      <c r="K1856" s="136" t="s">
        <v>4068</v>
      </c>
      <c r="L1856" s="71" t="s">
        <v>811</v>
      </c>
      <c r="M1856" s="71" t="s">
        <v>4069</v>
      </c>
      <c r="N1856" s="71" t="s">
        <v>428</v>
      </c>
      <c r="O1856" s="74" t="s">
        <v>4090</v>
      </c>
      <c r="P1856" s="112" t="s">
        <v>6487</v>
      </c>
      <c r="Q1856" s="68" t="s">
        <v>784</v>
      </c>
      <c r="R1856" s="74" t="str">
        <f>Agencia[[#This Row],[territorio]]&amp;",gobiernos,locales,propiedades,municipal,municipio,cantidad,comunal,"&amp;Agencia[[#This Row],[coleccion]]&amp;","&amp;Agencia[[#This Row],[sector]]&amp;","&amp;Agencia[[#This Row],[tema]]&amp;","&amp;Agencia[[#This Row],[contenido]]</f>
        <v>Región de Los Lagos,gobiernos,locales,propiedades,municipal,municipio,cantidad,comunal,Agencia Información,Gobiernos Locales,Propiedades Municipales,Gestión Municipal Territorial</v>
      </c>
      <c r="S1856" s="83" t="s">
        <v>4091</v>
      </c>
      <c r="T1856" s="110" t="s">
        <v>1850</v>
      </c>
      <c r="U1856" s="46" t="s">
        <v>4750</v>
      </c>
      <c r="V1856" s="93" t="str">
        <f>+Agencia[[#This Row],[idcoleccion]]&amp;"-"&amp;Agencia[[#This Row],[id]]</f>
        <v>990-1845</v>
      </c>
      <c r="W1856" s="96">
        <v>99200010</v>
      </c>
      <c r="X1856" s="93" t="str">
        <f>+VLOOKUP(Agencia[[#This Row],[tema]],Estructura!$A$4:$C$500,3,0)</f>
        <v>T-1079</v>
      </c>
      <c r="Y1856" s="93" t="str">
        <f>+VLOOKUP(Agencia[[#This Row],[contenido]],Estructura!$E$4:$G$500,3,0)</f>
        <v>C-1015</v>
      </c>
      <c r="Z1856" s="93" t="str">
        <f>+VLOOKUP(Agencia[[#This Row],[Filtro Integrado]],Estructura!$I$4:$K$500,3,0)</f>
        <v>FI-993</v>
      </c>
      <c r="AA1856" s="93" t="str">
        <f>+VLOOKUP(Agencia[[#This Row],[Muestra]],Estructura!$M$4:$O$500,3,0)</f>
        <v>M-1114</v>
      </c>
    </row>
    <row r="1857" spans="1:27" ht="57.6" x14ac:dyDescent="0.3">
      <c r="A1857" s="21" t="s">
        <v>4986</v>
      </c>
      <c r="B1857" s="66">
        <v>990</v>
      </c>
      <c r="C1857" s="67" t="s">
        <v>400</v>
      </c>
      <c r="D1857" s="67" t="s">
        <v>2250</v>
      </c>
      <c r="E1857" s="89">
        <v>11</v>
      </c>
      <c r="F1857" s="72" t="s">
        <v>4068</v>
      </c>
      <c r="G1857" s="73" t="s">
        <v>1909</v>
      </c>
      <c r="H1857" s="79" t="s">
        <v>16</v>
      </c>
      <c r="I1857" s="80" t="s">
        <v>378</v>
      </c>
      <c r="J1857" s="66" t="s">
        <v>403</v>
      </c>
      <c r="K1857" s="136" t="s">
        <v>4068</v>
      </c>
      <c r="L1857" s="71" t="s">
        <v>811</v>
      </c>
      <c r="M1857" s="71" t="s">
        <v>4069</v>
      </c>
      <c r="N1857" s="71" t="s">
        <v>428</v>
      </c>
      <c r="O1857" s="74" t="s">
        <v>4092</v>
      </c>
      <c r="P1857" s="112" t="s">
        <v>6488</v>
      </c>
      <c r="Q1857" s="68" t="s">
        <v>784</v>
      </c>
      <c r="R1857" s="74" t="str">
        <f>Agencia[[#This Row],[territorio]]&amp;",gobiernos,locales,propiedades,municipal,municipio,cantidad,comunal,"&amp;Agencia[[#This Row],[coleccion]]&amp;","&amp;Agencia[[#This Row],[sector]]&amp;","&amp;Agencia[[#This Row],[tema]]&amp;","&amp;Agencia[[#This Row],[contenido]]</f>
        <v>Región de Aysén,gobiernos,locales,propiedades,municipal,municipio,cantidad,comunal,Agencia Información,Gobiernos Locales,Propiedades Municipales,Gestión Municipal Territorial</v>
      </c>
      <c r="S1857" s="83" t="s">
        <v>4093</v>
      </c>
      <c r="T1857" s="110" t="s">
        <v>1847</v>
      </c>
      <c r="U1857" s="46" t="s">
        <v>4751</v>
      </c>
      <c r="V1857" s="93" t="str">
        <f>+Agencia[[#This Row],[idcoleccion]]&amp;"-"&amp;Agencia[[#This Row],[id]]</f>
        <v>990-1846</v>
      </c>
      <c r="W1857" s="96">
        <v>99200011</v>
      </c>
      <c r="X1857" s="93" t="str">
        <f>+VLOOKUP(Agencia[[#This Row],[tema]],Estructura!$A$4:$C$500,3,0)</f>
        <v>T-1079</v>
      </c>
      <c r="Y1857" s="93" t="str">
        <f>+VLOOKUP(Agencia[[#This Row],[contenido]],Estructura!$E$4:$G$500,3,0)</f>
        <v>C-1015</v>
      </c>
      <c r="Z1857" s="93" t="str">
        <f>+VLOOKUP(Agencia[[#This Row],[Filtro Integrado]],Estructura!$I$4:$K$500,3,0)</f>
        <v>FI-993</v>
      </c>
      <c r="AA1857" s="93" t="str">
        <f>+VLOOKUP(Agencia[[#This Row],[Muestra]],Estructura!$M$4:$O$500,3,0)</f>
        <v>M-1114</v>
      </c>
    </row>
    <row r="1858" spans="1:27" ht="57.6" x14ac:dyDescent="0.3">
      <c r="A1858" s="21" t="s">
        <v>4987</v>
      </c>
      <c r="B1858" s="66">
        <v>990</v>
      </c>
      <c r="C1858" s="67" t="s">
        <v>400</v>
      </c>
      <c r="D1858" s="67" t="s">
        <v>2250</v>
      </c>
      <c r="E1858" s="89">
        <v>12</v>
      </c>
      <c r="F1858" s="72" t="s">
        <v>4068</v>
      </c>
      <c r="G1858" s="73" t="s">
        <v>1909</v>
      </c>
      <c r="H1858" s="79" t="s">
        <v>16</v>
      </c>
      <c r="I1858" s="80" t="s">
        <v>379</v>
      </c>
      <c r="J1858" s="66" t="s">
        <v>403</v>
      </c>
      <c r="K1858" s="136" t="s">
        <v>4068</v>
      </c>
      <c r="L1858" s="71" t="s">
        <v>811</v>
      </c>
      <c r="M1858" s="71" t="s">
        <v>4069</v>
      </c>
      <c r="N1858" s="71" t="s">
        <v>428</v>
      </c>
      <c r="O1858" s="74" t="s">
        <v>4094</v>
      </c>
      <c r="P1858" s="112" t="s">
        <v>6489</v>
      </c>
      <c r="Q1858" s="68" t="s">
        <v>784</v>
      </c>
      <c r="R1858" s="74" t="str">
        <f>Agencia[[#This Row],[territorio]]&amp;",gobiernos,locales,propiedades,municipal,municipio,cantidad,comunal,"&amp;Agencia[[#This Row],[coleccion]]&amp;","&amp;Agencia[[#This Row],[sector]]&amp;","&amp;Agencia[[#This Row],[tema]]&amp;","&amp;Agencia[[#This Row],[contenido]]</f>
        <v>Región de Magallanes,gobiernos,locales,propiedades,municipal,municipio,cantidad,comunal,Agencia Información,Gobiernos Locales,Propiedades Municipales,Gestión Municipal Territorial</v>
      </c>
      <c r="S1858" s="83" t="s">
        <v>4095</v>
      </c>
      <c r="T1858" s="110" t="s">
        <v>1852</v>
      </c>
      <c r="U1858" s="46" t="s">
        <v>4752</v>
      </c>
      <c r="V1858" s="93" t="str">
        <f>+Agencia[[#This Row],[idcoleccion]]&amp;"-"&amp;Agencia[[#This Row],[id]]</f>
        <v>990-1847</v>
      </c>
      <c r="W1858" s="96">
        <v>99200012</v>
      </c>
      <c r="X1858" s="93" t="str">
        <f>+VLOOKUP(Agencia[[#This Row],[tema]],Estructura!$A$4:$C$500,3,0)</f>
        <v>T-1079</v>
      </c>
      <c r="Y1858" s="93" t="str">
        <f>+VLOOKUP(Agencia[[#This Row],[contenido]],Estructura!$E$4:$G$500,3,0)</f>
        <v>C-1015</v>
      </c>
      <c r="Z1858" s="93" t="str">
        <f>+VLOOKUP(Agencia[[#This Row],[Filtro Integrado]],Estructura!$I$4:$K$500,3,0)</f>
        <v>FI-993</v>
      </c>
      <c r="AA1858" s="93" t="str">
        <f>+VLOOKUP(Agencia[[#This Row],[Muestra]],Estructura!$M$4:$O$500,3,0)</f>
        <v>M-1114</v>
      </c>
    </row>
    <row r="1859" spans="1:27" ht="57.6" x14ac:dyDescent="0.3">
      <c r="A1859" s="21" t="s">
        <v>4988</v>
      </c>
      <c r="B1859" s="66">
        <v>990</v>
      </c>
      <c r="C1859" s="67" t="s">
        <v>400</v>
      </c>
      <c r="D1859" s="67" t="s">
        <v>2250</v>
      </c>
      <c r="E1859" s="89">
        <v>13</v>
      </c>
      <c r="F1859" s="72" t="s">
        <v>4068</v>
      </c>
      <c r="G1859" s="73" t="s">
        <v>1909</v>
      </c>
      <c r="H1859" s="79" t="s">
        <v>16</v>
      </c>
      <c r="I1859" s="80" t="s">
        <v>380</v>
      </c>
      <c r="J1859" s="66" t="s">
        <v>403</v>
      </c>
      <c r="K1859" s="136" t="s">
        <v>4068</v>
      </c>
      <c r="L1859" s="71" t="s">
        <v>811</v>
      </c>
      <c r="M1859" s="71" t="s">
        <v>4069</v>
      </c>
      <c r="N1859" s="71" t="s">
        <v>428</v>
      </c>
      <c r="O1859" s="74" t="s">
        <v>4096</v>
      </c>
      <c r="P1859" s="112" t="s">
        <v>6490</v>
      </c>
      <c r="Q1859" s="68" t="s">
        <v>784</v>
      </c>
      <c r="R1859" s="74" t="str">
        <f>Agencia[[#This Row],[territorio]]&amp;",gobiernos,locales,propiedades,municipal,municipio,cantidad,comunal,"&amp;Agencia[[#This Row],[coleccion]]&amp;","&amp;Agencia[[#This Row],[sector]]&amp;","&amp;Agencia[[#This Row],[tema]]&amp;","&amp;Agencia[[#This Row],[contenido]]</f>
        <v>Región Metropolitana,gobiernos,locales,propiedades,municipal,municipio,cantidad,comunal,Agencia Información,Gobiernos Locales,Propiedades Municipales,Gestión Municipal Territorial</v>
      </c>
      <c r="S1859" s="83" t="s">
        <v>4097</v>
      </c>
      <c r="T1859" s="110" t="s">
        <v>1859</v>
      </c>
      <c r="U1859" s="46" t="s">
        <v>4753</v>
      </c>
      <c r="V1859" s="93" t="str">
        <f>+Agencia[[#This Row],[idcoleccion]]&amp;"-"&amp;Agencia[[#This Row],[id]]</f>
        <v>990-1848</v>
      </c>
      <c r="W1859" s="96">
        <v>99200013</v>
      </c>
      <c r="X1859" s="93" t="str">
        <f>+VLOOKUP(Agencia[[#This Row],[tema]],Estructura!$A$4:$C$500,3,0)</f>
        <v>T-1079</v>
      </c>
      <c r="Y1859" s="93" t="str">
        <f>+VLOOKUP(Agencia[[#This Row],[contenido]],Estructura!$E$4:$G$500,3,0)</f>
        <v>C-1015</v>
      </c>
      <c r="Z1859" s="93" t="str">
        <f>+VLOOKUP(Agencia[[#This Row],[Filtro Integrado]],Estructura!$I$4:$K$500,3,0)</f>
        <v>FI-993</v>
      </c>
      <c r="AA1859" s="93" t="str">
        <f>+VLOOKUP(Agencia[[#This Row],[Muestra]],Estructura!$M$4:$O$500,3,0)</f>
        <v>M-1114</v>
      </c>
    </row>
    <row r="1860" spans="1:27" ht="57.6" x14ac:dyDescent="0.3">
      <c r="A1860" s="21" t="s">
        <v>4989</v>
      </c>
      <c r="B1860" s="66">
        <v>990</v>
      </c>
      <c r="C1860" s="67" t="s">
        <v>400</v>
      </c>
      <c r="D1860" s="67" t="s">
        <v>2250</v>
      </c>
      <c r="E1860" s="89">
        <v>14</v>
      </c>
      <c r="F1860" s="72" t="s">
        <v>4068</v>
      </c>
      <c r="G1860" s="73" t="s">
        <v>1909</v>
      </c>
      <c r="H1860" s="79" t="s">
        <v>16</v>
      </c>
      <c r="I1860" s="80" t="s">
        <v>381</v>
      </c>
      <c r="J1860" s="66" t="s">
        <v>403</v>
      </c>
      <c r="K1860" s="136" t="s">
        <v>4068</v>
      </c>
      <c r="L1860" s="71" t="s">
        <v>811</v>
      </c>
      <c r="M1860" s="71" t="s">
        <v>4069</v>
      </c>
      <c r="N1860" s="71" t="s">
        <v>428</v>
      </c>
      <c r="O1860" s="74" t="s">
        <v>4098</v>
      </c>
      <c r="P1860" s="112" t="s">
        <v>6500</v>
      </c>
      <c r="Q1860" s="68" t="s">
        <v>784</v>
      </c>
      <c r="R1860" s="74" t="str">
        <f>Agencia[[#This Row],[territorio]]&amp;",gobiernos,locales,propiedades,municipal,municipio,cantidad,comunal,"&amp;Agencia[[#This Row],[coleccion]]&amp;","&amp;Agencia[[#This Row],[sector]]&amp;","&amp;Agencia[[#This Row],[tema]]&amp;","&amp;Agencia[[#This Row],[contenido]]</f>
        <v>Región de Los Ríos,gobiernos,locales,propiedades,municipal,municipio,cantidad,comunal,Agencia Información,Gobiernos Locales,Propiedades Municipales,Gestión Municipal Territorial</v>
      </c>
      <c r="S1860" s="83" t="s">
        <v>4099</v>
      </c>
      <c r="T1860" s="110" t="s">
        <v>1851</v>
      </c>
      <c r="U1860" s="46" t="s">
        <v>4754</v>
      </c>
      <c r="V1860" s="93" t="str">
        <f>+Agencia[[#This Row],[idcoleccion]]&amp;"-"&amp;Agencia[[#This Row],[id]]</f>
        <v>990-1849</v>
      </c>
      <c r="W1860" s="96">
        <v>99200014</v>
      </c>
      <c r="X1860" s="93" t="str">
        <f>+VLOOKUP(Agencia[[#This Row],[tema]],Estructura!$A$4:$C$500,3,0)</f>
        <v>T-1079</v>
      </c>
      <c r="Y1860" s="93" t="str">
        <f>+VLOOKUP(Agencia[[#This Row],[contenido]],Estructura!$E$4:$G$500,3,0)</f>
        <v>C-1015</v>
      </c>
      <c r="Z1860" s="93" t="str">
        <f>+VLOOKUP(Agencia[[#This Row],[Filtro Integrado]],Estructura!$I$4:$K$500,3,0)</f>
        <v>FI-993</v>
      </c>
      <c r="AA1860" s="93" t="str">
        <f>+VLOOKUP(Agencia[[#This Row],[Muestra]],Estructura!$M$4:$O$500,3,0)</f>
        <v>M-1114</v>
      </c>
    </row>
    <row r="1861" spans="1:27" ht="57.6" x14ac:dyDescent="0.3">
      <c r="A1861" s="21" t="s">
        <v>4990</v>
      </c>
      <c r="B1861" s="66">
        <v>990</v>
      </c>
      <c r="C1861" s="67" t="s">
        <v>400</v>
      </c>
      <c r="D1861" s="67" t="s">
        <v>2250</v>
      </c>
      <c r="E1861" s="89">
        <v>15</v>
      </c>
      <c r="F1861" s="72" t="s">
        <v>4068</v>
      </c>
      <c r="G1861" s="73" t="s">
        <v>1909</v>
      </c>
      <c r="H1861" s="79" t="s">
        <v>16</v>
      </c>
      <c r="I1861" s="80" t="s">
        <v>382</v>
      </c>
      <c r="J1861" s="66" t="s">
        <v>403</v>
      </c>
      <c r="K1861" s="136" t="s">
        <v>4068</v>
      </c>
      <c r="L1861" s="71" t="s">
        <v>811</v>
      </c>
      <c r="M1861" s="71" t="s">
        <v>4069</v>
      </c>
      <c r="N1861" s="71" t="s">
        <v>428</v>
      </c>
      <c r="O1861" s="74" t="s">
        <v>4100</v>
      </c>
      <c r="P1861" s="112" t="s">
        <v>6501</v>
      </c>
      <c r="Q1861" s="68" t="s">
        <v>784</v>
      </c>
      <c r="R1861" s="74" t="str">
        <f>Agencia[[#This Row],[territorio]]&amp;",gobiernos,locales,propiedades,municipal,municipio,cantidad,comunal,"&amp;Agencia[[#This Row],[coleccion]]&amp;","&amp;Agencia[[#This Row],[sector]]&amp;","&amp;Agencia[[#This Row],[tema]]&amp;","&amp;Agencia[[#This Row],[contenido]]</f>
        <v>Región de Arica y Parinacota,gobiernos,locales,propiedades,municipal,municipio,cantidad,comunal,Agencia Información,Gobiernos Locales,Propiedades Municipales,Gestión Municipal Territorial</v>
      </c>
      <c r="S1861" s="83" t="s">
        <v>4101</v>
      </c>
      <c r="T1861" s="110" t="s">
        <v>1845</v>
      </c>
      <c r="U1861" s="46" t="s">
        <v>4755</v>
      </c>
      <c r="V1861" s="93" t="str">
        <f>+Agencia[[#This Row],[idcoleccion]]&amp;"-"&amp;Agencia[[#This Row],[id]]</f>
        <v>990-1850</v>
      </c>
      <c r="W1861" s="96">
        <v>99200015</v>
      </c>
      <c r="X1861" s="93" t="str">
        <f>+VLOOKUP(Agencia[[#This Row],[tema]],Estructura!$A$4:$C$500,3,0)</f>
        <v>T-1079</v>
      </c>
      <c r="Y1861" s="93" t="str">
        <f>+VLOOKUP(Agencia[[#This Row],[contenido]],Estructura!$E$4:$G$500,3,0)</f>
        <v>C-1015</v>
      </c>
      <c r="Z1861" s="93" t="str">
        <f>+VLOOKUP(Agencia[[#This Row],[Filtro Integrado]],Estructura!$I$4:$K$500,3,0)</f>
        <v>FI-993</v>
      </c>
      <c r="AA1861" s="93" t="str">
        <f>+VLOOKUP(Agencia[[#This Row],[Muestra]],Estructura!$M$4:$O$500,3,0)</f>
        <v>M-1114</v>
      </c>
    </row>
    <row r="1862" spans="1:27" ht="57.6" x14ac:dyDescent="0.3">
      <c r="A1862" s="21" t="s">
        <v>4991</v>
      </c>
      <c r="B1862" s="71">
        <v>990</v>
      </c>
      <c r="C1862" s="72" t="s">
        <v>400</v>
      </c>
      <c r="D1862" s="72" t="s">
        <v>2250</v>
      </c>
      <c r="E1862" s="89">
        <v>16</v>
      </c>
      <c r="F1862" s="72" t="s">
        <v>4068</v>
      </c>
      <c r="G1862" s="73" t="s">
        <v>1909</v>
      </c>
      <c r="H1862" s="79" t="s">
        <v>16</v>
      </c>
      <c r="I1862" s="80" t="s">
        <v>383</v>
      </c>
      <c r="J1862" s="66" t="s">
        <v>403</v>
      </c>
      <c r="K1862" s="136" t="s">
        <v>4068</v>
      </c>
      <c r="L1862" s="71" t="s">
        <v>811</v>
      </c>
      <c r="M1862" s="71" t="s">
        <v>4069</v>
      </c>
      <c r="N1862" s="71" t="s">
        <v>428</v>
      </c>
      <c r="O1862" s="74" t="s">
        <v>4102</v>
      </c>
      <c r="P1862" s="113" t="s">
        <v>6502</v>
      </c>
      <c r="Q1862" s="75" t="s">
        <v>784</v>
      </c>
      <c r="R1862" s="74" t="str">
        <f>Agencia[[#This Row],[territorio]]&amp;",gobiernos,locales,propiedades,municipal,municipio,cantidad,comunal,"&amp;Agencia[[#This Row],[coleccion]]&amp;","&amp;Agencia[[#This Row],[sector]]&amp;","&amp;Agencia[[#This Row],[tema]]&amp;","&amp;Agencia[[#This Row],[contenido]]</f>
        <v>Región de Ñuble,gobiernos,locales,propiedades,municipal,municipio,cantidad,comunal,Agencia Información,Gobiernos Locales,Propiedades Municipales,Gestión Municipal Territorial</v>
      </c>
      <c r="S1862" s="83" t="s">
        <v>4103</v>
      </c>
      <c r="T1862" s="109" t="s">
        <v>1854</v>
      </c>
      <c r="U1862" s="46" t="s">
        <v>4756</v>
      </c>
      <c r="V1862" s="93" t="str">
        <f>+Agencia[[#This Row],[idcoleccion]]&amp;"-"&amp;Agencia[[#This Row],[id]]</f>
        <v>990-1851</v>
      </c>
      <c r="W1862" s="96">
        <v>99200016</v>
      </c>
      <c r="X1862" s="93" t="str">
        <f>+VLOOKUP(Agencia[[#This Row],[tema]],Estructura!$A$4:$C$500,3,0)</f>
        <v>T-1079</v>
      </c>
      <c r="Y1862" s="93" t="str">
        <f>+VLOOKUP(Agencia[[#This Row],[contenido]],Estructura!$E$4:$G$500,3,0)</f>
        <v>C-1015</v>
      </c>
      <c r="Z1862" s="93" t="str">
        <f>+VLOOKUP(Agencia[[#This Row],[Filtro Integrado]],Estructura!$I$4:$K$500,3,0)</f>
        <v>FI-993</v>
      </c>
      <c r="AA1862" s="93" t="str">
        <f>+VLOOKUP(Agencia[[#This Row],[Muestra]],Estructura!$M$4:$O$500,3,0)</f>
        <v>M-1114</v>
      </c>
    </row>
    <row r="1863" spans="1:27" ht="48" x14ac:dyDescent="0.3">
      <c r="A1863" s="21" t="s">
        <v>4992</v>
      </c>
      <c r="B1863" s="71">
        <v>990</v>
      </c>
      <c r="C1863" s="72" t="s">
        <v>400</v>
      </c>
      <c r="D1863" s="72" t="s">
        <v>568</v>
      </c>
      <c r="E1863" s="90">
        <v>0</v>
      </c>
      <c r="F1863" s="72" t="s">
        <v>1473</v>
      </c>
      <c r="G1863" s="73" t="s">
        <v>1898</v>
      </c>
      <c r="H1863" s="77" t="s">
        <v>20</v>
      </c>
      <c r="I1863" s="78" t="s">
        <v>15</v>
      </c>
      <c r="J1863" s="71" t="s">
        <v>403</v>
      </c>
      <c r="K1863" s="71" t="s">
        <v>9307</v>
      </c>
      <c r="L1863" s="71" t="s">
        <v>1514</v>
      </c>
      <c r="M1863" s="71" t="s">
        <v>1368</v>
      </c>
      <c r="N1863" s="71" t="s">
        <v>848</v>
      </c>
      <c r="O1863" s="74" t="s">
        <v>4104</v>
      </c>
      <c r="P1863" s="113" t="s">
        <v>6698</v>
      </c>
      <c r="Q1863" s="75" t="s">
        <v>784</v>
      </c>
      <c r="R1863" s="74" t="str">
        <f>Agencia[[#This Row],[territorio]]&amp;",cardiovascular,corazón,salud,programa,nacional,variación,anual,casos,población,control,personas,"&amp;Agencia[[#This Row],[coleccion]]&amp;","&amp;Agencia[[#This Row],[sector]]&amp;","&amp;Agencia[[#This Row],[tema]]&amp;","&amp;Agencia[[#This Row],[contenido]]</f>
        <v>Chile,cardiovascular,corazón,salud,programa,nacional,variación,anual,casos,población,control,personas,Agencia Información,Salud,Programa de Salud Cardiovascular,Programas de Salud</v>
      </c>
      <c r="S1863" s="81" t="s">
        <v>4105</v>
      </c>
      <c r="T1863" s="109">
        <v>0</v>
      </c>
      <c r="U1863" s="46" t="s">
        <v>4757</v>
      </c>
      <c r="V1863" s="93" t="str">
        <f>+Agencia[[#This Row],[idcoleccion]]&amp;"-"&amp;Agencia[[#This Row],[id]]</f>
        <v>990-1852</v>
      </c>
      <c r="W1863" s="96">
        <v>99100000</v>
      </c>
      <c r="X1863" s="93" t="str">
        <f>+VLOOKUP(Agencia[[#This Row],[tema]],Estructura!$A$4:$C$500,3,0)</f>
        <v>T-1012</v>
      </c>
      <c r="Y1863" s="93" t="str">
        <f>+VLOOKUP(Agencia[[#This Row],[contenido]],Estructura!$E$4:$G$500,3,0)</f>
        <v>C-1010</v>
      </c>
      <c r="Z1863" s="93" t="str">
        <f>+VLOOKUP(Agencia[[#This Row],[Filtro Integrado]],Estructura!$I$4:$K$500,3,0)</f>
        <v>FI-993</v>
      </c>
      <c r="AA1863" s="93" t="str">
        <f>+VLOOKUP(Agencia[[#This Row],[Muestra]],Estructura!$M$4:$O$500,3,0)</f>
        <v>M-1053</v>
      </c>
    </row>
    <row r="1864" spans="1:27" ht="61.2" x14ac:dyDescent="0.3">
      <c r="A1864" s="21" t="s">
        <v>4993</v>
      </c>
      <c r="B1864" s="71">
        <v>990</v>
      </c>
      <c r="C1864" s="72" t="s">
        <v>400</v>
      </c>
      <c r="D1864" s="72" t="s">
        <v>568</v>
      </c>
      <c r="E1864" s="90">
        <v>0</v>
      </c>
      <c r="F1864" s="72" t="s">
        <v>1473</v>
      </c>
      <c r="G1864" s="73" t="s">
        <v>1898</v>
      </c>
      <c r="H1864" s="77" t="s">
        <v>20</v>
      </c>
      <c r="I1864" s="78" t="s">
        <v>15</v>
      </c>
      <c r="J1864" s="71" t="s">
        <v>1933</v>
      </c>
      <c r="K1864" s="71" t="s">
        <v>9307</v>
      </c>
      <c r="L1864" s="71" t="s">
        <v>1514</v>
      </c>
      <c r="M1864" s="71" t="s">
        <v>1368</v>
      </c>
      <c r="N1864" s="71" t="s">
        <v>848</v>
      </c>
      <c r="O1864" s="74" t="s">
        <v>4106</v>
      </c>
      <c r="P1864" s="113" t="s">
        <v>6699</v>
      </c>
      <c r="Q1864" s="75" t="s">
        <v>784</v>
      </c>
      <c r="R1864" s="74" t="str">
        <f>Agencia[[#This Row],[territorio]]&amp;",riesgo,diabetes,tabaquismo,obesidad,cardiovascular,corazón,hipertensión,enfermedad,renal,dislipidemias,infarto,salud,programa,nacional,población,control,casos,personas,"&amp;Agencia[[#This Row],[coleccion]]&amp;","&amp;Agencia[[#This Row],[sector]]&amp;","&amp;Agencia[[#This Row],[tema]]&amp;","&amp;Agencia[[#This Row],[contenido]]</f>
        <v>Chile,riesgo,diabetes,tabaquismo,obesidad,cardiovascular,corazón,hipertensión,enfermedad,renal,dislipidemias,infarto,salud,programa,nacional,población,control,casos,personas,Agencia Información,Salud,Programa de Salud Cardiovascular,Programas de Salud</v>
      </c>
      <c r="S1864" s="81" t="s">
        <v>4107</v>
      </c>
      <c r="T1864" s="109" t="s">
        <v>805</v>
      </c>
      <c r="U1864" s="46" t="s">
        <v>4758</v>
      </c>
      <c r="V1864" s="93" t="str">
        <f>+Agencia[[#This Row],[idcoleccion]]&amp;"-"&amp;Agencia[[#This Row],[id]]</f>
        <v>990-1853</v>
      </c>
      <c r="W1864" s="96">
        <v>99100000</v>
      </c>
      <c r="X1864" s="93" t="str">
        <f>+VLOOKUP(Agencia[[#This Row],[tema]],Estructura!$A$4:$C$500,3,0)</f>
        <v>T-1012</v>
      </c>
      <c r="Y1864" s="93" t="str">
        <f>+VLOOKUP(Agencia[[#This Row],[contenido]],Estructura!$E$4:$G$500,3,0)</f>
        <v>C-1010</v>
      </c>
      <c r="Z1864" s="93" t="str">
        <f>+VLOOKUP(Agencia[[#This Row],[Filtro Integrado]],Estructura!$I$4:$K$500,3,0)</f>
        <v>FI-1000</v>
      </c>
      <c r="AA1864" s="93" t="str">
        <f>+VLOOKUP(Agencia[[#This Row],[Muestra]],Estructura!$M$4:$O$500,3,0)</f>
        <v>M-1053</v>
      </c>
    </row>
    <row r="1865" spans="1:27" ht="72" x14ac:dyDescent="0.3">
      <c r="A1865" s="21" t="s">
        <v>4994</v>
      </c>
      <c r="B1865" s="66">
        <v>990</v>
      </c>
      <c r="C1865" s="67" t="s">
        <v>400</v>
      </c>
      <c r="D1865" s="67" t="s">
        <v>568</v>
      </c>
      <c r="E1865" s="89">
        <v>1</v>
      </c>
      <c r="F1865" s="72" t="s">
        <v>1473</v>
      </c>
      <c r="G1865" s="73" t="s">
        <v>1898</v>
      </c>
      <c r="H1865" s="79" t="s">
        <v>16</v>
      </c>
      <c r="I1865" s="80" t="s">
        <v>368</v>
      </c>
      <c r="J1865" s="66" t="s">
        <v>1474</v>
      </c>
      <c r="K1865" s="136" t="s">
        <v>9307</v>
      </c>
      <c r="L1865" s="71" t="s">
        <v>1514</v>
      </c>
      <c r="M1865" s="71" t="s">
        <v>1368</v>
      </c>
      <c r="N1865" s="71" t="s">
        <v>848</v>
      </c>
      <c r="O1865" s="74" t="s">
        <v>4108</v>
      </c>
      <c r="P1865" s="112" t="s">
        <v>6700</v>
      </c>
      <c r="Q1865" s="68" t="s">
        <v>784</v>
      </c>
      <c r="R1865"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Tarapacá,riesgo,diabetes,tabaquismo,obesidad,cardiovascular,corazón,hipertensión,enfermedad,renal,dislipidemias,infarto,salud,programa,regional,población,control,casos,personas,Agencia Información,Salud,Programa de Salud Cardiovascular,Programas de Salud</v>
      </c>
      <c r="S1865" s="83" t="s">
        <v>4109</v>
      </c>
      <c r="T1865" s="110" t="s">
        <v>1872</v>
      </c>
      <c r="U1865" s="46" t="s">
        <v>4759</v>
      </c>
      <c r="V1865" s="93" t="str">
        <f>+Agencia[[#This Row],[idcoleccion]]&amp;"-"&amp;Agencia[[#This Row],[id]]</f>
        <v>990-1854</v>
      </c>
      <c r="W1865" s="96">
        <v>99200001</v>
      </c>
      <c r="X1865" s="93" t="str">
        <f>+VLOOKUP(Agencia[[#This Row],[tema]],Estructura!$A$4:$C$500,3,0)</f>
        <v>T-1012</v>
      </c>
      <c r="Y1865" s="93" t="str">
        <f>+VLOOKUP(Agencia[[#This Row],[contenido]],Estructura!$E$4:$G$500,3,0)</f>
        <v>C-1010</v>
      </c>
      <c r="Z1865" s="93" t="str">
        <f>+VLOOKUP(Agencia[[#This Row],[Filtro Integrado]],Estructura!$I$4:$K$500,3,0)</f>
        <v>FI-998</v>
      </c>
      <c r="AA1865" s="93" t="str">
        <f>+VLOOKUP(Agencia[[#This Row],[Muestra]],Estructura!$M$4:$O$500,3,0)</f>
        <v>M-1053</v>
      </c>
    </row>
    <row r="1866" spans="1:27" ht="71.400000000000006" x14ac:dyDescent="0.3">
      <c r="A1866" s="21" t="s">
        <v>4995</v>
      </c>
      <c r="B1866" s="66">
        <v>990</v>
      </c>
      <c r="C1866" s="67" t="s">
        <v>400</v>
      </c>
      <c r="D1866" s="67" t="s">
        <v>568</v>
      </c>
      <c r="E1866" s="89">
        <v>2</v>
      </c>
      <c r="F1866" s="72" t="s">
        <v>1473</v>
      </c>
      <c r="G1866" s="73" t="s">
        <v>1898</v>
      </c>
      <c r="H1866" s="79" t="s">
        <v>16</v>
      </c>
      <c r="I1866" s="80" t="s">
        <v>369</v>
      </c>
      <c r="J1866" s="66" t="s">
        <v>1474</v>
      </c>
      <c r="K1866" s="136" t="s">
        <v>9307</v>
      </c>
      <c r="L1866" s="71" t="s">
        <v>1514</v>
      </c>
      <c r="M1866" s="71" t="s">
        <v>1368</v>
      </c>
      <c r="N1866" s="71" t="s">
        <v>848</v>
      </c>
      <c r="O1866" s="74" t="s">
        <v>4110</v>
      </c>
      <c r="P1866" s="112" t="s">
        <v>6701</v>
      </c>
      <c r="Q1866" s="68" t="s">
        <v>784</v>
      </c>
      <c r="R1866"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Antofagasta,riesgo,diabetes,tabaquismo,obesidad,cardiovascular,corazón,hipertensión,enfermedad,renal,dislipidemias,infarto,salud,programa,regional,población,control,casos,personas,Agencia Información,Salud,Programa de Salud Cardiovascular,Programas de Salud</v>
      </c>
      <c r="S1866" s="84" t="s">
        <v>4111</v>
      </c>
      <c r="T1866" s="110" t="s">
        <v>1860</v>
      </c>
      <c r="U1866" s="46" t="s">
        <v>4760</v>
      </c>
      <c r="V1866" s="93" t="str">
        <f>+Agencia[[#This Row],[idcoleccion]]&amp;"-"&amp;Agencia[[#This Row],[id]]</f>
        <v>990-1855</v>
      </c>
      <c r="W1866" s="96">
        <v>99200002</v>
      </c>
      <c r="X1866" s="93" t="str">
        <f>+VLOOKUP(Agencia[[#This Row],[tema]],Estructura!$A$4:$C$500,3,0)</f>
        <v>T-1012</v>
      </c>
      <c r="Y1866" s="93" t="str">
        <f>+VLOOKUP(Agencia[[#This Row],[contenido]],Estructura!$E$4:$G$500,3,0)</f>
        <v>C-1010</v>
      </c>
      <c r="Z1866" s="93" t="str">
        <f>+VLOOKUP(Agencia[[#This Row],[Filtro Integrado]],Estructura!$I$4:$K$500,3,0)</f>
        <v>FI-998</v>
      </c>
      <c r="AA1866" s="93" t="str">
        <f>+VLOOKUP(Agencia[[#This Row],[Muestra]],Estructura!$M$4:$O$500,3,0)</f>
        <v>M-1053</v>
      </c>
    </row>
    <row r="1867" spans="1:27" ht="71.400000000000006" x14ac:dyDescent="0.3">
      <c r="A1867" s="21" t="s">
        <v>4996</v>
      </c>
      <c r="B1867" s="66">
        <v>990</v>
      </c>
      <c r="C1867" s="67" t="s">
        <v>400</v>
      </c>
      <c r="D1867" s="67" t="s">
        <v>568</v>
      </c>
      <c r="E1867" s="89">
        <v>3</v>
      </c>
      <c r="F1867" s="72" t="s">
        <v>1473</v>
      </c>
      <c r="G1867" s="73" t="s">
        <v>1898</v>
      </c>
      <c r="H1867" s="79" t="s">
        <v>16</v>
      </c>
      <c r="I1867" s="80" t="s">
        <v>370</v>
      </c>
      <c r="J1867" s="66" t="s">
        <v>1474</v>
      </c>
      <c r="K1867" s="136" t="s">
        <v>9307</v>
      </c>
      <c r="L1867" s="71" t="s">
        <v>1514</v>
      </c>
      <c r="M1867" s="71" t="s">
        <v>1368</v>
      </c>
      <c r="N1867" s="71" t="s">
        <v>848</v>
      </c>
      <c r="O1867" s="74" t="s">
        <v>4112</v>
      </c>
      <c r="P1867" s="112" t="s">
        <v>6702</v>
      </c>
      <c r="Q1867" s="68" t="s">
        <v>784</v>
      </c>
      <c r="R1867"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Atacama,riesgo,diabetes,tabaquismo,obesidad,cardiovascular,corazón,hipertensión,enfermedad,renal,dislipidemias,infarto,salud,programa,regional,población,control,casos,personas,Agencia Información,Salud,Programa de Salud Cardiovascular,Programas de Salud</v>
      </c>
      <c r="S1867" s="84" t="s">
        <v>4113</v>
      </c>
      <c r="T1867" s="110" t="s">
        <v>1862</v>
      </c>
      <c r="U1867" s="46" t="s">
        <v>4761</v>
      </c>
      <c r="V1867" s="93" t="str">
        <f>+Agencia[[#This Row],[idcoleccion]]&amp;"-"&amp;Agencia[[#This Row],[id]]</f>
        <v>990-1856</v>
      </c>
      <c r="W1867" s="96">
        <v>99200003</v>
      </c>
      <c r="X1867" s="93" t="str">
        <f>+VLOOKUP(Agencia[[#This Row],[tema]],Estructura!$A$4:$C$500,3,0)</f>
        <v>T-1012</v>
      </c>
      <c r="Y1867" s="93" t="str">
        <f>+VLOOKUP(Agencia[[#This Row],[contenido]],Estructura!$E$4:$G$500,3,0)</f>
        <v>C-1010</v>
      </c>
      <c r="Z1867" s="93" t="str">
        <f>+VLOOKUP(Agencia[[#This Row],[Filtro Integrado]],Estructura!$I$4:$K$500,3,0)</f>
        <v>FI-998</v>
      </c>
      <c r="AA1867" s="93" t="str">
        <f>+VLOOKUP(Agencia[[#This Row],[Muestra]],Estructura!$M$4:$O$500,3,0)</f>
        <v>M-1053</v>
      </c>
    </row>
    <row r="1868" spans="1:27" ht="72" x14ac:dyDescent="0.3">
      <c r="A1868" s="21" t="s">
        <v>4997</v>
      </c>
      <c r="B1868" s="66">
        <v>990</v>
      </c>
      <c r="C1868" s="67" t="s">
        <v>400</v>
      </c>
      <c r="D1868" s="67" t="s">
        <v>568</v>
      </c>
      <c r="E1868" s="89">
        <v>4</v>
      </c>
      <c r="F1868" s="72" t="s">
        <v>1473</v>
      </c>
      <c r="G1868" s="73" t="s">
        <v>1898</v>
      </c>
      <c r="H1868" s="79" t="s">
        <v>16</v>
      </c>
      <c r="I1868" s="80" t="s">
        <v>371</v>
      </c>
      <c r="J1868" s="66" t="s">
        <v>1474</v>
      </c>
      <c r="K1868" s="136" t="s">
        <v>9307</v>
      </c>
      <c r="L1868" s="71" t="s">
        <v>1514</v>
      </c>
      <c r="M1868" s="71" t="s">
        <v>1368</v>
      </c>
      <c r="N1868" s="71" t="s">
        <v>848</v>
      </c>
      <c r="O1868" s="74" t="s">
        <v>4114</v>
      </c>
      <c r="P1868" s="112" t="s">
        <v>6703</v>
      </c>
      <c r="Q1868" s="68" t="s">
        <v>784</v>
      </c>
      <c r="R1868"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Coquimbo,riesgo,diabetes,tabaquismo,obesidad,cardiovascular,corazón,hipertensión,enfermedad,renal,dislipidemias,infarto,salud,programa,regional,población,control,casos,personas,Agencia Información,Salud,Programa de Salud Cardiovascular,Programas de Salud</v>
      </c>
      <c r="S1868" s="83" t="s">
        <v>4115</v>
      </c>
      <c r="T1868" s="110" t="s">
        <v>1864</v>
      </c>
      <c r="U1868" s="46" t="s">
        <v>4762</v>
      </c>
      <c r="V1868" s="93" t="str">
        <f>+Agencia[[#This Row],[idcoleccion]]&amp;"-"&amp;Agencia[[#This Row],[id]]</f>
        <v>990-1857</v>
      </c>
      <c r="W1868" s="96">
        <v>99200004</v>
      </c>
      <c r="X1868" s="93" t="str">
        <f>+VLOOKUP(Agencia[[#This Row],[tema]],Estructura!$A$4:$C$500,3,0)</f>
        <v>T-1012</v>
      </c>
      <c r="Y1868" s="93" t="str">
        <f>+VLOOKUP(Agencia[[#This Row],[contenido]],Estructura!$E$4:$G$500,3,0)</f>
        <v>C-1010</v>
      </c>
      <c r="Z1868" s="93" t="str">
        <f>+VLOOKUP(Agencia[[#This Row],[Filtro Integrado]],Estructura!$I$4:$K$500,3,0)</f>
        <v>FI-998</v>
      </c>
      <c r="AA1868" s="93" t="str">
        <f>+VLOOKUP(Agencia[[#This Row],[Muestra]],Estructura!$M$4:$O$500,3,0)</f>
        <v>M-1053</v>
      </c>
    </row>
    <row r="1869" spans="1:27" ht="71.400000000000006" x14ac:dyDescent="0.3">
      <c r="A1869" s="21" t="s">
        <v>4998</v>
      </c>
      <c r="B1869" s="66">
        <v>990</v>
      </c>
      <c r="C1869" s="67" t="s">
        <v>400</v>
      </c>
      <c r="D1869" s="67" t="s">
        <v>568</v>
      </c>
      <c r="E1869" s="89">
        <v>5</v>
      </c>
      <c r="F1869" s="72" t="s">
        <v>1473</v>
      </c>
      <c r="G1869" s="73" t="s">
        <v>1898</v>
      </c>
      <c r="H1869" s="79" t="s">
        <v>16</v>
      </c>
      <c r="I1869" s="80" t="s">
        <v>372</v>
      </c>
      <c r="J1869" s="66" t="s">
        <v>1474</v>
      </c>
      <c r="K1869" s="136" t="s">
        <v>9307</v>
      </c>
      <c r="L1869" s="71" t="s">
        <v>1514</v>
      </c>
      <c r="M1869" s="71" t="s">
        <v>1368</v>
      </c>
      <c r="N1869" s="71" t="s">
        <v>848</v>
      </c>
      <c r="O1869" s="74" t="s">
        <v>4116</v>
      </c>
      <c r="P1869" s="112" t="s">
        <v>6704</v>
      </c>
      <c r="Q1869" s="68" t="s">
        <v>784</v>
      </c>
      <c r="R1869"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Valparaíso,riesgo,diabetes,tabaquismo,obesidad,cardiovascular,corazón,hipertensión,enfermedad,renal,dislipidemias,infarto,salud,programa,regional,población,control,casos,personas,Agencia Información,Salud,Programa de Salud Cardiovascular,Programas de Salud</v>
      </c>
      <c r="S1869" s="84" t="s">
        <v>4117</v>
      </c>
      <c r="T1869" s="110" t="s">
        <v>1873</v>
      </c>
      <c r="U1869" s="46" t="s">
        <v>4763</v>
      </c>
      <c r="V1869" s="93" t="str">
        <f>+Agencia[[#This Row],[idcoleccion]]&amp;"-"&amp;Agencia[[#This Row],[id]]</f>
        <v>990-1858</v>
      </c>
      <c r="W1869" s="96">
        <v>99200005</v>
      </c>
      <c r="X1869" s="93" t="str">
        <f>+VLOOKUP(Agencia[[#This Row],[tema]],Estructura!$A$4:$C$500,3,0)</f>
        <v>T-1012</v>
      </c>
      <c r="Y1869" s="93" t="str">
        <f>+VLOOKUP(Agencia[[#This Row],[contenido]],Estructura!$E$4:$G$500,3,0)</f>
        <v>C-1010</v>
      </c>
      <c r="Z1869" s="93" t="str">
        <f>+VLOOKUP(Agencia[[#This Row],[Filtro Integrado]],Estructura!$I$4:$K$500,3,0)</f>
        <v>FI-998</v>
      </c>
      <c r="AA1869" s="93" t="str">
        <f>+VLOOKUP(Agencia[[#This Row],[Muestra]],Estructura!$M$4:$O$500,3,0)</f>
        <v>M-1053</v>
      </c>
    </row>
    <row r="1870" spans="1:27" ht="71.400000000000006" x14ac:dyDescent="0.3">
      <c r="A1870" s="21" t="s">
        <v>4999</v>
      </c>
      <c r="B1870" s="66">
        <v>990</v>
      </c>
      <c r="C1870" s="67" t="s">
        <v>400</v>
      </c>
      <c r="D1870" s="67" t="s">
        <v>568</v>
      </c>
      <c r="E1870" s="89">
        <v>6</v>
      </c>
      <c r="F1870" s="72" t="s">
        <v>1473</v>
      </c>
      <c r="G1870" s="73" t="s">
        <v>1898</v>
      </c>
      <c r="H1870" s="79" t="s">
        <v>16</v>
      </c>
      <c r="I1870" s="80" t="s">
        <v>373</v>
      </c>
      <c r="J1870" s="66" t="s">
        <v>1474</v>
      </c>
      <c r="K1870" s="136" t="s">
        <v>9307</v>
      </c>
      <c r="L1870" s="71" t="s">
        <v>1514</v>
      </c>
      <c r="M1870" s="71" t="s">
        <v>1368</v>
      </c>
      <c r="N1870" s="71" t="s">
        <v>848</v>
      </c>
      <c r="O1870" s="74" t="s">
        <v>4118</v>
      </c>
      <c r="P1870" s="112" t="s">
        <v>6705</v>
      </c>
      <c r="Q1870" s="68" t="s">
        <v>784</v>
      </c>
      <c r="R1870"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O'Higgins,riesgo,diabetes,tabaquismo,obesidad,cardiovascular,corazón,hipertensión,enfermedad,renal,dislipidemias,infarto,salud,programa,regional,población,control,casos,personas,Agencia Información,Salud,Programa de Salud Cardiovascular,Programas de Salud</v>
      </c>
      <c r="S1870" s="84" t="s">
        <v>4119</v>
      </c>
      <c r="T1870" s="110" t="s">
        <v>1871</v>
      </c>
      <c r="U1870" s="46" t="s">
        <v>4764</v>
      </c>
      <c r="V1870" s="93" t="str">
        <f>+Agencia[[#This Row],[idcoleccion]]&amp;"-"&amp;Agencia[[#This Row],[id]]</f>
        <v>990-1859</v>
      </c>
      <c r="W1870" s="96">
        <v>99200006</v>
      </c>
      <c r="X1870" s="93" t="str">
        <f>+VLOOKUP(Agencia[[#This Row],[tema]],Estructura!$A$4:$C$500,3,0)</f>
        <v>T-1012</v>
      </c>
      <c r="Y1870" s="93" t="str">
        <f>+VLOOKUP(Agencia[[#This Row],[contenido]],Estructura!$E$4:$G$500,3,0)</f>
        <v>C-1010</v>
      </c>
      <c r="Z1870" s="93" t="str">
        <f>+VLOOKUP(Agencia[[#This Row],[Filtro Integrado]],Estructura!$I$4:$K$500,3,0)</f>
        <v>FI-998</v>
      </c>
      <c r="AA1870" s="93" t="str">
        <f>+VLOOKUP(Agencia[[#This Row],[Muestra]],Estructura!$M$4:$O$500,3,0)</f>
        <v>M-1053</v>
      </c>
    </row>
    <row r="1871" spans="1:27" ht="71.400000000000006" x14ac:dyDescent="0.3">
      <c r="A1871" s="21" t="s">
        <v>5000</v>
      </c>
      <c r="B1871" s="66">
        <v>990</v>
      </c>
      <c r="C1871" s="67" t="s">
        <v>400</v>
      </c>
      <c r="D1871" s="67" t="s">
        <v>568</v>
      </c>
      <c r="E1871" s="89">
        <v>7</v>
      </c>
      <c r="F1871" s="72" t="s">
        <v>1473</v>
      </c>
      <c r="G1871" s="73" t="s">
        <v>1898</v>
      </c>
      <c r="H1871" s="79" t="s">
        <v>16</v>
      </c>
      <c r="I1871" s="80" t="s">
        <v>374</v>
      </c>
      <c r="J1871" s="66" t="s">
        <v>1474</v>
      </c>
      <c r="K1871" s="136" t="s">
        <v>9307</v>
      </c>
      <c r="L1871" s="71" t="s">
        <v>1514</v>
      </c>
      <c r="M1871" s="71" t="s">
        <v>1368</v>
      </c>
      <c r="N1871" s="71" t="s">
        <v>848</v>
      </c>
      <c r="O1871" s="74" t="s">
        <v>4120</v>
      </c>
      <c r="P1871" s="112" t="s">
        <v>6706</v>
      </c>
      <c r="Q1871" s="68" t="s">
        <v>784</v>
      </c>
      <c r="R1871"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Maule,riesgo,diabetes,tabaquismo,obesidad,cardiovascular,corazón,hipertensión,enfermedad,renal,dislipidemias,infarto,salud,programa,regional,población,control,casos,personas,Agencia Información,Salud,Programa de Salud Cardiovascular,Programas de Salud</v>
      </c>
      <c r="S1871" s="84" t="s">
        <v>4121</v>
      </c>
      <c r="T1871" s="110" t="s">
        <v>1869</v>
      </c>
      <c r="U1871" s="46" t="s">
        <v>4765</v>
      </c>
      <c r="V1871" s="93" t="str">
        <f>+Agencia[[#This Row],[idcoleccion]]&amp;"-"&amp;Agencia[[#This Row],[id]]</f>
        <v>990-1860</v>
      </c>
      <c r="W1871" s="96">
        <v>99200007</v>
      </c>
      <c r="X1871" s="93" t="str">
        <f>+VLOOKUP(Agencia[[#This Row],[tema]],Estructura!$A$4:$C$500,3,0)</f>
        <v>T-1012</v>
      </c>
      <c r="Y1871" s="93" t="str">
        <f>+VLOOKUP(Agencia[[#This Row],[contenido]],Estructura!$E$4:$G$500,3,0)</f>
        <v>C-1010</v>
      </c>
      <c r="Z1871" s="93" t="str">
        <f>+VLOOKUP(Agencia[[#This Row],[Filtro Integrado]],Estructura!$I$4:$K$500,3,0)</f>
        <v>FI-998</v>
      </c>
      <c r="AA1871" s="93" t="str">
        <f>+VLOOKUP(Agencia[[#This Row],[Muestra]],Estructura!$M$4:$O$500,3,0)</f>
        <v>M-1053</v>
      </c>
    </row>
    <row r="1872" spans="1:27" ht="71.400000000000006" x14ac:dyDescent="0.3">
      <c r="A1872" s="21" t="s">
        <v>5001</v>
      </c>
      <c r="B1872" s="66">
        <v>990</v>
      </c>
      <c r="C1872" s="67" t="s">
        <v>400</v>
      </c>
      <c r="D1872" s="67" t="s">
        <v>568</v>
      </c>
      <c r="E1872" s="89">
        <v>8</v>
      </c>
      <c r="F1872" s="72" t="s">
        <v>1473</v>
      </c>
      <c r="G1872" s="73" t="s">
        <v>1898</v>
      </c>
      <c r="H1872" s="79" t="s">
        <v>16</v>
      </c>
      <c r="I1872" s="80" t="s">
        <v>375</v>
      </c>
      <c r="J1872" s="66" t="s">
        <v>1474</v>
      </c>
      <c r="K1872" s="136" t="s">
        <v>9307</v>
      </c>
      <c r="L1872" s="71" t="s">
        <v>1514</v>
      </c>
      <c r="M1872" s="71" t="s">
        <v>1368</v>
      </c>
      <c r="N1872" s="71" t="s">
        <v>848</v>
      </c>
      <c r="O1872" s="74" t="s">
        <v>4122</v>
      </c>
      <c r="P1872" s="112" t="s">
        <v>6707</v>
      </c>
      <c r="Q1872" s="68" t="s">
        <v>784</v>
      </c>
      <c r="R1872"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del Biobío,riesgo,diabetes,tabaquismo,obesidad,cardiovascular,corazón,hipertensión,enfermedad,renal,dislipidemias,infarto,salud,programa,regional,población,control,casos,personas,Agencia Información,Salud,Programa de Salud Cardiovascular,Programas de Salud</v>
      </c>
      <c r="S1872" s="84" t="s">
        <v>4123</v>
      </c>
      <c r="T1872" s="110" t="s">
        <v>1874</v>
      </c>
      <c r="U1872" s="46" t="s">
        <v>4766</v>
      </c>
      <c r="V1872" s="93" t="str">
        <f>+Agencia[[#This Row],[idcoleccion]]&amp;"-"&amp;Agencia[[#This Row],[id]]</f>
        <v>990-1861</v>
      </c>
      <c r="W1872" s="96">
        <v>99200008</v>
      </c>
      <c r="X1872" s="93" t="str">
        <f>+VLOOKUP(Agencia[[#This Row],[tema]],Estructura!$A$4:$C$500,3,0)</f>
        <v>T-1012</v>
      </c>
      <c r="Y1872" s="93" t="str">
        <f>+VLOOKUP(Agencia[[#This Row],[contenido]],Estructura!$E$4:$G$500,3,0)</f>
        <v>C-1010</v>
      </c>
      <c r="Z1872" s="93" t="str">
        <f>+VLOOKUP(Agencia[[#This Row],[Filtro Integrado]],Estructura!$I$4:$K$500,3,0)</f>
        <v>FI-998</v>
      </c>
      <c r="AA1872" s="93" t="str">
        <f>+VLOOKUP(Agencia[[#This Row],[Muestra]],Estructura!$M$4:$O$500,3,0)</f>
        <v>M-1053</v>
      </c>
    </row>
    <row r="1873" spans="1:27" ht="71.400000000000006" x14ac:dyDescent="0.3">
      <c r="A1873" s="21" t="s">
        <v>5002</v>
      </c>
      <c r="B1873" s="66">
        <v>990</v>
      </c>
      <c r="C1873" s="67" t="s">
        <v>400</v>
      </c>
      <c r="D1873" s="67" t="s">
        <v>568</v>
      </c>
      <c r="E1873" s="89">
        <v>9</v>
      </c>
      <c r="F1873" s="72" t="s">
        <v>1473</v>
      </c>
      <c r="G1873" s="73" t="s">
        <v>1898</v>
      </c>
      <c r="H1873" s="79" t="s">
        <v>16</v>
      </c>
      <c r="I1873" s="80" t="s">
        <v>376</v>
      </c>
      <c r="J1873" s="66" t="s">
        <v>1474</v>
      </c>
      <c r="K1873" s="136" t="s">
        <v>9307</v>
      </c>
      <c r="L1873" s="71" t="s">
        <v>1514</v>
      </c>
      <c r="M1873" s="71" t="s">
        <v>1368</v>
      </c>
      <c r="N1873" s="71" t="s">
        <v>848</v>
      </c>
      <c r="O1873" s="74" t="s">
        <v>4124</v>
      </c>
      <c r="P1873" s="112" t="s">
        <v>6708</v>
      </c>
      <c r="Q1873" s="68" t="s">
        <v>784</v>
      </c>
      <c r="R1873"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La Araucanía,riesgo,diabetes,tabaquismo,obesidad,cardiovascular,corazón,hipertensión,enfermedad,renal,dislipidemias,infarto,salud,programa,regional,población,control,casos,personas,Agencia Información,Salud,Programa de Salud Cardiovascular,Programas de Salud</v>
      </c>
      <c r="S1873" s="84" t="s">
        <v>4125</v>
      </c>
      <c r="T1873" s="110" t="s">
        <v>1865</v>
      </c>
      <c r="U1873" s="46" t="s">
        <v>4767</v>
      </c>
      <c r="V1873" s="93" t="str">
        <f>+Agencia[[#This Row],[idcoleccion]]&amp;"-"&amp;Agencia[[#This Row],[id]]</f>
        <v>990-1862</v>
      </c>
      <c r="W1873" s="96">
        <v>99200009</v>
      </c>
      <c r="X1873" s="93" t="str">
        <f>+VLOOKUP(Agencia[[#This Row],[tema]],Estructura!$A$4:$C$500,3,0)</f>
        <v>T-1012</v>
      </c>
      <c r="Y1873" s="93" t="str">
        <f>+VLOOKUP(Agencia[[#This Row],[contenido]],Estructura!$E$4:$G$500,3,0)</f>
        <v>C-1010</v>
      </c>
      <c r="Z1873" s="93" t="str">
        <f>+VLOOKUP(Agencia[[#This Row],[Filtro Integrado]],Estructura!$I$4:$K$500,3,0)</f>
        <v>FI-998</v>
      </c>
      <c r="AA1873" s="93" t="str">
        <f>+VLOOKUP(Agencia[[#This Row],[Muestra]],Estructura!$M$4:$O$500,3,0)</f>
        <v>M-1053</v>
      </c>
    </row>
    <row r="1874" spans="1:27" ht="71.400000000000006" x14ac:dyDescent="0.3">
      <c r="A1874" s="21" t="s">
        <v>5003</v>
      </c>
      <c r="B1874" s="66">
        <v>990</v>
      </c>
      <c r="C1874" s="67" t="s">
        <v>400</v>
      </c>
      <c r="D1874" s="67" t="s">
        <v>568</v>
      </c>
      <c r="E1874" s="89">
        <v>10</v>
      </c>
      <c r="F1874" s="72" t="s">
        <v>1473</v>
      </c>
      <c r="G1874" s="73" t="s">
        <v>1898</v>
      </c>
      <c r="H1874" s="79" t="s">
        <v>16</v>
      </c>
      <c r="I1874" s="80" t="s">
        <v>377</v>
      </c>
      <c r="J1874" s="66" t="s">
        <v>1474</v>
      </c>
      <c r="K1874" s="136" t="s">
        <v>9307</v>
      </c>
      <c r="L1874" s="71" t="s">
        <v>1514</v>
      </c>
      <c r="M1874" s="71" t="s">
        <v>1368</v>
      </c>
      <c r="N1874" s="71" t="s">
        <v>848</v>
      </c>
      <c r="O1874" s="74" t="s">
        <v>4126</v>
      </c>
      <c r="P1874" s="112" t="s">
        <v>6709</v>
      </c>
      <c r="Q1874" s="68" t="s">
        <v>784</v>
      </c>
      <c r="R1874"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Los Lagos,riesgo,diabetes,tabaquismo,obesidad,cardiovascular,corazón,hipertensión,enfermedad,renal,dislipidemias,infarto,salud,programa,regional,población,control,casos,personas,Agencia Información,Salud,Programa de Salud Cardiovascular,Programas de Salud</v>
      </c>
      <c r="S1874" s="84" t="s">
        <v>4127</v>
      </c>
      <c r="T1874" s="110" t="s">
        <v>1866</v>
      </c>
      <c r="U1874" s="46" t="s">
        <v>4768</v>
      </c>
      <c r="V1874" s="93" t="str">
        <f>+Agencia[[#This Row],[idcoleccion]]&amp;"-"&amp;Agencia[[#This Row],[id]]</f>
        <v>990-1863</v>
      </c>
      <c r="W1874" s="96">
        <v>99200010</v>
      </c>
      <c r="X1874" s="93" t="str">
        <f>+VLOOKUP(Agencia[[#This Row],[tema]],Estructura!$A$4:$C$500,3,0)</f>
        <v>T-1012</v>
      </c>
      <c r="Y1874" s="93" t="str">
        <f>+VLOOKUP(Agencia[[#This Row],[contenido]],Estructura!$E$4:$G$500,3,0)</f>
        <v>C-1010</v>
      </c>
      <c r="Z1874" s="93" t="str">
        <f>+VLOOKUP(Agencia[[#This Row],[Filtro Integrado]],Estructura!$I$4:$K$500,3,0)</f>
        <v>FI-998</v>
      </c>
      <c r="AA1874" s="93" t="str">
        <f>+VLOOKUP(Agencia[[#This Row],[Muestra]],Estructura!$M$4:$O$500,3,0)</f>
        <v>M-1053</v>
      </c>
    </row>
    <row r="1875" spans="1:27" ht="71.400000000000006" x14ac:dyDescent="0.3">
      <c r="A1875" s="21" t="s">
        <v>5004</v>
      </c>
      <c r="B1875" s="66">
        <v>990</v>
      </c>
      <c r="C1875" s="67" t="s">
        <v>400</v>
      </c>
      <c r="D1875" s="67" t="s">
        <v>568</v>
      </c>
      <c r="E1875" s="89">
        <v>11</v>
      </c>
      <c r="F1875" s="72" t="s">
        <v>1473</v>
      </c>
      <c r="G1875" s="73" t="s">
        <v>1898</v>
      </c>
      <c r="H1875" s="79" t="s">
        <v>16</v>
      </c>
      <c r="I1875" s="80" t="s">
        <v>378</v>
      </c>
      <c r="J1875" s="66" t="s">
        <v>1474</v>
      </c>
      <c r="K1875" s="136" t="s">
        <v>9307</v>
      </c>
      <c r="L1875" s="71" t="s">
        <v>1514</v>
      </c>
      <c r="M1875" s="71" t="s">
        <v>1368</v>
      </c>
      <c r="N1875" s="71" t="s">
        <v>848</v>
      </c>
      <c r="O1875" s="74" t="s">
        <v>4128</v>
      </c>
      <c r="P1875" s="112" t="s">
        <v>6710</v>
      </c>
      <c r="Q1875" s="68" t="s">
        <v>784</v>
      </c>
      <c r="R1875"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Aysén,riesgo,diabetes,tabaquismo,obesidad,cardiovascular,corazón,hipertensión,enfermedad,renal,dislipidemias,infarto,salud,programa,regional,población,control,casos,personas,Agencia Información,Salud,Programa de Salud Cardiovascular,Programas de Salud</v>
      </c>
      <c r="S1875" s="84" t="s">
        <v>4129</v>
      </c>
      <c r="T1875" s="110" t="s">
        <v>1863</v>
      </c>
      <c r="U1875" s="46" t="s">
        <v>4769</v>
      </c>
      <c r="V1875" s="93" t="str">
        <f>+Agencia[[#This Row],[idcoleccion]]&amp;"-"&amp;Agencia[[#This Row],[id]]</f>
        <v>990-1864</v>
      </c>
      <c r="W1875" s="96">
        <v>99200011</v>
      </c>
      <c r="X1875" s="93" t="str">
        <f>+VLOOKUP(Agencia[[#This Row],[tema]],Estructura!$A$4:$C$500,3,0)</f>
        <v>T-1012</v>
      </c>
      <c r="Y1875" s="93" t="str">
        <f>+VLOOKUP(Agencia[[#This Row],[contenido]],Estructura!$E$4:$G$500,3,0)</f>
        <v>C-1010</v>
      </c>
      <c r="Z1875" s="93" t="str">
        <f>+VLOOKUP(Agencia[[#This Row],[Filtro Integrado]],Estructura!$I$4:$K$500,3,0)</f>
        <v>FI-998</v>
      </c>
      <c r="AA1875" s="93" t="str">
        <f>+VLOOKUP(Agencia[[#This Row],[Muestra]],Estructura!$M$4:$O$500,3,0)</f>
        <v>M-1053</v>
      </c>
    </row>
    <row r="1876" spans="1:27" ht="71.400000000000006" x14ac:dyDescent="0.3">
      <c r="A1876" s="21" t="s">
        <v>5005</v>
      </c>
      <c r="B1876" s="66">
        <v>990</v>
      </c>
      <c r="C1876" s="67" t="s">
        <v>400</v>
      </c>
      <c r="D1876" s="67" t="s">
        <v>568</v>
      </c>
      <c r="E1876" s="89">
        <v>12</v>
      </c>
      <c r="F1876" s="72" t="s">
        <v>1473</v>
      </c>
      <c r="G1876" s="73" t="s">
        <v>1898</v>
      </c>
      <c r="H1876" s="79" t="s">
        <v>16</v>
      </c>
      <c r="I1876" s="80" t="s">
        <v>379</v>
      </c>
      <c r="J1876" s="66" t="s">
        <v>1474</v>
      </c>
      <c r="K1876" s="136" t="s">
        <v>9307</v>
      </c>
      <c r="L1876" s="71" t="s">
        <v>1514</v>
      </c>
      <c r="M1876" s="71" t="s">
        <v>1368</v>
      </c>
      <c r="N1876" s="71" t="s">
        <v>848</v>
      </c>
      <c r="O1876" s="74" t="s">
        <v>4130</v>
      </c>
      <c r="P1876" s="112" t="s">
        <v>6711</v>
      </c>
      <c r="Q1876" s="68" t="s">
        <v>784</v>
      </c>
      <c r="R1876"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Magallanes,riesgo,diabetes,tabaquismo,obesidad,cardiovascular,corazón,hipertensión,enfermedad,renal,dislipidemias,infarto,salud,programa,regional,población,control,casos,personas,Agencia Información,Salud,Programa de Salud Cardiovascular,Programas de Salud</v>
      </c>
      <c r="S1876" s="84" t="s">
        <v>4131</v>
      </c>
      <c r="T1876" s="110" t="s">
        <v>1868</v>
      </c>
      <c r="U1876" s="46" t="s">
        <v>4770</v>
      </c>
      <c r="V1876" s="93" t="str">
        <f>+Agencia[[#This Row],[idcoleccion]]&amp;"-"&amp;Agencia[[#This Row],[id]]</f>
        <v>990-1865</v>
      </c>
      <c r="W1876" s="96">
        <v>99200012</v>
      </c>
      <c r="X1876" s="93" t="str">
        <f>+VLOOKUP(Agencia[[#This Row],[tema]],Estructura!$A$4:$C$500,3,0)</f>
        <v>T-1012</v>
      </c>
      <c r="Y1876" s="93" t="str">
        <f>+VLOOKUP(Agencia[[#This Row],[contenido]],Estructura!$E$4:$G$500,3,0)</f>
        <v>C-1010</v>
      </c>
      <c r="Z1876" s="93" t="str">
        <f>+VLOOKUP(Agencia[[#This Row],[Filtro Integrado]],Estructura!$I$4:$K$500,3,0)</f>
        <v>FI-998</v>
      </c>
      <c r="AA1876" s="93" t="str">
        <f>+VLOOKUP(Agencia[[#This Row],[Muestra]],Estructura!$M$4:$O$500,3,0)</f>
        <v>M-1053</v>
      </c>
    </row>
    <row r="1877" spans="1:27" ht="71.400000000000006" x14ac:dyDescent="0.3">
      <c r="A1877" s="21" t="s">
        <v>5006</v>
      </c>
      <c r="B1877" s="66">
        <v>990</v>
      </c>
      <c r="C1877" s="67" t="s">
        <v>400</v>
      </c>
      <c r="D1877" s="67" t="s">
        <v>568</v>
      </c>
      <c r="E1877" s="89">
        <v>13</v>
      </c>
      <c r="F1877" s="72" t="s">
        <v>1473</v>
      </c>
      <c r="G1877" s="73" t="s">
        <v>1898</v>
      </c>
      <c r="H1877" s="79" t="s">
        <v>16</v>
      </c>
      <c r="I1877" s="80" t="s">
        <v>380</v>
      </c>
      <c r="J1877" s="66" t="s">
        <v>1474</v>
      </c>
      <c r="K1877" s="136" t="s">
        <v>9307</v>
      </c>
      <c r="L1877" s="71" t="s">
        <v>1514</v>
      </c>
      <c r="M1877" s="71" t="s">
        <v>1368</v>
      </c>
      <c r="N1877" s="71" t="s">
        <v>848</v>
      </c>
      <c r="O1877" s="74" t="s">
        <v>4132</v>
      </c>
      <c r="P1877" s="112" t="s">
        <v>6712</v>
      </c>
      <c r="Q1877" s="68" t="s">
        <v>784</v>
      </c>
      <c r="R1877"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Metropolitana,riesgo,diabetes,tabaquismo,obesidad,cardiovascular,corazón,hipertensión,enfermedad,renal,dislipidemias,infarto,salud,programa,regional,población,control,casos,personas,Agencia Información,Salud,Programa de Salud Cardiovascular,Programas de Salud</v>
      </c>
      <c r="S1877" s="84" t="s">
        <v>4133</v>
      </c>
      <c r="T1877" s="110" t="s">
        <v>1875</v>
      </c>
      <c r="U1877" s="46" t="s">
        <v>4771</v>
      </c>
      <c r="V1877" s="93" t="str">
        <f>+Agencia[[#This Row],[idcoleccion]]&amp;"-"&amp;Agencia[[#This Row],[id]]</f>
        <v>990-1866</v>
      </c>
      <c r="W1877" s="96">
        <v>99200013</v>
      </c>
      <c r="X1877" s="93" t="str">
        <f>+VLOOKUP(Agencia[[#This Row],[tema]],Estructura!$A$4:$C$500,3,0)</f>
        <v>T-1012</v>
      </c>
      <c r="Y1877" s="93" t="str">
        <f>+VLOOKUP(Agencia[[#This Row],[contenido]],Estructura!$E$4:$G$500,3,0)</f>
        <v>C-1010</v>
      </c>
      <c r="Z1877" s="93" t="str">
        <f>+VLOOKUP(Agencia[[#This Row],[Filtro Integrado]],Estructura!$I$4:$K$500,3,0)</f>
        <v>FI-998</v>
      </c>
      <c r="AA1877" s="93" t="str">
        <f>+VLOOKUP(Agencia[[#This Row],[Muestra]],Estructura!$M$4:$O$500,3,0)</f>
        <v>M-1053</v>
      </c>
    </row>
    <row r="1878" spans="1:27" ht="71.400000000000006" x14ac:dyDescent="0.3">
      <c r="A1878" s="21" t="s">
        <v>5007</v>
      </c>
      <c r="B1878" s="66">
        <v>990</v>
      </c>
      <c r="C1878" s="67" t="s">
        <v>400</v>
      </c>
      <c r="D1878" s="67" t="s">
        <v>568</v>
      </c>
      <c r="E1878" s="89">
        <v>14</v>
      </c>
      <c r="F1878" s="72" t="s">
        <v>1473</v>
      </c>
      <c r="G1878" s="73" t="s">
        <v>1898</v>
      </c>
      <c r="H1878" s="79" t="s">
        <v>16</v>
      </c>
      <c r="I1878" s="80" t="s">
        <v>381</v>
      </c>
      <c r="J1878" s="66" t="s">
        <v>1474</v>
      </c>
      <c r="K1878" s="136" t="s">
        <v>9307</v>
      </c>
      <c r="L1878" s="71" t="s">
        <v>1514</v>
      </c>
      <c r="M1878" s="71" t="s">
        <v>1368</v>
      </c>
      <c r="N1878" s="71" t="s">
        <v>848</v>
      </c>
      <c r="O1878" s="74" t="s">
        <v>4134</v>
      </c>
      <c r="P1878" s="112" t="s">
        <v>6713</v>
      </c>
      <c r="Q1878" s="68" t="s">
        <v>784</v>
      </c>
      <c r="R1878"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Los Ríos,riesgo,diabetes,tabaquismo,obesidad,cardiovascular,corazón,hipertensión,enfermedad,renal,dislipidemias,infarto,salud,programa,regional,población,control,casos,personas,Agencia Información,Salud,Programa de Salud Cardiovascular,Programas de Salud</v>
      </c>
      <c r="S1878" s="84" t="s">
        <v>4135</v>
      </c>
      <c r="T1878" s="110" t="s">
        <v>1867</v>
      </c>
      <c r="U1878" s="46" t="s">
        <v>4772</v>
      </c>
      <c r="V1878" s="93" t="str">
        <f>+Agencia[[#This Row],[idcoleccion]]&amp;"-"&amp;Agencia[[#This Row],[id]]</f>
        <v>990-1867</v>
      </c>
      <c r="W1878" s="96">
        <v>99200014</v>
      </c>
      <c r="X1878" s="93" t="str">
        <f>+VLOOKUP(Agencia[[#This Row],[tema]],Estructura!$A$4:$C$500,3,0)</f>
        <v>T-1012</v>
      </c>
      <c r="Y1878" s="93" t="str">
        <f>+VLOOKUP(Agencia[[#This Row],[contenido]],Estructura!$E$4:$G$500,3,0)</f>
        <v>C-1010</v>
      </c>
      <c r="Z1878" s="93" t="str">
        <f>+VLOOKUP(Agencia[[#This Row],[Filtro Integrado]],Estructura!$I$4:$K$500,3,0)</f>
        <v>FI-998</v>
      </c>
      <c r="AA1878" s="93" t="str">
        <f>+VLOOKUP(Agencia[[#This Row],[Muestra]],Estructura!$M$4:$O$500,3,0)</f>
        <v>M-1053</v>
      </c>
    </row>
    <row r="1879" spans="1:27" ht="71.400000000000006" x14ac:dyDescent="0.3">
      <c r="A1879" s="21" t="s">
        <v>5008</v>
      </c>
      <c r="B1879" s="66">
        <v>990</v>
      </c>
      <c r="C1879" s="67" t="s">
        <v>400</v>
      </c>
      <c r="D1879" s="67" t="s">
        <v>568</v>
      </c>
      <c r="E1879" s="89">
        <v>15</v>
      </c>
      <c r="F1879" s="72" t="s">
        <v>1473</v>
      </c>
      <c r="G1879" s="73" t="s">
        <v>1898</v>
      </c>
      <c r="H1879" s="79" t="s">
        <v>16</v>
      </c>
      <c r="I1879" s="80" t="s">
        <v>382</v>
      </c>
      <c r="J1879" s="66" t="s">
        <v>1474</v>
      </c>
      <c r="K1879" s="136" t="s">
        <v>9307</v>
      </c>
      <c r="L1879" s="71" t="s">
        <v>1514</v>
      </c>
      <c r="M1879" s="71" t="s">
        <v>1368</v>
      </c>
      <c r="N1879" s="71" t="s">
        <v>848</v>
      </c>
      <c r="O1879" s="74" t="s">
        <v>4136</v>
      </c>
      <c r="P1879" s="112" t="s">
        <v>6714</v>
      </c>
      <c r="Q1879" s="68" t="s">
        <v>784</v>
      </c>
      <c r="R1879"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Arica y Parinacota,riesgo,diabetes,tabaquismo,obesidad,cardiovascular,corazón,hipertensión,enfermedad,renal,dislipidemias,infarto,salud,programa,regional,población,control,casos,personas,Agencia Información,Salud,Programa de Salud Cardiovascular,Programas de Salud</v>
      </c>
      <c r="S1879" s="84" t="s">
        <v>4137</v>
      </c>
      <c r="T1879" s="110" t="s">
        <v>1861</v>
      </c>
      <c r="U1879" s="46" t="s">
        <v>4773</v>
      </c>
      <c r="V1879" s="93" t="str">
        <f>+Agencia[[#This Row],[idcoleccion]]&amp;"-"&amp;Agencia[[#This Row],[id]]</f>
        <v>990-1868</v>
      </c>
      <c r="W1879" s="96">
        <v>99200015</v>
      </c>
      <c r="X1879" s="93" t="str">
        <f>+VLOOKUP(Agencia[[#This Row],[tema]],Estructura!$A$4:$C$500,3,0)</f>
        <v>T-1012</v>
      </c>
      <c r="Y1879" s="93" t="str">
        <f>+VLOOKUP(Agencia[[#This Row],[contenido]],Estructura!$E$4:$G$500,3,0)</f>
        <v>C-1010</v>
      </c>
      <c r="Z1879" s="93" t="str">
        <f>+VLOOKUP(Agencia[[#This Row],[Filtro Integrado]],Estructura!$I$4:$K$500,3,0)</f>
        <v>FI-998</v>
      </c>
      <c r="AA1879" s="93" t="str">
        <f>+VLOOKUP(Agencia[[#This Row],[Muestra]],Estructura!$M$4:$O$500,3,0)</f>
        <v>M-1053</v>
      </c>
    </row>
    <row r="1880" spans="1:27" ht="71.400000000000006" x14ac:dyDescent="0.3">
      <c r="A1880" s="21" t="s">
        <v>5009</v>
      </c>
      <c r="B1880" s="71">
        <v>990</v>
      </c>
      <c r="C1880" s="72" t="s">
        <v>400</v>
      </c>
      <c r="D1880" s="72" t="s">
        <v>568</v>
      </c>
      <c r="E1880" s="89">
        <v>16</v>
      </c>
      <c r="F1880" s="72" t="s">
        <v>1473</v>
      </c>
      <c r="G1880" s="73" t="s">
        <v>1898</v>
      </c>
      <c r="H1880" s="79" t="s">
        <v>16</v>
      </c>
      <c r="I1880" s="80" t="s">
        <v>383</v>
      </c>
      <c r="J1880" s="66" t="s">
        <v>1474</v>
      </c>
      <c r="K1880" s="136" t="s">
        <v>9307</v>
      </c>
      <c r="L1880" s="71" t="s">
        <v>1514</v>
      </c>
      <c r="M1880" s="71" t="s">
        <v>1368</v>
      </c>
      <c r="N1880" s="71" t="s">
        <v>848</v>
      </c>
      <c r="O1880" s="74" t="s">
        <v>4138</v>
      </c>
      <c r="P1880" s="113" t="s">
        <v>6715</v>
      </c>
      <c r="Q1880" s="75" t="s">
        <v>784</v>
      </c>
      <c r="R1880" s="74" t="str">
        <f>Agencia[[#This Row],[territorio]]&amp;",riesgo,diabetes,tabaquismo,obesidad,cardiovascular,corazón,hipertensión,enfermedad,renal,dislipidemias,infarto,salud,programa,regional,población,control,casos,personas,"&amp;Agencia[[#This Row],[coleccion]]&amp;","&amp;Agencia[[#This Row],[sector]]&amp;","&amp;Agencia[[#This Row],[tema]]&amp;","&amp;Agencia[[#This Row],[contenido]]</f>
        <v>Región de Ñuble,riesgo,diabetes,tabaquismo,obesidad,cardiovascular,corazón,hipertensión,enfermedad,renal,dislipidemias,infarto,salud,programa,regional,población,control,casos,personas,Agencia Información,Salud,Programa de Salud Cardiovascular,Programas de Salud</v>
      </c>
      <c r="S1880" s="84" t="s">
        <v>4139</v>
      </c>
      <c r="T1880" s="109" t="s">
        <v>1870</v>
      </c>
      <c r="U1880" s="46" t="s">
        <v>4774</v>
      </c>
      <c r="V1880" s="93" t="str">
        <f>+Agencia[[#This Row],[idcoleccion]]&amp;"-"&amp;Agencia[[#This Row],[id]]</f>
        <v>990-1869</v>
      </c>
      <c r="W1880" s="96">
        <v>99200016</v>
      </c>
      <c r="X1880" s="93" t="str">
        <f>+VLOOKUP(Agencia[[#This Row],[tema]],Estructura!$A$4:$C$500,3,0)</f>
        <v>T-1012</v>
      </c>
      <c r="Y1880" s="93" t="str">
        <f>+VLOOKUP(Agencia[[#This Row],[contenido]],Estructura!$E$4:$G$500,3,0)</f>
        <v>C-1010</v>
      </c>
      <c r="Z1880" s="93" t="str">
        <f>+VLOOKUP(Agencia[[#This Row],[Filtro Integrado]],Estructura!$I$4:$K$500,3,0)</f>
        <v>FI-998</v>
      </c>
      <c r="AA1880" s="93" t="str">
        <f>+VLOOKUP(Agencia[[#This Row],[Muestra]],Estructura!$M$4:$O$500,3,0)</f>
        <v>M-1053</v>
      </c>
    </row>
    <row r="1881" spans="1:27" ht="48" x14ac:dyDescent="0.3">
      <c r="A1881" s="21" t="s">
        <v>5010</v>
      </c>
      <c r="B1881" s="71">
        <v>990</v>
      </c>
      <c r="C1881" s="72" t="s">
        <v>400</v>
      </c>
      <c r="D1881" s="72" t="s">
        <v>568</v>
      </c>
      <c r="E1881" s="90">
        <v>0</v>
      </c>
      <c r="F1881" s="72" t="s">
        <v>1473</v>
      </c>
      <c r="G1881" s="73" t="s">
        <v>1898</v>
      </c>
      <c r="H1881" s="77" t="s">
        <v>20</v>
      </c>
      <c r="I1881" s="78" t="s">
        <v>15</v>
      </c>
      <c r="J1881" s="71" t="s">
        <v>403</v>
      </c>
      <c r="K1881" s="136" t="s">
        <v>9307</v>
      </c>
      <c r="L1881" s="71" t="s">
        <v>1514</v>
      </c>
      <c r="M1881" s="71" t="s">
        <v>1368</v>
      </c>
      <c r="N1881" s="71" t="s">
        <v>848</v>
      </c>
      <c r="O1881" s="74" t="s">
        <v>4140</v>
      </c>
      <c r="P1881" s="113" t="s">
        <v>4141</v>
      </c>
      <c r="Q1881" s="75" t="s">
        <v>784</v>
      </c>
      <c r="R1881" s="74" t="str">
        <f>Agencia[[#This Row],[territorio]]&amp;",enfermedad,cardiovascular,corazón,población,control,salud,programa,regional,evolución,"&amp;Agencia[[#This Row],[coleccion]]&amp;","&amp;Agencia[[#This Row],[sector]]&amp;","&amp;Agencia[[#This Row],[tema]]&amp;","&amp;Agencia[[#This Row],[contenido]]</f>
        <v>Chile,enfermedad,cardiovascular,corazón,población,control,salud,programa,regional,evolución,Agencia Información,Salud,Programa de Salud Cardiovascular,Programas de Salud</v>
      </c>
      <c r="S1881" s="87" t="s">
        <v>4142</v>
      </c>
      <c r="T1881" s="109" t="s">
        <v>805</v>
      </c>
      <c r="U1881" s="46" t="s">
        <v>4775</v>
      </c>
      <c r="V1881" s="93" t="str">
        <f>+Agencia[[#This Row],[idcoleccion]]&amp;"-"&amp;Agencia[[#This Row],[id]]</f>
        <v>990-1870</v>
      </c>
      <c r="W1881" s="96">
        <v>99100000</v>
      </c>
      <c r="X1881" s="93" t="str">
        <f>+VLOOKUP(Agencia[[#This Row],[tema]],Estructura!$A$4:$C$500,3,0)</f>
        <v>T-1012</v>
      </c>
      <c r="Y1881" s="93" t="str">
        <f>+VLOOKUP(Agencia[[#This Row],[contenido]],Estructura!$E$4:$G$500,3,0)</f>
        <v>C-1010</v>
      </c>
      <c r="Z1881" s="93" t="str">
        <f>+VLOOKUP(Agencia[[#This Row],[Filtro Integrado]],Estructura!$I$4:$K$500,3,0)</f>
        <v>FI-993</v>
      </c>
      <c r="AA1881" s="93" t="str">
        <f>+VLOOKUP(Agencia[[#This Row],[Muestra]],Estructura!$M$4:$O$500,3,0)</f>
        <v>M-1053</v>
      </c>
    </row>
    <row r="1882" spans="1:27" ht="72" x14ac:dyDescent="0.3">
      <c r="A1882" s="21" t="s">
        <v>5011</v>
      </c>
      <c r="B1882" s="71">
        <v>990</v>
      </c>
      <c r="C1882" s="72" t="s">
        <v>400</v>
      </c>
      <c r="D1882" s="72" t="s">
        <v>568</v>
      </c>
      <c r="E1882" s="91">
        <v>1</v>
      </c>
      <c r="F1882" s="72" t="s">
        <v>1473</v>
      </c>
      <c r="G1882" s="73" t="s">
        <v>1898</v>
      </c>
      <c r="H1882" s="79" t="s">
        <v>16</v>
      </c>
      <c r="I1882" s="80" t="s">
        <v>368</v>
      </c>
      <c r="J1882" s="71" t="s">
        <v>403</v>
      </c>
      <c r="K1882" s="136" t="s">
        <v>9307</v>
      </c>
      <c r="L1882" s="71" t="s">
        <v>1514</v>
      </c>
      <c r="M1882" s="71" t="s">
        <v>1368</v>
      </c>
      <c r="N1882" s="71" t="s">
        <v>848</v>
      </c>
      <c r="O1882" s="74" t="s">
        <v>4143</v>
      </c>
      <c r="P1882" s="113" t="s">
        <v>6718</v>
      </c>
      <c r="Q1882" s="75" t="s">
        <v>784</v>
      </c>
      <c r="R1882" s="74" t="str">
        <f>Agencia[[#This Row],[territorio]]&amp;",enfermedad,cardiovascular,corazón,población,control,salud,programa,regional,evolución,"&amp;Agencia[[#This Row],[coleccion]]&amp;","&amp;Agencia[[#This Row],[sector]]&amp;","&amp;Agencia[[#This Row],[tema]]&amp;","&amp;Agencia[[#This Row],[contenido]]</f>
        <v>Región de Tarapacá,enfermedad,cardiovascular,corazón,población,control,salud,programa,regional,evolución,Agencia Información,Salud,Programa de Salud Cardiovascular,Programas de Salud</v>
      </c>
      <c r="S1882" s="81" t="s">
        <v>4144</v>
      </c>
      <c r="T1882" s="109" t="s">
        <v>1872</v>
      </c>
      <c r="U1882" s="46" t="s">
        <v>4776</v>
      </c>
      <c r="V1882" s="93" t="str">
        <f>+Agencia[[#This Row],[idcoleccion]]&amp;"-"&amp;Agencia[[#This Row],[id]]</f>
        <v>990-1871</v>
      </c>
      <c r="W1882" s="96">
        <v>99200001</v>
      </c>
      <c r="X1882" s="93" t="str">
        <f>+VLOOKUP(Agencia[[#This Row],[tema]],Estructura!$A$4:$C$500,3,0)</f>
        <v>T-1012</v>
      </c>
      <c r="Y1882" s="93" t="str">
        <f>+VLOOKUP(Agencia[[#This Row],[contenido]],Estructura!$E$4:$G$500,3,0)</f>
        <v>C-1010</v>
      </c>
      <c r="Z1882" s="93" t="str">
        <f>+VLOOKUP(Agencia[[#This Row],[Filtro Integrado]],Estructura!$I$4:$K$500,3,0)</f>
        <v>FI-993</v>
      </c>
      <c r="AA1882" s="93" t="str">
        <f>+VLOOKUP(Agencia[[#This Row],[Muestra]],Estructura!$M$4:$O$500,3,0)</f>
        <v>M-1053</v>
      </c>
    </row>
    <row r="1883" spans="1:27" ht="51" x14ac:dyDescent="0.3">
      <c r="A1883" s="21" t="s">
        <v>5012</v>
      </c>
      <c r="B1883" s="66">
        <v>990</v>
      </c>
      <c r="C1883" s="67" t="s">
        <v>400</v>
      </c>
      <c r="D1883" s="67" t="s">
        <v>568</v>
      </c>
      <c r="E1883" s="89">
        <v>2</v>
      </c>
      <c r="F1883" s="72" t="s">
        <v>1473</v>
      </c>
      <c r="G1883" s="73" t="s">
        <v>1898</v>
      </c>
      <c r="H1883" s="79" t="s">
        <v>16</v>
      </c>
      <c r="I1883" s="80" t="s">
        <v>369</v>
      </c>
      <c r="J1883" s="71" t="s">
        <v>403</v>
      </c>
      <c r="K1883" s="136" t="s">
        <v>9307</v>
      </c>
      <c r="L1883" s="71" t="s">
        <v>1514</v>
      </c>
      <c r="M1883" s="71" t="s">
        <v>1368</v>
      </c>
      <c r="N1883" s="71" t="s">
        <v>848</v>
      </c>
      <c r="O1883" s="74" t="s">
        <v>4145</v>
      </c>
      <c r="P1883" s="112" t="s">
        <v>6719</v>
      </c>
      <c r="Q1883" s="68" t="s">
        <v>784</v>
      </c>
      <c r="R1883" s="74" t="str">
        <f>Agencia[[#This Row],[territorio]]&amp;",enfermedad,cardiovascular,corazón,población,control,salud,programa,regional,evolución,"&amp;Agencia[[#This Row],[coleccion]]&amp;","&amp;Agencia[[#This Row],[sector]]&amp;","&amp;Agencia[[#This Row],[tema]]&amp;","&amp;Agencia[[#This Row],[contenido]]</f>
        <v>Región de Antofagasta,enfermedad,cardiovascular,corazón,población,control,salud,programa,regional,evolución,Agencia Información,Salud,Programa de Salud Cardiovascular,Programas de Salud</v>
      </c>
      <c r="S1883" s="85" t="s">
        <v>4146</v>
      </c>
      <c r="T1883" s="110" t="s">
        <v>1860</v>
      </c>
      <c r="U1883" s="46" t="s">
        <v>4777</v>
      </c>
      <c r="V1883" s="93" t="str">
        <f>+Agencia[[#This Row],[idcoleccion]]&amp;"-"&amp;Agencia[[#This Row],[id]]</f>
        <v>990-1872</v>
      </c>
      <c r="W1883" s="96">
        <v>99200002</v>
      </c>
      <c r="X1883" s="93" t="str">
        <f>+VLOOKUP(Agencia[[#This Row],[tema]],Estructura!$A$4:$C$500,3,0)</f>
        <v>T-1012</v>
      </c>
      <c r="Y1883" s="93" t="str">
        <f>+VLOOKUP(Agencia[[#This Row],[contenido]],Estructura!$E$4:$G$500,3,0)</f>
        <v>C-1010</v>
      </c>
      <c r="Z1883" s="93" t="str">
        <f>+VLOOKUP(Agencia[[#This Row],[Filtro Integrado]],Estructura!$I$4:$K$500,3,0)</f>
        <v>FI-993</v>
      </c>
      <c r="AA1883" s="93" t="str">
        <f>+VLOOKUP(Agencia[[#This Row],[Muestra]],Estructura!$M$4:$O$500,3,0)</f>
        <v>M-1053</v>
      </c>
    </row>
    <row r="1884" spans="1:27" ht="51" x14ac:dyDescent="0.3">
      <c r="A1884" s="21" t="s">
        <v>5013</v>
      </c>
      <c r="B1884" s="66">
        <v>990</v>
      </c>
      <c r="C1884" s="67" t="s">
        <v>400</v>
      </c>
      <c r="D1884" s="67" t="s">
        <v>568</v>
      </c>
      <c r="E1884" s="91">
        <v>3</v>
      </c>
      <c r="F1884" s="72" t="s">
        <v>1473</v>
      </c>
      <c r="G1884" s="73" t="s">
        <v>1898</v>
      </c>
      <c r="H1884" s="79" t="s">
        <v>16</v>
      </c>
      <c r="I1884" s="80" t="s">
        <v>370</v>
      </c>
      <c r="J1884" s="71" t="s">
        <v>403</v>
      </c>
      <c r="K1884" s="136" t="s">
        <v>9307</v>
      </c>
      <c r="L1884" s="71" t="s">
        <v>1514</v>
      </c>
      <c r="M1884" s="71" t="s">
        <v>1368</v>
      </c>
      <c r="N1884" s="71" t="s">
        <v>848</v>
      </c>
      <c r="O1884" s="74" t="s">
        <v>4147</v>
      </c>
      <c r="P1884" s="112" t="s">
        <v>6720</v>
      </c>
      <c r="Q1884" s="68" t="s">
        <v>784</v>
      </c>
      <c r="R1884" s="74" t="str">
        <f>Agencia[[#This Row],[territorio]]&amp;",enfermedad,cardiovascular,corazón,población,control,salud,programa,regional,evolución,"&amp;Agencia[[#This Row],[coleccion]]&amp;","&amp;Agencia[[#This Row],[sector]]&amp;","&amp;Agencia[[#This Row],[tema]]&amp;","&amp;Agencia[[#This Row],[contenido]]</f>
        <v>Región de Atacama,enfermedad,cardiovascular,corazón,población,control,salud,programa,regional,evolución,Agencia Información,Salud,Programa de Salud Cardiovascular,Programas de Salud</v>
      </c>
      <c r="S1884" s="85" t="s">
        <v>4148</v>
      </c>
      <c r="T1884" s="110" t="s">
        <v>1862</v>
      </c>
      <c r="U1884" s="46" t="s">
        <v>4778</v>
      </c>
      <c r="V1884" s="93" t="str">
        <f>+Agencia[[#This Row],[idcoleccion]]&amp;"-"&amp;Agencia[[#This Row],[id]]</f>
        <v>990-1873</v>
      </c>
      <c r="W1884" s="96">
        <v>99200003</v>
      </c>
      <c r="X1884" s="93" t="str">
        <f>+VLOOKUP(Agencia[[#This Row],[tema]],Estructura!$A$4:$C$500,3,0)</f>
        <v>T-1012</v>
      </c>
      <c r="Y1884" s="93" t="str">
        <f>+VLOOKUP(Agencia[[#This Row],[contenido]],Estructura!$E$4:$G$500,3,0)</f>
        <v>C-1010</v>
      </c>
      <c r="Z1884" s="93" t="str">
        <f>+VLOOKUP(Agencia[[#This Row],[Filtro Integrado]],Estructura!$I$4:$K$500,3,0)</f>
        <v>FI-993</v>
      </c>
      <c r="AA1884" s="93" t="str">
        <f>+VLOOKUP(Agencia[[#This Row],[Muestra]],Estructura!$M$4:$O$500,3,0)</f>
        <v>M-1053</v>
      </c>
    </row>
    <row r="1885" spans="1:27" ht="51" x14ac:dyDescent="0.3">
      <c r="A1885" s="21" t="s">
        <v>5014</v>
      </c>
      <c r="B1885" s="66">
        <v>990</v>
      </c>
      <c r="C1885" s="67" t="s">
        <v>400</v>
      </c>
      <c r="D1885" s="67" t="s">
        <v>568</v>
      </c>
      <c r="E1885" s="89">
        <v>4</v>
      </c>
      <c r="F1885" s="72" t="s">
        <v>1473</v>
      </c>
      <c r="G1885" s="73" t="s">
        <v>1898</v>
      </c>
      <c r="H1885" s="79" t="s">
        <v>16</v>
      </c>
      <c r="I1885" s="80" t="s">
        <v>371</v>
      </c>
      <c r="J1885" s="71" t="s">
        <v>403</v>
      </c>
      <c r="K1885" s="136" t="s">
        <v>9307</v>
      </c>
      <c r="L1885" s="71" t="s">
        <v>1514</v>
      </c>
      <c r="M1885" s="71" t="s">
        <v>1368</v>
      </c>
      <c r="N1885" s="71" t="s">
        <v>848</v>
      </c>
      <c r="O1885" s="74" t="s">
        <v>4149</v>
      </c>
      <c r="P1885" s="112" t="s">
        <v>6721</v>
      </c>
      <c r="Q1885" s="68" t="s">
        <v>784</v>
      </c>
      <c r="R1885" s="74" t="str">
        <f>Agencia[[#This Row],[territorio]]&amp;",enfermedad,cardiovascular,corazón,población,control,salud,programa,regional,evolución,"&amp;Agencia[[#This Row],[coleccion]]&amp;","&amp;Agencia[[#This Row],[sector]]&amp;","&amp;Agencia[[#This Row],[tema]]&amp;","&amp;Agencia[[#This Row],[contenido]]</f>
        <v>Región de Coquimbo,enfermedad,cardiovascular,corazón,población,control,salud,programa,regional,evolución,Agencia Información,Salud,Programa de Salud Cardiovascular,Programas de Salud</v>
      </c>
      <c r="S1885" s="85" t="s">
        <v>4150</v>
      </c>
      <c r="T1885" s="110" t="s">
        <v>1864</v>
      </c>
      <c r="U1885" s="46" t="s">
        <v>4779</v>
      </c>
      <c r="V1885" s="93" t="str">
        <f>+Agencia[[#This Row],[idcoleccion]]&amp;"-"&amp;Agencia[[#This Row],[id]]</f>
        <v>990-1874</v>
      </c>
      <c r="W1885" s="96">
        <v>99200004</v>
      </c>
      <c r="X1885" s="93" t="str">
        <f>+VLOOKUP(Agencia[[#This Row],[tema]],Estructura!$A$4:$C$500,3,0)</f>
        <v>T-1012</v>
      </c>
      <c r="Y1885" s="93" t="str">
        <f>+VLOOKUP(Agencia[[#This Row],[contenido]],Estructura!$E$4:$G$500,3,0)</f>
        <v>C-1010</v>
      </c>
      <c r="Z1885" s="93" t="str">
        <f>+VLOOKUP(Agencia[[#This Row],[Filtro Integrado]],Estructura!$I$4:$K$500,3,0)</f>
        <v>FI-993</v>
      </c>
      <c r="AA1885" s="93" t="str">
        <f>+VLOOKUP(Agencia[[#This Row],[Muestra]],Estructura!$M$4:$O$500,3,0)</f>
        <v>M-1053</v>
      </c>
    </row>
    <row r="1886" spans="1:27" ht="51" x14ac:dyDescent="0.3">
      <c r="A1886" s="21" t="s">
        <v>5015</v>
      </c>
      <c r="B1886" s="66">
        <v>990</v>
      </c>
      <c r="C1886" s="67" t="s">
        <v>400</v>
      </c>
      <c r="D1886" s="67" t="s">
        <v>568</v>
      </c>
      <c r="E1886" s="91">
        <v>5</v>
      </c>
      <c r="F1886" s="72" t="s">
        <v>1473</v>
      </c>
      <c r="G1886" s="73" t="s">
        <v>1898</v>
      </c>
      <c r="H1886" s="79" t="s">
        <v>16</v>
      </c>
      <c r="I1886" s="80" t="s">
        <v>372</v>
      </c>
      <c r="J1886" s="71" t="s">
        <v>403</v>
      </c>
      <c r="K1886" s="136" t="s">
        <v>9307</v>
      </c>
      <c r="L1886" s="71" t="s">
        <v>1514</v>
      </c>
      <c r="M1886" s="71" t="s">
        <v>1368</v>
      </c>
      <c r="N1886" s="71" t="s">
        <v>848</v>
      </c>
      <c r="O1886" s="74" t="s">
        <v>4151</v>
      </c>
      <c r="P1886" s="112" t="s">
        <v>6722</v>
      </c>
      <c r="Q1886" s="68" t="s">
        <v>784</v>
      </c>
      <c r="R1886" s="74" t="str">
        <f>Agencia[[#This Row],[territorio]]&amp;",enfermedad,cardiovascular,corazón,población,control,salud,programa,regional,evolución,"&amp;Agencia[[#This Row],[coleccion]]&amp;","&amp;Agencia[[#This Row],[sector]]&amp;","&amp;Agencia[[#This Row],[tema]]&amp;","&amp;Agencia[[#This Row],[contenido]]</f>
        <v>Región de Valparaíso,enfermedad,cardiovascular,corazón,población,control,salud,programa,regional,evolución,Agencia Información,Salud,Programa de Salud Cardiovascular,Programas de Salud</v>
      </c>
      <c r="S1886" s="85" t="s">
        <v>4152</v>
      </c>
      <c r="T1886" s="110" t="s">
        <v>1873</v>
      </c>
      <c r="U1886" s="46" t="s">
        <v>4780</v>
      </c>
      <c r="V1886" s="93" t="str">
        <f>+Agencia[[#This Row],[idcoleccion]]&amp;"-"&amp;Agencia[[#This Row],[id]]</f>
        <v>990-1875</v>
      </c>
      <c r="W1886" s="96">
        <v>99200005</v>
      </c>
      <c r="X1886" s="93" t="str">
        <f>+VLOOKUP(Agencia[[#This Row],[tema]],Estructura!$A$4:$C$500,3,0)</f>
        <v>T-1012</v>
      </c>
      <c r="Y1886" s="93" t="str">
        <f>+VLOOKUP(Agencia[[#This Row],[contenido]],Estructura!$E$4:$G$500,3,0)</f>
        <v>C-1010</v>
      </c>
      <c r="Z1886" s="93" t="str">
        <f>+VLOOKUP(Agencia[[#This Row],[Filtro Integrado]],Estructura!$I$4:$K$500,3,0)</f>
        <v>FI-993</v>
      </c>
      <c r="AA1886" s="93" t="str">
        <f>+VLOOKUP(Agencia[[#This Row],[Muestra]],Estructura!$M$4:$O$500,3,0)</f>
        <v>M-1053</v>
      </c>
    </row>
    <row r="1887" spans="1:27" ht="51" x14ac:dyDescent="0.3">
      <c r="A1887" s="21" t="s">
        <v>5016</v>
      </c>
      <c r="B1887" s="66">
        <v>990</v>
      </c>
      <c r="C1887" s="67" t="s">
        <v>400</v>
      </c>
      <c r="D1887" s="67" t="s">
        <v>568</v>
      </c>
      <c r="E1887" s="89">
        <v>6</v>
      </c>
      <c r="F1887" s="72" t="s">
        <v>1473</v>
      </c>
      <c r="G1887" s="73" t="s">
        <v>1898</v>
      </c>
      <c r="H1887" s="79" t="s">
        <v>16</v>
      </c>
      <c r="I1887" s="80" t="s">
        <v>373</v>
      </c>
      <c r="J1887" s="71" t="s">
        <v>403</v>
      </c>
      <c r="K1887" s="136" t="s">
        <v>9307</v>
      </c>
      <c r="L1887" s="71" t="s">
        <v>1514</v>
      </c>
      <c r="M1887" s="71" t="s">
        <v>1368</v>
      </c>
      <c r="N1887" s="71" t="s">
        <v>848</v>
      </c>
      <c r="O1887" s="74" t="s">
        <v>4153</v>
      </c>
      <c r="P1887" s="112" t="s">
        <v>6723</v>
      </c>
      <c r="Q1887" s="68" t="s">
        <v>784</v>
      </c>
      <c r="R1887" s="74" t="str">
        <f>Agencia[[#This Row],[territorio]]&amp;",enfermedad,cardiovascular,corazón,población,control,salud,programa,regional,evolución,"&amp;Agencia[[#This Row],[coleccion]]&amp;","&amp;Agencia[[#This Row],[sector]]&amp;","&amp;Agencia[[#This Row],[tema]]&amp;","&amp;Agencia[[#This Row],[contenido]]</f>
        <v>Región de O'Higgins,enfermedad,cardiovascular,corazón,población,control,salud,programa,regional,evolución,Agencia Información,Salud,Programa de Salud Cardiovascular,Programas de Salud</v>
      </c>
      <c r="S1887" s="85" t="s">
        <v>4154</v>
      </c>
      <c r="T1887" s="110" t="s">
        <v>1871</v>
      </c>
      <c r="U1887" s="46" t="s">
        <v>4781</v>
      </c>
      <c r="V1887" s="93" t="str">
        <f>+Agencia[[#This Row],[idcoleccion]]&amp;"-"&amp;Agencia[[#This Row],[id]]</f>
        <v>990-1876</v>
      </c>
      <c r="W1887" s="96">
        <v>99200006</v>
      </c>
      <c r="X1887" s="93" t="str">
        <f>+VLOOKUP(Agencia[[#This Row],[tema]],Estructura!$A$4:$C$500,3,0)</f>
        <v>T-1012</v>
      </c>
      <c r="Y1887" s="93" t="str">
        <f>+VLOOKUP(Agencia[[#This Row],[contenido]],Estructura!$E$4:$G$500,3,0)</f>
        <v>C-1010</v>
      </c>
      <c r="Z1887" s="93" t="str">
        <f>+VLOOKUP(Agencia[[#This Row],[Filtro Integrado]],Estructura!$I$4:$K$500,3,0)</f>
        <v>FI-993</v>
      </c>
      <c r="AA1887" s="93" t="str">
        <f>+VLOOKUP(Agencia[[#This Row],[Muestra]],Estructura!$M$4:$O$500,3,0)</f>
        <v>M-1053</v>
      </c>
    </row>
    <row r="1888" spans="1:27" ht="51" x14ac:dyDescent="0.3">
      <c r="A1888" s="21" t="s">
        <v>5017</v>
      </c>
      <c r="B1888" s="66">
        <v>990</v>
      </c>
      <c r="C1888" s="67" t="s">
        <v>400</v>
      </c>
      <c r="D1888" s="67" t="s">
        <v>568</v>
      </c>
      <c r="E1888" s="91">
        <v>7</v>
      </c>
      <c r="F1888" s="72" t="s">
        <v>1473</v>
      </c>
      <c r="G1888" s="73" t="s">
        <v>1898</v>
      </c>
      <c r="H1888" s="79" t="s">
        <v>16</v>
      </c>
      <c r="I1888" s="80" t="s">
        <v>374</v>
      </c>
      <c r="J1888" s="71" t="s">
        <v>403</v>
      </c>
      <c r="K1888" s="136" t="s">
        <v>9307</v>
      </c>
      <c r="L1888" s="71" t="s">
        <v>1514</v>
      </c>
      <c r="M1888" s="71" t="s">
        <v>1368</v>
      </c>
      <c r="N1888" s="71" t="s">
        <v>848</v>
      </c>
      <c r="O1888" s="74" t="s">
        <v>4155</v>
      </c>
      <c r="P1888" s="112" t="s">
        <v>6724</v>
      </c>
      <c r="Q1888" s="68" t="s">
        <v>784</v>
      </c>
      <c r="R1888" s="74" t="str">
        <f>Agencia[[#This Row],[territorio]]&amp;",enfermedad,cardiovascular,corazón,población,control,salud,programa,regional,evolución,"&amp;Agencia[[#This Row],[coleccion]]&amp;","&amp;Agencia[[#This Row],[sector]]&amp;","&amp;Agencia[[#This Row],[tema]]&amp;","&amp;Agencia[[#This Row],[contenido]]</f>
        <v>Región de Maule,enfermedad,cardiovascular,corazón,población,control,salud,programa,regional,evolución,Agencia Información,Salud,Programa de Salud Cardiovascular,Programas de Salud</v>
      </c>
      <c r="S1888" s="85" t="s">
        <v>4156</v>
      </c>
      <c r="T1888" s="110" t="s">
        <v>1869</v>
      </c>
      <c r="U1888" s="46" t="s">
        <v>4782</v>
      </c>
      <c r="V1888" s="93" t="str">
        <f>+Agencia[[#This Row],[idcoleccion]]&amp;"-"&amp;Agencia[[#This Row],[id]]</f>
        <v>990-1877</v>
      </c>
      <c r="W1888" s="96">
        <v>99200007</v>
      </c>
      <c r="X1888" s="93" t="str">
        <f>+VLOOKUP(Agencia[[#This Row],[tema]],Estructura!$A$4:$C$500,3,0)</f>
        <v>T-1012</v>
      </c>
      <c r="Y1888" s="93" t="str">
        <f>+VLOOKUP(Agencia[[#This Row],[contenido]],Estructura!$E$4:$G$500,3,0)</f>
        <v>C-1010</v>
      </c>
      <c r="Z1888" s="93" t="str">
        <f>+VLOOKUP(Agencia[[#This Row],[Filtro Integrado]],Estructura!$I$4:$K$500,3,0)</f>
        <v>FI-993</v>
      </c>
      <c r="AA1888" s="93" t="str">
        <f>+VLOOKUP(Agencia[[#This Row],[Muestra]],Estructura!$M$4:$O$500,3,0)</f>
        <v>M-1053</v>
      </c>
    </row>
    <row r="1889" spans="1:27" ht="51" x14ac:dyDescent="0.3">
      <c r="A1889" s="21" t="s">
        <v>5018</v>
      </c>
      <c r="B1889" s="66">
        <v>990</v>
      </c>
      <c r="C1889" s="67" t="s">
        <v>400</v>
      </c>
      <c r="D1889" s="67" t="s">
        <v>568</v>
      </c>
      <c r="E1889" s="89">
        <v>8</v>
      </c>
      <c r="F1889" s="72" t="s">
        <v>1473</v>
      </c>
      <c r="G1889" s="73" t="s">
        <v>1898</v>
      </c>
      <c r="H1889" s="79" t="s">
        <v>16</v>
      </c>
      <c r="I1889" s="80" t="s">
        <v>375</v>
      </c>
      <c r="J1889" s="71" t="s">
        <v>403</v>
      </c>
      <c r="K1889" s="136" t="s">
        <v>9307</v>
      </c>
      <c r="L1889" s="71" t="s">
        <v>1514</v>
      </c>
      <c r="M1889" s="71" t="s">
        <v>1368</v>
      </c>
      <c r="N1889" s="71" t="s">
        <v>848</v>
      </c>
      <c r="O1889" s="74" t="s">
        <v>4157</v>
      </c>
      <c r="P1889" s="112" t="s">
        <v>6725</v>
      </c>
      <c r="Q1889" s="68" t="s">
        <v>784</v>
      </c>
      <c r="R1889" s="74" t="str">
        <f>Agencia[[#This Row],[territorio]]&amp;",enfermedad,cardiovascular,corazón,población,control,salud,programa,regional,evolución,"&amp;Agencia[[#This Row],[coleccion]]&amp;","&amp;Agencia[[#This Row],[sector]]&amp;","&amp;Agencia[[#This Row],[tema]]&amp;","&amp;Agencia[[#This Row],[contenido]]</f>
        <v>Región del Biobío,enfermedad,cardiovascular,corazón,población,control,salud,programa,regional,evolución,Agencia Información,Salud,Programa de Salud Cardiovascular,Programas de Salud</v>
      </c>
      <c r="S1889" s="85" t="s">
        <v>4158</v>
      </c>
      <c r="T1889" s="110" t="s">
        <v>1874</v>
      </c>
      <c r="U1889" s="46" t="s">
        <v>4783</v>
      </c>
      <c r="V1889" s="93" t="str">
        <f>+Agencia[[#This Row],[idcoleccion]]&amp;"-"&amp;Agencia[[#This Row],[id]]</f>
        <v>990-1878</v>
      </c>
      <c r="W1889" s="96">
        <v>99200008</v>
      </c>
      <c r="X1889" s="93" t="str">
        <f>+VLOOKUP(Agencia[[#This Row],[tema]],Estructura!$A$4:$C$500,3,0)</f>
        <v>T-1012</v>
      </c>
      <c r="Y1889" s="93" t="str">
        <f>+VLOOKUP(Agencia[[#This Row],[contenido]],Estructura!$E$4:$G$500,3,0)</f>
        <v>C-1010</v>
      </c>
      <c r="Z1889" s="93" t="str">
        <f>+VLOOKUP(Agencia[[#This Row],[Filtro Integrado]],Estructura!$I$4:$K$500,3,0)</f>
        <v>FI-993</v>
      </c>
      <c r="AA1889" s="93" t="str">
        <f>+VLOOKUP(Agencia[[#This Row],[Muestra]],Estructura!$M$4:$O$500,3,0)</f>
        <v>M-1053</v>
      </c>
    </row>
    <row r="1890" spans="1:27" ht="51" x14ac:dyDescent="0.3">
      <c r="A1890" s="21" t="s">
        <v>5019</v>
      </c>
      <c r="B1890" s="66">
        <v>990</v>
      </c>
      <c r="C1890" s="67" t="s">
        <v>400</v>
      </c>
      <c r="D1890" s="67" t="s">
        <v>568</v>
      </c>
      <c r="E1890" s="91">
        <v>9</v>
      </c>
      <c r="F1890" s="72" t="s">
        <v>1473</v>
      </c>
      <c r="G1890" s="73" t="s">
        <v>1898</v>
      </c>
      <c r="H1890" s="79" t="s">
        <v>16</v>
      </c>
      <c r="I1890" s="80" t="s">
        <v>376</v>
      </c>
      <c r="J1890" s="71" t="s">
        <v>403</v>
      </c>
      <c r="K1890" s="136" t="s">
        <v>9307</v>
      </c>
      <c r="L1890" s="71" t="s">
        <v>1514</v>
      </c>
      <c r="M1890" s="71" t="s">
        <v>1368</v>
      </c>
      <c r="N1890" s="71" t="s">
        <v>848</v>
      </c>
      <c r="O1890" s="74" t="s">
        <v>4159</v>
      </c>
      <c r="P1890" s="112" t="s">
        <v>6726</v>
      </c>
      <c r="Q1890" s="68" t="s">
        <v>784</v>
      </c>
      <c r="R1890" s="74" t="str">
        <f>Agencia[[#This Row],[territorio]]&amp;",enfermedad,cardiovascular,corazón,población,control,salud,programa,regional,evolución,"&amp;Agencia[[#This Row],[coleccion]]&amp;","&amp;Agencia[[#This Row],[sector]]&amp;","&amp;Agencia[[#This Row],[tema]]&amp;","&amp;Agencia[[#This Row],[contenido]]</f>
        <v>Región de La Araucanía,enfermedad,cardiovascular,corazón,población,control,salud,programa,regional,evolución,Agencia Información,Salud,Programa de Salud Cardiovascular,Programas de Salud</v>
      </c>
      <c r="S1890" s="85" t="s">
        <v>4160</v>
      </c>
      <c r="T1890" s="110" t="s">
        <v>1865</v>
      </c>
      <c r="U1890" s="46" t="s">
        <v>4784</v>
      </c>
      <c r="V1890" s="93" t="str">
        <f>+Agencia[[#This Row],[idcoleccion]]&amp;"-"&amp;Agencia[[#This Row],[id]]</f>
        <v>990-1879</v>
      </c>
      <c r="W1890" s="96">
        <v>99200009</v>
      </c>
      <c r="X1890" s="93" t="str">
        <f>+VLOOKUP(Agencia[[#This Row],[tema]],Estructura!$A$4:$C$500,3,0)</f>
        <v>T-1012</v>
      </c>
      <c r="Y1890" s="93" t="str">
        <f>+VLOOKUP(Agencia[[#This Row],[contenido]],Estructura!$E$4:$G$500,3,0)</f>
        <v>C-1010</v>
      </c>
      <c r="Z1890" s="93" t="str">
        <f>+VLOOKUP(Agencia[[#This Row],[Filtro Integrado]],Estructura!$I$4:$K$500,3,0)</f>
        <v>FI-993</v>
      </c>
      <c r="AA1890" s="93" t="str">
        <f>+VLOOKUP(Agencia[[#This Row],[Muestra]],Estructura!$M$4:$O$500,3,0)</f>
        <v>M-1053</v>
      </c>
    </row>
    <row r="1891" spans="1:27" ht="51" x14ac:dyDescent="0.3">
      <c r="A1891" s="21" t="s">
        <v>5020</v>
      </c>
      <c r="B1891" s="66">
        <v>990</v>
      </c>
      <c r="C1891" s="67" t="s">
        <v>400</v>
      </c>
      <c r="D1891" s="67" t="s">
        <v>568</v>
      </c>
      <c r="E1891" s="89">
        <v>10</v>
      </c>
      <c r="F1891" s="72" t="s">
        <v>1473</v>
      </c>
      <c r="G1891" s="73" t="s">
        <v>1898</v>
      </c>
      <c r="H1891" s="79" t="s">
        <v>16</v>
      </c>
      <c r="I1891" s="80" t="s">
        <v>377</v>
      </c>
      <c r="J1891" s="71" t="s">
        <v>403</v>
      </c>
      <c r="K1891" s="136" t="s">
        <v>9307</v>
      </c>
      <c r="L1891" s="71" t="s">
        <v>1514</v>
      </c>
      <c r="M1891" s="71" t="s">
        <v>1368</v>
      </c>
      <c r="N1891" s="71" t="s">
        <v>848</v>
      </c>
      <c r="O1891" s="74" t="s">
        <v>4161</v>
      </c>
      <c r="P1891" s="112" t="s">
        <v>6727</v>
      </c>
      <c r="Q1891" s="68" t="s">
        <v>784</v>
      </c>
      <c r="R1891" s="74" t="str">
        <f>Agencia[[#This Row],[territorio]]&amp;",enfermedad,cardiovascular,corazón,población,control,salud,programa,regional,evolución,"&amp;Agencia[[#This Row],[coleccion]]&amp;","&amp;Agencia[[#This Row],[sector]]&amp;","&amp;Agencia[[#This Row],[tema]]&amp;","&amp;Agencia[[#This Row],[contenido]]</f>
        <v>Región de Los Lagos,enfermedad,cardiovascular,corazón,población,control,salud,programa,regional,evolución,Agencia Información,Salud,Programa de Salud Cardiovascular,Programas de Salud</v>
      </c>
      <c r="S1891" s="85" t="s">
        <v>4162</v>
      </c>
      <c r="T1891" s="110" t="s">
        <v>1866</v>
      </c>
      <c r="U1891" s="46" t="s">
        <v>4785</v>
      </c>
      <c r="V1891" s="93" t="str">
        <f>+Agencia[[#This Row],[idcoleccion]]&amp;"-"&amp;Agencia[[#This Row],[id]]</f>
        <v>990-1880</v>
      </c>
      <c r="W1891" s="96">
        <v>99200010</v>
      </c>
      <c r="X1891" s="93" t="str">
        <f>+VLOOKUP(Agencia[[#This Row],[tema]],Estructura!$A$4:$C$500,3,0)</f>
        <v>T-1012</v>
      </c>
      <c r="Y1891" s="93" t="str">
        <f>+VLOOKUP(Agencia[[#This Row],[contenido]],Estructura!$E$4:$G$500,3,0)</f>
        <v>C-1010</v>
      </c>
      <c r="Z1891" s="93" t="str">
        <f>+VLOOKUP(Agencia[[#This Row],[Filtro Integrado]],Estructura!$I$4:$K$500,3,0)</f>
        <v>FI-993</v>
      </c>
      <c r="AA1891" s="93" t="str">
        <f>+VLOOKUP(Agencia[[#This Row],[Muestra]],Estructura!$M$4:$O$500,3,0)</f>
        <v>M-1053</v>
      </c>
    </row>
    <row r="1892" spans="1:27" ht="51" x14ac:dyDescent="0.3">
      <c r="A1892" s="21" t="s">
        <v>5021</v>
      </c>
      <c r="B1892" s="66">
        <v>990</v>
      </c>
      <c r="C1892" s="67" t="s">
        <v>400</v>
      </c>
      <c r="D1892" s="67" t="s">
        <v>568</v>
      </c>
      <c r="E1892" s="91">
        <v>11</v>
      </c>
      <c r="F1892" s="72" t="s">
        <v>1473</v>
      </c>
      <c r="G1892" s="73" t="s">
        <v>1898</v>
      </c>
      <c r="H1892" s="79" t="s">
        <v>16</v>
      </c>
      <c r="I1892" s="80" t="s">
        <v>378</v>
      </c>
      <c r="J1892" s="71" t="s">
        <v>403</v>
      </c>
      <c r="K1892" s="136" t="s">
        <v>9307</v>
      </c>
      <c r="L1892" s="71" t="s">
        <v>1514</v>
      </c>
      <c r="M1892" s="71" t="s">
        <v>1368</v>
      </c>
      <c r="N1892" s="71" t="s">
        <v>848</v>
      </c>
      <c r="O1892" s="74" t="s">
        <v>4163</v>
      </c>
      <c r="P1892" s="112" t="s">
        <v>6728</v>
      </c>
      <c r="Q1892" s="68" t="s">
        <v>784</v>
      </c>
      <c r="R1892" s="74" t="str">
        <f>Agencia[[#This Row],[territorio]]&amp;",enfermedad,cardiovascular,corazón,población,control,salud,programa,regional,evolución,"&amp;Agencia[[#This Row],[coleccion]]&amp;","&amp;Agencia[[#This Row],[sector]]&amp;","&amp;Agencia[[#This Row],[tema]]&amp;","&amp;Agencia[[#This Row],[contenido]]</f>
        <v>Región de Aysén,enfermedad,cardiovascular,corazón,población,control,salud,programa,regional,evolución,Agencia Información,Salud,Programa de Salud Cardiovascular,Programas de Salud</v>
      </c>
      <c r="S1892" s="85" t="s">
        <v>4164</v>
      </c>
      <c r="T1892" s="110" t="s">
        <v>1863</v>
      </c>
      <c r="U1892" s="46" t="s">
        <v>4786</v>
      </c>
      <c r="V1892" s="93" t="str">
        <f>+Agencia[[#This Row],[idcoleccion]]&amp;"-"&amp;Agencia[[#This Row],[id]]</f>
        <v>990-1881</v>
      </c>
      <c r="W1892" s="96">
        <v>99200011</v>
      </c>
      <c r="X1892" s="93" t="str">
        <f>+VLOOKUP(Agencia[[#This Row],[tema]],Estructura!$A$4:$C$500,3,0)</f>
        <v>T-1012</v>
      </c>
      <c r="Y1892" s="93" t="str">
        <f>+VLOOKUP(Agencia[[#This Row],[contenido]],Estructura!$E$4:$G$500,3,0)</f>
        <v>C-1010</v>
      </c>
      <c r="Z1892" s="93" t="str">
        <f>+VLOOKUP(Agencia[[#This Row],[Filtro Integrado]],Estructura!$I$4:$K$500,3,0)</f>
        <v>FI-993</v>
      </c>
      <c r="AA1892" s="93" t="str">
        <f>+VLOOKUP(Agencia[[#This Row],[Muestra]],Estructura!$M$4:$O$500,3,0)</f>
        <v>M-1053</v>
      </c>
    </row>
    <row r="1893" spans="1:27" ht="51" x14ac:dyDescent="0.3">
      <c r="A1893" s="21" t="s">
        <v>5022</v>
      </c>
      <c r="B1893" s="66">
        <v>990</v>
      </c>
      <c r="C1893" s="67" t="s">
        <v>400</v>
      </c>
      <c r="D1893" s="67" t="s">
        <v>568</v>
      </c>
      <c r="E1893" s="89">
        <v>12</v>
      </c>
      <c r="F1893" s="72" t="s">
        <v>1473</v>
      </c>
      <c r="G1893" s="73" t="s">
        <v>1898</v>
      </c>
      <c r="H1893" s="79" t="s">
        <v>16</v>
      </c>
      <c r="I1893" s="80" t="s">
        <v>379</v>
      </c>
      <c r="J1893" s="71" t="s">
        <v>403</v>
      </c>
      <c r="K1893" s="136" t="s">
        <v>9307</v>
      </c>
      <c r="L1893" s="71" t="s">
        <v>1514</v>
      </c>
      <c r="M1893" s="71" t="s">
        <v>1368</v>
      </c>
      <c r="N1893" s="71" t="s">
        <v>848</v>
      </c>
      <c r="O1893" s="74" t="s">
        <v>4165</v>
      </c>
      <c r="P1893" s="112" t="s">
        <v>6729</v>
      </c>
      <c r="Q1893" s="68" t="s">
        <v>784</v>
      </c>
      <c r="R1893" s="74" t="str">
        <f>Agencia[[#This Row],[territorio]]&amp;",enfermedad,cardiovascular,corazón,población,control,salud,programa,regional,evolución,"&amp;Agencia[[#This Row],[coleccion]]&amp;","&amp;Agencia[[#This Row],[sector]]&amp;","&amp;Agencia[[#This Row],[tema]]&amp;","&amp;Agencia[[#This Row],[contenido]]</f>
        <v>Región de Magallanes,enfermedad,cardiovascular,corazón,población,control,salud,programa,regional,evolución,Agencia Información,Salud,Programa de Salud Cardiovascular,Programas de Salud</v>
      </c>
      <c r="S1893" s="85" t="s">
        <v>4166</v>
      </c>
      <c r="T1893" s="110" t="s">
        <v>1868</v>
      </c>
      <c r="U1893" s="46" t="s">
        <v>4787</v>
      </c>
      <c r="V1893" s="93" t="str">
        <f>+Agencia[[#This Row],[idcoleccion]]&amp;"-"&amp;Agencia[[#This Row],[id]]</f>
        <v>990-1882</v>
      </c>
      <c r="W1893" s="96">
        <v>99200012</v>
      </c>
      <c r="X1893" s="93" t="str">
        <f>+VLOOKUP(Agencia[[#This Row],[tema]],Estructura!$A$4:$C$500,3,0)</f>
        <v>T-1012</v>
      </c>
      <c r="Y1893" s="93" t="str">
        <f>+VLOOKUP(Agencia[[#This Row],[contenido]],Estructura!$E$4:$G$500,3,0)</f>
        <v>C-1010</v>
      </c>
      <c r="Z1893" s="93" t="str">
        <f>+VLOOKUP(Agencia[[#This Row],[Filtro Integrado]],Estructura!$I$4:$K$500,3,0)</f>
        <v>FI-993</v>
      </c>
      <c r="AA1893" s="93" t="str">
        <f>+VLOOKUP(Agencia[[#This Row],[Muestra]],Estructura!$M$4:$O$500,3,0)</f>
        <v>M-1053</v>
      </c>
    </row>
    <row r="1894" spans="1:27" ht="51" x14ac:dyDescent="0.3">
      <c r="A1894" s="21" t="s">
        <v>5023</v>
      </c>
      <c r="B1894" s="66">
        <v>990</v>
      </c>
      <c r="C1894" s="67" t="s">
        <v>400</v>
      </c>
      <c r="D1894" s="67" t="s">
        <v>568</v>
      </c>
      <c r="E1894" s="91">
        <v>13</v>
      </c>
      <c r="F1894" s="72" t="s">
        <v>1473</v>
      </c>
      <c r="G1894" s="73" t="s">
        <v>1898</v>
      </c>
      <c r="H1894" s="79" t="s">
        <v>16</v>
      </c>
      <c r="I1894" s="80" t="s">
        <v>380</v>
      </c>
      <c r="J1894" s="71" t="s">
        <v>403</v>
      </c>
      <c r="K1894" s="136" t="s">
        <v>9307</v>
      </c>
      <c r="L1894" s="71" t="s">
        <v>1514</v>
      </c>
      <c r="M1894" s="71" t="s">
        <v>1368</v>
      </c>
      <c r="N1894" s="71" t="s">
        <v>848</v>
      </c>
      <c r="O1894" s="74" t="s">
        <v>4167</v>
      </c>
      <c r="P1894" s="112" t="s">
        <v>6730</v>
      </c>
      <c r="Q1894" s="68" t="s">
        <v>784</v>
      </c>
      <c r="R1894" s="74" t="str">
        <f>Agencia[[#This Row],[territorio]]&amp;",enfermedad,cardiovascular,corazón,población,control,salud,programa,regional,evolución,"&amp;Agencia[[#This Row],[coleccion]]&amp;","&amp;Agencia[[#This Row],[sector]]&amp;","&amp;Agencia[[#This Row],[tema]]&amp;","&amp;Agencia[[#This Row],[contenido]]</f>
        <v>Región Metropolitana,enfermedad,cardiovascular,corazón,población,control,salud,programa,regional,evolución,Agencia Información,Salud,Programa de Salud Cardiovascular,Programas de Salud</v>
      </c>
      <c r="S1894" s="85" t="s">
        <v>4168</v>
      </c>
      <c r="T1894" s="110" t="s">
        <v>1875</v>
      </c>
      <c r="U1894" s="46" t="s">
        <v>4788</v>
      </c>
      <c r="V1894" s="93" t="str">
        <f>+Agencia[[#This Row],[idcoleccion]]&amp;"-"&amp;Agencia[[#This Row],[id]]</f>
        <v>990-1883</v>
      </c>
      <c r="W1894" s="96">
        <v>99200013</v>
      </c>
      <c r="X1894" s="93" t="str">
        <f>+VLOOKUP(Agencia[[#This Row],[tema]],Estructura!$A$4:$C$500,3,0)</f>
        <v>T-1012</v>
      </c>
      <c r="Y1894" s="93" t="str">
        <f>+VLOOKUP(Agencia[[#This Row],[contenido]],Estructura!$E$4:$G$500,3,0)</f>
        <v>C-1010</v>
      </c>
      <c r="Z1894" s="93" t="str">
        <f>+VLOOKUP(Agencia[[#This Row],[Filtro Integrado]],Estructura!$I$4:$K$500,3,0)</f>
        <v>FI-993</v>
      </c>
      <c r="AA1894" s="93" t="str">
        <f>+VLOOKUP(Agencia[[#This Row],[Muestra]],Estructura!$M$4:$O$500,3,0)</f>
        <v>M-1053</v>
      </c>
    </row>
    <row r="1895" spans="1:27" ht="51" x14ac:dyDescent="0.3">
      <c r="A1895" s="21" t="s">
        <v>5024</v>
      </c>
      <c r="B1895" s="66">
        <v>990</v>
      </c>
      <c r="C1895" s="67" t="s">
        <v>400</v>
      </c>
      <c r="D1895" s="67" t="s">
        <v>568</v>
      </c>
      <c r="E1895" s="89">
        <v>14</v>
      </c>
      <c r="F1895" s="72" t="s">
        <v>1473</v>
      </c>
      <c r="G1895" s="73" t="s">
        <v>1898</v>
      </c>
      <c r="H1895" s="79" t="s">
        <v>16</v>
      </c>
      <c r="I1895" s="80" t="s">
        <v>381</v>
      </c>
      <c r="J1895" s="71" t="s">
        <v>403</v>
      </c>
      <c r="K1895" s="136" t="s">
        <v>9307</v>
      </c>
      <c r="L1895" s="71" t="s">
        <v>1514</v>
      </c>
      <c r="M1895" s="71" t="s">
        <v>1368</v>
      </c>
      <c r="N1895" s="71" t="s">
        <v>848</v>
      </c>
      <c r="O1895" s="74" t="s">
        <v>4169</v>
      </c>
      <c r="P1895" s="112" t="s">
        <v>6731</v>
      </c>
      <c r="Q1895" s="68" t="s">
        <v>784</v>
      </c>
      <c r="R1895" s="74" t="str">
        <f>Agencia[[#This Row],[territorio]]&amp;",enfermedad,cardiovascular,corazón,población,control,salud,programa,regional,evolución,"&amp;Agencia[[#This Row],[coleccion]]&amp;","&amp;Agencia[[#This Row],[sector]]&amp;","&amp;Agencia[[#This Row],[tema]]&amp;","&amp;Agencia[[#This Row],[contenido]]</f>
        <v>Región de Los Ríos,enfermedad,cardiovascular,corazón,población,control,salud,programa,regional,evolución,Agencia Información,Salud,Programa de Salud Cardiovascular,Programas de Salud</v>
      </c>
      <c r="S1895" s="85" t="s">
        <v>4170</v>
      </c>
      <c r="T1895" s="110" t="s">
        <v>1867</v>
      </c>
      <c r="U1895" s="46" t="s">
        <v>4789</v>
      </c>
      <c r="V1895" s="93" t="str">
        <f>+Agencia[[#This Row],[idcoleccion]]&amp;"-"&amp;Agencia[[#This Row],[id]]</f>
        <v>990-1884</v>
      </c>
      <c r="W1895" s="96">
        <v>99200014</v>
      </c>
      <c r="X1895" s="93" t="str">
        <f>+VLOOKUP(Agencia[[#This Row],[tema]],Estructura!$A$4:$C$500,3,0)</f>
        <v>T-1012</v>
      </c>
      <c r="Y1895" s="93" t="str">
        <f>+VLOOKUP(Agencia[[#This Row],[contenido]],Estructura!$E$4:$G$500,3,0)</f>
        <v>C-1010</v>
      </c>
      <c r="Z1895" s="93" t="str">
        <f>+VLOOKUP(Agencia[[#This Row],[Filtro Integrado]],Estructura!$I$4:$K$500,3,0)</f>
        <v>FI-993</v>
      </c>
      <c r="AA1895" s="93" t="str">
        <f>+VLOOKUP(Agencia[[#This Row],[Muestra]],Estructura!$M$4:$O$500,3,0)</f>
        <v>M-1053</v>
      </c>
    </row>
    <row r="1896" spans="1:27" ht="51" x14ac:dyDescent="0.3">
      <c r="A1896" s="21" t="s">
        <v>5025</v>
      </c>
      <c r="B1896" s="66">
        <v>990</v>
      </c>
      <c r="C1896" s="67" t="s">
        <v>400</v>
      </c>
      <c r="D1896" s="67" t="s">
        <v>568</v>
      </c>
      <c r="E1896" s="91">
        <v>15</v>
      </c>
      <c r="F1896" s="72" t="s">
        <v>1473</v>
      </c>
      <c r="G1896" s="73" t="s">
        <v>1898</v>
      </c>
      <c r="H1896" s="79" t="s">
        <v>16</v>
      </c>
      <c r="I1896" s="80" t="s">
        <v>382</v>
      </c>
      <c r="J1896" s="71" t="s">
        <v>403</v>
      </c>
      <c r="K1896" s="136" t="s">
        <v>9307</v>
      </c>
      <c r="L1896" s="71" t="s">
        <v>1514</v>
      </c>
      <c r="M1896" s="71" t="s">
        <v>1368</v>
      </c>
      <c r="N1896" s="71" t="s">
        <v>848</v>
      </c>
      <c r="O1896" s="74" t="s">
        <v>4171</v>
      </c>
      <c r="P1896" s="112" t="s">
        <v>6717</v>
      </c>
      <c r="Q1896" s="68" t="s">
        <v>784</v>
      </c>
      <c r="R1896" s="74" t="str">
        <f>Agencia[[#This Row],[territorio]]&amp;",enfermedad,cardiovascular,corazón,población,control,salud,programa,regional,evolución,"&amp;Agencia[[#This Row],[coleccion]]&amp;","&amp;Agencia[[#This Row],[sector]]&amp;","&amp;Agencia[[#This Row],[tema]]&amp;","&amp;Agencia[[#This Row],[contenido]]</f>
        <v>Región de Arica y Parinacota,enfermedad,cardiovascular,corazón,población,control,salud,programa,regional,evolución,Agencia Información,Salud,Programa de Salud Cardiovascular,Programas de Salud</v>
      </c>
      <c r="S1896" s="85" t="s">
        <v>4172</v>
      </c>
      <c r="T1896" s="110" t="s">
        <v>1861</v>
      </c>
      <c r="U1896" s="46" t="s">
        <v>4790</v>
      </c>
      <c r="V1896" s="93" t="str">
        <f>+Agencia[[#This Row],[idcoleccion]]&amp;"-"&amp;Agencia[[#This Row],[id]]</f>
        <v>990-1885</v>
      </c>
      <c r="W1896" s="96">
        <v>99200015</v>
      </c>
      <c r="X1896" s="93" t="str">
        <f>+VLOOKUP(Agencia[[#This Row],[tema]],Estructura!$A$4:$C$500,3,0)</f>
        <v>T-1012</v>
      </c>
      <c r="Y1896" s="93" t="str">
        <f>+VLOOKUP(Agencia[[#This Row],[contenido]],Estructura!$E$4:$G$500,3,0)</f>
        <v>C-1010</v>
      </c>
      <c r="Z1896" s="93" t="str">
        <f>+VLOOKUP(Agencia[[#This Row],[Filtro Integrado]],Estructura!$I$4:$K$500,3,0)</f>
        <v>FI-993</v>
      </c>
      <c r="AA1896" s="93" t="str">
        <f>+VLOOKUP(Agencia[[#This Row],[Muestra]],Estructura!$M$4:$O$500,3,0)</f>
        <v>M-1053</v>
      </c>
    </row>
    <row r="1897" spans="1:27" ht="51" x14ac:dyDescent="0.3">
      <c r="A1897" s="21" t="s">
        <v>5026</v>
      </c>
      <c r="B1897" s="71">
        <v>990</v>
      </c>
      <c r="C1897" s="72" t="s">
        <v>400</v>
      </c>
      <c r="D1897" s="72" t="s">
        <v>568</v>
      </c>
      <c r="E1897" s="89">
        <v>16</v>
      </c>
      <c r="F1897" s="72" t="s">
        <v>1473</v>
      </c>
      <c r="G1897" s="73" t="s">
        <v>1898</v>
      </c>
      <c r="H1897" s="79" t="s">
        <v>16</v>
      </c>
      <c r="I1897" s="80" t="s">
        <v>383</v>
      </c>
      <c r="J1897" s="71" t="s">
        <v>403</v>
      </c>
      <c r="K1897" s="136" t="s">
        <v>9307</v>
      </c>
      <c r="L1897" s="71" t="s">
        <v>1514</v>
      </c>
      <c r="M1897" s="71" t="s">
        <v>1368</v>
      </c>
      <c r="N1897" s="71" t="s">
        <v>848</v>
      </c>
      <c r="O1897" s="74" t="s">
        <v>4173</v>
      </c>
      <c r="P1897" s="113" t="s">
        <v>6716</v>
      </c>
      <c r="Q1897" s="75" t="s">
        <v>784</v>
      </c>
      <c r="R1897" s="74" t="str">
        <f>Agencia[[#This Row],[territorio]]&amp;",enfermedad,cardiovascular,corazón,población,control,salud,programa,regional,evolución,"&amp;Agencia[[#This Row],[coleccion]]&amp;","&amp;Agencia[[#This Row],[sector]]&amp;","&amp;Agencia[[#This Row],[tema]]&amp;","&amp;Agencia[[#This Row],[contenido]]</f>
        <v>Región de Ñuble,enfermedad,cardiovascular,corazón,población,control,salud,programa,regional,evolución,Agencia Información,Salud,Programa de Salud Cardiovascular,Programas de Salud</v>
      </c>
      <c r="S1897" s="85" t="s">
        <v>4174</v>
      </c>
      <c r="T1897" s="109" t="s">
        <v>1870</v>
      </c>
      <c r="U1897" s="46" t="s">
        <v>4791</v>
      </c>
      <c r="V1897" s="93" t="str">
        <f>+Agencia[[#This Row],[idcoleccion]]&amp;"-"&amp;Agencia[[#This Row],[id]]</f>
        <v>990-1886</v>
      </c>
      <c r="W1897" s="96">
        <v>99200016</v>
      </c>
      <c r="X1897" s="93" t="str">
        <f>+VLOOKUP(Agencia[[#This Row],[tema]],Estructura!$A$4:$C$500,3,0)</f>
        <v>T-1012</v>
      </c>
      <c r="Y1897" s="93" t="str">
        <f>+VLOOKUP(Agencia[[#This Row],[contenido]],Estructura!$E$4:$G$500,3,0)</f>
        <v>C-1010</v>
      </c>
      <c r="Z1897" s="93" t="str">
        <f>+VLOOKUP(Agencia[[#This Row],[Filtro Integrado]],Estructura!$I$4:$K$500,3,0)</f>
        <v>FI-993</v>
      </c>
      <c r="AA1897" s="93" t="str">
        <f>+VLOOKUP(Agencia[[#This Row],[Muestra]],Estructura!$M$4:$O$500,3,0)</f>
        <v>M-1053</v>
      </c>
    </row>
    <row r="1898" spans="1:27" ht="48" x14ac:dyDescent="0.3">
      <c r="A1898" s="21" t="s">
        <v>5027</v>
      </c>
      <c r="B1898" s="71">
        <v>990</v>
      </c>
      <c r="C1898" s="72" t="s">
        <v>400</v>
      </c>
      <c r="D1898" s="72" t="s">
        <v>568</v>
      </c>
      <c r="E1898" s="90">
        <v>0</v>
      </c>
      <c r="F1898" s="72" t="s">
        <v>1473</v>
      </c>
      <c r="G1898" s="73" t="s">
        <v>1898</v>
      </c>
      <c r="H1898" s="77" t="s">
        <v>20</v>
      </c>
      <c r="I1898" s="78" t="s">
        <v>15</v>
      </c>
      <c r="J1898" s="66" t="s">
        <v>2992</v>
      </c>
      <c r="K1898" s="136" t="s">
        <v>9307</v>
      </c>
      <c r="L1898" s="71" t="s">
        <v>1514</v>
      </c>
      <c r="M1898" s="71" t="s">
        <v>1368</v>
      </c>
      <c r="N1898" s="71" t="s">
        <v>848</v>
      </c>
      <c r="O1898" s="70" t="s">
        <v>4175</v>
      </c>
      <c r="P1898" s="112" t="s">
        <v>6734</v>
      </c>
      <c r="Q1898" s="68" t="s">
        <v>784</v>
      </c>
      <c r="R1898" s="74" t="str">
        <f>Agencia[[#This Row],[territorio]]&amp;",enfermedad,cardiovascular,corazón,población,control,salud,programa,regional,evolución,"&amp;Agencia[[#This Row],[coleccion]]&amp;","&amp;Agencia[[#This Row],[sector]]&amp;","&amp;Agencia[[#This Row],[tema]]&amp;","&amp;Agencia[[#This Row],[contenido]]</f>
        <v>Chile,enfermedad,cardiovascular,corazón,población,control,salud,programa,regional,evolución,Agencia Información,Salud,Programa de Salud Cardiovascular,Programas de Salud</v>
      </c>
      <c r="S1898" s="87" t="s">
        <v>4176</v>
      </c>
      <c r="T1898" s="110" t="s">
        <v>957</v>
      </c>
      <c r="U1898" s="46" t="s">
        <v>4792</v>
      </c>
      <c r="V1898" s="93" t="str">
        <f>+Agencia[[#This Row],[idcoleccion]]&amp;"-"&amp;Agencia[[#This Row],[id]]</f>
        <v>990-1887</v>
      </c>
      <c r="W1898" s="96">
        <v>99100000</v>
      </c>
      <c r="X1898" s="93" t="str">
        <f>+VLOOKUP(Agencia[[#This Row],[tema]],Estructura!$A$4:$C$500,3,0)</f>
        <v>T-1012</v>
      </c>
      <c r="Y1898" s="93" t="str">
        <f>+VLOOKUP(Agencia[[#This Row],[contenido]],Estructura!$E$4:$G$500,3,0)</f>
        <v>C-1010</v>
      </c>
      <c r="Z1898" s="93" t="str">
        <f>+VLOOKUP(Agencia[[#This Row],[Filtro Integrado]],Estructura!$I$4:$K$500,3,0)</f>
        <v>FI-1005</v>
      </c>
      <c r="AA1898" s="93" t="str">
        <f>+VLOOKUP(Agencia[[#This Row],[Muestra]],Estructura!$M$4:$O$500,3,0)</f>
        <v>M-1053</v>
      </c>
    </row>
    <row r="1899" spans="1:27" ht="72" x14ac:dyDescent="0.3">
      <c r="A1899" s="21" t="s">
        <v>5028</v>
      </c>
      <c r="B1899" s="66">
        <v>990</v>
      </c>
      <c r="C1899" s="67" t="s">
        <v>400</v>
      </c>
      <c r="D1899" s="67" t="s">
        <v>568</v>
      </c>
      <c r="E1899" s="89">
        <v>1</v>
      </c>
      <c r="F1899" s="72" t="s">
        <v>1473</v>
      </c>
      <c r="G1899" s="73" t="s">
        <v>1898</v>
      </c>
      <c r="H1899" s="79" t="s">
        <v>16</v>
      </c>
      <c r="I1899" s="80" t="s">
        <v>368</v>
      </c>
      <c r="J1899" s="66" t="s">
        <v>1495</v>
      </c>
      <c r="K1899" s="136" t="s">
        <v>9307</v>
      </c>
      <c r="L1899" s="71" t="s">
        <v>1514</v>
      </c>
      <c r="M1899" s="71" t="s">
        <v>1368</v>
      </c>
      <c r="N1899" s="71" t="s">
        <v>848</v>
      </c>
      <c r="O1899" s="70" t="s">
        <v>4177</v>
      </c>
      <c r="P1899" s="112" t="s">
        <v>6735</v>
      </c>
      <c r="Q1899" s="68" t="s">
        <v>784</v>
      </c>
      <c r="R1899" s="74" t="str">
        <f>Agencia[[#This Row],[territorio]]&amp;",enfermedad,cardiovascular,corazón,población,control,salud,programa,regional,evolución,"&amp;Agencia[[#This Row],[coleccion]]&amp;","&amp;Agencia[[#This Row],[sector]]&amp;","&amp;Agencia[[#This Row],[tema]]&amp;","&amp;Agencia[[#This Row],[contenido]]</f>
        <v>Región de Tarapacá,enfermedad,cardiovascular,corazón,población,control,salud,programa,regional,evolución,Agencia Información,Salud,Programa de Salud Cardiovascular,Programas de Salud</v>
      </c>
      <c r="S1899" s="83" t="s">
        <v>4178</v>
      </c>
      <c r="T1899" s="110" t="s">
        <v>1856</v>
      </c>
      <c r="U1899" s="46" t="s">
        <v>4793</v>
      </c>
      <c r="V1899" s="93" t="str">
        <f>+Agencia[[#This Row],[idcoleccion]]&amp;"-"&amp;Agencia[[#This Row],[id]]</f>
        <v>990-1888</v>
      </c>
      <c r="W1899" s="96">
        <v>99200001</v>
      </c>
      <c r="X1899" s="93" t="str">
        <f>+VLOOKUP(Agencia[[#This Row],[tema]],Estructura!$A$4:$C$500,3,0)</f>
        <v>T-1012</v>
      </c>
      <c r="Y1899" s="93" t="str">
        <f>+VLOOKUP(Agencia[[#This Row],[contenido]],Estructura!$E$4:$G$500,3,0)</f>
        <v>C-1010</v>
      </c>
      <c r="Z1899" s="93" t="str">
        <f>+VLOOKUP(Agencia[[#This Row],[Filtro Integrado]],Estructura!$I$4:$K$500,3,0)</f>
        <v>FI-999</v>
      </c>
      <c r="AA1899" s="93" t="str">
        <f>+VLOOKUP(Agencia[[#This Row],[Muestra]],Estructura!$M$4:$O$500,3,0)</f>
        <v>M-1053</v>
      </c>
    </row>
    <row r="1900" spans="1:27" ht="51" x14ac:dyDescent="0.3">
      <c r="A1900" s="21" t="s">
        <v>5029</v>
      </c>
      <c r="B1900" s="66">
        <v>990</v>
      </c>
      <c r="C1900" s="67" t="s">
        <v>400</v>
      </c>
      <c r="D1900" s="67" t="s">
        <v>568</v>
      </c>
      <c r="E1900" s="89">
        <v>2</v>
      </c>
      <c r="F1900" s="72" t="s">
        <v>1473</v>
      </c>
      <c r="G1900" s="73" t="s">
        <v>1898</v>
      </c>
      <c r="H1900" s="79" t="s">
        <v>16</v>
      </c>
      <c r="I1900" s="80" t="s">
        <v>369</v>
      </c>
      <c r="J1900" s="66" t="s">
        <v>1495</v>
      </c>
      <c r="K1900" s="136" t="s">
        <v>9307</v>
      </c>
      <c r="L1900" s="71" t="s">
        <v>1514</v>
      </c>
      <c r="M1900" s="71" t="s">
        <v>1368</v>
      </c>
      <c r="N1900" s="71" t="s">
        <v>848</v>
      </c>
      <c r="O1900" s="70" t="s">
        <v>4179</v>
      </c>
      <c r="P1900" s="112" t="s">
        <v>6736</v>
      </c>
      <c r="Q1900" s="68" t="s">
        <v>784</v>
      </c>
      <c r="R1900" s="74" t="str">
        <f>Agencia[[#This Row],[territorio]]&amp;",enfermedad,cardiovascular,corazón,población,control,salud,programa,regional,evolución,"&amp;Agencia[[#This Row],[coleccion]]&amp;","&amp;Agencia[[#This Row],[sector]]&amp;","&amp;Agencia[[#This Row],[tema]]&amp;","&amp;Agencia[[#This Row],[contenido]]</f>
        <v>Región de Antofagasta,enfermedad,cardiovascular,corazón,población,control,salud,programa,regional,evolución,Agencia Información,Salud,Programa de Salud Cardiovascular,Programas de Salud</v>
      </c>
      <c r="S1900" s="84" t="s">
        <v>4180</v>
      </c>
      <c r="T1900" s="110" t="s">
        <v>1844</v>
      </c>
      <c r="U1900" s="46" t="s">
        <v>4794</v>
      </c>
      <c r="V1900" s="93" t="str">
        <f>+Agencia[[#This Row],[idcoleccion]]&amp;"-"&amp;Agencia[[#This Row],[id]]</f>
        <v>990-1889</v>
      </c>
      <c r="W1900" s="96">
        <v>99200002</v>
      </c>
      <c r="X1900" s="93" t="str">
        <f>+VLOOKUP(Agencia[[#This Row],[tema]],Estructura!$A$4:$C$500,3,0)</f>
        <v>T-1012</v>
      </c>
      <c r="Y1900" s="93" t="str">
        <f>+VLOOKUP(Agencia[[#This Row],[contenido]],Estructura!$E$4:$G$500,3,0)</f>
        <v>C-1010</v>
      </c>
      <c r="Z1900" s="93" t="str">
        <f>+VLOOKUP(Agencia[[#This Row],[Filtro Integrado]],Estructura!$I$4:$K$500,3,0)</f>
        <v>FI-999</v>
      </c>
      <c r="AA1900" s="93" t="str">
        <f>+VLOOKUP(Agencia[[#This Row],[Muestra]],Estructura!$M$4:$O$500,3,0)</f>
        <v>M-1053</v>
      </c>
    </row>
    <row r="1901" spans="1:27" ht="51" x14ac:dyDescent="0.3">
      <c r="A1901" s="21" t="s">
        <v>5030</v>
      </c>
      <c r="B1901" s="66">
        <v>990</v>
      </c>
      <c r="C1901" s="67" t="s">
        <v>400</v>
      </c>
      <c r="D1901" s="67" t="s">
        <v>568</v>
      </c>
      <c r="E1901" s="89">
        <v>3</v>
      </c>
      <c r="F1901" s="72" t="s">
        <v>1473</v>
      </c>
      <c r="G1901" s="73" t="s">
        <v>1898</v>
      </c>
      <c r="H1901" s="79" t="s">
        <v>16</v>
      </c>
      <c r="I1901" s="80" t="s">
        <v>370</v>
      </c>
      <c r="J1901" s="66" t="s">
        <v>1495</v>
      </c>
      <c r="K1901" s="136" t="s">
        <v>9307</v>
      </c>
      <c r="L1901" s="71" t="s">
        <v>1514</v>
      </c>
      <c r="M1901" s="71" t="s">
        <v>1368</v>
      </c>
      <c r="N1901" s="71" t="s">
        <v>848</v>
      </c>
      <c r="O1901" s="70" t="s">
        <v>4181</v>
      </c>
      <c r="P1901" s="112" t="s">
        <v>6737</v>
      </c>
      <c r="Q1901" s="68" t="s">
        <v>784</v>
      </c>
      <c r="R1901" s="74" t="str">
        <f>Agencia[[#This Row],[territorio]]&amp;",enfermedad,cardiovascular,corazón,población,control,salud,programa,regional,evolución,"&amp;Agencia[[#This Row],[coleccion]]&amp;","&amp;Agencia[[#This Row],[sector]]&amp;","&amp;Agencia[[#This Row],[tema]]&amp;","&amp;Agencia[[#This Row],[contenido]]</f>
        <v>Región de Atacama,enfermedad,cardiovascular,corazón,población,control,salud,programa,regional,evolución,Agencia Información,Salud,Programa de Salud Cardiovascular,Programas de Salud</v>
      </c>
      <c r="S1901" s="84" t="s">
        <v>4182</v>
      </c>
      <c r="T1901" s="110" t="s">
        <v>1846</v>
      </c>
      <c r="U1901" s="46" t="s">
        <v>4795</v>
      </c>
      <c r="V1901" s="93" t="str">
        <f>+Agencia[[#This Row],[idcoleccion]]&amp;"-"&amp;Agencia[[#This Row],[id]]</f>
        <v>990-1890</v>
      </c>
      <c r="W1901" s="96">
        <v>99200003</v>
      </c>
      <c r="X1901" s="93" t="str">
        <f>+VLOOKUP(Agencia[[#This Row],[tema]],Estructura!$A$4:$C$500,3,0)</f>
        <v>T-1012</v>
      </c>
      <c r="Y1901" s="93" t="str">
        <f>+VLOOKUP(Agencia[[#This Row],[contenido]],Estructura!$E$4:$G$500,3,0)</f>
        <v>C-1010</v>
      </c>
      <c r="Z1901" s="93" t="str">
        <f>+VLOOKUP(Agencia[[#This Row],[Filtro Integrado]],Estructura!$I$4:$K$500,3,0)</f>
        <v>FI-999</v>
      </c>
      <c r="AA1901" s="93" t="str">
        <f>+VLOOKUP(Agencia[[#This Row],[Muestra]],Estructura!$M$4:$O$500,3,0)</f>
        <v>M-1053</v>
      </c>
    </row>
    <row r="1902" spans="1:27" ht="51" x14ac:dyDescent="0.3">
      <c r="A1902" s="21" t="s">
        <v>5031</v>
      </c>
      <c r="B1902" s="66">
        <v>990</v>
      </c>
      <c r="C1902" s="67" t="s">
        <v>400</v>
      </c>
      <c r="D1902" s="67" t="s">
        <v>568</v>
      </c>
      <c r="E1902" s="89">
        <v>4</v>
      </c>
      <c r="F1902" s="72" t="s">
        <v>1473</v>
      </c>
      <c r="G1902" s="73" t="s">
        <v>1898</v>
      </c>
      <c r="H1902" s="79" t="s">
        <v>16</v>
      </c>
      <c r="I1902" s="80" t="s">
        <v>371</v>
      </c>
      <c r="J1902" s="66" t="s">
        <v>1495</v>
      </c>
      <c r="K1902" s="136" t="s">
        <v>9307</v>
      </c>
      <c r="L1902" s="71" t="s">
        <v>1514</v>
      </c>
      <c r="M1902" s="71" t="s">
        <v>1368</v>
      </c>
      <c r="N1902" s="71" t="s">
        <v>848</v>
      </c>
      <c r="O1902" s="70" t="s">
        <v>4183</v>
      </c>
      <c r="P1902" s="112" t="s">
        <v>6738</v>
      </c>
      <c r="Q1902" s="68" t="s">
        <v>784</v>
      </c>
      <c r="R1902" s="74" t="str">
        <f>Agencia[[#This Row],[territorio]]&amp;",enfermedad,cardiovascular,corazón,población,control,salud,programa,regional,evolución,"&amp;Agencia[[#This Row],[coleccion]]&amp;","&amp;Agencia[[#This Row],[sector]]&amp;","&amp;Agencia[[#This Row],[tema]]&amp;","&amp;Agencia[[#This Row],[contenido]]</f>
        <v>Región de Coquimbo,enfermedad,cardiovascular,corazón,población,control,salud,programa,regional,evolución,Agencia Información,Salud,Programa de Salud Cardiovascular,Programas de Salud</v>
      </c>
      <c r="S1902" s="84" t="s">
        <v>4184</v>
      </c>
      <c r="T1902" s="110" t="s">
        <v>1848</v>
      </c>
      <c r="U1902" s="46" t="s">
        <v>4796</v>
      </c>
      <c r="V1902" s="93" t="str">
        <f>+Agencia[[#This Row],[idcoleccion]]&amp;"-"&amp;Agencia[[#This Row],[id]]</f>
        <v>990-1891</v>
      </c>
      <c r="W1902" s="96">
        <v>99200004</v>
      </c>
      <c r="X1902" s="93" t="str">
        <f>+VLOOKUP(Agencia[[#This Row],[tema]],Estructura!$A$4:$C$500,3,0)</f>
        <v>T-1012</v>
      </c>
      <c r="Y1902" s="93" t="str">
        <f>+VLOOKUP(Agencia[[#This Row],[contenido]],Estructura!$E$4:$G$500,3,0)</f>
        <v>C-1010</v>
      </c>
      <c r="Z1902" s="93" t="str">
        <f>+VLOOKUP(Agencia[[#This Row],[Filtro Integrado]],Estructura!$I$4:$K$500,3,0)</f>
        <v>FI-999</v>
      </c>
      <c r="AA1902" s="93" t="str">
        <f>+VLOOKUP(Agencia[[#This Row],[Muestra]],Estructura!$M$4:$O$500,3,0)</f>
        <v>M-1053</v>
      </c>
    </row>
    <row r="1903" spans="1:27" ht="51" x14ac:dyDescent="0.3">
      <c r="A1903" s="21" t="s">
        <v>5032</v>
      </c>
      <c r="B1903" s="66">
        <v>990</v>
      </c>
      <c r="C1903" s="67" t="s">
        <v>400</v>
      </c>
      <c r="D1903" s="67" t="s">
        <v>568</v>
      </c>
      <c r="E1903" s="89">
        <v>5</v>
      </c>
      <c r="F1903" s="72" t="s">
        <v>1473</v>
      </c>
      <c r="G1903" s="73" t="s">
        <v>1898</v>
      </c>
      <c r="H1903" s="79" t="s">
        <v>16</v>
      </c>
      <c r="I1903" s="80" t="s">
        <v>372</v>
      </c>
      <c r="J1903" s="66" t="s">
        <v>1495</v>
      </c>
      <c r="K1903" s="136" t="s">
        <v>9307</v>
      </c>
      <c r="L1903" s="71" t="s">
        <v>1514</v>
      </c>
      <c r="M1903" s="71" t="s">
        <v>1368</v>
      </c>
      <c r="N1903" s="71" t="s">
        <v>848</v>
      </c>
      <c r="O1903" s="70" t="s">
        <v>4185</v>
      </c>
      <c r="P1903" s="112" t="s">
        <v>6739</v>
      </c>
      <c r="Q1903" s="68" t="s">
        <v>784</v>
      </c>
      <c r="R1903" s="74" t="str">
        <f>Agencia[[#This Row],[territorio]]&amp;",enfermedad,cardiovascular,corazón,población,control,salud,programa,regional,evolución,"&amp;Agencia[[#This Row],[coleccion]]&amp;","&amp;Agencia[[#This Row],[sector]]&amp;","&amp;Agencia[[#This Row],[tema]]&amp;","&amp;Agencia[[#This Row],[contenido]]</f>
        <v>Región de Valparaíso,enfermedad,cardiovascular,corazón,población,control,salud,programa,regional,evolución,Agencia Información,Salud,Programa de Salud Cardiovascular,Programas de Salud</v>
      </c>
      <c r="S1903" s="84" t="s">
        <v>4186</v>
      </c>
      <c r="T1903" s="110" t="s">
        <v>1857</v>
      </c>
      <c r="U1903" s="46" t="s">
        <v>4797</v>
      </c>
      <c r="V1903" s="93" t="str">
        <f>+Agencia[[#This Row],[idcoleccion]]&amp;"-"&amp;Agencia[[#This Row],[id]]</f>
        <v>990-1892</v>
      </c>
      <c r="W1903" s="96">
        <v>99200005</v>
      </c>
      <c r="X1903" s="93" t="str">
        <f>+VLOOKUP(Agencia[[#This Row],[tema]],Estructura!$A$4:$C$500,3,0)</f>
        <v>T-1012</v>
      </c>
      <c r="Y1903" s="93" t="str">
        <f>+VLOOKUP(Agencia[[#This Row],[contenido]],Estructura!$E$4:$G$500,3,0)</f>
        <v>C-1010</v>
      </c>
      <c r="Z1903" s="93" t="str">
        <f>+VLOOKUP(Agencia[[#This Row],[Filtro Integrado]],Estructura!$I$4:$K$500,3,0)</f>
        <v>FI-999</v>
      </c>
      <c r="AA1903" s="93" t="str">
        <f>+VLOOKUP(Agencia[[#This Row],[Muestra]],Estructura!$M$4:$O$500,3,0)</f>
        <v>M-1053</v>
      </c>
    </row>
    <row r="1904" spans="1:27" ht="51" x14ac:dyDescent="0.3">
      <c r="A1904" s="21" t="s">
        <v>5033</v>
      </c>
      <c r="B1904" s="66">
        <v>990</v>
      </c>
      <c r="C1904" s="67" t="s">
        <v>400</v>
      </c>
      <c r="D1904" s="67" t="s">
        <v>568</v>
      </c>
      <c r="E1904" s="89">
        <v>6</v>
      </c>
      <c r="F1904" s="72" t="s">
        <v>1473</v>
      </c>
      <c r="G1904" s="73" t="s">
        <v>1898</v>
      </c>
      <c r="H1904" s="79" t="s">
        <v>16</v>
      </c>
      <c r="I1904" s="80" t="s">
        <v>373</v>
      </c>
      <c r="J1904" s="66" t="s">
        <v>1495</v>
      </c>
      <c r="K1904" s="136" t="s">
        <v>9307</v>
      </c>
      <c r="L1904" s="71" t="s">
        <v>1514</v>
      </c>
      <c r="M1904" s="71" t="s">
        <v>1368</v>
      </c>
      <c r="N1904" s="71" t="s">
        <v>848</v>
      </c>
      <c r="O1904" s="70" t="s">
        <v>4187</v>
      </c>
      <c r="P1904" s="112" t="s">
        <v>6740</v>
      </c>
      <c r="Q1904" s="68" t="s">
        <v>784</v>
      </c>
      <c r="R1904" s="74" t="str">
        <f>Agencia[[#This Row],[territorio]]&amp;",enfermedad,cardiovascular,corazón,población,control,salud,programa,regional,evolución,"&amp;Agencia[[#This Row],[coleccion]]&amp;","&amp;Agencia[[#This Row],[sector]]&amp;","&amp;Agencia[[#This Row],[tema]]&amp;","&amp;Agencia[[#This Row],[contenido]]</f>
        <v>Región de O'Higgins,enfermedad,cardiovascular,corazón,población,control,salud,programa,regional,evolución,Agencia Información,Salud,Programa de Salud Cardiovascular,Programas de Salud</v>
      </c>
      <c r="S1904" s="84" t="s">
        <v>4188</v>
      </c>
      <c r="T1904" s="110" t="s">
        <v>1855</v>
      </c>
      <c r="U1904" s="46" t="s">
        <v>4798</v>
      </c>
      <c r="V1904" s="93" t="str">
        <f>+Agencia[[#This Row],[idcoleccion]]&amp;"-"&amp;Agencia[[#This Row],[id]]</f>
        <v>990-1893</v>
      </c>
      <c r="W1904" s="96">
        <v>99200006</v>
      </c>
      <c r="X1904" s="93" t="str">
        <f>+VLOOKUP(Agencia[[#This Row],[tema]],Estructura!$A$4:$C$500,3,0)</f>
        <v>T-1012</v>
      </c>
      <c r="Y1904" s="93" t="str">
        <f>+VLOOKUP(Agencia[[#This Row],[contenido]],Estructura!$E$4:$G$500,3,0)</f>
        <v>C-1010</v>
      </c>
      <c r="Z1904" s="93" t="str">
        <f>+VLOOKUP(Agencia[[#This Row],[Filtro Integrado]],Estructura!$I$4:$K$500,3,0)</f>
        <v>FI-999</v>
      </c>
      <c r="AA1904" s="93" t="str">
        <f>+VLOOKUP(Agencia[[#This Row],[Muestra]],Estructura!$M$4:$O$500,3,0)</f>
        <v>M-1053</v>
      </c>
    </row>
    <row r="1905" spans="1:27" ht="51" x14ac:dyDescent="0.3">
      <c r="A1905" s="21" t="s">
        <v>5034</v>
      </c>
      <c r="B1905" s="66">
        <v>990</v>
      </c>
      <c r="C1905" s="67" t="s">
        <v>400</v>
      </c>
      <c r="D1905" s="67" t="s">
        <v>568</v>
      </c>
      <c r="E1905" s="89">
        <v>7</v>
      </c>
      <c r="F1905" s="72" t="s">
        <v>1473</v>
      </c>
      <c r="G1905" s="73" t="s">
        <v>1898</v>
      </c>
      <c r="H1905" s="79" t="s">
        <v>16</v>
      </c>
      <c r="I1905" s="80" t="s">
        <v>374</v>
      </c>
      <c r="J1905" s="66" t="s">
        <v>1495</v>
      </c>
      <c r="K1905" s="136" t="s">
        <v>9307</v>
      </c>
      <c r="L1905" s="71" t="s">
        <v>1514</v>
      </c>
      <c r="M1905" s="71" t="s">
        <v>1368</v>
      </c>
      <c r="N1905" s="71" t="s">
        <v>848</v>
      </c>
      <c r="O1905" s="70" t="s">
        <v>4189</v>
      </c>
      <c r="P1905" s="112" t="s">
        <v>6741</v>
      </c>
      <c r="Q1905" s="68" t="s">
        <v>784</v>
      </c>
      <c r="R1905" s="74" t="str">
        <f>Agencia[[#This Row],[territorio]]&amp;",enfermedad,cardiovascular,corazón,población,control,salud,programa,regional,evolución,"&amp;Agencia[[#This Row],[coleccion]]&amp;","&amp;Agencia[[#This Row],[sector]]&amp;","&amp;Agencia[[#This Row],[tema]]&amp;","&amp;Agencia[[#This Row],[contenido]]</f>
        <v>Región de Maule,enfermedad,cardiovascular,corazón,población,control,salud,programa,regional,evolución,Agencia Información,Salud,Programa de Salud Cardiovascular,Programas de Salud</v>
      </c>
      <c r="S1905" s="84" t="s">
        <v>4190</v>
      </c>
      <c r="T1905" s="110" t="s">
        <v>1853</v>
      </c>
      <c r="U1905" s="46" t="s">
        <v>4799</v>
      </c>
      <c r="V1905" s="93" t="str">
        <f>+Agencia[[#This Row],[idcoleccion]]&amp;"-"&amp;Agencia[[#This Row],[id]]</f>
        <v>990-1894</v>
      </c>
      <c r="W1905" s="96">
        <v>99200007</v>
      </c>
      <c r="X1905" s="93" t="str">
        <f>+VLOOKUP(Agencia[[#This Row],[tema]],Estructura!$A$4:$C$500,3,0)</f>
        <v>T-1012</v>
      </c>
      <c r="Y1905" s="93" t="str">
        <f>+VLOOKUP(Agencia[[#This Row],[contenido]],Estructura!$E$4:$G$500,3,0)</f>
        <v>C-1010</v>
      </c>
      <c r="Z1905" s="93" t="str">
        <f>+VLOOKUP(Agencia[[#This Row],[Filtro Integrado]],Estructura!$I$4:$K$500,3,0)</f>
        <v>FI-999</v>
      </c>
      <c r="AA1905" s="93" t="str">
        <f>+VLOOKUP(Agencia[[#This Row],[Muestra]],Estructura!$M$4:$O$500,3,0)</f>
        <v>M-1053</v>
      </c>
    </row>
    <row r="1906" spans="1:27" ht="51" x14ac:dyDescent="0.3">
      <c r="A1906" s="21" t="s">
        <v>5035</v>
      </c>
      <c r="B1906" s="66">
        <v>990</v>
      </c>
      <c r="C1906" s="67" t="s">
        <v>400</v>
      </c>
      <c r="D1906" s="67" t="s">
        <v>568</v>
      </c>
      <c r="E1906" s="89">
        <v>8</v>
      </c>
      <c r="F1906" s="72" t="s">
        <v>1473</v>
      </c>
      <c r="G1906" s="73" t="s">
        <v>1898</v>
      </c>
      <c r="H1906" s="79" t="s">
        <v>16</v>
      </c>
      <c r="I1906" s="80" t="s">
        <v>375</v>
      </c>
      <c r="J1906" s="66" t="s">
        <v>1495</v>
      </c>
      <c r="K1906" s="136" t="s">
        <v>9307</v>
      </c>
      <c r="L1906" s="71" t="s">
        <v>1514</v>
      </c>
      <c r="M1906" s="71" t="s">
        <v>1368</v>
      </c>
      <c r="N1906" s="71" t="s">
        <v>848</v>
      </c>
      <c r="O1906" s="70" t="s">
        <v>4191</v>
      </c>
      <c r="P1906" s="112" t="s">
        <v>6742</v>
      </c>
      <c r="Q1906" s="68" t="s">
        <v>784</v>
      </c>
      <c r="R1906" s="74" t="str">
        <f>Agencia[[#This Row],[territorio]]&amp;",enfermedad,cardiovascular,corazón,población,control,salud,programa,regional,evolución,"&amp;Agencia[[#This Row],[coleccion]]&amp;","&amp;Agencia[[#This Row],[sector]]&amp;","&amp;Agencia[[#This Row],[tema]]&amp;","&amp;Agencia[[#This Row],[contenido]]</f>
        <v>Región del Biobío,enfermedad,cardiovascular,corazón,población,control,salud,programa,regional,evolución,Agencia Información,Salud,Programa de Salud Cardiovascular,Programas de Salud</v>
      </c>
      <c r="S1906" s="84" t="s">
        <v>4192</v>
      </c>
      <c r="T1906" s="110" t="s">
        <v>1858</v>
      </c>
      <c r="U1906" s="46" t="s">
        <v>4800</v>
      </c>
      <c r="V1906" s="93" t="str">
        <f>+Agencia[[#This Row],[idcoleccion]]&amp;"-"&amp;Agencia[[#This Row],[id]]</f>
        <v>990-1895</v>
      </c>
      <c r="W1906" s="96">
        <v>99200008</v>
      </c>
      <c r="X1906" s="93" t="str">
        <f>+VLOOKUP(Agencia[[#This Row],[tema]],Estructura!$A$4:$C$500,3,0)</f>
        <v>T-1012</v>
      </c>
      <c r="Y1906" s="93" t="str">
        <f>+VLOOKUP(Agencia[[#This Row],[contenido]],Estructura!$E$4:$G$500,3,0)</f>
        <v>C-1010</v>
      </c>
      <c r="Z1906" s="93" t="str">
        <f>+VLOOKUP(Agencia[[#This Row],[Filtro Integrado]],Estructura!$I$4:$K$500,3,0)</f>
        <v>FI-999</v>
      </c>
      <c r="AA1906" s="93" t="str">
        <f>+VLOOKUP(Agencia[[#This Row],[Muestra]],Estructura!$M$4:$O$500,3,0)</f>
        <v>M-1053</v>
      </c>
    </row>
    <row r="1907" spans="1:27" ht="51" x14ac:dyDescent="0.3">
      <c r="A1907" s="21" t="s">
        <v>5036</v>
      </c>
      <c r="B1907" s="66">
        <v>990</v>
      </c>
      <c r="C1907" s="67" t="s">
        <v>400</v>
      </c>
      <c r="D1907" s="67" t="s">
        <v>568</v>
      </c>
      <c r="E1907" s="89">
        <v>9</v>
      </c>
      <c r="F1907" s="72" t="s">
        <v>1473</v>
      </c>
      <c r="G1907" s="73" t="s">
        <v>1898</v>
      </c>
      <c r="H1907" s="79" t="s">
        <v>16</v>
      </c>
      <c r="I1907" s="80" t="s">
        <v>376</v>
      </c>
      <c r="J1907" s="66" t="s">
        <v>1495</v>
      </c>
      <c r="K1907" s="136" t="s">
        <v>9307</v>
      </c>
      <c r="L1907" s="71" t="s">
        <v>1514</v>
      </c>
      <c r="M1907" s="71" t="s">
        <v>1368</v>
      </c>
      <c r="N1907" s="71" t="s">
        <v>848</v>
      </c>
      <c r="O1907" s="70" t="s">
        <v>4193</v>
      </c>
      <c r="P1907" s="112" t="s">
        <v>6743</v>
      </c>
      <c r="Q1907" s="68" t="s">
        <v>784</v>
      </c>
      <c r="R1907" s="74" t="str">
        <f>Agencia[[#This Row],[territorio]]&amp;",enfermedad,cardiovascular,corazón,población,control,salud,programa,regional,evolución,"&amp;Agencia[[#This Row],[coleccion]]&amp;","&amp;Agencia[[#This Row],[sector]]&amp;","&amp;Agencia[[#This Row],[tema]]&amp;","&amp;Agencia[[#This Row],[contenido]]</f>
        <v>Región de La Araucanía,enfermedad,cardiovascular,corazón,población,control,salud,programa,regional,evolución,Agencia Información,Salud,Programa de Salud Cardiovascular,Programas de Salud</v>
      </c>
      <c r="S1907" s="84" t="s">
        <v>4194</v>
      </c>
      <c r="T1907" s="110" t="s">
        <v>1849</v>
      </c>
      <c r="U1907" s="46" t="s">
        <v>4801</v>
      </c>
      <c r="V1907" s="93" t="str">
        <f>+Agencia[[#This Row],[idcoleccion]]&amp;"-"&amp;Agencia[[#This Row],[id]]</f>
        <v>990-1896</v>
      </c>
      <c r="W1907" s="96">
        <v>99200009</v>
      </c>
      <c r="X1907" s="93" t="str">
        <f>+VLOOKUP(Agencia[[#This Row],[tema]],Estructura!$A$4:$C$500,3,0)</f>
        <v>T-1012</v>
      </c>
      <c r="Y1907" s="93" t="str">
        <f>+VLOOKUP(Agencia[[#This Row],[contenido]],Estructura!$E$4:$G$500,3,0)</f>
        <v>C-1010</v>
      </c>
      <c r="Z1907" s="93" t="str">
        <f>+VLOOKUP(Agencia[[#This Row],[Filtro Integrado]],Estructura!$I$4:$K$500,3,0)</f>
        <v>FI-999</v>
      </c>
      <c r="AA1907" s="93" t="str">
        <f>+VLOOKUP(Agencia[[#This Row],[Muestra]],Estructura!$M$4:$O$500,3,0)</f>
        <v>M-1053</v>
      </c>
    </row>
    <row r="1908" spans="1:27" ht="51" x14ac:dyDescent="0.3">
      <c r="A1908" s="21" t="s">
        <v>5037</v>
      </c>
      <c r="B1908" s="66">
        <v>990</v>
      </c>
      <c r="C1908" s="67" t="s">
        <v>400</v>
      </c>
      <c r="D1908" s="67" t="s">
        <v>568</v>
      </c>
      <c r="E1908" s="89">
        <v>10</v>
      </c>
      <c r="F1908" s="72" t="s">
        <v>1473</v>
      </c>
      <c r="G1908" s="73" t="s">
        <v>1898</v>
      </c>
      <c r="H1908" s="79" t="s">
        <v>16</v>
      </c>
      <c r="I1908" s="80" t="s">
        <v>377</v>
      </c>
      <c r="J1908" s="66" t="s">
        <v>1495</v>
      </c>
      <c r="K1908" s="136" t="s">
        <v>9307</v>
      </c>
      <c r="L1908" s="71" t="s">
        <v>1514</v>
      </c>
      <c r="M1908" s="71" t="s">
        <v>1368</v>
      </c>
      <c r="N1908" s="71" t="s">
        <v>848</v>
      </c>
      <c r="O1908" s="70" t="s">
        <v>4195</v>
      </c>
      <c r="P1908" s="112" t="s">
        <v>6744</v>
      </c>
      <c r="Q1908" s="68" t="s">
        <v>784</v>
      </c>
      <c r="R1908" s="74" t="str">
        <f>Agencia[[#This Row],[territorio]]&amp;",enfermedad,cardiovascular,corazón,población,control,salud,programa,regional,evolución,"&amp;Agencia[[#This Row],[coleccion]]&amp;","&amp;Agencia[[#This Row],[sector]]&amp;","&amp;Agencia[[#This Row],[tema]]&amp;","&amp;Agencia[[#This Row],[contenido]]</f>
        <v>Región de Los Lagos,enfermedad,cardiovascular,corazón,población,control,salud,programa,regional,evolución,Agencia Información,Salud,Programa de Salud Cardiovascular,Programas de Salud</v>
      </c>
      <c r="S1908" s="84" t="s">
        <v>4196</v>
      </c>
      <c r="T1908" s="110" t="s">
        <v>1850</v>
      </c>
      <c r="U1908" s="46" t="s">
        <v>4802</v>
      </c>
      <c r="V1908" s="93" t="str">
        <f>+Agencia[[#This Row],[idcoleccion]]&amp;"-"&amp;Agencia[[#This Row],[id]]</f>
        <v>990-1897</v>
      </c>
      <c r="W1908" s="96">
        <v>99200010</v>
      </c>
      <c r="X1908" s="93" t="str">
        <f>+VLOOKUP(Agencia[[#This Row],[tema]],Estructura!$A$4:$C$500,3,0)</f>
        <v>T-1012</v>
      </c>
      <c r="Y1908" s="93" t="str">
        <f>+VLOOKUP(Agencia[[#This Row],[contenido]],Estructura!$E$4:$G$500,3,0)</f>
        <v>C-1010</v>
      </c>
      <c r="Z1908" s="93" t="str">
        <f>+VLOOKUP(Agencia[[#This Row],[Filtro Integrado]],Estructura!$I$4:$K$500,3,0)</f>
        <v>FI-999</v>
      </c>
      <c r="AA1908" s="93" t="str">
        <f>+VLOOKUP(Agencia[[#This Row],[Muestra]],Estructura!$M$4:$O$500,3,0)</f>
        <v>M-1053</v>
      </c>
    </row>
    <row r="1909" spans="1:27" ht="51" x14ac:dyDescent="0.3">
      <c r="A1909" s="21" t="s">
        <v>5038</v>
      </c>
      <c r="B1909" s="66">
        <v>990</v>
      </c>
      <c r="C1909" s="67" t="s">
        <v>400</v>
      </c>
      <c r="D1909" s="67" t="s">
        <v>568</v>
      </c>
      <c r="E1909" s="89">
        <v>11</v>
      </c>
      <c r="F1909" s="72" t="s">
        <v>1473</v>
      </c>
      <c r="G1909" s="73" t="s">
        <v>1898</v>
      </c>
      <c r="H1909" s="79" t="s">
        <v>16</v>
      </c>
      <c r="I1909" s="80" t="s">
        <v>378</v>
      </c>
      <c r="J1909" s="66" t="s">
        <v>1495</v>
      </c>
      <c r="K1909" s="136" t="s">
        <v>9307</v>
      </c>
      <c r="L1909" s="71" t="s">
        <v>1514</v>
      </c>
      <c r="M1909" s="71" t="s">
        <v>1368</v>
      </c>
      <c r="N1909" s="71" t="s">
        <v>848</v>
      </c>
      <c r="O1909" s="70" t="s">
        <v>4197</v>
      </c>
      <c r="P1909" s="112" t="s">
        <v>6745</v>
      </c>
      <c r="Q1909" s="68" t="s">
        <v>784</v>
      </c>
      <c r="R1909" s="74" t="str">
        <f>Agencia[[#This Row],[territorio]]&amp;",enfermedad,cardiovascular,corazón,población,control,salud,programa,regional,evolución,"&amp;Agencia[[#This Row],[coleccion]]&amp;","&amp;Agencia[[#This Row],[sector]]&amp;","&amp;Agencia[[#This Row],[tema]]&amp;","&amp;Agencia[[#This Row],[contenido]]</f>
        <v>Región de Aysén,enfermedad,cardiovascular,corazón,población,control,salud,programa,regional,evolución,Agencia Información,Salud,Programa de Salud Cardiovascular,Programas de Salud</v>
      </c>
      <c r="S1909" s="84" t="s">
        <v>4198</v>
      </c>
      <c r="T1909" s="110" t="s">
        <v>1847</v>
      </c>
      <c r="U1909" s="46" t="s">
        <v>4803</v>
      </c>
      <c r="V1909" s="93" t="str">
        <f>+Agencia[[#This Row],[idcoleccion]]&amp;"-"&amp;Agencia[[#This Row],[id]]</f>
        <v>990-1898</v>
      </c>
      <c r="W1909" s="96">
        <v>99200011</v>
      </c>
      <c r="X1909" s="93" t="str">
        <f>+VLOOKUP(Agencia[[#This Row],[tema]],Estructura!$A$4:$C$500,3,0)</f>
        <v>T-1012</v>
      </c>
      <c r="Y1909" s="93" t="str">
        <f>+VLOOKUP(Agencia[[#This Row],[contenido]],Estructura!$E$4:$G$500,3,0)</f>
        <v>C-1010</v>
      </c>
      <c r="Z1909" s="93" t="str">
        <f>+VLOOKUP(Agencia[[#This Row],[Filtro Integrado]],Estructura!$I$4:$K$500,3,0)</f>
        <v>FI-999</v>
      </c>
      <c r="AA1909" s="93" t="str">
        <f>+VLOOKUP(Agencia[[#This Row],[Muestra]],Estructura!$M$4:$O$500,3,0)</f>
        <v>M-1053</v>
      </c>
    </row>
    <row r="1910" spans="1:27" ht="51" x14ac:dyDescent="0.3">
      <c r="A1910" s="21" t="s">
        <v>5039</v>
      </c>
      <c r="B1910" s="66">
        <v>990</v>
      </c>
      <c r="C1910" s="67" t="s">
        <v>400</v>
      </c>
      <c r="D1910" s="67" t="s">
        <v>568</v>
      </c>
      <c r="E1910" s="89">
        <v>12</v>
      </c>
      <c r="F1910" s="72" t="s">
        <v>1473</v>
      </c>
      <c r="G1910" s="73" t="s">
        <v>1898</v>
      </c>
      <c r="H1910" s="79" t="s">
        <v>16</v>
      </c>
      <c r="I1910" s="80" t="s">
        <v>379</v>
      </c>
      <c r="J1910" s="66" t="s">
        <v>1495</v>
      </c>
      <c r="K1910" s="136" t="s">
        <v>9307</v>
      </c>
      <c r="L1910" s="71" t="s">
        <v>1514</v>
      </c>
      <c r="M1910" s="71" t="s">
        <v>1368</v>
      </c>
      <c r="N1910" s="71" t="s">
        <v>848</v>
      </c>
      <c r="O1910" s="70" t="s">
        <v>4199</v>
      </c>
      <c r="P1910" s="112" t="s">
        <v>6746</v>
      </c>
      <c r="Q1910" s="68" t="s">
        <v>784</v>
      </c>
      <c r="R1910" s="74" t="str">
        <f>Agencia[[#This Row],[territorio]]&amp;",enfermedad,cardiovascular,corazón,población,control,salud,programa,regional,evolución,"&amp;Agencia[[#This Row],[coleccion]]&amp;","&amp;Agencia[[#This Row],[sector]]&amp;","&amp;Agencia[[#This Row],[tema]]&amp;","&amp;Agencia[[#This Row],[contenido]]</f>
        <v>Región de Magallanes,enfermedad,cardiovascular,corazón,población,control,salud,programa,regional,evolución,Agencia Información,Salud,Programa de Salud Cardiovascular,Programas de Salud</v>
      </c>
      <c r="S1910" s="84" t="s">
        <v>4200</v>
      </c>
      <c r="T1910" s="110" t="s">
        <v>1852</v>
      </c>
      <c r="U1910" s="46" t="s">
        <v>4804</v>
      </c>
      <c r="V1910" s="93" t="str">
        <f>+Agencia[[#This Row],[idcoleccion]]&amp;"-"&amp;Agencia[[#This Row],[id]]</f>
        <v>990-1899</v>
      </c>
      <c r="W1910" s="96">
        <v>99200012</v>
      </c>
      <c r="X1910" s="93" t="str">
        <f>+VLOOKUP(Agencia[[#This Row],[tema]],Estructura!$A$4:$C$500,3,0)</f>
        <v>T-1012</v>
      </c>
      <c r="Y1910" s="93" t="str">
        <f>+VLOOKUP(Agencia[[#This Row],[contenido]],Estructura!$E$4:$G$500,3,0)</f>
        <v>C-1010</v>
      </c>
      <c r="Z1910" s="93" t="str">
        <f>+VLOOKUP(Agencia[[#This Row],[Filtro Integrado]],Estructura!$I$4:$K$500,3,0)</f>
        <v>FI-999</v>
      </c>
      <c r="AA1910" s="93" t="str">
        <f>+VLOOKUP(Agencia[[#This Row],[Muestra]],Estructura!$M$4:$O$500,3,0)</f>
        <v>M-1053</v>
      </c>
    </row>
    <row r="1911" spans="1:27" ht="51" x14ac:dyDescent="0.3">
      <c r="A1911" s="21" t="s">
        <v>5040</v>
      </c>
      <c r="B1911" s="66">
        <v>990</v>
      </c>
      <c r="C1911" s="67" t="s">
        <v>400</v>
      </c>
      <c r="D1911" s="67" t="s">
        <v>568</v>
      </c>
      <c r="E1911" s="89">
        <v>13</v>
      </c>
      <c r="F1911" s="72" t="s">
        <v>1473</v>
      </c>
      <c r="G1911" s="73" t="s">
        <v>1898</v>
      </c>
      <c r="H1911" s="79" t="s">
        <v>16</v>
      </c>
      <c r="I1911" s="80" t="s">
        <v>380</v>
      </c>
      <c r="J1911" s="66" t="s">
        <v>1495</v>
      </c>
      <c r="K1911" s="136" t="s">
        <v>9307</v>
      </c>
      <c r="L1911" s="71" t="s">
        <v>1514</v>
      </c>
      <c r="M1911" s="71" t="s">
        <v>1368</v>
      </c>
      <c r="N1911" s="71" t="s">
        <v>848</v>
      </c>
      <c r="O1911" s="70" t="s">
        <v>4201</v>
      </c>
      <c r="P1911" s="112" t="s">
        <v>6747</v>
      </c>
      <c r="Q1911" s="68" t="s">
        <v>784</v>
      </c>
      <c r="R1911" s="74" t="str">
        <f>Agencia[[#This Row],[territorio]]&amp;",enfermedad,cardiovascular,corazón,población,control,salud,programa,regional,evolución,"&amp;Agencia[[#This Row],[coleccion]]&amp;","&amp;Agencia[[#This Row],[sector]]&amp;","&amp;Agencia[[#This Row],[tema]]&amp;","&amp;Agencia[[#This Row],[contenido]]</f>
        <v>Región Metropolitana,enfermedad,cardiovascular,corazón,población,control,salud,programa,regional,evolución,Agencia Información,Salud,Programa de Salud Cardiovascular,Programas de Salud</v>
      </c>
      <c r="S1911" s="84" t="s">
        <v>4202</v>
      </c>
      <c r="T1911" s="110" t="s">
        <v>1859</v>
      </c>
      <c r="U1911" s="46" t="s">
        <v>4805</v>
      </c>
      <c r="V1911" s="93" t="str">
        <f>+Agencia[[#This Row],[idcoleccion]]&amp;"-"&amp;Agencia[[#This Row],[id]]</f>
        <v>990-1900</v>
      </c>
      <c r="W1911" s="96">
        <v>99200013</v>
      </c>
      <c r="X1911" s="93" t="str">
        <f>+VLOOKUP(Agencia[[#This Row],[tema]],Estructura!$A$4:$C$500,3,0)</f>
        <v>T-1012</v>
      </c>
      <c r="Y1911" s="93" t="str">
        <f>+VLOOKUP(Agencia[[#This Row],[contenido]],Estructura!$E$4:$G$500,3,0)</f>
        <v>C-1010</v>
      </c>
      <c r="Z1911" s="93" t="str">
        <f>+VLOOKUP(Agencia[[#This Row],[Filtro Integrado]],Estructura!$I$4:$K$500,3,0)</f>
        <v>FI-999</v>
      </c>
      <c r="AA1911" s="93" t="str">
        <f>+VLOOKUP(Agencia[[#This Row],[Muestra]],Estructura!$M$4:$O$500,3,0)</f>
        <v>M-1053</v>
      </c>
    </row>
    <row r="1912" spans="1:27" ht="51" x14ac:dyDescent="0.3">
      <c r="A1912" s="21" t="s">
        <v>5041</v>
      </c>
      <c r="B1912" s="66">
        <v>990</v>
      </c>
      <c r="C1912" s="67" t="s">
        <v>400</v>
      </c>
      <c r="D1912" s="67" t="s">
        <v>568</v>
      </c>
      <c r="E1912" s="89">
        <v>14</v>
      </c>
      <c r="F1912" s="72" t="s">
        <v>1473</v>
      </c>
      <c r="G1912" s="73" t="s">
        <v>1898</v>
      </c>
      <c r="H1912" s="79" t="s">
        <v>16</v>
      </c>
      <c r="I1912" s="80" t="s">
        <v>381</v>
      </c>
      <c r="J1912" s="66" t="s">
        <v>1495</v>
      </c>
      <c r="K1912" s="136" t="s">
        <v>9307</v>
      </c>
      <c r="L1912" s="71" t="s">
        <v>1514</v>
      </c>
      <c r="M1912" s="71" t="s">
        <v>1368</v>
      </c>
      <c r="N1912" s="71" t="s">
        <v>848</v>
      </c>
      <c r="O1912" s="70" t="s">
        <v>4203</v>
      </c>
      <c r="P1912" s="112" t="s">
        <v>6748</v>
      </c>
      <c r="Q1912" s="68" t="s">
        <v>784</v>
      </c>
      <c r="R1912" s="74" t="str">
        <f>Agencia[[#This Row],[territorio]]&amp;",enfermedad,cardiovascular,corazón,población,control,salud,programa,regional,evolución,"&amp;Agencia[[#This Row],[coleccion]]&amp;","&amp;Agencia[[#This Row],[sector]]&amp;","&amp;Agencia[[#This Row],[tema]]&amp;","&amp;Agencia[[#This Row],[contenido]]</f>
        <v>Región de Los Ríos,enfermedad,cardiovascular,corazón,población,control,salud,programa,regional,evolución,Agencia Información,Salud,Programa de Salud Cardiovascular,Programas de Salud</v>
      </c>
      <c r="S1912" s="84" t="s">
        <v>4204</v>
      </c>
      <c r="T1912" s="110" t="s">
        <v>1851</v>
      </c>
      <c r="U1912" s="46" t="s">
        <v>4806</v>
      </c>
      <c r="V1912" s="93" t="str">
        <f>+Agencia[[#This Row],[idcoleccion]]&amp;"-"&amp;Agencia[[#This Row],[id]]</f>
        <v>990-1901</v>
      </c>
      <c r="W1912" s="96">
        <v>99200014</v>
      </c>
      <c r="X1912" s="93" t="str">
        <f>+VLOOKUP(Agencia[[#This Row],[tema]],Estructura!$A$4:$C$500,3,0)</f>
        <v>T-1012</v>
      </c>
      <c r="Y1912" s="93" t="str">
        <f>+VLOOKUP(Agencia[[#This Row],[contenido]],Estructura!$E$4:$G$500,3,0)</f>
        <v>C-1010</v>
      </c>
      <c r="Z1912" s="93" t="str">
        <f>+VLOOKUP(Agencia[[#This Row],[Filtro Integrado]],Estructura!$I$4:$K$500,3,0)</f>
        <v>FI-999</v>
      </c>
      <c r="AA1912" s="93" t="str">
        <f>+VLOOKUP(Agencia[[#This Row],[Muestra]],Estructura!$M$4:$O$500,3,0)</f>
        <v>M-1053</v>
      </c>
    </row>
    <row r="1913" spans="1:27" ht="51" x14ac:dyDescent="0.3">
      <c r="A1913" s="21" t="s">
        <v>5042</v>
      </c>
      <c r="B1913" s="66">
        <v>990</v>
      </c>
      <c r="C1913" s="67" t="s">
        <v>400</v>
      </c>
      <c r="D1913" s="67" t="s">
        <v>568</v>
      </c>
      <c r="E1913" s="89">
        <v>15</v>
      </c>
      <c r="F1913" s="72" t="s">
        <v>1473</v>
      </c>
      <c r="G1913" s="73" t="s">
        <v>1898</v>
      </c>
      <c r="H1913" s="79" t="s">
        <v>16</v>
      </c>
      <c r="I1913" s="80" t="s">
        <v>382</v>
      </c>
      <c r="J1913" s="66" t="s">
        <v>1495</v>
      </c>
      <c r="K1913" s="136" t="s">
        <v>9307</v>
      </c>
      <c r="L1913" s="71" t="s">
        <v>1514</v>
      </c>
      <c r="M1913" s="71" t="s">
        <v>1368</v>
      </c>
      <c r="N1913" s="71" t="s">
        <v>848</v>
      </c>
      <c r="O1913" s="70" t="s">
        <v>4205</v>
      </c>
      <c r="P1913" s="112" t="s">
        <v>6749</v>
      </c>
      <c r="Q1913" s="68" t="s">
        <v>784</v>
      </c>
      <c r="R1913" s="74" t="str">
        <f>Agencia[[#This Row],[territorio]]&amp;",enfermedad,cardiovascular,corazón,población,control,salud,programa,regional,evolución,"&amp;Agencia[[#This Row],[coleccion]]&amp;","&amp;Agencia[[#This Row],[sector]]&amp;","&amp;Agencia[[#This Row],[tema]]&amp;","&amp;Agencia[[#This Row],[contenido]]</f>
        <v>Región de Arica y Parinacota,enfermedad,cardiovascular,corazón,población,control,salud,programa,regional,evolución,Agencia Información,Salud,Programa de Salud Cardiovascular,Programas de Salud</v>
      </c>
      <c r="S1913" s="84" t="s">
        <v>4206</v>
      </c>
      <c r="T1913" s="110" t="s">
        <v>1845</v>
      </c>
      <c r="U1913" s="46" t="s">
        <v>4807</v>
      </c>
      <c r="V1913" s="93" t="str">
        <f>+Agencia[[#This Row],[idcoleccion]]&amp;"-"&amp;Agencia[[#This Row],[id]]</f>
        <v>990-1902</v>
      </c>
      <c r="W1913" s="96">
        <v>99200015</v>
      </c>
      <c r="X1913" s="93" t="str">
        <f>+VLOOKUP(Agencia[[#This Row],[tema]],Estructura!$A$4:$C$500,3,0)</f>
        <v>T-1012</v>
      </c>
      <c r="Y1913" s="93" t="str">
        <f>+VLOOKUP(Agencia[[#This Row],[contenido]],Estructura!$E$4:$G$500,3,0)</f>
        <v>C-1010</v>
      </c>
      <c r="Z1913" s="93" t="str">
        <f>+VLOOKUP(Agencia[[#This Row],[Filtro Integrado]],Estructura!$I$4:$K$500,3,0)</f>
        <v>FI-999</v>
      </c>
      <c r="AA1913" s="93" t="str">
        <f>+VLOOKUP(Agencia[[#This Row],[Muestra]],Estructura!$M$4:$O$500,3,0)</f>
        <v>M-1053</v>
      </c>
    </row>
    <row r="1914" spans="1:27" ht="51" x14ac:dyDescent="0.3">
      <c r="A1914" s="21" t="s">
        <v>5043</v>
      </c>
      <c r="B1914" s="71">
        <v>990</v>
      </c>
      <c r="C1914" s="72" t="s">
        <v>400</v>
      </c>
      <c r="D1914" s="72" t="s">
        <v>568</v>
      </c>
      <c r="E1914" s="89">
        <v>16</v>
      </c>
      <c r="F1914" s="72" t="s">
        <v>1473</v>
      </c>
      <c r="G1914" s="73" t="s">
        <v>1898</v>
      </c>
      <c r="H1914" s="79" t="s">
        <v>16</v>
      </c>
      <c r="I1914" s="80" t="s">
        <v>383</v>
      </c>
      <c r="J1914" s="66" t="s">
        <v>1495</v>
      </c>
      <c r="K1914" s="136" t="s">
        <v>9307</v>
      </c>
      <c r="L1914" s="71" t="s">
        <v>1514</v>
      </c>
      <c r="M1914" s="71" t="s">
        <v>1368</v>
      </c>
      <c r="N1914" s="71" t="s">
        <v>848</v>
      </c>
      <c r="O1914" s="70" t="s">
        <v>4207</v>
      </c>
      <c r="P1914" s="113" t="s">
        <v>6750</v>
      </c>
      <c r="Q1914" s="75" t="s">
        <v>784</v>
      </c>
      <c r="R1914" s="74" t="str">
        <f>Agencia[[#This Row],[territorio]]&amp;",enfermedad,cardiovascular,corazón,población,control,salud,programa,regional,evolución,"&amp;Agencia[[#This Row],[coleccion]]&amp;","&amp;Agencia[[#This Row],[sector]]&amp;","&amp;Agencia[[#This Row],[tema]]&amp;","&amp;Agencia[[#This Row],[contenido]]</f>
        <v>Región de Ñuble,enfermedad,cardiovascular,corazón,población,control,salud,programa,regional,evolución,Agencia Información,Salud,Programa de Salud Cardiovascular,Programas de Salud</v>
      </c>
      <c r="S1914" s="84" t="s">
        <v>4208</v>
      </c>
      <c r="T1914" s="109" t="s">
        <v>1854</v>
      </c>
      <c r="U1914" s="46" t="s">
        <v>4808</v>
      </c>
      <c r="V1914" s="93" t="str">
        <f>+Agencia[[#This Row],[idcoleccion]]&amp;"-"&amp;Agencia[[#This Row],[id]]</f>
        <v>990-1903</v>
      </c>
      <c r="W1914" s="96">
        <v>99200016</v>
      </c>
      <c r="X1914" s="93" t="str">
        <f>+VLOOKUP(Agencia[[#This Row],[tema]],Estructura!$A$4:$C$500,3,0)</f>
        <v>T-1012</v>
      </c>
      <c r="Y1914" s="93" t="str">
        <f>+VLOOKUP(Agencia[[#This Row],[contenido]],Estructura!$E$4:$G$500,3,0)</f>
        <v>C-1010</v>
      </c>
      <c r="Z1914" s="93" t="str">
        <f>+VLOOKUP(Agencia[[#This Row],[Filtro Integrado]],Estructura!$I$4:$K$500,3,0)</f>
        <v>FI-999</v>
      </c>
      <c r="AA1914" s="93" t="str">
        <f>+VLOOKUP(Agencia[[#This Row],[Muestra]],Estructura!$M$4:$O$500,3,0)</f>
        <v>M-1053</v>
      </c>
    </row>
    <row r="1915" spans="1:27" ht="51" x14ac:dyDescent="0.3">
      <c r="A1915" s="21" t="s">
        <v>5044</v>
      </c>
      <c r="B1915" s="71">
        <v>990</v>
      </c>
      <c r="C1915" s="72" t="s">
        <v>400</v>
      </c>
      <c r="D1915" s="72" t="s">
        <v>568</v>
      </c>
      <c r="E1915" s="90">
        <v>0</v>
      </c>
      <c r="F1915" s="72" t="s">
        <v>1473</v>
      </c>
      <c r="G1915" s="73" t="s">
        <v>1898</v>
      </c>
      <c r="H1915" s="77" t="s">
        <v>20</v>
      </c>
      <c r="I1915" s="78" t="s">
        <v>15</v>
      </c>
      <c r="J1915" s="66" t="s">
        <v>16</v>
      </c>
      <c r="K1915" s="136" t="s">
        <v>9307</v>
      </c>
      <c r="L1915" s="71" t="s">
        <v>1514</v>
      </c>
      <c r="M1915" s="71" t="s">
        <v>1368</v>
      </c>
      <c r="N1915" s="71" t="s">
        <v>848</v>
      </c>
      <c r="O1915" s="70" t="s">
        <v>4209</v>
      </c>
      <c r="P1915" s="112" t="s">
        <v>4210</v>
      </c>
      <c r="Q1915" s="68" t="s">
        <v>784</v>
      </c>
      <c r="R1915" s="74" t="str">
        <f>Agencia[[#This Row],[territorio]]&amp;",enfermedad,cardiovascular,corazón,población,control,salud,programa,sexo,hombre,mujer,nacional,"&amp;Agencia[[#This Row],[coleccion]]&amp;","&amp;Agencia[[#This Row],[sector]]&amp;","&amp;Agencia[[#This Row],[tema]]&amp;","&amp;Agencia[[#This Row],[contenido]]</f>
        <v>Chile,enfermedad,cardiovascular,corazón,población,control,salud,programa,sexo,hombre,mujer,nacional,Agencia Información,Salud,Programa de Salud Cardiovascular,Programas de Salud</v>
      </c>
      <c r="S1915" s="83" t="s">
        <v>4211</v>
      </c>
      <c r="T1915" s="110" t="s">
        <v>805</v>
      </c>
      <c r="U1915" s="46" t="s">
        <v>4809</v>
      </c>
      <c r="V1915" s="93" t="str">
        <f>+Agencia[[#This Row],[idcoleccion]]&amp;"-"&amp;Agencia[[#This Row],[id]]</f>
        <v>990-1904</v>
      </c>
      <c r="W1915" s="96">
        <v>99100000</v>
      </c>
      <c r="X1915" s="93" t="str">
        <f>+VLOOKUP(Agencia[[#This Row],[tema]],Estructura!$A$4:$C$500,3,0)</f>
        <v>T-1012</v>
      </c>
      <c r="Y1915" s="93" t="str">
        <f>+VLOOKUP(Agencia[[#This Row],[contenido]],Estructura!$E$4:$G$500,3,0)</f>
        <v>C-1010</v>
      </c>
      <c r="Z1915" s="93" t="str">
        <f>+VLOOKUP(Agencia[[#This Row],[Filtro Integrado]],Estructura!$I$4:$K$500,3,0)</f>
        <v>FI-992</v>
      </c>
      <c r="AA1915" s="93" t="str">
        <f>+VLOOKUP(Agencia[[#This Row],[Muestra]],Estructura!$M$4:$O$500,3,0)</f>
        <v>M-1053</v>
      </c>
    </row>
    <row r="1916" spans="1:27" ht="61.2" x14ac:dyDescent="0.3">
      <c r="A1916" s="21" t="s">
        <v>5045</v>
      </c>
      <c r="B1916" s="66">
        <v>990</v>
      </c>
      <c r="C1916" s="67" t="s">
        <v>400</v>
      </c>
      <c r="D1916" s="67" t="s">
        <v>568</v>
      </c>
      <c r="E1916" s="89">
        <v>1</v>
      </c>
      <c r="F1916" s="72" t="s">
        <v>1473</v>
      </c>
      <c r="G1916" s="73" t="s">
        <v>1898</v>
      </c>
      <c r="H1916" s="79" t="s">
        <v>16</v>
      </c>
      <c r="I1916" s="80" t="s">
        <v>368</v>
      </c>
      <c r="J1916" s="66" t="s">
        <v>403</v>
      </c>
      <c r="K1916" s="136" t="s">
        <v>9307</v>
      </c>
      <c r="L1916" s="71" t="s">
        <v>1514</v>
      </c>
      <c r="M1916" s="71" t="s">
        <v>1368</v>
      </c>
      <c r="N1916" s="71" t="s">
        <v>848</v>
      </c>
      <c r="O1916" s="70" t="s">
        <v>4212</v>
      </c>
      <c r="P1916" s="112" t="s">
        <v>6751</v>
      </c>
      <c r="Q1916" s="68" t="s">
        <v>784</v>
      </c>
      <c r="R1916" s="74" t="str">
        <f>Agencia[[#This Row],[territorio]]&amp;",enfermedad,cardiovascular,corazón,población,control,salud,programa,sexo,hombre,mujer,regional,"&amp;Agencia[[#This Row],[coleccion]]&amp;","&amp;Agencia[[#This Row],[sector]]&amp;","&amp;Agencia[[#This Row],[tema]]&amp;","&amp;Agencia[[#This Row],[contenido]]</f>
        <v>Región de Tarapacá,enfermedad,cardiovascular,corazón,población,control,salud,programa,sexo,hombre,mujer,regional,Agencia Información,Salud,Programa de Salud Cardiovascular,Programas de Salud</v>
      </c>
      <c r="S1916" s="84" t="s">
        <v>4213</v>
      </c>
      <c r="T1916" s="110" t="s">
        <v>1872</v>
      </c>
      <c r="U1916" s="46" t="s">
        <v>4810</v>
      </c>
      <c r="V1916" s="93" t="str">
        <f>+Agencia[[#This Row],[idcoleccion]]&amp;"-"&amp;Agencia[[#This Row],[id]]</f>
        <v>990-1905</v>
      </c>
      <c r="W1916" s="96">
        <v>99200001</v>
      </c>
      <c r="X1916" s="93" t="str">
        <f>+VLOOKUP(Agencia[[#This Row],[tema]],Estructura!$A$4:$C$500,3,0)</f>
        <v>T-1012</v>
      </c>
      <c r="Y1916" s="93" t="str">
        <f>+VLOOKUP(Agencia[[#This Row],[contenido]],Estructura!$E$4:$G$500,3,0)</f>
        <v>C-1010</v>
      </c>
      <c r="Z1916" s="93" t="str">
        <f>+VLOOKUP(Agencia[[#This Row],[Filtro Integrado]],Estructura!$I$4:$K$500,3,0)</f>
        <v>FI-993</v>
      </c>
      <c r="AA1916" s="93" t="str">
        <f>+VLOOKUP(Agencia[[#This Row],[Muestra]],Estructura!$M$4:$O$500,3,0)</f>
        <v>M-1053</v>
      </c>
    </row>
    <row r="1917" spans="1:27" ht="61.2" x14ac:dyDescent="0.3">
      <c r="A1917" s="21" t="s">
        <v>5046</v>
      </c>
      <c r="B1917" s="66">
        <v>990</v>
      </c>
      <c r="C1917" s="67" t="s">
        <v>400</v>
      </c>
      <c r="D1917" s="67" t="s">
        <v>568</v>
      </c>
      <c r="E1917" s="89">
        <v>2</v>
      </c>
      <c r="F1917" s="72" t="s">
        <v>1473</v>
      </c>
      <c r="G1917" s="73" t="s">
        <v>1898</v>
      </c>
      <c r="H1917" s="79" t="s">
        <v>16</v>
      </c>
      <c r="I1917" s="80" t="s">
        <v>369</v>
      </c>
      <c r="J1917" s="66" t="s">
        <v>403</v>
      </c>
      <c r="K1917" s="136" t="s">
        <v>9307</v>
      </c>
      <c r="L1917" s="71" t="s">
        <v>1514</v>
      </c>
      <c r="M1917" s="71" t="s">
        <v>1368</v>
      </c>
      <c r="N1917" s="71" t="s">
        <v>848</v>
      </c>
      <c r="O1917" s="70" t="s">
        <v>4214</v>
      </c>
      <c r="P1917" s="112" t="s">
        <v>6752</v>
      </c>
      <c r="Q1917" s="68" t="s">
        <v>784</v>
      </c>
      <c r="R1917" s="74" t="str">
        <f>Agencia[[#This Row],[territorio]]&amp;",enfermedad,cardiovascular,corazón,población,control,salud,programa,sexo,hombre,mujer,regional,"&amp;Agencia[[#This Row],[coleccion]]&amp;","&amp;Agencia[[#This Row],[sector]]&amp;","&amp;Agencia[[#This Row],[tema]]&amp;","&amp;Agencia[[#This Row],[contenido]]</f>
        <v>Región de Antofagasta,enfermedad,cardiovascular,corazón,población,control,salud,programa,sexo,hombre,mujer,regional,Agencia Información,Salud,Programa de Salud Cardiovascular,Programas de Salud</v>
      </c>
      <c r="S1917" s="84" t="s">
        <v>4215</v>
      </c>
      <c r="T1917" s="110" t="s">
        <v>1860</v>
      </c>
      <c r="U1917" s="46" t="s">
        <v>4811</v>
      </c>
      <c r="V1917" s="93" t="str">
        <f>+Agencia[[#This Row],[idcoleccion]]&amp;"-"&amp;Agencia[[#This Row],[id]]</f>
        <v>990-1906</v>
      </c>
      <c r="W1917" s="96">
        <v>99200002</v>
      </c>
      <c r="X1917" s="93" t="str">
        <f>+VLOOKUP(Agencia[[#This Row],[tema]],Estructura!$A$4:$C$500,3,0)</f>
        <v>T-1012</v>
      </c>
      <c r="Y1917" s="93" t="str">
        <f>+VLOOKUP(Agencia[[#This Row],[contenido]],Estructura!$E$4:$G$500,3,0)</f>
        <v>C-1010</v>
      </c>
      <c r="Z1917" s="93" t="str">
        <f>+VLOOKUP(Agencia[[#This Row],[Filtro Integrado]],Estructura!$I$4:$K$500,3,0)</f>
        <v>FI-993</v>
      </c>
      <c r="AA1917" s="93" t="str">
        <f>+VLOOKUP(Agencia[[#This Row],[Muestra]],Estructura!$M$4:$O$500,3,0)</f>
        <v>M-1053</v>
      </c>
    </row>
    <row r="1918" spans="1:27" ht="61.2" x14ac:dyDescent="0.3">
      <c r="A1918" s="21" t="s">
        <v>5047</v>
      </c>
      <c r="B1918" s="66">
        <v>990</v>
      </c>
      <c r="C1918" s="67" t="s">
        <v>400</v>
      </c>
      <c r="D1918" s="67" t="s">
        <v>568</v>
      </c>
      <c r="E1918" s="89">
        <v>3</v>
      </c>
      <c r="F1918" s="72" t="s">
        <v>1473</v>
      </c>
      <c r="G1918" s="73" t="s">
        <v>1898</v>
      </c>
      <c r="H1918" s="79" t="s">
        <v>16</v>
      </c>
      <c r="I1918" s="80" t="s">
        <v>370</v>
      </c>
      <c r="J1918" s="66" t="s">
        <v>403</v>
      </c>
      <c r="K1918" s="136" t="s">
        <v>9307</v>
      </c>
      <c r="L1918" s="71" t="s">
        <v>1514</v>
      </c>
      <c r="M1918" s="71" t="s">
        <v>1368</v>
      </c>
      <c r="N1918" s="71" t="s">
        <v>848</v>
      </c>
      <c r="O1918" s="70" t="s">
        <v>4216</v>
      </c>
      <c r="P1918" s="112" t="s">
        <v>6753</v>
      </c>
      <c r="Q1918" s="68" t="s">
        <v>784</v>
      </c>
      <c r="R1918" s="74" t="str">
        <f>Agencia[[#This Row],[territorio]]&amp;",enfermedad,cardiovascular,corazón,población,control,salud,programa,sexo,hombre,mujer,regional,"&amp;Agencia[[#This Row],[coleccion]]&amp;","&amp;Agencia[[#This Row],[sector]]&amp;","&amp;Agencia[[#This Row],[tema]]&amp;","&amp;Agencia[[#This Row],[contenido]]</f>
        <v>Región de Atacama,enfermedad,cardiovascular,corazón,población,control,salud,programa,sexo,hombre,mujer,regional,Agencia Información,Salud,Programa de Salud Cardiovascular,Programas de Salud</v>
      </c>
      <c r="S1918" s="84" t="s">
        <v>4217</v>
      </c>
      <c r="T1918" s="110" t="s">
        <v>1862</v>
      </c>
      <c r="U1918" s="46" t="s">
        <v>4812</v>
      </c>
      <c r="V1918" s="93" t="str">
        <f>+Agencia[[#This Row],[idcoleccion]]&amp;"-"&amp;Agencia[[#This Row],[id]]</f>
        <v>990-1907</v>
      </c>
      <c r="W1918" s="96">
        <v>99200003</v>
      </c>
      <c r="X1918" s="93" t="str">
        <f>+VLOOKUP(Agencia[[#This Row],[tema]],Estructura!$A$4:$C$500,3,0)</f>
        <v>T-1012</v>
      </c>
      <c r="Y1918" s="93" t="str">
        <f>+VLOOKUP(Agencia[[#This Row],[contenido]],Estructura!$E$4:$G$500,3,0)</f>
        <v>C-1010</v>
      </c>
      <c r="Z1918" s="93" t="str">
        <f>+VLOOKUP(Agencia[[#This Row],[Filtro Integrado]],Estructura!$I$4:$K$500,3,0)</f>
        <v>FI-993</v>
      </c>
      <c r="AA1918" s="93" t="str">
        <f>+VLOOKUP(Agencia[[#This Row],[Muestra]],Estructura!$M$4:$O$500,3,0)</f>
        <v>M-1053</v>
      </c>
    </row>
    <row r="1919" spans="1:27" ht="61.2" x14ac:dyDescent="0.3">
      <c r="A1919" s="21" t="s">
        <v>5048</v>
      </c>
      <c r="B1919" s="66">
        <v>990</v>
      </c>
      <c r="C1919" s="67" t="s">
        <v>400</v>
      </c>
      <c r="D1919" s="67" t="s">
        <v>568</v>
      </c>
      <c r="E1919" s="89">
        <v>4</v>
      </c>
      <c r="F1919" s="72" t="s">
        <v>1473</v>
      </c>
      <c r="G1919" s="73" t="s">
        <v>1898</v>
      </c>
      <c r="H1919" s="79" t="s">
        <v>16</v>
      </c>
      <c r="I1919" s="80" t="s">
        <v>371</v>
      </c>
      <c r="J1919" s="66" t="s">
        <v>403</v>
      </c>
      <c r="K1919" s="136" t="s">
        <v>9307</v>
      </c>
      <c r="L1919" s="71" t="s">
        <v>1514</v>
      </c>
      <c r="M1919" s="71" t="s">
        <v>1368</v>
      </c>
      <c r="N1919" s="71" t="s">
        <v>848</v>
      </c>
      <c r="O1919" s="70" t="s">
        <v>4218</v>
      </c>
      <c r="P1919" s="112" t="s">
        <v>6754</v>
      </c>
      <c r="Q1919" s="68" t="s">
        <v>784</v>
      </c>
      <c r="R1919" s="74" t="str">
        <f>Agencia[[#This Row],[territorio]]&amp;",enfermedad,cardiovascular,corazón,población,control,salud,programa,sexo,hombre,mujer,regional,"&amp;Agencia[[#This Row],[coleccion]]&amp;","&amp;Agencia[[#This Row],[sector]]&amp;","&amp;Agencia[[#This Row],[tema]]&amp;","&amp;Agencia[[#This Row],[contenido]]</f>
        <v>Región de Coquimbo,enfermedad,cardiovascular,corazón,población,control,salud,programa,sexo,hombre,mujer,regional,Agencia Información,Salud,Programa de Salud Cardiovascular,Programas de Salud</v>
      </c>
      <c r="S1919" s="84" t="s">
        <v>4219</v>
      </c>
      <c r="T1919" s="110" t="s">
        <v>1864</v>
      </c>
      <c r="U1919" s="46" t="s">
        <v>4813</v>
      </c>
      <c r="V1919" s="93" t="str">
        <f>+Agencia[[#This Row],[idcoleccion]]&amp;"-"&amp;Agencia[[#This Row],[id]]</f>
        <v>990-1908</v>
      </c>
      <c r="W1919" s="96">
        <v>99200004</v>
      </c>
      <c r="X1919" s="93" t="str">
        <f>+VLOOKUP(Agencia[[#This Row],[tema]],Estructura!$A$4:$C$500,3,0)</f>
        <v>T-1012</v>
      </c>
      <c r="Y1919" s="93" t="str">
        <f>+VLOOKUP(Agencia[[#This Row],[contenido]],Estructura!$E$4:$G$500,3,0)</f>
        <v>C-1010</v>
      </c>
      <c r="Z1919" s="93" t="str">
        <f>+VLOOKUP(Agencia[[#This Row],[Filtro Integrado]],Estructura!$I$4:$K$500,3,0)</f>
        <v>FI-993</v>
      </c>
      <c r="AA1919" s="93" t="str">
        <f>+VLOOKUP(Agencia[[#This Row],[Muestra]],Estructura!$M$4:$O$500,3,0)</f>
        <v>M-1053</v>
      </c>
    </row>
    <row r="1920" spans="1:27" ht="61.2" x14ac:dyDescent="0.3">
      <c r="A1920" s="21" t="s">
        <v>5049</v>
      </c>
      <c r="B1920" s="66">
        <v>990</v>
      </c>
      <c r="C1920" s="67" t="s">
        <v>400</v>
      </c>
      <c r="D1920" s="67" t="s">
        <v>568</v>
      </c>
      <c r="E1920" s="89">
        <v>5</v>
      </c>
      <c r="F1920" s="72" t="s">
        <v>1473</v>
      </c>
      <c r="G1920" s="73" t="s">
        <v>1898</v>
      </c>
      <c r="H1920" s="79" t="s">
        <v>16</v>
      </c>
      <c r="I1920" s="80" t="s">
        <v>372</v>
      </c>
      <c r="J1920" s="66" t="s">
        <v>403</v>
      </c>
      <c r="K1920" s="136" t="s">
        <v>9307</v>
      </c>
      <c r="L1920" s="71" t="s">
        <v>1514</v>
      </c>
      <c r="M1920" s="71" t="s">
        <v>1368</v>
      </c>
      <c r="N1920" s="71" t="s">
        <v>848</v>
      </c>
      <c r="O1920" s="70" t="s">
        <v>4220</v>
      </c>
      <c r="P1920" s="112" t="s">
        <v>6755</v>
      </c>
      <c r="Q1920" s="68" t="s">
        <v>784</v>
      </c>
      <c r="R1920" s="74" t="str">
        <f>Agencia[[#This Row],[territorio]]&amp;",enfermedad,cardiovascular,corazón,población,control,salud,programa,sexo,hombre,mujer,regional,"&amp;Agencia[[#This Row],[coleccion]]&amp;","&amp;Agencia[[#This Row],[sector]]&amp;","&amp;Agencia[[#This Row],[tema]]&amp;","&amp;Agencia[[#This Row],[contenido]]</f>
        <v>Región de Valparaíso,enfermedad,cardiovascular,corazón,población,control,salud,programa,sexo,hombre,mujer,regional,Agencia Información,Salud,Programa de Salud Cardiovascular,Programas de Salud</v>
      </c>
      <c r="S1920" s="84" t="s">
        <v>4221</v>
      </c>
      <c r="T1920" s="110" t="s">
        <v>1873</v>
      </c>
      <c r="U1920" s="46" t="s">
        <v>4814</v>
      </c>
      <c r="V1920" s="93" t="str">
        <f>+Agencia[[#This Row],[idcoleccion]]&amp;"-"&amp;Agencia[[#This Row],[id]]</f>
        <v>990-1909</v>
      </c>
      <c r="W1920" s="96">
        <v>99200005</v>
      </c>
      <c r="X1920" s="93" t="str">
        <f>+VLOOKUP(Agencia[[#This Row],[tema]],Estructura!$A$4:$C$500,3,0)</f>
        <v>T-1012</v>
      </c>
      <c r="Y1920" s="93" t="str">
        <f>+VLOOKUP(Agencia[[#This Row],[contenido]],Estructura!$E$4:$G$500,3,0)</f>
        <v>C-1010</v>
      </c>
      <c r="Z1920" s="93" t="str">
        <f>+VLOOKUP(Agencia[[#This Row],[Filtro Integrado]],Estructura!$I$4:$K$500,3,0)</f>
        <v>FI-993</v>
      </c>
      <c r="AA1920" s="93" t="str">
        <f>+VLOOKUP(Agencia[[#This Row],[Muestra]],Estructura!$M$4:$O$500,3,0)</f>
        <v>M-1053</v>
      </c>
    </row>
    <row r="1921" spans="1:27" ht="61.2" x14ac:dyDescent="0.3">
      <c r="A1921" s="21" t="s">
        <v>5050</v>
      </c>
      <c r="B1921" s="66">
        <v>990</v>
      </c>
      <c r="C1921" s="67" t="s">
        <v>400</v>
      </c>
      <c r="D1921" s="67" t="s">
        <v>568</v>
      </c>
      <c r="E1921" s="89">
        <v>6</v>
      </c>
      <c r="F1921" s="72" t="s">
        <v>1473</v>
      </c>
      <c r="G1921" s="73" t="s">
        <v>1898</v>
      </c>
      <c r="H1921" s="79" t="s">
        <v>16</v>
      </c>
      <c r="I1921" s="80" t="s">
        <v>373</v>
      </c>
      <c r="J1921" s="66" t="s">
        <v>403</v>
      </c>
      <c r="K1921" s="136" t="s">
        <v>9307</v>
      </c>
      <c r="L1921" s="71" t="s">
        <v>1514</v>
      </c>
      <c r="M1921" s="71" t="s">
        <v>1368</v>
      </c>
      <c r="N1921" s="71" t="s">
        <v>848</v>
      </c>
      <c r="O1921" s="70" t="s">
        <v>4222</v>
      </c>
      <c r="P1921" s="112" t="s">
        <v>6756</v>
      </c>
      <c r="Q1921" s="68" t="s">
        <v>784</v>
      </c>
      <c r="R1921" s="74" t="str">
        <f>Agencia[[#This Row],[territorio]]&amp;",enfermedad,cardiovascular,corazón,población,control,salud,programa,sexo,hombre,mujer,regional,"&amp;Agencia[[#This Row],[coleccion]]&amp;","&amp;Agencia[[#This Row],[sector]]&amp;","&amp;Agencia[[#This Row],[tema]]&amp;","&amp;Agencia[[#This Row],[contenido]]</f>
        <v>Región de O'Higgins,enfermedad,cardiovascular,corazón,población,control,salud,programa,sexo,hombre,mujer,regional,Agencia Información,Salud,Programa de Salud Cardiovascular,Programas de Salud</v>
      </c>
      <c r="S1921" s="84" t="s">
        <v>4223</v>
      </c>
      <c r="T1921" s="110" t="s">
        <v>1871</v>
      </c>
      <c r="U1921" s="46" t="s">
        <v>4815</v>
      </c>
      <c r="V1921" s="93" t="str">
        <f>+Agencia[[#This Row],[idcoleccion]]&amp;"-"&amp;Agencia[[#This Row],[id]]</f>
        <v>990-1910</v>
      </c>
      <c r="W1921" s="96">
        <v>99200006</v>
      </c>
      <c r="X1921" s="93" t="str">
        <f>+VLOOKUP(Agencia[[#This Row],[tema]],Estructura!$A$4:$C$500,3,0)</f>
        <v>T-1012</v>
      </c>
      <c r="Y1921" s="93" t="str">
        <f>+VLOOKUP(Agencia[[#This Row],[contenido]],Estructura!$E$4:$G$500,3,0)</f>
        <v>C-1010</v>
      </c>
      <c r="Z1921" s="93" t="str">
        <f>+VLOOKUP(Agencia[[#This Row],[Filtro Integrado]],Estructura!$I$4:$K$500,3,0)</f>
        <v>FI-993</v>
      </c>
      <c r="AA1921" s="93" t="str">
        <f>+VLOOKUP(Agencia[[#This Row],[Muestra]],Estructura!$M$4:$O$500,3,0)</f>
        <v>M-1053</v>
      </c>
    </row>
    <row r="1922" spans="1:27" ht="51" x14ac:dyDescent="0.3">
      <c r="A1922" s="21" t="s">
        <v>5051</v>
      </c>
      <c r="B1922" s="66">
        <v>990</v>
      </c>
      <c r="C1922" s="67" t="s">
        <v>400</v>
      </c>
      <c r="D1922" s="67" t="s">
        <v>568</v>
      </c>
      <c r="E1922" s="89">
        <v>7</v>
      </c>
      <c r="F1922" s="72" t="s">
        <v>1473</v>
      </c>
      <c r="G1922" s="73" t="s">
        <v>1898</v>
      </c>
      <c r="H1922" s="79" t="s">
        <v>16</v>
      </c>
      <c r="I1922" s="80" t="s">
        <v>374</v>
      </c>
      <c r="J1922" s="66" t="s">
        <v>403</v>
      </c>
      <c r="K1922" s="136" t="s">
        <v>9307</v>
      </c>
      <c r="L1922" s="71" t="s">
        <v>1514</v>
      </c>
      <c r="M1922" s="71" t="s">
        <v>1368</v>
      </c>
      <c r="N1922" s="71" t="s">
        <v>848</v>
      </c>
      <c r="O1922" s="70" t="s">
        <v>4224</v>
      </c>
      <c r="P1922" s="112" t="s">
        <v>6757</v>
      </c>
      <c r="Q1922" s="68" t="s">
        <v>784</v>
      </c>
      <c r="R1922" s="74" t="str">
        <f>Agencia[[#This Row],[territorio]]&amp;",enfermedad,cardiovascular,corazón,población,control,salud,programa,sexo,hombre,mujer,regional,"&amp;Agencia[[#This Row],[coleccion]]&amp;","&amp;Agencia[[#This Row],[sector]]&amp;","&amp;Agencia[[#This Row],[tema]]&amp;","&amp;Agencia[[#This Row],[contenido]]</f>
        <v>Región de Maule,enfermedad,cardiovascular,corazón,población,control,salud,programa,sexo,hombre,mujer,regional,Agencia Información,Salud,Programa de Salud Cardiovascular,Programas de Salud</v>
      </c>
      <c r="S1922" s="84" t="s">
        <v>4225</v>
      </c>
      <c r="T1922" s="110" t="s">
        <v>1869</v>
      </c>
      <c r="U1922" s="46" t="s">
        <v>4816</v>
      </c>
      <c r="V1922" s="93" t="str">
        <f>+Agencia[[#This Row],[idcoleccion]]&amp;"-"&amp;Agencia[[#This Row],[id]]</f>
        <v>990-1911</v>
      </c>
      <c r="W1922" s="96">
        <v>99200007</v>
      </c>
      <c r="X1922" s="93" t="str">
        <f>+VLOOKUP(Agencia[[#This Row],[tema]],Estructura!$A$4:$C$500,3,0)</f>
        <v>T-1012</v>
      </c>
      <c r="Y1922" s="93" t="str">
        <f>+VLOOKUP(Agencia[[#This Row],[contenido]],Estructura!$E$4:$G$500,3,0)</f>
        <v>C-1010</v>
      </c>
      <c r="Z1922" s="93" t="str">
        <f>+VLOOKUP(Agencia[[#This Row],[Filtro Integrado]],Estructura!$I$4:$K$500,3,0)</f>
        <v>FI-993</v>
      </c>
      <c r="AA1922" s="93" t="str">
        <f>+VLOOKUP(Agencia[[#This Row],[Muestra]],Estructura!$M$4:$O$500,3,0)</f>
        <v>M-1053</v>
      </c>
    </row>
    <row r="1923" spans="1:27" ht="51" x14ac:dyDescent="0.3">
      <c r="A1923" s="21" t="s">
        <v>5052</v>
      </c>
      <c r="B1923" s="66">
        <v>990</v>
      </c>
      <c r="C1923" s="67" t="s">
        <v>400</v>
      </c>
      <c r="D1923" s="67" t="s">
        <v>568</v>
      </c>
      <c r="E1923" s="89">
        <v>8</v>
      </c>
      <c r="F1923" s="72" t="s">
        <v>1473</v>
      </c>
      <c r="G1923" s="73" t="s">
        <v>1898</v>
      </c>
      <c r="H1923" s="79" t="s">
        <v>16</v>
      </c>
      <c r="I1923" s="80" t="s">
        <v>375</v>
      </c>
      <c r="J1923" s="66" t="s">
        <v>403</v>
      </c>
      <c r="K1923" s="136" t="s">
        <v>9307</v>
      </c>
      <c r="L1923" s="71" t="s">
        <v>1514</v>
      </c>
      <c r="M1923" s="71" t="s">
        <v>1368</v>
      </c>
      <c r="N1923" s="71" t="s">
        <v>848</v>
      </c>
      <c r="O1923" s="70" t="s">
        <v>4226</v>
      </c>
      <c r="P1923" s="112" t="s">
        <v>6758</v>
      </c>
      <c r="Q1923" s="68" t="s">
        <v>784</v>
      </c>
      <c r="R1923" s="74" t="str">
        <f>Agencia[[#This Row],[territorio]]&amp;",enfermedad,cardiovascular,corazón,población,control,salud,programa,sexo,hombre,mujer,regional,"&amp;Agencia[[#This Row],[coleccion]]&amp;","&amp;Agencia[[#This Row],[sector]]&amp;","&amp;Agencia[[#This Row],[tema]]&amp;","&amp;Agencia[[#This Row],[contenido]]</f>
        <v>Región del Biobío,enfermedad,cardiovascular,corazón,población,control,salud,programa,sexo,hombre,mujer,regional,Agencia Información,Salud,Programa de Salud Cardiovascular,Programas de Salud</v>
      </c>
      <c r="S1923" s="84" t="s">
        <v>4227</v>
      </c>
      <c r="T1923" s="110" t="s">
        <v>1874</v>
      </c>
      <c r="U1923" s="46" t="s">
        <v>4817</v>
      </c>
      <c r="V1923" s="93" t="str">
        <f>+Agencia[[#This Row],[idcoleccion]]&amp;"-"&amp;Agencia[[#This Row],[id]]</f>
        <v>990-1912</v>
      </c>
      <c r="W1923" s="96">
        <v>99200008</v>
      </c>
      <c r="X1923" s="93" t="str">
        <f>+VLOOKUP(Agencia[[#This Row],[tema]],Estructura!$A$4:$C$500,3,0)</f>
        <v>T-1012</v>
      </c>
      <c r="Y1923" s="93" t="str">
        <f>+VLOOKUP(Agencia[[#This Row],[contenido]],Estructura!$E$4:$G$500,3,0)</f>
        <v>C-1010</v>
      </c>
      <c r="Z1923" s="93" t="str">
        <f>+VLOOKUP(Agencia[[#This Row],[Filtro Integrado]],Estructura!$I$4:$K$500,3,0)</f>
        <v>FI-993</v>
      </c>
      <c r="AA1923" s="93" t="str">
        <f>+VLOOKUP(Agencia[[#This Row],[Muestra]],Estructura!$M$4:$O$500,3,0)</f>
        <v>M-1053</v>
      </c>
    </row>
    <row r="1924" spans="1:27" ht="72" x14ac:dyDescent="0.3">
      <c r="A1924" s="21" t="s">
        <v>5053</v>
      </c>
      <c r="B1924" s="66">
        <v>990</v>
      </c>
      <c r="C1924" s="67" t="s">
        <v>400</v>
      </c>
      <c r="D1924" s="67" t="s">
        <v>568</v>
      </c>
      <c r="E1924" s="89">
        <v>9</v>
      </c>
      <c r="F1924" s="72" t="s">
        <v>1473</v>
      </c>
      <c r="G1924" s="73" t="s">
        <v>1898</v>
      </c>
      <c r="H1924" s="79" t="s">
        <v>16</v>
      </c>
      <c r="I1924" s="80" t="s">
        <v>376</v>
      </c>
      <c r="J1924" s="66" t="s">
        <v>403</v>
      </c>
      <c r="K1924" s="136" t="s">
        <v>9307</v>
      </c>
      <c r="L1924" s="71" t="s">
        <v>1514</v>
      </c>
      <c r="M1924" s="71" t="s">
        <v>1368</v>
      </c>
      <c r="N1924" s="71" t="s">
        <v>848</v>
      </c>
      <c r="O1924" s="70" t="s">
        <v>4228</v>
      </c>
      <c r="P1924" s="112" t="s">
        <v>6759</v>
      </c>
      <c r="Q1924" s="68" t="s">
        <v>784</v>
      </c>
      <c r="R1924" s="74" t="str">
        <f>Agencia[[#This Row],[territorio]]&amp;",enfermedad,cardiovascular,corazón,población,control,salud,programa,sexo,hombre,mujer,regional,"&amp;Agencia[[#This Row],[coleccion]]&amp;","&amp;Agencia[[#This Row],[sector]]&amp;","&amp;Agencia[[#This Row],[tema]]&amp;","&amp;Agencia[[#This Row],[contenido]]</f>
        <v>Región de La Araucanía,enfermedad,cardiovascular,corazón,población,control,salud,programa,sexo,hombre,mujer,regional,Agencia Información,Salud,Programa de Salud Cardiovascular,Programas de Salud</v>
      </c>
      <c r="S1924" s="83" t="s">
        <v>4229</v>
      </c>
      <c r="T1924" s="110" t="s">
        <v>1865</v>
      </c>
      <c r="U1924" s="46" t="s">
        <v>4818</v>
      </c>
      <c r="V1924" s="93" t="str">
        <f>+Agencia[[#This Row],[idcoleccion]]&amp;"-"&amp;Agencia[[#This Row],[id]]</f>
        <v>990-1913</v>
      </c>
      <c r="W1924" s="96">
        <v>99200009</v>
      </c>
      <c r="X1924" s="93" t="str">
        <f>+VLOOKUP(Agencia[[#This Row],[tema]],Estructura!$A$4:$C$500,3,0)</f>
        <v>T-1012</v>
      </c>
      <c r="Y1924" s="93" t="str">
        <f>+VLOOKUP(Agencia[[#This Row],[contenido]],Estructura!$E$4:$G$500,3,0)</f>
        <v>C-1010</v>
      </c>
      <c r="Z1924" s="93" t="str">
        <f>+VLOOKUP(Agencia[[#This Row],[Filtro Integrado]],Estructura!$I$4:$K$500,3,0)</f>
        <v>FI-993</v>
      </c>
      <c r="AA1924" s="93" t="str">
        <f>+VLOOKUP(Agencia[[#This Row],[Muestra]],Estructura!$M$4:$O$500,3,0)</f>
        <v>M-1053</v>
      </c>
    </row>
    <row r="1925" spans="1:27" ht="51" x14ac:dyDescent="0.3">
      <c r="A1925" s="21" t="s">
        <v>5054</v>
      </c>
      <c r="B1925" s="66">
        <v>990</v>
      </c>
      <c r="C1925" s="67" t="s">
        <v>400</v>
      </c>
      <c r="D1925" s="67" t="s">
        <v>568</v>
      </c>
      <c r="E1925" s="89">
        <v>10</v>
      </c>
      <c r="F1925" s="72" t="s">
        <v>1473</v>
      </c>
      <c r="G1925" s="73" t="s">
        <v>1898</v>
      </c>
      <c r="H1925" s="79" t="s">
        <v>16</v>
      </c>
      <c r="I1925" s="80" t="s">
        <v>377</v>
      </c>
      <c r="J1925" s="66" t="s">
        <v>403</v>
      </c>
      <c r="K1925" s="136" t="s">
        <v>9307</v>
      </c>
      <c r="L1925" s="71" t="s">
        <v>1514</v>
      </c>
      <c r="M1925" s="71" t="s">
        <v>1368</v>
      </c>
      <c r="N1925" s="71" t="s">
        <v>848</v>
      </c>
      <c r="O1925" s="70" t="s">
        <v>4230</v>
      </c>
      <c r="P1925" s="112" t="s">
        <v>6760</v>
      </c>
      <c r="Q1925" s="68" t="s">
        <v>784</v>
      </c>
      <c r="R1925" s="74" t="str">
        <f>Agencia[[#This Row],[territorio]]&amp;",enfermedad,cardiovascular,corazón,población,control,salud,programa,sexo,hombre,mujer,regional,"&amp;Agencia[[#This Row],[coleccion]]&amp;","&amp;Agencia[[#This Row],[sector]]&amp;","&amp;Agencia[[#This Row],[tema]]&amp;","&amp;Agencia[[#This Row],[contenido]]</f>
        <v>Región de Los Lagos,enfermedad,cardiovascular,corazón,población,control,salud,programa,sexo,hombre,mujer,regional,Agencia Información,Salud,Programa de Salud Cardiovascular,Programas de Salud</v>
      </c>
      <c r="S1925" s="84" t="s">
        <v>4231</v>
      </c>
      <c r="T1925" s="110" t="s">
        <v>1866</v>
      </c>
      <c r="U1925" s="46" t="s">
        <v>4819</v>
      </c>
      <c r="V1925" s="93" t="str">
        <f>+Agencia[[#This Row],[idcoleccion]]&amp;"-"&amp;Agencia[[#This Row],[id]]</f>
        <v>990-1914</v>
      </c>
      <c r="W1925" s="96">
        <v>99200010</v>
      </c>
      <c r="X1925" s="93" t="str">
        <f>+VLOOKUP(Agencia[[#This Row],[tema]],Estructura!$A$4:$C$500,3,0)</f>
        <v>T-1012</v>
      </c>
      <c r="Y1925" s="93" t="str">
        <f>+VLOOKUP(Agencia[[#This Row],[contenido]],Estructura!$E$4:$G$500,3,0)</f>
        <v>C-1010</v>
      </c>
      <c r="Z1925" s="93" t="str">
        <f>+VLOOKUP(Agencia[[#This Row],[Filtro Integrado]],Estructura!$I$4:$K$500,3,0)</f>
        <v>FI-993</v>
      </c>
      <c r="AA1925" s="93" t="str">
        <f>+VLOOKUP(Agencia[[#This Row],[Muestra]],Estructura!$M$4:$O$500,3,0)</f>
        <v>M-1053</v>
      </c>
    </row>
    <row r="1926" spans="1:27" ht="51" x14ac:dyDescent="0.3">
      <c r="A1926" s="21" t="s">
        <v>5055</v>
      </c>
      <c r="B1926" s="66">
        <v>990</v>
      </c>
      <c r="C1926" s="67" t="s">
        <v>400</v>
      </c>
      <c r="D1926" s="67" t="s">
        <v>568</v>
      </c>
      <c r="E1926" s="89">
        <v>11</v>
      </c>
      <c r="F1926" s="72" t="s">
        <v>1473</v>
      </c>
      <c r="G1926" s="73" t="s">
        <v>1898</v>
      </c>
      <c r="H1926" s="79" t="s">
        <v>16</v>
      </c>
      <c r="I1926" s="80" t="s">
        <v>378</v>
      </c>
      <c r="J1926" s="66" t="s">
        <v>403</v>
      </c>
      <c r="K1926" s="136" t="s">
        <v>9307</v>
      </c>
      <c r="L1926" s="71" t="s">
        <v>1514</v>
      </c>
      <c r="M1926" s="71" t="s">
        <v>1368</v>
      </c>
      <c r="N1926" s="71" t="s">
        <v>848</v>
      </c>
      <c r="O1926" s="70" t="s">
        <v>4232</v>
      </c>
      <c r="P1926" s="112" t="s">
        <v>6761</v>
      </c>
      <c r="Q1926" s="68" t="s">
        <v>784</v>
      </c>
      <c r="R1926" s="74" t="str">
        <f>Agencia[[#This Row],[territorio]]&amp;",enfermedad,cardiovascular,corazón,población,control,salud,programa,sexo,hombre,mujer,regional,"&amp;Agencia[[#This Row],[coleccion]]&amp;","&amp;Agencia[[#This Row],[sector]]&amp;","&amp;Agencia[[#This Row],[tema]]&amp;","&amp;Agencia[[#This Row],[contenido]]</f>
        <v>Región de Aysén,enfermedad,cardiovascular,corazón,población,control,salud,programa,sexo,hombre,mujer,regional,Agencia Información,Salud,Programa de Salud Cardiovascular,Programas de Salud</v>
      </c>
      <c r="S1926" s="84" t="s">
        <v>4233</v>
      </c>
      <c r="T1926" s="110" t="s">
        <v>1863</v>
      </c>
      <c r="U1926" s="46" t="s">
        <v>4820</v>
      </c>
      <c r="V1926" s="93" t="str">
        <f>+Agencia[[#This Row],[idcoleccion]]&amp;"-"&amp;Agencia[[#This Row],[id]]</f>
        <v>990-1915</v>
      </c>
      <c r="W1926" s="96">
        <v>99200011</v>
      </c>
      <c r="X1926" s="93" t="str">
        <f>+VLOOKUP(Agencia[[#This Row],[tema]],Estructura!$A$4:$C$500,3,0)</f>
        <v>T-1012</v>
      </c>
      <c r="Y1926" s="93" t="str">
        <f>+VLOOKUP(Agencia[[#This Row],[contenido]],Estructura!$E$4:$G$500,3,0)</f>
        <v>C-1010</v>
      </c>
      <c r="Z1926" s="93" t="str">
        <f>+VLOOKUP(Agencia[[#This Row],[Filtro Integrado]],Estructura!$I$4:$K$500,3,0)</f>
        <v>FI-993</v>
      </c>
      <c r="AA1926" s="93" t="str">
        <f>+VLOOKUP(Agencia[[#This Row],[Muestra]],Estructura!$M$4:$O$500,3,0)</f>
        <v>M-1053</v>
      </c>
    </row>
    <row r="1927" spans="1:27" ht="61.2" x14ac:dyDescent="0.3">
      <c r="A1927" s="21" t="s">
        <v>5056</v>
      </c>
      <c r="B1927" s="66">
        <v>990</v>
      </c>
      <c r="C1927" s="67" t="s">
        <v>400</v>
      </c>
      <c r="D1927" s="67" t="s">
        <v>568</v>
      </c>
      <c r="E1927" s="89">
        <v>12</v>
      </c>
      <c r="F1927" s="72" t="s">
        <v>1473</v>
      </c>
      <c r="G1927" s="73" t="s">
        <v>1898</v>
      </c>
      <c r="H1927" s="79" t="s">
        <v>16</v>
      </c>
      <c r="I1927" s="80" t="s">
        <v>379</v>
      </c>
      <c r="J1927" s="66" t="s">
        <v>403</v>
      </c>
      <c r="K1927" s="136" t="s">
        <v>9307</v>
      </c>
      <c r="L1927" s="71" t="s">
        <v>1514</v>
      </c>
      <c r="M1927" s="71" t="s">
        <v>1368</v>
      </c>
      <c r="N1927" s="71" t="s">
        <v>848</v>
      </c>
      <c r="O1927" s="70" t="s">
        <v>4234</v>
      </c>
      <c r="P1927" s="112" t="s">
        <v>6762</v>
      </c>
      <c r="Q1927" s="68" t="s">
        <v>784</v>
      </c>
      <c r="R1927" s="74" t="str">
        <f>Agencia[[#This Row],[territorio]]&amp;",enfermedad,cardiovascular,corazón,población,control,salud,programa,sexo,hombre,mujer,regional,"&amp;Agencia[[#This Row],[coleccion]]&amp;","&amp;Agencia[[#This Row],[sector]]&amp;","&amp;Agencia[[#This Row],[tema]]&amp;","&amp;Agencia[[#This Row],[contenido]]</f>
        <v>Región de Magallanes,enfermedad,cardiovascular,corazón,población,control,salud,programa,sexo,hombre,mujer,regional,Agencia Información,Salud,Programa de Salud Cardiovascular,Programas de Salud</v>
      </c>
      <c r="S1927" s="84" t="s">
        <v>4235</v>
      </c>
      <c r="T1927" s="110" t="s">
        <v>1868</v>
      </c>
      <c r="U1927" s="46" t="s">
        <v>4821</v>
      </c>
      <c r="V1927" s="93" t="str">
        <f>+Agencia[[#This Row],[idcoleccion]]&amp;"-"&amp;Agencia[[#This Row],[id]]</f>
        <v>990-1916</v>
      </c>
      <c r="W1927" s="96">
        <v>99200012</v>
      </c>
      <c r="X1927" s="93" t="str">
        <f>+VLOOKUP(Agencia[[#This Row],[tema]],Estructura!$A$4:$C$500,3,0)</f>
        <v>T-1012</v>
      </c>
      <c r="Y1927" s="93" t="str">
        <f>+VLOOKUP(Agencia[[#This Row],[contenido]],Estructura!$E$4:$G$500,3,0)</f>
        <v>C-1010</v>
      </c>
      <c r="Z1927" s="93" t="str">
        <f>+VLOOKUP(Agencia[[#This Row],[Filtro Integrado]],Estructura!$I$4:$K$500,3,0)</f>
        <v>FI-993</v>
      </c>
      <c r="AA1927" s="93" t="str">
        <f>+VLOOKUP(Agencia[[#This Row],[Muestra]],Estructura!$M$4:$O$500,3,0)</f>
        <v>M-1053</v>
      </c>
    </row>
    <row r="1928" spans="1:27" ht="61.2" x14ac:dyDescent="0.3">
      <c r="A1928" s="21" t="s">
        <v>5057</v>
      </c>
      <c r="B1928" s="66">
        <v>990</v>
      </c>
      <c r="C1928" s="67" t="s">
        <v>400</v>
      </c>
      <c r="D1928" s="67" t="s">
        <v>568</v>
      </c>
      <c r="E1928" s="89">
        <v>13</v>
      </c>
      <c r="F1928" s="72" t="s">
        <v>1473</v>
      </c>
      <c r="G1928" s="73" t="s">
        <v>1898</v>
      </c>
      <c r="H1928" s="79" t="s">
        <v>16</v>
      </c>
      <c r="I1928" s="80" t="s">
        <v>380</v>
      </c>
      <c r="J1928" s="66" t="s">
        <v>403</v>
      </c>
      <c r="K1928" s="136" t="s">
        <v>9307</v>
      </c>
      <c r="L1928" s="71" t="s">
        <v>1514</v>
      </c>
      <c r="M1928" s="71" t="s">
        <v>1368</v>
      </c>
      <c r="N1928" s="71" t="s">
        <v>848</v>
      </c>
      <c r="O1928" s="70" t="s">
        <v>4236</v>
      </c>
      <c r="P1928" s="112" t="s">
        <v>6763</v>
      </c>
      <c r="Q1928" s="68" t="s">
        <v>784</v>
      </c>
      <c r="R1928" s="74" t="str">
        <f>Agencia[[#This Row],[territorio]]&amp;",enfermedad,cardiovascular,corazón,población,control,salud,programa,sexo,hombre,mujer,regional,"&amp;Agencia[[#This Row],[coleccion]]&amp;","&amp;Agencia[[#This Row],[sector]]&amp;","&amp;Agencia[[#This Row],[tema]]&amp;","&amp;Agencia[[#This Row],[contenido]]</f>
        <v>Región Metropolitana,enfermedad,cardiovascular,corazón,población,control,salud,programa,sexo,hombre,mujer,regional,Agencia Información,Salud,Programa de Salud Cardiovascular,Programas de Salud</v>
      </c>
      <c r="S1928" s="84" t="s">
        <v>4237</v>
      </c>
      <c r="T1928" s="110" t="s">
        <v>1875</v>
      </c>
      <c r="U1928" s="46" t="s">
        <v>4822</v>
      </c>
      <c r="V1928" s="93" t="str">
        <f>+Agencia[[#This Row],[idcoleccion]]&amp;"-"&amp;Agencia[[#This Row],[id]]</f>
        <v>990-1917</v>
      </c>
      <c r="W1928" s="96">
        <v>99200013</v>
      </c>
      <c r="X1928" s="93" t="str">
        <f>+VLOOKUP(Agencia[[#This Row],[tema]],Estructura!$A$4:$C$500,3,0)</f>
        <v>T-1012</v>
      </c>
      <c r="Y1928" s="93" t="str">
        <f>+VLOOKUP(Agencia[[#This Row],[contenido]],Estructura!$E$4:$G$500,3,0)</f>
        <v>C-1010</v>
      </c>
      <c r="Z1928" s="93" t="str">
        <f>+VLOOKUP(Agencia[[#This Row],[Filtro Integrado]],Estructura!$I$4:$K$500,3,0)</f>
        <v>FI-993</v>
      </c>
      <c r="AA1928" s="93" t="str">
        <f>+VLOOKUP(Agencia[[#This Row],[Muestra]],Estructura!$M$4:$O$500,3,0)</f>
        <v>M-1053</v>
      </c>
    </row>
    <row r="1929" spans="1:27" ht="51" x14ac:dyDescent="0.3">
      <c r="A1929" s="21" t="s">
        <v>5058</v>
      </c>
      <c r="B1929" s="66">
        <v>990</v>
      </c>
      <c r="C1929" s="67" t="s">
        <v>400</v>
      </c>
      <c r="D1929" s="67" t="s">
        <v>568</v>
      </c>
      <c r="E1929" s="89">
        <v>14</v>
      </c>
      <c r="F1929" s="72" t="s">
        <v>1473</v>
      </c>
      <c r="G1929" s="73" t="s">
        <v>1898</v>
      </c>
      <c r="H1929" s="79" t="s">
        <v>16</v>
      </c>
      <c r="I1929" s="80" t="s">
        <v>381</v>
      </c>
      <c r="J1929" s="66" t="s">
        <v>403</v>
      </c>
      <c r="K1929" s="136" t="s">
        <v>9307</v>
      </c>
      <c r="L1929" s="71" t="s">
        <v>1514</v>
      </c>
      <c r="M1929" s="71" t="s">
        <v>1368</v>
      </c>
      <c r="N1929" s="71" t="s">
        <v>848</v>
      </c>
      <c r="O1929" s="70" t="s">
        <v>4238</v>
      </c>
      <c r="P1929" s="112" t="s">
        <v>6764</v>
      </c>
      <c r="Q1929" s="68" t="s">
        <v>784</v>
      </c>
      <c r="R1929" s="74" t="str">
        <f>Agencia[[#This Row],[territorio]]&amp;",enfermedad,cardiovascular,corazón,población,control,salud,programa,sexo,hombre,mujer,regional,"&amp;Agencia[[#This Row],[coleccion]]&amp;","&amp;Agencia[[#This Row],[sector]]&amp;","&amp;Agencia[[#This Row],[tema]]&amp;","&amp;Agencia[[#This Row],[contenido]]</f>
        <v>Región de Los Ríos,enfermedad,cardiovascular,corazón,población,control,salud,programa,sexo,hombre,mujer,regional,Agencia Información,Salud,Programa de Salud Cardiovascular,Programas de Salud</v>
      </c>
      <c r="S1929" s="84" t="s">
        <v>4239</v>
      </c>
      <c r="T1929" s="110" t="s">
        <v>1867</v>
      </c>
      <c r="U1929" s="46" t="s">
        <v>4823</v>
      </c>
      <c r="V1929" s="93" t="str">
        <f>+Agencia[[#This Row],[idcoleccion]]&amp;"-"&amp;Agencia[[#This Row],[id]]</f>
        <v>990-1918</v>
      </c>
      <c r="W1929" s="96">
        <v>99200014</v>
      </c>
      <c r="X1929" s="93" t="str">
        <f>+VLOOKUP(Agencia[[#This Row],[tema]],Estructura!$A$4:$C$500,3,0)</f>
        <v>T-1012</v>
      </c>
      <c r="Y1929" s="93" t="str">
        <f>+VLOOKUP(Agencia[[#This Row],[contenido]],Estructura!$E$4:$G$500,3,0)</f>
        <v>C-1010</v>
      </c>
      <c r="Z1929" s="93" t="str">
        <f>+VLOOKUP(Agencia[[#This Row],[Filtro Integrado]],Estructura!$I$4:$K$500,3,0)</f>
        <v>FI-993</v>
      </c>
      <c r="AA1929" s="93" t="str">
        <f>+VLOOKUP(Agencia[[#This Row],[Muestra]],Estructura!$M$4:$O$500,3,0)</f>
        <v>M-1053</v>
      </c>
    </row>
    <row r="1930" spans="1:27" ht="72" x14ac:dyDescent="0.3">
      <c r="A1930" s="21" t="s">
        <v>5059</v>
      </c>
      <c r="B1930" s="66">
        <v>990</v>
      </c>
      <c r="C1930" s="67" t="s">
        <v>400</v>
      </c>
      <c r="D1930" s="67" t="s">
        <v>568</v>
      </c>
      <c r="E1930" s="89">
        <v>15</v>
      </c>
      <c r="F1930" s="72" t="s">
        <v>1473</v>
      </c>
      <c r="G1930" s="73" t="s">
        <v>1898</v>
      </c>
      <c r="H1930" s="79" t="s">
        <v>16</v>
      </c>
      <c r="I1930" s="80" t="s">
        <v>382</v>
      </c>
      <c r="J1930" s="66" t="s">
        <v>403</v>
      </c>
      <c r="K1930" s="136" t="s">
        <v>9307</v>
      </c>
      <c r="L1930" s="71" t="s">
        <v>1514</v>
      </c>
      <c r="M1930" s="71" t="s">
        <v>1368</v>
      </c>
      <c r="N1930" s="71" t="s">
        <v>848</v>
      </c>
      <c r="O1930" s="70" t="s">
        <v>4240</v>
      </c>
      <c r="P1930" s="112" t="s">
        <v>6765</v>
      </c>
      <c r="Q1930" s="68" t="s">
        <v>784</v>
      </c>
      <c r="R1930" s="74" t="str">
        <f>Agencia[[#This Row],[territorio]]&amp;",enfermedad,cardiovascular,corazón,población,control,salud,programa,sexo,hombre,mujer,regional,"&amp;Agencia[[#This Row],[coleccion]]&amp;","&amp;Agencia[[#This Row],[sector]]&amp;","&amp;Agencia[[#This Row],[tema]]&amp;","&amp;Agencia[[#This Row],[contenido]]</f>
        <v>Región de Arica y Parinacota,enfermedad,cardiovascular,corazón,población,control,salud,programa,sexo,hombre,mujer,regional,Agencia Información,Salud,Programa de Salud Cardiovascular,Programas de Salud</v>
      </c>
      <c r="S1930" s="83" t="s">
        <v>4241</v>
      </c>
      <c r="T1930" s="110" t="s">
        <v>1861</v>
      </c>
      <c r="U1930" s="46" t="s">
        <v>4824</v>
      </c>
      <c r="V1930" s="93" t="str">
        <f>+Agencia[[#This Row],[idcoleccion]]&amp;"-"&amp;Agencia[[#This Row],[id]]</f>
        <v>990-1919</v>
      </c>
      <c r="W1930" s="96">
        <v>99200015</v>
      </c>
      <c r="X1930" s="93" t="str">
        <f>+VLOOKUP(Agencia[[#This Row],[tema]],Estructura!$A$4:$C$500,3,0)</f>
        <v>T-1012</v>
      </c>
      <c r="Y1930" s="93" t="str">
        <f>+VLOOKUP(Agencia[[#This Row],[contenido]],Estructura!$E$4:$G$500,3,0)</f>
        <v>C-1010</v>
      </c>
      <c r="Z1930" s="93" t="str">
        <f>+VLOOKUP(Agencia[[#This Row],[Filtro Integrado]],Estructura!$I$4:$K$500,3,0)</f>
        <v>FI-993</v>
      </c>
      <c r="AA1930" s="93" t="str">
        <f>+VLOOKUP(Agencia[[#This Row],[Muestra]],Estructura!$M$4:$O$500,3,0)</f>
        <v>M-1053</v>
      </c>
    </row>
    <row r="1931" spans="1:27" ht="51" x14ac:dyDescent="0.3">
      <c r="A1931" s="21" t="s">
        <v>5060</v>
      </c>
      <c r="B1931" s="71">
        <v>990</v>
      </c>
      <c r="C1931" s="72" t="s">
        <v>400</v>
      </c>
      <c r="D1931" s="72" t="s">
        <v>568</v>
      </c>
      <c r="E1931" s="89">
        <v>16</v>
      </c>
      <c r="F1931" s="72" t="s">
        <v>1473</v>
      </c>
      <c r="G1931" s="73" t="s">
        <v>1898</v>
      </c>
      <c r="H1931" s="79" t="s">
        <v>16</v>
      </c>
      <c r="I1931" s="80" t="s">
        <v>383</v>
      </c>
      <c r="J1931" s="66" t="s">
        <v>403</v>
      </c>
      <c r="K1931" s="136" t="s">
        <v>9307</v>
      </c>
      <c r="L1931" s="71" t="s">
        <v>1514</v>
      </c>
      <c r="M1931" s="71" t="s">
        <v>1368</v>
      </c>
      <c r="N1931" s="71" t="s">
        <v>848</v>
      </c>
      <c r="O1931" s="70" t="s">
        <v>4242</v>
      </c>
      <c r="P1931" s="113" t="s">
        <v>6766</v>
      </c>
      <c r="Q1931" s="75" t="s">
        <v>784</v>
      </c>
      <c r="R1931" s="74" t="str">
        <f>Agencia[[#This Row],[territorio]]&amp;",enfermedad,cardiovascular,corazón,población,control,salud,programa,sexo,hombre,mujer,regional,"&amp;Agencia[[#This Row],[coleccion]]&amp;","&amp;Agencia[[#This Row],[sector]]&amp;","&amp;Agencia[[#This Row],[tema]]&amp;","&amp;Agencia[[#This Row],[contenido]]</f>
        <v>Región de Ñuble,enfermedad,cardiovascular,corazón,población,control,salud,programa,sexo,hombre,mujer,regional,Agencia Información,Salud,Programa de Salud Cardiovascular,Programas de Salud</v>
      </c>
      <c r="S1931" s="84" t="s">
        <v>4243</v>
      </c>
      <c r="T1931" s="109" t="s">
        <v>1870</v>
      </c>
      <c r="U1931" s="46" t="s">
        <v>4825</v>
      </c>
      <c r="V1931" s="93" t="str">
        <f>+Agencia[[#This Row],[idcoleccion]]&amp;"-"&amp;Agencia[[#This Row],[id]]</f>
        <v>990-1920</v>
      </c>
      <c r="W1931" s="96">
        <v>99200016</v>
      </c>
      <c r="X1931" s="93" t="str">
        <f>+VLOOKUP(Agencia[[#This Row],[tema]],Estructura!$A$4:$C$500,3,0)</f>
        <v>T-1012</v>
      </c>
      <c r="Y1931" s="93" t="str">
        <f>+VLOOKUP(Agencia[[#This Row],[contenido]],Estructura!$E$4:$G$500,3,0)</f>
        <v>C-1010</v>
      </c>
      <c r="Z1931" s="93" t="str">
        <f>+VLOOKUP(Agencia[[#This Row],[Filtro Integrado]],Estructura!$I$4:$K$500,3,0)</f>
        <v>FI-993</v>
      </c>
      <c r="AA1931" s="93" t="str">
        <f>+VLOOKUP(Agencia[[#This Row],[Muestra]],Estructura!$M$4:$O$500,3,0)</f>
        <v>M-1053</v>
      </c>
    </row>
    <row r="1932" spans="1:27" ht="51" x14ac:dyDescent="0.3">
      <c r="A1932" s="21" t="s">
        <v>5061</v>
      </c>
      <c r="B1932" s="66">
        <v>990</v>
      </c>
      <c r="C1932" s="67" t="s">
        <v>400</v>
      </c>
      <c r="D1932" s="67" t="s">
        <v>568</v>
      </c>
      <c r="E1932" s="90">
        <v>0</v>
      </c>
      <c r="F1932" s="72" t="s">
        <v>1473</v>
      </c>
      <c r="G1932" s="73" t="s">
        <v>1898</v>
      </c>
      <c r="H1932" s="77" t="s">
        <v>20</v>
      </c>
      <c r="I1932" s="78" t="s">
        <v>15</v>
      </c>
      <c r="J1932" s="66" t="s">
        <v>16</v>
      </c>
      <c r="K1932" s="136" t="s">
        <v>9307</v>
      </c>
      <c r="L1932" s="71" t="s">
        <v>1514</v>
      </c>
      <c r="M1932" s="71" t="s">
        <v>1368</v>
      </c>
      <c r="N1932" s="71" t="s">
        <v>848</v>
      </c>
      <c r="O1932" s="70" t="s">
        <v>4244</v>
      </c>
      <c r="P1932" s="112" t="s">
        <v>4245</v>
      </c>
      <c r="Q1932" s="68" t="s">
        <v>784</v>
      </c>
      <c r="R1932" s="74" t="str">
        <f>Agencia[[#This Row],[territorio]]&amp;",enfermedad,cardiovascular,corazón,población,personas,control,programa,edad,rango etario,nacional,"&amp;Agencia[[#This Row],[coleccion]]&amp;","&amp;Agencia[[#This Row],[sector]]&amp;","&amp;Agencia[[#This Row],[tema]]&amp;","&amp;Agencia[[#This Row],[contenido]]</f>
        <v>Chile,enfermedad,cardiovascular,corazón,población,personas,control,programa,edad,rango etario,nacional,Agencia Información,Salud,Programa de Salud Cardiovascular,Programas de Salud</v>
      </c>
      <c r="S1932" s="83" t="s">
        <v>4246</v>
      </c>
      <c r="T1932" s="110" t="s">
        <v>805</v>
      </c>
      <c r="U1932" s="46" t="s">
        <v>4826</v>
      </c>
      <c r="V1932" s="93" t="str">
        <f>+Agencia[[#This Row],[idcoleccion]]&amp;"-"&amp;Agencia[[#This Row],[id]]</f>
        <v>990-1921</v>
      </c>
      <c r="W1932" s="96">
        <v>99100000</v>
      </c>
      <c r="X1932" s="93" t="str">
        <f>+VLOOKUP(Agencia[[#This Row],[tema]],Estructura!$A$4:$C$500,3,0)</f>
        <v>T-1012</v>
      </c>
      <c r="Y1932" s="93" t="str">
        <f>+VLOOKUP(Agencia[[#This Row],[contenido]],Estructura!$E$4:$G$500,3,0)</f>
        <v>C-1010</v>
      </c>
      <c r="Z1932" s="93" t="str">
        <f>+VLOOKUP(Agencia[[#This Row],[Filtro Integrado]],Estructura!$I$4:$K$500,3,0)</f>
        <v>FI-992</v>
      </c>
      <c r="AA1932" s="93" t="str">
        <f>+VLOOKUP(Agencia[[#This Row],[Muestra]],Estructura!$M$4:$O$500,3,0)</f>
        <v>M-1053</v>
      </c>
    </row>
    <row r="1933" spans="1:27" ht="72" x14ac:dyDescent="0.3">
      <c r="A1933" s="21" t="s">
        <v>5062</v>
      </c>
      <c r="B1933" s="66">
        <v>990</v>
      </c>
      <c r="C1933" s="67" t="s">
        <v>400</v>
      </c>
      <c r="D1933" s="67" t="s">
        <v>568</v>
      </c>
      <c r="E1933" s="89">
        <v>1</v>
      </c>
      <c r="F1933" s="72" t="s">
        <v>1473</v>
      </c>
      <c r="G1933" s="73" t="s">
        <v>1898</v>
      </c>
      <c r="H1933" s="79" t="s">
        <v>16</v>
      </c>
      <c r="I1933" s="80" t="s">
        <v>368</v>
      </c>
      <c r="J1933" s="66" t="s">
        <v>403</v>
      </c>
      <c r="K1933" s="136" t="s">
        <v>9307</v>
      </c>
      <c r="L1933" s="71" t="s">
        <v>1514</v>
      </c>
      <c r="M1933" s="71" t="s">
        <v>1368</v>
      </c>
      <c r="N1933" s="71" t="s">
        <v>848</v>
      </c>
      <c r="O1933" s="70" t="s">
        <v>4247</v>
      </c>
      <c r="P1933" s="112" t="s">
        <v>6767</v>
      </c>
      <c r="Q1933" s="68" t="s">
        <v>784</v>
      </c>
      <c r="R1933" s="74" t="str">
        <f>Agencia[[#This Row],[territorio]]&amp;",enfermedad,cardiovascular,corazón,población,personas,control,programa,edad,rango etario,regional,"&amp;Agencia[[#This Row],[coleccion]]&amp;","&amp;Agencia[[#This Row],[sector]]&amp;","&amp;Agencia[[#This Row],[tema]]&amp;","&amp;Agencia[[#This Row],[contenido]]</f>
        <v>Región de Tarapacá,enfermedad,cardiovascular,corazón,población,personas,control,programa,edad,rango etario,regional,Agencia Información,Salud,Programa de Salud Cardiovascular,Programas de Salud</v>
      </c>
      <c r="S1933" s="83" t="s">
        <v>4248</v>
      </c>
      <c r="T1933" s="110" t="s">
        <v>1872</v>
      </c>
      <c r="U1933" s="46" t="s">
        <v>4827</v>
      </c>
      <c r="V1933" s="93" t="str">
        <f>+Agencia[[#This Row],[idcoleccion]]&amp;"-"&amp;Agencia[[#This Row],[id]]</f>
        <v>990-1922</v>
      </c>
      <c r="W1933" s="96">
        <v>99200001</v>
      </c>
      <c r="X1933" s="93" t="str">
        <f>+VLOOKUP(Agencia[[#This Row],[tema]],Estructura!$A$4:$C$500,3,0)</f>
        <v>T-1012</v>
      </c>
      <c r="Y1933" s="93" t="str">
        <f>+VLOOKUP(Agencia[[#This Row],[contenido]],Estructura!$E$4:$G$500,3,0)</f>
        <v>C-1010</v>
      </c>
      <c r="Z1933" s="93" t="str">
        <f>+VLOOKUP(Agencia[[#This Row],[Filtro Integrado]],Estructura!$I$4:$K$500,3,0)</f>
        <v>FI-993</v>
      </c>
      <c r="AA1933" s="93" t="str">
        <f>+VLOOKUP(Agencia[[#This Row],[Muestra]],Estructura!$M$4:$O$500,3,0)</f>
        <v>M-1053</v>
      </c>
    </row>
    <row r="1934" spans="1:27" ht="61.2" x14ac:dyDescent="0.3">
      <c r="A1934" s="21" t="s">
        <v>5063</v>
      </c>
      <c r="B1934" s="66">
        <v>990</v>
      </c>
      <c r="C1934" s="67" t="s">
        <v>400</v>
      </c>
      <c r="D1934" s="67" t="s">
        <v>568</v>
      </c>
      <c r="E1934" s="89">
        <v>2</v>
      </c>
      <c r="F1934" s="72" t="s">
        <v>1473</v>
      </c>
      <c r="G1934" s="73" t="s">
        <v>1898</v>
      </c>
      <c r="H1934" s="79" t="s">
        <v>16</v>
      </c>
      <c r="I1934" s="80" t="s">
        <v>369</v>
      </c>
      <c r="J1934" s="66" t="s">
        <v>403</v>
      </c>
      <c r="K1934" s="136" t="s">
        <v>9307</v>
      </c>
      <c r="L1934" s="71" t="s">
        <v>1514</v>
      </c>
      <c r="M1934" s="71" t="s">
        <v>1368</v>
      </c>
      <c r="N1934" s="71" t="s">
        <v>848</v>
      </c>
      <c r="O1934" s="70" t="s">
        <v>4249</v>
      </c>
      <c r="P1934" s="112" t="s">
        <v>6768</v>
      </c>
      <c r="Q1934" s="68" t="s">
        <v>784</v>
      </c>
      <c r="R1934" s="74" t="str">
        <f>Agencia[[#This Row],[territorio]]&amp;",enfermedad,cardiovascular,corazón,población,personas,control,programa,edad,rango etario,regional,"&amp;Agencia[[#This Row],[coleccion]]&amp;","&amp;Agencia[[#This Row],[sector]]&amp;","&amp;Agencia[[#This Row],[tema]]&amp;","&amp;Agencia[[#This Row],[contenido]]</f>
        <v>Región de Antofagasta,enfermedad,cardiovascular,corazón,población,personas,control,programa,edad,rango etario,regional,Agencia Información,Salud,Programa de Salud Cardiovascular,Programas de Salud</v>
      </c>
      <c r="S1934" s="84" t="s">
        <v>4250</v>
      </c>
      <c r="T1934" s="110" t="s">
        <v>1860</v>
      </c>
      <c r="U1934" s="46" t="s">
        <v>4828</v>
      </c>
      <c r="V1934" s="93" t="str">
        <f>+Agencia[[#This Row],[idcoleccion]]&amp;"-"&amp;Agencia[[#This Row],[id]]</f>
        <v>990-1923</v>
      </c>
      <c r="W1934" s="96">
        <v>99200002</v>
      </c>
      <c r="X1934" s="93" t="str">
        <f>+VLOOKUP(Agencia[[#This Row],[tema]],Estructura!$A$4:$C$500,3,0)</f>
        <v>T-1012</v>
      </c>
      <c r="Y1934" s="93" t="str">
        <f>+VLOOKUP(Agencia[[#This Row],[contenido]],Estructura!$E$4:$G$500,3,0)</f>
        <v>C-1010</v>
      </c>
      <c r="Z1934" s="93" t="str">
        <f>+VLOOKUP(Agencia[[#This Row],[Filtro Integrado]],Estructura!$I$4:$K$500,3,0)</f>
        <v>FI-993</v>
      </c>
      <c r="AA1934" s="93" t="str">
        <f>+VLOOKUP(Agencia[[#This Row],[Muestra]],Estructura!$M$4:$O$500,3,0)</f>
        <v>M-1053</v>
      </c>
    </row>
    <row r="1935" spans="1:27" ht="61.2" x14ac:dyDescent="0.3">
      <c r="A1935" s="21" t="s">
        <v>5064</v>
      </c>
      <c r="B1935" s="66">
        <v>990</v>
      </c>
      <c r="C1935" s="67" t="s">
        <v>400</v>
      </c>
      <c r="D1935" s="67" t="s">
        <v>568</v>
      </c>
      <c r="E1935" s="89">
        <v>3</v>
      </c>
      <c r="F1935" s="72" t="s">
        <v>1473</v>
      </c>
      <c r="G1935" s="73" t="s">
        <v>1898</v>
      </c>
      <c r="H1935" s="79" t="s">
        <v>16</v>
      </c>
      <c r="I1935" s="80" t="s">
        <v>370</v>
      </c>
      <c r="J1935" s="66" t="s">
        <v>403</v>
      </c>
      <c r="K1935" s="136" t="s">
        <v>9307</v>
      </c>
      <c r="L1935" s="71" t="s">
        <v>1514</v>
      </c>
      <c r="M1935" s="71" t="s">
        <v>1368</v>
      </c>
      <c r="N1935" s="71" t="s">
        <v>848</v>
      </c>
      <c r="O1935" s="70" t="s">
        <v>4251</v>
      </c>
      <c r="P1935" s="112" t="s">
        <v>6769</v>
      </c>
      <c r="Q1935" s="68" t="s">
        <v>784</v>
      </c>
      <c r="R1935" s="74" t="str">
        <f>Agencia[[#This Row],[territorio]]&amp;",enfermedad,cardiovascular,corazón,población,personas,control,programa,edad,rango etario,regional,"&amp;Agencia[[#This Row],[coleccion]]&amp;","&amp;Agencia[[#This Row],[sector]]&amp;","&amp;Agencia[[#This Row],[tema]]&amp;","&amp;Agencia[[#This Row],[contenido]]</f>
        <v>Región de Atacama,enfermedad,cardiovascular,corazón,población,personas,control,programa,edad,rango etario,regional,Agencia Información,Salud,Programa de Salud Cardiovascular,Programas de Salud</v>
      </c>
      <c r="S1935" s="84" t="s">
        <v>4252</v>
      </c>
      <c r="T1935" s="110" t="s">
        <v>1862</v>
      </c>
      <c r="U1935" s="46" t="s">
        <v>4829</v>
      </c>
      <c r="V1935" s="93" t="str">
        <f>+Agencia[[#This Row],[idcoleccion]]&amp;"-"&amp;Agencia[[#This Row],[id]]</f>
        <v>990-1924</v>
      </c>
      <c r="W1935" s="96">
        <v>99200003</v>
      </c>
      <c r="X1935" s="93" t="str">
        <f>+VLOOKUP(Agencia[[#This Row],[tema]],Estructura!$A$4:$C$500,3,0)</f>
        <v>T-1012</v>
      </c>
      <c r="Y1935" s="93" t="str">
        <f>+VLOOKUP(Agencia[[#This Row],[contenido]],Estructura!$E$4:$G$500,3,0)</f>
        <v>C-1010</v>
      </c>
      <c r="Z1935" s="93" t="str">
        <f>+VLOOKUP(Agencia[[#This Row],[Filtro Integrado]],Estructura!$I$4:$K$500,3,0)</f>
        <v>FI-993</v>
      </c>
      <c r="AA1935" s="93" t="str">
        <f>+VLOOKUP(Agencia[[#This Row],[Muestra]],Estructura!$M$4:$O$500,3,0)</f>
        <v>M-1053</v>
      </c>
    </row>
    <row r="1936" spans="1:27" ht="61.2" x14ac:dyDescent="0.3">
      <c r="A1936" s="21" t="s">
        <v>5065</v>
      </c>
      <c r="B1936" s="66">
        <v>990</v>
      </c>
      <c r="C1936" s="67" t="s">
        <v>400</v>
      </c>
      <c r="D1936" s="67" t="s">
        <v>568</v>
      </c>
      <c r="E1936" s="89">
        <v>4</v>
      </c>
      <c r="F1936" s="72" t="s">
        <v>1473</v>
      </c>
      <c r="G1936" s="73" t="s">
        <v>1898</v>
      </c>
      <c r="H1936" s="79" t="s">
        <v>16</v>
      </c>
      <c r="I1936" s="80" t="s">
        <v>371</v>
      </c>
      <c r="J1936" s="66" t="s">
        <v>403</v>
      </c>
      <c r="K1936" s="136" t="s">
        <v>9307</v>
      </c>
      <c r="L1936" s="71" t="s">
        <v>1514</v>
      </c>
      <c r="M1936" s="71" t="s">
        <v>1368</v>
      </c>
      <c r="N1936" s="71" t="s">
        <v>848</v>
      </c>
      <c r="O1936" s="70" t="s">
        <v>4253</v>
      </c>
      <c r="P1936" s="112" t="s">
        <v>6770</v>
      </c>
      <c r="Q1936" s="68" t="s">
        <v>784</v>
      </c>
      <c r="R1936" s="74" t="str">
        <f>Agencia[[#This Row],[territorio]]&amp;",enfermedad,cardiovascular,corazón,población,personas,control,programa,edad,rango etario,regional,"&amp;Agencia[[#This Row],[coleccion]]&amp;","&amp;Agencia[[#This Row],[sector]]&amp;","&amp;Agencia[[#This Row],[tema]]&amp;","&amp;Agencia[[#This Row],[contenido]]</f>
        <v>Región de Coquimbo,enfermedad,cardiovascular,corazón,población,personas,control,programa,edad,rango etario,regional,Agencia Información,Salud,Programa de Salud Cardiovascular,Programas de Salud</v>
      </c>
      <c r="S1936" s="84" t="s">
        <v>4254</v>
      </c>
      <c r="T1936" s="110" t="s">
        <v>1864</v>
      </c>
      <c r="U1936" s="46" t="s">
        <v>4830</v>
      </c>
      <c r="V1936" s="93" t="str">
        <f>+Agencia[[#This Row],[idcoleccion]]&amp;"-"&amp;Agencia[[#This Row],[id]]</f>
        <v>990-1925</v>
      </c>
      <c r="W1936" s="96">
        <v>99200004</v>
      </c>
      <c r="X1936" s="93" t="str">
        <f>+VLOOKUP(Agencia[[#This Row],[tema]],Estructura!$A$4:$C$500,3,0)</f>
        <v>T-1012</v>
      </c>
      <c r="Y1936" s="93" t="str">
        <f>+VLOOKUP(Agencia[[#This Row],[contenido]],Estructura!$E$4:$G$500,3,0)</f>
        <v>C-1010</v>
      </c>
      <c r="Z1936" s="93" t="str">
        <f>+VLOOKUP(Agencia[[#This Row],[Filtro Integrado]],Estructura!$I$4:$K$500,3,0)</f>
        <v>FI-993</v>
      </c>
      <c r="AA1936" s="93" t="str">
        <f>+VLOOKUP(Agencia[[#This Row],[Muestra]],Estructura!$M$4:$O$500,3,0)</f>
        <v>M-1053</v>
      </c>
    </row>
    <row r="1937" spans="1:27" ht="61.2" x14ac:dyDescent="0.3">
      <c r="A1937" s="21" t="s">
        <v>5066</v>
      </c>
      <c r="B1937" s="66">
        <v>990</v>
      </c>
      <c r="C1937" s="67" t="s">
        <v>400</v>
      </c>
      <c r="D1937" s="67" t="s">
        <v>568</v>
      </c>
      <c r="E1937" s="89">
        <v>5</v>
      </c>
      <c r="F1937" s="72" t="s">
        <v>1473</v>
      </c>
      <c r="G1937" s="73" t="s">
        <v>1898</v>
      </c>
      <c r="H1937" s="79" t="s">
        <v>16</v>
      </c>
      <c r="I1937" s="80" t="s">
        <v>372</v>
      </c>
      <c r="J1937" s="66" t="s">
        <v>403</v>
      </c>
      <c r="K1937" s="136" t="s">
        <v>9307</v>
      </c>
      <c r="L1937" s="71" t="s">
        <v>1514</v>
      </c>
      <c r="M1937" s="71" t="s">
        <v>1368</v>
      </c>
      <c r="N1937" s="71" t="s">
        <v>848</v>
      </c>
      <c r="O1937" s="70" t="s">
        <v>4255</v>
      </c>
      <c r="P1937" s="112" t="s">
        <v>6771</v>
      </c>
      <c r="Q1937" s="68" t="s">
        <v>784</v>
      </c>
      <c r="R1937" s="74" t="str">
        <f>Agencia[[#This Row],[territorio]]&amp;",enfermedad,cardiovascular,corazón,población,personas,control,programa,edad,rango etario,regional,"&amp;Agencia[[#This Row],[coleccion]]&amp;","&amp;Agencia[[#This Row],[sector]]&amp;","&amp;Agencia[[#This Row],[tema]]&amp;","&amp;Agencia[[#This Row],[contenido]]</f>
        <v>Región de Valparaíso,enfermedad,cardiovascular,corazón,población,personas,control,programa,edad,rango etario,regional,Agencia Información,Salud,Programa de Salud Cardiovascular,Programas de Salud</v>
      </c>
      <c r="S1937" s="84" t="s">
        <v>4256</v>
      </c>
      <c r="T1937" s="110" t="s">
        <v>1873</v>
      </c>
      <c r="U1937" s="46" t="s">
        <v>4831</v>
      </c>
      <c r="V1937" s="93" t="str">
        <f>+Agencia[[#This Row],[idcoleccion]]&amp;"-"&amp;Agencia[[#This Row],[id]]</f>
        <v>990-1926</v>
      </c>
      <c r="W1937" s="96">
        <v>99200005</v>
      </c>
      <c r="X1937" s="93" t="str">
        <f>+VLOOKUP(Agencia[[#This Row],[tema]],Estructura!$A$4:$C$500,3,0)</f>
        <v>T-1012</v>
      </c>
      <c r="Y1937" s="93" t="str">
        <f>+VLOOKUP(Agencia[[#This Row],[contenido]],Estructura!$E$4:$G$500,3,0)</f>
        <v>C-1010</v>
      </c>
      <c r="Z1937" s="93" t="str">
        <f>+VLOOKUP(Agencia[[#This Row],[Filtro Integrado]],Estructura!$I$4:$K$500,3,0)</f>
        <v>FI-993</v>
      </c>
      <c r="AA1937" s="93" t="str">
        <f>+VLOOKUP(Agencia[[#This Row],[Muestra]],Estructura!$M$4:$O$500,3,0)</f>
        <v>M-1053</v>
      </c>
    </row>
    <row r="1938" spans="1:27" ht="61.2" x14ac:dyDescent="0.3">
      <c r="A1938" s="21" t="s">
        <v>5067</v>
      </c>
      <c r="B1938" s="66">
        <v>990</v>
      </c>
      <c r="C1938" s="67" t="s">
        <v>400</v>
      </c>
      <c r="D1938" s="67" t="s">
        <v>568</v>
      </c>
      <c r="E1938" s="89">
        <v>6</v>
      </c>
      <c r="F1938" s="72" t="s">
        <v>1473</v>
      </c>
      <c r="G1938" s="73" t="s">
        <v>1898</v>
      </c>
      <c r="H1938" s="79" t="s">
        <v>16</v>
      </c>
      <c r="I1938" s="80" t="s">
        <v>373</v>
      </c>
      <c r="J1938" s="66" t="s">
        <v>403</v>
      </c>
      <c r="K1938" s="136" t="s">
        <v>9307</v>
      </c>
      <c r="L1938" s="71" t="s">
        <v>1514</v>
      </c>
      <c r="M1938" s="71" t="s">
        <v>1368</v>
      </c>
      <c r="N1938" s="71" t="s">
        <v>848</v>
      </c>
      <c r="O1938" s="70" t="s">
        <v>4257</v>
      </c>
      <c r="P1938" s="112" t="s">
        <v>6772</v>
      </c>
      <c r="Q1938" s="68" t="s">
        <v>784</v>
      </c>
      <c r="R1938" s="74" t="str">
        <f>Agencia[[#This Row],[territorio]]&amp;",enfermedad,cardiovascular,corazón,población,personas,control,programa,edad,rango etario,regional,"&amp;Agencia[[#This Row],[coleccion]]&amp;","&amp;Agencia[[#This Row],[sector]]&amp;","&amp;Agencia[[#This Row],[tema]]&amp;","&amp;Agencia[[#This Row],[contenido]]</f>
        <v>Región de O'Higgins,enfermedad,cardiovascular,corazón,población,personas,control,programa,edad,rango etario,regional,Agencia Información,Salud,Programa de Salud Cardiovascular,Programas de Salud</v>
      </c>
      <c r="S1938" s="84" t="s">
        <v>4258</v>
      </c>
      <c r="T1938" s="110" t="s">
        <v>1871</v>
      </c>
      <c r="U1938" s="46" t="s">
        <v>4832</v>
      </c>
      <c r="V1938" s="93" t="str">
        <f>+Agencia[[#This Row],[idcoleccion]]&amp;"-"&amp;Agencia[[#This Row],[id]]</f>
        <v>990-1927</v>
      </c>
      <c r="W1938" s="96">
        <v>99200006</v>
      </c>
      <c r="X1938" s="93" t="str">
        <f>+VLOOKUP(Agencia[[#This Row],[tema]],Estructura!$A$4:$C$500,3,0)</f>
        <v>T-1012</v>
      </c>
      <c r="Y1938" s="93" t="str">
        <f>+VLOOKUP(Agencia[[#This Row],[contenido]],Estructura!$E$4:$G$500,3,0)</f>
        <v>C-1010</v>
      </c>
      <c r="Z1938" s="93" t="str">
        <f>+VLOOKUP(Agencia[[#This Row],[Filtro Integrado]],Estructura!$I$4:$K$500,3,0)</f>
        <v>FI-993</v>
      </c>
      <c r="AA1938" s="93" t="str">
        <f>+VLOOKUP(Agencia[[#This Row],[Muestra]],Estructura!$M$4:$O$500,3,0)</f>
        <v>M-1053</v>
      </c>
    </row>
    <row r="1939" spans="1:27" ht="61.2" x14ac:dyDescent="0.3">
      <c r="A1939" s="21" t="s">
        <v>5068</v>
      </c>
      <c r="B1939" s="66">
        <v>990</v>
      </c>
      <c r="C1939" s="67" t="s">
        <v>400</v>
      </c>
      <c r="D1939" s="67" t="s">
        <v>568</v>
      </c>
      <c r="E1939" s="89">
        <v>7</v>
      </c>
      <c r="F1939" s="72" t="s">
        <v>1473</v>
      </c>
      <c r="G1939" s="73" t="s">
        <v>1898</v>
      </c>
      <c r="H1939" s="79" t="s">
        <v>16</v>
      </c>
      <c r="I1939" s="80" t="s">
        <v>374</v>
      </c>
      <c r="J1939" s="66" t="s">
        <v>403</v>
      </c>
      <c r="K1939" s="136" t="s">
        <v>9307</v>
      </c>
      <c r="L1939" s="71" t="s">
        <v>1514</v>
      </c>
      <c r="M1939" s="71" t="s">
        <v>1368</v>
      </c>
      <c r="N1939" s="71" t="s">
        <v>848</v>
      </c>
      <c r="O1939" s="70" t="s">
        <v>4259</v>
      </c>
      <c r="P1939" s="112" t="s">
        <v>6773</v>
      </c>
      <c r="Q1939" s="68" t="s">
        <v>784</v>
      </c>
      <c r="R1939" s="74" t="str">
        <f>Agencia[[#This Row],[territorio]]&amp;",enfermedad,cardiovascular,corazón,población,personas,control,programa,edad,rango etario,regional,"&amp;Agencia[[#This Row],[coleccion]]&amp;","&amp;Agencia[[#This Row],[sector]]&amp;","&amp;Agencia[[#This Row],[tema]]&amp;","&amp;Agencia[[#This Row],[contenido]]</f>
        <v>Región de Maule,enfermedad,cardiovascular,corazón,población,personas,control,programa,edad,rango etario,regional,Agencia Información,Salud,Programa de Salud Cardiovascular,Programas de Salud</v>
      </c>
      <c r="S1939" s="84" t="s">
        <v>4260</v>
      </c>
      <c r="T1939" s="110" t="s">
        <v>1869</v>
      </c>
      <c r="U1939" s="46" t="s">
        <v>4833</v>
      </c>
      <c r="V1939" s="93" t="str">
        <f>+Agencia[[#This Row],[idcoleccion]]&amp;"-"&amp;Agencia[[#This Row],[id]]</f>
        <v>990-1928</v>
      </c>
      <c r="W1939" s="96">
        <v>99200007</v>
      </c>
      <c r="X1939" s="93" t="str">
        <f>+VLOOKUP(Agencia[[#This Row],[tema]],Estructura!$A$4:$C$500,3,0)</f>
        <v>T-1012</v>
      </c>
      <c r="Y1939" s="93" t="str">
        <f>+VLOOKUP(Agencia[[#This Row],[contenido]],Estructura!$E$4:$G$500,3,0)</f>
        <v>C-1010</v>
      </c>
      <c r="Z1939" s="93" t="str">
        <f>+VLOOKUP(Agencia[[#This Row],[Filtro Integrado]],Estructura!$I$4:$K$500,3,0)</f>
        <v>FI-993</v>
      </c>
      <c r="AA1939" s="93" t="str">
        <f>+VLOOKUP(Agencia[[#This Row],[Muestra]],Estructura!$M$4:$O$500,3,0)</f>
        <v>M-1053</v>
      </c>
    </row>
    <row r="1940" spans="1:27" ht="61.2" x14ac:dyDescent="0.3">
      <c r="A1940" s="21" t="s">
        <v>5069</v>
      </c>
      <c r="B1940" s="66">
        <v>990</v>
      </c>
      <c r="C1940" s="67" t="s">
        <v>400</v>
      </c>
      <c r="D1940" s="67" t="s">
        <v>568</v>
      </c>
      <c r="E1940" s="89">
        <v>8</v>
      </c>
      <c r="F1940" s="72" t="s">
        <v>1473</v>
      </c>
      <c r="G1940" s="73" t="s">
        <v>1898</v>
      </c>
      <c r="H1940" s="79" t="s">
        <v>16</v>
      </c>
      <c r="I1940" s="80" t="s">
        <v>375</v>
      </c>
      <c r="J1940" s="66" t="s">
        <v>403</v>
      </c>
      <c r="K1940" s="136" t="s">
        <v>9307</v>
      </c>
      <c r="L1940" s="71" t="s">
        <v>1514</v>
      </c>
      <c r="M1940" s="71" t="s">
        <v>1368</v>
      </c>
      <c r="N1940" s="71" t="s">
        <v>848</v>
      </c>
      <c r="O1940" s="70" t="s">
        <v>4261</v>
      </c>
      <c r="P1940" s="112" t="s">
        <v>6774</v>
      </c>
      <c r="Q1940" s="68" t="s">
        <v>784</v>
      </c>
      <c r="R1940" s="74" t="str">
        <f>Agencia[[#This Row],[territorio]]&amp;",enfermedad,cardiovascular,corazón,población,personas,control,programa,edad,rango etario,regional,"&amp;Agencia[[#This Row],[coleccion]]&amp;","&amp;Agencia[[#This Row],[sector]]&amp;","&amp;Agencia[[#This Row],[tema]]&amp;","&amp;Agencia[[#This Row],[contenido]]</f>
        <v>Región del Biobío,enfermedad,cardiovascular,corazón,población,personas,control,programa,edad,rango etario,regional,Agencia Información,Salud,Programa de Salud Cardiovascular,Programas de Salud</v>
      </c>
      <c r="S1940" s="84" t="s">
        <v>4262</v>
      </c>
      <c r="T1940" s="110" t="s">
        <v>1874</v>
      </c>
      <c r="U1940" s="46" t="s">
        <v>4834</v>
      </c>
      <c r="V1940" s="93" t="str">
        <f>+Agencia[[#This Row],[idcoleccion]]&amp;"-"&amp;Agencia[[#This Row],[id]]</f>
        <v>990-1929</v>
      </c>
      <c r="W1940" s="96">
        <v>99200008</v>
      </c>
      <c r="X1940" s="93" t="str">
        <f>+VLOOKUP(Agencia[[#This Row],[tema]],Estructura!$A$4:$C$500,3,0)</f>
        <v>T-1012</v>
      </c>
      <c r="Y1940" s="93" t="str">
        <f>+VLOOKUP(Agencia[[#This Row],[contenido]],Estructura!$E$4:$G$500,3,0)</f>
        <v>C-1010</v>
      </c>
      <c r="Z1940" s="93" t="str">
        <f>+VLOOKUP(Agencia[[#This Row],[Filtro Integrado]],Estructura!$I$4:$K$500,3,0)</f>
        <v>FI-993</v>
      </c>
      <c r="AA1940" s="93" t="str">
        <f>+VLOOKUP(Agencia[[#This Row],[Muestra]],Estructura!$M$4:$O$500,3,0)</f>
        <v>M-1053</v>
      </c>
    </row>
    <row r="1941" spans="1:27" ht="61.2" x14ac:dyDescent="0.3">
      <c r="A1941" s="21" t="s">
        <v>5070</v>
      </c>
      <c r="B1941" s="66">
        <v>990</v>
      </c>
      <c r="C1941" s="67" t="s">
        <v>400</v>
      </c>
      <c r="D1941" s="67" t="s">
        <v>568</v>
      </c>
      <c r="E1941" s="89">
        <v>9</v>
      </c>
      <c r="F1941" s="72" t="s">
        <v>1473</v>
      </c>
      <c r="G1941" s="73" t="s">
        <v>1898</v>
      </c>
      <c r="H1941" s="79" t="s">
        <v>16</v>
      </c>
      <c r="I1941" s="80" t="s">
        <v>376</v>
      </c>
      <c r="J1941" s="66" t="s">
        <v>403</v>
      </c>
      <c r="K1941" s="136" t="s">
        <v>9307</v>
      </c>
      <c r="L1941" s="71" t="s">
        <v>1514</v>
      </c>
      <c r="M1941" s="71" t="s">
        <v>1368</v>
      </c>
      <c r="N1941" s="71" t="s">
        <v>848</v>
      </c>
      <c r="O1941" s="70" t="s">
        <v>4263</v>
      </c>
      <c r="P1941" s="112" t="s">
        <v>6775</v>
      </c>
      <c r="Q1941" s="68" t="s">
        <v>784</v>
      </c>
      <c r="R1941" s="74" t="str">
        <f>Agencia[[#This Row],[territorio]]&amp;",enfermedad,cardiovascular,corazón,población,personas,control,programa,edad,rango etario,regional,"&amp;Agencia[[#This Row],[coleccion]]&amp;","&amp;Agencia[[#This Row],[sector]]&amp;","&amp;Agencia[[#This Row],[tema]]&amp;","&amp;Agencia[[#This Row],[contenido]]</f>
        <v>Región de La Araucanía,enfermedad,cardiovascular,corazón,población,personas,control,programa,edad,rango etario,regional,Agencia Información,Salud,Programa de Salud Cardiovascular,Programas de Salud</v>
      </c>
      <c r="S1941" s="84" t="s">
        <v>4264</v>
      </c>
      <c r="T1941" s="110" t="s">
        <v>1865</v>
      </c>
      <c r="U1941" s="46" t="s">
        <v>4835</v>
      </c>
      <c r="V1941" s="93" t="str">
        <f>+Agencia[[#This Row],[idcoleccion]]&amp;"-"&amp;Agencia[[#This Row],[id]]</f>
        <v>990-1930</v>
      </c>
      <c r="W1941" s="96">
        <v>99200009</v>
      </c>
      <c r="X1941" s="93" t="str">
        <f>+VLOOKUP(Agencia[[#This Row],[tema]],Estructura!$A$4:$C$500,3,0)</f>
        <v>T-1012</v>
      </c>
      <c r="Y1941" s="93" t="str">
        <f>+VLOOKUP(Agencia[[#This Row],[contenido]],Estructura!$E$4:$G$500,3,0)</f>
        <v>C-1010</v>
      </c>
      <c r="Z1941" s="93" t="str">
        <f>+VLOOKUP(Agencia[[#This Row],[Filtro Integrado]],Estructura!$I$4:$K$500,3,0)</f>
        <v>FI-993</v>
      </c>
      <c r="AA1941" s="93" t="str">
        <f>+VLOOKUP(Agencia[[#This Row],[Muestra]],Estructura!$M$4:$O$500,3,0)</f>
        <v>M-1053</v>
      </c>
    </row>
    <row r="1942" spans="1:27" ht="61.2" x14ac:dyDescent="0.3">
      <c r="A1942" s="21" t="s">
        <v>5071</v>
      </c>
      <c r="B1942" s="66">
        <v>990</v>
      </c>
      <c r="C1942" s="67" t="s">
        <v>400</v>
      </c>
      <c r="D1942" s="67" t="s">
        <v>568</v>
      </c>
      <c r="E1942" s="89">
        <v>10</v>
      </c>
      <c r="F1942" s="72" t="s">
        <v>1473</v>
      </c>
      <c r="G1942" s="73" t="s">
        <v>1898</v>
      </c>
      <c r="H1942" s="79" t="s">
        <v>16</v>
      </c>
      <c r="I1942" s="80" t="s">
        <v>377</v>
      </c>
      <c r="J1942" s="66" t="s">
        <v>403</v>
      </c>
      <c r="K1942" s="136" t="s">
        <v>9307</v>
      </c>
      <c r="L1942" s="71" t="s">
        <v>1514</v>
      </c>
      <c r="M1942" s="71" t="s">
        <v>1368</v>
      </c>
      <c r="N1942" s="71" t="s">
        <v>848</v>
      </c>
      <c r="O1942" s="70" t="s">
        <v>4265</v>
      </c>
      <c r="P1942" s="112" t="s">
        <v>6776</v>
      </c>
      <c r="Q1942" s="68" t="s">
        <v>784</v>
      </c>
      <c r="R1942" s="74" t="str">
        <f>Agencia[[#This Row],[territorio]]&amp;",enfermedad,cardiovascular,corazón,población,personas,control,programa,edad,rango etario,regional,"&amp;Agencia[[#This Row],[coleccion]]&amp;","&amp;Agencia[[#This Row],[sector]]&amp;","&amp;Agencia[[#This Row],[tema]]&amp;","&amp;Agencia[[#This Row],[contenido]]</f>
        <v>Región de Los Lagos,enfermedad,cardiovascular,corazón,población,personas,control,programa,edad,rango etario,regional,Agencia Información,Salud,Programa de Salud Cardiovascular,Programas de Salud</v>
      </c>
      <c r="S1942" s="84" t="s">
        <v>4266</v>
      </c>
      <c r="T1942" s="110" t="s">
        <v>1866</v>
      </c>
      <c r="U1942" s="46" t="s">
        <v>4836</v>
      </c>
      <c r="V1942" s="93" t="str">
        <f>+Agencia[[#This Row],[idcoleccion]]&amp;"-"&amp;Agencia[[#This Row],[id]]</f>
        <v>990-1931</v>
      </c>
      <c r="W1942" s="96">
        <v>99200010</v>
      </c>
      <c r="X1942" s="93" t="str">
        <f>+VLOOKUP(Agencia[[#This Row],[tema]],Estructura!$A$4:$C$500,3,0)</f>
        <v>T-1012</v>
      </c>
      <c r="Y1942" s="93" t="str">
        <f>+VLOOKUP(Agencia[[#This Row],[contenido]],Estructura!$E$4:$G$500,3,0)</f>
        <v>C-1010</v>
      </c>
      <c r="Z1942" s="93" t="str">
        <f>+VLOOKUP(Agencia[[#This Row],[Filtro Integrado]],Estructura!$I$4:$K$500,3,0)</f>
        <v>FI-993</v>
      </c>
      <c r="AA1942" s="93" t="str">
        <f>+VLOOKUP(Agencia[[#This Row],[Muestra]],Estructura!$M$4:$O$500,3,0)</f>
        <v>M-1053</v>
      </c>
    </row>
    <row r="1943" spans="1:27" ht="61.2" x14ac:dyDescent="0.3">
      <c r="A1943" s="21" t="s">
        <v>5072</v>
      </c>
      <c r="B1943" s="66">
        <v>990</v>
      </c>
      <c r="C1943" s="67" t="s">
        <v>400</v>
      </c>
      <c r="D1943" s="67" t="s">
        <v>568</v>
      </c>
      <c r="E1943" s="89">
        <v>11</v>
      </c>
      <c r="F1943" s="72" t="s">
        <v>1473</v>
      </c>
      <c r="G1943" s="73" t="s">
        <v>1898</v>
      </c>
      <c r="H1943" s="79" t="s">
        <v>16</v>
      </c>
      <c r="I1943" s="80" t="s">
        <v>378</v>
      </c>
      <c r="J1943" s="66" t="s">
        <v>403</v>
      </c>
      <c r="K1943" s="136" t="s">
        <v>9307</v>
      </c>
      <c r="L1943" s="71" t="s">
        <v>1514</v>
      </c>
      <c r="M1943" s="71" t="s">
        <v>1368</v>
      </c>
      <c r="N1943" s="71" t="s">
        <v>848</v>
      </c>
      <c r="O1943" s="70" t="s">
        <v>4267</v>
      </c>
      <c r="P1943" s="112" t="s">
        <v>6777</v>
      </c>
      <c r="Q1943" s="68" t="s">
        <v>784</v>
      </c>
      <c r="R1943" s="74" t="str">
        <f>Agencia[[#This Row],[territorio]]&amp;",enfermedad,cardiovascular,corazón,población,personas,control,programa,edad,rango etario,regional,"&amp;Agencia[[#This Row],[coleccion]]&amp;","&amp;Agencia[[#This Row],[sector]]&amp;","&amp;Agencia[[#This Row],[tema]]&amp;","&amp;Agencia[[#This Row],[contenido]]</f>
        <v>Región de Aysén,enfermedad,cardiovascular,corazón,población,personas,control,programa,edad,rango etario,regional,Agencia Información,Salud,Programa de Salud Cardiovascular,Programas de Salud</v>
      </c>
      <c r="S1943" s="84" t="s">
        <v>4268</v>
      </c>
      <c r="T1943" s="110" t="s">
        <v>1863</v>
      </c>
      <c r="U1943" s="46" t="s">
        <v>4837</v>
      </c>
      <c r="V1943" s="93" t="str">
        <f>+Agencia[[#This Row],[idcoleccion]]&amp;"-"&amp;Agencia[[#This Row],[id]]</f>
        <v>990-1932</v>
      </c>
      <c r="W1943" s="96">
        <v>99200011</v>
      </c>
      <c r="X1943" s="93" t="str">
        <f>+VLOOKUP(Agencia[[#This Row],[tema]],Estructura!$A$4:$C$500,3,0)</f>
        <v>T-1012</v>
      </c>
      <c r="Y1943" s="93" t="str">
        <f>+VLOOKUP(Agencia[[#This Row],[contenido]],Estructura!$E$4:$G$500,3,0)</f>
        <v>C-1010</v>
      </c>
      <c r="Z1943" s="93" t="str">
        <f>+VLOOKUP(Agencia[[#This Row],[Filtro Integrado]],Estructura!$I$4:$K$500,3,0)</f>
        <v>FI-993</v>
      </c>
      <c r="AA1943" s="93" t="str">
        <f>+VLOOKUP(Agencia[[#This Row],[Muestra]],Estructura!$M$4:$O$500,3,0)</f>
        <v>M-1053</v>
      </c>
    </row>
    <row r="1944" spans="1:27" ht="61.2" x14ac:dyDescent="0.3">
      <c r="A1944" s="21" t="s">
        <v>5073</v>
      </c>
      <c r="B1944" s="66">
        <v>990</v>
      </c>
      <c r="C1944" s="67" t="s">
        <v>400</v>
      </c>
      <c r="D1944" s="67" t="s">
        <v>568</v>
      </c>
      <c r="E1944" s="89">
        <v>12</v>
      </c>
      <c r="F1944" s="72" t="s">
        <v>1473</v>
      </c>
      <c r="G1944" s="73" t="s">
        <v>1898</v>
      </c>
      <c r="H1944" s="79" t="s">
        <v>16</v>
      </c>
      <c r="I1944" s="80" t="s">
        <v>379</v>
      </c>
      <c r="J1944" s="66" t="s">
        <v>403</v>
      </c>
      <c r="K1944" s="136" t="s">
        <v>9307</v>
      </c>
      <c r="L1944" s="71" t="s">
        <v>1514</v>
      </c>
      <c r="M1944" s="71" t="s">
        <v>1368</v>
      </c>
      <c r="N1944" s="71" t="s">
        <v>848</v>
      </c>
      <c r="O1944" s="70" t="s">
        <v>4269</v>
      </c>
      <c r="P1944" s="112" t="s">
        <v>6778</v>
      </c>
      <c r="Q1944" s="68" t="s">
        <v>784</v>
      </c>
      <c r="R1944" s="74" t="str">
        <f>Agencia[[#This Row],[territorio]]&amp;",enfermedad,cardiovascular,corazón,población,personas,control,programa,edad,rango etario,regional,"&amp;Agencia[[#This Row],[coleccion]]&amp;","&amp;Agencia[[#This Row],[sector]]&amp;","&amp;Agencia[[#This Row],[tema]]&amp;","&amp;Agencia[[#This Row],[contenido]]</f>
        <v>Región de Magallanes,enfermedad,cardiovascular,corazón,población,personas,control,programa,edad,rango etario,regional,Agencia Información,Salud,Programa de Salud Cardiovascular,Programas de Salud</v>
      </c>
      <c r="S1944" s="84" t="s">
        <v>4270</v>
      </c>
      <c r="T1944" s="110" t="s">
        <v>1868</v>
      </c>
      <c r="U1944" s="46" t="s">
        <v>4838</v>
      </c>
      <c r="V1944" s="93" t="str">
        <f>+Agencia[[#This Row],[idcoleccion]]&amp;"-"&amp;Agencia[[#This Row],[id]]</f>
        <v>990-1933</v>
      </c>
      <c r="W1944" s="96">
        <v>99200012</v>
      </c>
      <c r="X1944" s="93" t="str">
        <f>+VLOOKUP(Agencia[[#This Row],[tema]],Estructura!$A$4:$C$500,3,0)</f>
        <v>T-1012</v>
      </c>
      <c r="Y1944" s="93" t="str">
        <f>+VLOOKUP(Agencia[[#This Row],[contenido]],Estructura!$E$4:$G$500,3,0)</f>
        <v>C-1010</v>
      </c>
      <c r="Z1944" s="93" t="str">
        <f>+VLOOKUP(Agencia[[#This Row],[Filtro Integrado]],Estructura!$I$4:$K$500,3,0)</f>
        <v>FI-993</v>
      </c>
      <c r="AA1944" s="93" t="str">
        <f>+VLOOKUP(Agencia[[#This Row],[Muestra]],Estructura!$M$4:$O$500,3,0)</f>
        <v>M-1053</v>
      </c>
    </row>
    <row r="1945" spans="1:27" ht="61.2" x14ac:dyDescent="0.3">
      <c r="A1945" s="21" t="s">
        <v>5074</v>
      </c>
      <c r="B1945" s="66">
        <v>990</v>
      </c>
      <c r="C1945" s="67" t="s">
        <v>400</v>
      </c>
      <c r="D1945" s="67" t="s">
        <v>568</v>
      </c>
      <c r="E1945" s="89">
        <v>13</v>
      </c>
      <c r="F1945" s="72" t="s">
        <v>1473</v>
      </c>
      <c r="G1945" s="73" t="s">
        <v>1898</v>
      </c>
      <c r="H1945" s="79" t="s">
        <v>16</v>
      </c>
      <c r="I1945" s="80" t="s">
        <v>380</v>
      </c>
      <c r="J1945" s="66" t="s">
        <v>403</v>
      </c>
      <c r="K1945" s="136" t="s">
        <v>9307</v>
      </c>
      <c r="L1945" s="71" t="s">
        <v>1514</v>
      </c>
      <c r="M1945" s="71" t="s">
        <v>1368</v>
      </c>
      <c r="N1945" s="71" t="s">
        <v>848</v>
      </c>
      <c r="O1945" s="70" t="s">
        <v>4271</v>
      </c>
      <c r="P1945" s="112" t="s">
        <v>6779</v>
      </c>
      <c r="Q1945" s="68" t="s">
        <v>784</v>
      </c>
      <c r="R1945" s="74" t="str">
        <f>Agencia[[#This Row],[territorio]]&amp;",enfermedad,cardiovascular,corazón,población,personas,control,programa,edad,rango etario,regional,"&amp;Agencia[[#This Row],[coleccion]]&amp;","&amp;Agencia[[#This Row],[sector]]&amp;","&amp;Agencia[[#This Row],[tema]]&amp;","&amp;Agencia[[#This Row],[contenido]]</f>
        <v>Región Metropolitana,enfermedad,cardiovascular,corazón,población,personas,control,programa,edad,rango etario,regional,Agencia Información,Salud,Programa de Salud Cardiovascular,Programas de Salud</v>
      </c>
      <c r="S1945" s="84" t="s">
        <v>4272</v>
      </c>
      <c r="T1945" s="110" t="s">
        <v>1875</v>
      </c>
      <c r="U1945" s="46" t="s">
        <v>4839</v>
      </c>
      <c r="V1945" s="93" t="str">
        <f>+Agencia[[#This Row],[idcoleccion]]&amp;"-"&amp;Agencia[[#This Row],[id]]</f>
        <v>990-1934</v>
      </c>
      <c r="W1945" s="96">
        <v>99200013</v>
      </c>
      <c r="X1945" s="93" t="str">
        <f>+VLOOKUP(Agencia[[#This Row],[tema]],Estructura!$A$4:$C$500,3,0)</f>
        <v>T-1012</v>
      </c>
      <c r="Y1945" s="93" t="str">
        <f>+VLOOKUP(Agencia[[#This Row],[contenido]],Estructura!$E$4:$G$500,3,0)</f>
        <v>C-1010</v>
      </c>
      <c r="Z1945" s="93" t="str">
        <f>+VLOOKUP(Agencia[[#This Row],[Filtro Integrado]],Estructura!$I$4:$K$500,3,0)</f>
        <v>FI-993</v>
      </c>
      <c r="AA1945" s="93" t="str">
        <f>+VLOOKUP(Agencia[[#This Row],[Muestra]],Estructura!$M$4:$O$500,3,0)</f>
        <v>M-1053</v>
      </c>
    </row>
    <row r="1946" spans="1:27" ht="61.2" x14ac:dyDescent="0.3">
      <c r="A1946" s="21" t="s">
        <v>5075</v>
      </c>
      <c r="B1946" s="66">
        <v>990</v>
      </c>
      <c r="C1946" s="67" t="s">
        <v>400</v>
      </c>
      <c r="D1946" s="67" t="s">
        <v>568</v>
      </c>
      <c r="E1946" s="89">
        <v>14</v>
      </c>
      <c r="F1946" s="72" t="s">
        <v>1473</v>
      </c>
      <c r="G1946" s="73" t="s">
        <v>1898</v>
      </c>
      <c r="H1946" s="79" t="s">
        <v>16</v>
      </c>
      <c r="I1946" s="80" t="s">
        <v>381</v>
      </c>
      <c r="J1946" s="66" t="s">
        <v>403</v>
      </c>
      <c r="K1946" s="136" t="s">
        <v>9307</v>
      </c>
      <c r="L1946" s="71" t="s">
        <v>1514</v>
      </c>
      <c r="M1946" s="71" t="s">
        <v>1368</v>
      </c>
      <c r="N1946" s="71" t="s">
        <v>848</v>
      </c>
      <c r="O1946" s="70" t="s">
        <v>4273</v>
      </c>
      <c r="P1946" s="112" t="s">
        <v>6780</v>
      </c>
      <c r="Q1946" s="68" t="s">
        <v>784</v>
      </c>
      <c r="R1946" s="74" t="str">
        <f>Agencia[[#This Row],[territorio]]&amp;",enfermedad,cardiovascular,corazón,población,personas,control,programa,edad,rango etario,regional,"&amp;Agencia[[#This Row],[coleccion]]&amp;","&amp;Agencia[[#This Row],[sector]]&amp;","&amp;Agencia[[#This Row],[tema]]&amp;","&amp;Agencia[[#This Row],[contenido]]</f>
        <v>Región de Los Ríos,enfermedad,cardiovascular,corazón,población,personas,control,programa,edad,rango etario,regional,Agencia Información,Salud,Programa de Salud Cardiovascular,Programas de Salud</v>
      </c>
      <c r="S1946" s="84" t="s">
        <v>4274</v>
      </c>
      <c r="T1946" s="110" t="s">
        <v>1867</v>
      </c>
      <c r="U1946" s="46" t="s">
        <v>4840</v>
      </c>
      <c r="V1946" s="93" t="str">
        <f>+Agencia[[#This Row],[idcoleccion]]&amp;"-"&amp;Agencia[[#This Row],[id]]</f>
        <v>990-1935</v>
      </c>
      <c r="W1946" s="96">
        <v>99200014</v>
      </c>
      <c r="X1946" s="93" t="str">
        <f>+VLOOKUP(Agencia[[#This Row],[tema]],Estructura!$A$4:$C$500,3,0)</f>
        <v>T-1012</v>
      </c>
      <c r="Y1946" s="93" t="str">
        <f>+VLOOKUP(Agencia[[#This Row],[contenido]],Estructura!$E$4:$G$500,3,0)</f>
        <v>C-1010</v>
      </c>
      <c r="Z1946" s="93" t="str">
        <f>+VLOOKUP(Agencia[[#This Row],[Filtro Integrado]],Estructura!$I$4:$K$500,3,0)</f>
        <v>FI-993</v>
      </c>
      <c r="AA1946" s="93" t="str">
        <f>+VLOOKUP(Agencia[[#This Row],[Muestra]],Estructura!$M$4:$O$500,3,0)</f>
        <v>M-1053</v>
      </c>
    </row>
    <row r="1947" spans="1:27" ht="61.2" x14ac:dyDescent="0.3">
      <c r="A1947" s="21" t="s">
        <v>5076</v>
      </c>
      <c r="B1947" s="66">
        <v>990</v>
      </c>
      <c r="C1947" s="67" t="s">
        <v>400</v>
      </c>
      <c r="D1947" s="67" t="s">
        <v>568</v>
      </c>
      <c r="E1947" s="89">
        <v>15</v>
      </c>
      <c r="F1947" s="72" t="s">
        <v>1473</v>
      </c>
      <c r="G1947" s="73" t="s">
        <v>1898</v>
      </c>
      <c r="H1947" s="79" t="s">
        <v>16</v>
      </c>
      <c r="I1947" s="80" t="s">
        <v>382</v>
      </c>
      <c r="J1947" s="66" t="s">
        <v>403</v>
      </c>
      <c r="K1947" s="136" t="s">
        <v>9307</v>
      </c>
      <c r="L1947" s="71" t="s">
        <v>1514</v>
      </c>
      <c r="M1947" s="71" t="s">
        <v>1368</v>
      </c>
      <c r="N1947" s="71" t="s">
        <v>848</v>
      </c>
      <c r="O1947" s="70" t="s">
        <v>4275</v>
      </c>
      <c r="P1947" s="112" t="s">
        <v>6781</v>
      </c>
      <c r="Q1947" s="68" t="s">
        <v>784</v>
      </c>
      <c r="R1947" s="74" t="str">
        <f>Agencia[[#This Row],[territorio]]&amp;",enfermedad,cardiovascular,corazón,población,personas,control,programa,edad,rango etario,regional,"&amp;Agencia[[#This Row],[coleccion]]&amp;","&amp;Agencia[[#This Row],[sector]]&amp;","&amp;Agencia[[#This Row],[tema]]&amp;","&amp;Agencia[[#This Row],[contenido]]</f>
        <v>Región de Arica y Parinacota,enfermedad,cardiovascular,corazón,población,personas,control,programa,edad,rango etario,regional,Agencia Información,Salud,Programa de Salud Cardiovascular,Programas de Salud</v>
      </c>
      <c r="S1947" s="84" t="s">
        <v>4276</v>
      </c>
      <c r="T1947" s="110" t="s">
        <v>1861</v>
      </c>
      <c r="U1947" s="46" t="s">
        <v>4841</v>
      </c>
      <c r="V1947" s="93" t="str">
        <f>+Agencia[[#This Row],[idcoleccion]]&amp;"-"&amp;Agencia[[#This Row],[id]]</f>
        <v>990-1936</v>
      </c>
      <c r="W1947" s="96">
        <v>99200015</v>
      </c>
      <c r="X1947" s="93" t="str">
        <f>+VLOOKUP(Agencia[[#This Row],[tema]],Estructura!$A$4:$C$500,3,0)</f>
        <v>T-1012</v>
      </c>
      <c r="Y1947" s="93" t="str">
        <f>+VLOOKUP(Agencia[[#This Row],[contenido]],Estructura!$E$4:$G$500,3,0)</f>
        <v>C-1010</v>
      </c>
      <c r="Z1947" s="93" t="str">
        <f>+VLOOKUP(Agencia[[#This Row],[Filtro Integrado]],Estructura!$I$4:$K$500,3,0)</f>
        <v>FI-993</v>
      </c>
      <c r="AA1947" s="93" t="str">
        <f>+VLOOKUP(Agencia[[#This Row],[Muestra]],Estructura!$M$4:$O$500,3,0)</f>
        <v>M-1053</v>
      </c>
    </row>
    <row r="1948" spans="1:27" ht="61.2" x14ac:dyDescent="0.3">
      <c r="A1948" s="21" t="s">
        <v>5077</v>
      </c>
      <c r="B1948" s="71">
        <v>990</v>
      </c>
      <c r="C1948" s="72" t="s">
        <v>400</v>
      </c>
      <c r="D1948" s="72" t="s">
        <v>568</v>
      </c>
      <c r="E1948" s="89">
        <v>16</v>
      </c>
      <c r="F1948" s="72" t="s">
        <v>1473</v>
      </c>
      <c r="G1948" s="73" t="s">
        <v>1898</v>
      </c>
      <c r="H1948" s="79" t="s">
        <v>16</v>
      </c>
      <c r="I1948" s="80" t="s">
        <v>383</v>
      </c>
      <c r="J1948" s="66" t="s">
        <v>403</v>
      </c>
      <c r="K1948" s="136" t="s">
        <v>9307</v>
      </c>
      <c r="L1948" s="71" t="s">
        <v>1514</v>
      </c>
      <c r="M1948" s="71" t="s">
        <v>1368</v>
      </c>
      <c r="N1948" s="71" t="s">
        <v>848</v>
      </c>
      <c r="O1948" s="70" t="s">
        <v>4277</v>
      </c>
      <c r="P1948" s="113" t="s">
        <v>6782</v>
      </c>
      <c r="Q1948" s="75" t="s">
        <v>784</v>
      </c>
      <c r="R1948" s="74" t="str">
        <f>Agencia[[#This Row],[territorio]]&amp;",enfermedad,cardiovascular,corazón,población,personas,control,programa,edad,rango etario,regional,"&amp;Agencia[[#This Row],[coleccion]]&amp;","&amp;Agencia[[#This Row],[sector]]&amp;","&amp;Agencia[[#This Row],[tema]]&amp;","&amp;Agencia[[#This Row],[contenido]]</f>
        <v>Región de Ñuble,enfermedad,cardiovascular,corazón,población,personas,control,programa,edad,rango etario,regional,Agencia Información,Salud,Programa de Salud Cardiovascular,Programas de Salud</v>
      </c>
      <c r="S1948" s="84" t="s">
        <v>4278</v>
      </c>
      <c r="T1948" s="109" t="s">
        <v>1870</v>
      </c>
      <c r="U1948" s="46" t="s">
        <v>4842</v>
      </c>
      <c r="V1948" s="93" t="str">
        <f>+Agencia[[#This Row],[idcoleccion]]&amp;"-"&amp;Agencia[[#This Row],[id]]</f>
        <v>990-1937</v>
      </c>
      <c r="W1948" s="96">
        <v>99200016</v>
      </c>
      <c r="X1948" s="93" t="str">
        <f>+VLOOKUP(Agencia[[#This Row],[tema]],Estructura!$A$4:$C$500,3,0)</f>
        <v>T-1012</v>
      </c>
      <c r="Y1948" s="93" t="str">
        <f>+VLOOKUP(Agencia[[#This Row],[contenido]],Estructura!$E$4:$G$500,3,0)</f>
        <v>C-1010</v>
      </c>
      <c r="Z1948" s="93" t="str">
        <f>+VLOOKUP(Agencia[[#This Row],[Filtro Integrado]],Estructura!$I$4:$K$500,3,0)</f>
        <v>FI-993</v>
      </c>
      <c r="AA1948" s="93" t="str">
        <f>+VLOOKUP(Agencia[[#This Row],[Muestra]],Estructura!$M$4:$O$500,3,0)</f>
        <v>M-1053</v>
      </c>
    </row>
    <row r="1949" spans="1:27" ht="71.400000000000006" x14ac:dyDescent="0.3">
      <c r="A1949" s="21" t="s">
        <v>5078</v>
      </c>
      <c r="B1949" s="142">
        <f>+B1948</f>
        <v>990</v>
      </c>
      <c r="C1949" s="143" t="str">
        <f>+C1948</f>
        <v>Agencia Información</v>
      </c>
      <c r="D1949" s="143" t="s">
        <v>954</v>
      </c>
      <c r="E1949" s="160">
        <v>2923</v>
      </c>
      <c r="F1949" s="143" t="s">
        <v>6969</v>
      </c>
      <c r="G1949" s="143" t="s">
        <v>1881</v>
      </c>
      <c r="H1949" s="157" t="s">
        <v>16</v>
      </c>
      <c r="I1949" s="158" t="s">
        <v>377</v>
      </c>
      <c r="J1949" s="142" t="s">
        <v>403</v>
      </c>
      <c r="K1949" s="148" t="s">
        <v>6970</v>
      </c>
      <c r="L1949" s="142" t="s">
        <v>6971</v>
      </c>
      <c r="M1949" s="142" t="s">
        <v>9291</v>
      </c>
      <c r="N1949" s="149" t="s">
        <v>6973</v>
      </c>
      <c r="O1949" s="163" t="s">
        <v>6974</v>
      </c>
      <c r="P1949" s="163" t="s">
        <v>6975</v>
      </c>
      <c r="Q1949" s="144" t="s">
        <v>6976</v>
      </c>
      <c r="R1949"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49" s="145" t="s">
        <v>6977</v>
      </c>
      <c r="T1949" s="146">
        <v>0</v>
      </c>
      <c r="U1949" s="151" t="s">
        <v>6978</v>
      </c>
      <c r="V1949" s="93" t="str">
        <f>+Agencia[[#This Row],[idcoleccion]]&amp;"-"&amp;Agencia[[#This Row],[id]]</f>
        <v>990-1938</v>
      </c>
      <c r="W1949" s="147">
        <v>26200010</v>
      </c>
      <c r="X1949" s="152" t="s">
        <v>6979</v>
      </c>
      <c r="Y1949" s="152" t="s">
        <v>6980</v>
      </c>
      <c r="Z1949" s="152" t="s">
        <v>6981</v>
      </c>
      <c r="AA1949" s="147" t="s">
        <v>6982</v>
      </c>
    </row>
    <row r="1950" spans="1:27" ht="71.400000000000006" x14ac:dyDescent="0.3">
      <c r="A1950" s="21" t="s">
        <v>5079</v>
      </c>
      <c r="B1950" s="142">
        <f>+B1949</f>
        <v>990</v>
      </c>
      <c r="C1950" s="143" t="str">
        <f>+C1949</f>
        <v>Agencia Información</v>
      </c>
      <c r="D1950" s="143" t="str">
        <f>+D1949</f>
        <v>Medio Ambiente</v>
      </c>
      <c r="E1950" s="133">
        <v>2923</v>
      </c>
      <c r="F1950" s="150" t="s">
        <v>6969</v>
      </c>
      <c r="G1950" s="143" t="s">
        <v>1881</v>
      </c>
      <c r="H1950" s="157" t="s">
        <v>16</v>
      </c>
      <c r="I1950" s="158" t="s">
        <v>377</v>
      </c>
      <c r="J1950" s="142" t="s">
        <v>403</v>
      </c>
      <c r="K1950" s="142" t="s">
        <v>6970</v>
      </c>
      <c r="L1950" s="142" t="s">
        <v>6983</v>
      </c>
      <c r="M1950" s="142" t="s">
        <v>6972</v>
      </c>
      <c r="N1950" s="142" t="s">
        <v>6973</v>
      </c>
      <c r="O1950" s="163" t="s">
        <v>6984</v>
      </c>
      <c r="P1950" s="163" t="s">
        <v>6985</v>
      </c>
      <c r="Q1950" s="144" t="s">
        <v>6976</v>
      </c>
      <c r="R1950"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0" s="145" t="s">
        <v>6986</v>
      </c>
      <c r="T1950" s="57">
        <v>0</v>
      </c>
      <c r="U1950" s="46" t="s">
        <v>6978</v>
      </c>
      <c r="V1950" s="93" t="str">
        <f>+Agencia[[#This Row],[idcoleccion]]&amp;"-"&amp;Agencia[[#This Row],[id]]</f>
        <v>990-1939</v>
      </c>
      <c r="W1950" s="141">
        <v>26200010</v>
      </c>
      <c r="X1950" s="141" t="s">
        <v>6979</v>
      </c>
      <c r="Y1950" s="141" t="s">
        <v>6980</v>
      </c>
      <c r="Z1950" s="141" t="s">
        <v>6981</v>
      </c>
      <c r="AA1950" s="141" t="s">
        <v>6982</v>
      </c>
    </row>
    <row r="1951" spans="1:27" ht="71.400000000000006" x14ac:dyDescent="0.3">
      <c r="A1951" s="21" t="s">
        <v>5080</v>
      </c>
      <c r="B1951" s="142">
        <f t="shared" ref="B1951:B2002" si="435">+B1950</f>
        <v>990</v>
      </c>
      <c r="C1951" s="143" t="str">
        <f t="shared" ref="C1951:C2002" si="436">+C1950</f>
        <v>Agencia Información</v>
      </c>
      <c r="D1951" s="143" t="str">
        <f t="shared" ref="D1951:D2002" si="437">+D1950</f>
        <v>Medio Ambiente</v>
      </c>
      <c r="E1951" s="133">
        <v>2923</v>
      </c>
      <c r="F1951" s="150" t="s">
        <v>6969</v>
      </c>
      <c r="G1951" s="143" t="s">
        <v>1881</v>
      </c>
      <c r="H1951" s="157" t="s">
        <v>16</v>
      </c>
      <c r="I1951" s="158" t="s">
        <v>377</v>
      </c>
      <c r="J1951" s="142" t="s">
        <v>403</v>
      </c>
      <c r="K1951" s="142" t="s">
        <v>6970</v>
      </c>
      <c r="L1951" s="142" t="s">
        <v>6987</v>
      </c>
      <c r="M1951" s="142" t="s">
        <v>6972</v>
      </c>
      <c r="N1951" s="142" t="s">
        <v>6973</v>
      </c>
      <c r="O1951" s="163" t="s">
        <v>6988</v>
      </c>
      <c r="P1951" s="163" t="s">
        <v>6989</v>
      </c>
      <c r="Q1951" s="144" t="s">
        <v>6976</v>
      </c>
      <c r="R1951"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1" s="145" t="s">
        <v>6990</v>
      </c>
      <c r="T1951" s="57">
        <v>0</v>
      </c>
      <c r="U1951" s="46" t="s">
        <v>6978</v>
      </c>
      <c r="V1951" s="93" t="str">
        <f>+Agencia[[#This Row],[idcoleccion]]&amp;"-"&amp;Agencia[[#This Row],[id]]</f>
        <v>990-1940</v>
      </c>
      <c r="W1951" s="141">
        <v>26200010</v>
      </c>
      <c r="X1951" s="141" t="s">
        <v>6979</v>
      </c>
      <c r="Y1951" s="141" t="s">
        <v>6980</v>
      </c>
      <c r="Z1951" s="141" t="s">
        <v>6981</v>
      </c>
      <c r="AA1951" s="141" t="s">
        <v>6982</v>
      </c>
    </row>
    <row r="1952" spans="1:27" ht="71.400000000000006" x14ac:dyDescent="0.3">
      <c r="A1952" s="21" t="s">
        <v>5081</v>
      </c>
      <c r="B1952" s="142">
        <f t="shared" si="435"/>
        <v>990</v>
      </c>
      <c r="C1952" s="143" t="str">
        <f t="shared" si="436"/>
        <v>Agencia Información</v>
      </c>
      <c r="D1952" s="143" t="str">
        <f t="shared" si="437"/>
        <v>Medio Ambiente</v>
      </c>
      <c r="E1952" s="133">
        <v>2923</v>
      </c>
      <c r="F1952" s="150" t="s">
        <v>6969</v>
      </c>
      <c r="G1952" s="143" t="s">
        <v>1881</v>
      </c>
      <c r="H1952" s="157" t="s">
        <v>16</v>
      </c>
      <c r="I1952" s="158" t="s">
        <v>377</v>
      </c>
      <c r="J1952" s="142" t="s">
        <v>403</v>
      </c>
      <c r="K1952" s="142" t="s">
        <v>6970</v>
      </c>
      <c r="L1952" s="142" t="s">
        <v>6991</v>
      </c>
      <c r="M1952" s="142" t="s">
        <v>6972</v>
      </c>
      <c r="N1952" s="142" t="s">
        <v>6973</v>
      </c>
      <c r="O1952" s="163" t="s">
        <v>6992</v>
      </c>
      <c r="P1952" s="163" t="s">
        <v>6993</v>
      </c>
      <c r="Q1952" s="144" t="s">
        <v>6976</v>
      </c>
      <c r="R1952"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2" s="145" t="s">
        <v>6994</v>
      </c>
      <c r="T1952" s="57">
        <v>0</v>
      </c>
      <c r="U1952" s="46" t="s">
        <v>6978</v>
      </c>
      <c r="V1952" s="93" t="str">
        <f>+Agencia[[#This Row],[idcoleccion]]&amp;"-"&amp;Agencia[[#This Row],[id]]</f>
        <v>990-1941</v>
      </c>
      <c r="W1952" s="141">
        <v>26200010</v>
      </c>
      <c r="X1952" s="141" t="s">
        <v>6979</v>
      </c>
      <c r="Y1952" s="141" t="s">
        <v>6980</v>
      </c>
      <c r="Z1952" s="141" t="s">
        <v>6981</v>
      </c>
      <c r="AA1952" s="141" t="s">
        <v>6982</v>
      </c>
    </row>
    <row r="1953" spans="1:27" ht="81.599999999999994" x14ac:dyDescent="0.3">
      <c r="A1953" s="21" t="s">
        <v>5082</v>
      </c>
      <c r="B1953" s="142">
        <f t="shared" si="435"/>
        <v>990</v>
      </c>
      <c r="C1953" s="143" t="str">
        <f t="shared" si="436"/>
        <v>Agencia Información</v>
      </c>
      <c r="D1953" s="143" t="str">
        <f t="shared" si="437"/>
        <v>Medio Ambiente</v>
      </c>
      <c r="E1953" s="133">
        <v>2923</v>
      </c>
      <c r="F1953" s="150" t="s">
        <v>7009</v>
      </c>
      <c r="G1953" s="143" t="s">
        <v>1881</v>
      </c>
      <c r="H1953" s="157" t="s">
        <v>16</v>
      </c>
      <c r="I1953" s="158" t="s">
        <v>377</v>
      </c>
      <c r="J1953" s="142" t="s">
        <v>403</v>
      </c>
      <c r="K1953" s="142" t="s">
        <v>6970</v>
      </c>
      <c r="L1953" s="142" t="s">
        <v>6971</v>
      </c>
      <c r="M1953" s="142" t="s">
        <v>6972</v>
      </c>
      <c r="N1953" s="142" t="s">
        <v>6973</v>
      </c>
      <c r="O1953" s="163" t="s">
        <v>6974</v>
      </c>
      <c r="P1953" s="163" t="s">
        <v>6995</v>
      </c>
      <c r="Q1953" s="144" t="s">
        <v>6976</v>
      </c>
      <c r="R1953"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53" s="145" t="s">
        <v>6996</v>
      </c>
      <c r="T1953" s="57">
        <v>0</v>
      </c>
      <c r="U1953" s="46" t="s">
        <v>6978</v>
      </c>
      <c r="V1953" s="93" t="str">
        <f>+Agencia[[#This Row],[idcoleccion]]&amp;"-"&amp;Agencia[[#This Row],[id]]</f>
        <v>990-1942</v>
      </c>
      <c r="W1953" s="141">
        <v>26200010</v>
      </c>
      <c r="X1953" s="141" t="s">
        <v>6979</v>
      </c>
      <c r="Y1953" s="141" t="s">
        <v>6980</v>
      </c>
      <c r="Z1953" s="141" t="s">
        <v>6981</v>
      </c>
      <c r="AA1953" s="141" t="s">
        <v>6982</v>
      </c>
    </row>
    <row r="1954" spans="1:27" ht="81.599999999999994" x14ac:dyDescent="0.3">
      <c r="A1954" s="21" t="s">
        <v>5083</v>
      </c>
      <c r="B1954" s="142">
        <f t="shared" si="435"/>
        <v>990</v>
      </c>
      <c r="C1954" s="143" t="str">
        <f t="shared" si="436"/>
        <v>Agencia Información</v>
      </c>
      <c r="D1954" s="143" t="str">
        <f t="shared" si="437"/>
        <v>Medio Ambiente</v>
      </c>
      <c r="E1954" s="133">
        <v>2923</v>
      </c>
      <c r="F1954" s="150" t="s">
        <v>7009</v>
      </c>
      <c r="G1954" s="143" t="s">
        <v>1881</v>
      </c>
      <c r="H1954" s="157" t="s">
        <v>16</v>
      </c>
      <c r="I1954" s="158" t="s">
        <v>377</v>
      </c>
      <c r="J1954" s="142" t="s">
        <v>403</v>
      </c>
      <c r="K1954" s="142" t="s">
        <v>6970</v>
      </c>
      <c r="L1954" s="142" t="s">
        <v>6983</v>
      </c>
      <c r="M1954" s="142" t="s">
        <v>6972</v>
      </c>
      <c r="N1954" s="142" t="s">
        <v>6973</v>
      </c>
      <c r="O1954" s="163" t="s">
        <v>6984</v>
      </c>
      <c r="P1954" s="163" t="s">
        <v>6997</v>
      </c>
      <c r="Q1954" s="144" t="s">
        <v>6976</v>
      </c>
      <c r="R1954"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54" s="145" t="s">
        <v>6998</v>
      </c>
      <c r="T1954" s="57">
        <v>0</v>
      </c>
      <c r="U1954" s="46" t="s">
        <v>6978</v>
      </c>
      <c r="V1954" s="93" t="str">
        <f>+Agencia[[#This Row],[idcoleccion]]&amp;"-"&amp;Agencia[[#This Row],[id]]</f>
        <v>990-1943</v>
      </c>
      <c r="W1954" s="141">
        <v>26200010</v>
      </c>
      <c r="X1954" s="141" t="s">
        <v>6979</v>
      </c>
      <c r="Y1954" s="141" t="s">
        <v>6980</v>
      </c>
      <c r="Z1954" s="141" t="s">
        <v>6981</v>
      </c>
      <c r="AA1954" s="141" t="s">
        <v>6982</v>
      </c>
    </row>
    <row r="1955" spans="1:27" ht="71.400000000000006" x14ac:dyDescent="0.3">
      <c r="A1955" s="21" t="s">
        <v>5084</v>
      </c>
      <c r="B1955" s="142">
        <f t="shared" si="435"/>
        <v>990</v>
      </c>
      <c r="C1955" s="143" t="str">
        <f t="shared" si="436"/>
        <v>Agencia Información</v>
      </c>
      <c r="D1955" s="143" t="str">
        <f t="shared" si="437"/>
        <v>Medio Ambiente</v>
      </c>
      <c r="E1955" s="133">
        <v>2923</v>
      </c>
      <c r="F1955" s="150" t="s">
        <v>7009</v>
      </c>
      <c r="G1955" s="143" t="s">
        <v>1881</v>
      </c>
      <c r="H1955" s="157" t="s">
        <v>16</v>
      </c>
      <c r="I1955" s="158" t="s">
        <v>377</v>
      </c>
      <c r="J1955" s="142" t="s">
        <v>403</v>
      </c>
      <c r="K1955" s="142" t="s">
        <v>6970</v>
      </c>
      <c r="L1955" s="142" t="s">
        <v>6987</v>
      </c>
      <c r="M1955" s="142" t="s">
        <v>6972</v>
      </c>
      <c r="N1955" s="142" t="s">
        <v>6973</v>
      </c>
      <c r="O1955" s="163" t="s">
        <v>6988</v>
      </c>
      <c r="P1955" s="163" t="s">
        <v>6999</v>
      </c>
      <c r="Q1955" s="144" t="s">
        <v>6976</v>
      </c>
      <c r="R1955"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55" s="145" t="s">
        <v>7000</v>
      </c>
      <c r="T1955" s="57">
        <v>0</v>
      </c>
      <c r="U1955" s="46" t="s">
        <v>6978</v>
      </c>
      <c r="V1955" s="93" t="str">
        <f>+Agencia[[#This Row],[idcoleccion]]&amp;"-"&amp;Agencia[[#This Row],[id]]</f>
        <v>990-1944</v>
      </c>
      <c r="W1955" s="141">
        <v>26200010</v>
      </c>
      <c r="X1955" s="141" t="s">
        <v>6979</v>
      </c>
      <c r="Y1955" s="141" t="s">
        <v>6980</v>
      </c>
      <c r="Z1955" s="141" t="s">
        <v>6981</v>
      </c>
      <c r="AA1955" s="141" t="s">
        <v>6982</v>
      </c>
    </row>
    <row r="1956" spans="1:27" ht="71.400000000000006" x14ac:dyDescent="0.3">
      <c r="A1956" s="21" t="s">
        <v>5085</v>
      </c>
      <c r="B1956" s="142">
        <f t="shared" si="435"/>
        <v>990</v>
      </c>
      <c r="C1956" s="143" t="str">
        <f t="shared" si="436"/>
        <v>Agencia Información</v>
      </c>
      <c r="D1956" s="143" t="str">
        <f t="shared" si="437"/>
        <v>Medio Ambiente</v>
      </c>
      <c r="E1956" s="133">
        <v>2923</v>
      </c>
      <c r="F1956" s="150" t="s">
        <v>7001</v>
      </c>
      <c r="G1956" s="143" t="s">
        <v>1881</v>
      </c>
      <c r="H1956" s="157" t="s">
        <v>16</v>
      </c>
      <c r="I1956" s="158" t="s">
        <v>377</v>
      </c>
      <c r="J1956" s="142" t="s">
        <v>7002</v>
      </c>
      <c r="K1956" s="142" t="s">
        <v>6970</v>
      </c>
      <c r="L1956" s="156" t="s">
        <v>7003</v>
      </c>
      <c r="M1956" s="142" t="s">
        <v>6972</v>
      </c>
      <c r="N1956" s="142" t="s">
        <v>6973</v>
      </c>
      <c r="O1956" s="155" t="s">
        <v>7004</v>
      </c>
      <c r="P1956" s="155" t="s">
        <v>7005</v>
      </c>
      <c r="Q1956" s="144" t="s">
        <v>590</v>
      </c>
      <c r="R1956"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Glaciares,Glaciares</v>
      </c>
      <c r="S1956" s="145" t="s">
        <v>7006</v>
      </c>
      <c r="T1956" s="57">
        <v>0</v>
      </c>
      <c r="U1956" s="46" t="s">
        <v>6978</v>
      </c>
      <c r="V1956" s="93" t="str">
        <f>+Agencia[[#This Row],[idcoleccion]]&amp;"-"&amp;Agencia[[#This Row],[id]]</f>
        <v>990-1945</v>
      </c>
      <c r="W1956" s="141">
        <v>26200010</v>
      </c>
      <c r="X1956" s="141" t="s">
        <v>6979</v>
      </c>
      <c r="Y1956" s="141" t="s">
        <v>7007</v>
      </c>
      <c r="Z1956" s="141" t="s">
        <v>7008</v>
      </c>
      <c r="AA1956" s="141" t="s">
        <v>6982</v>
      </c>
    </row>
    <row r="1957" spans="1:27" ht="71.400000000000006" x14ac:dyDescent="0.3">
      <c r="A1957" s="21" t="s">
        <v>5086</v>
      </c>
      <c r="B1957" s="142">
        <f t="shared" si="435"/>
        <v>990</v>
      </c>
      <c r="C1957" s="143" t="str">
        <f t="shared" si="436"/>
        <v>Agencia Información</v>
      </c>
      <c r="D1957" s="143" t="str">
        <f t="shared" si="437"/>
        <v>Medio Ambiente</v>
      </c>
      <c r="E1957" s="133">
        <v>2923</v>
      </c>
      <c r="F1957" s="103" t="s">
        <v>6969</v>
      </c>
      <c r="G1957" s="143" t="s">
        <v>1881</v>
      </c>
      <c r="H1957" s="157" t="s">
        <v>16</v>
      </c>
      <c r="I1957" s="158" t="s">
        <v>377</v>
      </c>
      <c r="J1957" s="142" t="s">
        <v>403</v>
      </c>
      <c r="K1957" s="142" t="s">
        <v>6970</v>
      </c>
      <c r="L1957" s="142" t="s">
        <v>6971</v>
      </c>
      <c r="M1957" s="142" t="s">
        <v>6972</v>
      </c>
      <c r="N1957" s="142" t="s">
        <v>6973</v>
      </c>
      <c r="O1957" s="154" t="s">
        <v>7010</v>
      </c>
      <c r="P1957" s="154" t="s">
        <v>6975</v>
      </c>
      <c r="Q1957" s="144" t="s">
        <v>7011</v>
      </c>
      <c r="R1957"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7" s="132" t="s">
        <v>7248</v>
      </c>
      <c r="T1957" s="57">
        <v>0</v>
      </c>
      <c r="U1957" s="46" t="s">
        <v>6978</v>
      </c>
      <c r="V1957" s="93" t="str">
        <f>+Agencia[[#This Row],[idcoleccion]]&amp;"-"&amp;Agencia[[#This Row],[id]]</f>
        <v>990-1946</v>
      </c>
      <c r="W1957" s="141">
        <v>26200010</v>
      </c>
      <c r="X1957" s="141" t="s">
        <v>6979</v>
      </c>
      <c r="Y1957" s="141" t="s">
        <v>7012</v>
      </c>
      <c r="Z1957" s="141" t="s">
        <v>6981</v>
      </c>
      <c r="AA1957" s="141" t="s">
        <v>6982</v>
      </c>
    </row>
    <row r="1958" spans="1:27" ht="71.400000000000006" x14ac:dyDescent="0.3">
      <c r="A1958" s="21" t="s">
        <v>5087</v>
      </c>
      <c r="B1958" s="142">
        <f t="shared" si="435"/>
        <v>990</v>
      </c>
      <c r="C1958" s="143" t="str">
        <f t="shared" si="436"/>
        <v>Agencia Información</v>
      </c>
      <c r="D1958" s="143" t="str">
        <f t="shared" si="437"/>
        <v>Medio Ambiente</v>
      </c>
      <c r="E1958" s="133">
        <v>2923</v>
      </c>
      <c r="F1958" s="103" t="s">
        <v>6969</v>
      </c>
      <c r="G1958" s="143" t="s">
        <v>1881</v>
      </c>
      <c r="H1958" s="157" t="s">
        <v>16</v>
      </c>
      <c r="I1958" s="158" t="s">
        <v>377</v>
      </c>
      <c r="J1958" s="142" t="s">
        <v>403</v>
      </c>
      <c r="K1958" s="142" t="s">
        <v>6970</v>
      </c>
      <c r="L1958" s="142" t="s">
        <v>6983</v>
      </c>
      <c r="M1958" s="142" t="s">
        <v>6972</v>
      </c>
      <c r="N1958" s="142" t="s">
        <v>6973</v>
      </c>
      <c r="O1958" s="154" t="s">
        <v>7013</v>
      </c>
      <c r="P1958" s="154" t="s">
        <v>6985</v>
      </c>
      <c r="Q1958" s="144" t="s">
        <v>7011</v>
      </c>
      <c r="R1958"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8" s="132" t="s">
        <v>7249</v>
      </c>
      <c r="T1958" s="57">
        <v>0</v>
      </c>
      <c r="U1958" s="46" t="s">
        <v>6978</v>
      </c>
      <c r="V1958" s="93" t="str">
        <f>+Agencia[[#This Row],[idcoleccion]]&amp;"-"&amp;Agencia[[#This Row],[id]]</f>
        <v>990-1947</v>
      </c>
      <c r="W1958" s="141">
        <v>26200010</v>
      </c>
      <c r="X1958" s="141" t="s">
        <v>6979</v>
      </c>
      <c r="Y1958" s="141" t="s">
        <v>7012</v>
      </c>
      <c r="Z1958" s="141" t="s">
        <v>6981</v>
      </c>
      <c r="AA1958" s="141" t="s">
        <v>6982</v>
      </c>
    </row>
    <row r="1959" spans="1:27" ht="71.400000000000006" x14ac:dyDescent="0.3">
      <c r="A1959" s="21" t="s">
        <v>5088</v>
      </c>
      <c r="B1959" s="142">
        <f t="shared" si="435"/>
        <v>990</v>
      </c>
      <c r="C1959" s="143" t="str">
        <f t="shared" si="436"/>
        <v>Agencia Información</v>
      </c>
      <c r="D1959" s="143" t="str">
        <f t="shared" si="437"/>
        <v>Medio Ambiente</v>
      </c>
      <c r="E1959" s="133">
        <v>2923</v>
      </c>
      <c r="F1959" s="103" t="s">
        <v>6969</v>
      </c>
      <c r="G1959" s="143" t="s">
        <v>1881</v>
      </c>
      <c r="H1959" s="157" t="s">
        <v>16</v>
      </c>
      <c r="I1959" s="158" t="s">
        <v>377</v>
      </c>
      <c r="J1959" s="142" t="s">
        <v>403</v>
      </c>
      <c r="K1959" s="142" t="s">
        <v>6970</v>
      </c>
      <c r="L1959" s="142" t="s">
        <v>6987</v>
      </c>
      <c r="M1959" s="142" t="s">
        <v>6972</v>
      </c>
      <c r="N1959" s="142" t="s">
        <v>6973</v>
      </c>
      <c r="O1959" s="154" t="s">
        <v>7014</v>
      </c>
      <c r="P1959" s="154" t="s">
        <v>6989</v>
      </c>
      <c r="Q1959" s="144" t="s">
        <v>7011</v>
      </c>
      <c r="R1959"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59" s="132" t="s">
        <v>7250</v>
      </c>
      <c r="T1959" s="57">
        <v>0</v>
      </c>
      <c r="U1959" s="46" t="s">
        <v>6978</v>
      </c>
      <c r="V1959" s="93" t="str">
        <f>+Agencia[[#This Row],[idcoleccion]]&amp;"-"&amp;Agencia[[#This Row],[id]]</f>
        <v>990-1948</v>
      </c>
      <c r="W1959" s="141">
        <v>26200010</v>
      </c>
      <c r="X1959" s="141" t="s">
        <v>6979</v>
      </c>
      <c r="Y1959" s="141" t="s">
        <v>7012</v>
      </c>
      <c r="Z1959" s="141" t="s">
        <v>6981</v>
      </c>
      <c r="AA1959" s="141" t="s">
        <v>6982</v>
      </c>
    </row>
    <row r="1960" spans="1:27" ht="71.400000000000006" x14ac:dyDescent="0.3">
      <c r="A1960" s="21" t="s">
        <v>5089</v>
      </c>
      <c r="B1960" s="142">
        <f t="shared" si="435"/>
        <v>990</v>
      </c>
      <c r="C1960" s="143" t="str">
        <f t="shared" si="436"/>
        <v>Agencia Información</v>
      </c>
      <c r="D1960" s="143" t="str">
        <f t="shared" si="437"/>
        <v>Medio Ambiente</v>
      </c>
      <c r="E1960" s="133">
        <v>2923</v>
      </c>
      <c r="F1960" s="103" t="s">
        <v>6969</v>
      </c>
      <c r="G1960" s="143" t="s">
        <v>1881</v>
      </c>
      <c r="H1960" s="157" t="s">
        <v>16</v>
      </c>
      <c r="I1960" s="158" t="s">
        <v>377</v>
      </c>
      <c r="J1960" s="142" t="s">
        <v>403</v>
      </c>
      <c r="K1960" s="142" t="s">
        <v>6970</v>
      </c>
      <c r="L1960" s="142" t="s">
        <v>6991</v>
      </c>
      <c r="M1960" s="142" t="s">
        <v>6972</v>
      </c>
      <c r="N1960" s="142" t="s">
        <v>6973</v>
      </c>
      <c r="O1960" s="154" t="s">
        <v>7015</v>
      </c>
      <c r="P1960" s="154" t="s">
        <v>6993</v>
      </c>
      <c r="Q1960" s="144" t="s">
        <v>7011</v>
      </c>
      <c r="R1960"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seca (Ene-Abr),Glaciares</v>
      </c>
      <c r="S1960" s="132" t="s">
        <v>7251</v>
      </c>
      <c r="T1960" s="57">
        <v>0</v>
      </c>
      <c r="U1960" s="46" t="s">
        <v>6978</v>
      </c>
      <c r="V1960" s="93" t="str">
        <f>+Agencia[[#This Row],[idcoleccion]]&amp;"-"&amp;Agencia[[#This Row],[id]]</f>
        <v>990-1949</v>
      </c>
      <c r="W1960" s="141">
        <v>26200010</v>
      </c>
      <c r="X1960" s="141" t="s">
        <v>6979</v>
      </c>
      <c r="Y1960" s="141" t="s">
        <v>7012</v>
      </c>
      <c r="Z1960" s="141" t="s">
        <v>6981</v>
      </c>
      <c r="AA1960" s="141" t="s">
        <v>6982</v>
      </c>
    </row>
    <row r="1961" spans="1:27" ht="81.599999999999994" x14ac:dyDescent="0.3">
      <c r="A1961" s="21" t="s">
        <v>5090</v>
      </c>
      <c r="B1961" s="142">
        <f t="shared" si="435"/>
        <v>990</v>
      </c>
      <c r="C1961" s="143" t="str">
        <f t="shared" si="436"/>
        <v>Agencia Información</v>
      </c>
      <c r="D1961" s="143" t="str">
        <f t="shared" si="437"/>
        <v>Medio Ambiente</v>
      </c>
      <c r="E1961" s="133">
        <v>2923</v>
      </c>
      <c r="F1961" s="150" t="s">
        <v>7009</v>
      </c>
      <c r="G1961" s="143" t="s">
        <v>1881</v>
      </c>
      <c r="H1961" s="157" t="s">
        <v>16</v>
      </c>
      <c r="I1961" s="158" t="s">
        <v>377</v>
      </c>
      <c r="J1961" s="142" t="s">
        <v>403</v>
      </c>
      <c r="K1961" s="142" t="s">
        <v>6970</v>
      </c>
      <c r="L1961" s="142" t="s">
        <v>6971</v>
      </c>
      <c r="M1961" s="142" t="s">
        <v>6972</v>
      </c>
      <c r="N1961" s="142" t="s">
        <v>6973</v>
      </c>
      <c r="O1961" s="154" t="s">
        <v>7010</v>
      </c>
      <c r="P1961" s="154" t="s">
        <v>6995</v>
      </c>
      <c r="Q1961" s="144" t="s">
        <v>7011</v>
      </c>
      <c r="R1961"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61" s="132" t="s">
        <v>7252</v>
      </c>
      <c r="T1961" s="57">
        <v>0</v>
      </c>
      <c r="U1961" s="46" t="s">
        <v>6978</v>
      </c>
      <c r="V1961" s="93" t="str">
        <f>+Agencia[[#This Row],[idcoleccion]]&amp;"-"&amp;Agencia[[#This Row],[id]]</f>
        <v>990-1950</v>
      </c>
      <c r="W1961" s="141">
        <v>26200010</v>
      </c>
      <c r="X1961" s="141" t="s">
        <v>6979</v>
      </c>
      <c r="Y1961" s="141" t="s">
        <v>7012</v>
      </c>
      <c r="Z1961" s="141" t="s">
        <v>6981</v>
      </c>
      <c r="AA1961" s="141" t="s">
        <v>6982</v>
      </c>
    </row>
    <row r="1962" spans="1:27" ht="81.599999999999994" x14ac:dyDescent="0.3">
      <c r="A1962" s="21" t="s">
        <v>5091</v>
      </c>
      <c r="B1962" s="142">
        <f t="shared" si="435"/>
        <v>990</v>
      </c>
      <c r="C1962" s="143" t="str">
        <f t="shared" si="436"/>
        <v>Agencia Información</v>
      </c>
      <c r="D1962" s="143" t="str">
        <f t="shared" si="437"/>
        <v>Medio Ambiente</v>
      </c>
      <c r="E1962" s="133">
        <v>2923</v>
      </c>
      <c r="F1962" s="150" t="s">
        <v>7009</v>
      </c>
      <c r="G1962" s="143" t="s">
        <v>1881</v>
      </c>
      <c r="H1962" s="157" t="s">
        <v>16</v>
      </c>
      <c r="I1962" s="158" t="s">
        <v>377</v>
      </c>
      <c r="J1962" s="142" t="s">
        <v>403</v>
      </c>
      <c r="K1962" s="142" t="s">
        <v>6970</v>
      </c>
      <c r="L1962" s="142" t="s">
        <v>6983</v>
      </c>
      <c r="M1962" s="142" t="s">
        <v>6972</v>
      </c>
      <c r="N1962" s="142" t="s">
        <v>6973</v>
      </c>
      <c r="O1962" s="154" t="s">
        <v>7013</v>
      </c>
      <c r="P1962" s="154" t="s">
        <v>6997</v>
      </c>
      <c r="Q1962" s="144" t="s">
        <v>7011</v>
      </c>
      <c r="R1962"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62" s="132" t="s">
        <v>7253</v>
      </c>
      <c r="T1962" s="57">
        <v>0</v>
      </c>
      <c r="U1962" s="46" t="s">
        <v>6978</v>
      </c>
      <c r="V1962" s="93" t="str">
        <f>+Agencia[[#This Row],[idcoleccion]]&amp;"-"&amp;Agencia[[#This Row],[id]]</f>
        <v>990-1951</v>
      </c>
      <c r="W1962" s="141">
        <v>26200010</v>
      </c>
      <c r="X1962" s="141" t="s">
        <v>6979</v>
      </c>
      <c r="Y1962" s="141" t="s">
        <v>7012</v>
      </c>
      <c r="Z1962" s="141" t="s">
        <v>6981</v>
      </c>
      <c r="AA1962" s="141" t="s">
        <v>6982</v>
      </c>
    </row>
    <row r="1963" spans="1:27" ht="71.400000000000006" x14ac:dyDescent="0.3">
      <c r="A1963" s="21" t="s">
        <v>5092</v>
      </c>
      <c r="B1963" s="142">
        <f t="shared" si="435"/>
        <v>990</v>
      </c>
      <c r="C1963" s="143" t="str">
        <f t="shared" si="436"/>
        <v>Agencia Información</v>
      </c>
      <c r="D1963" s="143" t="str">
        <f t="shared" si="437"/>
        <v>Medio Ambiente</v>
      </c>
      <c r="E1963" s="133">
        <v>2923</v>
      </c>
      <c r="F1963" s="150" t="s">
        <v>7009</v>
      </c>
      <c r="G1963" s="143" t="s">
        <v>1881</v>
      </c>
      <c r="H1963" s="157" t="s">
        <v>16</v>
      </c>
      <c r="I1963" s="158" t="s">
        <v>377</v>
      </c>
      <c r="J1963" s="142" t="s">
        <v>403</v>
      </c>
      <c r="K1963" s="142" t="s">
        <v>6970</v>
      </c>
      <c r="L1963" s="142" t="s">
        <v>6987</v>
      </c>
      <c r="M1963" s="142" t="s">
        <v>6972</v>
      </c>
      <c r="N1963" s="142" t="s">
        <v>6973</v>
      </c>
      <c r="O1963" s="154" t="s">
        <v>7014</v>
      </c>
      <c r="P1963" s="154" t="s">
        <v>6999</v>
      </c>
      <c r="Q1963" s="144" t="s">
        <v>7011</v>
      </c>
      <c r="R1963"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Ambiente,Dinámica de Cambio de Glaciares en temporada fria (May-Dic),Glaciares</v>
      </c>
      <c r="S1963" s="132" t="s">
        <v>7254</v>
      </c>
      <c r="T1963" s="57">
        <v>0</v>
      </c>
      <c r="U1963" s="46" t="s">
        <v>6978</v>
      </c>
      <c r="V1963" s="93" t="str">
        <f>+Agencia[[#This Row],[idcoleccion]]&amp;"-"&amp;Agencia[[#This Row],[id]]</f>
        <v>990-1952</v>
      </c>
      <c r="W1963" s="141">
        <v>26200010</v>
      </c>
      <c r="X1963" s="141" t="s">
        <v>6979</v>
      </c>
      <c r="Y1963" s="141" t="s">
        <v>7012</v>
      </c>
      <c r="Z1963" s="141" t="s">
        <v>6981</v>
      </c>
      <c r="AA1963" s="141" t="s">
        <v>6982</v>
      </c>
    </row>
    <row r="1964" spans="1:27" ht="91.8" x14ac:dyDescent="0.3">
      <c r="A1964" s="21" t="s">
        <v>5093</v>
      </c>
      <c r="B1964" s="142">
        <f t="shared" si="435"/>
        <v>990</v>
      </c>
      <c r="C1964" s="143" t="str">
        <f t="shared" si="436"/>
        <v>Agencia Información</v>
      </c>
      <c r="D1964" s="143" t="str">
        <f t="shared" si="437"/>
        <v>Medio Ambiente</v>
      </c>
      <c r="E1964" s="133">
        <v>2923</v>
      </c>
      <c r="F1964" s="150" t="s">
        <v>7016</v>
      </c>
      <c r="G1964" s="143" t="s">
        <v>1881</v>
      </c>
      <c r="H1964" s="157" t="s">
        <v>16</v>
      </c>
      <c r="I1964" s="158" t="s">
        <v>377</v>
      </c>
      <c r="J1964" s="142" t="s">
        <v>403</v>
      </c>
      <c r="K1964" s="142" t="s">
        <v>6970</v>
      </c>
      <c r="L1964" s="142" t="s">
        <v>7003</v>
      </c>
      <c r="M1964" s="142" t="s">
        <v>6972</v>
      </c>
      <c r="N1964" s="142" t="s">
        <v>6973</v>
      </c>
      <c r="O1964" s="162" t="s">
        <v>7017</v>
      </c>
      <c r="P1964" s="162" t="s">
        <v>7018</v>
      </c>
      <c r="Q1964" s="144" t="s">
        <v>6976</v>
      </c>
      <c r="R1964"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Ambiente,Superficie de Glaciares,Glaciares</v>
      </c>
      <c r="S1964" s="145" t="s">
        <v>7019</v>
      </c>
      <c r="T1964" s="57">
        <v>0</v>
      </c>
      <c r="U1964" s="46" t="s">
        <v>6978</v>
      </c>
      <c r="V1964" s="93" t="str">
        <f>+Agencia[[#This Row],[idcoleccion]]&amp;"-"&amp;Agencia[[#This Row],[id]]</f>
        <v>990-1953</v>
      </c>
      <c r="W1964" s="141">
        <v>26200010</v>
      </c>
      <c r="X1964" s="141" t="s">
        <v>7020</v>
      </c>
      <c r="Y1964" s="141" t="s">
        <v>7021</v>
      </c>
      <c r="Z1964" s="141" t="s">
        <v>6981</v>
      </c>
      <c r="AA1964" s="141" t="s">
        <v>6982</v>
      </c>
    </row>
    <row r="1965" spans="1:27" ht="61.2" x14ac:dyDescent="0.3">
      <c r="A1965" s="21" t="s">
        <v>5094</v>
      </c>
      <c r="B1965" s="142">
        <f t="shared" si="435"/>
        <v>990</v>
      </c>
      <c r="C1965" s="143" t="str">
        <f t="shared" si="436"/>
        <v>Agencia Información</v>
      </c>
      <c r="D1965" s="143" t="str">
        <f t="shared" si="437"/>
        <v>Medio Ambiente</v>
      </c>
      <c r="E1965" s="133">
        <v>2923</v>
      </c>
      <c r="F1965" s="150" t="s">
        <v>7016</v>
      </c>
      <c r="G1965" s="143" t="s">
        <v>1881</v>
      </c>
      <c r="H1965" s="157" t="s">
        <v>16</v>
      </c>
      <c r="I1965" s="158" t="s">
        <v>377</v>
      </c>
      <c r="J1965" s="142" t="s">
        <v>7002</v>
      </c>
      <c r="K1965" s="142" t="s">
        <v>6970</v>
      </c>
      <c r="L1965" s="142" t="s">
        <v>7003</v>
      </c>
      <c r="M1965" s="142" t="s">
        <v>6972</v>
      </c>
      <c r="N1965" s="142" t="s">
        <v>6973</v>
      </c>
      <c r="O1965" s="159" t="s">
        <v>7022</v>
      </c>
      <c r="P1965" s="159" t="s">
        <v>7023</v>
      </c>
      <c r="Q1965" s="144" t="s">
        <v>590</v>
      </c>
      <c r="R1965"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Ambiente,Superficie de Glaciares,Glaciares</v>
      </c>
      <c r="S1965" s="145" t="s">
        <v>7024</v>
      </c>
      <c r="T1965" s="57">
        <v>0</v>
      </c>
      <c r="U1965" s="46" t="s">
        <v>6978</v>
      </c>
      <c r="V1965" s="93" t="str">
        <f>+Agencia[[#This Row],[idcoleccion]]&amp;"-"&amp;Agencia[[#This Row],[id]]</f>
        <v>990-1954</v>
      </c>
      <c r="W1965" s="141">
        <v>26200010</v>
      </c>
      <c r="X1965" s="141" t="s">
        <v>7020</v>
      </c>
      <c r="Y1965" s="141" t="s">
        <v>7021</v>
      </c>
      <c r="Z1965" s="141" t="s">
        <v>7008</v>
      </c>
      <c r="AA1965" s="141" t="s">
        <v>6982</v>
      </c>
    </row>
    <row r="1966" spans="1:27" ht="91.8" x14ac:dyDescent="0.3">
      <c r="A1966" s="21" t="s">
        <v>5095</v>
      </c>
      <c r="B1966" s="142">
        <f t="shared" si="435"/>
        <v>990</v>
      </c>
      <c r="C1966" s="143" t="str">
        <f t="shared" si="436"/>
        <v>Agencia Información</v>
      </c>
      <c r="D1966" s="143" t="str">
        <f t="shared" si="437"/>
        <v>Medio Ambiente</v>
      </c>
      <c r="E1966" s="133">
        <v>2923</v>
      </c>
      <c r="F1966" s="150" t="s">
        <v>7016</v>
      </c>
      <c r="G1966" s="143" t="s">
        <v>1881</v>
      </c>
      <c r="H1966" s="157" t="s">
        <v>16</v>
      </c>
      <c r="I1966" s="158" t="s">
        <v>377</v>
      </c>
      <c r="J1966" s="142" t="s">
        <v>403</v>
      </c>
      <c r="K1966" s="142" t="s">
        <v>6970</v>
      </c>
      <c r="L1966" s="142" t="s">
        <v>7003</v>
      </c>
      <c r="M1966" s="142" t="s">
        <v>6972</v>
      </c>
      <c r="N1966" s="142" t="s">
        <v>6973</v>
      </c>
      <c r="O1966" s="162" t="s">
        <v>7025</v>
      </c>
      <c r="P1966" s="162" t="s">
        <v>7018</v>
      </c>
      <c r="Q1966" s="144" t="s">
        <v>7011</v>
      </c>
      <c r="R1966" s="148" t="str">
        <f>Agencia[[#This Row],[territorio]]&amp;",glaciar,nieve,SENTINEL,satelital,derretimiento,Cochamó,Hualaihué,dinámica,"&amp;Agencia[[#This Row],[coleccion]]&amp;","&amp;Agencia[[#This Row],[sector]]&amp;","&amp;Agencia[[#This Row],[tema]]&amp;","&amp;Agencia[[#This Row],[contenido]]</f>
        <v>Región de Los Lagos,glaciar,nieve,SENTINEL,satelital,derretimiento,Cochamó,Hualaihué,dinámica,Agencia Información,Medio Ambiente,Superficie de Glaciares,Glaciares</v>
      </c>
      <c r="S1966" s="145" t="s">
        <v>7026</v>
      </c>
      <c r="T1966" s="57">
        <v>0</v>
      </c>
      <c r="U1966" s="46" t="s">
        <v>6978</v>
      </c>
      <c r="V1966" s="93" t="str">
        <f>+Agencia[[#This Row],[idcoleccion]]&amp;"-"&amp;Agencia[[#This Row],[id]]</f>
        <v>990-1955</v>
      </c>
      <c r="W1966" s="141">
        <v>26200010</v>
      </c>
      <c r="X1966" s="141" t="s">
        <v>7020</v>
      </c>
      <c r="Y1966" s="141" t="s">
        <v>7021</v>
      </c>
      <c r="Z1966" s="141" t="s">
        <v>6981</v>
      </c>
      <c r="AA1966" s="141" t="s">
        <v>6982</v>
      </c>
    </row>
    <row r="1967" spans="1:27" ht="71.400000000000006" x14ac:dyDescent="0.3">
      <c r="A1967" s="21" t="s">
        <v>5096</v>
      </c>
      <c r="B1967" s="142">
        <f t="shared" si="435"/>
        <v>990</v>
      </c>
      <c r="C1967" s="143" t="str">
        <f t="shared" si="436"/>
        <v>Agencia Información</v>
      </c>
      <c r="D1967" s="143" t="str">
        <f t="shared" si="437"/>
        <v>Medio Ambiente</v>
      </c>
      <c r="E1967" s="160">
        <v>3074</v>
      </c>
      <c r="F1967" s="150" t="s">
        <v>6969</v>
      </c>
      <c r="G1967" s="143" t="s">
        <v>1881</v>
      </c>
      <c r="H1967" s="157" t="s">
        <v>16</v>
      </c>
      <c r="I1967" s="158" t="s">
        <v>377</v>
      </c>
      <c r="J1967" s="142" t="s">
        <v>403</v>
      </c>
      <c r="K1967" s="142" t="s">
        <v>7027</v>
      </c>
      <c r="L1967" s="142" t="s">
        <v>6971</v>
      </c>
      <c r="M1967" s="142" t="s">
        <v>6972</v>
      </c>
      <c r="N1967" s="142" t="s">
        <v>6973</v>
      </c>
      <c r="O1967" s="154" t="s">
        <v>7028</v>
      </c>
      <c r="P1967" s="163" t="s">
        <v>7029</v>
      </c>
      <c r="Q1967" s="144" t="s">
        <v>6976</v>
      </c>
      <c r="R1967" s="159"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67" s="145" t="s">
        <v>7030</v>
      </c>
      <c r="T1967" s="57">
        <v>0</v>
      </c>
      <c r="U1967" s="46" t="s">
        <v>6978</v>
      </c>
      <c r="V1967" s="93" t="str">
        <f>+Agencia[[#This Row],[idcoleccion]]&amp;"-"&amp;Agencia[[#This Row],[id]]</f>
        <v>990-1956</v>
      </c>
      <c r="W1967" s="141">
        <v>26200010</v>
      </c>
      <c r="X1967" s="141" t="s">
        <v>6979</v>
      </c>
      <c r="Y1967" s="141" t="s">
        <v>6980</v>
      </c>
      <c r="Z1967" s="141" t="s">
        <v>6981</v>
      </c>
      <c r="AA1967" s="141" t="s">
        <v>7031</v>
      </c>
    </row>
    <row r="1968" spans="1:27" ht="71.400000000000006" x14ac:dyDescent="0.3">
      <c r="A1968" s="21" t="s">
        <v>5097</v>
      </c>
      <c r="B1968" s="142">
        <f t="shared" si="435"/>
        <v>990</v>
      </c>
      <c r="C1968" s="143" t="str">
        <f t="shared" si="436"/>
        <v>Agencia Información</v>
      </c>
      <c r="D1968" s="143" t="str">
        <f t="shared" si="437"/>
        <v>Medio Ambiente</v>
      </c>
      <c r="E1968" s="133">
        <v>3074</v>
      </c>
      <c r="F1968" s="150" t="s">
        <v>6969</v>
      </c>
      <c r="G1968" s="143" t="s">
        <v>1881</v>
      </c>
      <c r="H1968" s="157" t="s">
        <v>16</v>
      </c>
      <c r="I1968" s="158" t="s">
        <v>377</v>
      </c>
      <c r="J1968" s="142" t="s">
        <v>403</v>
      </c>
      <c r="K1968" s="142" t="s">
        <v>7027</v>
      </c>
      <c r="L1968" s="142" t="s">
        <v>6983</v>
      </c>
      <c r="M1968" s="142" t="s">
        <v>6972</v>
      </c>
      <c r="N1968" s="142" t="s">
        <v>6973</v>
      </c>
      <c r="O1968" s="154" t="s">
        <v>7032</v>
      </c>
      <c r="P1968" s="163" t="s">
        <v>7033</v>
      </c>
      <c r="Q1968" s="144" t="s">
        <v>6976</v>
      </c>
      <c r="R1968"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68" s="145" t="s">
        <v>7034</v>
      </c>
      <c r="T1968" s="57">
        <v>0</v>
      </c>
      <c r="U1968" s="46" t="s">
        <v>6978</v>
      </c>
      <c r="V1968" s="93" t="str">
        <f>+Agencia[[#This Row],[idcoleccion]]&amp;"-"&amp;Agencia[[#This Row],[id]]</f>
        <v>990-1957</v>
      </c>
      <c r="W1968" s="141">
        <v>26200010</v>
      </c>
      <c r="X1968" s="141" t="s">
        <v>6979</v>
      </c>
      <c r="Y1968" s="141" t="s">
        <v>6980</v>
      </c>
      <c r="Z1968" s="141" t="s">
        <v>6981</v>
      </c>
      <c r="AA1968" s="141" t="s">
        <v>7031</v>
      </c>
    </row>
    <row r="1969" spans="1:27" ht="71.400000000000006" x14ac:dyDescent="0.3">
      <c r="A1969" s="21" t="s">
        <v>5098</v>
      </c>
      <c r="B1969" s="142">
        <f t="shared" si="435"/>
        <v>990</v>
      </c>
      <c r="C1969" s="143" t="str">
        <f t="shared" si="436"/>
        <v>Agencia Información</v>
      </c>
      <c r="D1969" s="143" t="str">
        <f t="shared" si="437"/>
        <v>Medio Ambiente</v>
      </c>
      <c r="E1969" s="133">
        <v>3074</v>
      </c>
      <c r="F1969" s="150" t="s">
        <v>6969</v>
      </c>
      <c r="G1969" s="143" t="s">
        <v>1881</v>
      </c>
      <c r="H1969" s="157" t="s">
        <v>16</v>
      </c>
      <c r="I1969" s="158" t="s">
        <v>377</v>
      </c>
      <c r="J1969" s="142" t="s">
        <v>403</v>
      </c>
      <c r="K1969" s="142" t="s">
        <v>7027</v>
      </c>
      <c r="L1969" s="142" t="s">
        <v>6987</v>
      </c>
      <c r="M1969" s="142" t="s">
        <v>6972</v>
      </c>
      <c r="N1969" s="142" t="s">
        <v>6973</v>
      </c>
      <c r="O1969" s="154" t="s">
        <v>7035</v>
      </c>
      <c r="P1969" s="163" t="s">
        <v>7036</v>
      </c>
      <c r="Q1969" s="144" t="s">
        <v>6976</v>
      </c>
      <c r="R1969"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69" s="145" t="s">
        <v>7037</v>
      </c>
      <c r="T1969" s="57">
        <v>0</v>
      </c>
      <c r="U1969" s="46" t="s">
        <v>6978</v>
      </c>
      <c r="V1969" s="93" t="str">
        <f>+Agencia[[#This Row],[idcoleccion]]&amp;"-"&amp;Agencia[[#This Row],[id]]</f>
        <v>990-1958</v>
      </c>
      <c r="W1969" s="141">
        <v>26200010</v>
      </c>
      <c r="X1969" s="141" t="s">
        <v>6979</v>
      </c>
      <c r="Y1969" s="141" t="s">
        <v>6980</v>
      </c>
      <c r="Z1969" s="141" t="s">
        <v>6981</v>
      </c>
      <c r="AA1969" s="141" t="s">
        <v>7031</v>
      </c>
    </row>
    <row r="1970" spans="1:27" ht="71.400000000000006" x14ac:dyDescent="0.3">
      <c r="A1970" s="21" t="s">
        <v>5099</v>
      </c>
      <c r="B1970" s="142">
        <f t="shared" si="435"/>
        <v>990</v>
      </c>
      <c r="C1970" s="143" t="str">
        <f t="shared" si="436"/>
        <v>Agencia Información</v>
      </c>
      <c r="D1970" s="143" t="str">
        <f t="shared" si="437"/>
        <v>Medio Ambiente</v>
      </c>
      <c r="E1970" s="133">
        <v>3074</v>
      </c>
      <c r="F1970" s="150" t="s">
        <v>6969</v>
      </c>
      <c r="G1970" s="143" t="s">
        <v>1881</v>
      </c>
      <c r="H1970" s="157" t="s">
        <v>16</v>
      </c>
      <c r="I1970" s="158" t="s">
        <v>377</v>
      </c>
      <c r="J1970" s="142" t="s">
        <v>403</v>
      </c>
      <c r="K1970" s="142" t="s">
        <v>7027</v>
      </c>
      <c r="L1970" s="142" t="s">
        <v>6991</v>
      </c>
      <c r="M1970" s="142" t="s">
        <v>6972</v>
      </c>
      <c r="N1970" s="142" t="s">
        <v>6973</v>
      </c>
      <c r="O1970" s="154" t="s">
        <v>7038</v>
      </c>
      <c r="P1970" s="163" t="s">
        <v>7039</v>
      </c>
      <c r="Q1970" s="144" t="s">
        <v>6976</v>
      </c>
      <c r="R1970"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0" s="145" t="s">
        <v>7040</v>
      </c>
      <c r="T1970" s="57">
        <v>0</v>
      </c>
      <c r="U1970" s="46" t="s">
        <v>6978</v>
      </c>
      <c r="V1970" s="93" t="str">
        <f>+Agencia[[#This Row],[idcoleccion]]&amp;"-"&amp;Agencia[[#This Row],[id]]</f>
        <v>990-1959</v>
      </c>
      <c r="W1970" s="141">
        <v>26200010</v>
      </c>
      <c r="X1970" s="141" t="s">
        <v>6979</v>
      </c>
      <c r="Y1970" s="141" t="s">
        <v>6980</v>
      </c>
      <c r="Z1970" s="141" t="s">
        <v>6981</v>
      </c>
      <c r="AA1970" s="141" t="s">
        <v>7031</v>
      </c>
    </row>
    <row r="1971" spans="1:27" ht="71.400000000000006" x14ac:dyDescent="0.3">
      <c r="A1971" s="21" t="s">
        <v>5100</v>
      </c>
      <c r="B1971" s="142">
        <f t="shared" si="435"/>
        <v>990</v>
      </c>
      <c r="C1971" s="143" t="str">
        <f t="shared" si="436"/>
        <v>Agencia Información</v>
      </c>
      <c r="D1971" s="143" t="str">
        <f t="shared" si="437"/>
        <v>Medio Ambiente</v>
      </c>
      <c r="E1971" s="133">
        <v>3074</v>
      </c>
      <c r="F1971" s="150" t="s">
        <v>7009</v>
      </c>
      <c r="G1971" s="143" t="s">
        <v>1881</v>
      </c>
      <c r="H1971" s="157" t="s">
        <v>16</v>
      </c>
      <c r="I1971" s="158" t="s">
        <v>377</v>
      </c>
      <c r="J1971" s="142" t="s">
        <v>403</v>
      </c>
      <c r="K1971" s="142" t="s">
        <v>7027</v>
      </c>
      <c r="L1971" s="142" t="s">
        <v>6971</v>
      </c>
      <c r="M1971" s="142" t="s">
        <v>6972</v>
      </c>
      <c r="N1971" s="142" t="s">
        <v>6973</v>
      </c>
      <c r="O1971" s="154" t="s">
        <v>7028</v>
      </c>
      <c r="P1971" s="163" t="s">
        <v>7041</v>
      </c>
      <c r="Q1971" s="144" t="s">
        <v>6976</v>
      </c>
      <c r="R1971"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1" s="145" t="s">
        <v>7042</v>
      </c>
      <c r="T1971" s="57">
        <v>0</v>
      </c>
      <c r="U1971" s="46" t="s">
        <v>6978</v>
      </c>
      <c r="V1971" s="93" t="str">
        <f>+Agencia[[#This Row],[idcoleccion]]&amp;"-"&amp;Agencia[[#This Row],[id]]</f>
        <v>990-1960</v>
      </c>
      <c r="W1971" s="141">
        <v>26200010</v>
      </c>
      <c r="X1971" s="141" t="s">
        <v>6979</v>
      </c>
      <c r="Y1971" s="141" t="s">
        <v>6980</v>
      </c>
      <c r="Z1971" s="141" t="s">
        <v>6981</v>
      </c>
      <c r="AA1971" s="141" t="s">
        <v>7031</v>
      </c>
    </row>
    <row r="1972" spans="1:27" ht="71.400000000000006" x14ac:dyDescent="0.3">
      <c r="A1972" s="21" t="s">
        <v>5101</v>
      </c>
      <c r="B1972" s="142">
        <f t="shared" si="435"/>
        <v>990</v>
      </c>
      <c r="C1972" s="143" t="str">
        <f t="shared" si="436"/>
        <v>Agencia Información</v>
      </c>
      <c r="D1972" s="143" t="str">
        <f t="shared" si="437"/>
        <v>Medio Ambiente</v>
      </c>
      <c r="E1972" s="133">
        <v>3074</v>
      </c>
      <c r="F1972" s="150" t="s">
        <v>7009</v>
      </c>
      <c r="G1972" s="143" t="s">
        <v>1881</v>
      </c>
      <c r="H1972" s="157" t="s">
        <v>16</v>
      </c>
      <c r="I1972" s="158" t="s">
        <v>377</v>
      </c>
      <c r="J1972" s="142" t="s">
        <v>403</v>
      </c>
      <c r="K1972" s="142" t="s">
        <v>7027</v>
      </c>
      <c r="L1972" s="142" t="s">
        <v>6983</v>
      </c>
      <c r="M1972" s="142" t="s">
        <v>6972</v>
      </c>
      <c r="N1972" s="142" t="s">
        <v>6973</v>
      </c>
      <c r="O1972" s="154" t="s">
        <v>7032</v>
      </c>
      <c r="P1972" s="163" t="s">
        <v>7043</v>
      </c>
      <c r="Q1972" s="144" t="s">
        <v>6976</v>
      </c>
      <c r="R1972"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2" s="145" t="s">
        <v>7044</v>
      </c>
      <c r="T1972" s="57">
        <v>0</v>
      </c>
      <c r="U1972" s="46" t="s">
        <v>6978</v>
      </c>
      <c r="V1972" s="93" t="str">
        <f>+Agencia[[#This Row],[idcoleccion]]&amp;"-"&amp;Agencia[[#This Row],[id]]</f>
        <v>990-1961</v>
      </c>
      <c r="W1972" s="141">
        <v>26200010</v>
      </c>
      <c r="X1972" s="141" t="s">
        <v>6979</v>
      </c>
      <c r="Y1972" s="141" t="s">
        <v>6980</v>
      </c>
      <c r="Z1972" s="141" t="s">
        <v>6981</v>
      </c>
      <c r="AA1972" s="141" t="s">
        <v>7031</v>
      </c>
    </row>
    <row r="1973" spans="1:27" ht="71.400000000000006" x14ac:dyDescent="0.3">
      <c r="A1973" s="21" t="s">
        <v>5102</v>
      </c>
      <c r="B1973" s="142">
        <f t="shared" si="435"/>
        <v>990</v>
      </c>
      <c r="C1973" s="143" t="str">
        <f t="shared" si="436"/>
        <v>Agencia Información</v>
      </c>
      <c r="D1973" s="143" t="str">
        <f t="shared" si="437"/>
        <v>Medio Ambiente</v>
      </c>
      <c r="E1973" s="133">
        <v>3074</v>
      </c>
      <c r="F1973" s="150" t="s">
        <v>7009</v>
      </c>
      <c r="G1973" s="143" t="s">
        <v>1881</v>
      </c>
      <c r="H1973" s="157" t="s">
        <v>16</v>
      </c>
      <c r="I1973" s="158" t="s">
        <v>377</v>
      </c>
      <c r="J1973" s="142" t="s">
        <v>403</v>
      </c>
      <c r="K1973" s="142" t="s">
        <v>7027</v>
      </c>
      <c r="L1973" s="142" t="s">
        <v>6987</v>
      </c>
      <c r="M1973" s="142" t="s">
        <v>6972</v>
      </c>
      <c r="N1973" s="142" t="s">
        <v>6973</v>
      </c>
      <c r="O1973" s="154" t="s">
        <v>7035</v>
      </c>
      <c r="P1973" s="163" t="s">
        <v>7045</v>
      </c>
      <c r="Q1973" s="144" t="s">
        <v>6976</v>
      </c>
      <c r="R1973" s="46"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3" s="145" t="s">
        <v>7046</v>
      </c>
      <c r="T1973" s="57">
        <v>0</v>
      </c>
      <c r="U1973" s="46" t="s">
        <v>6978</v>
      </c>
      <c r="V1973" s="93" t="str">
        <f>+Agencia[[#This Row],[idcoleccion]]&amp;"-"&amp;Agencia[[#This Row],[id]]</f>
        <v>990-1962</v>
      </c>
      <c r="W1973" s="141">
        <v>26200010</v>
      </c>
      <c r="X1973" s="141" t="s">
        <v>6979</v>
      </c>
      <c r="Y1973" s="141" t="s">
        <v>6980</v>
      </c>
      <c r="Z1973" s="141" t="s">
        <v>6981</v>
      </c>
      <c r="AA1973" s="141" t="s">
        <v>7031</v>
      </c>
    </row>
    <row r="1974" spans="1:27" ht="51" x14ac:dyDescent="0.3">
      <c r="A1974" s="21" t="s">
        <v>5103</v>
      </c>
      <c r="B1974" s="142">
        <f t="shared" si="435"/>
        <v>990</v>
      </c>
      <c r="C1974" s="143" t="str">
        <f t="shared" si="436"/>
        <v>Agencia Información</v>
      </c>
      <c r="D1974" s="143" t="str">
        <f t="shared" si="437"/>
        <v>Medio Ambiente</v>
      </c>
      <c r="E1974" s="133">
        <v>3074</v>
      </c>
      <c r="F1974" s="150" t="s">
        <v>7001</v>
      </c>
      <c r="G1974" s="143" t="s">
        <v>1881</v>
      </c>
      <c r="H1974" s="157" t="s">
        <v>16</v>
      </c>
      <c r="I1974" s="158" t="s">
        <v>377</v>
      </c>
      <c r="J1974" s="142" t="s">
        <v>7002</v>
      </c>
      <c r="K1974" s="142" t="s">
        <v>7027</v>
      </c>
      <c r="L1974" s="156" t="s">
        <v>7003</v>
      </c>
      <c r="M1974" s="142" t="s">
        <v>6972</v>
      </c>
      <c r="N1974" s="142" t="s">
        <v>6973</v>
      </c>
      <c r="O1974" s="153" t="s">
        <v>7047</v>
      </c>
      <c r="P1974" s="155" t="s">
        <v>7048</v>
      </c>
      <c r="Q1974" s="144" t="s">
        <v>590</v>
      </c>
      <c r="R1974" s="76" t="s">
        <v>7269</v>
      </c>
      <c r="S1974" s="145" t="s">
        <v>7049</v>
      </c>
      <c r="T1974" s="57">
        <v>0</v>
      </c>
      <c r="U1974" s="46" t="s">
        <v>6978</v>
      </c>
      <c r="V1974" s="93" t="str">
        <f>+Agencia[[#This Row],[idcoleccion]]&amp;"-"&amp;Agencia[[#This Row],[id]]</f>
        <v>990-1963</v>
      </c>
      <c r="W1974" s="141">
        <v>26200010</v>
      </c>
      <c r="X1974" s="141" t="s">
        <v>6979</v>
      </c>
      <c r="Y1974" s="141" t="s">
        <v>7007</v>
      </c>
      <c r="Z1974" s="141" t="s">
        <v>7008</v>
      </c>
      <c r="AA1974" s="141" t="s">
        <v>7031</v>
      </c>
    </row>
    <row r="1975" spans="1:27" ht="71.400000000000006" x14ac:dyDescent="0.3">
      <c r="A1975" s="164" t="s">
        <v>5104</v>
      </c>
      <c r="B1975" s="38">
        <f t="shared" si="435"/>
        <v>990</v>
      </c>
      <c r="C1975" s="103" t="str">
        <f t="shared" si="436"/>
        <v>Agencia Información</v>
      </c>
      <c r="D1975" s="103" t="str">
        <f t="shared" si="437"/>
        <v>Medio Ambiente</v>
      </c>
      <c r="E1975" s="165">
        <v>3074</v>
      </c>
      <c r="F1975" s="103" t="s">
        <v>6969</v>
      </c>
      <c r="G1975" s="143" t="s">
        <v>1881</v>
      </c>
      <c r="H1975" s="157" t="s">
        <v>16</v>
      </c>
      <c r="I1975" s="158" t="s">
        <v>377</v>
      </c>
      <c r="J1975" s="142" t="s">
        <v>403</v>
      </c>
      <c r="K1975" s="142" t="s">
        <v>7027</v>
      </c>
      <c r="L1975" s="142" t="s">
        <v>6971</v>
      </c>
      <c r="M1975" s="142" t="s">
        <v>6972</v>
      </c>
      <c r="N1975" s="142" t="s">
        <v>6973</v>
      </c>
      <c r="O1975" s="154" t="s">
        <v>7050</v>
      </c>
      <c r="P1975" s="154" t="s">
        <v>7029</v>
      </c>
      <c r="Q1975" s="144" t="s">
        <v>7011</v>
      </c>
      <c r="R1975"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5" s="132" t="s">
        <v>7255</v>
      </c>
      <c r="T1975" s="57">
        <v>0</v>
      </c>
      <c r="U1975" s="46" t="s">
        <v>6978</v>
      </c>
      <c r="V1975" s="93" t="str">
        <f>+Agencia[[#This Row],[idcoleccion]]&amp;"-"&amp;Agencia[[#This Row],[id]]</f>
        <v>990-1964</v>
      </c>
      <c r="W1975" s="141">
        <v>26200010</v>
      </c>
      <c r="X1975" s="141" t="s">
        <v>6979</v>
      </c>
      <c r="Y1975" s="141" t="s">
        <v>7012</v>
      </c>
      <c r="Z1975" s="141" t="s">
        <v>6981</v>
      </c>
      <c r="AA1975" s="141" t="s">
        <v>7031</v>
      </c>
    </row>
    <row r="1976" spans="1:27" ht="71.400000000000006" x14ac:dyDescent="0.3">
      <c r="A1976" s="164" t="s">
        <v>5105</v>
      </c>
      <c r="B1976" s="38">
        <f t="shared" si="435"/>
        <v>990</v>
      </c>
      <c r="C1976" s="103" t="str">
        <f t="shared" si="436"/>
        <v>Agencia Información</v>
      </c>
      <c r="D1976" s="103" t="str">
        <f t="shared" si="437"/>
        <v>Medio Ambiente</v>
      </c>
      <c r="E1976" s="165">
        <v>3074</v>
      </c>
      <c r="F1976" s="103" t="s">
        <v>6969</v>
      </c>
      <c r="G1976" s="143" t="s">
        <v>1881</v>
      </c>
      <c r="H1976" s="157" t="s">
        <v>16</v>
      </c>
      <c r="I1976" s="158" t="s">
        <v>377</v>
      </c>
      <c r="J1976" s="142" t="s">
        <v>403</v>
      </c>
      <c r="K1976" s="142" t="s">
        <v>7027</v>
      </c>
      <c r="L1976" s="142" t="s">
        <v>6983</v>
      </c>
      <c r="M1976" s="142" t="s">
        <v>6972</v>
      </c>
      <c r="N1976" s="142" t="s">
        <v>6973</v>
      </c>
      <c r="O1976" s="154" t="s">
        <v>7051</v>
      </c>
      <c r="P1976" s="154" t="s">
        <v>7033</v>
      </c>
      <c r="Q1976" s="144" t="s">
        <v>7011</v>
      </c>
      <c r="R1976"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6" s="132" t="s">
        <v>7256</v>
      </c>
      <c r="T1976" s="57">
        <v>0</v>
      </c>
      <c r="U1976" s="46" t="s">
        <v>6978</v>
      </c>
      <c r="V1976" s="93" t="str">
        <f>+Agencia[[#This Row],[idcoleccion]]&amp;"-"&amp;Agencia[[#This Row],[id]]</f>
        <v>990-1965</v>
      </c>
      <c r="W1976" s="141">
        <v>26200010</v>
      </c>
      <c r="X1976" s="141" t="s">
        <v>6979</v>
      </c>
      <c r="Y1976" s="141" t="s">
        <v>7012</v>
      </c>
      <c r="Z1976" s="141" t="s">
        <v>6981</v>
      </c>
      <c r="AA1976" s="141" t="s">
        <v>7031</v>
      </c>
    </row>
    <row r="1977" spans="1:27" ht="71.400000000000006" x14ac:dyDescent="0.3">
      <c r="A1977" s="164" t="s">
        <v>5106</v>
      </c>
      <c r="B1977" s="38">
        <f t="shared" si="435"/>
        <v>990</v>
      </c>
      <c r="C1977" s="103" t="str">
        <f t="shared" si="436"/>
        <v>Agencia Información</v>
      </c>
      <c r="D1977" s="103" t="str">
        <f t="shared" si="437"/>
        <v>Medio Ambiente</v>
      </c>
      <c r="E1977" s="165">
        <v>3074</v>
      </c>
      <c r="F1977" s="103" t="s">
        <v>6969</v>
      </c>
      <c r="G1977" s="143" t="s">
        <v>1881</v>
      </c>
      <c r="H1977" s="157" t="s">
        <v>16</v>
      </c>
      <c r="I1977" s="158" t="s">
        <v>377</v>
      </c>
      <c r="J1977" s="142" t="s">
        <v>403</v>
      </c>
      <c r="K1977" s="142" t="s">
        <v>7027</v>
      </c>
      <c r="L1977" s="142" t="s">
        <v>6987</v>
      </c>
      <c r="M1977" s="142" t="s">
        <v>6972</v>
      </c>
      <c r="N1977" s="142" t="s">
        <v>6973</v>
      </c>
      <c r="O1977" s="154" t="s">
        <v>7052</v>
      </c>
      <c r="P1977" s="154" t="s">
        <v>7036</v>
      </c>
      <c r="Q1977" s="144" t="s">
        <v>7011</v>
      </c>
      <c r="R1977"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7" s="132" t="s">
        <v>7257</v>
      </c>
      <c r="T1977" s="57">
        <v>0</v>
      </c>
      <c r="U1977" s="46" t="s">
        <v>6978</v>
      </c>
      <c r="V1977" s="93" t="str">
        <f>+Agencia[[#This Row],[idcoleccion]]&amp;"-"&amp;Agencia[[#This Row],[id]]</f>
        <v>990-1966</v>
      </c>
      <c r="W1977" s="141">
        <v>26200010</v>
      </c>
      <c r="X1977" s="141" t="s">
        <v>6979</v>
      </c>
      <c r="Y1977" s="141" t="s">
        <v>7012</v>
      </c>
      <c r="Z1977" s="141" t="s">
        <v>6981</v>
      </c>
      <c r="AA1977" s="141" t="s">
        <v>7031</v>
      </c>
    </row>
    <row r="1978" spans="1:27" ht="71.400000000000006" x14ac:dyDescent="0.3">
      <c r="A1978" s="164" t="s">
        <v>5107</v>
      </c>
      <c r="B1978" s="38">
        <f t="shared" si="435"/>
        <v>990</v>
      </c>
      <c r="C1978" s="103" t="str">
        <f t="shared" si="436"/>
        <v>Agencia Información</v>
      </c>
      <c r="D1978" s="103" t="str">
        <f t="shared" si="437"/>
        <v>Medio Ambiente</v>
      </c>
      <c r="E1978" s="165">
        <v>3074</v>
      </c>
      <c r="F1978" s="103" t="s">
        <v>6969</v>
      </c>
      <c r="G1978" s="143" t="s">
        <v>1881</v>
      </c>
      <c r="H1978" s="157" t="s">
        <v>16</v>
      </c>
      <c r="I1978" s="158" t="s">
        <v>377</v>
      </c>
      <c r="J1978" s="142" t="s">
        <v>403</v>
      </c>
      <c r="K1978" s="142" t="s">
        <v>7027</v>
      </c>
      <c r="L1978" s="142" t="s">
        <v>6991</v>
      </c>
      <c r="M1978" s="142" t="s">
        <v>6972</v>
      </c>
      <c r="N1978" s="142" t="s">
        <v>6973</v>
      </c>
      <c r="O1978" s="154" t="s">
        <v>7053</v>
      </c>
      <c r="P1978" s="154" t="s">
        <v>7039</v>
      </c>
      <c r="Q1978" s="144" t="s">
        <v>7011</v>
      </c>
      <c r="R1978"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seca (Ene-Abr),Glaciares</v>
      </c>
      <c r="S1978" s="132" t="s">
        <v>7258</v>
      </c>
      <c r="T1978" s="57">
        <v>0</v>
      </c>
      <c r="U1978" s="46" t="s">
        <v>6978</v>
      </c>
      <c r="V1978" s="93" t="str">
        <f>+Agencia[[#This Row],[idcoleccion]]&amp;"-"&amp;Agencia[[#This Row],[id]]</f>
        <v>990-1967</v>
      </c>
      <c r="W1978" s="141">
        <v>26200010</v>
      </c>
      <c r="X1978" s="141" t="s">
        <v>6979</v>
      </c>
      <c r="Y1978" s="141" t="s">
        <v>7012</v>
      </c>
      <c r="Z1978" s="141" t="s">
        <v>6981</v>
      </c>
      <c r="AA1978" s="141" t="s">
        <v>7031</v>
      </c>
    </row>
    <row r="1979" spans="1:27" ht="71.400000000000006" x14ac:dyDescent="0.3">
      <c r="A1979" s="21" t="s">
        <v>5108</v>
      </c>
      <c r="B1979" s="142">
        <f t="shared" si="435"/>
        <v>990</v>
      </c>
      <c r="C1979" s="143" t="str">
        <f t="shared" si="436"/>
        <v>Agencia Información</v>
      </c>
      <c r="D1979" s="143" t="str">
        <f t="shared" si="437"/>
        <v>Medio Ambiente</v>
      </c>
      <c r="E1979" s="133">
        <v>3074</v>
      </c>
      <c r="F1979" s="150" t="s">
        <v>7009</v>
      </c>
      <c r="G1979" s="143" t="s">
        <v>1881</v>
      </c>
      <c r="H1979" s="157" t="s">
        <v>16</v>
      </c>
      <c r="I1979" s="158" t="s">
        <v>377</v>
      </c>
      <c r="J1979" s="142" t="s">
        <v>403</v>
      </c>
      <c r="K1979" s="142" t="s">
        <v>7027</v>
      </c>
      <c r="L1979" s="142" t="s">
        <v>6971</v>
      </c>
      <c r="M1979" s="142" t="s">
        <v>6972</v>
      </c>
      <c r="N1979" s="142" t="s">
        <v>6973</v>
      </c>
      <c r="O1979" s="154" t="s">
        <v>7050</v>
      </c>
      <c r="P1979" s="154" t="s">
        <v>7041</v>
      </c>
      <c r="Q1979" s="144" t="s">
        <v>7011</v>
      </c>
      <c r="R1979"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79" s="132" t="s">
        <v>7259</v>
      </c>
      <c r="T1979" s="57">
        <v>0</v>
      </c>
      <c r="U1979" s="46" t="s">
        <v>6978</v>
      </c>
      <c r="V1979" s="93" t="str">
        <f>+Agencia[[#This Row],[idcoleccion]]&amp;"-"&amp;Agencia[[#This Row],[id]]</f>
        <v>990-1968</v>
      </c>
      <c r="W1979" s="141">
        <v>26200010</v>
      </c>
      <c r="X1979" s="141" t="s">
        <v>6979</v>
      </c>
      <c r="Y1979" s="141" t="s">
        <v>7012</v>
      </c>
      <c r="Z1979" s="141" t="s">
        <v>6981</v>
      </c>
      <c r="AA1979" s="141" t="s">
        <v>7031</v>
      </c>
    </row>
    <row r="1980" spans="1:27" ht="71.400000000000006" x14ac:dyDescent="0.3">
      <c r="A1980" s="21" t="s">
        <v>5109</v>
      </c>
      <c r="B1980" s="142">
        <f t="shared" si="435"/>
        <v>990</v>
      </c>
      <c r="C1980" s="143" t="str">
        <f t="shared" si="436"/>
        <v>Agencia Información</v>
      </c>
      <c r="D1980" s="143" t="str">
        <f t="shared" si="437"/>
        <v>Medio Ambiente</v>
      </c>
      <c r="E1980" s="133">
        <v>3074</v>
      </c>
      <c r="F1980" s="150" t="s">
        <v>7009</v>
      </c>
      <c r="G1980" s="143" t="s">
        <v>1881</v>
      </c>
      <c r="H1980" s="157" t="s">
        <v>16</v>
      </c>
      <c r="I1980" s="158" t="s">
        <v>377</v>
      </c>
      <c r="J1980" s="142" t="s">
        <v>403</v>
      </c>
      <c r="K1980" s="142" t="s">
        <v>7027</v>
      </c>
      <c r="L1980" s="142" t="s">
        <v>6983</v>
      </c>
      <c r="M1980" s="142" t="s">
        <v>6972</v>
      </c>
      <c r="N1980" s="142" t="s">
        <v>6973</v>
      </c>
      <c r="O1980" s="154" t="s">
        <v>7051</v>
      </c>
      <c r="P1980" s="154" t="s">
        <v>7043</v>
      </c>
      <c r="Q1980" s="144" t="s">
        <v>7011</v>
      </c>
      <c r="R1980"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80" s="132" t="s">
        <v>7260</v>
      </c>
      <c r="T1980" s="57">
        <v>0</v>
      </c>
      <c r="U1980" s="46" t="s">
        <v>6978</v>
      </c>
      <c r="V1980" s="93" t="str">
        <f>+Agencia[[#This Row],[idcoleccion]]&amp;"-"&amp;Agencia[[#This Row],[id]]</f>
        <v>990-1969</v>
      </c>
      <c r="W1980" s="141">
        <v>26200010</v>
      </c>
      <c r="X1980" s="141" t="s">
        <v>6979</v>
      </c>
      <c r="Y1980" s="141" t="s">
        <v>7012</v>
      </c>
      <c r="Z1980" s="141" t="s">
        <v>6981</v>
      </c>
      <c r="AA1980" s="141" t="s">
        <v>7031</v>
      </c>
    </row>
    <row r="1981" spans="1:27" ht="71.400000000000006" x14ac:dyDescent="0.3">
      <c r="A1981" s="21" t="s">
        <v>5110</v>
      </c>
      <c r="B1981" s="142">
        <f t="shared" si="435"/>
        <v>990</v>
      </c>
      <c r="C1981" s="143" t="str">
        <f t="shared" si="436"/>
        <v>Agencia Información</v>
      </c>
      <c r="D1981" s="143" t="str">
        <f t="shared" si="437"/>
        <v>Medio Ambiente</v>
      </c>
      <c r="E1981" s="133">
        <v>3074</v>
      </c>
      <c r="F1981" s="150" t="s">
        <v>7009</v>
      </c>
      <c r="G1981" s="143" t="s">
        <v>1881</v>
      </c>
      <c r="H1981" s="157" t="s">
        <v>16</v>
      </c>
      <c r="I1981" s="158" t="s">
        <v>377</v>
      </c>
      <c r="J1981" s="142" t="s">
        <v>403</v>
      </c>
      <c r="K1981" s="142" t="s">
        <v>7027</v>
      </c>
      <c r="L1981" s="142" t="s">
        <v>6987</v>
      </c>
      <c r="M1981" s="142" t="s">
        <v>6972</v>
      </c>
      <c r="N1981" s="142" t="s">
        <v>6973</v>
      </c>
      <c r="O1981" s="154" t="s">
        <v>7052</v>
      </c>
      <c r="P1981" s="154" t="s">
        <v>7045</v>
      </c>
      <c r="Q1981" s="144" t="s">
        <v>7011</v>
      </c>
      <c r="R1981"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Ambiente,Dinámica de Cambio de Glaciares en temporada fria (May-Dic),Glaciares</v>
      </c>
      <c r="S1981" s="132" t="s">
        <v>7261</v>
      </c>
      <c r="T1981" s="57">
        <v>0</v>
      </c>
      <c r="U1981" s="46" t="s">
        <v>6978</v>
      </c>
      <c r="V1981" s="93" t="str">
        <f>+Agencia[[#This Row],[idcoleccion]]&amp;"-"&amp;Agencia[[#This Row],[id]]</f>
        <v>990-1970</v>
      </c>
      <c r="W1981" s="141">
        <v>26200010</v>
      </c>
      <c r="X1981" s="141" t="s">
        <v>6979</v>
      </c>
      <c r="Y1981" s="141" t="s">
        <v>7012</v>
      </c>
      <c r="Z1981" s="141" t="s">
        <v>6981</v>
      </c>
      <c r="AA1981" s="141" t="s">
        <v>7031</v>
      </c>
    </row>
    <row r="1982" spans="1:27" ht="71.400000000000006" x14ac:dyDescent="0.3">
      <c r="A1982" s="21" t="s">
        <v>5111</v>
      </c>
      <c r="B1982" s="142">
        <f t="shared" si="435"/>
        <v>990</v>
      </c>
      <c r="C1982" s="143" t="str">
        <f t="shared" si="436"/>
        <v>Agencia Información</v>
      </c>
      <c r="D1982" s="143" t="str">
        <f t="shared" si="437"/>
        <v>Medio Ambiente</v>
      </c>
      <c r="E1982" s="133">
        <v>3074</v>
      </c>
      <c r="F1982" s="150" t="s">
        <v>7016</v>
      </c>
      <c r="G1982" s="143" t="s">
        <v>1881</v>
      </c>
      <c r="H1982" s="157" t="s">
        <v>16</v>
      </c>
      <c r="I1982" s="158" t="s">
        <v>377</v>
      </c>
      <c r="J1982" s="142" t="s">
        <v>403</v>
      </c>
      <c r="K1982" s="142" t="s">
        <v>7027</v>
      </c>
      <c r="L1982" s="142" t="s">
        <v>7003</v>
      </c>
      <c r="M1982" s="142" t="s">
        <v>6972</v>
      </c>
      <c r="N1982" s="142" t="s">
        <v>6973</v>
      </c>
      <c r="O1982" s="159" t="s">
        <v>7054</v>
      </c>
      <c r="P1982" s="162" t="s">
        <v>7055</v>
      </c>
      <c r="Q1982" s="144" t="s">
        <v>6976</v>
      </c>
      <c r="R1982"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Ambiente,Superficie de Glaciares,Glaciares</v>
      </c>
      <c r="S1982" s="145" t="s">
        <v>7056</v>
      </c>
      <c r="T1982" s="57">
        <v>0</v>
      </c>
      <c r="U1982" s="46" t="s">
        <v>6978</v>
      </c>
      <c r="V1982" s="93" t="str">
        <f>+Agencia[[#This Row],[idcoleccion]]&amp;"-"&amp;Agencia[[#This Row],[id]]</f>
        <v>990-1971</v>
      </c>
      <c r="W1982" s="141">
        <v>26200010</v>
      </c>
      <c r="X1982" s="141" t="s">
        <v>7020</v>
      </c>
      <c r="Y1982" s="141" t="s">
        <v>7021</v>
      </c>
      <c r="Z1982" s="141" t="s">
        <v>6981</v>
      </c>
      <c r="AA1982" s="141" t="s">
        <v>7031</v>
      </c>
    </row>
    <row r="1983" spans="1:27" ht="61.2" x14ac:dyDescent="0.3">
      <c r="A1983" s="21" t="s">
        <v>5112</v>
      </c>
      <c r="B1983" s="142">
        <f t="shared" si="435"/>
        <v>990</v>
      </c>
      <c r="C1983" s="143" t="str">
        <f t="shared" si="436"/>
        <v>Agencia Información</v>
      </c>
      <c r="D1983" s="143" t="str">
        <f t="shared" si="437"/>
        <v>Medio Ambiente</v>
      </c>
      <c r="E1983" s="133">
        <v>3074</v>
      </c>
      <c r="F1983" s="150" t="s">
        <v>7016</v>
      </c>
      <c r="G1983" s="143" t="s">
        <v>1881</v>
      </c>
      <c r="H1983" s="157" t="s">
        <v>16</v>
      </c>
      <c r="I1983" s="158" t="s">
        <v>377</v>
      </c>
      <c r="J1983" s="142" t="s">
        <v>7002</v>
      </c>
      <c r="K1983" s="142" t="s">
        <v>7027</v>
      </c>
      <c r="L1983" s="142" t="s">
        <v>7003</v>
      </c>
      <c r="M1983" s="142" t="s">
        <v>6972</v>
      </c>
      <c r="N1983" s="142" t="s">
        <v>6973</v>
      </c>
      <c r="O1983" s="159" t="s">
        <v>7057</v>
      </c>
      <c r="P1983" s="159" t="s">
        <v>7058</v>
      </c>
      <c r="Q1983" s="144" t="s">
        <v>590</v>
      </c>
      <c r="R1983"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Ambiente,Superficie de Glaciares,Glaciares</v>
      </c>
      <c r="S1983" s="145" t="s">
        <v>7059</v>
      </c>
      <c r="T1983" s="57">
        <v>0</v>
      </c>
      <c r="U1983" s="46" t="s">
        <v>6978</v>
      </c>
      <c r="V1983" s="93" t="str">
        <f>+Agencia[[#This Row],[idcoleccion]]&amp;"-"&amp;Agencia[[#This Row],[id]]</f>
        <v>990-1972</v>
      </c>
      <c r="W1983" s="141">
        <v>26200010</v>
      </c>
      <c r="X1983" s="141" t="s">
        <v>7020</v>
      </c>
      <c r="Y1983" s="141" t="s">
        <v>7021</v>
      </c>
      <c r="Z1983" s="141" t="s">
        <v>7008</v>
      </c>
      <c r="AA1983" s="141" t="s">
        <v>7031</v>
      </c>
    </row>
    <row r="1984" spans="1:27" ht="71.400000000000006" x14ac:dyDescent="0.3">
      <c r="A1984" s="21" t="s">
        <v>5113</v>
      </c>
      <c r="B1984" s="142">
        <f t="shared" si="435"/>
        <v>990</v>
      </c>
      <c r="C1984" s="143" t="str">
        <f t="shared" si="436"/>
        <v>Agencia Información</v>
      </c>
      <c r="D1984" s="143" t="str">
        <f t="shared" si="437"/>
        <v>Medio Ambiente</v>
      </c>
      <c r="E1984" s="133">
        <v>3074</v>
      </c>
      <c r="F1984" s="150" t="s">
        <v>7016</v>
      </c>
      <c r="G1984" s="143" t="s">
        <v>1881</v>
      </c>
      <c r="H1984" s="157" t="s">
        <v>16</v>
      </c>
      <c r="I1984" s="158" t="s">
        <v>377</v>
      </c>
      <c r="J1984" s="142" t="s">
        <v>403</v>
      </c>
      <c r="K1984" s="142" t="s">
        <v>7027</v>
      </c>
      <c r="L1984" s="142" t="s">
        <v>7003</v>
      </c>
      <c r="M1984" s="142" t="s">
        <v>6972</v>
      </c>
      <c r="N1984" s="142" t="s">
        <v>6973</v>
      </c>
      <c r="O1984" s="159" t="s">
        <v>7060</v>
      </c>
      <c r="P1984" s="162" t="s">
        <v>7055</v>
      </c>
      <c r="Q1984" s="144" t="s">
        <v>7011</v>
      </c>
      <c r="R1984" s="154" t="str">
        <f>Agencia[[#This Row],[territorio]]&amp;",glaciar,Chile,nieve,Los Lagos,SENTINEL,satelital,derretimiento,volcán,Calbuco,Puerto Varas,Puerto Montt,dinámica,mapa,"&amp;Agencia[[#This Row],[coleccion]]&amp;","&amp;Agencia[[#This Row],[sector]]&amp;","&amp;Agencia[[#This Row],[tema]]&amp;","&amp;Agencia[[#This Row],[contenido]]</f>
        <v>Región de Los Lagos,glaciar,Chile,nieve,Los Lagos,SENTINEL,satelital,derretimiento,volcán,Calbuco,Puerto Varas,Puerto Montt,dinámica,mapa,Agencia Información,Medio Ambiente,Superficie de Glaciares,Glaciares</v>
      </c>
      <c r="S1984" s="145" t="s">
        <v>7061</v>
      </c>
      <c r="T1984" s="57">
        <v>0</v>
      </c>
      <c r="U1984" s="46" t="s">
        <v>6978</v>
      </c>
      <c r="V1984" s="93" t="str">
        <f>+Agencia[[#This Row],[idcoleccion]]&amp;"-"&amp;Agencia[[#This Row],[id]]</f>
        <v>990-1973</v>
      </c>
      <c r="W1984" s="100">
        <v>26200010</v>
      </c>
      <c r="X1984" s="141" t="s">
        <v>7020</v>
      </c>
      <c r="Y1984" s="141" t="s">
        <v>7021</v>
      </c>
      <c r="Z1984" s="141" t="s">
        <v>6981</v>
      </c>
      <c r="AA1984" s="141" t="s">
        <v>7031</v>
      </c>
    </row>
    <row r="1985" spans="1:27" ht="71.400000000000006" x14ac:dyDescent="0.3">
      <c r="A1985" s="21" t="s">
        <v>5114</v>
      </c>
      <c r="B1985" s="142">
        <f t="shared" si="435"/>
        <v>990</v>
      </c>
      <c r="C1985" s="143" t="str">
        <f t="shared" si="436"/>
        <v>Agencia Información</v>
      </c>
      <c r="D1985" s="143" t="str">
        <f t="shared" si="437"/>
        <v>Medio Ambiente</v>
      </c>
      <c r="E1985" s="160">
        <v>3104</v>
      </c>
      <c r="F1985" s="150" t="s">
        <v>6969</v>
      </c>
      <c r="G1985" s="143" t="s">
        <v>1881</v>
      </c>
      <c r="H1985" s="157" t="s">
        <v>16</v>
      </c>
      <c r="I1985" s="158" t="s">
        <v>377</v>
      </c>
      <c r="J1985" s="142" t="s">
        <v>403</v>
      </c>
      <c r="K1985" s="142" t="s">
        <v>7062</v>
      </c>
      <c r="L1985" s="142" t="s">
        <v>6971</v>
      </c>
      <c r="M1985" s="142" t="s">
        <v>6972</v>
      </c>
      <c r="N1985" s="142" t="s">
        <v>6973</v>
      </c>
      <c r="O1985" s="154" t="s">
        <v>7063</v>
      </c>
      <c r="P1985" s="163" t="s">
        <v>7064</v>
      </c>
      <c r="Q1985" s="144" t="s">
        <v>6976</v>
      </c>
      <c r="R1985" s="161"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5" s="145" t="s">
        <v>7065</v>
      </c>
      <c r="T1985" s="57">
        <v>0</v>
      </c>
      <c r="U1985" s="46" t="s">
        <v>6978</v>
      </c>
      <c r="V1985" s="93" t="str">
        <f>+Agencia[[#This Row],[idcoleccion]]&amp;"-"&amp;Agencia[[#This Row],[id]]</f>
        <v>990-1974</v>
      </c>
      <c r="W1985" s="141">
        <v>26200010</v>
      </c>
      <c r="X1985" s="141" t="s">
        <v>6979</v>
      </c>
      <c r="Y1985" s="141" t="s">
        <v>6980</v>
      </c>
      <c r="Z1985" s="141" t="s">
        <v>6981</v>
      </c>
      <c r="AA1985" s="141" t="s">
        <v>7066</v>
      </c>
    </row>
    <row r="1986" spans="1:27" ht="71.400000000000006" x14ac:dyDescent="0.3">
      <c r="A1986" s="21" t="s">
        <v>5115</v>
      </c>
      <c r="B1986" s="142">
        <f t="shared" si="435"/>
        <v>990</v>
      </c>
      <c r="C1986" s="143" t="str">
        <f t="shared" si="436"/>
        <v>Agencia Información</v>
      </c>
      <c r="D1986" s="143" t="str">
        <f t="shared" si="437"/>
        <v>Medio Ambiente</v>
      </c>
      <c r="E1986" s="133">
        <v>3104</v>
      </c>
      <c r="F1986" s="150" t="s">
        <v>6969</v>
      </c>
      <c r="G1986" s="143" t="s">
        <v>1881</v>
      </c>
      <c r="H1986" s="157" t="s">
        <v>16</v>
      </c>
      <c r="I1986" s="158" t="s">
        <v>377</v>
      </c>
      <c r="J1986" s="142" t="s">
        <v>403</v>
      </c>
      <c r="K1986" s="142" t="s">
        <v>7062</v>
      </c>
      <c r="L1986" s="142" t="s">
        <v>6983</v>
      </c>
      <c r="M1986" s="142" t="s">
        <v>6972</v>
      </c>
      <c r="N1986" s="142" t="s">
        <v>6973</v>
      </c>
      <c r="O1986" s="154" t="s">
        <v>7067</v>
      </c>
      <c r="P1986" s="163" t="s">
        <v>7068</v>
      </c>
      <c r="Q1986" s="144" t="s">
        <v>6976</v>
      </c>
      <c r="R1986"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6" s="145" t="s">
        <v>7069</v>
      </c>
      <c r="T1986" s="57">
        <v>0</v>
      </c>
      <c r="U1986" s="46" t="s">
        <v>6978</v>
      </c>
      <c r="V1986" s="93" t="str">
        <f>+Agencia[[#This Row],[idcoleccion]]&amp;"-"&amp;Agencia[[#This Row],[id]]</f>
        <v>990-1975</v>
      </c>
      <c r="W1986" s="141">
        <v>26200010</v>
      </c>
      <c r="X1986" s="141" t="s">
        <v>6979</v>
      </c>
      <c r="Y1986" s="141" t="s">
        <v>6980</v>
      </c>
      <c r="Z1986" s="141" t="s">
        <v>6981</v>
      </c>
      <c r="AA1986" s="141" t="s">
        <v>7066</v>
      </c>
    </row>
    <row r="1987" spans="1:27" ht="71.400000000000006" x14ac:dyDescent="0.3">
      <c r="A1987" s="21" t="s">
        <v>5116</v>
      </c>
      <c r="B1987" s="142">
        <f t="shared" si="435"/>
        <v>990</v>
      </c>
      <c r="C1987" s="143" t="str">
        <f t="shared" si="436"/>
        <v>Agencia Información</v>
      </c>
      <c r="D1987" s="143" t="str">
        <f t="shared" si="437"/>
        <v>Medio Ambiente</v>
      </c>
      <c r="E1987" s="133">
        <v>3104</v>
      </c>
      <c r="F1987" s="150" t="s">
        <v>6969</v>
      </c>
      <c r="G1987" s="143" t="s">
        <v>1881</v>
      </c>
      <c r="H1987" s="157" t="s">
        <v>16</v>
      </c>
      <c r="I1987" s="158" t="s">
        <v>377</v>
      </c>
      <c r="J1987" s="142" t="s">
        <v>403</v>
      </c>
      <c r="K1987" s="142" t="s">
        <v>7062</v>
      </c>
      <c r="L1987" s="142" t="s">
        <v>6987</v>
      </c>
      <c r="M1987" s="142" t="s">
        <v>6972</v>
      </c>
      <c r="N1987" s="142" t="s">
        <v>6973</v>
      </c>
      <c r="O1987" s="154" t="s">
        <v>7070</v>
      </c>
      <c r="P1987" s="163" t="s">
        <v>7071</v>
      </c>
      <c r="Q1987" s="144" t="s">
        <v>6976</v>
      </c>
      <c r="R1987"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7" s="145" t="s">
        <v>7072</v>
      </c>
      <c r="T1987" s="57">
        <v>0</v>
      </c>
      <c r="U1987" s="46" t="s">
        <v>6978</v>
      </c>
      <c r="V1987" s="93" t="str">
        <f>+Agencia[[#This Row],[idcoleccion]]&amp;"-"&amp;Agencia[[#This Row],[id]]</f>
        <v>990-1976</v>
      </c>
      <c r="W1987" s="141">
        <v>26200010</v>
      </c>
      <c r="X1987" s="141" t="s">
        <v>6979</v>
      </c>
      <c r="Y1987" s="141" t="s">
        <v>6980</v>
      </c>
      <c r="Z1987" s="141" t="s">
        <v>6981</v>
      </c>
      <c r="AA1987" s="141" t="s">
        <v>7066</v>
      </c>
    </row>
    <row r="1988" spans="1:27" ht="71.400000000000006" x14ac:dyDescent="0.3">
      <c r="A1988" s="21" t="s">
        <v>5117</v>
      </c>
      <c r="B1988" s="142">
        <f t="shared" si="435"/>
        <v>990</v>
      </c>
      <c r="C1988" s="143" t="str">
        <f t="shared" si="436"/>
        <v>Agencia Información</v>
      </c>
      <c r="D1988" s="143" t="str">
        <f t="shared" si="437"/>
        <v>Medio Ambiente</v>
      </c>
      <c r="E1988" s="133">
        <v>3104</v>
      </c>
      <c r="F1988" s="150" t="s">
        <v>6969</v>
      </c>
      <c r="G1988" s="143" t="s">
        <v>1881</v>
      </c>
      <c r="H1988" s="157" t="s">
        <v>16</v>
      </c>
      <c r="I1988" s="158" t="s">
        <v>377</v>
      </c>
      <c r="J1988" s="142" t="s">
        <v>403</v>
      </c>
      <c r="K1988" s="142" t="s">
        <v>7062</v>
      </c>
      <c r="L1988" s="142" t="s">
        <v>6991</v>
      </c>
      <c r="M1988" s="142" t="s">
        <v>6972</v>
      </c>
      <c r="N1988" s="142" t="s">
        <v>6973</v>
      </c>
      <c r="O1988" s="154" t="s">
        <v>7073</v>
      </c>
      <c r="P1988" s="163" t="s">
        <v>7074</v>
      </c>
      <c r="Q1988" s="144" t="s">
        <v>6976</v>
      </c>
      <c r="R1988"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88" s="145" t="s">
        <v>7075</v>
      </c>
      <c r="T1988" s="57">
        <v>0</v>
      </c>
      <c r="U1988" s="46" t="s">
        <v>6978</v>
      </c>
      <c r="V1988" s="93" t="str">
        <f>+Agencia[[#This Row],[idcoleccion]]&amp;"-"&amp;Agencia[[#This Row],[id]]</f>
        <v>990-1977</v>
      </c>
      <c r="W1988" s="141">
        <v>26200010</v>
      </c>
      <c r="X1988" s="141" t="s">
        <v>6979</v>
      </c>
      <c r="Y1988" s="141" t="s">
        <v>6980</v>
      </c>
      <c r="Z1988" s="141" t="s">
        <v>6981</v>
      </c>
      <c r="AA1988" s="141" t="s">
        <v>7066</v>
      </c>
    </row>
    <row r="1989" spans="1:27" ht="71.400000000000006" x14ac:dyDescent="0.3">
      <c r="A1989" s="21" t="s">
        <v>5118</v>
      </c>
      <c r="B1989" s="142">
        <f t="shared" si="435"/>
        <v>990</v>
      </c>
      <c r="C1989" s="143" t="str">
        <f t="shared" si="436"/>
        <v>Agencia Información</v>
      </c>
      <c r="D1989" s="143" t="str">
        <f t="shared" si="437"/>
        <v>Medio Ambiente</v>
      </c>
      <c r="E1989" s="133">
        <v>3104</v>
      </c>
      <c r="F1989" s="150" t="s">
        <v>7009</v>
      </c>
      <c r="G1989" s="143" t="s">
        <v>1881</v>
      </c>
      <c r="H1989" s="157" t="s">
        <v>16</v>
      </c>
      <c r="I1989" s="158" t="s">
        <v>377</v>
      </c>
      <c r="J1989" s="142" t="s">
        <v>403</v>
      </c>
      <c r="K1989" s="142" t="s">
        <v>7062</v>
      </c>
      <c r="L1989" s="142" t="s">
        <v>6971</v>
      </c>
      <c r="M1989" s="142" t="s">
        <v>6972</v>
      </c>
      <c r="N1989" s="142" t="s">
        <v>6973</v>
      </c>
      <c r="O1989" s="154" t="s">
        <v>7063</v>
      </c>
      <c r="P1989" s="163" t="s">
        <v>7076</v>
      </c>
      <c r="Q1989" s="144" t="s">
        <v>6976</v>
      </c>
      <c r="R1989"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89" s="145" t="s">
        <v>7077</v>
      </c>
      <c r="T1989" s="57">
        <v>0</v>
      </c>
      <c r="U1989" s="46" t="s">
        <v>6978</v>
      </c>
      <c r="V1989" s="93" t="str">
        <f>+Agencia[[#This Row],[idcoleccion]]&amp;"-"&amp;Agencia[[#This Row],[id]]</f>
        <v>990-1978</v>
      </c>
      <c r="W1989" s="141">
        <v>26200010</v>
      </c>
      <c r="X1989" s="141" t="s">
        <v>6979</v>
      </c>
      <c r="Y1989" s="141" t="s">
        <v>6980</v>
      </c>
      <c r="Z1989" s="141" t="s">
        <v>6981</v>
      </c>
      <c r="AA1989" s="141" t="s">
        <v>7066</v>
      </c>
    </row>
    <row r="1990" spans="1:27" ht="71.400000000000006" x14ac:dyDescent="0.3">
      <c r="A1990" s="21" t="s">
        <v>5119</v>
      </c>
      <c r="B1990" s="142">
        <f t="shared" si="435"/>
        <v>990</v>
      </c>
      <c r="C1990" s="143" t="str">
        <f t="shared" si="436"/>
        <v>Agencia Información</v>
      </c>
      <c r="D1990" s="143" t="str">
        <f t="shared" si="437"/>
        <v>Medio Ambiente</v>
      </c>
      <c r="E1990" s="133">
        <v>3104</v>
      </c>
      <c r="F1990" s="150" t="s">
        <v>7009</v>
      </c>
      <c r="G1990" s="143" t="s">
        <v>1881</v>
      </c>
      <c r="H1990" s="157" t="s">
        <v>16</v>
      </c>
      <c r="I1990" s="158" t="s">
        <v>377</v>
      </c>
      <c r="J1990" s="142" t="s">
        <v>403</v>
      </c>
      <c r="K1990" s="142" t="s">
        <v>7062</v>
      </c>
      <c r="L1990" s="142" t="s">
        <v>6983</v>
      </c>
      <c r="M1990" s="142" t="s">
        <v>6972</v>
      </c>
      <c r="N1990" s="142" t="s">
        <v>6973</v>
      </c>
      <c r="O1990" s="154" t="s">
        <v>7067</v>
      </c>
      <c r="P1990" s="163" t="s">
        <v>7078</v>
      </c>
      <c r="Q1990" s="144" t="s">
        <v>6976</v>
      </c>
      <c r="R1990"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0" s="145" t="s">
        <v>7079</v>
      </c>
      <c r="T1990" s="57">
        <v>0</v>
      </c>
      <c r="U1990" s="46" t="s">
        <v>6978</v>
      </c>
      <c r="V1990" s="93" t="str">
        <f>+Agencia[[#This Row],[idcoleccion]]&amp;"-"&amp;Agencia[[#This Row],[id]]</f>
        <v>990-1979</v>
      </c>
      <c r="W1990" s="141">
        <v>26200010</v>
      </c>
      <c r="X1990" s="141" t="s">
        <v>6979</v>
      </c>
      <c r="Y1990" s="141" t="s">
        <v>6980</v>
      </c>
      <c r="Z1990" s="141" t="s">
        <v>6981</v>
      </c>
      <c r="AA1990" s="141" t="s">
        <v>7066</v>
      </c>
    </row>
    <row r="1991" spans="1:27" ht="71.400000000000006" x14ac:dyDescent="0.3">
      <c r="A1991" s="21" t="s">
        <v>5120</v>
      </c>
      <c r="B1991" s="142">
        <f t="shared" si="435"/>
        <v>990</v>
      </c>
      <c r="C1991" s="143" t="str">
        <f t="shared" si="436"/>
        <v>Agencia Información</v>
      </c>
      <c r="D1991" s="143" t="str">
        <f t="shared" si="437"/>
        <v>Medio Ambiente</v>
      </c>
      <c r="E1991" s="133">
        <v>3104</v>
      </c>
      <c r="F1991" s="150" t="s">
        <v>7009</v>
      </c>
      <c r="G1991" s="143" t="s">
        <v>1881</v>
      </c>
      <c r="H1991" s="157" t="s">
        <v>16</v>
      </c>
      <c r="I1991" s="158" t="s">
        <v>377</v>
      </c>
      <c r="J1991" s="142" t="s">
        <v>403</v>
      </c>
      <c r="K1991" s="142" t="s">
        <v>7062</v>
      </c>
      <c r="L1991" s="142" t="s">
        <v>6987</v>
      </c>
      <c r="M1991" s="142" t="s">
        <v>6972</v>
      </c>
      <c r="N1991" s="142" t="s">
        <v>6973</v>
      </c>
      <c r="O1991" s="154" t="s">
        <v>7070</v>
      </c>
      <c r="P1991" s="163" t="s">
        <v>7080</v>
      </c>
      <c r="Q1991" s="144" t="s">
        <v>6976</v>
      </c>
      <c r="R1991"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1" s="145" t="s">
        <v>7081</v>
      </c>
      <c r="T1991" s="57">
        <v>0</v>
      </c>
      <c r="U1991" s="46" t="s">
        <v>6978</v>
      </c>
      <c r="V1991" s="93" t="str">
        <f>+Agencia[[#This Row],[idcoleccion]]&amp;"-"&amp;Agencia[[#This Row],[id]]</f>
        <v>990-1980</v>
      </c>
      <c r="W1991" s="141">
        <v>26200010</v>
      </c>
      <c r="X1991" s="141" t="s">
        <v>6979</v>
      </c>
      <c r="Y1991" s="141" t="s">
        <v>6980</v>
      </c>
      <c r="Z1991" s="141" t="s">
        <v>6981</v>
      </c>
      <c r="AA1991" s="141" t="s">
        <v>7066</v>
      </c>
    </row>
    <row r="1992" spans="1:27" ht="51" x14ac:dyDescent="0.3">
      <c r="A1992" s="21" t="s">
        <v>5121</v>
      </c>
      <c r="B1992" s="142">
        <f t="shared" si="435"/>
        <v>990</v>
      </c>
      <c r="C1992" s="143" t="str">
        <f t="shared" si="436"/>
        <v>Agencia Información</v>
      </c>
      <c r="D1992" s="143" t="str">
        <f t="shared" si="437"/>
        <v>Medio Ambiente</v>
      </c>
      <c r="E1992" s="133">
        <v>3104</v>
      </c>
      <c r="F1992" s="150" t="s">
        <v>7001</v>
      </c>
      <c r="G1992" s="143" t="s">
        <v>1881</v>
      </c>
      <c r="H1992" s="157" t="s">
        <v>16</v>
      </c>
      <c r="I1992" s="158" t="s">
        <v>377</v>
      </c>
      <c r="J1992" s="142" t="s">
        <v>7002</v>
      </c>
      <c r="K1992" s="142" t="s">
        <v>7062</v>
      </c>
      <c r="L1992" s="156" t="s">
        <v>7003</v>
      </c>
      <c r="M1992" s="142" t="s">
        <v>6972</v>
      </c>
      <c r="N1992" s="142" t="s">
        <v>6973</v>
      </c>
      <c r="O1992" s="153" t="s">
        <v>7082</v>
      </c>
      <c r="P1992" s="155" t="s">
        <v>7083</v>
      </c>
      <c r="Q1992" s="144" t="s">
        <v>590</v>
      </c>
      <c r="R1992" s="76" t="s">
        <v>7270</v>
      </c>
      <c r="S1992" s="145" t="s">
        <v>7084</v>
      </c>
      <c r="T1992" s="57">
        <v>0</v>
      </c>
      <c r="U1992" s="46" t="s">
        <v>6978</v>
      </c>
      <c r="V1992" s="93" t="str">
        <f>+Agencia[[#This Row],[idcoleccion]]&amp;"-"&amp;Agencia[[#This Row],[id]]</f>
        <v>990-1981</v>
      </c>
      <c r="W1992" s="141">
        <v>26200010</v>
      </c>
      <c r="X1992" s="141" t="s">
        <v>6979</v>
      </c>
      <c r="Y1992" s="141" t="s">
        <v>7007</v>
      </c>
      <c r="Z1992" s="141" t="s">
        <v>7008</v>
      </c>
      <c r="AA1992" s="141" t="s">
        <v>7066</v>
      </c>
    </row>
    <row r="1993" spans="1:27" ht="71.400000000000006" x14ac:dyDescent="0.3">
      <c r="A1993" s="164" t="s">
        <v>5122</v>
      </c>
      <c r="B1993" s="38">
        <f t="shared" si="435"/>
        <v>990</v>
      </c>
      <c r="C1993" s="103" t="str">
        <f t="shared" si="436"/>
        <v>Agencia Información</v>
      </c>
      <c r="D1993" s="103" t="str">
        <f t="shared" si="437"/>
        <v>Medio Ambiente</v>
      </c>
      <c r="E1993" s="165">
        <v>3104</v>
      </c>
      <c r="F1993" s="103" t="s">
        <v>6969</v>
      </c>
      <c r="G1993" s="143" t="s">
        <v>1881</v>
      </c>
      <c r="H1993" s="157" t="s">
        <v>16</v>
      </c>
      <c r="I1993" s="158" t="s">
        <v>377</v>
      </c>
      <c r="J1993" s="142" t="s">
        <v>403</v>
      </c>
      <c r="K1993" s="142" t="s">
        <v>7062</v>
      </c>
      <c r="L1993" s="142" t="s">
        <v>6971</v>
      </c>
      <c r="M1993" s="142" t="s">
        <v>6972</v>
      </c>
      <c r="N1993" s="142" t="s">
        <v>6973</v>
      </c>
      <c r="O1993" s="154" t="s">
        <v>7085</v>
      </c>
      <c r="P1993" s="154" t="s">
        <v>7064</v>
      </c>
      <c r="Q1993" s="144" t="s">
        <v>7011</v>
      </c>
      <c r="R1993"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3" s="132" t="s">
        <v>7262</v>
      </c>
      <c r="T1993" s="57">
        <v>0</v>
      </c>
      <c r="U1993" s="46" t="s">
        <v>6978</v>
      </c>
      <c r="V1993" s="93" t="str">
        <f>+Agencia[[#This Row],[idcoleccion]]&amp;"-"&amp;Agencia[[#This Row],[id]]</f>
        <v>990-1982</v>
      </c>
      <c r="W1993" s="141">
        <v>26200010</v>
      </c>
      <c r="X1993" s="141" t="s">
        <v>6979</v>
      </c>
      <c r="Y1993" s="141" t="s">
        <v>7012</v>
      </c>
      <c r="Z1993" s="141" t="s">
        <v>6981</v>
      </c>
      <c r="AA1993" s="141" t="s">
        <v>7066</v>
      </c>
    </row>
    <row r="1994" spans="1:27" ht="71.400000000000006" x14ac:dyDescent="0.3">
      <c r="A1994" s="164" t="s">
        <v>5123</v>
      </c>
      <c r="B1994" s="38">
        <f t="shared" si="435"/>
        <v>990</v>
      </c>
      <c r="C1994" s="103" t="str">
        <f t="shared" si="436"/>
        <v>Agencia Información</v>
      </c>
      <c r="D1994" s="103" t="str">
        <f t="shared" si="437"/>
        <v>Medio Ambiente</v>
      </c>
      <c r="E1994" s="165">
        <v>3104</v>
      </c>
      <c r="F1994" s="103" t="s">
        <v>6969</v>
      </c>
      <c r="G1994" s="143" t="s">
        <v>1881</v>
      </c>
      <c r="H1994" s="157" t="s">
        <v>16</v>
      </c>
      <c r="I1994" s="158" t="s">
        <v>377</v>
      </c>
      <c r="J1994" s="142" t="s">
        <v>403</v>
      </c>
      <c r="K1994" s="142" t="s">
        <v>7062</v>
      </c>
      <c r="L1994" s="142" t="s">
        <v>6983</v>
      </c>
      <c r="M1994" s="142" t="s">
        <v>6972</v>
      </c>
      <c r="N1994" s="142" t="s">
        <v>6973</v>
      </c>
      <c r="O1994" s="154" t="s">
        <v>7086</v>
      </c>
      <c r="P1994" s="154" t="s">
        <v>7068</v>
      </c>
      <c r="Q1994" s="144" t="s">
        <v>7011</v>
      </c>
      <c r="R1994"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4" s="132" t="s">
        <v>7263</v>
      </c>
      <c r="T1994" s="57">
        <v>0</v>
      </c>
      <c r="U1994" s="46" t="s">
        <v>6978</v>
      </c>
      <c r="V1994" s="93" t="str">
        <f>+Agencia[[#This Row],[idcoleccion]]&amp;"-"&amp;Agencia[[#This Row],[id]]</f>
        <v>990-1983</v>
      </c>
      <c r="W1994" s="141">
        <v>26200010</v>
      </c>
      <c r="X1994" s="141" t="s">
        <v>6979</v>
      </c>
      <c r="Y1994" s="141" t="s">
        <v>7012</v>
      </c>
      <c r="Z1994" s="141" t="s">
        <v>6981</v>
      </c>
      <c r="AA1994" s="141" t="s">
        <v>7066</v>
      </c>
    </row>
    <row r="1995" spans="1:27" ht="71.400000000000006" x14ac:dyDescent="0.3">
      <c r="A1995" s="164" t="s">
        <v>5124</v>
      </c>
      <c r="B1995" s="38">
        <f t="shared" si="435"/>
        <v>990</v>
      </c>
      <c r="C1995" s="103" t="str">
        <f t="shared" si="436"/>
        <v>Agencia Información</v>
      </c>
      <c r="D1995" s="103" t="str">
        <f t="shared" si="437"/>
        <v>Medio Ambiente</v>
      </c>
      <c r="E1995" s="165">
        <v>3104</v>
      </c>
      <c r="F1995" s="103" t="s">
        <v>6969</v>
      </c>
      <c r="G1995" s="143" t="s">
        <v>1881</v>
      </c>
      <c r="H1995" s="157" t="s">
        <v>16</v>
      </c>
      <c r="I1995" s="158" t="s">
        <v>377</v>
      </c>
      <c r="J1995" s="142" t="s">
        <v>403</v>
      </c>
      <c r="K1995" s="142" t="s">
        <v>7062</v>
      </c>
      <c r="L1995" s="142" t="s">
        <v>6987</v>
      </c>
      <c r="M1995" s="142" t="s">
        <v>6972</v>
      </c>
      <c r="N1995" s="142" t="s">
        <v>6973</v>
      </c>
      <c r="O1995" s="154" t="s">
        <v>7087</v>
      </c>
      <c r="P1995" s="154" t="s">
        <v>7071</v>
      </c>
      <c r="Q1995" s="144" t="s">
        <v>7011</v>
      </c>
      <c r="R1995"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5" s="132" t="s">
        <v>7264</v>
      </c>
      <c r="T1995" s="57">
        <v>0</v>
      </c>
      <c r="U1995" s="46" t="s">
        <v>6978</v>
      </c>
      <c r="V1995" s="93" t="str">
        <f>+Agencia[[#This Row],[idcoleccion]]&amp;"-"&amp;Agencia[[#This Row],[id]]</f>
        <v>990-1984</v>
      </c>
      <c r="W1995" s="141">
        <v>26200010</v>
      </c>
      <c r="X1995" s="141" t="s">
        <v>6979</v>
      </c>
      <c r="Y1995" s="141" t="s">
        <v>7012</v>
      </c>
      <c r="Z1995" s="141" t="s">
        <v>6981</v>
      </c>
      <c r="AA1995" s="141" t="s">
        <v>7066</v>
      </c>
    </row>
    <row r="1996" spans="1:27" ht="71.400000000000006" x14ac:dyDescent="0.3">
      <c r="A1996" s="164" t="s">
        <v>5125</v>
      </c>
      <c r="B1996" s="38">
        <f t="shared" si="435"/>
        <v>990</v>
      </c>
      <c r="C1996" s="103" t="str">
        <f t="shared" si="436"/>
        <v>Agencia Información</v>
      </c>
      <c r="D1996" s="103" t="str">
        <f t="shared" si="437"/>
        <v>Medio Ambiente</v>
      </c>
      <c r="E1996" s="165">
        <v>3104</v>
      </c>
      <c r="F1996" s="103" t="s">
        <v>6969</v>
      </c>
      <c r="G1996" s="143" t="s">
        <v>1881</v>
      </c>
      <c r="H1996" s="157" t="s">
        <v>16</v>
      </c>
      <c r="I1996" s="158" t="s">
        <v>377</v>
      </c>
      <c r="J1996" s="142" t="s">
        <v>403</v>
      </c>
      <c r="K1996" s="142" t="s">
        <v>7062</v>
      </c>
      <c r="L1996" s="142" t="s">
        <v>6991</v>
      </c>
      <c r="M1996" s="142" t="s">
        <v>6972</v>
      </c>
      <c r="N1996" s="142" t="s">
        <v>6973</v>
      </c>
      <c r="O1996" s="154" t="s">
        <v>7088</v>
      </c>
      <c r="P1996" s="154" t="s">
        <v>7074</v>
      </c>
      <c r="Q1996" s="144" t="s">
        <v>7011</v>
      </c>
      <c r="R1996"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seca (Ene-Abr),Glaciares</v>
      </c>
      <c r="S1996" s="132" t="s">
        <v>7265</v>
      </c>
      <c r="T1996" s="57">
        <v>0</v>
      </c>
      <c r="U1996" s="46" t="s">
        <v>6978</v>
      </c>
      <c r="V1996" s="93" t="str">
        <f>+Agencia[[#This Row],[idcoleccion]]&amp;"-"&amp;Agencia[[#This Row],[id]]</f>
        <v>990-1985</v>
      </c>
      <c r="W1996" s="141">
        <v>26200010</v>
      </c>
      <c r="X1996" s="141" t="s">
        <v>6979</v>
      </c>
      <c r="Y1996" s="141" t="s">
        <v>7012</v>
      </c>
      <c r="Z1996" s="141" t="s">
        <v>6981</v>
      </c>
      <c r="AA1996" s="141" t="s">
        <v>7066</v>
      </c>
    </row>
    <row r="1997" spans="1:27" ht="71.400000000000006" x14ac:dyDescent="0.3">
      <c r="A1997" s="21" t="s">
        <v>5126</v>
      </c>
      <c r="B1997" s="142">
        <f t="shared" si="435"/>
        <v>990</v>
      </c>
      <c r="C1997" s="143" t="str">
        <f t="shared" si="436"/>
        <v>Agencia Información</v>
      </c>
      <c r="D1997" s="143" t="str">
        <f t="shared" si="437"/>
        <v>Medio Ambiente</v>
      </c>
      <c r="E1997" s="133">
        <v>3104</v>
      </c>
      <c r="F1997" s="150" t="s">
        <v>7009</v>
      </c>
      <c r="G1997" s="143" t="s">
        <v>1881</v>
      </c>
      <c r="H1997" s="157" t="s">
        <v>16</v>
      </c>
      <c r="I1997" s="158" t="s">
        <v>377</v>
      </c>
      <c r="J1997" s="142" t="s">
        <v>403</v>
      </c>
      <c r="K1997" s="142" t="s">
        <v>7062</v>
      </c>
      <c r="L1997" s="142" t="s">
        <v>6971</v>
      </c>
      <c r="M1997" s="142" t="s">
        <v>6972</v>
      </c>
      <c r="N1997" s="142" t="s">
        <v>6973</v>
      </c>
      <c r="O1997" s="154" t="s">
        <v>7085</v>
      </c>
      <c r="P1997" s="154" t="s">
        <v>7076</v>
      </c>
      <c r="Q1997" s="144" t="s">
        <v>7011</v>
      </c>
      <c r="R1997"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7" s="132" t="s">
        <v>7266</v>
      </c>
      <c r="T1997" s="57">
        <v>0</v>
      </c>
      <c r="U1997" s="46" t="s">
        <v>6978</v>
      </c>
      <c r="V1997" s="93" t="str">
        <f>+Agencia[[#This Row],[idcoleccion]]&amp;"-"&amp;Agencia[[#This Row],[id]]</f>
        <v>990-1986</v>
      </c>
      <c r="W1997" s="141">
        <v>26200010</v>
      </c>
      <c r="X1997" s="141" t="s">
        <v>6979</v>
      </c>
      <c r="Y1997" s="141" t="s">
        <v>7012</v>
      </c>
      <c r="Z1997" s="141" t="s">
        <v>6981</v>
      </c>
      <c r="AA1997" s="141" t="s">
        <v>7066</v>
      </c>
    </row>
    <row r="1998" spans="1:27" ht="71.400000000000006" x14ac:dyDescent="0.3">
      <c r="A1998" s="21" t="s">
        <v>5127</v>
      </c>
      <c r="B1998" s="142">
        <f t="shared" si="435"/>
        <v>990</v>
      </c>
      <c r="C1998" s="143" t="str">
        <f t="shared" si="436"/>
        <v>Agencia Información</v>
      </c>
      <c r="D1998" s="143" t="str">
        <f t="shared" si="437"/>
        <v>Medio Ambiente</v>
      </c>
      <c r="E1998" s="133">
        <v>3104</v>
      </c>
      <c r="F1998" s="150" t="s">
        <v>7009</v>
      </c>
      <c r="G1998" s="143" t="s">
        <v>1881</v>
      </c>
      <c r="H1998" s="157" t="s">
        <v>16</v>
      </c>
      <c r="I1998" s="158" t="s">
        <v>377</v>
      </c>
      <c r="J1998" s="142" t="s">
        <v>403</v>
      </c>
      <c r="K1998" s="142" t="s">
        <v>7062</v>
      </c>
      <c r="L1998" s="142" t="s">
        <v>6983</v>
      </c>
      <c r="M1998" s="142" t="s">
        <v>6972</v>
      </c>
      <c r="N1998" s="142" t="s">
        <v>6973</v>
      </c>
      <c r="O1998" s="154" t="s">
        <v>7086</v>
      </c>
      <c r="P1998" s="154" t="s">
        <v>7078</v>
      </c>
      <c r="Q1998" s="144" t="s">
        <v>7011</v>
      </c>
      <c r="R1998"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8" s="132" t="s">
        <v>7267</v>
      </c>
      <c r="T1998" s="57">
        <v>0</v>
      </c>
      <c r="U1998" s="46" t="s">
        <v>6978</v>
      </c>
      <c r="V1998" s="93" t="str">
        <f>+Agencia[[#This Row],[idcoleccion]]&amp;"-"&amp;Agencia[[#This Row],[id]]</f>
        <v>990-1987</v>
      </c>
      <c r="W1998" s="141">
        <v>26200010</v>
      </c>
      <c r="X1998" s="141" t="s">
        <v>6979</v>
      </c>
      <c r="Y1998" s="141" t="s">
        <v>7012</v>
      </c>
      <c r="Z1998" s="141" t="s">
        <v>6981</v>
      </c>
      <c r="AA1998" s="141" t="s">
        <v>7066</v>
      </c>
    </row>
    <row r="1999" spans="1:27" ht="71.400000000000006" x14ac:dyDescent="0.3">
      <c r="A1999" s="21" t="s">
        <v>5128</v>
      </c>
      <c r="B1999" s="142">
        <f t="shared" si="435"/>
        <v>990</v>
      </c>
      <c r="C1999" s="143" t="str">
        <f t="shared" si="436"/>
        <v>Agencia Información</v>
      </c>
      <c r="D1999" s="143" t="str">
        <f t="shared" si="437"/>
        <v>Medio Ambiente</v>
      </c>
      <c r="E1999" s="133">
        <v>3104</v>
      </c>
      <c r="F1999" s="150" t="s">
        <v>7009</v>
      </c>
      <c r="G1999" s="143" t="s">
        <v>1881</v>
      </c>
      <c r="H1999" s="157" t="s">
        <v>16</v>
      </c>
      <c r="I1999" s="158" t="s">
        <v>377</v>
      </c>
      <c r="J1999" s="142" t="s">
        <v>403</v>
      </c>
      <c r="K1999" s="142" t="s">
        <v>7062</v>
      </c>
      <c r="L1999" s="142" t="s">
        <v>6987</v>
      </c>
      <c r="M1999" s="142" t="s">
        <v>6972</v>
      </c>
      <c r="N1999" s="142" t="s">
        <v>6973</v>
      </c>
      <c r="O1999" s="154" t="s">
        <v>7087</v>
      </c>
      <c r="P1999" s="154" t="s">
        <v>7080</v>
      </c>
      <c r="Q1999" s="144" t="s">
        <v>7011</v>
      </c>
      <c r="R1999"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Ambiente,Dinámica de Cambio de Glaciares en temporada fria (May-Dic),Glaciares</v>
      </c>
      <c r="S1999" s="132" t="s">
        <v>7268</v>
      </c>
      <c r="T1999" s="57">
        <v>0</v>
      </c>
      <c r="U1999" s="46" t="s">
        <v>6978</v>
      </c>
      <c r="V1999" s="93" t="str">
        <f>+Agencia[[#This Row],[idcoleccion]]&amp;"-"&amp;Agencia[[#This Row],[id]]</f>
        <v>990-1988</v>
      </c>
      <c r="W1999" s="141">
        <v>26200010</v>
      </c>
      <c r="X1999" s="141" t="s">
        <v>6979</v>
      </c>
      <c r="Y1999" s="141" t="s">
        <v>7012</v>
      </c>
      <c r="Z1999" s="141" t="s">
        <v>6981</v>
      </c>
      <c r="AA1999" s="141" t="s">
        <v>7066</v>
      </c>
    </row>
    <row r="2000" spans="1:27" ht="71.400000000000006" x14ac:dyDescent="0.3">
      <c r="A2000" s="21" t="s">
        <v>5129</v>
      </c>
      <c r="B2000" s="142">
        <f t="shared" si="435"/>
        <v>990</v>
      </c>
      <c r="C2000" s="143" t="str">
        <f t="shared" si="436"/>
        <v>Agencia Información</v>
      </c>
      <c r="D2000" s="143" t="str">
        <f t="shared" si="437"/>
        <v>Medio Ambiente</v>
      </c>
      <c r="E2000" s="133">
        <v>3104</v>
      </c>
      <c r="F2000" s="150" t="s">
        <v>7016</v>
      </c>
      <c r="G2000" s="143" t="s">
        <v>1881</v>
      </c>
      <c r="H2000" s="157" t="s">
        <v>16</v>
      </c>
      <c r="I2000" s="158" t="s">
        <v>377</v>
      </c>
      <c r="J2000" s="142" t="s">
        <v>403</v>
      </c>
      <c r="K2000" s="142" t="s">
        <v>7062</v>
      </c>
      <c r="L2000" s="142" t="s">
        <v>7003</v>
      </c>
      <c r="M2000" s="142" t="s">
        <v>6972</v>
      </c>
      <c r="N2000" s="142" t="s">
        <v>6973</v>
      </c>
      <c r="O2000" s="159" t="s">
        <v>7089</v>
      </c>
      <c r="P2000" s="162" t="s">
        <v>7090</v>
      </c>
      <c r="Q2000" s="144" t="s">
        <v>6976</v>
      </c>
      <c r="R2000"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Ambiente,Superficie de Glaciares,Glaciares</v>
      </c>
      <c r="S2000" s="145" t="s">
        <v>7091</v>
      </c>
      <c r="T2000" s="57">
        <v>0</v>
      </c>
      <c r="U2000" s="46" t="s">
        <v>6978</v>
      </c>
      <c r="V2000" s="93" t="str">
        <f>+Agencia[[#This Row],[idcoleccion]]&amp;"-"&amp;Agencia[[#This Row],[id]]</f>
        <v>990-1989</v>
      </c>
      <c r="W2000" s="141">
        <v>26200010</v>
      </c>
      <c r="X2000" s="141" t="s">
        <v>7020</v>
      </c>
      <c r="Y2000" s="141" t="s">
        <v>7021</v>
      </c>
      <c r="Z2000" s="141" t="s">
        <v>6981</v>
      </c>
      <c r="AA2000" s="141" t="s">
        <v>7066</v>
      </c>
    </row>
    <row r="2001" spans="1:27" ht="61.2" x14ac:dyDescent="0.3">
      <c r="A2001" s="21" t="s">
        <v>5130</v>
      </c>
      <c r="B2001" s="142">
        <f t="shared" si="435"/>
        <v>990</v>
      </c>
      <c r="C2001" s="143" t="str">
        <f t="shared" si="436"/>
        <v>Agencia Información</v>
      </c>
      <c r="D2001" s="143" t="str">
        <f t="shared" si="437"/>
        <v>Medio Ambiente</v>
      </c>
      <c r="E2001" s="133">
        <v>3104</v>
      </c>
      <c r="F2001" s="150" t="s">
        <v>7016</v>
      </c>
      <c r="G2001" s="143" t="s">
        <v>1881</v>
      </c>
      <c r="H2001" s="157" t="s">
        <v>16</v>
      </c>
      <c r="I2001" s="158" t="s">
        <v>377</v>
      </c>
      <c r="J2001" s="142" t="s">
        <v>7002</v>
      </c>
      <c r="K2001" s="142" t="s">
        <v>7062</v>
      </c>
      <c r="L2001" s="142" t="s">
        <v>7003</v>
      </c>
      <c r="M2001" s="142" t="s">
        <v>6972</v>
      </c>
      <c r="N2001" s="142" t="s">
        <v>6973</v>
      </c>
      <c r="O2001" s="159" t="s">
        <v>7092</v>
      </c>
      <c r="P2001" s="159" t="s">
        <v>7093</v>
      </c>
      <c r="Q2001" s="144" t="s">
        <v>590</v>
      </c>
      <c r="R2001"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Ambiente,Superficie de Glaciares,Glaciares</v>
      </c>
      <c r="S2001" s="145" t="s">
        <v>7094</v>
      </c>
      <c r="T2001" s="57">
        <v>0</v>
      </c>
      <c r="U2001" s="46" t="s">
        <v>6978</v>
      </c>
      <c r="V2001" s="93" t="str">
        <f>+Agencia[[#This Row],[idcoleccion]]&amp;"-"&amp;Agencia[[#This Row],[id]]</f>
        <v>990-1990</v>
      </c>
      <c r="W2001" s="141">
        <v>26200010</v>
      </c>
      <c r="X2001" s="141" t="s">
        <v>7020</v>
      </c>
      <c r="Y2001" s="141" t="s">
        <v>7021</v>
      </c>
      <c r="Z2001" s="141" t="s">
        <v>7008</v>
      </c>
      <c r="AA2001" s="141" t="s">
        <v>7066</v>
      </c>
    </row>
    <row r="2002" spans="1:27" ht="71.400000000000006" x14ac:dyDescent="0.3">
      <c r="A2002" s="21" t="s">
        <v>5131</v>
      </c>
      <c r="B2002" s="142">
        <f t="shared" si="435"/>
        <v>990</v>
      </c>
      <c r="C2002" s="143" t="str">
        <f t="shared" si="436"/>
        <v>Agencia Información</v>
      </c>
      <c r="D2002" s="143" t="str">
        <f t="shared" si="437"/>
        <v>Medio Ambiente</v>
      </c>
      <c r="E2002" s="133">
        <v>3104</v>
      </c>
      <c r="F2002" s="150" t="s">
        <v>7016</v>
      </c>
      <c r="G2002" s="143" t="s">
        <v>1881</v>
      </c>
      <c r="H2002" s="157" t="s">
        <v>16</v>
      </c>
      <c r="I2002" s="158" t="s">
        <v>377</v>
      </c>
      <c r="J2002" s="142" t="s">
        <v>403</v>
      </c>
      <c r="K2002" s="142" t="s">
        <v>7062</v>
      </c>
      <c r="L2002" s="142" t="s">
        <v>7003</v>
      </c>
      <c r="M2002" s="142" t="s">
        <v>6972</v>
      </c>
      <c r="N2002" s="142" t="s">
        <v>6973</v>
      </c>
      <c r="O2002" s="159" t="s">
        <v>7095</v>
      </c>
      <c r="P2002" s="162" t="s">
        <v>7090</v>
      </c>
      <c r="Q2002" s="144" t="s">
        <v>7011</v>
      </c>
      <c r="R2002" s="154" t="str">
        <f>Agencia[[#This Row],[territorio]]&amp;",glaciar,Chile,nieve,SENTINEL,satelital,derretimiento,volcán,Osorno,Puerto Varas,Puerto Octay,dinámica,mapa,"&amp;Agencia[[#This Row],[coleccion]]&amp;","&amp;Agencia[[#This Row],[sector]]&amp;","&amp;Agencia[[#This Row],[tema]]&amp;","&amp;Agencia[[#This Row],[contenido]]</f>
        <v>Región de Los Lagos,glaciar,Chile,nieve,SENTINEL,satelital,derretimiento,volcán,Osorno,Puerto Varas,Puerto Octay,dinámica,mapa,Agencia Información,Medio Ambiente,Superficie de Glaciares,Glaciares</v>
      </c>
      <c r="S2002" s="145" t="s">
        <v>7096</v>
      </c>
      <c r="T2002" s="57">
        <v>0</v>
      </c>
      <c r="U2002" s="46" t="s">
        <v>6978</v>
      </c>
      <c r="V2002" s="93" t="str">
        <f>+Agencia[[#This Row],[idcoleccion]]&amp;"-"&amp;Agencia[[#This Row],[id]]</f>
        <v>990-1991</v>
      </c>
      <c r="W2002" s="100">
        <v>26200010</v>
      </c>
      <c r="X2002" s="141" t="s">
        <v>7020</v>
      </c>
      <c r="Y2002" s="141" t="s">
        <v>7021</v>
      </c>
      <c r="Z2002" s="141" t="s">
        <v>6981</v>
      </c>
      <c r="AA2002" s="141" t="s">
        <v>7066</v>
      </c>
    </row>
  </sheetData>
  <phoneticPr fontId="7" type="noConversion"/>
  <hyperlinks>
    <hyperlink ref="S80" r:id="rId1" xr:uid="{A30A7E42-63C1-4979-AC16-5A814C3F082D}"/>
    <hyperlink ref="S189" r:id="rId2" xr:uid="{6E4E9460-98A2-449E-A42F-2ED6FB53128C}"/>
    <hyperlink ref="S113" r:id="rId3" xr:uid="{2CC9BFEE-53A0-45AC-AE1C-2237FECC3FC4}"/>
    <hyperlink ref="S114" r:id="rId4" xr:uid="{AD0AAD0F-4F84-4D5B-9C14-E35B50AF0F9E}"/>
    <hyperlink ref="S190" r:id="rId5" xr:uid="{742483BF-E7D4-4DE2-869F-18F9C7BC07A4}"/>
    <hyperlink ref="S207" r:id="rId6" xr:uid="{9759B77C-1BA8-4EDD-A246-6B9684C196A6}"/>
    <hyperlink ref="S224" r:id="rId7" xr:uid="{0059D6F5-80FA-4163-9A54-E7FB8BB201D4}"/>
    <hyperlink ref="S225" r:id="rId8" xr:uid="{233D8E14-3AC9-42E8-A768-EBFEB5774EDA}"/>
    <hyperlink ref="S239" r:id="rId9" xr:uid="{43C488C6-3E84-4C16-A428-69C607C0DEE0}"/>
    <hyperlink ref="S172" r:id="rId10" xr:uid="{8499B293-5A53-4A05-8D30-25059DABC43F}"/>
    <hyperlink ref="S251" r:id="rId11" xr:uid="{45E968DD-C7D2-491C-99FA-FB823982068A}"/>
    <hyperlink ref="S285" r:id="rId12" xr:uid="{B0AFAEAE-7ABF-47A2-81C0-BD174CAB8B92}"/>
    <hyperlink ref="S286" r:id="rId13" xr:uid="{4A94DC98-AB02-4B73-9AB1-8B8DBF08EAD4}"/>
    <hyperlink ref="S287" r:id="rId14" xr:uid="{6AA2AE20-A717-46F5-9299-15BC9108EC74}"/>
    <hyperlink ref="S288" r:id="rId15" xr:uid="{F06FA470-4FFB-462F-87B2-EDF72FE934DC}"/>
    <hyperlink ref="S180" r:id="rId16" xr:uid="{BFA9A15B-D69F-413A-AC87-FF87201AFC31}"/>
    <hyperlink ref="S183" r:id="rId17" xr:uid="{C88805A7-7F7B-43DD-B543-D57B2788BFFC}"/>
    <hyperlink ref="S176" r:id="rId18" xr:uid="{7FE50314-611D-4B24-ACE7-F8798A9DED29}"/>
    <hyperlink ref="S175" r:id="rId19" xr:uid="{6CD0D786-3FF3-434F-AD51-A9EB82DACE93}"/>
    <hyperlink ref="S181" r:id="rId20" xr:uid="{F06F0456-EBB1-425D-AA1F-9E004948B107}"/>
    <hyperlink ref="S182" r:id="rId21" xr:uid="{CBA880E9-6649-4183-90F3-407E193C5820}"/>
    <hyperlink ref="S186" r:id="rId22" xr:uid="{EDB7622A-4F5F-40D6-B94D-BC58D56D4B2C}"/>
    <hyperlink ref="S184" r:id="rId23" xr:uid="{AAB4CAB4-DCEF-4A50-90E7-5C8E012C4E06}"/>
    <hyperlink ref="S179" r:id="rId24" xr:uid="{276948C5-DF47-4513-A8D2-620A784F1D90}"/>
    <hyperlink ref="S185" r:id="rId25" xr:uid="{C5B4648E-C84D-4A75-B6C2-3D12F57AB91C}"/>
    <hyperlink ref="S188" r:id="rId26" xr:uid="{4D3CC608-8E28-48AA-BDA7-494768306BBD}"/>
    <hyperlink ref="S187" r:id="rId27" xr:uid="{1690FB1D-0B54-44BF-90D6-8A8EEB49C3AF}"/>
    <hyperlink ref="S173" r:id="rId28" xr:uid="{E262F185-043E-4AD6-9DAD-B27098E1C3B8}"/>
    <hyperlink ref="S178" r:id="rId29" xr:uid="{5D888AB2-2D93-4644-9762-C7BCD8179DE5}"/>
    <hyperlink ref="S177" r:id="rId30" xr:uid="{E01C1A6A-60A5-4467-A4F9-E1F956AC32FF}"/>
    <hyperlink ref="S306" r:id="rId31" xr:uid="{D4D515C0-6F07-408F-8281-31719FEFB364}"/>
    <hyperlink ref="S155" r:id="rId32" xr:uid="{263F55EE-69B7-4274-A630-96BB5573A6AC}"/>
    <hyperlink ref="S45" r:id="rId33" xr:uid="{FF93A996-34A2-43A4-8EC6-6F44EF7446E2}"/>
    <hyperlink ref="S12" r:id="rId34" xr:uid="{DDAECDCF-01C9-47CC-8E17-9C16F99CB418}"/>
    <hyperlink ref="S63" r:id="rId35" xr:uid="{D28EDB3A-94EE-4691-8DB4-84671B3EDC8C}"/>
    <hyperlink ref="S374" r:id="rId36" xr:uid="{FD3DD36E-1031-40D7-8002-FE5D9D6AC477}"/>
    <hyperlink ref="S412" r:id="rId37" xr:uid="{20655E3A-01A6-48F5-BF22-AB5F16BD0F85}"/>
    <hyperlink ref="S411" r:id="rId38" xr:uid="{1A940E07-CF5B-4EB4-952E-72C1E5EE930F}"/>
    <hyperlink ref="S413" r:id="rId39" xr:uid="{6F60F236-1830-470E-9261-81F37D3385CE}"/>
    <hyperlink ref="S414" r:id="rId40" xr:uid="{C0798DE3-8179-4E7F-B13B-2DBB2EE5E97C}"/>
    <hyperlink ref="S415" r:id="rId41" xr:uid="{C5C0C833-F1B3-44E7-8E3F-80E5A1B6FF27}"/>
    <hyperlink ref="S335" r:id="rId42" xr:uid="{D1E75862-055C-4A2B-9C47-AC5F8F0F64B0}"/>
    <hyperlink ref="S336" r:id="rId43" xr:uid="{2914894D-8D00-428B-A8A3-DD24D131542D}"/>
    <hyperlink ref="S337" r:id="rId44" xr:uid="{1A8112AA-FD00-4314-9982-D56C57BAE2E7}"/>
    <hyperlink ref="S289" r:id="rId45" xr:uid="{622AF067-9DB0-47DE-A902-8FF831BB0029}"/>
    <hyperlink ref="S268" r:id="rId46" xr:uid="{495647D8-9CFC-4A81-BA05-2C36BFDA2FD1}"/>
    <hyperlink ref="S324" r:id="rId47" xr:uid="{24F07DA8-0D76-4A58-9640-D375D7812C8C}"/>
    <hyperlink ref="S62" r:id="rId48" xr:uid="{4D7FD9ED-6387-4648-8571-D751E2FFDA8D}"/>
    <hyperlink ref="S376" r:id="rId49" xr:uid="{30A464ED-FC77-48DD-9849-B6C5C1767B6E}"/>
    <hyperlink ref="S375" r:id="rId50" xr:uid="{694CE424-C0E9-4159-B733-057DBD2B1667}"/>
    <hyperlink ref="S416" r:id="rId51" xr:uid="{B389E16A-3876-4E82-B79E-37D0D6C6D804}"/>
    <hyperlink ref="S467" r:id="rId52" xr:uid="{7BE0516D-E58D-4DF1-BD0B-8C853BCAFAE2}"/>
    <hyperlink ref="S484" r:id="rId53" xr:uid="{33D41F02-D2D7-48D1-8511-19607010C319}"/>
    <hyperlink ref="S501" r:id="rId54" xr:uid="{B10DE35A-5EC1-4739-A07F-D8D10D9439FC}"/>
    <hyperlink ref="S518" r:id="rId55" xr:uid="{7FBB48AD-CF9C-490F-9B8C-B9B1368A36A4}"/>
    <hyperlink ref="S535" r:id="rId56" xr:uid="{ED2D28F2-F065-4CED-8B6F-7BBB7114896A}"/>
    <hyperlink ref="S537" r:id="rId57" xr:uid="{39D1CB1B-06AE-4B85-BFAA-AA8A3050D372}"/>
    <hyperlink ref="S573" r:id="rId58" xr:uid="{FD458431-A3E9-4A9C-86FB-76EC3FB6C34B}"/>
    <hyperlink ref="S556" r:id="rId59" xr:uid="{E772543D-E914-4C06-B026-D788C9733A09}"/>
    <hyperlink ref="S607" r:id="rId60" xr:uid="{E1E8DB76-86F2-437A-83EA-B9A841F9FC0D}"/>
    <hyperlink ref="S624" r:id="rId61" xr:uid="{88DA84A9-5BD1-42E4-8247-4F88B364A48A}"/>
    <hyperlink ref="S641" r:id="rId62" xr:uid="{4D0359BB-F729-4E86-9F35-6EF745C1C137}"/>
    <hyperlink ref="S642" r:id="rId63" xr:uid="{B0130471-6D1B-469D-9D8C-EC477BC9E8F7}"/>
    <hyperlink ref="S676" r:id="rId64" xr:uid="{4AB80F54-27D3-4689-8EC8-931DB3F34DA0}"/>
    <hyperlink ref="S716" r:id="rId65" xr:uid="{BFD87403-B95C-4349-B625-55E959367297}"/>
    <hyperlink ref="S816" r:id="rId66" xr:uid="{E45A50FD-FD10-47C2-B435-0B16598199E7}"/>
    <hyperlink ref="S867" r:id="rId67" xr:uid="{60E96B0F-B648-4127-A436-D2326ECCB523}"/>
    <hyperlink ref="S884" r:id="rId68" xr:uid="{039CC69B-0414-44BC-8C9A-9511CAD2BAC0}"/>
    <hyperlink ref="S901" r:id="rId69" xr:uid="{FB8785BD-5F65-4ADA-ACBC-BC49A6E6B411}"/>
    <hyperlink ref="S918" r:id="rId70" xr:uid="{781401B5-9BE6-4234-96B4-0B41E71DDE7C}"/>
    <hyperlink ref="S952" r:id="rId71" xr:uid="{8FAE488E-1424-418D-B295-B851346A7613}"/>
    <hyperlink ref="S115" r:id="rId72" xr:uid="{76ABDF80-F405-4B91-AAB0-7C706F3B73E7}"/>
    <hyperlink ref="S135" r:id="rId73" xr:uid="{DC3A1EF8-2FA0-4D1F-9137-E67AB3F80FF8}"/>
    <hyperlink ref="S386" r:id="rId74" xr:uid="{C4BA0AF7-68C5-4AFA-B5DD-31B5BA54BAD6}"/>
    <hyperlink ref="S392" r:id="rId75" xr:uid="{E46F3D33-0F0E-4AC1-A319-7909322739D4}"/>
    <hyperlink ref="S391" r:id="rId76" xr:uid="{F23A3C0D-B135-4515-8699-1F927154AC84}"/>
    <hyperlink ref="S377" r:id="rId77" xr:uid="{FA46DF4E-7410-4324-9960-0D2EDCB3308B}"/>
    <hyperlink ref="S378" r:id="rId78" xr:uid="{7CBD90FD-7322-45D9-B4B2-D18D18C4EC0A}"/>
    <hyperlink ref="S379" r:id="rId79" xr:uid="{162CF66C-B88D-4B61-BD4D-C9A743E8DAA1}"/>
    <hyperlink ref="S986" r:id="rId80" xr:uid="{C2AD9C16-4A44-4B2D-B772-CA7AB9F2661A}"/>
    <hyperlink ref="S1020" r:id="rId81" xr:uid="{53C8BDFE-C8FF-45EE-8420-416F8D6647FB}"/>
    <hyperlink ref="S1037" r:id="rId82" xr:uid="{6112089B-1ADF-454D-B853-FE9619DE6EA2}"/>
    <hyperlink ref="S1105" r:id="rId83" xr:uid="{8182D74A-17B1-4348-9078-AC4C70FCEC1D}"/>
    <hyperlink ref="S1122" r:id="rId84" xr:uid="{A28EAF53-4D64-48E6-855A-850AE6F828F1}"/>
    <hyperlink ref="S1139" r:id="rId85" xr:uid="{E74BE578-571B-4FFA-A3ED-1141D8158C1F}"/>
    <hyperlink ref="S1173" r:id="rId86" xr:uid="{0BF7F325-3827-478B-9135-2C9979A2A4D1}"/>
    <hyperlink ref="S1190" r:id="rId87" xr:uid="{81BD45D2-66B7-41A6-ADBB-F4C0126E1E7E}"/>
    <hyperlink ref="S1207" r:id="rId88" xr:uid="{E4EC9372-6D9E-4ACB-883A-3A43BD513EEF}"/>
    <hyperlink ref="S1224" r:id="rId89" xr:uid="{424F9595-AC4E-4B9D-9D17-ED7C721A3CF3}"/>
    <hyperlink ref="S1263" r:id="rId90" xr:uid="{E41B8090-EB23-4D5F-8751-5DFD9DA65892}"/>
    <hyperlink ref="S1241" r:id="rId91" xr:uid="{3B7DEB09-F972-4320-B786-042996B56CAD}"/>
    <hyperlink ref="S1242" r:id="rId92" xr:uid="{D670A790-272B-4670-B7C9-B0AB08A02BF8}"/>
    <hyperlink ref="S1260" r:id="rId93" xr:uid="{0A4C246B-A161-4A6C-A269-E4455118C560}"/>
    <hyperlink ref="S1262" r:id="rId94" xr:uid="{FE4AD4BC-2B5E-4300-9AB5-34E74DB1060F}"/>
    <hyperlink ref="S1279" r:id="rId95" xr:uid="{A1F7F1AF-A2F5-4F3B-9372-E9AAA16F4C9B}"/>
    <hyperlink ref="S1280" r:id="rId96" xr:uid="{EE794840-E39C-4414-97AC-5ECAACB4B5FA}"/>
    <hyperlink ref="S1281" r:id="rId97" xr:uid="{D003C770-F4C2-4744-B803-29DC85BD08B8}"/>
    <hyperlink ref="S1283" r:id="rId98" xr:uid="{5CAA7E3E-2BDD-417A-B6A6-D4D2E96C91DA}"/>
    <hyperlink ref="S1315" r:id="rId99" xr:uid="{ED9898B0-48A6-4D76-8384-EBCF827A13B1}"/>
    <hyperlink ref="S1316" r:id="rId100" xr:uid="{1441787E-1F3D-4EC7-9B63-16A07ABA79E9}"/>
    <hyperlink ref="S1349" r:id="rId101" xr:uid="{1451A132-C949-478A-8A2F-B20B66804459}"/>
    <hyperlink ref="S1366" r:id="rId102" xr:uid="{658F0388-CC1F-4555-8769-931EC4ACFA20}"/>
    <hyperlink ref="S1383" r:id="rId103" xr:uid="{565638C3-FE9B-47F3-A39C-9038E938E9F3}"/>
    <hyperlink ref="S1384" r:id="rId104" xr:uid="{5DFFC6E8-1A2B-40E1-9A28-87305C94C9F0}"/>
    <hyperlink ref="S1385" r:id="rId105" xr:uid="{6DA8D1B7-00CA-4B79-B861-5BB192909A6F}"/>
    <hyperlink ref="S1071" r:id="rId106" xr:uid="{978B7669-70CC-4174-949A-2C831BE18892}"/>
    <hyperlink ref="S1055" r:id="rId107" xr:uid="{9E638327-4599-4951-B103-785AA00C6DE6}"/>
    <hyperlink ref="S1100" r:id="rId108" xr:uid="{4C3E5D15-9DCB-47B5-8F38-0278CD782ECA}"/>
    <hyperlink ref="S1106" r:id="rId109" xr:uid="{1FCCA5D4-180B-4402-BDCC-5A939AF9E1BC}"/>
    <hyperlink ref="S1405" r:id="rId110" xr:uid="{AFA26F11-9C34-484C-880D-B9BF88CF7B14}"/>
    <hyperlink ref="S1406" r:id="rId111" xr:uid="{C4EA4B26-67B6-4320-826E-A22EC7F07764}"/>
    <hyperlink ref="S1408" r:id="rId112" xr:uid="{71F6BCBE-4021-4418-99A2-775EC0F8D9E0}"/>
    <hyperlink ref="S1409" r:id="rId113" xr:uid="{BDA19575-3652-4800-8CF6-480E7E464889}"/>
    <hyperlink ref="S1410" r:id="rId114" xr:uid="{0D5047AA-5BB0-480F-883E-FD61F33515ED}"/>
    <hyperlink ref="S1411" r:id="rId115" xr:uid="{71588353-B3B1-4229-9934-09C8B3ED842D}"/>
    <hyperlink ref="S1412" r:id="rId116" xr:uid="{2A765CBB-1B07-447E-A06A-17D11F06C235}"/>
    <hyperlink ref="S1413" r:id="rId117" xr:uid="{0FD8EB66-47DB-49F9-A2FE-0B1B3B35C9DD}"/>
    <hyperlink ref="S1414" r:id="rId118" xr:uid="{BBC2D2F6-6344-472C-910C-660E71AF56F2}"/>
    <hyperlink ref="S1415" r:id="rId119" xr:uid="{C1F284B4-9ACF-472D-807D-B0FDEAEB95C0}"/>
    <hyperlink ref="S1416" r:id="rId120" xr:uid="{F5D034B2-3071-468C-A18D-0719F693F175}"/>
    <hyperlink ref="S1417" r:id="rId121" xr:uid="{F5245510-A2EB-428F-86FA-3B30302C42E2}"/>
    <hyperlink ref="S1418" r:id="rId122" xr:uid="{EDF02670-3433-4E0A-9723-BAEC96D546CA}"/>
    <hyperlink ref="S1419" r:id="rId123" xr:uid="{0E0DAC51-9807-4403-91E1-6572CD2E06B7}"/>
    <hyperlink ref="S1420" r:id="rId124" xr:uid="{EF0E430E-B44B-4F04-9040-5ADE5F5B7A5C}"/>
    <hyperlink ref="S1437" r:id="rId125" xr:uid="{F30818D8-CD6F-44C7-9EB1-5C1D7A7ECDBD}"/>
    <hyperlink ref="S1438" r:id="rId126" xr:uid="{8FDE1AA7-3F09-4CB9-A6BA-0607DC778112}"/>
    <hyperlink ref="S1439" r:id="rId127" xr:uid="{5525BDF7-2228-4B13-97B2-7D3D72C1154C}"/>
    <hyperlink ref="S1440" r:id="rId128" xr:uid="{FE16B1E8-B42A-4FFF-B7EC-0956FD88137A}"/>
    <hyperlink ref="S1441" r:id="rId129" xr:uid="{2FED899D-F641-401F-8FE9-E6304A51A751}"/>
    <hyperlink ref="S1442" r:id="rId130" xr:uid="{DCB489DC-892A-4A9E-BA77-461F69750777}"/>
    <hyperlink ref="S1443" r:id="rId131" xr:uid="{32EF1CC0-0A0F-47FB-B9AA-0ACBAB4847AA}"/>
    <hyperlink ref="S1444" r:id="rId132" xr:uid="{E9BDA6C4-159F-4EA7-9D83-CDAF5B5E1667}"/>
    <hyperlink ref="S1445" r:id="rId133" xr:uid="{5F00025D-009D-4621-ABB6-9285A56F129F}"/>
    <hyperlink ref="S1446" r:id="rId134" xr:uid="{C7F5C47A-AB4B-4B16-87F9-1587A2D62A17}"/>
    <hyperlink ref="S1447" r:id="rId135" xr:uid="{69C0AEA0-3056-4F60-96C6-1082F358F74F}"/>
    <hyperlink ref="S1448" r:id="rId136" xr:uid="{EB0496B9-402D-4C13-ADD6-4AEAFAA3D5ED}"/>
    <hyperlink ref="S1449" r:id="rId137" xr:uid="{7A8321FC-54EA-4F6E-A689-3513BFD62453}"/>
    <hyperlink ref="S1450" r:id="rId138" xr:uid="{FAF92214-402B-4CD5-BC20-84371B471A5E}"/>
    <hyperlink ref="S1451" r:id="rId139" xr:uid="{9B261890-6ACD-4D5D-888F-74068BA6E795}"/>
    <hyperlink ref="S1452" r:id="rId140" xr:uid="{7C365138-3C1A-4611-8447-022B79665618}"/>
    <hyperlink ref="S1453" r:id="rId141" xr:uid="{7FD12E1B-7286-4951-A10A-AA72A4856146}"/>
    <hyperlink ref="S1454" r:id="rId142" xr:uid="{6246C3A6-FF11-42EC-9463-599BD6E31AD9}"/>
    <hyperlink ref="S1455" r:id="rId143" xr:uid="{F0ABEF59-85D9-4B80-BCB8-F52EEA6F2AE1}"/>
    <hyperlink ref="S1456" r:id="rId144" xr:uid="{D948EE4E-17AA-439B-9BC9-64FC16A0BE70}"/>
    <hyperlink ref="S1457" r:id="rId145" xr:uid="{DB45BFE3-D88E-40ED-86CA-6FFD964D68A3}"/>
    <hyperlink ref="S1458" r:id="rId146" xr:uid="{588AA10F-B6FE-474F-9AB2-E0EBB66B4D31}"/>
    <hyperlink ref="S1459" r:id="rId147" xr:uid="{E8147765-E5F8-4B1A-A386-61A5C31282D4}"/>
    <hyperlink ref="S1460" r:id="rId148" xr:uid="{87204E7A-6FDC-4A69-8B1C-34274A55C308}"/>
    <hyperlink ref="S1461" r:id="rId149" xr:uid="{19616529-19D0-4F73-950B-EBD573304665}"/>
    <hyperlink ref="S1462" r:id="rId150" xr:uid="{AE80ECB2-3D34-4E58-89AF-A85D51CB4D8E}"/>
    <hyperlink ref="S1463" r:id="rId151" xr:uid="{9FCB80D0-3410-42C1-B4F0-F71A78391E5C}"/>
    <hyperlink ref="S1464" r:id="rId152" xr:uid="{9954153E-518F-46CE-847F-E65E246D1708}"/>
    <hyperlink ref="S1465" r:id="rId153" xr:uid="{637BE6B6-13C1-471C-BA96-CF111792C12F}"/>
    <hyperlink ref="S1466" r:id="rId154" xr:uid="{7FDA1C25-2F89-45FE-B37E-5EEE59FEF6C5}"/>
    <hyperlink ref="S1467" r:id="rId155" xr:uid="{39E3E022-9AEF-48AF-99EA-BB4DC143BA2F}"/>
    <hyperlink ref="S1468" r:id="rId156" xr:uid="{0C50AB00-A5DE-4932-A4C8-19B7E74C7DC4}"/>
    <hyperlink ref="S1469" r:id="rId157" xr:uid="{764E1B6F-DDD8-4461-AE2B-C21A5B6FD539}"/>
    <hyperlink ref="S1470" r:id="rId158" xr:uid="{A07BB05B-D0AE-4C2B-BCCA-779D0C6FB5E5}"/>
    <hyperlink ref="S1403" r:id="rId159" xr:uid="{7674C07A-F466-4BC9-BFDD-7C1462C33E5F}"/>
    <hyperlink ref="S1471" r:id="rId160" xr:uid="{65AFD249-A9B6-4BEF-9519-8CDA5003041B}"/>
    <hyperlink ref="S1472" r:id="rId161" xr:uid="{AA207119-74DE-49EF-B943-31E8B600AE9D}"/>
    <hyperlink ref="S1473" r:id="rId162" xr:uid="{8E5C06C2-E490-4296-909E-121CE40421F3}"/>
    <hyperlink ref="S1474" r:id="rId163" xr:uid="{B23AC9D8-D617-4739-A440-68FF730393DB}"/>
    <hyperlink ref="S1475" r:id="rId164" xr:uid="{DF9F01C8-5C27-4E89-AFB0-D11F05B79BA6}"/>
    <hyperlink ref="S1476" r:id="rId165" xr:uid="{887B5D4F-E673-4A89-8260-AA25A3F8E113}"/>
    <hyperlink ref="S1477" r:id="rId166" xr:uid="{37E5DBE9-3B9F-45B2-8DC7-1C56A866426B}"/>
    <hyperlink ref="S1478" r:id="rId167" xr:uid="{A61C3A51-C10B-4C60-A3F3-7AF3505F713F}"/>
    <hyperlink ref="S1479" r:id="rId168" xr:uid="{70469678-BA3E-4C26-8FE5-7307E5F1C712}"/>
    <hyperlink ref="S1480" r:id="rId169" xr:uid="{E7B7A1AE-8D1B-4576-9EF9-3D42F262C8CE}"/>
    <hyperlink ref="S1481" r:id="rId170" xr:uid="{D0C8DBB8-7691-4BB5-AF5B-1EC9428A1AE8}"/>
    <hyperlink ref="S1482" r:id="rId171" xr:uid="{ACD94CE5-89A9-4FA6-A816-6EA18B00118D}"/>
    <hyperlink ref="S1483" r:id="rId172" xr:uid="{B4E76C9E-F4B1-428F-9944-2B345DDB6504}"/>
    <hyperlink ref="S1484" r:id="rId173" xr:uid="{3833648A-E736-4A8C-87F6-C00B33556CC1}"/>
    <hyperlink ref="S1485" r:id="rId174" xr:uid="{0E5002D1-0556-4E4B-84A2-23F5B5C2FECB}"/>
    <hyperlink ref="S1486" r:id="rId175" xr:uid="{6443090B-6BF7-412D-AA9E-02A05A378D9D}"/>
    <hyperlink ref="S1487" r:id="rId176" xr:uid="{EF974F0F-6805-4EB0-B392-18832976D378}"/>
    <hyperlink ref="S1488" r:id="rId177" xr:uid="{08643061-C772-4542-B1C6-36B1C37ACF14}"/>
    <hyperlink ref="S1489" r:id="rId178" xr:uid="{4EC9737E-02F4-4BC0-A0A1-8663C272B07F}"/>
    <hyperlink ref="S1490" r:id="rId179" xr:uid="{0934796C-ACE2-4393-B571-035ED731E48A}"/>
    <hyperlink ref="S1491" r:id="rId180" xr:uid="{43B1F93E-3553-4DCB-99C8-9BCBD2341E0A}"/>
    <hyperlink ref="S1492" r:id="rId181" xr:uid="{C7352E74-DAC1-4316-894D-75C37E95AFB9}"/>
    <hyperlink ref="S1493" r:id="rId182" xr:uid="{80D8DE79-202D-44F6-982B-FC7AD3618536}"/>
    <hyperlink ref="S1494" r:id="rId183" xr:uid="{5A8C3870-151D-43C4-ACEC-9A422BBA9A18}"/>
    <hyperlink ref="S1495" r:id="rId184" xr:uid="{AA9891BB-152C-4954-919D-FE6FC0B37B1D}"/>
    <hyperlink ref="S1496" r:id="rId185" xr:uid="{86ADAF27-702F-42B8-8A89-D23DDD4BDE93}"/>
    <hyperlink ref="S1497" r:id="rId186" xr:uid="{0A75B14D-CE3D-4ABC-961F-96C4A6D49299}"/>
    <hyperlink ref="S1498" r:id="rId187" xr:uid="{F16694A6-1808-4C75-A8A6-BE59873533C0}"/>
    <hyperlink ref="S1499" r:id="rId188" xr:uid="{B6B55AC7-88A9-4C99-A4CB-BA6BB8983412}"/>
    <hyperlink ref="S1500" r:id="rId189" xr:uid="{B0CA20C5-7DCA-440C-9C09-0A5900A61791}"/>
    <hyperlink ref="S1501" r:id="rId190" xr:uid="{0A0429A5-36A1-4281-8270-DB54329982A8}"/>
    <hyperlink ref="S1502" r:id="rId191" xr:uid="{3BE447EE-A974-4F50-9774-964DDDC58AEB}"/>
    <hyperlink ref="S1503" r:id="rId192" xr:uid="{3A25BF1C-6B3A-4E1E-A94B-6945A9B49DA3}"/>
    <hyperlink ref="S1504" r:id="rId193" xr:uid="{8BC91451-0446-4982-A5C9-A5D8E0DF5C79}"/>
    <hyperlink ref="S1505" r:id="rId194" xr:uid="{0CB76961-460C-4030-87F7-5183AEFA05D6}"/>
    <hyperlink ref="S1506" r:id="rId195" xr:uid="{77727EB8-3EB6-4613-8F98-0EF3E3B7C218}"/>
    <hyperlink ref="S1508" r:id="rId196" xr:uid="{014FA326-84B0-4531-8D38-BBE094A08DCD}"/>
    <hyperlink ref="S1509:S1522" r:id="rId197" display="https://analytics.zoho.com/open-view/2395394000008503554?ZOHO_CRITERIA=%22Pueblos%20Ind%C3%ADgenas%20Sexo%22.%22id_Region%22%20%3D%201" xr:uid="{EFCED958-516E-4814-BF7C-CCBAFD69CC63}"/>
    <hyperlink ref="S1509" r:id="rId198" xr:uid="{2150830C-2603-4BB3-826F-5ADF46DCD7A3}"/>
    <hyperlink ref="S1510" r:id="rId199" xr:uid="{C6C841F8-EB78-4A17-B763-6DD3F7DF6640}"/>
    <hyperlink ref="S1511" r:id="rId200" xr:uid="{C5BAE162-08A2-43D1-AF76-1DF8F889A381}"/>
    <hyperlink ref="S1512" r:id="rId201" xr:uid="{F8085EF4-63B8-47F8-81B6-EF1C51D979AD}"/>
    <hyperlink ref="S1513" r:id="rId202" xr:uid="{1DA3DC5B-EEE5-4B40-9222-9C0C98FC2E19}"/>
    <hyperlink ref="S1514" r:id="rId203" xr:uid="{55B0AA7F-878E-4182-A024-25CDFE98160F}"/>
    <hyperlink ref="S1515" r:id="rId204" xr:uid="{0E36BEC5-5975-4035-A8AD-61AF53497B81}"/>
    <hyperlink ref="S1516" r:id="rId205" xr:uid="{1CEAA4AB-491B-4446-9641-90F05A68CBAF}"/>
    <hyperlink ref="S1517" r:id="rId206" xr:uid="{0BEA1E1D-CD2E-4436-B8E9-743485080C6C}"/>
    <hyperlink ref="S1518" r:id="rId207" xr:uid="{2848F482-0F35-48DE-9374-120A300999D1}"/>
    <hyperlink ref="S1519" r:id="rId208" xr:uid="{F738DB8A-4917-44D4-8851-A57D92B4A155}"/>
    <hyperlink ref="S1520" r:id="rId209" xr:uid="{0F6F87BB-78D8-4611-B483-0D7647CF10A9}"/>
    <hyperlink ref="S1521" r:id="rId210" xr:uid="{FE907430-B49D-470B-883D-4B2347DC90E6}"/>
    <hyperlink ref="S1522" r:id="rId211" xr:uid="{FBA80B13-9E7A-48D5-879F-8BCE79BDBBF7}"/>
    <hyperlink ref="S1507" r:id="rId212" xr:uid="{B8E420B4-68EF-468D-B52A-CC69E48499EB}"/>
    <hyperlink ref="S1523" r:id="rId213" xr:uid="{82288D13-C764-49F5-9F8C-8AD7985EC987}"/>
    <hyperlink ref="S1524" r:id="rId214" xr:uid="{4EF95E60-48E0-4F2B-9592-9E9C039B547A}"/>
    <hyperlink ref="S1525" r:id="rId215" xr:uid="{6C47FB89-0682-4786-ACBB-C2B9C469AC4A}"/>
    <hyperlink ref="S1526" r:id="rId216" xr:uid="{4525E51E-ACF3-42AA-8AB1-749EB6F8E10C}"/>
    <hyperlink ref="S1531" r:id="rId217" xr:uid="{BD7F5C95-0306-44C7-BD5C-C7FFC2820562}"/>
    <hyperlink ref="S1537" r:id="rId218" xr:uid="{E76326A4-962A-4613-90AF-2CAF44B47519}"/>
    <hyperlink ref="S1538" r:id="rId219" xr:uid="{5F11CE54-CDEB-46B6-BA17-E20D7A238774}"/>
    <hyperlink ref="S1540" r:id="rId220" display="https://analytics.zoho.com/open-view/2395394000009355924?ZOHO_CRITERIA=%22Consolidado_Estadisticas_Regionales_New%22.%22C%C3%B3digo%20regi%C3%B3n%22%3D1" xr:uid="{8F85E479-23B1-4CE7-A93E-A7CC8AB77F3E}"/>
    <hyperlink ref="S1557" r:id="rId221" display="https://analytics.zoho.com/open-view/2395394000009369252?ZOHO_CRITERIA=%22Consolidado_Estadisticas_Regionales_New%22.%22C%C3%B3digo%20regi%C3%B3n%22%3D1" xr:uid="{7BFCE9DE-A957-4112-954E-FB5911CC80FB}"/>
    <hyperlink ref="S1402" r:id="rId222" xr:uid="{F99287B3-1190-4652-899A-F9BBB2E17FAD}"/>
    <hyperlink ref="S1404" r:id="rId223" xr:uid="{6EAB67ED-0232-4542-9EF2-E1D7A6E1B8F8}"/>
    <hyperlink ref="S1422" r:id="rId224" xr:uid="{5494BD99-E85F-4389-9EFE-6EB2E2E224B0}"/>
    <hyperlink ref="S1423" r:id="rId225" xr:uid="{B4E3FAA4-964D-48B6-9D25-9E4517D02BD0}"/>
    <hyperlink ref="S1424" r:id="rId226" xr:uid="{C2C7B625-AFE2-42D7-9F4E-8DE93CEDC806}"/>
    <hyperlink ref="S1425" r:id="rId227" xr:uid="{ED8B1BF8-0DC7-4686-8BB8-C1F4B93DAEB0}"/>
    <hyperlink ref="S1426" r:id="rId228" xr:uid="{A235A1B9-1BF3-4B4C-A97B-742E2274F5EB}"/>
    <hyperlink ref="S1427" r:id="rId229" xr:uid="{09A6D83C-926A-4DBD-9BA1-91B880DA6836}"/>
    <hyperlink ref="S1428" r:id="rId230" xr:uid="{163E590F-21F1-4A5C-A27B-FADD6D622F1C}"/>
    <hyperlink ref="S1429" r:id="rId231" xr:uid="{497A4064-0C8B-4B31-9FC4-F0C959880E24}"/>
    <hyperlink ref="S1430" r:id="rId232" xr:uid="{633C9C5E-A59B-4050-9414-879254F5EC43}"/>
    <hyperlink ref="S1431" r:id="rId233" xr:uid="{0B28FDA0-65DE-434F-B644-DBEF35AABFE7}"/>
    <hyperlink ref="S1432" r:id="rId234" xr:uid="{36BB1C5C-DE6E-4ACF-96C1-6ACDCBCD4B93}"/>
    <hyperlink ref="S1433" r:id="rId235" xr:uid="{0BDE875C-6F33-4822-A224-B8207300AE70}"/>
    <hyperlink ref="S1434" r:id="rId236" xr:uid="{D1C44C67-CA19-4B6F-BAD3-03206E720E46}"/>
    <hyperlink ref="S1435" r:id="rId237" xr:uid="{57C91259-2EF9-4992-8BC3-897804CA83BE}"/>
    <hyperlink ref="S1436" r:id="rId238" xr:uid="{77EC0F7A-BAF1-48F6-94AC-4F18CC765472}"/>
    <hyperlink ref="S1527" r:id="rId239" xr:uid="{8918798E-396E-4404-B4AF-A366CA656C30}"/>
    <hyperlink ref="S1532" r:id="rId240" xr:uid="{8430BF60-5E17-4D76-837C-7526D6ABF8B1}"/>
    <hyperlink ref="S1576" r:id="rId241" xr:uid="{D7AD5F70-FEC3-41E4-8987-DCA0DBCBCEDC}"/>
    <hyperlink ref="S1577" r:id="rId242" xr:uid="{AE08BE49-6460-4186-A8A5-C0FE8F5C9D4E}"/>
    <hyperlink ref="S1578:S1592" r:id="rId243" display="https://analytics.zoho.com/open-view/2395394000008478071?ZOHO_CRITERIA=%22Localiza%20CL%22.%22Codreg%22%20%3D%201" xr:uid="{81F70AC5-D028-40FA-A846-D7EE15BD464A}"/>
    <hyperlink ref="S1578" r:id="rId244" xr:uid="{4D8BC0F2-3C53-4407-85B9-B9551661EEFD}"/>
    <hyperlink ref="S1579" r:id="rId245" xr:uid="{F93BA6EC-AB12-4DE6-8314-B75D7F7C9B63}"/>
    <hyperlink ref="S1580" r:id="rId246" xr:uid="{CF0E38C4-369B-4B39-A189-A8C793375C42}"/>
    <hyperlink ref="S1581" r:id="rId247" xr:uid="{350B72F6-5768-4A2E-AE16-A1BF0089B57D}"/>
    <hyperlink ref="S1582" r:id="rId248" xr:uid="{D9BEAA6B-A1E8-4AFF-BB67-623128C2531E}"/>
    <hyperlink ref="S1583" r:id="rId249" xr:uid="{B3E8D6DE-5592-4D5D-9FF1-09EAA7CAC2F7}"/>
    <hyperlink ref="S1584" r:id="rId250" xr:uid="{5CC3FF93-1D0C-4DC7-9182-AC3CC182F816}"/>
    <hyperlink ref="S1585" r:id="rId251" xr:uid="{22DB4FF0-C666-4804-B17A-D20C04BDD79F}"/>
    <hyperlink ref="S1586" r:id="rId252" xr:uid="{161FA8E9-3966-48EC-B7DD-C8A600451DCD}"/>
    <hyperlink ref="S1587" r:id="rId253" xr:uid="{4796F088-A8E5-4F7F-A424-8E505B26A8C9}"/>
    <hyperlink ref="S1588" r:id="rId254" xr:uid="{93BD5A96-BE35-4122-A9C2-475CD909BBFD}"/>
    <hyperlink ref="S1589" r:id="rId255" xr:uid="{C76FF738-2365-4D22-8E50-27E6F6678324}"/>
    <hyperlink ref="S1590" r:id="rId256" xr:uid="{E2F24F2B-488B-4798-991A-F7DF7C212153}"/>
    <hyperlink ref="S1591" r:id="rId257" xr:uid="{D5C42065-154B-450F-B265-CCE420279C1A}"/>
    <hyperlink ref="S1592" r:id="rId258" xr:uid="{66CD801E-6AD0-4EDF-95F4-BAA5E9BD568B}"/>
    <hyperlink ref="S1593" r:id="rId259" xr:uid="{BBFB6100-32C4-4821-BBA8-FA396065B409}"/>
    <hyperlink ref="S1594" r:id="rId260" xr:uid="{44F55ECB-A7F5-4C3C-AEC6-83D959F1C5DA}"/>
    <hyperlink ref="S1595:S1609" r:id="rId261" display="https://analytics.zoho.com/open-view/2395394000008478183?ZOHO_CRITERIA=%22Localiza%20CL%22.%22Codreg%22%20%3D%201" xr:uid="{4E78CE11-30EE-46A5-B98B-F47646DCAC78}"/>
    <hyperlink ref="S1595" r:id="rId262" xr:uid="{25DCB53E-3322-4CB0-BF89-E8E9E0A8A5FD}"/>
    <hyperlink ref="S1596" r:id="rId263" xr:uid="{25C27C9D-F388-44F6-8022-F199A89FD394}"/>
    <hyperlink ref="S1597" r:id="rId264" xr:uid="{412434B6-297D-4A59-A0B8-77F6681DE18A}"/>
    <hyperlink ref="S1598" r:id="rId265" xr:uid="{AB0961DE-65B4-4856-B69E-55AD00996BC0}"/>
    <hyperlink ref="S1599" r:id="rId266" xr:uid="{242C3A04-D46A-4DFD-A6E3-1D6C3B6CAEAB}"/>
    <hyperlink ref="S1600" r:id="rId267" xr:uid="{F430B9C5-DB2B-4349-A786-F91E4D711678}"/>
    <hyperlink ref="S1601" r:id="rId268" xr:uid="{1221B0EB-23BF-47E1-B4F4-071827F93AB2}"/>
    <hyperlink ref="S1602" r:id="rId269" xr:uid="{94F15B51-F6A7-40E2-A25C-B7744B44C444}"/>
    <hyperlink ref="S1603" r:id="rId270" xr:uid="{2C150F6C-0528-400F-8D55-37416E979457}"/>
    <hyperlink ref="S1604" r:id="rId271" xr:uid="{037F3E4C-2AD7-4016-B767-1273EDB85903}"/>
    <hyperlink ref="S1605" r:id="rId272" xr:uid="{284FD010-29A7-430A-BC91-1154E59AFCC4}"/>
    <hyperlink ref="S1606" r:id="rId273" xr:uid="{49D067FE-FCF8-4034-81E8-39718EBADFE1}"/>
    <hyperlink ref="S1607" r:id="rId274" xr:uid="{56ECB231-C3DB-4776-9994-99A5D49EC8D2}"/>
    <hyperlink ref="S1608" r:id="rId275" xr:uid="{ACB9CAA8-174A-4201-BECA-8D7DD3FAC73A}"/>
    <hyperlink ref="S1609" r:id="rId276" xr:uid="{17E04E5F-AD31-419A-8BE7-957113983A1F}"/>
    <hyperlink ref="S1610" r:id="rId277" xr:uid="{3CCAFF91-20AD-4FED-A251-9429222BD505}"/>
    <hyperlink ref="S1611" r:id="rId278" xr:uid="{2B878853-6965-473E-A91B-5369BD453E65}"/>
    <hyperlink ref="S1612" r:id="rId279" xr:uid="{6E12F7EB-6195-413A-B89E-40C45F95C8FD}"/>
    <hyperlink ref="S1613" r:id="rId280" xr:uid="{DBD66ABB-38AD-4526-B5E7-8F7BF488D9B6}"/>
    <hyperlink ref="S1614" r:id="rId281" xr:uid="{00168F20-0C7C-432D-9F21-9B55F19A4BAA}"/>
    <hyperlink ref="S969" r:id="rId282" xr:uid="{24A6A407-469E-48AA-A399-FA2E0EB3D73B}"/>
    <hyperlink ref="S1332" r:id="rId283" xr:uid="{8AC9B35F-E5D9-48E7-B9CE-2707BF2291EA}"/>
    <hyperlink ref="S1670" r:id="rId284" xr:uid="{128DEA9D-9707-45DB-91C2-DA5701DA8DF8}"/>
    <hyperlink ref="S96" r:id="rId285" xr:uid="{DDB1E081-84AF-406B-B381-D58F7DEE5BC4}"/>
    <hyperlink ref="S1847" r:id="rId286" xr:uid="{3C126A7D-C9C1-4FC8-AD91-E9B1E4AAC555}"/>
    <hyperlink ref="S1691" r:id="rId287" xr:uid="{6E02F85A-ADBA-457A-B6BE-C7C986FC091B}"/>
    <hyperlink ref="S1694" r:id="rId288" xr:uid="{7D1FBBB2-8426-4BEC-93B3-1FFA38718FE3}"/>
    <hyperlink ref="S1054" r:id="rId289" xr:uid="{08C84C03-3AB4-42FD-B686-94CB35AD7345}"/>
    <hyperlink ref="S1084" r:id="rId290" xr:uid="{CF5F24A7-A76C-450C-AA39-B1099DD4F820}"/>
    <hyperlink ref="S1088" r:id="rId291" xr:uid="{7602814D-576C-4800-90F0-207B88FDA18B}"/>
    <hyperlink ref="S1089" r:id="rId292" xr:uid="{AC884675-4714-48B6-B9D5-9A646A5BF92F}"/>
    <hyperlink ref="S307" r:id="rId293" xr:uid="{AC08E350-6498-472C-84BC-D9DF52AB48CB}"/>
    <hyperlink ref="S387" r:id="rId294" xr:uid="{EF62586B-9D74-49E1-A072-29ACA29FABE9}"/>
    <hyperlink ref="S395" r:id="rId295" xr:uid="{E6ED009A-AC5B-4120-9C61-4D1B41058415}"/>
    <hyperlink ref="S408" r:id="rId296" xr:uid="{5E56147E-2B4B-4A8D-BDAC-E231B50ADCE8}"/>
    <hyperlink ref="S409" r:id="rId297" xr:uid="{2D5026CF-3C98-4255-A00A-130DA73336BF}"/>
    <hyperlink ref="S693" r:id="rId298" xr:uid="{76041D12-1B42-46FC-977D-8DDC35CED53F}"/>
    <hyperlink ref="S694" r:id="rId299" xr:uid="{A85C3215-E13B-42BC-9E52-E3DD0E953560}"/>
    <hyperlink ref="S1829" r:id="rId300" xr:uid="{179903B1-30C4-4DA9-9A3D-CFEAE611E0D9}"/>
    <hyperlink ref="S1830" r:id="rId301" xr:uid="{AF5977DC-97E2-44A7-8C4C-C009247C65C7}"/>
    <hyperlink ref="S1864" r:id="rId302" xr:uid="{57B2169C-A0C6-4695-BB73-802C48D1AD1D}"/>
    <hyperlink ref="S1899" r:id="rId303" xr:uid="{5CA9683B-034E-4ED0-A25B-996072174515}"/>
    <hyperlink ref="S1924" r:id="rId304" xr:uid="{F5148EA8-0B95-46ED-A04B-7521C34B543A}"/>
    <hyperlink ref="S1933" r:id="rId305" xr:uid="{FCBD5EE5-E001-46C9-913A-288C24D9E0F2}"/>
    <hyperlink ref="S1317" r:id="rId306" xr:uid="{E60408A7-E17E-46EA-8322-7EBDA260E21D}"/>
    <hyperlink ref="S1333" r:id="rId307" xr:uid="{F87D3179-EDC5-4F5D-8DD5-01C015C1F88D}"/>
    <hyperlink ref="S1331" r:id="rId308" xr:uid="{8AAF093E-9F83-4FF3-B12F-BE74ED670843}"/>
    <hyperlink ref="S1156" r:id="rId309" xr:uid="{1B93CF8E-8212-41FD-B2DD-9BB3A1214F90}"/>
    <hyperlink ref="S1208" r:id="rId310" xr:uid="{2DB994FF-D708-43EB-A47C-C38A3F67019C}"/>
    <hyperlink ref="S1225" r:id="rId311" xr:uid="{DB0D2068-F974-4BD7-A6AF-D13C8930F79F}"/>
    <hyperlink ref="S1123" r:id="rId312" xr:uid="{DDAF57DB-AA96-4430-B027-3A108690E49D}"/>
    <hyperlink ref="S1243" r:id="rId313" xr:uid="{D0D0336C-6483-437A-88D1-BCCCAA0B879D}"/>
    <hyperlink ref="S1265" r:id="rId314" xr:uid="{0415DC01-6F17-4DA9-BBD2-6DCF609448A4}"/>
    <hyperlink ref="S539" r:id="rId315" xr:uid="{84B2ECBA-73D6-4FB3-8209-ECDAEA63C235}"/>
    <hyperlink ref="S450" r:id="rId316" xr:uid="{EC00954A-DB5D-4E8E-A823-D3A3C267D326}"/>
    <hyperlink ref="S698" r:id="rId317" xr:uid="{BADD1DC3-2CC6-4848-9325-C637467D3FF8}"/>
    <hyperlink ref="S935" r:id="rId318" xr:uid="{FF3B949D-C780-4C99-B1A1-8B3603E23713}"/>
    <hyperlink ref="S338" r:id="rId319" xr:uid="{D62407A4-1D47-4304-BBA4-3A9AF702EA19}"/>
    <hyperlink ref="S133" r:id="rId320" xr:uid="{AE611E23-808E-424A-B823-A84F78A4CD1B}"/>
    <hyperlink ref="S538" r:id="rId321" xr:uid="{ED229E9C-C82D-407C-8A06-B810D6803C76}"/>
    <hyperlink ref="S536" r:id="rId322" xr:uid="{12923D21-B7F3-42D8-8EA8-B36A1CCED918}"/>
    <hyperlink ref="S1674" r:id="rId323" xr:uid="{61108907-D623-4557-B215-C0B78A43C7FA}"/>
    <hyperlink ref="S174" r:id="rId324" xr:uid="{8045EBC7-725E-4E96-A3CE-D42F9CB8DAA3}"/>
    <hyperlink ref="S134" r:id="rId325" xr:uid="{8776227A-7A3F-4B61-A42B-A3CC0A8C20DB}"/>
    <hyperlink ref="S751" r:id="rId326" xr:uid="{33F5DDEE-95F2-4DAA-A025-F32A84420276}"/>
    <hyperlink ref="S752" r:id="rId327" xr:uid="{7234518B-8D02-49B3-8A04-3C0B355EAE9F}"/>
    <hyperlink ref="S753" r:id="rId328" xr:uid="{F5537416-0E59-4563-A2CF-52AA04EC2E32}"/>
    <hyperlink ref="S754" r:id="rId329" xr:uid="{6B394741-E1BE-4629-B0E4-F5213AC9E946}"/>
    <hyperlink ref="S755" r:id="rId330" xr:uid="{87A28F5A-C08A-44A2-A328-8EEF3A95E586}"/>
    <hyperlink ref="S756" r:id="rId331" xr:uid="{0C90E2F1-D3F7-4B7D-9B41-8040DE642069}"/>
    <hyperlink ref="S758" r:id="rId332" xr:uid="{3E7B74BD-946D-4EB5-B95D-E50EE98F02AF}"/>
    <hyperlink ref="S759" r:id="rId333" xr:uid="{951B8D74-12E2-4519-BF24-65527A374FFD}"/>
    <hyperlink ref="S760" r:id="rId334" xr:uid="{2AAED785-2513-45A1-8106-B53BAA9DCEE7}"/>
    <hyperlink ref="S761" r:id="rId335" xr:uid="{40D1F673-94EF-4C91-ABB2-E122885C63AE}"/>
    <hyperlink ref="S762" r:id="rId336" xr:uid="{A2EBF474-5D2D-4307-8613-2B8618A3B4E9}"/>
    <hyperlink ref="S763" r:id="rId337" xr:uid="{7A18A8BD-4B9A-476C-BB81-A735C620708D}"/>
    <hyperlink ref="S764" r:id="rId338" xr:uid="{68691F96-85FD-44A5-9DAF-2696053D7B69}"/>
    <hyperlink ref="S757" r:id="rId339" xr:uid="{2E5EA37D-84C9-4E57-A301-A25E5CFAC8AF}"/>
    <hyperlink ref="S765" r:id="rId340" xr:uid="{30073545-A842-4315-B64B-7F74578F4099}"/>
    <hyperlink ref="S766" r:id="rId341" xr:uid="{B2E3F449-5F0E-42B1-B7F4-8588D870E67C}"/>
    <hyperlink ref="S767" r:id="rId342" xr:uid="{631AEA00-744D-449D-AB63-123780F25DCD}"/>
    <hyperlink ref="S768" r:id="rId343" xr:uid="{26CC6AD9-79AB-45EB-A525-22927493E3DA}"/>
    <hyperlink ref="S769" r:id="rId344" xr:uid="{B78C107C-EBB8-425F-810B-84A84640EAB4}"/>
    <hyperlink ref="S770" r:id="rId345" xr:uid="{889560B3-D883-4DD4-B08C-C12114321DCC}"/>
    <hyperlink ref="S771" r:id="rId346" xr:uid="{B40715AD-F571-4EBF-83CD-68291FFBE871}"/>
    <hyperlink ref="S772" r:id="rId347" xr:uid="{E1B917F1-9997-423C-9DD8-358B772CE684}"/>
    <hyperlink ref="S773" r:id="rId348" xr:uid="{657AE998-12B6-497D-B0E9-63C992A54684}"/>
    <hyperlink ref="S774" r:id="rId349" xr:uid="{AACE5E28-80FC-4F46-BC33-71A93E1D44B6}"/>
    <hyperlink ref="S775" r:id="rId350" xr:uid="{E8126A62-59C4-4D7D-8F4E-640D338E5029}"/>
    <hyperlink ref="S776" r:id="rId351" xr:uid="{137957B1-0DB0-4782-876E-FC53D7DF37EA}"/>
    <hyperlink ref="S777" r:id="rId352" xr:uid="{D08C3DF6-D793-47A3-94A6-471AF93B855E}"/>
    <hyperlink ref="S778" r:id="rId353" xr:uid="{2E5F03FC-04EA-4223-910E-BCB9B0EE3D22}"/>
    <hyperlink ref="S779" r:id="rId354" xr:uid="{4B5531D9-4BEF-4E54-9A53-34942DE976C5}"/>
    <hyperlink ref="S780" r:id="rId355" xr:uid="{106687A9-BC50-4FAE-9E84-30F519348058}"/>
    <hyperlink ref="S781" r:id="rId356" xr:uid="{EBBBE394-E44E-4B71-BB64-B48D626E5A55}"/>
    <hyperlink ref="S799" r:id="rId357" xr:uid="{69BABE41-03E6-49D9-83EB-346EC247D0A4}"/>
    <hyperlink ref="S800" r:id="rId358" xr:uid="{8DC54338-637A-409F-960F-2E50B7503E3A}"/>
    <hyperlink ref="S801" r:id="rId359" xr:uid="{257EADD0-EAD7-4F18-AC42-E2F5B7FDCD72}"/>
    <hyperlink ref="S802" r:id="rId360" xr:uid="{D5014C3E-BF3E-4CB7-8AE4-62F057F1DE8D}"/>
    <hyperlink ref="S803" r:id="rId361" xr:uid="{98F0D937-FDF7-48FF-A294-CD17BC2CFC82}"/>
    <hyperlink ref="S804" r:id="rId362" xr:uid="{6336C51A-AB5D-412C-8E2A-0A55B63C353A}"/>
    <hyperlink ref="S805" r:id="rId363" xr:uid="{5AFD74D2-876F-4FF3-BD03-AFEDC3A937C8}"/>
    <hyperlink ref="S806" r:id="rId364" xr:uid="{8BDF0359-2053-4B05-BBAA-46ABFDCF2F98}"/>
    <hyperlink ref="S807" r:id="rId365" xr:uid="{828DBE78-C9CD-425F-97AD-54C5D642B1B7}"/>
    <hyperlink ref="S808" r:id="rId366" xr:uid="{B7DAD71C-023D-4D91-9955-9CF579249FD3}"/>
    <hyperlink ref="S809" r:id="rId367" xr:uid="{694A8FE1-618A-4103-8B2F-40489E13763F}"/>
    <hyperlink ref="S810" r:id="rId368" xr:uid="{A714511E-7E5E-498C-9D84-4CE65E3987B5}"/>
    <hyperlink ref="S811" r:id="rId369" xr:uid="{734614BF-1329-47D2-8B30-DF25205D3757}"/>
    <hyperlink ref="S812" r:id="rId370" xr:uid="{80D10DDB-E233-409F-B192-60FB6CD6319D}"/>
    <hyperlink ref="S813" r:id="rId371" xr:uid="{DF2F97F6-FC1B-47A0-AEBA-4B1A3CF40643}"/>
    <hyperlink ref="S814" r:id="rId372" xr:uid="{62726377-1FFF-41FA-A4C3-6B1042105CE4}"/>
    <hyperlink ref="S815" r:id="rId373" xr:uid="{1D191CB0-EE73-4C99-8ECC-362F79C7FC2E}"/>
    <hyperlink ref="S782" r:id="rId374" xr:uid="{11924B5A-97FD-4C79-9DC6-9A343CA688E3}"/>
    <hyperlink ref="S783" r:id="rId375" xr:uid="{D6917D49-C896-4F92-B84D-A0EBBB582BD2}"/>
    <hyperlink ref="S784" r:id="rId376" xr:uid="{665ED7DE-4944-418D-ABCB-E92B8B53D21B}"/>
    <hyperlink ref="S785" r:id="rId377" xr:uid="{1484E65E-65E6-425E-AAFC-234D98A16E0A}"/>
    <hyperlink ref="S786" r:id="rId378" xr:uid="{348204C5-7E82-4AD8-B55C-6D851FF90836}"/>
    <hyperlink ref="S787" r:id="rId379" xr:uid="{B04F744E-FEC3-4958-84BF-6A366A5F70BA}"/>
    <hyperlink ref="S788" r:id="rId380" xr:uid="{0B7EEFFB-F113-4D4E-B630-CFFADB46DE0E}"/>
    <hyperlink ref="S789" r:id="rId381" xr:uid="{884DA1D2-2A61-4F7B-9BFC-35B13ACF2061}"/>
    <hyperlink ref="S790" r:id="rId382" xr:uid="{C37C9AA9-1BFA-4333-BB3C-DF6AE9DD391C}"/>
    <hyperlink ref="S791" r:id="rId383" xr:uid="{F621BA10-BC97-4D28-85F5-5A4CEF77BD7D}"/>
    <hyperlink ref="S792" r:id="rId384" xr:uid="{53F7C42D-0B35-4BD2-9892-28B923A5EEA2}"/>
    <hyperlink ref="S793" r:id="rId385" xr:uid="{618FD5FA-2D19-4D14-86AC-D99F562F8EAF}"/>
    <hyperlink ref="S794" r:id="rId386" xr:uid="{0EB216ED-06A6-46E5-89E1-59BAE68C3B2E}"/>
    <hyperlink ref="S795" r:id="rId387" xr:uid="{57C2F847-3FA6-4EC0-B475-DE220CA21822}"/>
    <hyperlink ref="S796" r:id="rId388" xr:uid="{05242429-C09B-425C-B7A4-91419BF3052B}"/>
    <hyperlink ref="S797" r:id="rId389" xr:uid="{DC48478A-95B8-4AB5-85B6-8B85287CD0D1}"/>
    <hyperlink ref="S798" r:id="rId390" xr:uid="{380EA55B-F91D-4ACD-A5F1-0F15F7251472}"/>
    <hyperlink ref="S1724" r:id="rId391" xr:uid="{6B35A2E4-1128-498D-B9C6-0C056ECEDD15}"/>
    <hyperlink ref="S1758" r:id="rId392" xr:uid="{6534AD57-5489-48A8-B10A-48088DB8C95D}"/>
    <hyperlink ref="S1741" r:id="rId393" xr:uid="{80E72950-6333-4CED-814D-A63AA533E2C0}"/>
    <hyperlink ref="S1770" r:id="rId394" xr:uid="{6B7C7165-8A62-44EA-B4A7-F7F052D225E1}"/>
    <hyperlink ref="S749" r:id="rId395" xr:uid="{DE84C0B4-161E-42A4-95A9-53DD506437BA}"/>
    <hyperlink ref="S735" r:id="rId396" xr:uid="{FC3C12EF-7674-4FF7-9BB7-3544A64004D7}"/>
    <hyperlink ref="S736" r:id="rId397" xr:uid="{63F8CB3A-ED6F-411A-985C-55508EC2C946}"/>
    <hyperlink ref="S737" r:id="rId398" xr:uid="{8EBA7DE1-77BF-491B-822D-3B4BC60B9804}"/>
    <hyperlink ref="S738" r:id="rId399" xr:uid="{2DCC8FA2-6C38-4633-BA7F-2F74A90A39CE}"/>
    <hyperlink ref="S739" r:id="rId400" xr:uid="{A1CDCE18-06C9-4ED2-BA1A-35BE58BA7AE7}"/>
    <hyperlink ref="S747" r:id="rId401" xr:uid="{C62F1C53-5B9F-417A-BAA9-EA01F9BCCBDA}"/>
    <hyperlink ref="S740" r:id="rId402" xr:uid="{D6FD3839-776F-44F3-A542-5B79836D8318}"/>
    <hyperlink ref="S741" r:id="rId403" xr:uid="{5727EDA0-4308-4576-B85A-B77EE59CE27F}"/>
    <hyperlink ref="S750" r:id="rId404" xr:uid="{DC28E6F3-0C97-48A8-A762-DA67A9F07A23}"/>
    <hyperlink ref="S746" r:id="rId405" xr:uid="{8502EF46-B49E-4CC1-BFBC-C7893CAFDC43}"/>
    <hyperlink ref="S745" r:id="rId406" xr:uid="{37395D28-CE74-40EC-AD2C-FF5E4BAB40D2}"/>
    <hyperlink ref="S744" r:id="rId407" xr:uid="{D88EE202-DCAE-4B8D-A77B-CBC31EAC9C13}"/>
    <hyperlink ref="S748" r:id="rId408" xr:uid="{4C1CAA8D-4046-4C45-96AD-9A45366AFADF}"/>
    <hyperlink ref="S743" r:id="rId409" xr:uid="{A622BF56-AB09-45AC-827D-21B6C6650649}"/>
    <hyperlink ref="S742" r:id="rId410" xr:uid="{852F44DA-DB35-42BC-88B7-EB2E0CBD73E5}"/>
    <hyperlink ref="S734" r:id="rId411" xr:uid="{DC72649F-DFA3-4D39-A1F1-8CE759BA9822}"/>
    <hyperlink ref="S29" r:id="rId412" xr:uid="{6E6EA24A-835D-41BE-ABED-4FA61A06636D}"/>
    <hyperlink ref="S1820" r:id="rId413" xr:uid="{7DCEF489-5427-4B52-9EBE-560784837EDD}"/>
    <hyperlink ref="S1802" r:id="rId414" xr:uid="{3C8F950F-3D30-4CBC-A2F4-8418F8225DC8}"/>
    <hyperlink ref="S1528:S1530" r:id="rId415" display="https://analytics.zoho.com/open-view/2395394000009355612?ZOHO_CRITERIA=%22Consolidado_Estadisticas_Regionales_New%22.%22C%C3%B3digo%20regi%C3%B3n%22%20%3D%201" xr:uid="{84EC0435-C546-417F-B03E-AB3914000538}"/>
    <hyperlink ref="S1528" r:id="rId416" xr:uid="{5631BFF3-D057-41C0-AA18-717D7458568C}"/>
    <hyperlink ref="S1529" r:id="rId417" xr:uid="{24A49095-533D-4197-9173-1D1D1BCABF01}"/>
    <hyperlink ref="S1530" r:id="rId418" xr:uid="{541AB6AA-7C3A-44BE-BE2E-27441C0147A3}"/>
    <hyperlink ref="S1533:S1536" r:id="rId419" display="https://analytics.zoho.com/open-view/2395394000009355686?ZOHO_CRITERIA=%22Consolidado_Estadisticas_Regionales_New%22.%22C%C3%B3digo%20regi%C3%B3n%22%20%3D%201" xr:uid="{E7E88918-9A89-4446-A3B8-92D10BC5B4F5}"/>
    <hyperlink ref="S1533" r:id="rId420" xr:uid="{2B272EF2-29D2-4C2F-AB0C-CBC860A76105}"/>
    <hyperlink ref="S1534" r:id="rId421" xr:uid="{EC4EDFD9-B3CF-4E68-9763-C17E85437986}"/>
    <hyperlink ref="S1535" r:id="rId422" xr:uid="{D1CBC5D4-DB5E-47DC-A871-60EA913A88BB}"/>
    <hyperlink ref="S1536" r:id="rId423" xr:uid="{12F79623-0FB0-47F9-AB27-F911C1550D5C}"/>
    <hyperlink ref="S1541:S1555" r:id="rId424" display="https://analytics.zoho.com/open-view/2395394000009355924?ZOHO_CRITERIA=%22Consolidado_Estadisticas_Regionales_New%22.%22C%C3%B3digo%20regi%C3%B3n%22%3D1" xr:uid="{E539DBF2-013D-45DD-9F15-E2C2A7BB3B28}"/>
    <hyperlink ref="S1556" r:id="rId425" xr:uid="{856EEE48-81AD-471F-8986-6B99B77F81A8}"/>
    <hyperlink ref="S1558:S1572" r:id="rId426" display="https://analytics.zoho.com/open-view/2395394000009369252?ZOHO_CRITERIA=%22Consolidado_Estadisticas_Regionales_New%22.%22C%C3%B3digo%20regi%C3%B3n%22%3D1" xr:uid="{370C82DB-F7E9-4976-8B14-F794816D9CEC}"/>
    <hyperlink ref="S1789" r:id="rId427" xr:uid="{F48D7560-6CCA-469C-BACD-A116DA05C731}"/>
    <hyperlink ref="S397" r:id="rId428" xr:uid="{9D08AA5A-6BFF-41DF-BBA1-209D773F6681}"/>
    <hyperlink ref="S659" r:id="rId429" xr:uid="{8C7B4A00-3F10-433E-A356-D1D514AEE221}"/>
    <hyperlink ref="S715" r:id="rId430" xr:uid="{77E15897-6858-4AF7-AE1C-26DFA6BDEACF}"/>
    <hyperlink ref="S1768" r:id="rId431" xr:uid="{94A42371-2097-4CA7-A2F9-A27DC2C3F50C}"/>
    <hyperlink ref="S1760" r:id="rId432" xr:uid="{49CA76FD-0CA0-4665-BF63-FF0CC1A5C640}"/>
    <hyperlink ref="S1655" r:id="rId433" xr:uid="{68646983-6936-4570-9372-28E528C078BE}"/>
    <hyperlink ref="S1759" r:id="rId434" xr:uid="{92CEEB7A-07D2-429A-A9FE-ED655A787A83}"/>
    <hyperlink ref="S1653" r:id="rId435" xr:uid="{5AE12FDC-49AB-4EFE-8BD1-3D44C61DFAFF}"/>
    <hyperlink ref="S1329" r:id="rId436" xr:uid="{30CDB332-5CD4-472C-B414-C2ED8F173C40}"/>
    <hyperlink ref="S1300" r:id="rId437" xr:uid="{8DDB0C9B-B782-4FC5-8E57-CB5C673B911E}"/>
    <hyperlink ref="S1301" r:id="rId438" xr:uid="{C5B9DE23-BB8D-4294-BF5F-4884F6264023}"/>
    <hyperlink ref="S1302" r:id="rId439" xr:uid="{6E817B33-8498-463F-80A3-1AA076B03159}"/>
    <hyperlink ref="S1299" r:id="rId440" xr:uid="{FC9EDB7C-7CC9-4D4C-A4D1-FD8CF536C839}"/>
    <hyperlink ref="S1313" r:id="rId441" xr:uid="{3E9A694F-6D13-4E25-A138-6C36D0582EC9}"/>
    <hyperlink ref="S1284" r:id="rId442" xr:uid="{5832D88F-CB39-480B-A715-16A2D802FA2B}"/>
    <hyperlink ref="S1312" r:id="rId443" xr:uid="{4A8EB523-401F-46E3-9706-FB7CC32A1B65}"/>
    <hyperlink ref="S1244" r:id="rId444" xr:uid="{A8DD587F-A7FA-4900-9434-9E5BC30F3E5F}"/>
    <hyperlink ref="S1251" r:id="rId445" xr:uid="{579E63A2-C9A2-4AD0-A74A-992168E6E0FB}"/>
    <hyperlink ref="S1675" r:id="rId446" xr:uid="{10246EEA-A69B-4BE6-8D07-2CA15F8A30A5}"/>
    <hyperlink ref="S1692" r:id="rId447" xr:uid="{D3C150B6-EE3D-4C5A-B45E-82FBA003CD73}"/>
    <hyperlink ref="S1708" r:id="rId448" xr:uid="{5F675E73-6D3F-41FA-88BF-3B269664F5CD}"/>
    <hyperlink ref="S410" r:id="rId449" xr:uid="{5464D791-2054-4921-8EFC-FCA1C999334D}"/>
    <hyperlink ref="S1140" r:id="rId450" xr:uid="{12240FC7-B6E0-46E8-BCEB-30C76633498C}"/>
    <hyperlink ref="S1157" r:id="rId451" xr:uid="{7CCB3A70-001F-43A3-B848-2BFB9D71758E}"/>
    <hyperlink ref="S1174" r:id="rId452" xr:uid="{19B9A77F-FB31-45F9-9B71-3ACB2A25D5C8}"/>
    <hyperlink ref="S1191" r:id="rId453" xr:uid="{C121E5EE-73E1-4081-B83C-0F3AB93B5AD5}"/>
    <hyperlink ref="S1350" r:id="rId454" xr:uid="{63AF71F7-C889-4CDA-AB87-C5F4E46373E3}"/>
    <hyperlink ref="S1367" r:id="rId455" xr:uid="{6F2A7714-B2B8-42A8-BDBB-BF0C72C38A7C}"/>
    <hyperlink ref="S1245" r:id="rId456" xr:uid="{0BC170FC-A368-42F4-B4A4-27FE07BD06F4}"/>
    <hyperlink ref="S1246" r:id="rId457" xr:uid="{DA6E7455-EEF3-4B3E-A246-3F25BC4E0C6D}"/>
    <hyperlink ref="S1247" r:id="rId458" xr:uid="{C1463BB5-856D-43B3-98CA-F8EE98A8A766}"/>
    <hyperlink ref="S1248" r:id="rId459" xr:uid="{18686001-2E3F-43B6-B71A-D4764FCD0A35}"/>
    <hyperlink ref="S1249" r:id="rId460" xr:uid="{D0F30873-AED1-4009-9705-1F7F1717A927}"/>
    <hyperlink ref="S1250" r:id="rId461" xr:uid="{CA56CCFA-A7F9-481E-8F1C-B243C665F473}"/>
    <hyperlink ref="S1252" r:id="rId462" xr:uid="{70388C48-D2C6-41D4-A884-1424CF9814E0}"/>
    <hyperlink ref="S1253" r:id="rId463" xr:uid="{DC6F9AB8-86CB-4E25-BAAE-80D65399C4D2}"/>
    <hyperlink ref="S1254" r:id="rId464" xr:uid="{E32FF51C-B766-4F43-8645-02FE527873DD}"/>
    <hyperlink ref="S1255" r:id="rId465" xr:uid="{F3C3BDEF-B276-4E83-8014-882E8082F0D0}"/>
    <hyperlink ref="S1256" r:id="rId466" xr:uid="{F223B4FA-AA32-442E-94CC-37D578C8DDE5}"/>
    <hyperlink ref="S1257" r:id="rId467" xr:uid="{6EF52161-1791-4205-9C07-7896E5709DBD}"/>
    <hyperlink ref="S1258" r:id="rId468" xr:uid="{C67BEB12-593A-428E-82AD-60F2C709C6F3}"/>
    <hyperlink ref="S1259" r:id="rId469" xr:uid="{65B4BAC3-D09B-4989-80C6-B6288EFF96AD}"/>
    <hyperlink ref="S1226" r:id="rId470" xr:uid="{689754CB-CAD1-4597-A43A-3E612F3A81DE}"/>
    <hyperlink ref="S1227" r:id="rId471" xr:uid="{04AAA4F8-A8F3-497C-A5F5-0C958B95E79B}"/>
    <hyperlink ref="S1228" r:id="rId472" xr:uid="{730867C3-FD5F-4199-B586-8655D747F665}"/>
    <hyperlink ref="S1229" r:id="rId473" xr:uid="{3B511F87-68A9-4C71-8815-5E5034079DB7}"/>
    <hyperlink ref="S1230" r:id="rId474" xr:uid="{0E431036-8740-4A29-B88C-6A5A440293F6}"/>
    <hyperlink ref="S1231" r:id="rId475" xr:uid="{BEDD5D59-6B07-4A21-AB75-C8788E29898D}"/>
    <hyperlink ref="S1232" r:id="rId476" xr:uid="{5925DD4B-A3B4-40B6-BD4C-611E42230722}"/>
    <hyperlink ref="S1233" r:id="rId477" xr:uid="{6BAE8862-35E8-4F6B-92DC-FFED952015B5}"/>
    <hyperlink ref="S1234" r:id="rId478" xr:uid="{EAB770FB-E9DF-47B2-9AFF-8191A9EBF876}"/>
    <hyperlink ref="S1235" r:id="rId479" xr:uid="{BC7CE39E-08E3-4036-8499-E620C1B7D467}"/>
    <hyperlink ref="S1236" r:id="rId480" xr:uid="{A7622AB8-6ACF-4A99-8AC1-5E2C5DC183C1}"/>
    <hyperlink ref="S1237" r:id="rId481" xr:uid="{0E563821-4BE0-404E-A0C7-CFB93670279E}"/>
    <hyperlink ref="S1238" r:id="rId482" xr:uid="{2C59E231-8C59-4754-95B4-3B41358E997A}"/>
    <hyperlink ref="S1239" r:id="rId483" xr:uid="{37300A3E-2A40-470B-A0CB-CB7785C59FC5}"/>
    <hyperlink ref="S1240" r:id="rId484" xr:uid="{CC0FFD62-E6CD-4626-B7E0-B6A72BCAA6A5}"/>
    <hyperlink ref="S1676" r:id="rId485" xr:uid="{9844B371-8A7B-44B1-98F4-0BFDDED5941D}"/>
    <hyperlink ref="S1677" r:id="rId486" xr:uid="{25053A12-8070-4F30-B4AA-BDD277525AD5}"/>
    <hyperlink ref="S1678" r:id="rId487" xr:uid="{434BA26F-51D6-4D8E-B2E1-22E7B8094DAD}"/>
    <hyperlink ref="S1679" r:id="rId488" xr:uid="{EF329FBD-5C53-4510-8DE4-FF7942B477FF}"/>
    <hyperlink ref="S1680" r:id="rId489" xr:uid="{8EE32212-F19D-4067-AD0C-F3DDA222587D}"/>
    <hyperlink ref="S1681" r:id="rId490" xr:uid="{A4BC1226-633C-422D-A5AC-7A96F5FC28B2}"/>
    <hyperlink ref="S1682" r:id="rId491" xr:uid="{591F8D6A-E37C-4484-B5C4-3CE1DCDC3BF6}"/>
    <hyperlink ref="S1683" r:id="rId492" xr:uid="{408B6071-AEE0-4C4A-A523-A61C082B14B9}"/>
    <hyperlink ref="S1684" r:id="rId493" xr:uid="{80200FA0-33E2-45BF-8981-BBF19A6BBE19}"/>
    <hyperlink ref="S1685" r:id="rId494" xr:uid="{08731A38-F8AA-48DA-ADCF-B9CE32A810B9}"/>
    <hyperlink ref="S1686" r:id="rId495" xr:uid="{CB9A06B3-7752-4C7E-9E77-5C8900DE7BB8}"/>
    <hyperlink ref="S1687" r:id="rId496" xr:uid="{73183C63-6CCB-4FD5-8684-871DF853095D}"/>
    <hyperlink ref="S1688" r:id="rId497" xr:uid="{1DF8E984-F607-43A6-AC81-2E101DB4A8BB}"/>
    <hyperlink ref="S1689" r:id="rId498" xr:uid="{BCD5C159-BC2F-42F3-A088-BCD3FFDC2D5B}"/>
    <hyperlink ref="S1690" r:id="rId499" xr:uid="{978B53E5-8E91-43F8-85EA-B1A69B10DD2C}"/>
    <hyperlink ref="S1693" r:id="rId500" xr:uid="{9D5F0F5F-4BC1-42E3-BDEB-E521C1B81369}"/>
    <hyperlink ref="S1695" r:id="rId501" xr:uid="{A2F2EDD9-C123-4258-A97A-DE3E08ABE8F1}"/>
    <hyperlink ref="S1696" r:id="rId502" xr:uid="{269BCEBC-0D00-4C07-A312-0F4300F3BF68}"/>
    <hyperlink ref="S1697" r:id="rId503" xr:uid="{06702FE4-B59D-410E-9C8F-C1EA2F8869E0}"/>
    <hyperlink ref="S1698" r:id="rId504" xr:uid="{6EE7A4DD-A959-4898-9E78-2AD8905E410B}"/>
    <hyperlink ref="S1699" r:id="rId505" xr:uid="{9C52452E-648F-40E9-ACC7-A25156D9D77B}"/>
    <hyperlink ref="S1700" r:id="rId506" xr:uid="{DA0F7EE5-64FC-49C1-B2DD-7750ACEEDA2B}"/>
    <hyperlink ref="S1701" r:id="rId507" xr:uid="{B637BD30-1AEB-43AF-BFD6-7D1611F48DEB}"/>
    <hyperlink ref="S1702" r:id="rId508" xr:uid="{ED6A140F-E926-42AE-B45C-206584D3A3B7}"/>
    <hyperlink ref="S1703" r:id="rId509" xr:uid="{FF7A71AF-194D-44C0-86D2-1B5FFB66EF79}"/>
    <hyperlink ref="S1704" r:id="rId510" xr:uid="{5CB252AD-1406-43C0-9DFE-9F1372788A7E}"/>
    <hyperlink ref="S1705" r:id="rId511" xr:uid="{EC971015-7F23-47E9-AA10-4A2EB9B03604}"/>
    <hyperlink ref="S1706" r:id="rId512" xr:uid="{706C67C1-0476-4392-9847-2E59371412B5}"/>
    <hyperlink ref="S1709" r:id="rId513" xr:uid="{C725BCEB-69EA-439B-8371-3C0F7DA7D78A}"/>
    <hyperlink ref="S1710" r:id="rId514" xr:uid="{62CECC65-3307-4A5B-984A-5B443F45359C}"/>
    <hyperlink ref="S1711" r:id="rId515" xr:uid="{5CF9B025-68B0-4BCC-88BD-F2C0B5DC9F95}"/>
    <hyperlink ref="S1712" r:id="rId516" xr:uid="{06370996-3E48-45BF-8D8A-FF57791B3AE8}"/>
    <hyperlink ref="S1713" r:id="rId517" xr:uid="{EDD605A5-A75D-4B5F-A515-019766F01428}"/>
    <hyperlink ref="S1714" r:id="rId518" xr:uid="{58B63289-8D3B-4FF7-8FD0-9013C21D888E}"/>
    <hyperlink ref="S1715" r:id="rId519" xr:uid="{59179784-01F5-459B-8A8A-908C45D53078}"/>
    <hyperlink ref="S1716" r:id="rId520" xr:uid="{0CEA7145-D78D-4A4E-9FF7-C5400558D030}"/>
    <hyperlink ref="S1717" r:id="rId521" xr:uid="{69071422-54B6-4C0B-A12B-E910A70D1927}"/>
    <hyperlink ref="S1718" r:id="rId522" xr:uid="{E1B7BE24-FC45-4763-8A4B-C78F1BFE6A2E}"/>
    <hyperlink ref="S1719" r:id="rId523" xr:uid="{73E1F9D7-BDC9-457D-8C5D-0F5EF64D9156}"/>
    <hyperlink ref="S1720" r:id="rId524" xr:uid="{47D80985-8182-4A9F-8729-A4F1ECAF425F}"/>
    <hyperlink ref="S1721" r:id="rId525" xr:uid="{F83F37A9-1A7B-41EE-AA0B-96CA87791640}"/>
    <hyperlink ref="S1722" r:id="rId526" xr:uid="{1E7CF986-2006-4AC6-9E42-E4632E8B4141}"/>
    <hyperlink ref="S1723" r:id="rId527" xr:uid="{19AEF2D5-6013-4BF1-9B4F-CB4CA9E8B1C9}"/>
    <hyperlink ref="S1707" r:id="rId528" xr:uid="{326A59FE-11D1-43D9-A637-6F6A2E39C16C}"/>
    <hyperlink ref="S850" r:id="rId529" xr:uid="{82BD9785-8FE5-47FB-AABD-4261CD9A04FC}"/>
    <hyperlink ref="S1868" r:id="rId530" xr:uid="{61613FB6-36BC-486C-B174-48F7D6741FAF}"/>
    <hyperlink ref="S590" r:id="rId531" xr:uid="{42EFB904-461D-4D11-B86F-E644A1EF3A08}"/>
    <hyperlink ref="S1388" r:id="rId532" xr:uid="{5725DDF8-3FB7-4726-AC46-3783C9C85A25}"/>
    <hyperlink ref="S1066" r:id="rId533" xr:uid="{1F491A8C-1E27-4432-AFFB-9B4840B0FEF8}"/>
    <hyperlink ref="S1079" r:id="rId534" xr:uid="{3F457A52-C7A6-450D-9B8D-BF959E3BA91A}"/>
    <hyperlink ref="S1076" r:id="rId535" xr:uid="{D5B12057-7E8D-4136-BFE3-5AA7F377AA25}"/>
    <hyperlink ref="S1077" r:id="rId536" xr:uid="{76BB7CB5-5E41-4E2F-AF92-5DBEBFE7E92F}"/>
    <hyperlink ref="S1078" r:id="rId537" xr:uid="{23CBB958-8698-445B-B87D-1EDA8C00A407}"/>
    <hyperlink ref="S1082" r:id="rId538" xr:uid="{348182A7-6B7D-4FEA-9978-3C6A649B4E56}"/>
    <hyperlink ref="S1124" r:id="rId539" xr:uid="{49434DCD-9CB6-4ABE-8A9A-CAB9F886EE01}"/>
    <hyperlink ref="S1261" r:id="rId540" xr:uid="{1A942F3C-482F-4BBA-9F10-46D5CDC8A23F}"/>
    <hyperlink ref="S1264" r:id="rId541" xr:uid="{C9773115-E1FC-4EAE-A26E-2459CBDA9A00}"/>
    <hyperlink ref="S1266" r:id="rId542" xr:uid="{20D1CECB-BD53-42FC-8DFD-EDE13E53EA32}"/>
    <hyperlink ref="S1268" r:id="rId543" xr:uid="{1F0CF9C9-66B9-4D54-A9ED-DD46F0B26CFC}"/>
    <hyperlink ref="S1574" r:id="rId544" xr:uid="{DEA3BBC0-73B9-4753-861F-8546816E83CE}"/>
    <hyperlink ref="S1834" r:id="rId545" xr:uid="{DC5CC1F5-0364-40E9-9134-7DCE34C5F11F}"/>
    <hyperlink ref="S1848" r:id="rId546" xr:uid="{2E5525AE-D33E-4BC7-ACBA-22EC5AE20051}"/>
    <hyperlink ref="S1849" r:id="rId547" xr:uid="{C86A3A23-47AF-425E-9D6B-83317D2D8381}"/>
    <hyperlink ref="S1850" r:id="rId548" xr:uid="{F4902B7A-AF99-44E0-9BE0-2B49BDB3C7CB}"/>
    <hyperlink ref="S1851" r:id="rId549" xr:uid="{017F7046-BD26-45DC-A15D-D523CA5D62E2}"/>
    <hyperlink ref="S1852" r:id="rId550" xr:uid="{7611D9D0-30B5-4C5E-9D8B-5F036EDB1E2A}"/>
    <hyperlink ref="S1853" r:id="rId551" xr:uid="{8B705ED8-D7D6-46E6-AB5F-6631FE9D083D}"/>
    <hyperlink ref="S1854" r:id="rId552" xr:uid="{55CD8046-2194-4000-81F5-0925B15CE1D5}"/>
    <hyperlink ref="S1855" r:id="rId553" xr:uid="{C978DCD6-BEDE-4ADC-84F5-B57E1C990590}"/>
    <hyperlink ref="S1856" r:id="rId554" xr:uid="{CA691469-B10E-4381-9230-402A7FCAB661}"/>
    <hyperlink ref="S1857" r:id="rId555" xr:uid="{141BF835-3BAC-4E63-87D4-507B2B09C2AD}"/>
    <hyperlink ref="S1858" r:id="rId556" xr:uid="{7FA45B4A-B5E4-4481-9930-BDA8C660D088}"/>
    <hyperlink ref="S1859" r:id="rId557" xr:uid="{B8B4A4E7-535D-4F15-BAB4-E335A1E318F9}"/>
    <hyperlink ref="S1860" r:id="rId558" xr:uid="{45AAAC34-FA13-45A4-A2D4-08401B62C517}"/>
    <hyperlink ref="S1861" r:id="rId559" xr:uid="{F53D7FDC-70A2-424E-95E1-52059F574CB4}"/>
    <hyperlink ref="S1862" r:id="rId560" xr:uid="{7F8D2B60-C09A-4723-9486-7723E1DB1306}"/>
    <hyperlink ref="S1330" r:id="rId561" xr:uid="{16E16246-98F5-41BE-AE44-0E9D9B9B9642}"/>
    <hyperlink ref="S1304" r:id="rId562" xr:uid="{5AFB5EEB-D385-4D0A-A3FC-7F7916B49C6D}"/>
    <hyperlink ref="S1282" r:id="rId563" xr:uid="{ADD3A5B6-72A4-449D-AF72-77B937FB2A82}"/>
    <hyperlink ref="S1323" r:id="rId564" xr:uid="{270F2A09-0240-43CC-863B-F3848DAF86EC}"/>
    <hyperlink ref="S145" r:id="rId565" xr:uid="{3DB1F578-ED27-433F-9979-AB856D9D93D8}"/>
    <hyperlink ref="S1863" r:id="rId566" xr:uid="{1BB00E7C-5A6F-4C93-A350-C3E88FB8EDF8}"/>
    <hyperlink ref="S1865" r:id="rId567" xr:uid="{62984DC9-C53C-4D40-824A-4C07F65B7B39}"/>
    <hyperlink ref="S1882" r:id="rId568" xr:uid="{B2305E95-6F94-40B9-ACC9-4EF819EC2C20}"/>
    <hyperlink ref="S1898" r:id="rId569" xr:uid="{5175A612-88FC-49F1-BA65-5565C0515CE1}"/>
    <hyperlink ref="S1881" r:id="rId570" xr:uid="{917B1AF1-C72D-4001-AD17-555585E5209C}"/>
    <hyperlink ref="S1930" r:id="rId571" xr:uid="{43613769-9CF2-4FF1-8DFA-5BF4235D1387}"/>
    <hyperlink ref="S1915" r:id="rId572" xr:uid="{A3EC27D4-3AF8-4A57-B520-4284B7F691D5}"/>
    <hyperlink ref="S1932" r:id="rId573" xr:uid="{D0851A8F-70F8-43D9-8199-1B2595EE5FAB}"/>
    <hyperlink ref="S1154" r:id="rId574" xr:uid="{DD768EFA-91D1-4508-ACF0-C1C78A8501EC}"/>
    <hyperlink ref="S1185" r:id="rId575" xr:uid="{26B8848E-DBD7-4992-B981-C8DFA8E68E5A}"/>
    <hyperlink ref="S1648" r:id="rId576" xr:uid="{82A38CA5-6CC8-47FE-9D45-FEAAED330859}"/>
    <hyperlink ref="S1649" r:id="rId577" xr:uid="{C9310ED9-7CD7-47D8-9C2C-BEAD694F4678}"/>
    <hyperlink ref="S1650" r:id="rId578" xr:uid="{5C8C2F3F-E8F6-4644-A610-64B986F54382}"/>
    <hyperlink ref="S1651" r:id="rId579" xr:uid="{AB87286E-CCD1-49DA-830F-B067D015A66C}"/>
    <hyperlink ref="S1652" r:id="rId580" xr:uid="{85C74073-ACC7-42D0-AD4A-1FF6740F66AF}"/>
    <hyperlink ref="S250" r:id="rId581" xr:uid="{903D1ED5-8594-4552-A11C-B4699362A2BB}"/>
    <hyperlink ref="S1120" r:id="rId582" xr:uid="{C8F273C9-A7D9-4434-9574-3F726E81CFB1}"/>
    <hyperlink ref="S1616" r:id="rId583" xr:uid="{E6AAE869-ACF2-4719-81DC-3B33AFCDCF67}"/>
    <hyperlink ref="S1615" r:id="rId584" xr:uid="{56A70F28-865A-4C16-B1C9-F68ACF0C7A55}"/>
    <hyperlink ref="S1635" r:id="rId585" xr:uid="{7AD0FD81-B8B1-4797-B7A6-8CFC112A345E}"/>
    <hyperlink ref="S1639" r:id="rId586" xr:uid="{7546B6CF-993E-440E-B9A5-D530997941F1}"/>
    <hyperlink ref="S1643" r:id="rId587" xr:uid="{C0A2B3D6-44F5-4CFE-ADBC-FE8FBEF69AF6}"/>
    <hyperlink ref="S1671" r:id="rId588" xr:uid="{3BF3973B-15CA-400E-ADBC-FD658E01A2EA}"/>
    <hyperlink ref="S1672" r:id="rId589" xr:uid="{8AE7421B-90AF-404A-9D4F-C130ED93D843}"/>
    <hyperlink ref="S1673" r:id="rId590" xr:uid="{6D1AA666-C853-410A-B7F3-D0FE0ACE9AF6}"/>
    <hyperlink ref="S1573" r:id="rId591" xr:uid="{31344AFE-E02C-4593-9B93-2809625ABF0D}"/>
    <hyperlink ref="S1826" r:id="rId592" xr:uid="{84D8F318-5B64-4DAF-89DA-35F8D43C1FAE}"/>
    <hyperlink ref="S1827" r:id="rId593" xr:uid="{C5C3E171-1E5B-4B6B-982E-0CE1AC244BD8}"/>
    <hyperlink ref="S1828" r:id="rId594" xr:uid="{4679C6AF-09F0-42BA-B7C7-773D351658FF}"/>
    <hyperlink ref="S1949" r:id="rId595" display="https://mapaglaciares.herokuapp.com/periodo?q=Q1&amp;p=17-18&amp;id=2921" xr:uid="{1466F12D-51C5-4C58-8A0F-65EFF7AD5133}"/>
    <hyperlink ref="S1950" r:id="rId596" display="https://mapaglaciares.herokuapp.com/periodo?q=Q1&amp;p=18-19&amp;id=2922" xr:uid="{88B69719-92DB-40D5-88A9-A63BAB5102CF}"/>
    <hyperlink ref="S1336" r:id="rId597" xr:uid="{CF7267F7-2CE7-4D05-A2CC-B499DBB446ED}"/>
    <hyperlink ref="S1354" r:id="rId598" xr:uid="{2AA54D8E-32D2-4975-B733-EB21E59E53B9}"/>
    <hyperlink ref="S1370" r:id="rId599" xr:uid="{D5D6F92E-694B-40A1-A6F7-E4F35F0E7C09}"/>
    <hyperlink ref="S1957" r:id="rId600" xr:uid="{05793D5F-9C76-490C-B3EE-F264EC2EB710}"/>
    <hyperlink ref="S1958" r:id="rId601" xr:uid="{E6F9772C-3C7C-4E4A-B5DB-DF9D99F1372B}"/>
    <hyperlink ref="S1959" r:id="rId602" xr:uid="{FAA87B95-907D-4494-9338-F6348708EBDD}"/>
    <hyperlink ref="S1960" r:id="rId603" xr:uid="{4D6DB802-72E8-4123-B91D-BCC630D54C98}"/>
    <hyperlink ref="S1961" r:id="rId604" xr:uid="{FBC24A56-CA97-4E3C-A96C-EEEC8874879C}"/>
    <hyperlink ref="S1962" r:id="rId605" xr:uid="{04E5809F-45F0-41FF-B042-CDAF779D0DD8}"/>
    <hyperlink ref="S1963" r:id="rId606" xr:uid="{8032BF7A-D242-4975-835B-3040B6E79112}"/>
    <hyperlink ref="S1975" r:id="rId607" xr:uid="{609DCBC9-2561-4A81-AA32-3060EA14F37A}"/>
    <hyperlink ref="S1976" r:id="rId608" xr:uid="{C67A7C52-3878-4E55-8435-D0E33D73CFFE}"/>
    <hyperlink ref="S1977" r:id="rId609" xr:uid="{E31E5565-7136-46ED-8180-33B49B662E41}"/>
    <hyperlink ref="S1978" r:id="rId610" xr:uid="{5FEC6B2C-1E5D-4F24-867D-9F4D512653F1}"/>
    <hyperlink ref="S1979" r:id="rId611" xr:uid="{09966092-A57A-45E6-8919-14804342D486}"/>
    <hyperlink ref="S1980" r:id="rId612" xr:uid="{0938C41A-2024-49F1-A848-07661B5805BA}"/>
    <hyperlink ref="S1981" r:id="rId613" xr:uid="{8EB507DD-53FC-49F8-81E8-2FDF1DAB8229}"/>
    <hyperlink ref="S1993" r:id="rId614" xr:uid="{886ED393-B790-45C3-BD34-92B525573F71}"/>
    <hyperlink ref="S1994" r:id="rId615" xr:uid="{B7030464-4E9B-4B93-A12F-1A7148D817CD}"/>
    <hyperlink ref="S1995" r:id="rId616" xr:uid="{147F9C70-A0BF-497E-9CC4-81B1356F0C79}"/>
    <hyperlink ref="S1996" r:id="rId617" xr:uid="{46DE3C3A-4555-437C-979F-483D61A5B0D6}"/>
    <hyperlink ref="S1997" r:id="rId618" xr:uid="{74850215-CE00-4027-B80B-0B1C0FA47AF5}"/>
    <hyperlink ref="S1998" r:id="rId619" xr:uid="{6FF01B27-6C2C-4CF2-B62D-821372FF3DD4}"/>
    <hyperlink ref="S1999" r:id="rId620" xr:uid="{952A19DC-EF5F-48E3-B294-1CA31FE304DC}"/>
    <hyperlink ref="S132" r:id="rId621" xr:uid="{BD2E3A3C-55BC-40EF-95A2-59AC0A97DB5B}"/>
  </hyperlinks>
  <pageMargins left="0.7" right="0.7" top="0.75" bottom="0.75" header="0.3" footer="0.3"/>
  <pageSetup orientation="portrait" horizontalDpi="4294967293" verticalDpi="4294967293" r:id="rId622"/>
  <ignoredErrors>
    <ignoredError sqref="Q1535" calculatedColumn="1"/>
  </ignoredErrors>
  <drawing r:id="rId623"/>
  <tableParts count="1">
    <tablePart r:id="rId624"/>
  </tableParts>
  <extLst>
    <ext xmlns:x15="http://schemas.microsoft.com/office/spreadsheetml/2010/11/main" uri="{3A4CF648-6AED-40f4-86FF-DC5316D8AED3}">
      <x14:slicerList xmlns:x14="http://schemas.microsoft.com/office/spreadsheetml/2009/9/main">
        <x14:slicer r:id="rId62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0996-782E-477B-9CFA-4A03E6187C1D}">
  <sheetPr>
    <tabColor rgb="FFC00000"/>
  </sheetPr>
  <dimension ref="A1:AD366"/>
  <sheetViews>
    <sheetView showGridLines="0" workbookViewId="0">
      <selection activeCell="E4" sqref="E4"/>
    </sheetView>
  </sheetViews>
  <sheetFormatPr baseColWidth="10" defaultRowHeight="14.4" x14ac:dyDescent="0.3"/>
  <cols>
    <col min="1" max="1" width="52.88671875" bestFit="1" customWidth="1"/>
    <col min="2" max="2" width="6.44140625" customWidth="1"/>
    <col min="3" max="3" width="7.5546875" bestFit="1" customWidth="1"/>
    <col min="4" max="4" width="1.44140625" style="29" customWidth="1"/>
    <col min="5" max="5" width="40.44140625" bestFit="1" customWidth="1"/>
    <col min="6" max="6" width="4.88671875" customWidth="1"/>
    <col min="7" max="7" width="13" customWidth="1"/>
    <col min="8" max="8" width="1.109375" style="29" customWidth="1"/>
    <col min="9" max="9" width="20.88671875" style="28" bestFit="1" customWidth="1"/>
    <col min="10" max="10" width="4.44140625" style="28" customWidth="1"/>
    <col min="11" max="11" width="13" style="28" customWidth="1"/>
    <col min="12" max="12" width="1.44140625" style="29" customWidth="1"/>
    <col min="13" max="13" width="134" style="28" bestFit="1" customWidth="1"/>
    <col min="14" max="14" width="3.88671875" style="28" customWidth="1"/>
    <col min="15" max="15" width="10.5546875" style="28" customWidth="1"/>
    <col min="16" max="16" width="1.44140625" style="29" customWidth="1"/>
    <col min="17" max="17" width="7.5546875" bestFit="1" customWidth="1"/>
    <col min="18" max="18" width="8.33203125" bestFit="1" customWidth="1"/>
    <col min="19" max="19" width="5.109375" customWidth="1"/>
    <col min="20" max="20" width="1.44140625" style="29" customWidth="1"/>
    <col min="21" max="21" width="10.44140625" customWidth="1"/>
    <col min="22" max="22" width="26" customWidth="1"/>
    <col min="23" max="23" width="8.33203125" bestFit="1" customWidth="1"/>
    <col min="24" max="24" width="6" bestFit="1" customWidth="1"/>
    <col min="26" max="26" width="3.88671875" customWidth="1"/>
    <col min="27" max="27" width="1.44140625" style="29" customWidth="1"/>
    <col min="28" max="28" width="3.44140625" customWidth="1"/>
    <col min="29" max="29" width="24.44140625" bestFit="1" customWidth="1"/>
    <col min="31" max="31" width="11.88671875" customWidth="1"/>
  </cols>
  <sheetData>
    <row r="1" spans="1:30" x14ac:dyDescent="0.3">
      <c r="A1" s="16" t="s">
        <v>399</v>
      </c>
      <c r="B1" s="17">
        <v>990</v>
      </c>
    </row>
    <row r="3" spans="1:30" x14ac:dyDescent="0.3">
      <c r="A3" s="65" t="s">
        <v>3</v>
      </c>
      <c r="C3" s="4" t="s">
        <v>387</v>
      </c>
      <c r="E3" s="65" t="s">
        <v>4</v>
      </c>
      <c r="G3" s="4" t="s">
        <v>388</v>
      </c>
      <c r="H3" s="30"/>
      <c r="I3" s="65" t="s">
        <v>24</v>
      </c>
      <c r="J3" s="15"/>
      <c r="K3" s="4" t="s">
        <v>391</v>
      </c>
      <c r="L3" s="30"/>
      <c r="M3" s="65" t="s">
        <v>25</v>
      </c>
      <c r="N3" s="15"/>
      <c r="O3" s="4" t="s">
        <v>390</v>
      </c>
      <c r="P3" s="30"/>
      <c r="Q3" t="s">
        <v>389</v>
      </c>
      <c r="R3" s="4" t="s">
        <v>5</v>
      </c>
      <c r="V3" s="65" t="s">
        <v>6</v>
      </c>
      <c r="W3" s="4" t="s">
        <v>5</v>
      </c>
      <c r="X3" s="5" t="s">
        <v>397</v>
      </c>
      <c r="Y3" s="5" t="s">
        <v>396</v>
      </c>
      <c r="AC3" t="s">
        <v>15</v>
      </c>
      <c r="AD3">
        <v>0</v>
      </c>
    </row>
    <row r="4" spans="1:30" x14ac:dyDescent="0.3">
      <c r="A4" s="64" t="s">
        <v>1429</v>
      </c>
      <c r="B4" s="15">
        <v>1</v>
      </c>
      <c r="C4" s="28" t="str">
        <f>+IF(A4="","","T-"&amp;$B$1+B4)</f>
        <v>T-991</v>
      </c>
      <c r="E4" s="64" t="s">
        <v>569</v>
      </c>
      <c r="F4" s="15">
        <v>1</v>
      </c>
      <c r="G4" t="str">
        <f>+IF(E4="","","C-"&amp;$B$1+F4)</f>
        <v>C-991</v>
      </c>
      <c r="I4" s="64" t="s">
        <v>18</v>
      </c>
      <c r="J4" s="15">
        <v>1</v>
      </c>
      <c r="K4" t="str">
        <f>+IF(I4="","","FI-"&amp;$B$1+J4)</f>
        <v>FI-991</v>
      </c>
      <c r="M4" s="64" t="s">
        <v>800</v>
      </c>
      <c r="N4" s="15">
        <v>1</v>
      </c>
      <c r="O4" t="str">
        <f>+IF(M4="","","M-"&amp;$B$1+N4)</f>
        <v>M-991</v>
      </c>
      <c r="Q4">
        <f>+$B$1+1</f>
        <v>991</v>
      </c>
      <c r="R4" s="64" t="s">
        <v>20</v>
      </c>
      <c r="S4">
        <f>+Q4</f>
        <v>991</v>
      </c>
      <c r="U4">
        <f>+VLOOKUP(W4,$R$4:$S$6,2,0)*100000+X4</f>
        <v>99100000</v>
      </c>
      <c r="V4" s="64" t="s">
        <v>15</v>
      </c>
      <c r="W4" s="64" t="s">
        <v>20</v>
      </c>
      <c r="X4">
        <f>+VLOOKUP(V4,$AC$3:$AD$364,2,0)</f>
        <v>0</v>
      </c>
      <c r="Y4">
        <f>+U4</f>
        <v>99100000</v>
      </c>
      <c r="AC4" t="s">
        <v>368</v>
      </c>
      <c r="AD4">
        <v>1</v>
      </c>
    </row>
    <row r="5" spans="1:30" x14ac:dyDescent="0.3">
      <c r="A5" s="64" t="s">
        <v>421</v>
      </c>
      <c r="B5" s="15">
        <f>+IF(A5="","",B4+1)</f>
        <v>2</v>
      </c>
      <c r="C5" t="str">
        <f>+IF(A5="","","T-"&amp;$B$1+B5)</f>
        <v>T-992</v>
      </c>
      <c r="E5" s="64" t="s">
        <v>953</v>
      </c>
      <c r="F5" s="15">
        <f>+IF(E5="","",F4+1)</f>
        <v>2</v>
      </c>
      <c r="G5" t="str">
        <f>+IF(E5="","","C-"&amp;$B$1+F5)</f>
        <v>C-992</v>
      </c>
      <c r="I5" s="64" t="s">
        <v>16</v>
      </c>
      <c r="J5" s="15">
        <f t="shared" ref="J5:J30" si="0">+IF(I5="","",J4+1)</f>
        <v>2</v>
      </c>
      <c r="K5" t="str">
        <f>+IF(I5="","","FI-"&amp;$B$1+J5)</f>
        <v>FI-992</v>
      </c>
      <c r="M5" s="64" t="s">
        <v>801</v>
      </c>
      <c r="N5" s="15">
        <f>+IF(M5="","",N4+1)</f>
        <v>2</v>
      </c>
      <c r="O5" t="str">
        <f>+IF(M5="","","M-"&amp;$B$1+N5)</f>
        <v>M-992</v>
      </c>
      <c r="Q5" s="28">
        <f>++IF(R5="","",Q4+1)</f>
        <v>992</v>
      </c>
      <c r="R5" s="64" t="s">
        <v>16</v>
      </c>
      <c r="S5">
        <f>+Q5</f>
        <v>992</v>
      </c>
      <c r="U5">
        <f t="shared" ref="U5:U68" si="1">+VLOOKUP(W5,$R$4:$S$6,2,0)*100000+X5</f>
        <v>99200002</v>
      </c>
      <c r="V5" s="64" t="s">
        <v>369</v>
      </c>
      <c r="W5" s="64" t="s">
        <v>16</v>
      </c>
      <c r="X5">
        <f t="shared" ref="X5:X68" si="2">+VLOOKUP(V5,$AC$3:$AD$364,2,0)</f>
        <v>2</v>
      </c>
      <c r="Y5">
        <f t="shared" ref="Y5:Y68" si="3">+U5</f>
        <v>99200002</v>
      </c>
      <c r="AC5" t="s">
        <v>369</v>
      </c>
      <c r="AD5">
        <v>2</v>
      </c>
    </row>
    <row r="6" spans="1:30" x14ac:dyDescent="0.3">
      <c r="A6" s="64" t="s">
        <v>1838</v>
      </c>
      <c r="B6" s="15">
        <f>+IF(A6="","",B5+1)</f>
        <v>3</v>
      </c>
      <c r="C6" t="str">
        <f>+IF(A6="","","T-"&amp;$B$1+B6)</f>
        <v>T-993</v>
      </c>
      <c r="E6" s="64" t="s">
        <v>1470</v>
      </c>
      <c r="F6" s="15">
        <f>+IF(E6="","",F5+1)</f>
        <v>3</v>
      </c>
      <c r="G6" t="str">
        <f>+IF(E6="","","C-"&amp;$B$1+F6)</f>
        <v>C-993</v>
      </c>
      <c r="I6" s="64" t="s">
        <v>403</v>
      </c>
      <c r="J6" s="15">
        <f t="shared" si="0"/>
        <v>3</v>
      </c>
      <c r="K6" t="str">
        <f>+IF(I6="","","FI-"&amp;$B$1+J6)</f>
        <v>FI-993</v>
      </c>
      <c r="M6" s="64" t="s">
        <v>791</v>
      </c>
      <c r="N6" s="15">
        <f>+IF(M6="","",N5+1)</f>
        <v>3</v>
      </c>
      <c r="O6" s="28" t="str">
        <f>+IF(M6="","","M-"&amp;$B$1+N6)</f>
        <v>M-993</v>
      </c>
      <c r="Q6" t="str">
        <f t="shared" ref="Q6:Q16" si="4">++IF(R6="","",Q5+1)</f>
        <v/>
      </c>
      <c r="S6" t="str">
        <f>+Q6</f>
        <v/>
      </c>
      <c r="U6">
        <f t="shared" si="1"/>
        <v>99200015</v>
      </c>
      <c r="V6" s="64" t="s">
        <v>382</v>
      </c>
      <c r="W6" s="64" t="s">
        <v>16</v>
      </c>
      <c r="X6">
        <f t="shared" si="2"/>
        <v>15</v>
      </c>
      <c r="Y6">
        <f t="shared" si="3"/>
        <v>99200015</v>
      </c>
      <c r="AC6" t="s">
        <v>370</v>
      </c>
      <c r="AD6">
        <v>3</v>
      </c>
    </row>
    <row r="7" spans="1:30" x14ac:dyDescent="0.3">
      <c r="A7" s="64" t="s">
        <v>1839</v>
      </c>
      <c r="B7" s="15">
        <f>+IF(A7="","",B6+1)</f>
        <v>4</v>
      </c>
      <c r="C7" t="str">
        <f>+IF(A7="","","T-"&amp;$B$1+B7)</f>
        <v>T-994</v>
      </c>
      <c r="E7" s="64" t="s">
        <v>1500</v>
      </c>
      <c r="F7" s="15">
        <f t="shared" ref="F7:F70" si="5">+IF(E7="","",F6+1)</f>
        <v>4</v>
      </c>
      <c r="G7" t="str">
        <f t="shared" ref="G7:G70" si="6">+IF(E7="","","C-"&amp;$B$1+F7)</f>
        <v>C-994</v>
      </c>
      <c r="I7" s="64" t="s">
        <v>956</v>
      </c>
      <c r="J7" s="15">
        <f t="shared" si="0"/>
        <v>4</v>
      </c>
      <c r="K7" t="str">
        <f>+IF(I7="","","FI-"&amp;$B$1+J7)</f>
        <v>FI-994</v>
      </c>
      <c r="M7" s="64" t="s">
        <v>804</v>
      </c>
      <c r="N7" s="15">
        <f t="shared" ref="N7:N19" si="7">+IF(M7="","",N6+1)</f>
        <v>4</v>
      </c>
      <c r="O7" s="28" t="str">
        <f t="shared" ref="O7:O19" si="8">+IF(M7="","","M-"&amp;$B$1+N7)</f>
        <v>M-994</v>
      </c>
      <c r="Q7" t="str">
        <f t="shared" si="4"/>
        <v/>
      </c>
      <c r="U7">
        <f t="shared" si="1"/>
        <v>99200003</v>
      </c>
      <c r="V7" s="64" t="s">
        <v>370</v>
      </c>
      <c r="W7" s="64" t="s">
        <v>16</v>
      </c>
      <c r="X7">
        <f t="shared" si="2"/>
        <v>3</v>
      </c>
      <c r="Y7">
        <f t="shared" si="3"/>
        <v>99200003</v>
      </c>
      <c r="AC7" t="s">
        <v>371</v>
      </c>
      <c r="AD7">
        <v>4</v>
      </c>
    </row>
    <row r="8" spans="1:30" x14ac:dyDescent="0.3">
      <c r="A8" s="64" t="s">
        <v>610</v>
      </c>
      <c r="B8" s="15">
        <f t="shared" ref="B8:B71" si="9">+IF(A8="","",B7+1)</f>
        <v>5</v>
      </c>
      <c r="C8" t="str">
        <f t="shared" ref="C8:C71" si="10">+IF(A8="","","T-"&amp;$B$1+B8)</f>
        <v>T-995</v>
      </c>
      <c r="E8" s="64" t="s">
        <v>1876</v>
      </c>
      <c r="F8" s="15">
        <f t="shared" si="5"/>
        <v>5</v>
      </c>
      <c r="G8" t="str">
        <f t="shared" si="6"/>
        <v>C-995</v>
      </c>
      <c r="I8" s="64" t="s">
        <v>599</v>
      </c>
      <c r="J8" s="15">
        <f t="shared" ref="J8:J17" si="11">+IF(I8="","",J7+1)</f>
        <v>5</v>
      </c>
      <c r="K8" t="str">
        <f t="shared" ref="K8:K36" si="12">+IF(I8="","","FI-"&amp;$B$1+J8)</f>
        <v>FI-995</v>
      </c>
      <c r="M8" s="64" t="s">
        <v>803</v>
      </c>
      <c r="N8" s="15">
        <f t="shared" si="7"/>
        <v>5</v>
      </c>
      <c r="O8" s="28" t="str">
        <f t="shared" si="8"/>
        <v>M-995</v>
      </c>
      <c r="Q8" t="str">
        <f t="shared" si="4"/>
        <v/>
      </c>
      <c r="U8">
        <f t="shared" si="1"/>
        <v>99200011</v>
      </c>
      <c r="V8" s="64" t="s">
        <v>378</v>
      </c>
      <c r="W8" s="64" t="s">
        <v>16</v>
      </c>
      <c r="X8">
        <f t="shared" si="2"/>
        <v>11</v>
      </c>
      <c r="Y8">
        <f t="shared" si="3"/>
        <v>99200011</v>
      </c>
      <c r="AC8" t="s">
        <v>372</v>
      </c>
      <c r="AD8">
        <v>5</v>
      </c>
    </row>
    <row r="9" spans="1:30" x14ac:dyDescent="0.3">
      <c r="A9" s="64" t="s">
        <v>605</v>
      </c>
      <c r="B9" s="15">
        <f t="shared" si="9"/>
        <v>6</v>
      </c>
      <c r="C9" t="str">
        <f t="shared" si="10"/>
        <v>T-996</v>
      </c>
      <c r="E9" s="64" t="s">
        <v>1877</v>
      </c>
      <c r="F9" s="15">
        <f t="shared" si="5"/>
        <v>6</v>
      </c>
      <c r="G9" t="str">
        <f t="shared" si="6"/>
        <v>C-996</v>
      </c>
      <c r="I9" s="64" t="s">
        <v>600</v>
      </c>
      <c r="J9" s="15">
        <f t="shared" si="11"/>
        <v>6</v>
      </c>
      <c r="K9" t="str">
        <f t="shared" si="12"/>
        <v>FI-996</v>
      </c>
      <c r="M9" s="64" t="s">
        <v>834</v>
      </c>
      <c r="N9" s="15">
        <f t="shared" si="7"/>
        <v>6</v>
      </c>
      <c r="O9" s="28" t="str">
        <f t="shared" si="8"/>
        <v>M-996</v>
      </c>
      <c r="Q9" t="str">
        <f t="shared" si="4"/>
        <v/>
      </c>
      <c r="U9">
        <f t="shared" si="1"/>
        <v>99200004</v>
      </c>
      <c r="V9" s="64" t="s">
        <v>371</v>
      </c>
      <c r="W9" s="64" t="s">
        <v>16</v>
      </c>
      <c r="X9">
        <f t="shared" si="2"/>
        <v>4</v>
      </c>
      <c r="Y9">
        <f t="shared" si="3"/>
        <v>99200004</v>
      </c>
      <c r="AC9" t="s">
        <v>373</v>
      </c>
      <c r="AD9">
        <v>6</v>
      </c>
    </row>
    <row r="10" spans="1:30" x14ac:dyDescent="0.3">
      <c r="A10" s="64" t="s">
        <v>5156</v>
      </c>
      <c r="B10" s="15">
        <f t="shared" si="9"/>
        <v>7</v>
      </c>
      <c r="C10" t="str">
        <f t="shared" si="10"/>
        <v>T-997</v>
      </c>
      <c r="E10" s="64" t="s">
        <v>1878</v>
      </c>
      <c r="F10" s="15">
        <f t="shared" si="5"/>
        <v>7</v>
      </c>
      <c r="G10" t="str">
        <f t="shared" si="6"/>
        <v>C-997</v>
      </c>
      <c r="I10" s="64" t="s">
        <v>1395</v>
      </c>
      <c r="J10" s="15">
        <f t="shared" si="11"/>
        <v>7</v>
      </c>
      <c r="K10" t="str">
        <f t="shared" si="12"/>
        <v>FI-997</v>
      </c>
      <c r="M10" s="64" t="s">
        <v>838</v>
      </c>
      <c r="N10" s="15">
        <f t="shared" si="7"/>
        <v>7</v>
      </c>
      <c r="O10" s="28" t="str">
        <f t="shared" si="8"/>
        <v>M-997</v>
      </c>
      <c r="Q10" t="str">
        <f t="shared" si="4"/>
        <v/>
      </c>
      <c r="U10">
        <f t="shared" si="1"/>
        <v>99200009</v>
      </c>
      <c r="V10" s="64" t="s">
        <v>376</v>
      </c>
      <c r="W10" s="64" t="s">
        <v>16</v>
      </c>
      <c r="X10">
        <f t="shared" si="2"/>
        <v>9</v>
      </c>
      <c r="Y10">
        <f t="shared" si="3"/>
        <v>99200009</v>
      </c>
      <c r="AC10" t="s">
        <v>374</v>
      </c>
      <c r="AD10">
        <v>7</v>
      </c>
    </row>
    <row r="11" spans="1:30" x14ac:dyDescent="0.3">
      <c r="A11" s="64" t="s">
        <v>946</v>
      </c>
      <c r="B11" s="15">
        <f t="shared" si="9"/>
        <v>8</v>
      </c>
      <c r="C11" t="str">
        <f t="shared" si="10"/>
        <v>T-998</v>
      </c>
      <c r="E11" s="64" t="s">
        <v>1879</v>
      </c>
      <c r="F11" s="15">
        <f t="shared" si="5"/>
        <v>8</v>
      </c>
      <c r="G11" t="str">
        <f t="shared" si="6"/>
        <v>C-998</v>
      </c>
      <c r="I11" s="64" t="s">
        <v>1474</v>
      </c>
      <c r="J11" s="15">
        <f t="shared" si="11"/>
        <v>8</v>
      </c>
      <c r="K11" t="str">
        <f t="shared" si="12"/>
        <v>FI-998</v>
      </c>
      <c r="M11" s="64" t="s">
        <v>840</v>
      </c>
      <c r="N11" s="15">
        <f t="shared" si="7"/>
        <v>8</v>
      </c>
      <c r="O11" s="28" t="str">
        <f t="shared" si="8"/>
        <v>M-998</v>
      </c>
      <c r="Q11" t="str">
        <f t="shared" si="4"/>
        <v/>
      </c>
      <c r="U11">
        <f t="shared" si="1"/>
        <v>99200010</v>
      </c>
      <c r="V11" s="64" t="s">
        <v>377</v>
      </c>
      <c r="W11" s="64" t="s">
        <v>16</v>
      </c>
      <c r="X11">
        <f t="shared" si="2"/>
        <v>10</v>
      </c>
      <c r="Y11">
        <f t="shared" si="3"/>
        <v>99200010</v>
      </c>
      <c r="AC11" t="s">
        <v>375</v>
      </c>
      <c r="AD11">
        <v>8</v>
      </c>
    </row>
    <row r="12" spans="1:30" x14ac:dyDescent="0.3">
      <c r="A12" s="64" t="s">
        <v>948</v>
      </c>
      <c r="B12" s="15">
        <f t="shared" si="9"/>
        <v>9</v>
      </c>
      <c r="C12" t="str">
        <f t="shared" si="10"/>
        <v>T-999</v>
      </c>
      <c r="E12" s="64" t="s">
        <v>1880</v>
      </c>
      <c r="F12" s="15">
        <f t="shared" si="5"/>
        <v>9</v>
      </c>
      <c r="G12" t="str">
        <f t="shared" si="6"/>
        <v>C-999</v>
      </c>
      <c r="I12" s="64" t="s">
        <v>1495</v>
      </c>
      <c r="J12" s="15">
        <f t="shared" si="11"/>
        <v>9</v>
      </c>
      <c r="K12" t="str">
        <f t="shared" si="12"/>
        <v>FI-999</v>
      </c>
      <c r="M12" s="64" t="s">
        <v>844</v>
      </c>
      <c r="N12" s="15">
        <f t="shared" si="7"/>
        <v>9</v>
      </c>
      <c r="O12" s="28" t="str">
        <f t="shared" si="8"/>
        <v>M-999</v>
      </c>
      <c r="Q12" t="str">
        <f t="shared" si="4"/>
        <v/>
      </c>
      <c r="U12">
        <f t="shared" si="1"/>
        <v>99200014</v>
      </c>
      <c r="V12" s="64" t="s">
        <v>381</v>
      </c>
      <c r="W12" s="64" t="s">
        <v>16</v>
      </c>
      <c r="X12">
        <f t="shared" si="2"/>
        <v>14</v>
      </c>
      <c r="Y12">
        <f t="shared" si="3"/>
        <v>99200014</v>
      </c>
      <c r="AC12" t="s">
        <v>376</v>
      </c>
      <c r="AD12">
        <v>9</v>
      </c>
    </row>
    <row r="13" spans="1:30" x14ac:dyDescent="0.3">
      <c r="A13" s="64" t="s">
        <v>952</v>
      </c>
      <c r="B13" s="15">
        <f t="shared" si="9"/>
        <v>10</v>
      </c>
      <c r="C13" t="str">
        <f t="shared" si="10"/>
        <v>T-1000</v>
      </c>
      <c r="E13" s="64" t="s">
        <v>866</v>
      </c>
      <c r="F13" s="15">
        <f t="shared" si="5"/>
        <v>10</v>
      </c>
      <c r="G13" t="str">
        <f t="shared" si="6"/>
        <v>C-1000</v>
      </c>
      <c r="I13" s="64" t="s">
        <v>1933</v>
      </c>
      <c r="J13" s="15">
        <f t="shared" si="11"/>
        <v>10</v>
      </c>
      <c r="K13" t="str">
        <f t="shared" si="12"/>
        <v>FI-1000</v>
      </c>
      <c r="M13" s="64" t="s">
        <v>955</v>
      </c>
      <c r="N13" s="15">
        <f t="shared" si="7"/>
        <v>10</v>
      </c>
      <c r="O13" s="28" t="str">
        <f t="shared" si="8"/>
        <v>M-1000</v>
      </c>
      <c r="Q13" t="str">
        <f t="shared" si="4"/>
        <v/>
      </c>
      <c r="U13">
        <f t="shared" si="1"/>
        <v>99200012</v>
      </c>
      <c r="V13" s="64" t="s">
        <v>379</v>
      </c>
      <c r="W13" s="64" t="s">
        <v>16</v>
      </c>
      <c r="X13">
        <f t="shared" si="2"/>
        <v>12</v>
      </c>
      <c r="Y13">
        <f t="shared" si="3"/>
        <v>99200012</v>
      </c>
      <c r="AC13" t="s">
        <v>377</v>
      </c>
      <c r="AD13">
        <v>10</v>
      </c>
    </row>
    <row r="14" spans="1:30" x14ac:dyDescent="0.3">
      <c r="A14" s="64" t="s">
        <v>1369</v>
      </c>
      <c r="B14" s="15">
        <f t="shared" si="9"/>
        <v>11</v>
      </c>
      <c r="C14" t="str">
        <f t="shared" si="10"/>
        <v>T-1001</v>
      </c>
      <c r="E14" s="64" t="s">
        <v>1881</v>
      </c>
      <c r="F14" s="15">
        <f t="shared" si="5"/>
        <v>11</v>
      </c>
      <c r="G14" t="str">
        <f t="shared" si="6"/>
        <v>C-1001</v>
      </c>
      <c r="I14" s="64" t="s">
        <v>2053</v>
      </c>
      <c r="J14" s="15">
        <f t="shared" si="11"/>
        <v>11</v>
      </c>
      <c r="K14" t="str">
        <f t="shared" si="12"/>
        <v>FI-1001</v>
      </c>
      <c r="M14" s="64" t="s">
        <v>987</v>
      </c>
      <c r="N14" s="15">
        <f t="shared" si="7"/>
        <v>11</v>
      </c>
      <c r="O14" s="28" t="str">
        <f t="shared" si="8"/>
        <v>M-1001</v>
      </c>
      <c r="Q14" t="str">
        <f t="shared" si="4"/>
        <v/>
      </c>
      <c r="U14">
        <f t="shared" si="1"/>
        <v>99200007</v>
      </c>
      <c r="V14" s="64" t="s">
        <v>374</v>
      </c>
      <c r="W14" s="64" t="s">
        <v>16</v>
      </c>
      <c r="X14">
        <f t="shared" si="2"/>
        <v>7</v>
      </c>
      <c r="Y14">
        <f t="shared" si="3"/>
        <v>99200007</v>
      </c>
      <c r="AC14" t="s">
        <v>378</v>
      </c>
      <c r="AD14">
        <v>11</v>
      </c>
    </row>
    <row r="15" spans="1:30" x14ac:dyDescent="0.3">
      <c r="A15" s="64" t="s">
        <v>1371</v>
      </c>
      <c r="B15" s="15">
        <f t="shared" si="9"/>
        <v>12</v>
      </c>
      <c r="C15" t="str">
        <f t="shared" si="10"/>
        <v>T-1002</v>
      </c>
      <c r="E15" s="64" t="s">
        <v>1882</v>
      </c>
      <c r="F15" s="15">
        <f t="shared" si="5"/>
        <v>12</v>
      </c>
      <c r="G15" t="str">
        <f t="shared" si="6"/>
        <v>C-1002</v>
      </c>
      <c r="I15" s="64" t="s">
        <v>2076</v>
      </c>
      <c r="J15" s="15">
        <f t="shared" si="11"/>
        <v>12</v>
      </c>
      <c r="K15" t="str">
        <f t="shared" si="12"/>
        <v>FI-1002</v>
      </c>
      <c r="M15" s="64" t="s">
        <v>988</v>
      </c>
      <c r="N15" s="15">
        <f t="shared" si="7"/>
        <v>12</v>
      </c>
      <c r="O15" s="28" t="str">
        <f t="shared" si="8"/>
        <v>M-1002</v>
      </c>
      <c r="Q15" t="str">
        <f t="shared" si="4"/>
        <v/>
      </c>
      <c r="U15">
        <f t="shared" si="1"/>
        <v>99200016</v>
      </c>
      <c r="V15" s="64" t="s">
        <v>383</v>
      </c>
      <c r="W15" s="64" t="s">
        <v>16</v>
      </c>
      <c r="X15">
        <f t="shared" si="2"/>
        <v>16</v>
      </c>
      <c r="Y15">
        <f t="shared" si="3"/>
        <v>99200016</v>
      </c>
      <c r="AC15" t="s">
        <v>379</v>
      </c>
      <c r="AD15">
        <v>12</v>
      </c>
    </row>
    <row r="16" spans="1:30" x14ac:dyDescent="0.3">
      <c r="A16" s="64" t="s">
        <v>1374</v>
      </c>
      <c r="B16" s="15">
        <f t="shared" si="9"/>
        <v>13</v>
      </c>
      <c r="C16" t="str">
        <f t="shared" si="10"/>
        <v>T-1003</v>
      </c>
      <c r="E16" s="64" t="s">
        <v>1885</v>
      </c>
      <c r="F16" s="15">
        <f t="shared" si="5"/>
        <v>13</v>
      </c>
      <c r="G16" t="str">
        <f t="shared" si="6"/>
        <v>C-1003</v>
      </c>
      <c r="I16" s="64" t="s">
        <v>2184</v>
      </c>
      <c r="J16" s="15">
        <f t="shared" si="11"/>
        <v>13</v>
      </c>
      <c r="K16" t="str">
        <f t="shared" si="12"/>
        <v>FI-1003</v>
      </c>
      <c r="M16" s="64" t="s">
        <v>1379</v>
      </c>
      <c r="N16" s="15">
        <f t="shared" si="7"/>
        <v>13</v>
      </c>
      <c r="O16" s="28" t="str">
        <f t="shared" si="8"/>
        <v>M-1003</v>
      </c>
      <c r="Q16" t="str">
        <f t="shared" si="4"/>
        <v/>
      </c>
      <c r="U16">
        <f t="shared" si="1"/>
        <v>99200006</v>
      </c>
      <c r="V16" s="64" t="s">
        <v>373</v>
      </c>
      <c r="W16" s="64" t="s">
        <v>16</v>
      </c>
      <c r="X16">
        <f t="shared" si="2"/>
        <v>6</v>
      </c>
      <c r="Y16">
        <f t="shared" si="3"/>
        <v>99200006</v>
      </c>
      <c r="AC16" t="s">
        <v>380</v>
      </c>
      <c r="AD16">
        <v>13</v>
      </c>
    </row>
    <row r="17" spans="1:30" x14ac:dyDescent="0.3">
      <c r="A17" s="64" t="s">
        <v>1376</v>
      </c>
      <c r="B17" s="15">
        <f t="shared" si="9"/>
        <v>14</v>
      </c>
      <c r="C17" t="str">
        <f t="shared" si="10"/>
        <v>T-1004</v>
      </c>
      <c r="E17" s="64" t="s">
        <v>1883</v>
      </c>
      <c r="F17" s="15">
        <f t="shared" si="5"/>
        <v>14</v>
      </c>
      <c r="G17" t="str">
        <f t="shared" si="6"/>
        <v>C-1004</v>
      </c>
      <c r="I17" s="64" t="s">
        <v>2188</v>
      </c>
      <c r="J17" s="15">
        <f t="shared" si="11"/>
        <v>14</v>
      </c>
      <c r="K17" t="str">
        <f t="shared" si="12"/>
        <v>FI-1004</v>
      </c>
      <c r="M17" s="64" t="s">
        <v>1432</v>
      </c>
      <c r="N17" s="15">
        <f t="shared" si="7"/>
        <v>14</v>
      </c>
      <c r="O17" s="28" t="str">
        <f t="shared" si="8"/>
        <v>M-1004</v>
      </c>
      <c r="U17">
        <f t="shared" si="1"/>
        <v>99200001</v>
      </c>
      <c r="V17" s="64" t="s">
        <v>368</v>
      </c>
      <c r="W17" s="64" t="s">
        <v>16</v>
      </c>
      <c r="X17">
        <f t="shared" si="2"/>
        <v>1</v>
      </c>
      <c r="Y17">
        <f t="shared" si="3"/>
        <v>99200001</v>
      </c>
      <c r="AC17" t="s">
        <v>381</v>
      </c>
      <c r="AD17">
        <v>14</v>
      </c>
    </row>
    <row r="18" spans="1:30" x14ac:dyDescent="0.3">
      <c r="A18" s="64" t="s">
        <v>1394</v>
      </c>
      <c r="B18" s="15">
        <f t="shared" si="9"/>
        <v>15</v>
      </c>
      <c r="C18" t="str">
        <f t="shared" si="10"/>
        <v>T-1005</v>
      </c>
      <c r="E18" s="64" t="s">
        <v>1884</v>
      </c>
      <c r="F18" s="15">
        <f t="shared" si="5"/>
        <v>15</v>
      </c>
      <c r="G18" t="str">
        <f t="shared" si="6"/>
        <v>C-1005</v>
      </c>
      <c r="I18" s="64" t="s">
        <v>2992</v>
      </c>
      <c r="J18" s="15">
        <f t="shared" si="0"/>
        <v>15</v>
      </c>
      <c r="K18" t="str">
        <f t="shared" si="12"/>
        <v>FI-1005</v>
      </c>
      <c r="M18" s="64" t="s">
        <v>1437</v>
      </c>
      <c r="N18" s="15">
        <f t="shared" si="7"/>
        <v>15</v>
      </c>
      <c r="O18" s="28" t="str">
        <f t="shared" si="8"/>
        <v>M-1005</v>
      </c>
      <c r="U18">
        <f t="shared" si="1"/>
        <v>99200005</v>
      </c>
      <c r="V18" s="64" t="s">
        <v>372</v>
      </c>
      <c r="W18" s="64" t="s">
        <v>16</v>
      </c>
      <c r="X18">
        <f t="shared" si="2"/>
        <v>5</v>
      </c>
      <c r="Y18">
        <f t="shared" si="3"/>
        <v>99200005</v>
      </c>
      <c r="AC18" t="s">
        <v>382</v>
      </c>
      <c r="AD18">
        <v>15</v>
      </c>
    </row>
    <row r="19" spans="1:30" x14ac:dyDescent="0.3">
      <c r="A19" s="64" t="s">
        <v>1396</v>
      </c>
      <c r="B19" s="15">
        <f t="shared" si="9"/>
        <v>16</v>
      </c>
      <c r="C19" t="str">
        <f t="shared" si="10"/>
        <v>T-1006</v>
      </c>
      <c r="E19" s="64" t="s">
        <v>1900</v>
      </c>
      <c r="F19" s="15">
        <f t="shared" si="5"/>
        <v>16</v>
      </c>
      <c r="G19" t="str">
        <f t="shared" si="6"/>
        <v>C-1006</v>
      </c>
      <c r="I19" s="64" t="s">
        <v>3180</v>
      </c>
      <c r="J19" s="15">
        <f t="shared" si="0"/>
        <v>16</v>
      </c>
      <c r="K19" t="str">
        <f t="shared" si="12"/>
        <v>FI-1006</v>
      </c>
      <c r="M19" s="64" t="s">
        <v>1439</v>
      </c>
      <c r="N19" s="15">
        <f t="shared" si="7"/>
        <v>16</v>
      </c>
      <c r="O19" s="28" t="str">
        <f t="shared" si="8"/>
        <v>M-1006</v>
      </c>
      <c r="U19">
        <f t="shared" si="1"/>
        <v>99200008</v>
      </c>
      <c r="V19" s="64" t="s">
        <v>375</v>
      </c>
      <c r="W19" s="64" t="s">
        <v>16</v>
      </c>
      <c r="X19">
        <f t="shared" si="2"/>
        <v>8</v>
      </c>
      <c r="Y19">
        <f t="shared" si="3"/>
        <v>99200008</v>
      </c>
      <c r="AC19" t="s">
        <v>383</v>
      </c>
      <c r="AD19">
        <v>16</v>
      </c>
    </row>
    <row r="20" spans="1:30" x14ac:dyDescent="0.3">
      <c r="A20" s="64" t="s">
        <v>1449</v>
      </c>
      <c r="B20" s="15">
        <f t="shared" si="9"/>
        <v>17</v>
      </c>
      <c r="C20" t="str">
        <f t="shared" si="10"/>
        <v>T-1007</v>
      </c>
      <c r="E20" s="64" t="s">
        <v>1899</v>
      </c>
      <c r="F20" s="15">
        <f t="shared" si="5"/>
        <v>17</v>
      </c>
      <c r="G20" t="str">
        <f t="shared" si="6"/>
        <v>C-1007</v>
      </c>
      <c r="H20" s="30"/>
      <c r="I20" s="64" t="s">
        <v>3194</v>
      </c>
      <c r="J20" s="15">
        <f t="shared" si="0"/>
        <v>17</v>
      </c>
      <c r="K20" t="str">
        <f t="shared" si="12"/>
        <v>FI-1007</v>
      </c>
      <c r="L20" s="30"/>
      <c r="M20" s="64" t="s">
        <v>1446</v>
      </c>
      <c r="N20" s="15">
        <f t="shared" ref="N20:N83" si="13">+IF(M20="","",N19+1)</f>
        <v>17</v>
      </c>
      <c r="O20" s="28" t="str">
        <f t="shared" ref="O20:O83" si="14">+IF(M20="","","M-"&amp;$B$1+N20)</f>
        <v>M-1007</v>
      </c>
      <c r="P20" s="30"/>
      <c r="U20">
        <f t="shared" si="1"/>
        <v>99200013</v>
      </c>
      <c r="V20" s="64" t="s">
        <v>380</v>
      </c>
      <c r="W20" s="64" t="s">
        <v>16</v>
      </c>
      <c r="X20">
        <f t="shared" si="2"/>
        <v>13</v>
      </c>
      <c r="Y20">
        <f t="shared" si="3"/>
        <v>99200013</v>
      </c>
      <c r="AC20" t="s">
        <v>30</v>
      </c>
      <c r="AD20">
        <v>1101</v>
      </c>
    </row>
    <row r="21" spans="1:30" x14ac:dyDescent="0.3">
      <c r="A21" s="64" t="s">
        <v>5164</v>
      </c>
      <c r="B21" s="15">
        <f t="shared" si="9"/>
        <v>18</v>
      </c>
      <c r="C21" t="str">
        <f t="shared" si="10"/>
        <v>T-1008</v>
      </c>
      <c r="E21" s="64" t="s">
        <v>1896</v>
      </c>
      <c r="F21" s="15">
        <f t="shared" si="5"/>
        <v>18</v>
      </c>
      <c r="G21" t="str">
        <f t="shared" si="6"/>
        <v>C-1008</v>
      </c>
      <c r="I21" s="64" t="s">
        <v>20</v>
      </c>
      <c r="J21" s="15">
        <f t="shared" si="0"/>
        <v>18</v>
      </c>
      <c r="K21" t="str">
        <f t="shared" si="12"/>
        <v>FI-1008</v>
      </c>
      <c r="M21" s="64" t="s">
        <v>1460</v>
      </c>
      <c r="N21" s="15">
        <f t="shared" si="13"/>
        <v>18</v>
      </c>
      <c r="O21" s="28" t="str">
        <f t="shared" si="14"/>
        <v>M-1008</v>
      </c>
      <c r="U21" t="e">
        <f t="shared" si="1"/>
        <v>#N/A</v>
      </c>
      <c r="X21" t="e">
        <f t="shared" si="2"/>
        <v>#N/A</v>
      </c>
      <c r="Y21" t="e">
        <f t="shared" si="3"/>
        <v>#N/A</v>
      </c>
      <c r="AC21" t="s">
        <v>31</v>
      </c>
      <c r="AD21">
        <v>1107</v>
      </c>
    </row>
    <row r="22" spans="1:30" x14ac:dyDescent="0.3">
      <c r="A22" s="64" t="s">
        <v>1462</v>
      </c>
      <c r="B22" s="15">
        <f t="shared" si="9"/>
        <v>19</v>
      </c>
      <c r="C22" t="str">
        <f t="shared" si="10"/>
        <v>T-1009</v>
      </c>
      <c r="E22" s="64" t="s">
        <v>1897</v>
      </c>
      <c r="F22" s="15">
        <f t="shared" si="5"/>
        <v>19</v>
      </c>
      <c r="G22" t="str">
        <f t="shared" si="6"/>
        <v>C-1009</v>
      </c>
      <c r="I22" s="64" t="s">
        <v>9314</v>
      </c>
      <c r="J22" s="15">
        <f t="shared" si="0"/>
        <v>19</v>
      </c>
      <c r="K22" t="str">
        <f t="shared" si="12"/>
        <v>FI-1009</v>
      </c>
      <c r="M22" s="64" t="s">
        <v>1465</v>
      </c>
      <c r="N22" s="15">
        <f t="shared" si="13"/>
        <v>19</v>
      </c>
      <c r="O22" s="28" t="str">
        <f t="shared" si="14"/>
        <v>M-1009</v>
      </c>
      <c r="U22" t="e">
        <f t="shared" si="1"/>
        <v>#N/A</v>
      </c>
      <c r="X22" t="e">
        <f t="shared" si="2"/>
        <v>#N/A</v>
      </c>
      <c r="Y22" t="e">
        <f t="shared" si="3"/>
        <v>#N/A</v>
      </c>
      <c r="AC22" t="s">
        <v>32</v>
      </c>
      <c r="AD22">
        <v>1401</v>
      </c>
    </row>
    <row r="23" spans="1:30" x14ac:dyDescent="0.3">
      <c r="A23" s="64" t="s">
        <v>1466</v>
      </c>
      <c r="B23" s="15">
        <f t="shared" si="9"/>
        <v>20</v>
      </c>
      <c r="C23" t="str">
        <f t="shared" si="10"/>
        <v>T-1010</v>
      </c>
      <c r="E23" s="64" t="s">
        <v>1898</v>
      </c>
      <c r="F23" s="15">
        <f t="shared" si="5"/>
        <v>20</v>
      </c>
      <c r="G23" t="str">
        <f t="shared" si="6"/>
        <v>C-1010</v>
      </c>
      <c r="I23" s="64" t="s">
        <v>6965</v>
      </c>
      <c r="J23" s="15">
        <f t="shared" si="0"/>
        <v>20</v>
      </c>
      <c r="K23" t="str">
        <f t="shared" si="12"/>
        <v>FI-1010</v>
      </c>
      <c r="M23" s="64" t="s">
        <v>1971</v>
      </c>
      <c r="N23" s="15">
        <f t="shared" si="13"/>
        <v>20</v>
      </c>
      <c r="O23" s="28" t="str">
        <f t="shared" si="14"/>
        <v>M-1010</v>
      </c>
      <c r="U23" t="e">
        <f t="shared" si="1"/>
        <v>#N/A</v>
      </c>
      <c r="X23" t="e">
        <f t="shared" si="2"/>
        <v>#N/A</v>
      </c>
      <c r="Y23" t="e">
        <f t="shared" si="3"/>
        <v>#N/A</v>
      </c>
      <c r="AC23" t="s">
        <v>33</v>
      </c>
      <c r="AD23">
        <v>1402</v>
      </c>
    </row>
    <row r="24" spans="1:30" x14ac:dyDescent="0.3">
      <c r="A24" s="64" t="s">
        <v>1471</v>
      </c>
      <c r="B24" s="15">
        <f t="shared" si="9"/>
        <v>21</v>
      </c>
      <c r="C24" t="str">
        <f t="shared" si="10"/>
        <v>T-1011</v>
      </c>
      <c r="E24" s="64" t="s">
        <v>814</v>
      </c>
      <c r="F24" s="15">
        <f t="shared" si="5"/>
        <v>21</v>
      </c>
      <c r="G24" t="str">
        <f t="shared" si="6"/>
        <v>C-1011</v>
      </c>
      <c r="I24" s="64" t="s">
        <v>7002</v>
      </c>
      <c r="J24" s="15">
        <f t="shared" si="0"/>
        <v>21</v>
      </c>
      <c r="K24" t="str">
        <f t="shared" si="12"/>
        <v>FI-1011</v>
      </c>
      <c r="M24" s="64" t="s">
        <v>1975</v>
      </c>
      <c r="N24" s="15">
        <f t="shared" si="13"/>
        <v>21</v>
      </c>
      <c r="O24" s="28" t="str">
        <f t="shared" si="14"/>
        <v>M-1011</v>
      </c>
      <c r="U24" t="e">
        <f t="shared" si="1"/>
        <v>#N/A</v>
      </c>
      <c r="X24" t="e">
        <f t="shared" si="2"/>
        <v>#N/A</v>
      </c>
      <c r="Y24" t="e">
        <f t="shared" si="3"/>
        <v>#N/A</v>
      </c>
      <c r="AC24" t="s">
        <v>34</v>
      </c>
      <c r="AD24">
        <v>1403</v>
      </c>
    </row>
    <row r="25" spans="1:30" x14ac:dyDescent="0.3">
      <c r="A25" s="64" t="s">
        <v>1473</v>
      </c>
      <c r="B25" s="15">
        <f t="shared" si="9"/>
        <v>22</v>
      </c>
      <c r="C25" t="str">
        <f t="shared" si="10"/>
        <v>T-1012</v>
      </c>
      <c r="E25" s="64" t="s">
        <v>1907</v>
      </c>
      <c r="F25" s="15">
        <f t="shared" si="5"/>
        <v>22</v>
      </c>
      <c r="G25" t="str">
        <f t="shared" si="6"/>
        <v>C-1012</v>
      </c>
      <c r="I25"/>
      <c r="J25" s="15" t="str">
        <f t="shared" si="0"/>
        <v/>
      </c>
      <c r="K25" s="64" t="str">
        <f t="shared" si="12"/>
        <v/>
      </c>
      <c r="M25" s="64" t="s">
        <v>2013</v>
      </c>
      <c r="N25" s="15">
        <f t="shared" si="13"/>
        <v>22</v>
      </c>
      <c r="O25" s="28" t="str">
        <f t="shared" si="14"/>
        <v>M-1012</v>
      </c>
      <c r="U25" t="e">
        <f t="shared" si="1"/>
        <v>#N/A</v>
      </c>
      <c r="X25" t="e">
        <f t="shared" si="2"/>
        <v>#N/A</v>
      </c>
      <c r="Y25" t="e">
        <f t="shared" si="3"/>
        <v>#N/A</v>
      </c>
      <c r="AC25" t="s">
        <v>35</v>
      </c>
      <c r="AD25">
        <v>1404</v>
      </c>
    </row>
    <row r="26" spans="1:30" x14ac:dyDescent="0.3">
      <c r="A26" s="64" t="s">
        <v>1504</v>
      </c>
      <c r="B26" s="15">
        <f t="shared" si="9"/>
        <v>23</v>
      </c>
      <c r="C26" t="str">
        <f t="shared" si="10"/>
        <v>T-1013</v>
      </c>
      <c r="E26" s="64" t="s">
        <v>1914</v>
      </c>
      <c r="F26" s="15">
        <f t="shared" si="5"/>
        <v>23</v>
      </c>
      <c r="G26" t="str">
        <f t="shared" si="6"/>
        <v>C-1013</v>
      </c>
      <c r="J26" s="15" t="str">
        <f t="shared" si="0"/>
        <v/>
      </c>
      <c r="K26" s="64" t="str">
        <f t="shared" si="12"/>
        <v/>
      </c>
      <c r="M26" s="64" t="s">
        <v>2034</v>
      </c>
      <c r="N26" s="15">
        <f t="shared" si="13"/>
        <v>23</v>
      </c>
      <c r="O26" s="28" t="str">
        <f t="shared" si="14"/>
        <v>M-1013</v>
      </c>
      <c r="U26" t="e">
        <f t="shared" si="1"/>
        <v>#N/A</v>
      </c>
      <c r="X26" t="e">
        <f t="shared" si="2"/>
        <v>#N/A</v>
      </c>
      <c r="Y26" t="e">
        <f t="shared" si="3"/>
        <v>#N/A</v>
      </c>
      <c r="AC26" t="s">
        <v>36</v>
      </c>
      <c r="AD26">
        <v>1405</v>
      </c>
    </row>
    <row r="27" spans="1:30" x14ac:dyDescent="0.3">
      <c r="A27" s="64" t="s">
        <v>1505</v>
      </c>
      <c r="B27" s="15">
        <f t="shared" si="9"/>
        <v>24</v>
      </c>
      <c r="C27" t="str">
        <f t="shared" si="10"/>
        <v>T-1014</v>
      </c>
      <c r="E27" s="64" t="s">
        <v>2183</v>
      </c>
      <c r="F27" s="15">
        <f t="shared" si="5"/>
        <v>24</v>
      </c>
      <c r="G27" t="str">
        <f t="shared" si="6"/>
        <v>C-1014</v>
      </c>
      <c r="J27" s="15" t="str">
        <f t="shared" si="0"/>
        <v/>
      </c>
      <c r="K27" s="64" t="str">
        <f t="shared" si="12"/>
        <v/>
      </c>
      <c r="M27" s="64" t="s">
        <v>2054</v>
      </c>
      <c r="N27" s="15">
        <f t="shared" si="13"/>
        <v>24</v>
      </c>
      <c r="O27" s="28" t="str">
        <f t="shared" si="14"/>
        <v>M-1014</v>
      </c>
      <c r="U27" t="e">
        <f t="shared" si="1"/>
        <v>#N/A</v>
      </c>
      <c r="X27" t="e">
        <f t="shared" si="2"/>
        <v>#N/A</v>
      </c>
      <c r="Y27" t="e">
        <f t="shared" si="3"/>
        <v>#N/A</v>
      </c>
      <c r="AC27" t="s">
        <v>17</v>
      </c>
      <c r="AD27">
        <v>2101</v>
      </c>
    </row>
    <row r="28" spans="1:30" x14ac:dyDescent="0.3">
      <c r="A28" s="64" t="s">
        <v>1508</v>
      </c>
      <c r="B28" s="15">
        <f t="shared" si="9"/>
        <v>25</v>
      </c>
      <c r="C28" t="str">
        <f t="shared" si="10"/>
        <v>T-1015</v>
      </c>
      <c r="E28" s="64" t="s">
        <v>1909</v>
      </c>
      <c r="F28" s="15">
        <f t="shared" si="5"/>
        <v>25</v>
      </c>
      <c r="G28" t="str">
        <f t="shared" si="6"/>
        <v>C-1015</v>
      </c>
      <c r="J28" s="15" t="str">
        <f t="shared" si="0"/>
        <v/>
      </c>
      <c r="K28" s="64" t="str">
        <f t="shared" si="12"/>
        <v/>
      </c>
      <c r="M28" s="64" t="s">
        <v>2073</v>
      </c>
      <c r="N28" s="15">
        <f t="shared" si="13"/>
        <v>25</v>
      </c>
      <c r="O28" s="28" t="str">
        <f t="shared" si="14"/>
        <v>M-1015</v>
      </c>
      <c r="U28" t="e">
        <f t="shared" si="1"/>
        <v>#N/A</v>
      </c>
      <c r="X28" t="e">
        <f t="shared" si="2"/>
        <v>#N/A</v>
      </c>
      <c r="Y28" t="e">
        <f t="shared" si="3"/>
        <v>#N/A</v>
      </c>
      <c r="AC28" t="s">
        <v>37</v>
      </c>
      <c r="AD28">
        <v>2102</v>
      </c>
    </row>
    <row r="29" spans="1:30" x14ac:dyDescent="0.3">
      <c r="A29" s="64" t="s">
        <v>1509</v>
      </c>
      <c r="B29" s="15">
        <f t="shared" si="9"/>
        <v>26</v>
      </c>
      <c r="C29" t="str">
        <f t="shared" si="10"/>
        <v>T-1016</v>
      </c>
      <c r="E29" s="64" t="s">
        <v>2700</v>
      </c>
      <c r="F29" s="15">
        <f t="shared" si="5"/>
        <v>26</v>
      </c>
      <c r="G29" t="str">
        <f t="shared" si="6"/>
        <v>C-1016</v>
      </c>
      <c r="J29" s="15" t="str">
        <f t="shared" si="0"/>
        <v/>
      </c>
      <c r="K29" s="64" t="str">
        <f t="shared" si="12"/>
        <v/>
      </c>
      <c r="M29" s="64" t="s">
        <v>2985</v>
      </c>
      <c r="N29" s="15">
        <f t="shared" si="13"/>
        <v>26</v>
      </c>
      <c r="O29" s="28" t="str">
        <f t="shared" si="14"/>
        <v>M-1016</v>
      </c>
      <c r="U29" t="e">
        <f t="shared" si="1"/>
        <v>#N/A</v>
      </c>
      <c r="X29" t="e">
        <f t="shared" si="2"/>
        <v>#N/A</v>
      </c>
      <c r="Y29" t="e">
        <f t="shared" si="3"/>
        <v>#N/A</v>
      </c>
      <c r="AC29" t="s">
        <v>38</v>
      </c>
      <c r="AD29">
        <v>2103</v>
      </c>
    </row>
    <row r="30" spans="1:30" x14ac:dyDescent="0.3">
      <c r="A30" s="64" t="s">
        <v>1517</v>
      </c>
      <c r="B30" s="15">
        <f t="shared" si="9"/>
        <v>27</v>
      </c>
      <c r="C30" t="str">
        <f t="shared" si="10"/>
        <v>T-1017</v>
      </c>
      <c r="E30" s="64" t="s">
        <v>2991</v>
      </c>
      <c r="F30" s="15">
        <f t="shared" si="5"/>
        <v>27</v>
      </c>
      <c r="G30" t="str">
        <f t="shared" si="6"/>
        <v>C-1017</v>
      </c>
      <c r="J30" s="15" t="str">
        <f t="shared" si="0"/>
        <v/>
      </c>
      <c r="K30" s="64" t="str">
        <f t="shared" si="12"/>
        <v/>
      </c>
      <c r="M30" s="64" t="s">
        <v>3209</v>
      </c>
      <c r="N30" s="15">
        <f t="shared" si="13"/>
        <v>27</v>
      </c>
      <c r="O30" s="28" t="str">
        <f t="shared" si="14"/>
        <v>M-1017</v>
      </c>
      <c r="U30" t="e">
        <f t="shared" si="1"/>
        <v>#N/A</v>
      </c>
      <c r="X30" t="e">
        <f t="shared" si="2"/>
        <v>#N/A</v>
      </c>
      <c r="Y30" t="e">
        <f t="shared" si="3"/>
        <v>#N/A</v>
      </c>
      <c r="AC30" t="s">
        <v>39</v>
      </c>
      <c r="AD30">
        <v>2104</v>
      </c>
    </row>
    <row r="31" spans="1:30" x14ac:dyDescent="0.3">
      <c r="A31" s="64" t="s">
        <v>460</v>
      </c>
      <c r="B31" s="15">
        <f t="shared" si="9"/>
        <v>28</v>
      </c>
      <c r="C31" t="str">
        <f t="shared" si="10"/>
        <v>T-1018</v>
      </c>
      <c r="E31" s="64" t="s">
        <v>4290</v>
      </c>
      <c r="F31" s="15">
        <f t="shared" si="5"/>
        <v>28</v>
      </c>
      <c r="G31" t="str">
        <f t="shared" si="6"/>
        <v>C-1018</v>
      </c>
      <c r="K31" s="64" t="str">
        <f t="shared" si="12"/>
        <v/>
      </c>
      <c r="M31" s="64" t="s">
        <v>3214</v>
      </c>
      <c r="N31" s="15">
        <f t="shared" si="13"/>
        <v>28</v>
      </c>
      <c r="O31" s="28" t="str">
        <f t="shared" si="14"/>
        <v>M-1018</v>
      </c>
      <c r="U31" t="e">
        <f t="shared" si="1"/>
        <v>#N/A</v>
      </c>
      <c r="X31" t="e">
        <f t="shared" si="2"/>
        <v>#N/A</v>
      </c>
      <c r="Y31" t="e">
        <f t="shared" si="3"/>
        <v>#N/A</v>
      </c>
      <c r="AC31" t="s">
        <v>40</v>
      </c>
      <c r="AD31">
        <v>2201</v>
      </c>
    </row>
    <row r="32" spans="1:30" x14ac:dyDescent="0.3">
      <c r="A32" s="64" t="s">
        <v>1837</v>
      </c>
      <c r="B32" s="15">
        <f t="shared" si="9"/>
        <v>29</v>
      </c>
      <c r="C32" t="str">
        <f t="shared" si="10"/>
        <v>T-1019</v>
      </c>
      <c r="E32" s="64" t="s">
        <v>3605</v>
      </c>
      <c r="F32" s="15">
        <f t="shared" si="5"/>
        <v>29</v>
      </c>
      <c r="G32" t="str">
        <f t="shared" si="6"/>
        <v>C-1019</v>
      </c>
      <c r="K32" s="64" t="str">
        <f t="shared" si="12"/>
        <v/>
      </c>
      <c r="M32" s="64" t="s">
        <v>3613</v>
      </c>
      <c r="N32" s="15">
        <f t="shared" si="13"/>
        <v>29</v>
      </c>
      <c r="O32" s="28" t="str">
        <f t="shared" si="14"/>
        <v>M-1019</v>
      </c>
      <c r="U32" t="e">
        <f t="shared" si="1"/>
        <v>#N/A</v>
      </c>
      <c r="X32" t="e">
        <f t="shared" si="2"/>
        <v>#N/A</v>
      </c>
      <c r="Y32" t="e">
        <f t="shared" si="3"/>
        <v>#N/A</v>
      </c>
      <c r="AC32" t="s">
        <v>41</v>
      </c>
      <c r="AD32">
        <v>2202</v>
      </c>
    </row>
    <row r="33" spans="1:30" x14ac:dyDescent="0.3">
      <c r="A33" s="64" t="s">
        <v>572</v>
      </c>
      <c r="B33" s="15">
        <f t="shared" si="9"/>
        <v>30</v>
      </c>
      <c r="C33" t="str">
        <f t="shared" si="10"/>
        <v>T-1020</v>
      </c>
      <c r="E33" s="64" t="s">
        <v>4291</v>
      </c>
      <c r="F33" s="15">
        <f t="shared" si="5"/>
        <v>30</v>
      </c>
      <c r="G33" t="str">
        <f t="shared" si="6"/>
        <v>C-1020</v>
      </c>
      <c r="K33" s="64" t="str">
        <f t="shared" si="12"/>
        <v/>
      </c>
      <c r="M33" s="64" t="s">
        <v>3686</v>
      </c>
      <c r="N33" s="15">
        <f t="shared" si="13"/>
        <v>30</v>
      </c>
      <c r="O33" s="28" t="str">
        <f t="shared" si="14"/>
        <v>M-1020</v>
      </c>
      <c r="U33" t="e">
        <f t="shared" si="1"/>
        <v>#N/A</v>
      </c>
      <c r="X33" t="e">
        <f t="shared" si="2"/>
        <v>#N/A</v>
      </c>
      <c r="Y33" t="e">
        <f t="shared" si="3"/>
        <v>#N/A</v>
      </c>
      <c r="AC33" t="s">
        <v>42</v>
      </c>
      <c r="AD33">
        <v>2203</v>
      </c>
    </row>
    <row r="34" spans="1:30" x14ac:dyDescent="0.3">
      <c r="A34" s="64" t="s">
        <v>577</v>
      </c>
      <c r="B34" s="15">
        <f t="shared" si="9"/>
        <v>31</v>
      </c>
      <c r="C34" t="str">
        <f t="shared" si="10"/>
        <v>T-1021</v>
      </c>
      <c r="E34" s="64" t="s">
        <v>2995</v>
      </c>
      <c r="F34" s="15">
        <f t="shared" si="5"/>
        <v>31</v>
      </c>
      <c r="G34" t="str">
        <f t="shared" si="6"/>
        <v>C-1021</v>
      </c>
      <c r="K34" s="64" t="str">
        <f t="shared" si="12"/>
        <v/>
      </c>
      <c r="M34" s="64" t="s">
        <v>3702</v>
      </c>
      <c r="N34" s="15">
        <f t="shared" si="13"/>
        <v>31</v>
      </c>
      <c r="O34" s="28" t="str">
        <f t="shared" si="14"/>
        <v>M-1021</v>
      </c>
      <c r="U34" t="e">
        <f t="shared" si="1"/>
        <v>#N/A</v>
      </c>
      <c r="X34" t="e">
        <f t="shared" si="2"/>
        <v>#N/A</v>
      </c>
      <c r="Y34" t="e">
        <f t="shared" si="3"/>
        <v>#N/A</v>
      </c>
      <c r="AC34" t="s">
        <v>43</v>
      </c>
      <c r="AD34">
        <v>2301</v>
      </c>
    </row>
    <row r="35" spans="1:30" x14ac:dyDescent="0.3">
      <c r="A35" s="64" t="s">
        <v>598</v>
      </c>
      <c r="B35" s="15">
        <f t="shared" si="9"/>
        <v>32</v>
      </c>
      <c r="C35" t="str">
        <f t="shared" si="10"/>
        <v>T-1022</v>
      </c>
      <c r="E35" s="64" t="s">
        <v>3017</v>
      </c>
      <c r="F35" s="15">
        <f t="shared" si="5"/>
        <v>32</v>
      </c>
      <c r="G35" t="str">
        <f t="shared" si="6"/>
        <v>C-1022</v>
      </c>
      <c r="K35" s="64" t="str">
        <f t="shared" si="12"/>
        <v/>
      </c>
      <c r="M35" s="64" t="s">
        <v>9264</v>
      </c>
      <c r="N35" s="15">
        <f t="shared" si="13"/>
        <v>32</v>
      </c>
      <c r="O35" s="28" t="str">
        <f t="shared" si="14"/>
        <v>M-1022</v>
      </c>
      <c r="U35" t="e">
        <f t="shared" si="1"/>
        <v>#N/A</v>
      </c>
      <c r="X35" t="e">
        <f t="shared" si="2"/>
        <v>#N/A</v>
      </c>
      <c r="Y35" t="e">
        <f t="shared" si="3"/>
        <v>#N/A</v>
      </c>
      <c r="AC35" t="s">
        <v>44</v>
      </c>
      <c r="AD35">
        <v>2302</v>
      </c>
    </row>
    <row r="36" spans="1:30" x14ac:dyDescent="0.3">
      <c r="A36" s="64" t="s">
        <v>786</v>
      </c>
      <c r="B36" s="15">
        <f t="shared" si="9"/>
        <v>33</v>
      </c>
      <c r="C36" t="str">
        <f t="shared" si="10"/>
        <v>T-1023</v>
      </c>
      <c r="E36" s="64" t="s">
        <v>3193</v>
      </c>
      <c r="F36" s="15">
        <f t="shared" si="5"/>
        <v>33</v>
      </c>
      <c r="G36" t="str">
        <f t="shared" si="6"/>
        <v>C-1023</v>
      </c>
      <c r="K36" s="64" t="str">
        <f t="shared" si="12"/>
        <v/>
      </c>
      <c r="M36" s="64" t="s">
        <v>3719</v>
      </c>
      <c r="N36" s="15">
        <f t="shared" si="13"/>
        <v>33</v>
      </c>
      <c r="O36" s="28" t="str">
        <f t="shared" si="14"/>
        <v>M-1023</v>
      </c>
      <c r="U36" t="e">
        <f t="shared" si="1"/>
        <v>#N/A</v>
      </c>
      <c r="X36" t="e">
        <f t="shared" si="2"/>
        <v>#N/A</v>
      </c>
      <c r="Y36" t="e">
        <f t="shared" si="3"/>
        <v>#N/A</v>
      </c>
      <c r="AC36" t="s">
        <v>45</v>
      </c>
      <c r="AD36">
        <v>3101</v>
      </c>
    </row>
    <row r="37" spans="1:30" x14ac:dyDescent="0.3">
      <c r="A37" s="64" t="s">
        <v>795</v>
      </c>
      <c r="B37" s="15">
        <f t="shared" si="9"/>
        <v>34</v>
      </c>
      <c r="C37" t="str">
        <f t="shared" si="10"/>
        <v>T-1024</v>
      </c>
      <c r="E37" s="64" t="s">
        <v>3207</v>
      </c>
      <c r="F37" s="15">
        <f t="shared" si="5"/>
        <v>34</v>
      </c>
      <c r="G37" t="str">
        <f t="shared" si="6"/>
        <v>C-1024</v>
      </c>
      <c r="M37" s="64" t="s">
        <v>3735</v>
      </c>
      <c r="N37" s="15">
        <f t="shared" si="13"/>
        <v>34</v>
      </c>
      <c r="O37" s="28" t="str">
        <f t="shared" si="14"/>
        <v>M-1024</v>
      </c>
      <c r="U37" t="e">
        <f t="shared" si="1"/>
        <v>#N/A</v>
      </c>
      <c r="X37" t="e">
        <f t="shared" si="2"/>
        <v>#N/A</v>
      </c>
      <c r="Y37" t="e">
        <f t="shared" si="3"/>
        <v>#N/A</v>
      </c>
      <c r="AC37" t="s">
        <v>46</v>
      </c>
      <c r="AD37">
        <v>3102</v>
      </c>
    </row>
    <row r="38" spans="1:30" x14ac:dyDescent="0.3">
      <c r="A38" s="64" t="s">
        <v>813</v>
      </c>
      <c r="B38" s="15">
        <f t="shared" si="9"/>
        <v>35</v>
      </c>
      <c r="C38" t="str">
        <f t="shared" si="10"/>
        <v>T-1025</v>
      </c>
      <c r="E38" s="64" t="s">
        <v>3911</v>
      </c>
      <c r="F38" s="15">
        <f t="shared" si="5"/>
        <v>35</v>
      </c>
      <c r="G38" t="str">
        <f t="shared" si="6"/>
        <v>C-1025</v>
      </c>
      <c r="M38" s="64" t="s">
        <v>3771</v>
      </c>
      <c r="N38" s="15">
        <f t="shared" si="13"/>
        <v>35</v>
      </c>
      <c r="O38" s="28" t="str">
        <f t="shared" si="14"/>
        <v>M-1025</v>
      </c>
      <c r="U38" t="e">
        <f t="shared" si="1"/>
        <v>#N/A</v>
      </c>
      <c r="X38" t="e">
        <f t="shared" si="2"/>
        <v>#N/A</v>
      </c>
      <c r="Y38" t="e">
        <f t="shared" si="3"/>
        <v>#N/A</v>
      </c>
      <c r="AC38" t="s">
        <v>47</v>
      </c>
      <c r="AD38">
        <v>3103</v>
      </c>
    </row>
    <row r="39" spans="1:30" x14ac:dyDescent="0.3">
      <c r="A39" s="64" t="s">
        <v>815</v>
      </c>
      <c r="B39" s="15">
        <f t="shared" si="9"/>
        <v>36</v>
      </c>
      <c r="C39" t="str">
        <f t="shared" si="10"/>
        <v>T-1026</v>
      </c>
      <c r="E39" s="64" t="s">
        <v>4019</v>
      </c>
      <c r="F39" s="15">
        <f t="shared" si="5"/>
        <v>36</v>
      </c>
      <c r="G39" t="str">
        <f t="shared" si="6"/>
        <v>C-1026</v>
      </c>
      <c r="M39" s="64" t="s">
        <v>3782</v>
      </c>
      <c r="N39" s="15">
        <f t="shared" si="13"/>
        <v>36</v>
      </c>
      <c r="O39" s="28" t="str">
        <f t="shared" si="14"/>
        <v>M-1026</v>
      </c>
      <c r="U39" t="e">
        <f t="shared" si="1"/>
        <v>#N/A</v>
      </c>
      <c r="X39" t="e">
        <f t="shared" si="2"/>
        <v>#N/A</v>
      </c>
      <c r="Y39" t="e">
        <f t="shared" si="3"/>
        <v>#N/A</v>
      </c>
      <c r="AC39" t="s">
        <v>48</v>
      </c>
      <c r="AD39">
        <v>3201</v>
      </c>
    </row>
    <row r="40" spans="1:30" x14ac:dyDescent="0.3">
      <c r="A40" s="64" t="s">
        <v>824</v>
      </c>
      <c r="B40" s="15">
        <f t="shared" si="9"/>
        <v>37</v>
      </c>
      <c r="C40" t="str">
        <f t="shared" si="10"/>
        <v>T-1027</v>
      </c>
      <c r="E40" s="64" t="s">
        <v>5177</v>
      </c>
      <c r="F40" s="15">
        <f t="shared" si="5"/>
        <v>37</v>
      </c>
      <c r="G40" t="str">
        <f t="shared" si="6"/>
        <v>C-1027</v>
      </c>
      <c r="M40" s="64" t="s">
        <v>3801</v>
      </c>
      <c r="N40" s="15">
        <f t="shared" si="13"/>
        <v>37</v>
      </c>
      <c r="O40" s="28" t="str">
        <f t="shared" si="14"/>
        <v>M-1027</v>
      </c>
      <c r="U40" t="e">
        <f t="shared" si="1"/>
        <v>#N/A</v>
      </c>
      <c r="X40" t="e">
        <f t="shared" si="2"/>
        <v>#N/A</v>
      </c>
      <c r="Y40" t="e">
        <f t="shared" si="3"/>
        <v>#N/A</v>
      </c>
      <c r="AC40" t="s">
        <v>49</v>
      </c>
      <c r="AD40">
        <v>3202</v>
      </c>
    </row>
    <row r="41" spans="1:30" x14ac:dyDescent="0.3">
      <c r="A41" s="64" t="s">
        <v>829</v>
      </c>
      <c r="B41" s="15">
        <f t="shared" si="9"/>
        <v>38</v>
      </c>
      <c r="C41" t="str">
        <f t="shared" si="10"/>
        <v>T-1028</v>
      </c>
      <c r="E41" s="64" t="s">
        <v>823</v>
      </c>
      <c r="F41" s="15">
        <f t="shared" si="5"/>
        <v>38</v>
      </c>
      <c r="G41" t="str">
        <f t="shared" si="6"/>
        <v>C-1028</v>
      </c>
      <c r="M41" s="64" t="s">
        <v>3946</v>
      </c>
      <c r="N41" s="15">
        <f t="shared" si="13"/>
        <v>38</v>
      </c>
      <c r="O41" s="28" t="str">
        <f t="shared" si="14"/>
        <v>M-1028</v>
      </c>
      <c r="U41" t="e">
        <f t="shared" si="1"/>
        <v>#N/A</v>
      </c>
      <c r="X41" t="e">
        <f t="shared" si="2"/>
        <v>#N/A</v>
      </c>
      <c r="Y41" t="e">
        <f t="shared" si="3"/>
        <v>#N/A</v>
      </c>
      <c r="AC41" t="s">
        <v>50</v>
      </c>
      <c r="AD41">
        <v>3301</v>
      </c>
    </row>
    <row r="42" spans="1:30" x14ac:dyDescent="0.3">
      <c r="A42" s="64" t="s">
        <v>845</v>
      </c>
      <c r="B42" s="15">
        <f t="shared" si="9"/>
        <v>39</v>
      </c>
      <c r="C42" t="str">
        <f t="shared" si="10"/>
        <v>T-1029</v>
      </c>
      <c r="F42" s="15" t="str">
        <f t="shared" si="5"/>
        <v/>
      </c>
      <c r="G42" t="str">
        <f t="shared" si="6"/>
        <v/>
      </c>
      <c r="M42" s="64" t="s">
        <v>3983</v>
      </c>
      <c r="N42" s="15">
        <f t="shared" si="13"/>
        <v>39</v>
      </c>
      <c r="O42" s="28" t="str">
        <f t="shared" si="14"/>
        <v>M-1029</v>
      </c>
      <c r="U42" t="e">
        <f t="shared" si="1"/>
        <v>#N/A</v>
      </c>
      <c r="X42" t="e">
        <f t="shared" si="2"/>
        <v>#N/A</v>
      </c>
      <c r="Y42" t="e">
        <f t="shared" si="3"/>
        <v>#N/A</v>
      </c>
      <c r="AC42" t="s">
        <v>51</v>
      </c>
      <c r="AD42">
        <v>3302</v>
      </c>
    </row>
    <row r="43" spans="1:30" x14ac:dyDescent="0.3">
      <c r="A43" s="64" t="s">
        <v>1418</v>
      </c>
      <c r="B43" s="15">
        <f t="shared" si="9"/>
        <v>40</v>
      </c>
      <c r="C43" t="str">
        <f t="shared" si="10"/>
        <v>T-1030</v>
      </c>
      <c r="F43" s="15" t="str">
        <f t="shared" si="5"/>
        <v/>
      </c>
      <c r="G43" t="str">
        <f t="shared" si="6"/>
        <v/>
      </c>
      <c r="M43" s="64" t="s">
        <v>9292</v>
      </c>
      <c r="N43" s="15">
        <f t="shared" si="13"/>
        <v>40</v>
      </c>
      <c r="O43" s="28" t="str">
        <f t="shared" si="14"/>
        <v>M-1030</v>
      </c>
      <c r="U43" t="e">
        <f t="shared" si="1"/>
        <v>#N/A</v>
      </c>
      <c r="X43" t="e">
        <f t="shared" si="2"/>
        <v>#N/A</v>
      </c>
      <c r="Y43" t="e">
        <f t="shared" si="3"/>
        <v>#N/A</v>
      </c>
      <c r="AC43" t="s">
        <v>52</v>
      </c>
      <c r="AD43">
        <v>3303</v>
      </c>
    </row>
    <row r="44" spans="1:30" x14ac:dyDescent="0.3">
      <c r="A44" s="64" t="s">
        <v>940</v>
      </c>
      <c r="B44" s="15">
        <f t="shared" si="9"/>
        <v>41</v>
      </c>
      <c r="C44" t="str">
        <f t="shared" si="10"/>
        <v>T-1031</v>
      </c>
      <c r="F44" s="15" t="str">
        <f t="shared" si="5"/>
        <v/>
      </c>
      <c r="G44" t="str">
        <f t="shared" si="6"/>
        <v/>
      </c>
      <c r="M44" s="64" t="s">
        <v>9299</v>
      </c>
      <c r="N44" s="15">
        <f t="shared" si="13"/>
        <v>41</v>
      </c>
      <c r="O44" s="28" t="str">
        <f t="shared" si="14"/>
        <v>M-1031</v>
      </c>
      <c r="U44" t="e">
        <f t="shared" si="1"/>
        <v>#N/A</v>
      </c>
      <c r="X44" t="e">
        <f t="shared" si="2"/>
        <v>#N/A</v>
      </c>
      <c r="Y44" t="e">
        <f t="shared" si="3"/>
        <v>#N/A</v>
      </c>
      <c r="AC44" t="s">
        <v>53</v>
      </c>
      <c r="AD44">
        <v>3304</v>
      </c>
    </row>
    <row r="45" spans="1:30" x14ac:dyDescent="0.3">
      <c r="A45" s="64" t="s">
        <v>1421</v>
      </c>
      <c r="B45" s="15">
        <f t="shared" si="9"/>
        <v>42</v>
      </c>
      <c r="C45" t="str">
        <f t="shared" si="10"/>
        <v>T-1032</v>
      </c>
      <c r="F45" s="15" t="str">
        <f t="shared" si="5"/>
        <v/>
      </c>
      <c r="G45" t="str">
        <f t="shared" si="6"/>
        <v/>
      </c>
      <c r="M45" s="64" t="s">
        <v>9293</v>
      </c>
      <c r="N45" s="15">
        <f t="shared" si="13"/>
        <v>42</v>
      </c>
      <c r="O45" s="28" t="str">
        <f t="shared" si="14"/>
        <v>M-1032</v>
      </c>
      <c r="U45" s="12" t="e">
        <f t="shared" si="1"/>
        <v>#N/A</v>
      </c>
      <c r="X45" t="e">
        <f t="shared" si="2"/>
        <v>#N/A</v>
      </c>
      <c r="Y45" t="e">
        <f t="shared" si="3"/>
        <v>#N/A</v>
      </c>
      <c r="AC45" t="s">
        <v>54</v>
      </c>
      <c r="AD45">
        <v>4101</v>
      </c>
    </row>
    <row r="46" spans="1:30" x14ac:dyDescent="0.3">
      <c r="A46" s="64" t="s">
        <v>1431</v>
      </c>
      <c r="B46" s="15">
        <f t="shared" si="9"/>
        <v>43</v>
      </c>
      <c r="C46" t="str">
        <f t="shared" si="10"/>
        <v>T-1033</v>
      </c>
      <c r="F46" s="15" t="str">
        <f t="shared" si="5"/>
        <v/>
      </c>
      <c r="G46" t="str">
        <f t="shared" si="6"/>
        <v/>
      </c>
      <c r="M46" s="64" t="s">
        <v>9288</v>
      </c>
      <c r="N46" s="15">
        <f t="shared" si="13"/>
        <v>43</v>
      </c>
      <c r="O46" s="28" t="str">
        <f t="shared" si="14"/>
        <v>M-1033</v>
      </c>
      <c r="U46" t="e">
        <f t="shared" si="1"/>
        <v>#N/A</v>
      </c>
      <c r="X46" t="e">
        <f t="shared" si="2"/>
        <v>#N/A</v>
      </c>
      <c r="Y46" t="e">
        <f t="shared" si="3"/>
        <v>#N/A</v>
      </c>
      <c r="AC46" t="s">
        <v>26</v>
      </c>
      <c r="AD46">
        <v>4102</v>
      </c>
    </row>
    <row r="47" spans="1:30" x14ac:dyDescent="0.3">
      <c r="A47" s="64" t="s">
        <v>5151</v>
      </c>
      <c r="B47" s="15">
        <f t="shared" si="9"/>
        <v>44</v>
      </c>
      <c r="C47" t="str">
        <f t="shared" si="10"/>
        <v>T-1034</v>
      </c>
      <c r="F47" s="15" t="str">
        <f t="shared" si="5"/>
        <v/>
      </c>
      <c r="G47" t="str">
        <f t="shared" si="6"/>
        <v/>
      </c>
      <c r="M47" s="64" t="s">
        <v>9263</v>
      </c>
      <c r="N47" s="15">
        <f t="shared" si="13"/>
        <v>44</v>
      </c>
      <c r="O47" s="28" t="str">
        <f t="shared" si="14"/>
        <v>M-1034</v>
      </c>
      <c r="U47" t="e">
        <f t="shared" si="1"/>
        <v>#N/A</v>
      </c>
      <c r="X47" t="e">
        <f t="shared" si="2"/>
        <v>#N/A</v>
      </c>
      <c r="Y47" t="e">
        <f t="shared" si="3"/>
        <v>#N/A</v>
      </c>
      <c r="AC47" t="s">
        <v>55</v>
      </c>
      <c r="AD47">
        <v>4103</v>
      </c>
    </row>
    <row r="48" spans="1:30" x14ac:dyDescent="0.3">
      <c r="A48" s="64" t="s">
        <v>1498</v>
      </c>
      <c r="B48" s="15">
        <f t="shared" si="9"/>
        <v>45</v>
      </c>
      <c r="C48" t="str">
        <f t="shared" si="10"/>
        <v>T-1035</v>
      </c>
      <c r="F48" s="15" t="str">
        <f t="shared" si="5"/>
        <v/>
      </c>
      <c r="G48" t="str">
        <f t="shared" si="6"/>
        <v/>
      </c>
      <c r="M48" s="64" t="s">
        <v>9251</v>
      </c>
      <c r="N48" s="15">
        <f t="shared" si="13"/>
        <v>45</v>
      </c>
      <c r="O48" s="28" t="str">
        <f t="shared" si="14"/>
        <v>M-1035</v>
      </c>
      <c r="U48" t="e">
        <f t="shared" si="1"/>
        <v>#N/A</v>
      </c>
      <c r="X48" t="e">
        <f t="shared" si="2"/>
        <v>#N/A</v>
      </c>
      <c r="Y48" t="e">
        <f t="shared" si="3"/>
        <v>#N/A</v>
      </c>
      <c r="AC48" t="s">
        <v>56</v>
      </c>
      <c r="AD48">
        <v>4104</v>
      </c>
    </row>
    <row r="49" spans="1:30" x14ac:dyDescent="0.3">
      <c r="A49" s="64" t="s">
        <v>1914</v>
      </c>
      <c r="B49" s="15">
        <f t="shared" si="9"/>
        <v>46</v>
      </c>
      <c r="C49" t="str">
        <f t="shared" si="10"/>
        <v>T-1036</v>
      </c>
      <c r="F49" s="15" t="str">
        <f t="shared" si="5"/>
        <v/>
      </c>
      <c r="G49" t="str">
        <f t="shared" si="6"/>
        <v/>
      </c>
      <c r="M49" s="64" t="s">
        <v>5181</v>
      </c>
      <c r="N49" s="15">
        <f t="shared" si="13"/>
        <v>46</v>
      </c>
      <c r="O49" s="28" t="str">
        <f t="shared" si="14"/>
        <v>M-1036</v>
      </c>
      <c r="U49" t="e">
        <f t="shared" si="1"/>
        <v>#N/A</v>
      </c>
      <c r="X49" t="e">
        <f t="shared" si="2"/>
        <v>#N/A</v>
      </c>
      <c r="Y49" t="e">
        <f t="shared" si="3"/>
        <v>#N/A</v>
      </c>
      <c r="AC49" t="s">
        <v>57</v>
      </c>
      <c r="AD49">
        <v>4105</v>
      </c>
    </row>
    <row r="50" spans="1:30" x14ac:dyDescent="0.3">
      <c r="A50" s="64" t="s">
        <v>2011</v>
      </c>
      <c r="B50" s="15">
        <f t="shared" si="9"/>
        <v>47</v>
      </c>
      <c r="C50" t="str">
        <f t="shared" si="10"/>
        <v>T-1037</v>
      </c>
      <c r="F50" s="15" t="str">
        <f t="shared" si="5"/>
        <v/>
      </c>
      <c r="G50" t="str">
        <f t="shared" si="6"/>
        <v/>
      </c>
      <c r="M50" s="64" t="s">
        <v>9284</v>
      </c>
      <c r="N50" s="15">
        <f t="shared" si="13"/>
        <v>47</v>
      </c>
      <c r="O50" s="28" t="str">
        <f t="shared" si="14"/>
        <v>M-1037</v>
      </c>
      <c r="U50" t="e">
        <f t="shared" si="1"/>
        <v>#N/A</v>
      </c>
      <c r="X50" t="e">
        <f t="shared" si="2"/>
        <v>#N/A</v>
      </c>
      <c r="Y50" t="e">
        <f t="shared" si="3"/>
        <v>#N/A</v>
      </c>
      <c r="AC50" t="s">
        <v>58</v>
      </c>
      <c r="AD50">
        <v>4106</v>
      </c>
    </row>
    <row r="51" spans="1:30" x14ac:dyDescent="0.3">
      <c r="A51" s="64" t="s">
        <v>2012</v>
      </c>
      <c r="B51" s="15">
        <f t="shared" si="9"/>
        <v>48</v>
      </c>
      <c r="C51" t="str">
        <f t="shared" si="10"/>
        <v>T-1038</v>
      </c>
      <c r="F51" s="15" t="str">
        <f t="shared" si="5"/>
        <v/>
      </c>
      <c r="G51" t="str">
        <f t="shared" si="6"/>
        <v/>
      </c>
      <c r="M51" s="64" t="s">
        <v>9286</v>
      </c>
      <c r="N51" s="15">
        <f t="shared" si="13"/>
        <v>48</v>
      </c>
      <c r="O51" s="28" t="str">
        <f t="shared" si="14"/>
        <v>M-1038</v>
      </c>
      <c r="U51" t="e">
        <f t="shared" si="1"/>
        <v>#N/A</v>
      </c>
      <c r="X51" t="e">
        <f t="shared" si="2"/>
        <v>#N/A</v>
      </c>
      <c r="Y51" t="e">
        <f t="shared" si="3"/>
        <v>#N/A</v>
      </c>
      <c r="AC51" t="s">
        <v>59</v>
      </c>
      <c r="AD51">
        <v>4201</v>
      </c>
    </row>
    <row r="52" spans="1:30" x14ac:dyDescent="0.3">
      <c r="A52" s="64" t="s">
        <v>2135</v>
      </c>
      <c r="B52" s="15">
        <f t="shared" si="9"/>
        <v>49</v>
      </c>
      <c r="C52" t="str">
        <f t="shared" si="10"/>
        <v>T-1039</v>
      </c>
      <c r="F52" s="15" t="str">
        <f t="shared" si="5"/>
        <v/>
      </c>
      <c r="G52" t="str">
        <f t="shared" si="6"/>
        <v/>
      </c>
      <c r="M52" s="64" t="s">
        <v>9252</v>
      </c>
      <c r="N52" s="15">
        <f t="shared" si="13"/>
        <v>49</v>
      </c>
      <c r="O52" s="28" t="str">
        <f t="shared" si="14"/>
        <v>M-1039</v>
      </c>
      <c r="U52" t="e">
        <f t="shared" si="1"/>
        <v>#N/A</v>
      </c>
      <c r="X52" t="e">
        <f t="shared" si="2"/>
        <v>#N/A</v>
      </c>
      <c r="Y52" t="e">
        <f t="shared" si="3"/>
        <v>#N/A</v>
      </c>
      <c r="AC52" t="s">
        <v>60</v>
      </c>
      <c r="AD52">
        <v>4202</v>
      </c>
    </row>
    <row r="53" spans="1:30" x14ac:dyDescent="0.3">
      <c r="A53" s="64" t="s">
        <v>2156</v>
      </c>
      <c r="B53" s="15">
        <f t="shared" si="9"/>
        <v>50</v>
      </c>
      <c r="C53" t="str">
        <f t="shared" si="10"/>
        <v>T-1040</v>
      </c>
      <c r="F53" s="15" t="str">
        <f t="shared" si="5"/>
        <v/>
      </c>
      <c r="G53" t="str">
        <f t="shared" si="6"/>
        <v/>
      </c>
      <c r="M53" s="64" t="s">
        <v>9253</v>
      </c>
      <c r="N53" s="15">
        <f t="shared" si="13"/>
        <v>50</v>
      </c>
      <c r="O53" s="28" t="str">
        <f t="shared" si="14"/>
        <v>M-1040</v>
      </c>
      <c r="U53" t="e">
        <f t="shared" si="1"/>
        <v>#N/A</v>
      </c>
      <c r="X53" t="e">
        <f t="shared" si="2"/>
        <v>#N/A</v>
      </c>
      <c r="Y53" t="e">
        <f t="shared" si="3"/>
        <v>#N/A</v>
      </c>
      <c r="AC53" t="s">
        <v>61</v>
      </c>
      <c r="AD53">
        <v>4203</v>
      </c>
    </row>
    <row r="54" spans="1:30" x14ac:dyDescent="0.3">
      <c r="A54" s="64" t="s">
        <v>2231</v>
      </c>
      <c r="B54" s="15">
        <f t="shared" si="9"/>
        <v>51</v>
      </c>
      <c r="C54" t="str">
        <f t="shared" si="10"/>
        <v>T-1041</v>
      </c>
      <c r="F54" s="15" t="str">
        <f t="shared" si="5"/>
        <v/>
      </c>
      <c r="G54" t="str">
        <f t="shared" si="6"/>
        <v/>
      </c>
      <c r="M54" s="64" t="s">
        <v>1517</v>
      </c>
      <c r="N54" s="15">
        <f t="shared" si="13"/>
        <v>51</v>
      </c>
      <c r="O54" s="28" t="str">
        <f t="shared" si="14"/>
        <v>M-1041</v>
      </c>
      <c r="U54" t="e">
        <f t="shared" si="1"/>
        <v>#N/A</v>
      </c>
      <c r="X54" t="e">
        <f t="shared" si="2"/>
        <v>#N/A</v>
      </c>
      <c r="Y54" t="e">
        <f t="shared" si="3"/>
        <v>#N/A</v>
      </c>
      <c r="AC54" t="s">
        <v>62</v>
      </c>
      <c r="AD54">
        <v>4204</v>
      </c>
    </row>
    <row r="55" spans="1:30" x14ac:dyDescent="0.3">
      <c r="A55" s="64" t="s">
        <v>2251</v>
      </c>
      <c r="B55" s="15">
        <f t="shared" si="9"/>
        <v>52</v>
      </c>
      <c r="C55" t="str">
        <f t="shared" si="10"/>
        <v>T-1042</v>
      </c>
      <c r="F55" s="15" t="str">
        <f t="shared" si="5"/>
        <v/>
      </c>
      <c r="G55" t="str">
        <f t="shared" si="6"/>
        <v/>
      </c>
      <c r="M55" s="64" t="s">
        <v>9274</v>
      </c>
      <c r="N55" s="15">
        <f t="shared" si="13"/>
        <v>52</v>
      </c>
      <c r="O55" s="28" t="str">
        <f t="shared" si="14"/>
        <v>M-1042</v>
      </c>
      <c r="U55" t="e">
        <f t="shared" si="1"/>
        <v>#N/A</v>
      </c>
      <c r="X55" t="e">
        <f t="shared" si="2"/>
        <v>#N/A</v>
      </c>
      <c r="Y55" t="e">
        <f t="shared" si="3"/>
        <v>#N/A</v>
      </c>
      <c r="AC55" t="s">
        <v>22</v>
      </c>
      <c r="AD55">
        <v>4301</v>
      </c>
    </row>
    <row r="56" spans="1:30" x14ac:dyDescent="0.3">
      <c r="A56" s="64" t="s">
        <v>2271</v>
      </c>
      <c r="B56" s="15">
        <f t="shared" si="9"/>
        <v>53</v>
      </c>
      <c r="C56" t="str">
        <f t="shared" si="10"/>
        <v>T-1043</v>
      </c>
      <c r="F56" s="15" t="str">
        <f t="shared" si="5"/>
        <v/>
      </c>
      <c r="G56" t="str">
        <f t="shared" si="6"/>
        <v/>
      </c>
      <c r="M56" s="64" t="s">
        <v>9269</v>
      </c>
      <c r="N56" s="15">
        <f t="shared" si="13"/>
        <v>53</v>
      </c>
      <c r="O56" s="28" t="str">
        <f t="shared" si="14"/>
        <v>M-1043</v>
      </c>
      <c r="U56" t="e">
        <f t="shared" si="1"/>
        <v>#N/A</v>
      </c>
      <c r="X56" t="e">
        <f t="shared" si="2"/>
        <v>#N/A</v>
      </c>
      <c r="Y56" t="e">
        <f t="shared" si="3"/>
        <v>#N/A</v>
      </c>
      <c r="AC56" t="s">
        <v>63</v>
      </c>
      <c r="AD56">
        <v>4302</v>
      </c>
    </row>
    <row r="57" spans="1:30" x14ac:dyDescent="0.3">
      <c r="A57" s="64" t="s">
        <v>2989</v>
      </c>
      <c r="B57" s="15">
        <f t="shared" si="9"/>
        <v>54</v>
      </c>
      <c r="C57" t="str">
        <f t="shared" si="10"/>
        <v>T-1044</v>
      </c>
      <c r="F57" s="15" t="str">
        <f t="shared" si="5"/>
        <v/>
      </c>
      <c r="G57" t="str">
        <f t="shared" si="6"/>
        <v/>
      </c>
      <c r="M57" s="64" t="s">
        <v>9254</v>
      </c>
      <c r="N57" s="15">
        <f t="shared" si="13"/>
        <v>54</v>
      </c>
      <c r="O57" s="28" t="str">
        <f t="shared" si="14"/>
        <v>M-1044</v>
      </c>
      <c r="U57" t="e">
        <f t="shared" si="1"/>
        <v>#N/A</v>
      </c>
      <c r="X57" t="e">
        <f t="shared" si="2"/>
        <v>#N/A</v>
      </c>
      <c r="Y57" t="e">
        <f t="shared" si="3"/>
        <v>#N/A</v>
      </c>
      <c r="AC57" t="s">
        <v>64</v>
      </c>
      <c r="AD57">
        <v>4303</v>
      </c>
    </row>
    <row r="58" spans="1:30" x14ac:dyDescent="0.3">
      <c r="A58" s="64" t="s">
        <v>2987</v>
      </c>
      <c r="B58" s="15">
        <f t="shared" si="9"/>
        <v>55</v>
      </c>
      <c r="C58" t="str">
        <f t="shared" si="10"/>
        <v>T-1045</v>
      </c>
      <c r="F58" s="15" t="str">
        <f t="shared" si="5"/>
        <v/>
      </c>
      <c r="G58" t="str">
        <f t="shared" si="6"/>
        <v/>
      </c>
      <c r="M58" s="64" t="s">
        <v>9255</v>
      </c>
      <c r="N58" s="15">
        <f t="shared" si="13"/>
        <v>55</v>
      </c>
      <c r="O58" s="28" t="str">
        <f t="shared" si="14"/>
        <v>M-1045</v>
      </c>
      <c r="U58" t="e">
        <f t="shared" si="1"/>
        <v>#N/A</v>
      </c>
      <c r="X58" t="e">
        <f t="shared" si="2"/>
        <v>#N/A</v>
      </c>
      <c r="Y58" t="e">
        <f t="shared" si="3"/>
        <v>#N/A</v>
      </c>
      <c r="AC58" t="s">
        <v>65</v>
      </c>
      <c r="AD58">
        <v>4304</v>
      </c>
    </row>
    <row r="59" spans="1:30" x14ac:dyDescent="0.3">
      <c r="A59" s="64" t="s">
        <v>2986</v>
      </c>
      <c r="B59" s="15">
        <f t="shared" si="9"/>
        <v>56</v>
      </c>
      <c r="C59" t="str">
        <f t="shared" si="10"/>
        <v>T-1046</v>
      </c>
      <c r="F59" s="15" t="str">
        <f t="shared" si="5"/>
        <v/>
      </c>
      <c r="G59" t="str">
        <f t="shared" si="6"/>
        <v/>
      </c>
      <c r="M59" s="64" t="s">
        <v>9311</v>
      </c>
      <c r="N59" s="15">
        <f t="shared" si="13"/>
        <v>56</v>
      </c>
      <c r="O59" s="28" t="str">
        <f t="shared" si="14"/>
        <v>M-1046</v>
      </c>
      <c r="U59" t="e">
        <f t="shared" si="1"/>
        <v>#N/A</v>
      </c>
      <c r="X59" t="e">
        <f t="shared" si="2"/>
        <v>#N/A</v>
      </c>
      <c r="Y59" t="e">
        <f t="shared" si="3"/>
        <v>#N/A</v>
      </c>
      <c r="AC59" t="s">
        <v>66</v>
      </c>
      <c r="AD59">
        <v>4305</v>
      </c>
    </row>
    <row r="60" spans="1:30" x14ac:dyDescent="0.3">
      <c r="A60" s="64" t="s">
        <v>2988</v>
      </c>
      <c r="B60" s="15">
        <f t="shared" si="9"/>
        <v>57</v>
      </c>
      <c r="C60" t="str">
        <f t="shared" si="10"/>
        <v>T-1047</v>
      </c>
      <c r="F60" s="15" t="str">
        <f t="shared" si="5"/>
        <v/>
      </c>
      <c r="G60" t="str">
        <f t="shared" si="6"/>
        <v/>
      </c>
      <c r="M60" s="64" t="s">
        <v>825</v>
      </c>
      <c r="N60" s="15">
        <f t="shared" si="13"/>
        <v>57</v>
      </c>
      <c r="O60" s="28" t="str">
        <f t="shared" si="14"/>
        <v>M-1047</v>
      </c>
      <c r="U60" t="e">
        <f t="shared" si="1"/>
        <v>#N/A</v>
      </c>
      <c r="X60" t="e">
        <f t="shared" si="2"/>
        <v>#N/A</v>
      </c>
      <c r="Y60" t="e">
        <f t="shared" si="3"/>
        <v>#N/A</v>
      </c>
      <c r="AC60" t="s">
        <v>27</v>
      </c>
      <c r="AD60">
        <v>5101</v>
      </c>
    </row>
    <row r="61" spans="1:30" x14ac:dyDescent="0.3">
      <c r="A61" s="64" t="s">
        <v>2310</v>
      </c>
      <c r="B61" s="15">
        <f t="shared" si="9"/>
        <v>58</v>
      </c>
      <c r="C61" t="str">
        <f t="shared" si="10"/>
        <v>T-1048</v>
      </c>
      <c r="F61" s="15" t="str">
        <f t="shared" si="5"/>
        <v/>
      </c>
      <c r="G61" t="str">
        <f t="shared" si="6"/>
        <v/>
      </c>
      <c r="M61" s="64" t="s">
        <v>9270</v>
      </c>
      <c r="N61" s="15">
        <f t="shared" si="13"/>
        <v>58</v>
      </c>
      <c r="O61" s="28" t="str">
        <f t="shared" si="14"/>
        <v>M-1048</v>
      </c>
      <c r="U61" t="e">
        <f t="shared" si="1"/>
        <v>#N/A</v>
      </c>
      <c r="X61" t="e">
        <f t="shared" si="2"/>
        <v>#N/A</v>
      </c>
      <c r="Y61" t="e">
        <f t="shared" si="3"/>
        <v>#N/A</v>
      </c>
      <c r="AC61" t="s">
        <v>67</v>
      </c>
      <c r="AD61">
        <v>5102</v>
      </c>
    </row>
    <row r="62" spans="1:30" x14ac:dyDescent="0.3">
      <c r="A62" s="64" t="s">
        <v>3606</v>
      </c>
      <c r="B62" s="15">
        <f t="shared" si="9"/>
        <v>59</v>
      </c>
      <c r="C62" t="str">
        <f t="shared" si="10"/>
        <v>T-1049</v>
      </c>
      <c r="F62" s="15" t="str">
        <f t="shared" si="5"/>
        <v/>
      </c>
      <c r="G62" t="str">
        <f t="shared" si="6"/>
        <v/>
      </c>
      <c r="M62" s="64" t="s">
        <v>9267</v>
      </c>
      <c r="N62" s="15">
        <f t="shared" si="13"/>
        <v>59</v>
      </c>
      <c r="O62" s="28" t="str">
        <f t="shared" si="14"/>
        <v>M-1049</v>
      </c>
      <c r="U62" t="e">
        <f t="shared" si="1"/>
        <v>#N/A</v>
      </c>
      <c r="X62" t="e">
        <f t="shared" si="2"/>
        <v>#N/A</v>
      </c>
      <c r="Y62" t="e">
        <f t="shared" si="3"/>
        <v>#N/A</v>
      </c>
      <c r="AC62" t="s">
        <v>68</v>
      </c>
      <c r="AD62">
        <v>5103</v>
      </c>
    </row>
    <row r="63" spans="1:30" x14ac:dyDescent="0.3">
      <c r="A63" s="64" t="s">
        <v>4288</v>
      </c>
      <c r="B63" s="15">
        <f t="shared" si="9"/>
        <v>60</v>
      </c>
      <c r="C63" t="str">
        <f t="shared" si="10"/>
        <v>T-1050</v>
      </c>
      <c r="F63" s="15" t="str">
        <f t="shared" si="5"/>
        <v/>
      </c>
      <c r="G63" t="str">
        <f t="shared" si="6"/>
        <v/>
      </c>
      <c r="M63" s="64" t="s">
        <v>9271</v>
      </c>
      <c r="N63" s="15">
        <f t="shared" si="13"/>
        <v>60</v>
      </c>
      <c r="O63" s="28" t="str">
        <f t="shared" si="14"/>
        <v>M-1050</v>
      </c>
      <c r="U63" t="e">
        <f t="shared" si="1"/>
        <v>#N/A</v>
      </c>
      <c r="X63" t="e">
        <f t="shared" si="2"/>
        <v>#N/A</v>
      </c>
      <c r="Y63" t="e">
        <f t="shared" si="3"/>
        <v>#N/A</v>
      </c>
      <c r="AC63" t="s">
        <v>69</v>
      </c>
      <c r="AD63">
        <v>5104</v>
      </c>
    </row>
    <row r="64" spans="1:30" x14ac:dyDescent="0.3">
      <c r="A64" s="64" t="s">
        <v>3607</v>
      </c>
      <c r="B64" s="15">
        <f t="shared" si="9"/>
        <v>61</v>
      </c>
      <c r="C64" t="str">
        <f t="shared" si="10"/>
        <v>T-1051</v>
      </c>
      <c r="F64" s="15" t="str">
        <f t="shared" si="5"/>
        <v/>
      </c>
      <c r="G64" t="str">
        <f t="shared" si="6"/>
        <v/>
      </c>
      <c r="M64" s="64" t="s">
        <v>9272</v>
      </c>
      <c r="N64" s="15">
        <f t="shared" si="13"/>
        <v>61</v>
      </c>
      <c r="O64" s="28" t="str">
        <f t="shared" si="14"/>
        <v>M-1051</v>
      </c>
      <c r="U64" t="e">
        <f t="shared" si="1"/>
        <v>#N/A</v>
      </c>
      <c r="X64" t="e">
        <f t="shared" si="2"/>
        <v>#N/A</v>
      </c>
      <c r="Y64" t="e">
        <f t="shared" si="3"/>
        <v>#N/A</v>
      </c>
      <c r="AC64" t="s">
        <v>70</v>
      </c>
      <c r="AD64">
        <v>5105</v>
      </c>
    </row>
    <row r="65" spans="1:30" x14ac:dyDescent="0.3">
      <c r="A65" s="64" t="s">
        <v>4289</v>
      </c>
      <c r="B65" s="15">
        <f t="shared" si="9"/>
        <v>62</v>
      </c>
      <c r="C65" t="str">
        <f t="shared" si="10"/>
        <v>T-1052</v>
      </c>
      <c r="F65" s="15" t="str">
        <f t="shared" si="5"/>
        <v/>
      </c>
      <c r="G65" t="str">
        <f t="shared" si="6"/>
        <v/>
      </c>
      <c r="M65" s="64" t="s">
        <v>9303</v>
      </c>
      <c r="N65" s="15">
        <f t="shared" si="13"/>
        <v>62</v>
      </c>
      <c r="O65" s="28" t="str">
        <f t="shared" si="14"/>
        <v>M-1052</v>
      </c>
      <c r="U65" t="e">
        <f t="shared" si="1"/>
        <v>#N/A</v>
      </c>
      <c r="X65" t="e">
        <f t="shared" si="2"/>
        <v>#N/A</v>
      </c>
      <c r="Y65" t="e">
        <f t="shared" si="3"/>
        <v>#N/A</v>
      </c>
      <c r="AC65" t="s">
        <v>71</v>
      </c>
      <c r="AD65">
        <v>5107</v>
      </c>
    </row>
    <row r="66" spans="1:30" x14ac:dyDescent="0.3">
      <c r="A66" s="64" t="s">
        <v>2994</v>
      </c>
      <c r="B66" s="15">
        <f t="shared" si="9"/>
        <v>63</v>
      </c>
      <c r="C66" t="str">
        <f t="shared" si="10"/>
        <v>T-1053</v>
      </c>
      <c r="F66" s="15" t="str">
        <f t="shared" si="5"/>
        <v/>
      </c>
      <c r="G66" t="str">
        <f t="shared" si="6"/>
        <v/>
      </c>
      <c r="M66" s="64" t="s">
        <v>9307</v>
      </c>
      <c r="N66" s="15">
        <f t="shared" si="13"/>
        <v>63</v>
      </c>
      <c r="O66" s="28" t="str">
        <f t="shared" si="14"/>
        <v>M-1053</v>
      </c>
      <c r="U66" t="e">
        <f t="shared" si="1"/>
        <v>#N/A</v>
      </c>
      <c r="X66" t="e">
        <f t="shared" si="2"/>
        <v>#N/A</v>
      </c>
      <c r="Y66" t="e">
        <f t="shared" si="3"/>
        <v>#N/A</v>
      </c>
      <c r="AC66" t="s">
        <v>72</v>
      </c>
      <c r="AD66">
        <v>5109</v>
      </c>
    </row>
    <row r="67" spans="1:30" x14ac:dyDescent="0.3">
      <c r="A67" s="64" t="s">
        <v>3016</v>
      </c>
      <c r="B67" s="15">
        <f t="shared" si="9"/>
        <v>64</v>
      </c>
      <c r="C67" t="str">
        <f t="shared" si="10"/>
        <v>T-1054</v>
      </c>
      <c r="F67" s="15" t="str">
        <f t="shared" si="5"/>
        <v/>
      </c>
      <c r="G67" t="str">
        <f t="shared" si="6"/>
        <v/>
      </c>
      <c r="M67" s="64" t="s">
        <v>9312</v>
      </c>
      <c r="N67" s="15">
        <f t="shared" si="13"/>
        <v>64</v>
      </c>
      <c r="O67" s="28" t="str">
        <f t="shared" si="14"/>
        <v>M-1054</v>
      </c>
      <c r="U67" t="e">
        <f t="shared" si="1"/>
        <v>#N/A</v>
      </c>
      <c r="X67" t="e">
        <f t="shared" si="2"/>
        <v>#N/A</v>
      </c>
      <c r="Y67" t="e">
        <f t="shared" si="3"/>
        <v>#N/A</v>
      </c>
      <c r="AC67" t="s">
        <v>73</v>
      </c>
      <c r="AD67">
        <v>5201</v>
      </c>
    </row>
    <row r="68" spans="1:30" x14ac:dyDescent="0.3">
      <c r="A68" s="64" t="s">
        <v>3069</v>
      </c>
      <c r="B68" s="15">
        <f t="shared" si="9"/>
        <v>65</v>
      </c>
      <c r="C68" t="str">
        <f t="shared" si="10"/>
        <v>T-1055</v>
      </c>
      <c r="F68" s="15" t="str">
        <f t="shared" si="5"/>
        <v/>
      </c>
      <c r="G68" t="str">
        <f t="shared" si="6"/>
        <v/>
      </c>
      <c r="M68" s="64" t="s">
        <v>9309</v>
      </c>
      <c r="N68" s="15">
        <f t="shared" si="13"/>
        <v>65</v>
      </c>
      <c r="O68" s="28" t="str">
        <f t="shared" si="14"/>
        <v>M-1055</v>
      </c>
      <c r="U68" t="e">
        <f t="shared" si="1"/>
        <v>#N/A</v>
      </c>
      <c r="X68" t="e">
        <f t="shared" si="2"/>
        <v>#N/A</v>
      </c>
      <c r="Y68" t="e">
        <f t="shared" si="3"/>
        <v>#N/A</v>
      </c>
      <c r="AC68" t="s">
        <v>74</v>
      </c>
      <c r="AD68">
        <v>5301</v>
      </c>
    </row>
    <row r="69" spans="1:30" x14ac:dyDescent="0.3">
      <c r="A69" s="64" t="s">
        <v>3179</v>
      </c>
      <c r="B69" s="15">
        <f t="shared" si="9"/>
        <v>66</v>
      </c>
      <c r="C69" t="str">
        <f t="shared" si="10"/>
        <v>T-1056</v>
      </c>
      <c r="F69" s="15" t="str">
        <f t="shared" si="5"/>
        <v/>
      </c>
      <c r="G69" t="str">
        <f t="shared" si="6"/>
        <v/>
      </c>
      <c r="M69" s="64" t="s">
        <v>1371</v>
      </c>
      <c r="N69" s="15">
        <f t="shared" si="13"/>
        <v>66</v>
      </c>
      <c r="O69" s="28" t="str">
        <f t="shared" si="14"/>
        <v>M-1056</v>
      </c>
      <c r="U69" t="e">
        <f t="shared" ref="U69:U132" si="15">+VLOOKUP(W69,$R$4:$S$6,2,0)*100000+X69</f>
        <v>#N/A</v>
      </c>
      <c r="X69" t="e">
        <f t="shared" ref="X69:X132" si="16">+VLOOKUP(V69,$AC$3:$AD$364,2,0)</f>
        <v>#N/A</v>
      </c>
      <c r="Y69" t="e">
        <f t="shared" ref="Y69:Y132" si="17">+U69</f>
        <v>#N/A</v>
      </c>
      <c r="AC69" t="s">
        <v>75</v>
      </c>
      <c r="AD69">
        <v>5302</v>
      </c>
    </row>
    <row r="70" spans="1:30" x14ac:dyDescent="0.3">
      <c r="A70" s="64" t="s">
        <v>3186</v>
      </c>
      <c r="B70" s="15">
        <f t="shared" si="9"/>
        <v>67</v>
      </c>
      <c r="C70" t="str">
        <f t="shared" si="10"/>
        <v>T-1057</v>
      </c>
      <c r="F70" s="15" t="str">
        <f t="shared" si="5"/>
        <v/>
      </c>
      <c r="G70" t="str">
        <f t="shared" si="6"/>
        <v/>
      </c>
      <c r="M70" s="64" t="s">
        <v>1374</v>
      </c>
      <c r="N70" s="15">
        <f t="shared" si="13"/>
        <v>67</v>
      </c>
      <c r="O70" s="28" t="str">
        <f t="shared" si="14"/>
        <v>M-1057</v>
      </c>
      <c r="U70" t="e">
        <f t="shared" si="15"/>
        <v>#N/A</v>
      </c>
      <c r="X70" t="e">
        <f t="shared" si="16"/>
        <v>#N/A</v>
      </c>
      <c r="Y70" t="e">
        <f t="shared" si="17"/>
        <v>#N/A</v>
      </c>
      <c r="AC70" t="s">
        <v>76</v>
      </c>
      <c r="AD70">
        <v>5303</v>
      </c>
    </row>
    <row r="71" spans="1:30" x14ac:dyDescent="0.3">
      <c r="A71" s="64" t="s">
        <v>3189</v>
      </c>
      <c r="B71" s="15">
        <f t="shared" si="9"/>
        <v>68</v>
      </c>
      <c r="C71" t="str">
        <f t="shared" si="10"/>
        <v>T-1058</v>
      </c>
      <c r="F71" s="15" t="str">
        <f t="shared" ref="F71:F100" si="18">+IF(E71="","",F70+1)</f>
        <v/>
      </c>
      <c r="G71" t="str">
        <f t="shared" ref="G71:G100" si="19">+IF(E71="","","C-"&amp;$B$1+F71)</f>
        <v/>
      </c>
      <c r="M71" s="64" t="s">
        <v>9294</v>
      </c>
      <c r="N71" s="15">
        <f t="shared" si="13"/>
        <v>68</v>
      </c>
      <c r="O71" s="28" t="str">
        <f t="shared" si="14"/>
        <v>M-1058</v>
      </c>
      <c r="U71" t="e">
        <f t="shared" si="15"/>
        <v>#N/A</v>
      </c>
      <c r="X71" t="e">
        <f t="shared" si="16"/>
        <v>#N/A</v>
      </c>
      <c r="Y71" t="e">
        <f t="shared" si="17"/>
        <v>#N/A</v>
      </c>
      <c r="AC71" t="s">
        <v>77</v>
      </c>
      <c r="AD71">
        <v>5304</v>
      </c>
    </row>
    <row r="72" spans="1:30" x14ac:dyDescent="0.3">
      <c r="A72" s="64" t="s">
        <v>3192</v>
      </c>
      <c r="B72" s="15">
        <f t="shared" ref="B72:B100" si="20">+IF(A72="","",B71+1)</f>
        <v>69</v>
      </c>
      <c r="C72" t="str">
        <f t="shared" ref="C72:C100" si="21">+IF(A72="","","T-"&amp;$B$1+B72)</f>
        <v>T-1059</v>
      </c>
      <c r="F72" s="15" t="str">
        <f t="shared" si="18"/>
        <v/>
      </c>
      <c r="G72" t="str">
        <f t="shared" si="19"/>
        <v/>
      </c>
      <c r="M72" s="64" t="s">
        <v>1509</v>
      </c>
      <c r="N72" s="15">
        <f t="shared" si="13"/>
        <v>69</v>
      </c>
      <c r="O72" s="28" t="str">
        <f t="shared" si="14"/>
        <v>M-1059</v>
      </c>
      <c r="U72" t="e">
        <f t="shared" si="15"/>
        <v>#N/A</v>
      </c>
      <c r="X72" t="e">
        <f t="shared" si="16"/>
        <v>#N/A</v>
      </c>
      <c r="Y72" t="e">
        <f t="shared" si="17"/>
        <v>#N/A</v>
      </c>
      <c r="AC72" t="s">
        <v>78</v>
      </c>
      <c r="AD72">
        <v>5401</v>
      </c>
    </row>
    <row r="73" spans="1:30" x14ac:dyDescent="0.3">
      <c r="A73" s="64" t="s">
        <v>3208</v>
      </c>
      <c r="B73" s="15">
        <f t="shared" si="20"/>
        <v>70</v>
      </c>
      <c r="C73" t="str">
        <f t="shared" si="21"/>
        <v>T-1060</v>
      </c>
      <c r="F73" s="15" t="str">
        <f t="shared" si="18"/>
        <v/>
      </c>
      <c r="G73" t="str">
        <f t="shared" si="19"/>
        <v/>
      </c>
      <c r="M73" s="64" t="s">
        <v>9278</v>
      </c>
      <c r="N73" s="15">
        <f t="shared" si="13"/>
        <v>70</v>
      </c>
      <c r="O73" s="28" t="str">
        <f t="shared" si="14"/>
        <v>M-1060</v>
      </c>
      <c r="U73" t="e">
        <f t="shared" si="15"/>
        <v>#N/A</v>
      </c>
      <c r="X73" t="e">
        <f t="shared" si="16"/>
        <v>#N/A</v>
      </c>
      <c r="Y73" t="e">
        <f t="shared" si="17"/>
        <v>#N/A</v>
      </c>
      <c r="AC73" t="s">
        <v>79</v>
      </c>
      <c r="AD73">
        <v>5402</v>
      </c>
    </row>
    <row r="74" spans="1:30" x14ac:dyDescent="0.3">
      <c r="A74" s="64" t="s">
        <v>3213</v>
      </c>
      <c r="B74" s="15">
        <f t="shared" si="20"/>
        <v>71</v>
      </c>
      <c r="C74" t="str">
        <f t="shared" si="21"/>
        <v>T-1061</v>
      </c>
      <c r="F74" s="15" t="str">
        <f t="shared" si="18"/>
        <v/>
      </c>
      <c r="G74" t="str">
        <f t="shared" si="19"/>
        <v/>
      </c>
      <c r="M74" s="64" t="s">
        <v>9297</v>
      </c>
      <c r="N74" s="15">
        <f t="shared" si="13"/>
        <v>71</v>
      </c>
      <c r="O74" s="28" t="str">
        <f t="shared" si="14"/>
        <v>M-1061</v>
      </c>
      <c r="U74" t="e">
        <f t="shared" si="15"/>
        <v>#N/A</v>
      </c>
      <c r="X74" t="e">
        <f t="shared" si="16"/>
        <v>#N/A</v>
      </c>
      <c r="Y74" t="e">
        <f t="shared" si="17"/>
        <v>#N/A</v>
      </c>
      <c r="AC74" t="s">
        <v>80</v>
      </c>
      <c r="AD74">
        <v>5403</v>
      </c>
    </row>
    <row r="75" spans="1:30" x14ac:dyDescent="0.3">
      <c r="A75" s="64" t="s">
        <v>3216</v>
      </c>
      <c r="B75" s="15">
        <f t="shared" si="20"/>
        <v>72</v>
      </c>
      <c r="C75" t="str">
        <f t="shared" si="21"/>
        <v>T-1062</v>
      </c>
      <c r="F75" s="15" t="str">
        <f t="shared" si="18"/>
        <v/>
      </c>
      <c r="G75" t="str">
        <f t="shared" si="19"/>
        <v/>
      </c>
      <c r="M75" s="64" t="s">
        <v>9298</v>
      </c>
      <c r="N75" s="15">
        <f t="shared" si="13"/>
        <v>72</v>
      </c>
      <c r="O75" s="28" t="str">
        <f t="shared" si="14"/>
        <v>M-1062</v>
      </c>
      <c r="U75" t="e">
        <f t="shared" si="15"/>
        <v>#N/A</v>
      </c>
      <c r="X75" t="e">
        <f t="shared" si="16"/>
        <v>#N/A</v>
      </c>
      <c r="Y75" t="e">
        <f t="shared" si="17"/>
        <v>#N/A</v>
      </c>
      <c r="AC75" t="s">
        <v>81</v>
      </c>
      <c r="AD75">
        <v>5404</v>
      </c>
    </row>
    <row r="76" spans="1:30" x14ac:dyDescent="0.3">
      <c r="A76" s="64" t="s">
        <v>3218</v>
      </c>
      <c r="B76" s="15">
        <f t="shared" si="20"/>
        <v>73</v>
      </c>
      <c r="C76" t="str">
        <f t="shared" si="21"/>
        <v>T-1063</v>
      </c>
      <c r="F76" s="15" t="str">
        <f t="shared" si="18"/>
        <v/>
      </c>
      <c r="G76" t="str">
        <f t="shared" si="19"/>
        <v/>
      </c>
      <c r="M76" s="64" t="s">
        <v>1425</v>
      </c>
      <c r="N76" s="15">
        <f t="shared" si="13"/>
        <v>73</v>
      </c>
      <c r="O76" s="28" t="str">
        <f t="shared" si="14"/>
        <v>M-1063</v>
      </c>
      <c r="U76" t="e">
        <f t="shared" si="15"/>
        <v>#N/A</v>
      </c>
      <c r="X76" t="e">
        <f t="shared" si="16"/>
        <v>#N/A</v>
      </c>
      <c r="Y76" t="e">
        <f t="shared" si="17"/>
        <v>#N/A</v>
      </c>
      <c r="AC76" t="s">
        <v>82</v>
      </c>
      <c r="AD76">
        <v>5405</v>
      </c>
    </row>
    <row r="77" spans="1:30" x14ac:dyDescent="0.3">
      <c r="A77" s="64" t="s">
        <v>3219</v>
      </c>
      <c r="B77" s="15">
        <f t="shared" si="20"/>
        <v>74</v>
      </c>
      <c r="C77" t="str">
        <f t="shared" si="21"/>
        <v>T-1064</v>
      </c>
      <c r="F77" s="15" t="str">
        <f t="shared" si="18"/>
        <v/>
      </c>
      <c r="G77" t="str">
        <f t="shared" si="19"/>
        <v/>
      </c>
      <c r="M77" s="64" t="s">
        <v>9273</v>
      </c>
      <c r="N77" s="15">
        <f t="shared" si="13"/>
        <v>74</v>
      </c>
      <c r="O77" s="28" t="str">
        <f t="shared" si="14"/>
        <v>M-1064</v>
      </c>
      <c r="U77" t="e">
        <f t="shared" si="15"/>
        <v>#N/A</v>
      </c>
      <c r="X77" t="e">
        <f t="shared" si="16"/>
        <v>#N/A</v>
      </c>
      <c r="Y77" t="e">
        <f t="shared" si="17"/>
        <v>#N/A</v>
      </c>
      <c r="AC77" t="s">
        <v>83</v>
      </c>
      <c r="AD77">
        <v>5501</v>
      </c>
    </row>
    <row r="78" spans="1:30" x14ac:dyDescent="0.3">
      <c r="A78" s="64" t="s">
        <v>3261</v>
      </c>
      <c r="B78" s="15">
        <f t="shared" si="20"/>
        <v>75</v>
      </c>
      <c r="C78" t="str">
        <f t="shared" si="21"/>
        <v>T-1065</v>
      </c>
      <c r="F78" s="15" t="str">
        <f t="shared" si="18"/>
        <v/>
      </c>
      <c r="G78" t="str">
        <f t="shared" si="19"/>
        <v/>
      </c>
      <c r="M78" s="64" t="s">
        <v>9266</v>
      </c>
      <c r="N78" s="15">
        <f t="shared" si="13"/>
        <v>75</v>
      </c>
      <c r="O78" s="28" t="str">
        <f t="shared" si="14"/>
        <v>M-1065</v>
      </c>
      <c r="U78" t="e">
        <f t="shared" si="15"/>
        <v>#N/A</v>
      </c>
      <c r="X78" t="e">
        <f t="shared" si="16"/>
        <v>#N/A</v>
      </c>
      <c r="Y78" t="e">
        <f t="shared" si="17"/>
        <v>#N/A</v>
      </c>
      <c r="AC78" t="s">
        <v>84</v>
      </c>
      <c r="AD78">
        <v>5502</v>
      </c>
    </row>
    <row r="79" spans="1:30" x14ac:dyDescent="0.3">
      <c r="A79" s="64" t="s">
        <v>4279</v>
      </c>
      <c r="B79" s="15">
        <f t="shared" si="20"/>
        <v>76</v>
      </c>
      <c r="C79" t="str">
        <f t="shared" si="21"/>
        <v>T-1066</v>
      </c>
      <c r="F79" s="15" t="str">
        <f t="shared" si="18"/>
        <v/>
      </c>
      <c r="G79" t="str">
        <f t="shared" si="19"/>
        <v/>
      </c>
      <c r="M79" s="64" t="s">
        <v>1470</v>
      </c>
      <c r="N79" s="15">
        <f t="shared" si="13"/>
        <v>76</v>
      </c>
      <c r="O79" s="28" t="str">
        <f t="shared" si="14"/>
        <v>M-1066</v>
      </c>
      <c r="U79" t="e">
        <f t="shared" si="15"/>
        <v>#N/A</v>
      </c>
      <c r="X79" t="e">
        <f t="shared" si="16"/>
        <v>#N/A</v>
      </c>
      <c r="Y79" t="e">
        <f t="shared" si="17"/>
        <v>#N/A</v>
      </c>
      <c r="AC79" t="s">
        <v>85</v>
      </c>
      <c r="AD79">
        <v>5503</v>
      </c>
    </row>
    <row r="80" spans="1:30" x14ac:dyDescent="0.3">
      <c r="A80" s="64" t="s">
        <v>3633</v>
      </c>
      <c r="B80" s="15">
        <f t="shared" si="20"/>
        <v>77</v>
      </c>
      <c r="C80" t="str">
        <f t="shared" si="21"/>
        <v>T-1067</v>
      </c>
      <c r="F80" s="15" t="str">
        <f t="shared" si="18"/>
        <v/>
      </c>
      <c r="G80" t="str">
        <f t="shared" si="19"/>
        <v/>
      </c>
      <c r="M80" s="64" t="s">
        <v>1482</v>
      </c>
      <c r="N80" s="15">
        <f t="shared" si="13"/>
        <v>77</v>
      </c>
      <c r="O80" s="28" t="str">
        <f t="shared" si="14"/>
        <v>M-1067</v>
      </c>
      <c r="U80" t="e">
        <f t="shared" si="15"/>
        <v>#N/A</v>
      </c>
      <c r="X80" t="e">
        <f t="shared" si="16"/>
        <v>#N/A</v>
      </c>
      <c r="Y80" t="e">
        <f t="shared" si="17"/>
        <v>#N/A</v>
      </c>
      <c r="AC80" t="s">
        <v>86</v>
      </c>
      <c r="AD80">
        <v>5504</v>
      </c>
    </row>
    <row r="81" spans="1:30" x14ac:dyDescent="0.3">
      <c r="A81" s="64" t="s">
        <v>4287</v>
      </c>
      <c r="B81" s="15">
        <f t="shared" si="20"/>
        <v>78</v>
      </c>
      <c r="C81" t="str">
        <f t="shared" si="21"/>
        <v>T-1068</v>
      </c>
      <c r="F81" s="15" t="str">
        <f t="shared" si="18"/>
        <v/>
      </c>
      <c r="G81" t="str">
        <f t="shared" si="19"/>
        <v/>
      </c>
      <c r="M81" s="64" t="s">
        <v>1483</v>
      </c>
      <c r="N81" s="15">
        <f t="shared" si="13"/>
        <v>78</v>
      </c>
      <c r="O81" s="28" t="str">
        <f t="shared" si="14"/>
        <v>M-1068</v>
      </c>
      <c r="U81" t="e">
        <f t="shared" si="15"/>
        <v>#N/A</v>
      </c>
      <c r="X81" t="e">
        <f t="shared" si="16"/>
        <v>#N/A</v>
      </c>
      <c r="Y81" t="e">
        <f t="shared" si="17"/>
        <v>#N/A</v>
      </c>
      <c r="AC81" t="s">
        <v>87</v>
      </c>
      <c r="AD81">
        <v>5506</v>
      </c>
    </row>
    <row r="82" spans="1:30" x14ac:dyDescent="0.3">
      <c r="A82" s="64" t="s">
        <v>3770</v>
      </c>
      <c r="B82" s="15">
        <f t="shared" si="20"/>
        <v>79</v>
      </c>
      <c r="C82" t="str">
        <f t="shared" si="21"/>
        <v>T-1069</v>
      </c>
      <c r="F82" s="15" t="str">
        <f t="shared" si="18"/>
        <v/>
      </c>
      <c r="G82" t="str">
        <f t="shared" si="19"/>
        <v/>
      </c>
      <c r="M82" s="64" t="s">
        <v>9295</v>
      </c>
      <c r="N82" s="15">
        <f t="shared" si="13"/>
        <v>79</v>
      </c>
      <c r="O82" s="28" t="str">
        <f t="shared" si="14"/>
        <v>M-1069</v>
      </c>
      <c r="U82" t="e">
        <f t="shared" si="15"/>
        <v>#N/A</v>
      </c>
      <c r="X82" t="e">
        <f t="shared" si="16"/>
        <v>#N/A</v>
      </c>
      <c r="Y82" t="e">
        <f t="shared" si="17"/>
        <v>#N/A</v>
      </c>
      <c r="AC82" t="s">
        <v>88</v>
      </c>
      <c r="AD82">
        <v>5601</v>
      </c>
    </row>
    <row r="83" spans="1:30" x14ac:dyDescent="0.3">
      <c r="A83" s="64" t="s">
        <v>3781</v>
      </c>
      <c r="B83" s="15">
        <f t="shared" si="20"/>
        <v>80</v>
      </c>
      <c r="C83" t="str">
        <f t="shared" si="21"/>
        <v>T-1070</v>
      </c>
      <c r="F83" s="15" t="str">
        <f t="shared" si="18"/>
        <v/>
      </c>
      <c r="G83" t="str">
        <f t="shared" si="19"/>
        <v/>
      </c>
      <c r="M83" s="64" t="s">
        <v>9296</v>
      </c>
      <c r="N83" s="15">
        <f t="shared" si="13"/>
        <v>80</v>
      </c>
      <c r="O83" s="28" t="str">
        <f t="shared" si="14"/>
        <v>M-1070</v>
      </c>
      <c r="U83" t="e">
        <f t="shared" si="15"/>
        <v>#N/A</v>
      </c>
      <c r="X83" t="e">
        <f t="shared" si="16"/>
        <v>#N/A</v>
      </c>
      <c r="Y83" t="e">
        <f t="shared" si="17"/>
        <v>#N/A</v>
      </c>
      <c r="AC83" t="s">
        <v>89</v>
      </c>
      <c r="AD83">
        <v>5602</v>
      </c>
    </row>
    <row r="84" spans="1:30" x14ac:dyDescent="0.3">
      <c r="A84" s="64" t="s">
        <v>3801</v>
      </c>
      <c r="B84" s="15">
        <f t="shared" si="20"/>
        <v>81</v>
      </c>
      <c r="C84" t="str">
        <f t="shared" si="21"/>
        <v>T-1071</v>
      </c>
      <c r="F84" s="15" t="str">
        <f t="shared" si="18"/>
        <v/>
      </c>
      <c r="G84" t="str">
        <f t="shared" si="19"/>
        <v/>
      </c>
      <c r="M84" s="64" t="s">
        <v>9287</v>
      </c>
      <c r="N84" s="15">
        <f t="shared" ref="N84:N147" si="22">+IF(M84="","",N83+1)</f>
        <v>81</v>
      </c>
      <c r="O84" s="28" t="str">
        <f t="shared" ref="O84:O147" si="23">+IF(M84="","","M-"&amp;$B$1+N84)</f>
        <v>M-1071</v>
      </c>
      <c r="U84" t="e">
        <f t="shared" si="15"/>
        <v>#N/A</v>
      </c>
      <c r="X84" t="e">
        <f t="shared" si="16"/>
        <v>#N/A</v>
      </c>
      <c r="Y84" t="e">
        <f t="shared" si="17"/>
        <v>#N/A</v>
      </c>
      <c r="AC84" t="s">
        <v>90</v>
      </c>
      <c r="AD84">
        <v>5603</v>
      </c>
    </row>
    <row r="85" spans="1:30" x14ac:dyDescent="0.3">
      <c r="A85" s="64" t="s">
        <v>3821</v>
      </c>
      <c r="B85" s="15">
        <f t="shared" si="20"/>
        <v>82</v>
      </c>
      <c r="C85" t="str">
        <f t="shared" si="21"/>
        <v>T-1072</v>
      </c>
      <c r="F85" s="15" t="str">
        <f t="shared" si="18"/>
        <v/>
      </c>
      <c r="G85" t="str">
        <f t="shared" si="19"/>
        <v/>
      </c>
      <c r="M85" s="64" t="s">
        <v>9285</v>
      </c>
      <c r="N85" s="15">
        <f t="shared" si="22"/>
        <v>82</v>
      </c>
      <c r="O85" s="28" t="str">
        <f t="shared" si="23"/>
        <v>M-1072</v>
      </c>
      <c r="U85" t="e">
        <f t="shared" si="15"/>
        <v>#N/A</v>
      </c>
      <c r="X85" t="e">
        <f t="shared" si="16"/>
        <v>#N/A</v>
      </c>
      <c r="Y85" t="e">
        <f t="shared" si="17"/>
        <v>#N/A</v>
      </c>
      <c r="AC85" t="s">
        <v>91</v>
      </c>
      <c r="AD85">
        <v>5604</v>
      </c>
    </row>
    <row r="86" spans="1:30" x14ac:dyDescent="0.3">
      <c r="A86" s="64" t="s">
        <v>4284</v>
      </c>
      <c r="B86" s="15">
        <f t="shared" si="20"/>
        <v>83</v>
      </c>
      <c r="C86" t="str">
        <f t="shared" si="21"/>
        <v>T-1073</v>
      </c>
      <c r="F86" s="15" t="str">
        <f t="shared" si="18"/>
        <v/>
      </c>
      <c r="G86" t="str">
        <f t="shared" si="19"/>
        <v/>
      </c>
      <c r="M86" s="64" t="s">
        <v>1504</v>
      </c>
      <c r="N86" s="15">
        <f t="shared" si="22"/>
        <v>83</v>
      </c>
      <c r="O86" s="28" t="str">
        <f t="shared" si="23"/>
        <v>M-1073</v>
      </c>
      <c r="U86" t="e">
        <f t="shared" si="15"/>
        <v>#N/A</v>
      </c>
      <c r="X86" t="e">
        <f t="shared" si="16"/>
        <v>#N/A</v>
      </c>
      <c r="Y86" t="e">
        <f t="shared" si="17"/>
        <v>#N/A</v>
      </c>
      <c r="AC86" t="s">
        <v>92</v>
      </c>
      <c r="AD86">
        <v>5605</v>
      </c>
    </row>
    <row r="87" spans="1:30" x14ac:dyDescent="0.3">
      <c r="A87" s="64" t="s">
        <v>4285</v>
      </c>
      <c r="B87" s="15">
        <f t="shared" si="20"/>
        <v>84</v>
      </c>
      <c r="C87" t="str">
        <f t="shared" si="21"/>
        <v>T-1074</v>
      </c>
      <c r="F87" s="15" t="str">
        <f t="shared" si="18"/>
        <v/>
      </c>
      <c r="G87" t="str">
        <f t="shared" si="19"/>
        <v/>
      </c>
      <c r="M87" s="64" t="s">
        <v>9265</v>
      </c>
      <c r="N87" s="15">
        <f t="shared" si="22"/>
        <v>84</v>
      </c>
      <c r="O87" s="28" t="str">
        <f t="shared" si="23"/>
        <v>M-1074</v>
      </c>
      <c r="U87" t="e">
        <f t="shared" si="15"/>
        <v>#N/A</v>
      </c>
      <c r="X87" t="e">
        <f t="shared" si="16"/>
        <v>#N/A</v>
      </c>
      <c r="Y87" t="e">
        <f t="shared" si="17"/>
        <v>#N/A</v>
      </c>
      <c r="AC87" t="s">
        <v>93</v>
      </c>
      <c r="AD87">
        <v>5606</v>
      </c>
    </row>
    <row r="88" spans="1:30" x14ac:dyDescent="0.3">
      <c r="A88" s="64" t="s">
        <v>4286</v>
      </c>
      <c r="B88" s="15">
        <f t="shared" si="20"/>
        <v>85</v>
      </c>
      <c r="C88" t="str">
        <f t="shared" si="21"/>
        <v>T-1075</v>
      </c>
      <c r="F88" s="15" t="str">
        <f t="shared" si="18"/>
        <v/>
      </c>
      <c r="G88" t="str">
        <f t="shared" si="19"/>
        <v/>
      </c>
      <c r="M88" s="64" t="s">
        <v>1508</v>
      </c>
      <c r="N88" s="15">
        <f t="shared" si="22"/>
        <v>85</v>
      </c>
      <c r="O88" s="28" t="str">
        <f t="shared" si="23"/>
        <v>M-1075</v>
      </c>
      <c r="U88" t="e">
        <f t="shared" si="15"/>
        <v>#N/A</v>
      </c>
      <c r="X88" t="e">
        <f t="shared" si="16"/>
        <v>#N/A</v>
      </c>
      <c r="Y88" t="e">
        <f t="shared" si="17"/>
        <v>#N/A</v>
      </c>
      <c r="AC88" t="s">
        <v>94</v>
      </c>
      <c r="AD88">
        <v>5701</v>
      </c>
    </row>
    <row r="89" spans="1:30" x14ac:dyDescent="0.3">
      <c r="A89" s="64" t="s">
        <v>3910</v>
      </c>
      <c r="B89" s="15">
        <f t="shared" si="20"/>
        <v>86</v>
      </c>
      <c r="C89" t="str">
        <f t="shared" si="21"/>
        <v>T-1076</v>
      </c>
      <c r="F89" s="15" t="str">
        <f t="shared" si="18"/>
        <v/>
      </c>
      <c r="G89" t="str">
        <f t="shared" si="19"/>
        <v/>
      </c>
      <c r="M89" s="64" t="s">
        <v>9279</v>
      </c>
      <c r="N89" s="15">
        <f t="shared" si="22"/>
        <v>86</v>
      </c>
      <c r="O89" s="28" t="str">
        <f t="shared" si="23"/>
        <v>M-1076</v>
      </c>
      <c r="U89" t="e">
        <f t="shared" si="15"/>
        <v>#N/A</v>
      </c>
      <c r="X89" t="e">
        <f t="shared" si="16"/>
        <v>#N/A</v>
      </c>
      <c r="Y89" t="e">
        <f t="shared" si="17"/>
        <v>#N/A</v>
      </c>
      <c r="AC89" t="s">
        <v>95</v>
      </c>
      <c r="AD89">
        <v>5702</v>
      </c>
    </row>
    <row r="90" spans="1:30" x14ac:dyDescent="0.3">
      <c r="A90" s="64" t="s">
        <v>3983</v>
      </c>
      <c r="B90" s="15">
        <f t="shared" si="20"/>
        <v>87</v>
      </c>
      <c r="C90" t="str">
        <f t="shared" si="21"/>
        <v>T-1077</v>
      </c>
      <c r="F90" s="15" t="str">
        <f t="shared" si="18"/>
        <v/>
      </c>
      <c r="G90" t="str">
        <f t="shared" si="19"/>
        <v/>
      </c>
      <c r="M90" s="64" t="s">
        <v>1523</v>
      </c>
      <c r="N90" s="15">
        <f t="shared" si="22"/>
        <v>87</v>
      </c>
      <c r="O90" s="28" t="str">
        <f t="shared" si="23"/>
        <v>M-1077</v>
      </c>
      <c r="U90" t="e">
        <f t="shared" si="15"/>
        <v>#N/A</v>
      </c>
      <c r="X90" t="e">
        <f t="shared" si="16"/>
        <v>#N/A</v>
      </c>
      <c r="Y90" t="e">
        <f t="shared" si="17"/>
        <v>#N/A</v>
      </c>
      <c r="AC90" t="s">
        <v>96</v>
      </c>
      <c r="AD90">
        <v>5703</v>
      </c>
    </row>
    <row r="91" spans="1:30" x14ac:dyDescent="0.3">
      <c r="A91" s="64" t="s">
        <v>4031</v>
      </c>
      <c r="B91" s="15">
        <f t="shared" si="20"/>
        <v>88</v>
      </c>
      <c r="C91" t="str">
        <f t="shared" si="21"/>
        <v>T-1078</v>
      </c>
      <c r="F91" s="15" t="str">
        <f t="shared" si="18"/>
        <v/>
      </c>
      <c r="G91" t="str">
        <f t="shared" si="19"/>
        <v/>
      </c>
      <c r="M91" s="64" t="s">
        <v>2989</v>
      </c>
      <c r="N91" s="15">
        <f t="shared" si="22"/>
        <v>88</v>
      </c>
      <c r="O91" s="28" t="str">
        <f t="shared" si="23"/>
        <v>M-1078</v>
      </c>
      <c r="U91" t="e">
        <f t="shared" si="15"/>
        <v>#N/A</v>
      </c>
      <c r="X91" t="e">
        <f t="shared" si="16"/>
        <v>#N/A</v>
      </c>
      <c r="Y91" t="e">
        <f t="shared" si="17"/>
        <v>#N/A</v>
      </c>
      <c r="AC91" t="s">
        <v>97</v>
      </c>
      <c r="AD91">
        <v>5704</v>
      </c>
    </row>
    <row r="92" spans="1:30" x14ac:dyDescent="0.3">
      <c r="A92" s="64" t="s">
        <v>4068</v>
      </c>
      <c r="B92" s="15">
        <f t="shared" si="20"/>
        <v>89</v>
      </c>
      <c r="C92" t="str">
        <f t="shared" si="21"/>
        <v>T-1079</v>
      </c>
      <c r="F92" s="15" t="str">
        <f t="shared" si="18"/>
        <v/>
      </c>
      <c r="G92" t="str">
        <f t="shared" si="19"/>
        <v/>
      </c>
      <c r="M92" s="64" t="s">
        <v>1914</v>
      </c>
      <c r="N92" s="15">
        <f t="shared" si="22"/>
        <v>89</v>
      </c>
      <c r="O92" s="28" t="str">
        <f t="shared" si="23"/>
        <v>M-1079</v>
      </c>
      <c r="U92" t="e">
        <f t="shared" si="15"/>
        <v>#N/A</v>
      </c>
      <c r="X92" t="e">
        <f t="shared" si="16"/>
        <v>#N/A</v>
      </c>
      <c r="Y92" t="e">
        <f t="shared" si="17"/>
        <v>#N/A</v>
      </c>
      <c r="AC92" t="s">
        <v>98</v>
      </c>
      <c r="AD92">
        <v>5705</v>
      </c>
    </row>
    <row r="93" spans="1:30" x14ac:dyDescent="0.3">
      <c r="A93" s="64" t="s">
        <v>5163</v>
      </c>
      <c r="B93" s="15">
        <f t="shared" si="20"/>
        <v>90</v>
      </c>
      <c r="C93" t="str">
        <f t="shared" si="21"/>
        <v>T-1080</v>
      </c>
      <c r="F93" s="15" t="str">
        <f t="shared" si="18"/>
        <v/>
      </c>
      <c r="G93" t="str">
        <f t="shared" si="19"/>
        <v/>
      </c>
      <c r="M93" s="64" t="s">
        <v>9280</v>
      </c>
      <c r="N93" s="15">
        <f t="shared" si="22"/>
        <v>90</v>
      </c>
      <c r="O93" s="28" t="str">
        <f t="shared" si="23"/>
        <v>M-1080</v>
      </c>
      <c r="U93" t="e">
        <f t="shared" si="15"/>
        <v>#N/A</v>
      </c>
      <c r="X93" t="e">
        <f t="shared" si="16"/>
        <v>#N/A</v>
      </c>
      <c r="Y93" t="e">
        <f t="shared" si="17"/>
        <v>#N/A</v>
      </c>
      <c r="AC93" t="s">
        <v>99</v>
      </c>
      <c r="AD93">
        <v>5706</v>
      </c>
    </row>
    <row r="94" spans="1:30" x14ac:dyDescent="0.3">
      <c r="A94" s="64" t="s">
        <v>5178</v>
      </c>
      <c r="B94" s="15">
        <f t="shared" si="20"/>
        <v>91</v>
      </c>
      <c r="C94" t="str">
        <f t="shared" si="21"/>
        <v>T-1081</v>
      </c>
      <c r="F94" s="15" t="str">
        <f t="shared" si="18"/>
        <v/>
      </c>
      <c r="G94" t="str">
        <f t="shared" si="19"/>
        <v/>
      </c>
      <c r="M94" s="64" t="s">
        <v>9281</v>
      </c>
      <c r="N94" s="15">
        <f t="shared" si="22"/>
        <v>91</v>
      </c>
      <c r="O94" s="28" t="str">
        <f t="shared" si="23"/>
        <v>M-1081</v>
      </c>
      <c r="U94" t="e">
        <f t="shared" si="15"/>
        <v>#N/A</v>
      </c>
      <c r="X94" t="e">
        <f t="shared" si="16"/>
        <v>#N/A</v>
      </c>
      <c r="Y94" t="e">
        <f t="shared" si="17"/>
        <v>#N/A</v>
      </c>
      <c r="AC94" t="s">
        <v>100</v>
      </c>
      <c r="AD94">
        <v>5801</v>
      </c>
    </row>
    <row r="95" spans="1:30" x14ac:dyDescent="0.3">
      <c r="A95" s="64" t="s">
        <v>5152</v>
      </c>
      <c r="B95" s="15">
        <f t="shared" si="20"/>
        <v>92</v>
      </c>
      <c r="C95" t="str">
        <f t="shared" si="21"/>
        <v>T-1082</v>
      </c>
      <c r="F95" s="15" t="str">
        <f t="shared" si="18"/>
        <v/>
      </c>
      <c r="G95" t="str">
        <f t="shared" si="19"/>
        <v/>
      </c>
      <c r="M95" s="64" t="s">
        <v>2156</v>
      </c>
      <c r="N95" s="15">
        <f t="shared" si="22"/>
        <v>92</v>
      </c>
      <c r="O95" s="28" t="str">
        <f t="shared" si="23"/>
        <v>M-1082</v>
      </c>
      <c r="U95" t="e">
        <f t="shared" si="15"/>
        <v>#N/A</v>
      </c>
      <c r="X95" t="e">
        <f t="shared" si="16"/>
        <v>#N/A</v>
      </c>
      <c r="Y95" t="e">
        <f t="shared" si="17"/>
        <v>#N/A</v>
      </c>
      <c r="AC95" t="s">
        <v>101</v>
      </c>
      <c r="AD95">
        <v>5802</v>
      </c>
    </row>
    <row r="96" spans="1:30" x14ac:dyDescent="0.3">
      <c r="A96" s="64" t="s">
        <v>5153</v>
      </c>
      <c r="B96" s="15">
        <f t="shared" si="20"/>
        <v>93</v>
      </c>
      <c r="C96" t="str">
        <f t="shared" si="21"/>
        <v>T-1083</v>
      </c>
      <c r="F96" s="15" t="str">
        <f t="shared" si="18"/>
        <v/>
      </c>
      <c r="G96" t="str">
        <f t="shared" si="19"/>
        <v/>
      </c>
      <c r="M96" s="64" t="s">
        <v>9268</v>
      </c>
      <c r="N96" s="15">
        <f t="shared" si="22"/>
        <v>93</v>
      </c>
      <c r="O96" s="28" t="str">
        <f t="shared" si="23"/>
        <v>M-1083</v>
      </c>
      <c r="U96" t="e">
        <f t="shared" si="15"/>
        <v>#N/A</v>
      </c>
      <c r="X96" t="e">
        <f t="shared" si="16"/>
        <v>#N/A</v>
      </c>
      <c r="Y96" t="e">
        <f t="shared" si="17"/>
        <v>#N/A</v>
      </c>
      <c r="AC96" t="s">
        <v>102</v>
      </c>
      <c r="AD96">
        <v>5803</v>
      </c>
    </row>
    <row r="97" spans="1:30" x14ac:dyDescent="0.3">
      <c r="A97" s="64" t="s">
        <v>5154</v>
      </c>
      <c r="B97" s="15">
        <f t="shared" si="20"/>
        <v>94</v>
      </c>
      <c r="C97" t="str">
        <f t="shared" si="21"/>
        <v>T-1084</v>
      </c>
      <c r="F97" s="15" t="str">
        <f t="shared" si="18"/>
        <v/>
      </c>
      <c r="G97" t="str">
        <f t="shared" si="19"/>
        <v/>
      </c>
      <c r="M97" s="64" t="s">
        <v>9258</v>
      </c>
      <c r="N97" s="15">
        <f t="shared" si="22"/>
        <v>94</v>
      </c>
      <c r="O97" s="28" t="str">
        <f t="shared" si="23"/>
        <v>M-1084</v>
      </c>
      <c r="U97" t="e">
        <f t="shared" si="15"/>
        <v>#N/A</v>
      </c>
      <c r="X97" t="e">
        <f t="shared" si="16"/>
        <v>#N/A</v>
      </c>
      <c r="Y97" t="e">
        <f t="shared" si="17"/>
        <v>#N/A</v>
      </c>
      <c r="AC97" t="s">
        <v>103</v>
      </c>
      <c r="AD97">
        <v>5804</v>
      </c>
    </row>
    <row r="98" spans="1:30" x14ac:dyDescent="0.3">
      <c r="A98" s="64" t="s">
        <v>5157</v>
      </c>
      <c r="B98" s="15">
        <f t="shared" si="20"/>
        <v>95</v>
      </c>
      <c r="C98" t="str">
        <f t="shared" si="21"/>
        <v>T-1085</v>
      </c>
      <c r="F98" s="15" t="str">
        <f t="shared" si="18"/>
        <v/>
      </c>
      <c r="G98" t="str">
        <f t="shared" si="19"/>
        <v/>
      </c>
      <c r="M98" s="64" t="s">
        <v>9261</v>
      </c>
      <c r="N98" s="15">
        <f t="shared" si="22"/>
        <v>95</v>
      </c>
      <c r="O98" s="28" t="str">
        <f t="shared" si="23"/>
        <v>M-1085</v>
      </c>
      <c r="U98" t="e">
        <f t="shared" si="15"/>
        <v>#N/A</v>
      </c>
      <c r="X98" t="e">
        <f t="shared" si="16"/>
        <v>#N/A</v>
      </c>
      <c r="Y98" t="e">
        <f t="shared" si="17"/>
        <v>#N/A</v>
      </c>
      <c r="AC98" t="s">
        <v>104</v>
      </c>
      <c r="AD98">
        <v>6101</v>
      </c>
    </row>
    <row r="99" spans="1:30" x14ac:dyDescent="0.3">
      <c r="A99" s="64" t="s">
        <v>5155</v>
      </c>
      <c r="B99" s="15">
        <f t="shared" si="20"/>
        <v>96</v>
      </c>
      <c r="C99" t="str">
        <f t="shared" si="21"/>
        <v>T-1086</v>
      </c>
      <c r="F99" s="15" t="str">
        <f t="shared" si="18"/>
        <v/>
      </c>
      <c r="G99" t="str">
        <f t="shared" si="19"/>
        <v/>
      </c>
      <c r="M99" s="64" t="s">
        <v>9256</v>
      </c>
      <c r="N99" s="15">
        <f t="shared" si="22"/>
        <v>96</v>
      </c>
      <c r="O99" s="28" t="str">
        <f t="shared" si="23"/>
        <v>M-1086</v>
      </c>
      <c r="U99" t="e">
        <f t="shared" si="15"/>
        <v>#N/A</v>
      </c>
      <c r="X99" t="e">
        <f t="shared" si="16"/>
        <v>#N/A</v>
      </c>
      <c r="Y99" t="e">
        <f t="shared" si="17"/>
        <v>#N/A</v>
      </c>
      <c r="AC99" t="s">
        <v>105</v>
      </c>
      <c r="AD99">
        <v>6102</v>
      </c>
    </row>
    <row r="100" spans="1:30" x14ac:dyDescent="0.3">
      <c r="A100" s="64" t="s">
        <v>5158</v>
      </c>
      <c r="B100" s="15">
        <f t="shared" si="20"/>
        <v>97</v>
      </c>
      <c r="C100" t="str">
        <f t="shared" si="21"/>
        <v>T-1087</v>
      </c>
      <c r="F100" s="15" t="str">
        <f t="shared" si="18"/>
        <v/>
      </c>
      <c r="G100" t="str">
        <f t="shared" si="19"/>
        <v/>
      </c>
      <c r="M100" s="64" t="s">
        <v>9257</v>
      </c>
      <c r="N100" s="15">
        <f t="shared" si="22"/>
        <v>97</v>
      </c>
      <c r="O100" s="28" t="str">
        <f t="shared" si="23"/>
        <v>M-1087</v>
      </c>
      <c r="U100" t="e">
        <f t="shared" si="15"/>
        <v>#N/A</v>
      </c>
      <c r="X100" t="e">
        <f t="shared" si="16"/>
        <v>#N/A</v>
      </c>
      <c r="Y100" t="e">
        <f t="shared" si="17"/>
        <v>#N/A</v>
      </c>
      <c r="AC100" t="s">
        <v>106</v>
      </c>
      <c r="AD100">
        <v>6103</v>
      </c>
    </row>
    <row r="101" spans="1:30" x14ac:dyDescent="0.3">
      <c r="A101" s="64" t="s">
        <v>9308</v>
      </c>
      <c r="B101" s="15">
        <f t="shared" ref="B101:B116" si="24">+IF(A101="","",B100+1)</f>
        <v>98</v>
      </c>
      <c r="C101" s="64" t="str">
        <f t="shared" ref="C101:C116" si="25">+IF(A101="","","T-"&amp;$B$1+B101)</f>
        <v>T-1088</v>
      </c>
      <c r="M101" s="64" t="s">
        <v>9259</v>
      </c>
      <c r="N101" s="15">
        <f t="shared" si="22"/>
        <v>98</v>
      </c>
      <c r="O101" s="28" t="str">
        <f t="shared" si="23"/>
        <v>M-1088</v>
      </c>
      <c r="U101" t="e">
        <f t="shared" si="15"/>
        <v>#N/A</v>
      </c>
      <c r="X101" t="e">
        <f t="shared" si="16"/>
        <v>#N/A</v>
      </c>
      <c r="Y101" t="e">
        <f t="shared" si="17"/>
        <v>#N/A</v>
      </c>
      <c r="AC101" t="s">
        <v>107</v>
      </c>
      <c r="AD101">
        <v>6104</v>
      </c>
    </row>
    <row r="102" spans="1:30" x14ac:dyDescent="0.3">
      <c r="A102" s="64" t="s">
        <v>3718</v>
      </c>
      <c r="B102" s="15">
        <f t="shared" si="24"/>
        <v>99</v>
      </c>
      <c r="C102" s="64" t="str">
        <f t="shared" si="25"/>
        <v>T-1089</v>
      </c>
      <c r="M102" s="64" t="s">
        <v>9260</v>
      </c>
      <c r="N102" s="15">
        <f t="shared" si="22"/>
        <v>99</v>
      </c>
      <c r="O102" s="28" t="str">
        <f t="shared" si="23"/>
        <v>M-1089</v>
      </c>
      <c r="U102" t="e">
        <f t="shared" si="15"/>
        <v>#N/A</v>
      </c>
      <c r="X102" t="e">
        <f t="shared" si="16"/>
        <v>#N/A</v>
      </c>
      <c r="Y102" t="e">
        <f t="shared" si="17"/>
        <v>#N/A</v>
      </c>
      <c r="AC102" t="s">
        <v>108</v>
      </c>
      <c r="AD102">
        <v>6105</v>
      </c>
    </row>
    <row r="103" spans="1:30" x14ac:dyDescent="0.3">
      <c r="A103" s="64" t="s">
        <v>5165</v>
      </c>
      <c r="B103" s="15">
        <f t="shared" si="24"/>
        <v>100</v>
      </c>
      <c r="C103" s="64" t="str">
        <f t="shared" si="25"/>
        <v>T-1090</v>
      </c>
      <c r="M103" s="64" t="s">
        <v>2251</v>
      </c>
      <c r="N103" s="15">
        <f t="shared" si="22"/>
        <v>100</v>
      </c>
      <c r="O103" s="28" t="str">
        <f t="shared" si="23"/>
        <v>M-1090</v>
      </c>
      <c r="U103" t="e">
        <f t="shared" si="15"/>
        <v>#N/A</v>
      </c>
      <c r="X103" t="e">
        <f t="shared" si="16"/>
        <v>#N/A</v>
      </c>
      <c r="Y103" t="e">
        <f t="shared" si="17"/>
        <v>#N/A</v>
      </c>
      <c r="AC103" t="s">
        <v>109</v>
      </c>
      <c r="AD103">
        <v>6106</v>
      </c>
    </row>
    <row r="104" spans="1:30" x14ac:dyDescent="0.3">
      <c r="A104" s="64" t="s">
        <v>5162</v>
      </c>
      <c r="B104" s="15">
        <f t="shared" si="24"/>
        <v>101</v>
      </c>
      <c r="C104" s="64" t="str">
        <f t="shared" si="25"/>
        <v>T-1091</v>
      </c>
      <c r="M104" s="64" t="s">
        <v>2271</v>
      </c>
      <c r="N104" s="15">
        <f t="shared" si="22"/>
        <v>101</v>
      </c>
      <c r="O104" s="28" t="str">
        <f t="shared" si="23"/>
        <v>M-1091</v>
      </c>
      <c r="U104" t="e">
        <f t="shared" si="15"/>
        <v>#N/A</v>
      </c>
      <c r="X104" t="e">
        <f t="shared" si="16"/>
        <v>#N/A</v>
      </c>
      <c r="Y104" t="e">
        <f t="shared" si="17"/>
        <v>#N/A</v>
      </c>
      <c r="AC104" t="s">
        <v>110</v>
      </c>
      <c r="AD104">
        <v>6107</v>
      </c>
    </row>
    <row r="105" spans="1:30" x14ac:dyDescent="0.3">
      <c r="A105" s="64" t="s">
        <v>6969</v>
      </c>
      <c r="B105" s="15">
        <f t="shared" si="24"/>
        <v>102</v>
      </c>
      <c r="C105" s="64" t="str">
        <f t="shared" si="25"/>
        <v>T-1092</v>
      </c>
      <c r="M105" s="64" t="s">
        <v>9289</v>
      </c>
      <c r="N105" s="15">
        <f t="shared" si="22"/>
        <v>102</v>
      </c>
      <c r="O105" s="28" t="str">
        <f t="shared" si="23"/>
        <v>M-1092</v>
      </c>
      <c r="U105" t="e">
        <f t="shared" si="15"/>
        <v>#N/A</v>
      </c>
      <c r="X105" t="e">
        <f t="shared" si="16"/>
        <v>#N/A</v>
      </c>
      <c r="Y105" t="e">
        <f t="shared" si="17"/>
        <v>#N/A</v>
      </c>
      <c r="AC105" t="s">
        <v>111</v>
      </c>
      <c r="AD105">
        <v>6108</v>
      </c>
    </row>
    <row r="106" spans="1:30" x14ac:dyDescent="0.3">
      <c r="A106" s="64" t="s">
        <v>7009</v>
      </c>
      <c r="B106" s="15">
        <f t="shared" si="24"/>
        <v>103</v>
      </c>
      <c r="C106" s="64" t="str">
        <f t="shared" si="25"/>
        <v>T-1093</v>
      </c>
      <c r="M106" s="64" t="s">
        <v>9282</v>
      </c>
      <c r="N106" s="15">
        <f t="shared" si="22"/>
        <v>103</v>
      </c>
      <c r="O106" s="28" t="str">
        <f t="shared" si="23"/>
        <v>M-1093</v>
      </c>
      <c r="U106" t="e">
        <f t="shared" si="15"/>
        <v>#N/A</v>
      </c>
      <c r="X106" t="e">
        <f t="shared" si="16"/>
        <v>#N/A</v>
      </c>
      <c r="Y106" t="e">
        <f t="shared" si="17"/>
        <v>#N/A</v>
      </c>
      <c r="AC106" t="s">
        <v>112</v>
      </c>
      <c r="AD106">
        <v>6109</v>
      </c>
    </row>
    <row r="107" spans="1:30" x14ac:dyDescent="0.3">
      <c r="A107" s="64" t="s">
        <v>7001</v>
      </c>
      <c r="B107" s="15">
        <f t="shared" si="24"/>
        <v>104</v>
      </c>
      <c r="C107" s="64" t="str">
        <f t="shared" si="25"/>
        <v>T-1094</v>
      </c>
      <c r="M107" s="64" t="s">
        <v>9283</v>
      </c>
      <c r="N107" s="15">
        <f t="shared" si="22"/>
        <v>104</v>
      </c>
      <c r="O107" s="28" t="str">
        <f t="shared" si="23"/>
        <v>M-1094</v>
      </c>
      <c r="U107" t="e">
        <f t="shared" si="15"/>
        <v>#N/A</v>
      </c>
      <c r="X107" t="e">
        <f t="shared" si="16"/>
        <v>#N/A</v>
      </c>
      <c r="Y107" t="e">
        <f t="shared" si="17"/>
        <v>#N/A</v>
      </c>
      <c r="AC107" t="s">
        <v>113</v>
      </c>
      <c r="AD107">
        <v>6110</v>
      </c>
    </row>
    <row r="108" spans="1:30" x14ac:dyDescent="0.3">
      <c r="A108" s="64" t="s">
        <v>7016</v>
      </c>
      <c r="B108" s="15">
        <f t="shared" si="24"/>
        <v>105</v>
      </c>
      <c r="C108" s="64" t="str">
        <f t="shared" si="25"/>
        <v>T-1095</v>
      </c>
      <c r="M108" s="64" t="s">
        <v>2994</v>
      </c>
      <c r="N108" s="15">
        <f t="shared" si="22"/>
        <v>105</v>
      </c>
      <c r="O108" s="28" t="str">
        <f t="shared" si="23"/>
        <v>M-1095</v>
      </c>
      <c r="U108" t="e">
        <f t="shared" si="15"/>
        <v>#N/A</v>
      </c>
      <c r="X108" t="e">
        <f t="shared" si="16"/>
        <v>#N/A</v>
      </c>
      <c r="Y108" t="e">
        <f t="shared" si="17"/>
        <v>#N/A</v>
      </c>
      <c r="AC108" t="s">
        <v>114</v>
      </c>
      <c r="AD108">
        <v>6111</v>
      </c>
    </row>
    <row r="109" spans="1:30" x14ac:dyDescent="0.3">
      <c r="B109" s="15" t="str">
        <f t="shared" si="24"/>
        <v/>
      </c>
      <c r="C109" s="64" t="str">
        <f t="shared" si="25"/>
        <v/>
      </c>
      <c r="M109" s="64" t="s">
        <v>9310</v>
      </c>
      <c r="N109" s="15">
        <f t="shared" si="22"/>
        <v>106</v>
      </c>
      <c r="O109" s="28" t="str">
        <f t="shared" si="23"/>
        <v>M-1096</v>
      </c>
      <c r="U109" t="e">
        <f t="shared" si="15"/>
        <v>#N/A</v>
      </c>
      <c r="X109" t="e">
        <f t="shared" si="16"/>
        <v>#N/A</v>
      </c>
      <c r="Y109" t="e">
        <f t="shared" si="17"/>
        <v>#N/A</v>
      </c>
      <c r="AC109" t="s">
        <v>115</v>
      </c>
      <c r="AD109">
        <v>6112</v>
      </c>
    </row>
    <row r="110" spans="1:30" x14ac:dyDescent="0.3">
      <c r="B110" s="15" t="str">
        <f t="shared" si="24"/>
        <v/>
      </c>
      <c r="C110" s="64" t="str">
        <f t="shared" si="25"/>
        <v/>
      </c>
      <c r="M110" s="64" t="s">
        <v>9313</v>
      </c>
      <c r="N110" s="15">
        <f t="shared" si="22"/>
        <v>107</v>
      </c>
      <c r="O110" s="28" t="str">
        <f t="shared" si="23"/>
        <v>M-1097</v>
      </c>
      <c r="U110" t="e">
        <f t="shared" si="15"/>
        <v>#N/A</v>
      </c>
      <c r="X110" t="e">
        <f t="shared" si="16"/>
        <v>#N/A</v>
      </c>
      <c r="Y110" t="e">
        <f t="shared" si="17"/>
        <v>#N/A</v>
      </c>
      <c r="AC110" t="s">
        <v>116</v>
      </c>
      <c r="AD110">
        <v>6113</v>
      </c>
    </row>
    <row r="111" spans="1:30" x14ac:dyDescent="0.3">
      <c r="B111" s="15" t="str">
        <f t="shared" si="24"/>
        <v/>
      </c>
      <c r="C111" s="64" t="str">
        <f t="shared" si="25"/>
        <v/>
      </c>
      <c r="M111" s="64" t="s">
        <v>3186</v>
      </c>
      <c r="N111" s="15">
        <f t="shared" si="22"/>
        <v>108</v>
      </c>
      <c r="O111" s="28" t="str">
        <f t="shared" si="23"/>
        <v>M-1098</v>
      </c>
      <c r="U111" t="e">
        <f t="shared" si="15"/>
        <v>#N/A</v>
      </c>
      <c r="X111" t="e">
        <f t="shared" si="16"/>
        <v>#N/A</v>
      </c>
      <c r="Y111" t="e">
        <f t="shared" si="17"/>
        <v>#N/A</v>
      </c>
      <c r="AC111" t="s">
        <v>117</v>
      </c>
      <c r="AD111">
        <v>6114</v>
      </c>
    </row>
    <row r="112" spans="1:30" x14ac:dyDescent="0.3">
      <c r="B112" s="15" t="str">
        <f t="shared" si="24"/>
        <v/>
      </c>
      <c r="C112" s="64" t="str">
        <f t="shared" si="25"/>
        <v/>
      </c>
      <c r="M112" s="64" t="s">
        <v>3195</v>
      </c>
      <c r="N112" s="15">
        <f t="shared" si="22"/>
        <v>109</v>
      </c>
      <c r="O112" s="28" t="str">
        <f t="shared" si="23"/>
        <v>M-1099</v>
      </c>
      <c r="U112" t="e">
        <f t="shared" si="15"/>
        <v>#N/A</v>
      </c>
      <c r="X112" t="e">
        <f t="shared" si="16"/>
        <v>#N/A</v>
      </c>
      <c r="Y112" t="e">
        <f t="shared" si="17"/>
        <v>#N/A</v>
      </c>
      <c r="AC112" t="s">
        <v>118</v>
      </c>
      <c r="AD112">
        <v>6115</v>
      </c>
    </row>
    <row r="113" spans="2:30" x14ac:dyDescent="0.3">
      <c r="B113" s="15" t="str">
        <f t="shared" si="24"/>
        <v/>
      </c>
      <c r="C113" s="64" t="str">
        <f t="shared" si="25"/>
        <v/>
      </c>
      <c r="M113" s="64" t="s">
        <v>9302</v>
      </c>
      <c r="N113" s="15">
        <f t="shared" si="22"/>
        <v>110</v>
      </c>
      <c r="O113" s="28" t="str">
        <f t="shared" si="23"/>
        <v>M-1100</v>
      </c>
      <c r="U113" t="e">
        <f t="shared" si="15"/>
        <v>#N/A</v>
      </c>
      <c r="X113" t="e">
        <f t="shared" si="16"/>
        <v>#N/A</v>
      </c>
      <c r="Y113" t="e">
        <f t="shared" si="17"/>
        <v>#N/A</v>
      </c>
      <c r="AC113" t="s">
        <v>119</v>
      </c>
      <c r="AD113">
        <v>6116</v>
      </c>
    </row>
    <row r="114" spans="2:30" x14ac:dyDescent="0.3">
      <c r="B114" s="15" t="str">
        <f t="shared" si="24"/>
        <v/>
      </c>
      <c r="C114" s="64" t="str">
        <f t="shared" si="25"/>
        <v/>
      </c>
      <c r="M114" s="64" t="s">
        <v>9301</v>
      </c>
      <c r="N114" s="15">
        <f t="shared" si="22"/>
        <v>111</v>
      </c>
      <c r="O114" s="28" t="str">
        <f t="shared" si="23"/>
        <v>M-1101</v>
      </c>
      <c r="U114" t="e">
        <f t="shared" si="15"/>
        <v>#N/A</v>
      </c>
      <c r="X114" t="e">
        <f t="shared" si="16"/>
        <v>#N/A</v>
      </c>
      <c r="Y114" t="e">
        <f t="shared" si="17"/>
        <v>#N/A</v>
      </c>
      <c r="AC114" t="s">
        <v>120</v>
      </c>
      <c r="AD114">
        <v>6117</v>
      </c>
    </row>
    <row r="115" spans="2:30" x14ac:dyDescent="0.3">
      <c r="B115" s="15" t="str">
        <f t="shared" si="24"/>
        <v/>
      </c>
      <c r="C115" s="64" t="str">
        <f t="shared" si="25"/>
        <v/>
      </c>
      <c r="M115" s="64" t="s">
        <v>9300</v>
      </c>
      <c r="N115" s="15">
        <f t="shared" si="22"/>
        <v>112</v>
      </c>
      <c r="O115" s="28" t="str">
        <f t="shared" si="23"/>
        <v>M-1102</v>
      </c>
      <c r="U115" t="e">
        <f t="shared" si="15"/>
        <v>#N/A</v>
      </c>
      <c r="X115" t="e">
        <f t="shared" si="16"/>
        <v>#N/A</v>
      </c>
      <c r="Y115" t="e">
        <f t="shared" si="17"/>
        <v>#N/A</v>
      </c>
      <c r="AC115" t="s">
        <v>121</v>
      </c>
      <c r="AD115">
        <v>6201</v>
      </c>
    </row>
    <row r="116" spans="2:30" x14ac:dyDescent="0.3">
      <c r="B116" s="15" t="str">
        <f t="shared" si="24"/>
        <v/>
      </c>
      <c r="C116" s="64" t="str">
        <f t="shared" si="25"/>
        <v/>
      </c>
      <c r="M116" s="64" t="s">
        <v>9304</v>
      </c>
      <c r="N116" s="15">
        <f t="shared" si="22"/>
        <v>113</v>
      </c>
      <c r="O116" s="28" t="str">
        <f t="shared" si="23"/>
        <v>M-1103</v>
      </c>
      <c r="U116" t="e">
        <f t="shared" si="15"/>
        <v>#N/A</v>
      </c>
      <c r="X116" t="e">
        <f t="shared" si="16"/>
        <v>#N/A</v>
      </c>
      <c r="Y116" t="e">
        <f t="shared" si="17"/>
        <v>#N/A</v>
      </c>
      <c r="AC116" t="s">
        <v>122</v>
      </c>
      <c r="AD116">
        <v>6202</v>
      </c>
    </row>
    <row r="117" spans="2:30" x14ac:dyDescent="0.3">
      <c r="M117" s="64" t="s">
        <v>9305</v>
      </c>
      <c r="N117" s="15">
        <f t="shared" si="22"/>
        <v>114</v>
      </c>
      <c r="O117" s="28" t="str">
        <f t="shared" si="23"/>
        <v>M-1104</v>
      </c>
      <c r="U117" t="e">
        <f t="shared" si="15"/>
        <v>#N/A</v>
      </c>
      <c r="X117" t="e">
        <f t="shared" si="16"/>
        <v>#N/A</v>
      </c>
      <c r="Y117" t="e">
        <f t="shared" si="17"/>
        <v>#N/A</v>
      </c>
      <c r="AC117" t="s">
        <v>123</v>
      </c>
      <c r="AD117">
        <v>6203</v>
      </c>
    </row>
    <row r="118" spans="2:30" x14ac:dyDescent="0.3">
      <c r="M118" s="64" t="s">
        <v>9306</v>
      </c>
      <c r="N118" s="15">
        <f t="shared" si="22"/>
        <v>115</v>
      </c>
      <c r="O118" s="28" t="str">
        <f t="shared" si="23"/>
        <v>M-1105</v>
      </c>
      <c r="U118" t="e">
        <f t="shared" si="15"/>
        <v>#N/A</v>
      </c>
      <c r="X118" t="e">
        <f t="shared" si="16"/>
        <v>#N/A</v>
      </c>
      <c r="Y118" t="e">
        <f t="shared" si="17"/>
        <v>#N/A</v>
      </c>
      <c r="AC118" t="s">
        <v>124</v>
      </c>
      <c r="AD118">
        <v>6204</v>
      </c>
    </row>
    <row r="119" spans="2:30" x14ac:dyDescent="0.3">
      <c r="M119" s="64" t="s">
        <v>9262</v>
      </c>
      <c r="N119" s="15">
        <f t="shared" si="22"/>
        <v>116</v>
      </c>
      <c r="O119" s="28" t="str">
        <f t="shared" si="23"/>
        <v>M-1106</v>
      </c>
      <c r="U119" t="e">
        <f t="shared" si="15"/>
        <v>#N/A</v>
      </c>
      <c r="X119" t="e">
        <f t="shared" si="16"/>
        <v>#N/A</v>
      </c>
      <c r="Y119" t="e">
        <f t="shared" si="17"/>
        <v>#N/A</v>
      </c>
      <c r="AC119" t="s">
        <v>125</v>
      </c>
      <c r="AD119">
        <v>6205</v>
      </c>
    </row>
    <row r="120" spans="2:30" x14ac:dyDescent="0.3">
      <c r="M120" s="64" t="s">
        <v>9277</v>
      </c>
      <c r="N120" s="15">
        <f t="shared" si="22"/>
        <v>117</v>
      </c>
      <c r="O120" s="28" t="str">
        <f t="shared" si="23"/>
        <v>M-1107</v>
      </c>
      <c r="U120" t="e">
        <f t="shared" si="15"/>
        <v>#N/A</v>
      </c>
      <c r="X120" t="e">
        <f t="shared" si="16"/>
        <v>#N/A</v>
      </c>
      <c r="Y120" t="e">
        <f t="shared" si="17"/>
        <v>#N/A</v>
      </c>
      <c r="AC120" t="s">
        <v>126</v>
      </c>
      <c r="AD120">
        <v>6206</v>
      </c>
    </row>
    <row r="121" spans="2:30" x14ac:dyDescent="0.3">
      <c r="M121" s="64" t="s">
        <v>6114</v>
      </c>
      <c r="N121" s="15">
        <f t="shared" si="22"/>
        <v>118</v>
      </c>
      <c r="O121" s="28" t="str">
        <f t="shared" si="23"/>
        <v>M-1108</v>
      </c>
      <c r="U121" t="e">
        <f t="shared" si="15"/>
        <v>#N/A</v>
      </c>
      <c r="X121" t="e">
        <f t="shared" si="16"/>
        <v>#N/A</v>
      </c>
      <c r="Y121" t="e">
        <f t="shared" si="17"/>
        <v>#N/A</v>
      </c>
      <c r="AC121" t="s">
        <v>127</v>
      </c>
      <c r="AD121">
        <v>6301</v>
      </c>
    </row>
    <row r="122" spans="2:30" x14ac:dyDescent="0.3">
      <c r="M122" s="64" t="s">
        <v>9275</v>
      </c>
      <c r="N122" s="15">
        <f t="shared" si="22"/>
        <v>119</v>
      </c>
      <c r="O122" s="28" t="str">
        <f t="shared" si="23"/>
        <v>M-1109</v>
      </c>
      <c r="U122" t="e">
        <f t="shared" si="15"/>
        <v>#N/A</v>
      </c>
      <c r="X122" t="e">
        <f t="shared" si="16"/>
        <v>#N/A</v>
      </c>
      <c r="Y122" t="e">
        <f t="shared" si="17"/>
        <v>#N/A</v>
      </c>
      <c r="AC122" t="s">
        <v>128</v>
      </c>
      <c r="AD122">
        <v>6302</v>
      </c>
    </row>
    <row r="123" spans="2:30" x14ac:dyDescent="0.3">
      <c r="M123" s="64" t="s">
        <v>9276</v>
      </c>
      <c r="N123" s="15">
        <f t="shared" si="22"/>
        <v>120</v>
      </c>
      <c r="O123" s="28" t="str">
        <f t="shared" si="23"/>
        <v>M-1110</v>
      </c>
      <c r="U123" t="e">
        <f t="shared" si="15"/>
        <v>#N/A</v>
      </c>
      <c r="X123" t="e">
        <f t="shared" si="16"/>
        <v>#N/A</v>
      </c>
      <c r="Y123" t="e">
        <f t="shared" si="17"/>
        <v>#N/A</v>
      </c>
      <c r="AC123" t="s">
        <v>129</v>
      </c>
      <c r="AD123">
        <v>6303</v>
      </c>
    </row>
    <row r="124" spans="2:30" x14ac:dyDescent="0.3">
      <c r="M124" s="64" t="s">
        <v>3911</v>
      </c>
      <c r="N124" s="15">
        <f t="shared" si="22"/>
        <v>121</v>
      </c>
      <c r="O124" s="28" t="str">
        <f t="shared" si="23"/>
        <v>M-1111</v>
      </c>
      <c r="U124" t="e">
        <f t="shared" si="15"/>
        <v>#N/A</v>
      </c>
      <c r="X124" t="e">
        <f t="shared" si="16"/>
        <v>#N/A</v>
      </c>
      <c r="Y124" t="e">
        <f t="shared" si="17"/>
        <v>#N/A</v>
      </c>
      <c r="AC124" t="s">
        <v>130</v>
      </c>
      <c r="AD124">
        <v>6304</v>
      </c>
    </row>
    <row r="125" spans="2:30" x14ac:dyDescent="0.3">
      <c r="M125" s="64" t="s">
        <v>5162</v>
      </c>
      <c r="N125" s="15">
        <f t="shared" si="22"/>
        <v>122</v>
      </c>
      <c r="O125" s="28" t="str">
        <f t="shared" si="23"/>
        <v>M-1112</v>
      </c>
      <c r="U125" t="e">
        <f t="shared" si="15"/>
        <v>#N/A</v>
      </c>
      <c r="X125" t="e">
        <f t="shared" si="16"/>
        <v>#N/A</v>
      </c>
      <c r="Y125" t="e">
        <f t="shared" si="17"/>
        <v>#N/A</v>
      </c>
      <c r="AC125" t="s">
        <v>131</v>
      </c>
      <c r="AD125">
        <v>6305</v>
      </c>
    </row>
    <row r="126" spans="2:30" x14ac:dyDescent="0.3">
      <c r="M126" s="64" t="s">
        <v>4031</v>
      </c>
      <c r="N126" s="15">
        <f t="shared" si="22"/>
        <v>123</v>
      </c>
      <c r="O126" s="28" t="str">
        <f t="shared" si="23"/>
        <v>M-1113</v>
      </c>
      <c r="U126" t="e">
        <f t="shared" si="15"/>
        <v>#N/A</v>
      </c>
      <c r="X126" t="e">
        <f t="shared" si="16"/>
        <v>#N/A</v>
      </c>
      <c r="Y126" t="e">
        <f t="shared" si="17"/>
        <v>#N/A</v>
      </c>
      <c r="AC126" t="s">
        <v>132</v>
      </c>
      <c r="AD126">
        <v>6306</v>
      </c>
    </row>
    <row r="127" spans="2:30" x14ac:dyDescent="0.3">
      <c r="M127" s="64" t="s">
        <v>4068</v>
      </c>
      <c r="N127" s="15">
        <f t="shared" si="22"/>
        <v>124</v>
      </c>
      <c r="O127" s="28" t="str">
        <f t="shared" si="23"/>
        <v>M-1114</v>
      </c>
      <c r="U127" t="e">
        <f t="shared" si="15"/>
        <v>#N/A</v>
      </c>
      <c r="X127" t="e">
        <f t="shared" si="16"/>
        <v>#N/A</v>
      </c>
      <c r="Y127" t="e">
        <f t="shared" si="17"/>
        <v>#N/A</v>
      </c>
      <c r="AC127" t="s">
        <v>133</v>
      </c>
      <c r="AD127">
        <v>6307</v>
      </c>
    </row>
    <row r="128" spans="2:30" x14ac:dyDescent="0.3">
      <c r="M128" s="64" t="s">
        <v>6970</v>
      </c>
      <c r="N128" s="15">
        <f t="shared" si="22"/>
        <v>125</v>
      </c>
      <c r="O128" s="28" t="str">
        <f t="shared" si="23"/>
        <v>M-1115</v>
      </c>
      <c r="U128" t="e">
        <f t="shared" si="15"/>
        <v>#N/A</v>
      </c>
      <c r="X128" t="e">
        <f t="shared" si="16"/>
        <v>#N/A</v>
      </c>
      <c r="Y128" t="e">
        <f t="shared" si="17"/>
        <v>#N/A</v>
      </c>
      <c r="AC128" t="s">
        <v>134</v>
      </c>
      <c r="AD128">
        <v>6308</v>
      </c>
    </row>
    <row r="129" spans="13:30" x14ac:dyDescent="0.3">
      <c r="M129" s="64" t="s">
        <v>7027</v>
      </c>
      <c r="N129" s="15">
        <f t="shared" si="22"/>
        <v>126</v>
      </c>
      <c r="O129" s="28" t="str">
        <f t="shared" si="23"/>
        <v>M-1116</v>
      </c>
      <c r="U129" t="e">
        <f t="shared" si="15"/>
        <v>#N/A</v>
      </c>
      <c r="X129" t="e">
        <f t="shared" si="16"/>
        <v>#N/A</v>
      </c>
      <c r="Y129" t="e">
        <f t="shared" si="17"/>
        <v>#N/A</v>
      </c>
      <c r="AC129" t="s">
        <v>135</v>
      </c>
      <c r="AD129">
        <v>6309</v>
      </c>
    </row>
    <row r="130" spans="13:30" x14ac:dyDescent="0.3">
      <c r="M130" s="64" t="s">
        <v>7062</v>
      </c>
      <c r="N130" s="15">
        <f t="shared" si="22"/>
        <v>127</v>
      </c>
      <c r="O130" s="28" t="str">
        <f t="shared" si="23"/>
        <v>M-1117</v>
      </c>
      <c r="U130" t="e">
        <f t="shared" si="15"/>
        <v>#N/A</v>
      </c>
      <c r="X130" t="e">
        <f t="shared" si="16"/>
        <v>#N/A</v>
      </c>
      <c r="Y130" t="e">
        <f t="shared" si="17"/>
        <v>#N/A</v>
      </c>
      <c r="AC130" t="s">
        <v>136</v>
      </c>
      <c r="AD130">
        <v>6310</v>
      </c>
    </row>
    <row r="131" spans="13:30" x14ac:dyDescent="0.3">
      <c r="M131"/>
      <c r="N131" s="15" t="str">
        <f t="shared" si="22"/>
        <v/>
      </c>
      <c r="O131" s="28" t="str">
        <f t="shared" si="23"/>
        <v/>
      </c>
      <c r="U131" t="e">
        <f t="shared" si="15"/>
        <v>#N/A</v>
      </c>
      <c r="X131" t="e">
        <f t="shared" si="16"/>
        <v>#N/A</v>
      </c>
      <c r="Y131" t="e">
        <f t="shared" si="17"/>
        <v>#N/A</v>
      </c>
      <c r="AC131" t="s">
        <v>137</v>
      </c>
      <c r="AD131">
        <v>7101</v>
      </c>
    </row>
    <row r="132" spans="13:30" x14ac:dyDescent="0.3">
      <c r="M132"/>
      <c r="N132" s="15" t="str">
        <f t="shared" si="22"/>
        <v/>
      </c>
      <c r="O132" s="28" t="str">
        <f t="shared" si="23"/>
        <v/>
      </c>
      <c r="U132" t="e">
        <f t="shared" si="15"/>
        <v>#N/A</v>
      </c>
      <c r="X132" t="e">
        <f t="shared" si="16"/>
        <v>#N/A</v>
      </c>
      <c r="Y132" t="e">
        <f t="shared" si="17"/>
        <v>#N/A</v>
      </c>
      <c r="AC132" t="s">
        <v>138</v>
      </c>
      <c r="AD132">
        <v>7102</v>
      </c>
    </row>
    <row r="133" spans="13:30" x14ac:dyDescent="0.3">
      <c r="M133"/>
      <c r="N133" s="15" t="str">
        <f t="shared" si="22"/>
        <v/>
      </c>
      <c r="O133" s="28" t="str">
        <f t="shared" si="23"/>
        <v/>
      </c>
      <c r="U133" t="e">
        <f t="shared" ref="U133:U196" si="26">+VLOOKUP(W133,$R$4:$S$6,2,0)*100000+X133</f>
        <v>#N/A</v>
      </c>
      <c r="X133" t="e">
        <f t="shared" ref="X133:X196" si="27">+VLOOKUP(V133,$AC$3:$AD$364,2,0)</f>
        <v>#N/A</v>
      </c>
      <c r="Y133" t="e">
        <f t="shared" ref="Y133:Y196" si="28">+U133</f>
        <v>#N/A</v>
      </c>
      <c r="AC133" t="s">
        <v>139</v>
      </c>
      <c r="AD133">
        <v>7103</v>
      </c>
    </row>
    <row r="134" spans="13:30" x14ac:dyDescent="0.3">
      <c r="M134"/>
      <c r="N134" s="15" t="str">
        <f t="shared" si="22"/>
        <v/>
      </c>
      <c r="O134" s="28" t="str">
        <f t="shared" si="23"/>
        <v/>
      </c>
      <c r="U134" t="e">
        <f t="shared" si="26"/>
        <v>#N/A</v>
      </c>
      <c r="X134" t="e">
        <f t="shared" si="27"/>
        <v>#N/A</v>
      </c>
      <c r="Y134" t="e">
        <f t="shared" si="28"/>
        <v>#N/A</v>
      </c>
      <c r="AC134" t="s">
        <v>140</v>
      </c>
      <c r="AD134">
        <v>7104</v>
      </c>
    </row>
    <row r="135" spans="13:30" x14ac:dyDescent="0.3">
      <c r="M135"/>
      <c r="N135" s="15" t="str">
        <f t="shared" si="22"/>
        <v/>
      </c>
      <c r="O135" s="28" t="str">
        <f t="shared" si="23"/>
        <v/>
      </c>
      <c r="U135" t="e">
        <f t="shared" si="26"/>
        <v>#N/A</v>
      </c>
      <c r="X135" t="e">
        <f t="shared" si="27"/>
        <v>#N/A</v>
      </c>
      <c r="Y135" t="e">
        <f t="shared" si="28"/>
        <v>#N/A</v>
      </c>
      <c r="AC135" t="s">
        <v>28</v>
      </c>
      <c r="AD135">
        <v>7105</v>
      </c>
    </row>
    <row r="136" spans="13:30" x14ac:dyDescent="0.3">
      <c r="M136"/>
      <c r="N136" s="15" t="str">
        <f t="shared" si="22"/>
        <v/>
      </c>
      <c r="O136" s="28" t="str">
        <f t="shared" si="23"/>
        <v/>
      </c>
      <c r="U136" t="e">
        <f t="shared" si="26"/>
        <v>#N/A</v>
      </c>
      <c r="X136" t="e">
        <f t="shared" si="27"/>
        <v>#N/A</v>
      </c>
      <c r="Y136" t="e">
        <f t="shared" si="28"/>
        <v>#N/A</v>
      </c>
      <c r="AC136" t="s">
        <v>141</v>
      </c>
      <c r="AD136">
        <v>7106</v>
      </c>
    </row>
    <row r="137" spans="13:30" x14ac:dyDescent="0.3">
      <c r="M137"/>
      <c r="N137" s="15" t="str">
        <f t="shared" si="22"/>
        <v/>
      </c>
      <c r="O137" s="28" t="str">
        <f t="shared" si="23"/>
        <v/>
      </c>
      <c r="U137" t="e">
        <f t="shared" si="26"/>
        <v>#N/A</v>
      </c>
      <c r="X137" t="e">
        <f t="shared" si="27"/>
        <v>#N/A</v>
      </c>
      <c r="Y137" t="e">
        <f t="shared" si="28"/>
        <v>#N/A</v>
      </c>
      <c r="AC137" t="s">
        <v>142</v>
      </c>
      <c r="AD137">
        <v>7107</v>
      </c>
    </row>
    <row r="138" spans="13:30" x14ac:dyDescent="0.3">
      <c r="M138"/>
      <c r="N138" s="15" t="str">
        <f t="shared" si="22"/>
        <v/>
      </c>
      <c r="O138" s="28" t="str">
        <f t="shared" si="23"/>
        <v/>
      </c>
      <c r="U138" t="e">
        <f t="shared" si="26"/>
        <v>#N/A</v>
      </c>
      <c r="X138" t="e">
        <f t="shared" si="27"/>
        <v>#N/A</v>
      </c>
      <c r="Y138" t="e">
        <f t="shared" si="28"/>
        <v>#N/A</v>
      </c>
      <c r="AC138" t="s">
        <v>143</v>
      </c>
      <c r="AD138">
        <v>7108</v>
      </c>
    </row>
    <row r="139" spans="13:30" x14ac:dyDescent="0.3">
      <c r="M139"/>
      <c r="N139" s="15" t="str">
        <f t="shared" si="22"/>
        <v/>
      </c>
      <c r="O139" s="28" t="str">
        <f t="shared" si="23"/>
        <v/>
      </c>
      <c r="U139" t="e">
        <f t="shared" si="26"/>
        <v>#N/A</v>
      </c>
      <c r="X139" t="e">
        <f t="shared" si="27"/>
        <v>#N/A</v>
      </c>
      <c r="Y139" t="e">
        <f t="shared" si="28"/>
        <v>#N/A</v>
      </c>
      <c r="AC139" t="s">
        <v>144</v>
      </c>
      <c r="AD139">
        <v>7109</v>
      </c>
    </row>
    <row r="140" spans="13:30" x14ac:dyDescent="0.3">
      <c r="M140"/>
      <c r="N140" s="15" t="str">
        <f t="shared" si="22"/>
        <v/>
      </c>
      <c r="O140" s="28" t="str">
        <f t="shared" si="23"/>
        <v/>
      </c>
      <c r="U140" t="e">
        <f t="shared" si="26"/>
        <v>#N/A</v>
      </c>
      <c r="X140" t="e">
        <f t="shared" si="27"/>
        <v>#N/A</v>
      </c>
      <c r="Y140" t="e">
        <f t="shared" si="28"/>
        <v>#N/A</v>
      </c>
      <c r="AC140" t="s">
        <v>145</v>
      </c>
      <c r="AD140">
        <v>7110</v>
      </c>
    </row>
    <row r="141" spans="13:30" x14ac:dyDescent="0.3">
      <c r="M141"/>
      <c r="N141" s="15" t="str">
        <f t="shared" si="22"/>
        <v/>
      </c>
      <c r="O141" s="28" t="str">
        <f t="shared" si="23"/>
        <v/>
      </c>
      <c r="U141" t="e">
        <f t="shared" si="26"/>
        <v>#N/A</v>
      </c>
      <c r="X141" t="e">
        <f t="shared" si="27"/>
        <v>#N/A</v>
      </c>
      <c r="Y141" t="e">
        <f t="shared" si="28"/>
        <v>#N/A</v>
      </c>
      <c r="AC141" t="s">
        <v>146</v>
      </c>
      <c r="AD141">
        <v>7201</v>
      </c>
    </row>
    <row r="142" spans="13:30" x14ac:dyDescent="0.3">
      <c r="M142"/>
      <c r="N142" s="15" t="str">
        <f t="shared" si="22"/>
        <v/>
      </c>
      <c r="O142" s="28" t="str">
        <f t="shared" si="23"/>
        <v/>
      </c>
      <c r="U142" t="e">
        <f t="shared" si="26"/>
        <v>#N/A</v>
      </c>
      <c r="X142" t="e">
        <f t="shared" si="27"/>
        <v>#N/A</v>
      </c>
      <c r="Y142" t="e">
        <f t="shared" si="28"/>
        <v>#N/A</v>
      </c>
      <c r="AC142" t="s">
        <v>147</v>
      </c>
      <c r="AD142">
        <v>7202</v>
      </c>
    </row>
    <row r="143" spans="13:30" x14ac:dyDescent="0.3">
      <c r="M143"/>
      <c r="N143" s="15" t="str">
        <f t="shared" si="22"/>
        <v/>
      </c>
      <c r="O143" s="28" t="str">
        <f t="shared" si="23"/>
        <v/>
      </c>
      <c r="U143" t="e">
        <f t="shared" si="26"/>
        <v>#N/A</v>
      </c>
      <c r="X143" t="e">
        <f t="shared" si="27"/>
        <v>#N/A</v>
      </c>
      <c r="Y143" t="e">
        <f t="shared" si="28"/>
        <v>#N/A</v>
      </c>
      <c r="AC143" t="s">
        <v>148</v>
      </c>
      <c r="AD143">
        <v>7203</v>
      </c>
    </row>
    <row r="144" spans="13:30" x14ac:dyDescent="0.3">
      <c r="M144"/>
      <c r="N144" s="15" t="str">
        <f t="shared" si="22"/>
        <v/>
      </c>
      <c r="O144" s="28" t="str">
        <f t="shared" si="23"/>
        <v/>
      </c>
      <c r="U144" t="e">
        <f t="shared" si="26"/>
        <v>#N/A</v>
      </c>
      <c r="X144" t="e">
        <f t="shared" si="27"/>
        <v>#N/A</v>
      </c>
      <c r="Y144" t="e">
        <f t="shared" si="28"/>
        <v>#N/A</v>
      </c>
      <c r="AC144" t="s">
        <v>149</v>
      </c>
      <c r="AD144">
        <v>7301</v>
      </c>
    </row>
    <row r="145" spans="13:30" x14ac:dyDescent="0.3">
      <c r="M145"/>
      <c r="N145" s="15" t="str">
        <f t="shared" si="22"/>
        <v/>
      </c>
      <c r="O145" s="28" t="str">
        <f t="shared" si="23"/>
        <v/>
      </c>
      <c r="U145" t="e">
        <f t="shared" si="26"/>
        <v>#N/A</v>
      </c>
      <c r="X145" t="e">
        <f t="shared" si="27"/>
        <v>#N/A</v>
      </c>
      <c r="Y145" t="e">
        <f t="shared" si="28"/>
        <v>#N/A</v>
      </c>
      <c r="AC145" t="s">
        <v>150</v>
      </c>
      <c r="AD145">
        <v>7302</v>
      </c>
    </row>
    <row r="146" spans="13:30" x14ac:dyDescent="0.3">
      <c r="M146"/>
      <c r="N146" s="15" t="str">
        <f t="shared" si="22"/>
        <v/>
      </c>
      <c r="O146" s="28" t="str">
        <f t="shared" si="23"/>
        <v/>
      </c>
      <c r="U146" t="e">
        <f t="shared" si="26"/>
        <v>#N/A</v>
      </c>
      <c r="X146" t="e">
        <f t="shared" si="27"/>
        <v>#N/A</v>
      </c>
      <c r="Y146" t="e">
        <f t="shared" si="28"/>
        <v>#N/A</v>
      </c>
      <c r="AC146" t="s">
        <v>151</v>
      </c>
      <c r="AD146">
        <v>7303</v>
      </c>
    </row>
    <row r="147" spans="13:30" x14ac:dyDescent="0.3">
      <c r="M147"/>
      <c r="N147" s="15" t="str">
        <f t="shared" si="22"/>
        <v/>
      </c>
      <c r="O147" s="28" t="str">
        <f t="shared" si="23"/>
        <v/>
      </c>
      <c r="U147" t="e">
        <f t="shared" si="26"/>
        <v>#N/A</v>
      </c>
      <c r="X147" t="e">
        <f t="shared" si="27"/>
        <v>#N/A</v>
      </c>
      <c r="Y147" t="e">
        <f t="shared" si="28"/>
        <v>#N/A</v>
      </c>
      <c r="AC147" t="s">
        <v>152</v>
      </c>
      <c r="AD147">
        <v>7304</v>
      </c>
    </row>
    <row r="148" spans="13:30" x14ac:dyDescent="0.3">
      <c r="M148"/>
      <c r="N148" s="15" t="str">
        <f t="shared" ref="N148:N211" si="29">+IF(M148="","",N147+1)</f>
        <v/>
      </c>
      <c r="O148" s="28" t="str">
        <f t="shared" ref="O148:O211" si="30">+IF(M148="","","M-"&amp;$B$1+N148)</f>
        <v/>
      </c>
      <c r="U148" t="e">
        <f t="shared" si="26"/>
        <v>#N/A</v>
      </c>
      <c r="X148" t="e">
        <f t="shared" si="27"/>
        <v>#N/A</v>
      </c>
      <c r="Y148" t="e">
        <f t="shared" si="28"/>
        <v>#N/A</v>
      </c>
      <c r="AC148" t="s">
        <v>153</v>
      </c>
      <c r="AD148">
        <v>7305</v>
      </c>
    </row>
    <row r="149" spans="13:30" x14ac:dyDescent="0.3">
      <c r="M149"/>
      <c r="N149" s="15" t="str">
        <f t="shared" si="29"/>
        <v/>
      </c>
      <c r="O149" s="28" t="str">
        <f t="shared" si="30"/>
        <v/>
      </c>
      <c r="U149" t="e">
        <f t="shared" si="26"/>
        <v>#N/A</v>
      </c>
      <c r="X149" t="e">
        <f t="shared" si="27"/>
        <v>#N/A</v>
      </c>
      <c r="Y149" t="e">
        <f t="shared" si="28"/>
        <v>#N/A</v>
      </c>
      <c r="AC149" t="s">
        <v>154</v>
      </c>
      <c r="AD149">
        <v>7306</v>
      </c>
    </row>
    <row r="150" spans="13:30" x14ac:dyDescent="0.3">
      <c r="M150"/>
      <c r="N150" s="15" t="str">
        <f t="shared" si="29"/>
        <v/>
      </c>
      <c r="O150" s="28" t="str">
        <f t="shared" si="30"/>
        <v/>
      </c>
      <c r="U150" t="e">
        <f t="shared" si="26"/>
        <v>#N/A</v>
      </c>
      <c r="X150" t="e">
        <f t="shared" si="27"/>
        <v>#N/A</v>
      </c>
      <c r="Y150" t="e">
        <f t="shared" si="28"/>
        <v>#N/A</v>
      </c>
      <c r="AC150" t="s">
        <v>155</v>
      </c>
      <c r="AD150">
        <v>7307</v>
      </c>
    </row>
    <row r="151" spans="13:30" x14ac:dyDescent="0.3">
      <c r="M151"/>
      <c r="N151" s="15" t="str">
        <f t="shared" si="29"/>
        <v/>
      </c>
      <c r="O151" s="28" t="str">
        <f t="shared" si="30"/>
        <v/>
      </c>
      <c r="U151" t="e">
        <f t="shared" si="26"/>
        <v>#N/A</v>
      </c>
      <c r="X151" t="e">
        <f t="shared" si="27"/>
        <v>#N/A</v>
      </c>
      <c r="Y151" t="e">
        <f t="shared" si="28"/>
        <v>#N/A</v>
      </c>
      <c r="AC151" t="s">
        <v>156</v>
      </c>
      <c r="AD151">
        <v>7308</v>
      </c>
    </row>
    <row r="152" spans="13:30" x14ac:dyDescent="0.3">
      <c r="M152"/>
      <c r="N152" s="15" t="str">
        <f t="shared" si="29"/>
        <v/>
      </c>
      <c r="O152" s="28" t="str">
        <f t="shared" si="30"/>
        <v/>
      </c>
      <c r="U152" t="e">
        <f t="shared" si="26"/>
        <v>#N/A</v>
      </c>
      <c r="X152" t="e">
        <f t="shared" si="27"/>
        <v>#N/A</v>
      </c>
      <c r="Y152" t="e">
        <f t="shared" si="28"/>
        <v>#N/A</v>
      </c>
      <c r="AC152" t="s">
        <v>157</v>
      </c>
      <c r="AD152">
        <v>7309</v>
      </c>
    </row>
    <row r="153" spans="13:30" x14ac:dyDescent="0.3">
      <c r="M153"/>
      <c r="N153" s="15" t="str">
        <f t="shared" si="29"/>
        <v/>
      </c>
      <c r="O153" s="28" t="str">
        <f t="shared" si="30"/>
        <v/>
      </c>
      <c r="U153" t="e">
        <f t="shared" si="26"/>
        <v>#N/A</v>
      </c>
      <c r="X153" t="e">
        <f t="shared" si="27"/>
        <v>#N/A</v>
      </c>
      <c r="Y153" t="e">
        <f t="shared" si="28"/>
        <v>#N/A</v>
      </c>
      <c r="AC153" t="s">
        <v>158</v>
      </c>
      <c r="AD153">
        <v>7401</v>
      </c>
    </row>
    <row r="154" spans="13:30" x14ac:dyDescent="0.3">
      <c r="M154"/>
      <c r="N154" s="15" t="str">
        <f t="shared" si="29"/>
        <v/>
      </c>
      <c r="O154" s="28" t="str">
        <f t="shared" si="30"/>
        <v/>
      </c>
      <c r="U154" t="e">
        <f t="shared" si="26"/>
        <v>#N/A</v>
      </c>
      <c r="X154" t="e">
        <f t="shared" si="27"/>
        <v>#N/A</v>
      </c>
      <c r="Y154" t="e">
        <f t="shared" si="28"/>
        <v>#N/A</v>
      </c>
      <c r="AC154" t="s">
        <v>159</v>
      </c>
      <c r="AD154">
        <v>7402</v>
      </c>
    </row>
    <row r="155" spans="13:30" x14ac:dyDescent="0.3">
      <c r="M155"/>
      <c r="N155" s="15" t="str">
        <f t="shared" si="29"/>
        <v/>
      </c>
      <c r="O155" s="28" t="str">
        <f t="shared" si="30"/>
        <v/>
      </c>
      <c r="U155" t="e">
        <f t="shared" si="26"/>
        <v>#N/A</v>
      </c>
      <c r="X155" t="e">
        <f t="shared" si="27"/>
        <v>#N/A</v>
      </c>
      <c r="Y155" t="e">
        <f t="shared" si="28"/>
        <v>#N/A</v>
      </c>
      <c r="AC155" t="s">
        <v>160</v>
      </c>
      <c r="AD155">
        <v>7403</v>
      </c>
    </row>
    <row r="156" spans="13:30" x14ac:dyDescent="0.3">
      <c r="M156"/>
      <c r="N156" s="15" t="str">
        <f t="shared" si="29"/>
        <v/>
      </c>
      <c r="O156" s="28" t="str">
        <f t="shared" si="30"/>
        <v/>
      </c>
      <c r="U156" t="e">
        <f t="shared" si="26"/>
        <v>#N/A</v>
      </c>
      <c r="X156" t="e">
        <f t="shared" si="27"/>
        <v>#N/A</v>
      </c>
      <c r="Y156" t="e">
        <f t="shared" si="28"/>
        <v>#N/A</v>
      </c>
      <c r="AC156" t="s">
        <v>161</v>
      </c>
      <c r="AD156">
        <v>7404</v>
      </c>
    </row>
    <row r="157" spans="13:30" x14ac:dyDescent="0.3">
      <c r="M157"/>
      <c r="N157" s="15" t="str">
        <f t="shared" si="29"/>
        <v/>
      </c>
      <c r="O157" s="28" t="str">
        <f t="shared" si="30"/>
        <v/>
      </c>
      <c r="U157" t="e">
        <f t="shared" si="26"/>
        <v>#N/A</v>
      </c>
      <c r="X157" t="e">
        <f t="shared" si="27"/>
        <v>#N/A</v>
      </c>
      <c r="Y157" t="e">
        <f t="shared" si="28"/>
        <v>#N/A</v>
      </c>
      <c r="AC157" t="s">
        <v>162</v>
      </c>
      <c r="AD157">
        <v>7405</v>
      </c>
    </row>
    <row r="158" spans="13:30" x14ac:dyDescent="0.3">
      <c r="M158"/>
      <c r="N158" s="15" t="str">
        <f t="shared" si="29"/>
        <v/>
      </c>
      <c r="O158" s="28" t="str">
        <f t="shared" si="30"/>
        <v/>
      </c>
      <c r="U158" t="e">
        <f t="shared" si="26"/>
        <v>#N/A</v>
      </c>
      <c r="X158" t="e">
        <f t="shared" si="27"/>
        <v>#N/A</v>
      </c>
      <c r="Y158" t="e">
        <f t="shared" si="28"/>
        <v>#N/A</v>
      </c>
      <c r="AC158" t="s">
        <v>163</v>
      </c>
      <c r="AD158">
        <v>7406</v>
      </c>
    </row>
    <row r="159" spans="13:30" x14ac:dyDescent="0.3">
      <c r="M159"/>
      <c r="N159" s="15" t="str">
        <f t="shared" si="29"/>
        <v/>
      </c>
      <c r="O159" s="28" t="str">
        <f t="shared" si="30"/>
        <v/>
      </c>
      <c r="U159" t="e">
        <f t="shared" si="26"/>
        <v>#N/A</v>
      </c>
      <c r="X159" t="e">
        <f t="shared" si="27"/>
        <v>#N/A</v>
      </c>
      <c r="Y159" t="e">
        <f t="shared" si="28"/>
        <v>#N/A</v>
      </c>
      <c r="AC159" t="s">
        <v>164</v>
      </c>
      <c r="AD159">
        <v>7407</v>
      </c>
    </row>
    <row r="160" spans="13:30" x14ac:dyDescent="0.3">
      <c r="M160"/>
      <c r="N160" s="15" t="str">
        <f t="shared" si="29"/>
        <v/>
      </c>
      <c r="O160" s="28" t="str">
        <f t="shared" si="30"/>
        <v/>
      </c>
      <c r="U160" t="e">
        <f t="shared" si="26"/>
        <v>#N/A</v>
      </c>
      <c r="X160" t="e">
        <f t="shared" si="27"/>
        <v>#N/A</v>
      </c>
      <c r="Y160" t="e">
        <f t="shared" si="28"/>
        <v>#N/A</v>
      </c>
      <c r="AC160" t="s">
        <v>165</v>
      </c>
      <c r="AD160">
        <v>7408</v>
      </c>
    </row>
    <row r="161" spans="13:30" x14ac:dyDescent="0.3">
      <c r="M161"/>
      <c r="N161" s="15" t="str">
        <f t="shared" si="29"/>
        <v/>
      </c>
      <c r="O161" s="28" t="str">
        <f t="shared" si="30"/>
        <v/>
      </c>
      <c r="U161" t="e">
        <f t="shared" si="26"/>
        <v>#N/A</v>
      </c>
      <c r="X161" t="e">
        <f t="shared" si="27"/>
        <v>#N/A</v>
      </c>
      <c r="Y161" t="e">
        <f t="shared" si="28"/>
        <v>#N/A</v>
      </c>
      <c r="AC161" t="s">
        <v>166</v>
      </c>
      <c r="AD161">
        <v>8101</v>
      </c>
    </row>
    <row r="162" spans="13:30" x14ac:dyDescent="0.3">
      <c r="M162"/>
      <c r="N162" s="15" t="str">
        <f t="shared" si="29"/>
        <v/>
      </c>
      <c r="O162" s="28" t="str">
        <f t="shared" si="30"/>
        <v/>
      </c>
      <c r="U162" t="e">
        <f t="shared" si="26"/>
        <v>#N/A</v>
      </c>
      <c r="X162" t="e">
        <f t="shared" si="27"/>
        <v>#N/A</v>
      </c>
      <c r="Y162" t="e">
        <f t="shared" si="28"/>
        <v>#N/A</v>
      </c>
      <c r="AC162" t="s">
        <v>167</v>
      </c>
      <c r="AD162">
        <v>8102</v>
      </c>
    </row>
    <row r="163" spans="13:30" x14ac:dyDescent="0.3">
      <c r="M163"/>
      <c r="N163" s="15" t="str">
        <f t="shared" si="29"/>
        <v/>
      </c>
      <c r="O163" s="28" t="str">
        <f t="shared" si="30"/>
        <v/>
      </c>
      <c r="U163" t="e">
        <f t="shared" si="26"/>
        <v>#N/A</v>
      </c>
      <c r="X163" t="e">
        <f t="shared" si="27"/>
        <v>#N/A</v>
      </c>
      <c r="Y163" t="e">
        <f t="shared" si="28"/>
        <v>#N/A</v>
      </c>
      <c r="AC163" t="s">
        <v>168</v>
      </c>
      <c r="AD163">
        <v>8103</v>
      </c>
    </row>
    <row r="164" spans="13:30" x14ac:dyDescent="0.3">
      <c r="M164"/>
      <c r="N164" s="15" t="str">
        <f t="shared" si="29"/>
        <v/>
      </c>
      <c r="O164" s="28" t="str">
        <f t="shared" si="30"/>
        <v/>
      </c>
      <c r="U164" t="e">
        <f t="shared" si="26"/>
        <v>#N/A</v>
      </c>
      <c r="X164" t="e">
        <f t="shared" si="27"/>
        <v>#N/A</v>
      </c>
      <c r="Y164" t="e">
        <f t="shared" si="28"/>
        <v>#N/A</v>
      </c>
      <c r="AC164" t="s">
        <v>169</v>
      </c>
      <c r="AD164">
        <v>8104</v>
      </c>
    </row>
    <row r="165" spans="13:30" x14ac:dyDescent="0.3">
      <c r="M165"/>
      <c r="N165" s="15" t="str">
        <f t="shared" si="29"/>
        <v/>
      </c>
      <c r="O165" s="28" t="str">
        <f t="shared" si="30"/>
        <v/>
      </c>
      <c r="U165" t="e">
        <f t="shared" si="26"/>
        <v>#N/A</v>
      </c>
      <c r="X165" t="e">
        <f t="shared" si="27"/>
        <v>#N/A</v>
      </c>
      <c r="Y165" t="e">
        <f t="shared" si="28"/>
        <v>#N/A</v>
      </c>
      <c r="AC165" t="s">
        <v>170</v>
      </c>
      <c r="AD165">
        <v>8105</v>
      </c>
    </row>
    <row r="166" spans="13:30" x14ac:dyDescent="0.3">
      <c r="M166"/>
      <c r="N166" s="15" t="str">
        <f t="shared" si="29"/>
        <v/>
      </c>
      <c r="O166" s="28" t="str">
        <f t="shared" si="30"/>
        <v/>
      </c>
      <c r="U166" t="e">
        <f t="shared" si="26"/>
        <v>#N/A</v>
      </c>
      <c r="X166" t="e">
        <f t="shared" si="27"/>
        <v>#N/A</v>
      </c>
      <c r="Y166" t="e">
        <f t="shared" si="28"/>
        <v>#N/A</v>
      </c>
      <c r="AC166" t="s">
        <v>171</v>
      </c>
      <c r="AD166">
        <v>8106</v>
      </c>
    </row>
    <row r="167" spans="13:30" x14ac:dyDescent="0.3">
      <c r="M167"/>
      <c r="N167" s="15" t="str">
        <f t="shared" si="29"/>
        <v/>
      </c>
      <c r="O167" s="28" t="str">
        <f t="shared" si="30"/>
        <v/>
      </c>
      <c r="U167" t="e">
        <f t="shared" si="26"/>
        <v>#N/A</v>
      </c>
      <c r="X167" t="e">
        <f t="shared" si="27"/>
        <v>#N/A</v>
      </c>
      <c r="Y167" t="e">
        <f t="shared" si="28"/>
        <v>#N/A</v>
      </c>
      <c r="AC167" t="s">
        <v>172</v>
      </c>
      <c r="AD167">
        <v>8107</v>
      </c>
    </row>
    <row r="168" spans="13:30" x14ac:dyDescent="0.3">
      <c r="M168"/>
      <c r="N168" s="15" t="str">
        <f t="shared" si="29"/>
        <v/>
      </c>
      <c r="O168" s="28" t="str">
        <f t="shared" si="30"/>
        <v/>
      </c>
      <c r="U168" t="e">
        <f t="shared" si="26"/>
        <v>#N/A</v>
      </c>
      <c r="X168" t="e">
        <f t="shared" si="27"/>
        <v>#N/A</v>
      </c>
      <c r="Y168" t="e">
        <f t="shared" si="28"/>
        <v>#N/A</v>
      </c>
      <c r="AC168" t="s">
        <v>173</v>
      </c>
      <c r="AD168">
        <v>8108</v>
      </c>
    </row>
    <row r="169" spans="13:30" x14ac:dyDescent="0.3">
      <c r="M169"/>
      <c r="N169" s="15" t="str">
        <f t="shared" si="29"/>
        <v/>
      </c>
      <c r="O169" s="28" t="str">
        <f t="shared" si="30"/>
        <v/>
      </c>
      <c r="U169" t="e">
        <f t="shared" si="26"/>
        <v>#N/A</v>
      </c>
      <c r="X169" t="e">
        <f t="shared" si="27"/>
        <v>#N/A</v>
      </c>
      <c r="Y169" t="e">
        <f t="shared" si="28"/>
        <v>#N/A</v>
      </c>
      <c r="AC169" t="s">
        <v>174</v>
      </c>
      <c r="AD169">
        <v>8109</v>
      </c>
    </row>
    <row r="170" spans="13:30" x14ac:dyDescent="0.3">
      <c r="M170"/>
      <c r="N170" s="15" t="str">
        <f t="shared" si="29"/>
        <v/>
      </c>
      <c r="O170" s="28" t="str">
        <f t="shared" si="30"/>
        <v/>
      </c>
      <c r="U170" t="e">
        <f t="shared" si="26"/>
        <v>#N/A</v>
      </c>
      <c r="X170" t="e">
        <f t="shared" si="27"/>
        <v>#N/A</v>
      </c>
      <c r="Y170" t="e">
        <f t="shared" si="28"/>
        <v>#N/A</v>
      </c>
      <c r="AC170" t="s">
        <v>175</v>
      </c>
      <c r="AD170">
        <v>8110</v>
      </c>
    </row>
    <row r="171" spans="13:30" x14ac:dyDescent="0.3">
      <c r="M171"/>
      <c r="N171" s="15" t="str">
        <f t="shared" si="29"/>
        <v/>
      </c>
      <c r="O171" s="28" t="str">
        <f t="shared" si="30"/>
        <v/>
      </c>
      <c r="U171" t="e">
        <f t="shared" si="26"/>
        <v>#N/A</v>
      </c>
      <c r="X171" t="e">
        <f t="shared" si="27"/>
        <v>#N/A</v>
      </c>
      <c r="Y171" t="e">
        <f t="shared" si="28"/>
        <v>#N/A</v>
      </c>
      <c r="AC171" t="s">
        <v>176</v>
      </c>
      <c r="AD171">
        <v>8111</v>
      </c>
    </row>
    <row r="172" spans="13:30" x14ac:dyDescent="0.3">
      <c r="M172"/>
      <c r="N172" s="15" t="str">
        <f t="shared" si="29"/>
        <v/>
      </c>
      <c r="O172" s="28" t="str">
        <f t="shared" si="30"/>
        <v/>
      </c>
      <c r="U172" t="e">
        <f t="shared" si="26"/>
        <v>#N/A</v>
      </c>
      <c r="X172" t="e">
        <f t="shared" si="27"/>
        <v>#N/A</v>
      </c>
      <c r="Y172" t="e">
        <f t="shared" si="28"/>
        <v>#N/A</v>
      </c>
      <c r="AC172" t="s">
        <v>177</v>
      </c>
      <c r="AD172">
        <v>8112</v>
      </c>
    </row>
    <row r="173" spans="13:30" x14ac:dyDescent="0.3">
      <c r="M173"/>
      <c r="N173" s="15" t="str">
        <f t="shared" si="29"/>
        <v/>
      </c>
      <c r="O173" s="28" t="str">
        <f t="shared" si="30"/>
        <v/>
      </c>
      <c r="U173" t="e">
        <f t="shared" si="26"/>
        <v>#N/A</v>
      </c>
      <c r="X173" t="e">
        <f t="shared" si="27"/>
        <v>#N/A</v>
      </c>
      <c r="Y173" t="e">
        <f t="shared" si="28"/>
        <v>#N/A</v>
      </c>
      <c r="AC173" t="s">
        <v>178</v>
      </c>
      <c r="AD173">
        <v>8201</v>
      </c>
    </row>
    <row r="174" spans="13:30" x14ac:dyDescent="0.3">
      <c r="M174"/>
      <c r="N174" s="15" t="str">
        <f t="shared" si="29"/>
        <v/>
      </c>
      <c r="O174" s="28" t="str">
        <f t="shared" si="30"/>
        <v/>
      </c>
      <c r="U174" t="e">
        <f t="shared" si="26"/>
        <v>#N/A</v>
      </c>
      <c r="X174" t="e">
        <f t="shared" si="27"/>
        <v>#N/A</v>
      </c>
      <c r="Y174" t="e">
        <f t="shared" si="28"/>
        <v>#N/A</v>
      </c>
      <c r="AC174" t="s">
        <v>179</v>
      </c>
      <c r="AD174">
        <v>8202</v>
      </c>
    </row>
    <row r="175" spans="13:30" x14ac:dyDescent="0.3">
      <c r="M175"/>
      <c r="N175" s="15" t="str">
        <f t="shared" si="29"/>
        <v/>
      </c>
      <c r="O175" s="28" t="str">
        <f t="shared" si="30"/>
        <v/>
      </c>
      <c r="U175" t="e">
        <f t="shared" si="26"/>
        <v>#N/A</v>
      </c>
      <c r="X175" t="e">
        <f t="shared" si="27"/>
        <v>#N/A</v>
      </c>
      <c r="Y175" t="e">
        <f t="shared" si="28"/>
        <v>#N/A</v>
      </c>
      <c r="AC175" t="s">
        <v>180</v>
      </c>
      <c r="AD175">
        <v>8203</v>
      </c>
    </row>
    <row r="176" spans="13:30" x14ac:dyDescent="0.3">
      <c r="M176"/>
      <c r="N176" s="15" t="str">
        <f t="shared" si="29"/>
        <v/>
      </c>
      <c r="O176" s="28" t="str">
        <f t="shared" si="30"/>
        <v/>
      </c>
      <c r="U176" t="e">
        <f t="shared" si="26"/>
        <v>#N/A</v>
      </c>
      <c r="X176" t="e">
        <f t="shared" si="27"/>
        <v>#N/A</v>
      </c>
      <c r="Y176" t="e">
        <f t="shared" si="28"/>
        <v>#N/A</v>
      </c>
      <c r="AC176" t="s">
        <v>181</v>
      </c>
      <c r="AD176">
        <v>8204</v>
      </c>
    </row>
    <row r="177" spans="13:30" x14ac:dyDescent="0.3">
      <c r="M177"/>
      <c r="N177" s="15" t="str">
        <f t="shared" si="29"/>
        <v/>
      </c>
      <c r="O177" s="28" t="str">
        <f t="shared" si="30"/>
        <v/>
      </c>
      <c r="U177" t="e">
        <f t="shared" si="26"/>
        <v>#N/A</v>
      </c>
      <c r="X177" t="e">
        <f t="shared" si="27"/>
        <v>#N/A</v>
      </c>
      <c r="Y177" t="e">
        <f t="shared" si="28"/>
        <v>#N/A</v>
      </c>
      <c r="AC177" t="s">
        <v>182</v>
      </c>
      <c r="AD177">
        <v>8205</v>
      </c>
    </row>
    <row r="178" spans="13:30" x14ac:dyDescent="0.3">
      <c r="M178"/>
      <c r="N178" s="15" t="str">
        <f t="shared" si="29"/>
        <v/>
      </c>
      <c r="O178" s="28" t="str">
        <f t="shared" si="30"/>
        <v/>
      </c>
      <c r="U178" t="e">
        <f t="shared" si="26"/>
        <v>#N/A</v>
      </c>
      <c r="X178" t="e">
        <f t="shared" si="27"/>
        <v>#N/A</v>
      </c>
      <c r="Y178" t="e">
        <f t="shared" si="28"/>
        <v>#N/A</v>
      </c>
      <c r="AC178" t="s">
        <v>183</v>
      </c>
      <c r="AD178">
        <v>8206</v>
      </c>
    </row>
    <row r="179" spans="13:30" x14ac:dyDescent="0.3">
      <c r="M179"/>
      <c r="N179" s="15" t="str">
        <f t="shared" si="29"/>
        <v/>
      </c>
      <c r="O179" s="28" t="str">
        <f t="shared" si="30"/>
        <v/>
      </c>
      <c r="U179" t="e">
        <f t="shared" si="26"/>
        <v>#N/A</v>
      </c>
      <c r="X179" t="e">
        <f t="shared" si="27"/>
        <v>#N/A</v>
      </c>
      <c r="Y179" t="e">
        <f t="shared" si="28"/>
        <v>#N/A</v>
      </c>
      <c r="AC179" t="s">
        <v>184</v>
      </c>
      <c r="AD179">
        <v>8207</v>
      </c>
    </row>
    <row r="180" spans="13:30" x14ac:dyDescent="0.3">
      <c r="N180" s="15" t="str">
        <f t="shared" si="29"/>
        <v/>
      </c>
      <c r="O180" s="28" t="str">
        <f t="shared" si="30"/>
        <v/>
      </c>
      <c r="U180" t="e">
        <f t="shared" si="26"/>
        <v>#N/A</v>
      </c>
      <c r="X180" t="e">
        <f t="shared" si="27"/>
        <v>#N/A</v>
      </c>
      <c r="Y180" t="e">
        <f t="shared" si="28"/>
        <v>#N/A</v>
      </c>
      <c r="AC180" t="s">
        <v>185</v>
      </c>
      <c r="AD180">
        <v>8301</v>
      </c>
    </row>
    <row r="181" spans="13:30" x14ac:dyDescent="0.3">
      <c r="N181" s="15" t="str">
        <f t="shared" si="29"/>
        <v/>
      </c>
      <c r="O181" s="28" t="str">
        <f t="shared" si="30"/>
        <v/>
      </c>
      <c r="U181" t="e">
        <f t="shared" si="26"/>
        <v>#N/A</v>
      </c>
      <c r="X181" t="e">
        <f t="shared" si="27"/>
        <v>#N/A</v>
      </c>
      <c r="Y181" t="e">
        <f t="shared" si="28"/>
        <v>#N/A</v>
      </c>
      <c r="AC181" t="s">
        <v>186</v>
      </c>
      <c r="AD181">
        <v>8302</v>
      </c>
    </row>
    <row r="182" spans="13:30" x14ac:dyDescent="0.3">
      <c r="N182" s="15" t="str">
        <f t="shared" si="29"/>
        <v/>
      </c>
      <c r="O182" s="28" t="str">
        <f t="shared" si="30"/>
        <v/>
      </c>
      <c r="U182" t="e">
        <f t="shared" si="26"/>
        <v>#N/A</v>
      </c>
      <c r="X182" t="e">
        <f t="shared" si="27"/>
        <v>#N/A</v>
      </c>
      <c r="Y182" t="e">
        <f t="shared" si="28"/>
        <v>#N/A</v>
      </c>
      <c r="AC182" t="s">
        <v>187</v>
      </c>
      <c r="AD182">
        <v>8303</v>
      </c>
    </row>
    <row r="183" spans="13:30" x14ac:dyDescent="0.3">
      <c r="N183" s="15" t="str">
        <f t="shared" si="29"/>
        <v/>
      </c>
      <c r="O183" s="28" t="str">
        <f t="shared" si="30"/>
        <v/>
      </c>
      <c r="U183" t="e">
        <f t="shared" si="26"/>
        <v>#N/A</v>
      </c>
      <c r="X183" t="e">
        <f t="shared" si="27"/>
        <v>#N/A</v>
      </c>
      <c r="Y183" t="e">
        <f t="shared" si="28"/>
        <v>#N/A</v>
      </c>
      <c r="AC183" t="s">
        <v>188</v>
      </c>
      <c r="AD183">
        <v>8304</v>
      </c>
    </row>
    <row r="184" spans="13:30" x14ac:dyDescent="0.3">
      <c r="N184" s="15" t="str">
        <f t="shared" si="29"/>
        <v/>
      </c>
      <c r="O184" s="28" t="str">
        <f t="shared" si="30"/>
        <v/>
      </c>
      <c r="U184" t="e">
        <f t="shared" si="26"/>
        <v>#N/A</v>
      </c>
      <c r="X184" t="e">
        <f t="shared" si="27"/>
        <v>#N/A</v>
      </c>
      <c r="Y184" t="e">
        <f t="shared" si="28"/>
        <v>#N/A</v>
      </c>
      <c r="AC184" t="s">
        <v>189</v>
      </c>
      <c r="AD184">
        <v>8305</v>
      </c>
    </row>
    <row r="185" spans="13:30" x14ac:dyDescent="0.3">
      <c r="N185" s="15" t="str">
        <f t="shared" si="29"/>
        <v/>
      </c>
      <c r="O185" s="28" t="str">
        <f t="shared" si="30"/>
        <v/>
      </c>
      <c r="U185" t="e">
        <f t="shared" si="26"/>
        <v>#N/A</v>
      </c>
      <c r="X185" t="e">
        <f t="shared" si="27"/>
        <v>#N/A</v>
      </c>
      <c r="Y185" t="e">
        <f t="shared" si="28"/>
        <v>#N/A</v>
      </c>
      <c r="AC185" t="s">
        <v>190</v>
      </c>
      <c r="AD185">
        <v>8306</v>
      </c>
    </row>
    <row r="186" spans="13:30" x14ac:dyDescent="0.3">
      <c r="N186" s="15" t="str">
        <f t="shared" si="29"/>
        <v/>
      </c>
      <c r="O186" s="28" t="str">
        <f t="shared" si="30"/>
        <v/>
      </c>
      <c r="U186" t="e">
        <f t="shared" si="26"/>
        <v>#N/A</v>
      </c>
      <c r="X186" t="e">
        <f t="shared" si="27"/>
        <v>#N/A</v>
      </c>
      <c r="Y186" t="e">
        <f t="shared" si="28"/>
        <v>#N/A</v>
      </c>
      <c r="AC186" t="s">
        <v>191</v>
      </c>
      <c r="AD186">
        <v>8307</v>
      </c>
    </row>
    <row r="187" spans="13:30" x14ac:dyDescent="0.3">
      <c r="N187" s="15" t="str">
        <f t="shared" si="29"/>
        <v/>
      </c>
      <c r="O187" s="28" t="str">
        <f t="shared" si="30"/>
        <v/>
      </c>
      <c r="U187" t="e">
        <f t="shared" si="26"/>
        <v>#N/A</v>
      </c>
      <c r="X187" t="e">
        <f t="shared" si="27"/>
        <v>#N/A</v>
      </c>
      <c r="Y187" t="e">
        <f t="shared" si="28"/>
        <v>#N/A</v>
      </c>
      <c r="AC187" t="s">
        <v>192</v>
      </c>
      <c r="AD187">
        <v>8308</v>
      </c>
    </row>
    <row r="188" spans="13:30" x14ac:dyDescent="0.3">
      <c r="N188" s="15" t="str">
        <f t="shared" si="29"/>
        <v/>
      </c>
      <c r="O188" s="28" t="str">
        <f t="shared" si="30"/>
        <v/>
      </c>
      <c r="U188" t="e">
        <f t="shared" si="26"/>
        <v>#N/A</v>
      </c>
      <c r="X188" t="e">
        <f t="shared" si="27"/>
        <v>#N/A</v>
      </c>
      <c r="Y188" t="e">
        <f t="shared" si="28"/>
        <v>#N/A</v>
      </c>
      <c r="AC188" t="s">
        <v>193</v>
      </c>
      <c r="AD188">
        <v>8309</v>
      </c>
    </row>
    <row r="189" spans="13:30" x14ac:dyDescent="0.3">
      <c r="N189" s="15" t="str">
        <f t="shared" si="29"/>
        <v/>
      </c>
      <c r="O189" s="28" t="str">
        <f t="shared" si="30"/>
        <v/>
      </c>
      <c r="U189" t="e">
        <f t="shared" si="26"/>
        <v>#N/A</v>
      </c>
      <c r="X189" t="e">
        <f t="shared" si="27"/>
        <v>#N/A</v>
      </c>
      <c r="Y189" t="e">
        <f t="shared" si="28"/>
        <v>#N/A</v>
      </c>
      <c r="AC189" t="s">
        <v>194</v>
      </c>
      <c r="AD189">
        <v>8310</v>
      </c>
    </row>
    <row r="190" spans="13:30" x14ac:dyDescent="0.3">
      <c r="N190" s="15" t="str">
        <f t="shared" si="29"/>
        <v/>
      </c>
      <c r="O190" s="28" t="str">
        <f t="shared" si="30"/>
        <v/>
      </c>
      <c r="U190" t="e">
        <f t="shared" si="26"/>
        <v>#N/A</v>
      </c>
      <c r="X190" t="e">
        <f t="shared" si="27"/>
        <v>#N/A</v>
      </c>
      <c r="Y190" t="e">
        <f t="shared" si="28"/>
        <v>#N/A</v>
      </c>
      <c r="AC190" t="s">
        <v>195</v>
      </c>
      <c r="AD190">
        <v>8311</v>
      </c>
    </row>
    <row r="191" spans="13:30" x14ac:dyDescent="0.3">
      <c r="N191" s="15" t="str">
        <f t="shared" si="29"/>
        <v/>
      </c>
      <c r="O191" s="28" t="str">
        <f t="shared" si="30"/>
        <v/>
      </c>
      <c r="U191" t="e">
        <f t="shared" si="26"/>
        <v>#N/A</v>
      </c>
      <c r="X191" t="e">
        <f t="shared" si="27"/>
        <v>#N/A</v>
      </c>
      <c r="Y191" t="e">
        <f t="shared" si="28"/>
        <v>#N/A</v>
      </c>
      <c r="AC191" t="s">
        <v>196</v>
      </c>
      <c r="AD191">
        <v>8312</v>
      </c>
    </row>
    <row r="192" spans="13:30" x14ac:dyDescent="0.3">
      <c r="N192" s="15" t="str">
        <f t="shared" si="29"/>
        <v/>
      </c>
      <c r="O192" s="28" t="str">
        <f t="shared" si="30"/>
        <v/>
      </c>
      <c r="U192" t="e">
        <f t="shared" si="26"/>
        <v>#N/A</v>
      </c>
      <c r="X192" t="e">
        <f t="shared" si="27"/>
        <v>#N/A</v>
      </c>
      <c r="Y192" t="e">
        <f t="shared" si="28"/>
        <v>#N/A</v>
      </c>
      <c r="AC192" t="s">
        <v>197</v>
      </c>
      <c r="AD192">
        <v>8313</v>
      </c>
    </row>
    <row r="193" spans="14:30" x14ac:dyDescent="0.3">
      <c r="N193" s="15" t="str">
        <f t="shared" si="29"/>
        <v/>
      </c>
      <c r="O193" s="28" t="str">
        <f t="shared" si="30"/>
        <v/>
      </c>
      <c r="U193" t="e">
        <f t="shared" si="26"/>
        <v>#N/A</v>
      </c>
      <c r="X193" t="e">
        <f t="shared" si="27"/>
        <v>#N/A</v>
      </c>
      <c r="Y193" t="e">
        <f t="shared" si="28"/>
        <v>#N/A</v>
      </c>
      <c r="AC193" t="s">
        <v>198</v>
      </c>
      <c r="AD193">
        <v>8314</v>
      </c>
    </row>
    <row r="194" spans="14:30" x14ac:dyDescent="0.3">
      <c r="N194" s="15" t="str">
        <f t="shared" si="29"/>
        <v/>
      </c>
      <c r="O194" s="28" t="str">
        <f t="shared" si="30"/>
        <v/>
      </c>
      <c r="U194" t="e">
        <f t="shared" si="26"/>
        <v>#N/A</v>
      </c>
      <c r="X194" t="e">
        <f t="shared" si="27"/>
        <v>#N/A</v>
      </c>
      <c r="Y194" t="e">
        <f t="shared" si="28"/>
        <v>#N/A</v>
      </c>
      <c r="AC194" t="s">
        <v>199</v>
      </c>
      <c r="AD194">
        <v>16101</v>
      </c>
    </row>
    <row r="195" spans="14:30" x14ac:dyDescent="0.3">
      <c r="N195" s="15" t="str">
        <f t="shared" si="29"/>
        <v/>
      </c>
      <c r="O195" s="28" t="str">
        <f t="shared" si="30"/>
        <v/>
      </c>
      <c r="U195" t="e">
        <f t="shared" si="26"/>
        <v>#N/A</v>
      </c>
      <c r="X195" t="e">
        <f t="shared" si="27"/>
        <v>#N/A</v>
      </c>
      <c r="Y195" t="e">
        <f t="shared" si="28"/>
        <v>#N/A</v>
      </c>
      <c r="AC195" t="s">
        <v>200</v>
      </c>
      <c r="AD195">
        <v>16102</v>
      </c>
    </row>
    <row r="196" spans="14:30" x14ac:dyDescent="0.3">
      <c r="N196" s="15" t="str">
        <f t="shared" si="29"/>
        <v/>
      </c>
      <c r="O196" s="28" t="str">
        <f t="shared" si="30"/>
        <v/>
      </c>
      <c r="U196" t="e">
        <f t="shared" si="26"/>
        <v>#N/A</v>
      </c>
      <c r="X196" t="e">
        <f t="shared" si="27"/>
        <v>#N/A</v>
      </c>
      <c r="Y196" t="e">
        <f t="shared" si="28"/>
        <v>#N/A</v>
      </c>
      <c r="AC196" t="s">
        <v>201</v>
      </c>
      <c r="AD196">
        <v>16202</v>
      </c>
    </row>
    <row r="197" spans="14:30" x14ac:dyDescent="0.3">
      <c r="N197" s="15" t="str">
        <f t="shared" si="29"/>
        <v/>
      </c>
      <c r="O197" s="28" t="str">
        <f t="shared" si="30"/>
        <v/>
      </c>
      <c r="U197" t="e">
        <f t="shared" ref="U197:U260" si="31">+VLOOKUP(W197,$R$4:$S$6,2,0)*100000+X197</f>
        <v>#N/A</v>
      </c>
      <c r="X197" t="e">
        <f t="shared" ref="X197:X260" si="32">+VLOOKUP(V197,$AC$3:$AD$364,2,0)</f>
        <v>#N/A</v>
      </c>
      <c r="Y197" t="e">
        <f t="shared" ref="Y197:Y260" si="33">+U197</f>
        <v>#N/A</v>
      </c>
      <c r="AC197" t="s">
        <v>202</v>
      </c>
      <c r="AD197">
        <v>16203</v>
      </c>
    </row>
    <row r="198" spans="14:30" x14ac:dyDescent="0.3">
      <c r="N198" s="15" t="str">
        <f t="shared" si="29"/>
        <v/>
      </c>
      <c r="O198" s="28" t="str">
        <f t="shared" si="30"/>
        <v/>
      </c>
      <c r="U198" t="e">
        <f t="shared" si="31"/>
        <v>#N/A</v>
      </c>
      <c r="X198" t="e">
        <f t="shared" si="32"/>
        <v>#N/A</v>
      </c>
      <c r="Y198" t="e">
        <f t="shared" si="33"/>
        <v>#N/A</v>
      </c>
      <c r="AC198" t="s">
        <v>203</v>
      </c>
      <c r="AD198">
        <v>16302</v>
      </c>
    </row>
    <row r="199" spans="14:30" x14ac:dyDescent="0.3">
      <c r="N199" s="15" t="str">
        <f t="shared" si="29"/>
        <v/>
      </c>
      <c r="O199" s="28" t="str">
        <f t="shared" si="30"/>
        <v/>
      </c>
      <c r="U199" t="e">
        <f t="shared" si="31"/>
        <v>#N/A</v>
      </c>
      <c r="X199" t="e">
        <f t="shared" si="32"/>
        <v>#N/A</v>
      </c>
      <c r="Y199" t="e">
        <f t="shared" si="33"/>
        <v>#N/A</v>
      </c>
      <c r="AC199" t="s">
        <v>204</v>
      </c>
      <c r="AD199">
        <v>16103</v>
      </c>
    </row>
    <row r="200" spans="14:30" x14ac:dyDescent="0.3">
      <c r="N200" s="15" t="str">
        <f t="shared" si="29"/>
        <v/>
      </c>
      <c r="O200" s="28" t="str">
        <f t="shared" si="30"/>
        <v/>
      </c>
      <c r="U200" t="e">
        <f t="shared" si="31"/>
        <v>#N/A</v>
      </c>
      <c r="X200" t="e">
        <f t="shared" si="32"/>
        <v>#N/A</v>
      </c>
      <c r="Y200" t="e">
        <f t="shared" si="33"/>
        <v>#N/A</v>
      </c>
      <c r="AC200" t="s">
        <v>205</v>
      </c>
      <c r="AD200">
        <v>16104</v>
      </c>
    </row>
    <row r="201" spans="14:30" x14ac:dyDescent="0.3">
      <c r="N201" s="15" t="str">
        <f t="shared" si="29"/>
        <v/>
      </c>
      <c r="O201" s="28" t="str">
        <f t="shared" si="30"/>
        <v/>
      </c>
      <c r="U201" t="e">
        <f t="shared" si="31"/>
        <v>#N/A</v>
      </c>
      <c r="X201" t="e">
        <f t="shared" si="32"/>
        <v>#N/A</v>
      </c>
      <c r="Y201" t="e">
        <f t="shared" si="33"/>
        <v>#N/A</v>
      </c>
      <c r="AC201" t="s">
        <v>206</v>
      </c>
      <c r="AD201">
        <v>16204</v>
      </c>
    </row>
    <row r="202" spans="14:30" x14ac:dyDescent="0.3">
      <c r="N202" s="15" t="str">
        <f t="shared" si="29"/>
        <v/>
      </c>
      <c r="O202" s="28" t="str">
        <f t="shared" si="30"/>
        <v/>
      </c>
      <c r="U202" t="e">
        <f t="shared" si="31"/>
        <v>#N/A</v>
      </c>
      <c r="X202" t="e">
        <f t="shared" si="32"/>
        <v>#N/A</v>
      </c>
      <c r="Y202" t="e">
        <f t="shared" si="33"/>
        <v>#N/A</v>
      </c>
      <c r="AC202" t="s">
        <v>207</v>
      </c>
      <c r="AD202">
        <v>16303</v>
      </c>
    </row>
    <row r="203" spans="14:30" x14ac:dyDescent="0.3">
      <c r="N203" s="15" t="str">
        <f t="shared" si="29"/>
        <v/>
      </c>
      <c r="O203" s="28" t="str">
        <f t="shared" si="30"/>
        <v/>
      </c>
      <c r="U203" t="e">
        <f t="shared" si="31"/>
        <v>#N/A</v>
      </c>
      <c r="X203" t="e">
        <f t="shared" si="32"/>
        <v>#N/A</v>
      </c>
      <c r="Y203" t="e">
        <f t="shared" si="33"/>
        <v>#N/A</v>
      </c>
      <c r="AC203" t="s">
        <v>208</v>
      </c>
      <c r="AD203">
        <v>16105</v>
      </c>
    </row>
    <row r="204" spans="14:30" x14ac:dyDescent="0.3">
      <c r="N204" s="15" t="str">
        <f t="shared" si="29"/>
        <v/>
      </c>
      <c r="O204" s="28" t="str">
        <f t="shared" si="30"/>
        <v/>
      </c>
      <c r="U204" t="e">
        <f t="shared" si="31"/>
        <v>#N/A</v>
      </c>
      <c r="X204" t="e">
        <f t="shared" si="32"/>
        <v>#N/A</v>
      </c>
      <c r="Y204" t="e">
        <f t="shared" si="33"/>
        <v>#N/A</v>
      </c>
      <c r="AC204" t="s">
        <v>209</v>
      </c>
      <c r="AD204">
        <v>16106</v>
      </c>
    </row>
    <row r="205" spans="14:30" x14ac:dyDescent="0.3">
      <c r="N205" s="15" t="str">
        <f t="shared" si="29"/>
        <v/>
      </c>
      <c r="O205" s="28" t="str">
        <f t="shared" si="30"/>
        <v/>
      </c>
      <c r="U205" t="e">
        <f t="shared" si="31"/>
        <v>#N/A</v>
      </c>
      <c r="X205" t="e">
        <f t="shared" si="32"/>
        <v>#N/A</v>
      </c>
      <c r="Y205" t="e">
        <f t="shared" si="33"/>
        <v>#N/A</v>
      </c>
      <c r="AC205" t="s">
        <v>210</v>
      </c>
      <c r="AD205">
        <v>16205</v>
      </c>
    </row>
    <row r="206" spans="14:30" x14ac:dyDescent="0.3">
      <c r="N206" s="15" t="str">
        <f t="shared" si="29"/>
        <v/>
      </c>
      <c r="O206" s="28" t="str">
        <f t="shared" si="30"/>
        <v/>
      </c>
      <c r="U206" t="e">
        <f t="shared" si="31"/>
        <v>#N/A</v>
      </c>
      <c r="X206" t="e">
        <f t="shared" si="32"/>
        <v>#N/A</v>
      </c>
      <c r="Y206" t="e">
        <f t="shared" si="33"/>
        <v>#N/A</v>
      </c>
      <c r="AC206" t="s">
        <v>211</v>
      </c>
      <c r="AD206">
        <v>16107</v>
      </c>
    </row>
    <row r="207" spans="14:30" x14ac:dyDescent="0.3">
      <c r="N207" s="15" t="str">
        <f t="shared" si="29"/>
        <v/>
      </c>
      <c r="O207" s="28" t="str">
        <f t="shared" si="30"/>
        <v/>
      </c>
      <c r="U207" t="e">
        <f t="shared" si="31"/>
        <v>#N/A</v>
      </c>
      <c r="X207" t="e">
        <f t="shared" si="32"/>
        <v>#N/A</v>
      </c>
      <c r="Y207" t="e">
        <f t="shared" si="33"/>
        <v>#N/A</v>
      </c>
      <c r="AC207" t="s">
        <v>212</v>
      </c>
      <c r="AD207">
        <v>16201</v>
      </c>
    </row>
    <row r="208" spans="14:30" x14ac:dyDescent="0.3">
      <c r="N208" s="15" t="str">
        <f t="shared" si="29"/>
        <v/>
      </c>
      <c r="O208" s="28" t="str">
        <f t="shared" si="30"/>
        <v/>
      </c>
      <c r="U208" t="e">
        <f t="shared" si="31"/>
        <v>#N/A</v>
      </c>
      <c r="X208" t="e">
        <f t="shared" si="32"/>
        <v>#N/A</v>
      </c>
      <c r="Y208" t="e">
        <f t="shared" si="33"/>
        <v>#N/A</v>
      </c>
      <c r="AC208" t="s">
        <v>213</v>
      </c>
      <c r="AD208">
        <v>16206</v>
      </c>
    </row>
    <row r="209" spans="14:30" x14ac:dyDescent="0.3">
      <c r="N209" s="15" t="str">
        <f t="shared" si="29"/>
        <v/>
      </c>
      <c r="O209" s="28" t="str">
        <f t="shared" si="30"/>
        <v/>
      </c>
      <c r="U209" t="e">
        <f t="shared" si="31"/>
        <v>#N/A</v>
      </c>
      <c r="X209" t="e">
        <f t="shared" si="32"/>
        <v>#N/A</v>
      </c>
      <c r="Y209" t="e">
        <f t="shared" si="33"/>
        <v>#N/A</v>
      </c>
      <c r="AC209" t="s">
        <v>214</v>
      </c>
      <c r="AD209">
        <v>16301</v>
      </c>
    </row>
    <row r="210" spans="14:30" x14ac:dyDescent="0.3">
      <c r="N210" s="15" t="str">
        <f t="shared" si="29"/>
        <v/>
      </c>
      <c r="O210" s="28" t="str">
        <f t="shared" si="30"/>
        <v/>
      </c>
      <c r="U210" t="e">
        <f t="shared" si="31"/>
        <v>#N/A</v>
      </c>
      <c r="X210" t="e">
        <f t="shared" si="32"/>
        <v>#N/A</v>
      </c>
      <c r="Y210" t="e">
        <f t="shared" si="33"/>
        <v>#N/A</v>
      </c>
      <c r="AC210" t="s">
        <v>215</v>
      </c>
      <c r="AD210">
        <v>16304</v>
      </c>
    </row>
    <row r="211" spans="14:30" x14ac:dyDescent="0.3">
      <c r="N211" s="15" t="str">
        <f t="shared" si="29"/>
        <v/>
      </c>
      <c r="O211" s="28" t="str">
        <f t="shared" si="30"/>
        <v/>
      </c>
      <c r="U211" t="e">
        <f t="shared" si="31"/>
        <v>#N/A</v>
      </c>
      <c r="X211" t="e">
        <f t="shared" si="32"/>
        <v>#N/A</v>
      </c>
      <c r="Y211" t="e">
        <f t="shared" si="33"/>
        <v>#N/A</v>
      </c>
      <c r="AC211" t="s">
        <v>216</v>
      </c>
      <c r="AD211">
        <v>16108</v>
      </c>
    </row>
    <row r="212" spans="14:30" x14ac:dyDescent="0.3">
      <c r="N212" s="15" t="str">
        <f t="shared" ref="N212:N267" si="34">+IF(M212="","",N211+1)</f>
        <v/>
      </c>
      <c r="O212" s="28" t="str">
        <f t="shared" ref="O212:O267" si="35">+IF(M212="","","M-"&amp;$B$1+N212)</f>
        <v/>
      </c>
      <c r="U212" t="e">
        <f t="shared" si="31"/>
        <v>#N/A</v>
      </c>
      <c r="X212" t="e">
        <f t="shared" si="32"/>
        <v>#N/A</v>
      </c>
      <c r="Y212" t="e">
        <f t="shared" si="33"/>
        <v>#N/A</v>
      </c>
      <c r="AC212" t="s">
        <v>217</v>
      </c>
      <c r="AD212">
        <v>16305</v>
      </c>
    </row>
    <row r="213" spans="14:30" x14ac:dyDescent="0.3">
      <c r="N213" s="15" t="str">
        <f t="shared" si="34"/>
        <v/>
      </c>
      <c r="O213" s="28" t="str">
        <f t="shared" si="35"/>
        <v/>
      </c>
      <c r="U213" t="e">
        <f t="shared" si="31"/>
        <v>#N/A</v>
      </c>
      <c r="X213" t="e">
        <f t="shared" si="32"/>
        <v>#N/A</v>
      </c>
      <c r="Y213" t="e">
        <f t="shared" si="33"/>
        <v>#N/A</v>
      </c>
      <c r="AC213" t="s">
        <v>218</v>
      </c>
      <c r="AD213">
        <v>16207</v>
      </c>
    </row>
    <row r="214" spans="14:30" x14ac:dyDescent="0.3">
      <c r="N214" s="15" t="str">
        <f t="shared" si="34"/>
        <v/>
      </c>
      <c r="O214" s="28" t="str">
        <f t="shared" si="35"/>
        <v/>
      </c>
      <c r="U214" t="e">
        <f t="shared" si="31"/>
        <v>#N/A</v>
      </c>
      <c r="X214" t="e">
        <f t="shared" si="32"/>
        <v>#N/A</v>
      </c>
      <c r="Y214" t="e">
        <f t="shared" si="33"/>
        <v>#N/A</v>
      </c>
      <c r="AC214" t="s">
        <v>219</v>
      </c>
      <c r="AD214">
        <v>16109</v>
      </c>
    </row>
    <row r="215" spans="14:30" x14ac:dyDescent="0.3">
      <c r="N215" s="15" t="str">
        <f t="shared" si="34"/>
        <v/>
      </c>
      <c r="O215" s="28" t="str">
        <f t="shared" si="35"/>
        <v/>
      </c>
      <c r="U215" t="e">
        <f t="shared" si="31"/>
        <v>#N/A</v>
      </c>
      <c r="X215" t="e">
        <f t="shared" si="32"/>
        <v>#N/A</v>
      </c>
      <c r="Y215" t="e">
        <f t="shared" si="33"/>
        <v>#N/A</v>
      </c>
      <c r="AC215" t="s">
        <v>220</v>
      </c>
      <c r="AD215">
        <v>9101</v>
      </c>
    </row>
    <row r="216" spans="14:30" x14ac:dyDescent="0.3">
      <c r="N216" s="15" t="str">
        <f t="shared" si="34"/>
        <v/>
      </c>
      <c r="O216" s="28" t="str">
        <f t="shared" si="35"/>
        <v/>
      </c>
      <c r="U216" t="e">
        <f t="shared" si="31"/>
        <v>#N/A</v>
      </c>
      <c r="X216" t="e">
        <f t="shared" si="32"/>
        <v>#N/A</v>
      </c>
      <c r="Y216" t="e">
        <f t="shared" si="33"/>
        <v>#N/A</v>
      </c>
      <c r="AC216" t="s">
        <v>221</v>
      </c>
      <c r="AD216">
        <v>9102</v>
      </c>
    </row>
    <row r="217" spans="14:30" x14ac:dyDescent="0.3">
      <c r="N217" s="15" t="str">
        <f t="shared" si="34"/>
        <v/>
      </c>
      <c r="O217" s="28" t="str">
        <f t="shared" si="35"/>
        <v/>
      </c>
      <c r="U217" t="e">
        <f t="shared" si="31"/>
        <v>#N/A</v>
      </c>
      <c r="X217" t="e">
        <f t="shared" si="32"/>
        <v>#N/A</v>
      </c>
      <c r="Y217" t="e">
        <f t="shared" si="33"/>
        <v>#N/A</v>
      </c>
      <c r="AC217" t="s">
        <v>222</v>
      </c>
      <c r="AD217">
        <v>9103</v>
      </c>
    </row>
    <row r="218" spans="14:30" x14ac:dyDescent="0.3">
      <c r="N218" s="15" t="str">
        <f t="shared" si="34"/>
        <v/>
      </c>
      <c r="O218" s="28" t="str">
        <f t="shared" si="35"/>
        <v/>
      </c>
      <c r="U218" t="e">
        <f t="shared" si="31"/>
        <v>#N/A</v>
      </c>
      <c r="X218" t="e">
        <f t="shared" si="32"/>
        <v>#N/A</v>
      </c>
      <c r="Y218" t="e">
        <f t="shared" si="33"/>
        <v>#N/A</v>
      </c>
      <c r="AC218" t="s">
        <v>223</v>
      </c>
      <c r="AD218">
        <v>9104</v>
      </c>
    </row>
    <row r="219" spans="14:30" x14ac:dyDescent="0.3">
      <c r="N219" s="15" t="str">
        <f t="shared" si="34"/>
        <v/>
      </c>
      <c r="O219" s="28" t="str">
        <f t="shared" si="35"/>
        <v/>
      </c>
      <c r="U219" t="e">
        <f t="shared" si="31"/>
        <v>#N/A</v>
      </c>
      <c r="X219" t="e">
        <f t="shared" si="32"/>
        <v>#N/A</v>
      </c>
      <c r="Y219" t="e">
        <f t="shared" si="33"/>
        <v>#N/A</v>
      </c>
      <c r="AC219" t="s">
        <v>224</v>
      </c>
      <c r="AD219">
        <v>9105</v>
      </c>
    </row>
    <row r="220" spans="14:30" x14ac:dyDescent="0.3">
      <c r="N220" s="15" t="str">
        <f t="shared" si="34"/>
        <v/>
      </c>
      <c r="O220" s="28" t="str">
        <f t="shared" si="35"/>
        <v/>
      </c>
      <c r="U220" t="e">
        <f t="shared" si="31"/>
        <v>#N/A</v>
      </c>
      <c r="X220" t="e">
        <f t="shared" si="32"/>
        <v>#N/A</v>
      </c>
      <c r="Y220" t="e">
        <f t="shared" si="33"/>
        <v>#N/A</v>
      </c>
      <c r="AC220" t="s">
        <v>225</v>
      </c>
      <c r="AD220">
        <v>9106</v>
      </c>
    </row>
    <row r="221" spans="14:30" x14ac:dyDescent="0.3">
      <c r="N221" s="15" t="str">
        <f t="shared" si="34"/>
        <v/>
      </c>
      <c r="O221" s="28" t="str">
        <f t="shared" si="35"/>
        <v/>
      </c>
      <c r="U221" t="e">
        <f t="shared" si="31"/>
        <v>#N/A</v>
      </c>
      <c r="X221" t="e">
        <f t="shared" si="32"/>
        <v>#N/A</v>
      </c>
      <c r="Y221" t="e">
        <f t="shared" si="33"/>
        <v>#N/A</v>
      </c>
      <c r="AC221" t="s">
        <v>226</v>
      </c>
      <c r="AD221">
        <v>9107</v>
      </c>
    </row>
    <row r="222" spans="14:30" x14ac:dyDescent="0.3">
      <c r="N222" s="15" t="str">
        <f t="shared" si="34"/>
        <v/>
      </c>
      <c r="O222" s="28" t="str">
        <f t="shared" si="35"/>
        <v/>
      </c>
      <c r="U222" t="e">
        <f t="shared" si="31"/>
        <v>#N/A</v>
      </c>
      <c r="X222" t="e">
        <f t="shared" si="32"/>
        <v>#N/A</v>
      </c>
      <c r="Y222" t="e">
        <f t="shared" si="33"/>
        <v>#N/A</v>
      </c>
      <c r="AC222" t="s">
        <v>227</v>
      </c>
      <c r="AD222">
        <v>9108</v>
      </c>
    </row>
    <row r="223" spans="14:30" x14ac:dyDescent="0.3">
      <c r="N223" s="15" t="str">
        <f t="shared" si="34"/>
        <v/>
      </c>
      <c r="O223" s="28" t="str">
        <f t="shared" si="35"/>
        <v/>
      </c>
      <c r="U223" t="e">
        <f t="shared" si="31"/>
        <v>#N/A</v>
      </c>
      <c r="X223" t="e">
        <f t="shared" si="32"/>
        <v>#N/A</v>
      </c>
      <c r="Y223" t="e">
        <f t="shared" si="33"/>
        <v>#N/A</v>
      </c>
      <c r="AC223" t="s">
        <v>228</v>
      </c>
      <c r="AD223">
        <v>9109</v>
      </c>
    </row>
    <row r="224" spans="14:30" x14ac:dyDescent="0.3">
      <c r="N224" s="15" t="str">
        <f t="shared" si="34"/>
        <v/>
      </c>
      <c r="O224" s="28" t="str">
        <f t="shared" si="35"/>
        <v/>
      </c>
      <c r="U224" t="e">
        <f t="shared" si="31"/>
        <v>#N/A</v>
      </c>
      <c r="X224" t="e">
        <f t="shared" si="32"/>
        <v>#N/A</v>
      </c>
      <c r="Y224" t="e">
        <f t="shared" si="33"/>
        <v>#N/A</v>
      </c>
      <c r="AC224" t="s">
        <v>229</v>
      </c>
      <c r="AD224">
        <v>9110</v>
      </c>
    </row>
    <row r="225" spans="14:30" x14ac:dyDescent="0.3">
      <c r="N225" s="15" t="str">
        <f t="shared" si="34"/>
        <v/>
      </c>
      <c r="O225" s="28" t="str">
        <f t="shared" si="35"/>
        <v/>
      </c>
      <c r="U225" t="e">
        <f t="shared" si="31"/>
        <v>#N/A</v>
      </c>
      <c r="X225" t="e">
        <f t="shared" si="32"/>
        <v>#N/A</v>
      </c>
      <c r="Y225" t="e">
        <f t="shared" si="33"/>
        <v>#N/A</v>
      </c>
      <c r="AC225" t="s">
        <v>230</v>
      </c>
      <c r="AD225">
        <v>9111</v>
      </c>
    </row>
    <row r="226" spans="14:30" x14ac:dyDescent="0.3">
      <c r="N226" s="15" t="str">
        <f t="shared" si="34"/>
        <v/>
      </c>
      <c r="O226" s="28" t="str">
        <f t="shared" si="35"/>
        <v/>
      </c>
      <c r="U226" t="e">
        <f t="shared" si="31"/>
        <v>#N/A</v>
      </c>
      <c r="X226" t="e">
        <f t="shared" si="32"/>
        <v>#N/A</v>
      </c>
      <c r="Y226" t="e">
        <f t="shared" si="33"/>
        <v>#N/A</v>
      </c>
      <c r="AC226" t="s">
        <v>231</v>
      </c>
      <c r="AD226">
        <v>9112</v>
      </c>
    </row>
    <row r="227" spans="14:30" x14ac:dyDescent="0.3">
      <c r="N227" s="15" t="str">
        <f t="shared" si="34"/>
        <v/>
      </c>
      <c r="O227" s="28" t="str">
        <f t="shared" si="35"/>
        <v/>
      </c>
      <c r="U227" t="e">
        <f t="shared" si="31"/>
        <v>#N/A</v>
      </c>
      <c r="X227" t="e">
        <f t="shared" si="32"/>
        <v>#N/A</v>
      </c>
      <c r="Y227" t="e">
        <f t="shared" si="33"/>
        <v>#N/A</v>
      </c>
      <c r="AC227" t="s">
        <v>232</v>
      </c>
      <c r="AD227">
        <v>9113</v>
      </c>
    </row>
    <row r="228" spans="14:30" x14ac:dyDescent="0.3">
      <c r="N228" s="15" t="str">
        <f t="shared" si="34"/>
        <v/>
      </c>
      <c r="O228" s="28" t="str">
        <f t="shared" si="35"/>
        <v/>
      </c>
      <c r="U228" t="e">
        <f t="shared" si="31"/>
        <v>#N/A</v>
      </c>
      <c r="X228" t="e">
        <f t="shared" si="32"/>
        <v>#N/A</v>
      </c>
      <c r="Y228" t="e">
        <f t="shared" si="33"/>
        <v>#N/A</v>
      </c>
      <c r="AC228" t="s">
        <v>233</v>
      </c>
      <c r="AD228">
        <v>9114</v>
      </c>
    </row>
    <row r="229" spans="14:30" x14ac:dyDescent="0.3">
      <c r="N229" s="15" t="str">
        <f t="shared" si="34"/>
        <v/>
      </c>
      <c r="O229" s="28" t="str">
        <f t="shared" si="35"/>
        <v/>
      </c>
      <c r="U229" t="e">
        <f t="shared" si="31"/>
        <v>#N/A</v>
      </c>
      <c r="X229" t="e">
        <f t="shared" si="32"/>
        <v>#N/A</v>
      </c>
      <c r="Y229" t="e">
        <f t="shared" si="33"/>
        <v>#N/A</v>
      </c>
      <c r="AC229" t="s">
        <v>234</v>
      </c>
      <c r="AD229">
        <v>9115</v>
      </c>
    </row>
    <row r="230" spans="14:30" x14ac:dyDescent="0.3">
      <c r="N230" s="15" t="str">
        <f t="shared" si="34"/>
        <v/>
      </c>
      <c r="O230" s="28" t="str">
        <f t="shared" si="35"/>
        <v/>
      </c>
      <c r="U230" t="e">
        <f t="shared" si="31"/>
        <v>#N/A</v>
      </c>
      <c r="X230" t="e">
        <f t="shared" si="32"/>
        <v>#N/A</v>
      </c>
      <c r="Y230" t="e">
        <f t="shared" si="33"/>
        <v>#N/A</v>
      </c>
      <c r="AC230" t="s">
        <v>235</v>
      </c>
      <c r="AD230">
        <v>9116</v>
      </c>
    </row>
    <row r="231" spans="14:30" x14ac:dyDescent="0.3">
      <c r="N231" s="15" t="str">
        <f t="shared" si="34"/>
        <v/>
      </c>
      <c r="O231" s="28" t="str">
        <f t="shared" si="35"/>
        <v/>
      </c>
      <c r="U231" t="e">
        <f t="shared" si="31"/>
        <v>#N/A</v>
      </c>
      <c r="X231" t="e">
        <f t="shared" si="32"/>
        <v>#N/A</v>
      </c>
      <c r="Y231" t="e">
        <f t="shared" si="33"/>
        <v>#N/A</v>
      </c>
      <c r="AC231" t="s">
        <v>236</v>
      </c>
      <c r="AD231">
        <v>9117</v>
      </c>
    </row>
    <row r="232" spans="14:30" x14ac:dyDescent="0.3">
      <c r="N232" s="15" t="str">
        <f t="shared" si="34"/>
        <v/>
      </c>
      <c r="O232" s="28" t="str">
        <f t="shared" si="35"/>
        <v/>
      </c>
      <c r="U232" t="e">
        <f t="shared" si="31"/>
        <v>#N/A</v>
      </c>
      <c r="X232" t="e">
        <f t="shared" si="32"/>
        <v>#N/A</v>
      </c>
      <c r="Y232" t="e">
        <f t="shared" si="33"/>
        <v>#N/A</v>
      </c>
      <c r="AC232" t="s">
        <v>237</v>
      </c>
      <c r="AD232">
        <v>9118</v>
      </c>
    </row>
    <row r="233" spans="14:30" x14ac:dyDescent="0.3">
      <c r="N233" s="15" t="str">
        <f t="shared" si="34"/>
        <v/>
      </c>
      <c r="O233" s="28" t="str">
        <f t="shared" si="35"/>
        <v/>
      </c>
      <c r="U233" t="e">
        <f t="shared" si="31"/>
        <v>#N/A</v>
      </c>
      <c r="X233" t="e">
        <f t="shared" si="32"/>
        <v>#N/A</v>
      </c>
      <c r="Y233" t="e">
        <f t="shared" si="33"/>
        <v>#N/A</v>
      </c>
      <c r="AC233" t="s">
        <v>238</v>
      </c>
      <c r="AD233">
        <v>9119</v>
      </c>
    </row>
    <row r="234" spans="14:30" x14ac:dyDescent="0.3">
      <c r="N234" s="15" t="str">
        <f t="shared" si="34"/>
        <v/>
      </c>
      <c r="O234" s="28" t="str">
        <f t="shared" si="35"/>
        <v/>
      </c>
      <c r="U234" t="e">
        <f t="shared" si="31"/>
        <v>#N/A</v>
      </c>
      <c r="X234" t="e">
        <f t="shared" si="32"/>
        <v>#N/A</v>
      </c>
      <c r="Y234" t="e">
        <f t="shared" si="33"/>
        <v>#N/A</v>
      </c>
      <c r="AC234" t="s">
        <v>239</v>
      </c>
      <c r="AD234">
        <v>9120</v>
      </c>
    </row>
    <row r="235" spans="14:30" x14ac:dyDescent="0.3">
      <c r="N235" s="15" t="str">
        <f t="shared" si="34"/>
        <v/>
      </c>
      <c r="O235" s="28" t="str">
        <f t="shared" si="35"/>
        <v/>
      </c>
      <c r="U235" t="e">
        <f t="shared" si="31"/>
        <v>#N/A</v>
      </c>
      <c r="X235" t="e">
        <f t="shared" si="32"/>
        <v>#N/A</v>
      </c>
      <c r="Y235" t="e">
        <f t="shared" si="33"/>
        <v>#N/A</v>
      </c>
      <c r="AC235" t="s">
        <v>240</v>
      </c>
      <c r="AD235">
        <v>9121</v>
      </c>
    </row>
    <row r="236" spans="14:30" x14ac:dyDescent="0.3">
      <c r="N236" s="15" t="str">
        <f t="shared" si="34"/>
        <v/>
      </c>
      <c r="O236" s="28" t="str">
        <f t="shared" si="35"/>
        <v/>
      </c>
      <c r="U236" t="e">
        <f t="shared" si="31"/>
        <v>#N/A</v>
      </c>
      <c r="X236" t="e">
        <f t="shared" si="32"/>
        <v>#N/A</v>
      </c>
      <c r="Y236" t="e">
        <f t="shared" si="33"/>
        <v>#N/A</v>
      </c>
      <c r="AC236" t="s">
        <v>241</v>
      </c>
      <c r="AD236">
        <v>9201</v>
      </c>
    </row>
    <row r="237" spans="14:30" x14ac:dyDescent="0.3">
      <c r="N237" s="15" t="str">
        <f t="shared" si="34"/>
        <v/>
      </c>
      <c r="O237" s="28" t="str">
        <f t="shared" si="35"/>
        <v/>
      </c>
      <c r="U237" t="e">
        <f t="shared" si="31"/>
        <v>#N/A</v>
      </c>
      <c r="X237" t="e">
        <f t="shared" si="32"/>
        <v>#N/A</v>
      </c>
      <c r="Y237" t="e">
        <f t="shared" si="33"/>
        <v>#N/A</v>
      </c>
      <c r="AC237" t="s">
        <v>242</v>
      </c>
      <c r="AD237">
        <v>9202</v>
      </c>
    </row>
    <row r="238" spans="14:30" x14ac:dyDescent="0.3">
      <c r="N238" s="15" t="str">
        <f t="shared" si="34"/>
        <v/>
      </c>
      <c r="O238" s="28" t="str">
        <f t="shared" si="35"/>
        <v/>
      </c>
      <c r="U238" t="e">
        <f t="shared" si="31"/>
        <v>#N/A</v>
      </c>
      <c r="X238" t="e">
        <f t="shared" si="32"/>
        <v>#N/A</v>
      </c>
      <c r="Y238" t="e">
        <f t="shared" si="33"/>
        <v>#N/A</v>
      </c>
      <c r="AC238" t="s">
        <v>243</v>
      </c>
      <c r="AD238">
        <v>9203</v>
      </c>
    </row>
    <row r="239" spans="14:30" x14ac:dyDescent="0.3">
      <c r="N239" s="15" t="str">
        <f t="shared" si="34"/>
        <v/>
      </c>
      <c r="O239" s="28" t="str">
        <f t="shared" si="35"/>
        <v/>
      </c>
      <c r="U239" t="e">
        <f t="shared" si="31"/>
        <v>#N/A</v>
      </c>
      <c r="X239" t="e">
        <f t="shared" si="32"/>
        <v>#N/A</v>
      </c>
      <c r="Y239" t="e">
        <f t="shared" si="33"/>
        <v>#N/A</v>
      </c>
      <c r="AC239" t="s">
        <v>244</v>
      </c>
      <c r="AD239">
        <v>9204</v>
      </c>
    </row>
    <row r="240" spans="14:30" x14ac:dyDescent="0.3">
      <c r="N240" s="15" t="str">
        <f t="shared" si="34"/>
        <v/>
      </c>
      <c r="O240" s="28" t="str">
        <f t="shared" si="35"/>
        <v/>
      </c>
      <c r="U240" t="e">
        <f t="shared" si="31"/>
        <v>#N/A</v>
      </c>
      <c r="X240" t="e">
        <f t="shared" si="32"/>
        <v>#N/A</v>
      </c>
      <c r="Y240" t="e">
        <f t="shared" si="33"/>
        <v>#N/A</v>
      </c>
      <c r="AC240" t="s">
        <v>245</v>
      </c>
      <c r="AD240">
        <v>9205</v>
      </c>
    </row>
    <row r="241" spans="14:30" x14ac:dyDescent="0.3">
      <c r="N241" s="15" t="str">
        <f t="shared" si="34"/>
        <v/>
      </c>
      <c r="O241" s="28" t="str">
        <f t="shared" si="35"/>
        <v/>
      </c>
      <c r="U241" t="e">
        <f t="shared" si="31"/>
        <v>#N/A</v>
      </c>
      <c r="X241" t="e">
        <f t="shared" si="32"/>
        <v>#N/A</v>
      </c>
      <c r="Y241" t="e">
        <f t="shared" si="33"/>
        <v>#N/A</v>
      </c>
      <c r="AC241" t="s">
        <v>246</v>
      </c>
      <c r="AD241">
        <v>9206</v>
      </c>
    </row>
    <row r="242" spans="14:30" x14ac:dyDescent="0.3">
      <c r="N242" s="15" t="str">
        <f t="shared" si="34"/>
        <v/>
      </c>
      <c r="O242" s="28" t="str">
        <f t="shared" si="35"/>
        <v/>
      </c>
      <c r="U242" t="e">
        <f t="shared" si="31"/>
        <v>#N/A</v>
      </c>
      <c r="X242" t="e">
        <f t="shared" si="32"/>
        <v>#N/A</v>
      </c>
      <c r="Y242" t="e">
        <f t="shared" si="33"/>
        <v>#N/A</v>
      </c>
      <c r="AC242" t="s">
        <v>247</v>
      </c>
      <c r="AD242">
        <v>9207</v>
      </c>
    </row>
    <row r="243" spans="14:30" x14ac:dyDescent="0.3">
      <c r="N243" s="15" t="str">
        <f t="shared" si="34"/>
        <v/>
      </c>
      <c r="O243" s="28" t="str">
        <f t="shared" si="35"/>
        <v/>
      </c>
      <c r="U243" t="e">
        <f t="shared" si="31"/>
        <v>#N/A</v>
      </c>
      <c r="X243" t="e">
        <f t="shared" si="32"/>
        <v>#N/A</v>
      </c>
      <c r="Y243" t="e">
        <f t="shared" si="33"/>
        <v>#N/A</v>
      </c>
      <c r="AC243" t="s">
        <v>248</v>
      </c>
      <c r="AD243">
        <v>9208</v>
      </c>
    </row>
    <row r="244" spans="14:30" x14ac:dyDescent="0.3">
      <c r="N244" s="15" t="str">
        <f t="shared" si="34"/>
        <v/>
      </c>
      <c r="O244" s="28" t="str">
        <f t="shared" si="35"/>
        <v/>
      </c>
      <c r="U244" t="e">
        <f t="shared" si="31"/>
        <v>#N/A</v>
      </c>
      <c r="X244" t="e">
        <f t="shared" si="32"/>
        <v>#N/A</v>
      </c>
      <c r="Y244" t="e">
        <f t="shared" si="33"/>
        <v>#N/A</v>
      </c>
      <c r="AC244" t="s">
        <v>249</v>
      </c>
      <c r="AD244">
        <v>9209</v>
      </c>
    </row>
    <row r="245" spans="14:30" x14ac:dyDescent="0.3">
      <c r="N245" s="15" t="str">
        <f t="shared" si="34"/>
        <v/>
      </c>
      <c r="O245" s="28" t="str">
        <f t="shared" si="35"/>
        <v/>
      </c>
      <c r="U245" t="e">
        <f t="shared" si="31"/>
        <v>#N/A</v>
      </c>
      <c r="X245" t="e">
        <f t="shared" si="32"/>
        <v>#N/A</v>
      </c>
      <c r="Y245" t="e">
        <f t="shared" si="33"/>
        <v>#N/A</v>
      </c>
      <c r="AC245" t="s">
        <v>250</v>
      </c>
      <c r="AD245">
        <v>9210</v>
      </c>
    </row>
    <row r="246" spans="14:30" x14ac:dyDescent="0.3">
      <c r="N246" s="15" t="str">
        <f t="shared" si="34"/>
        <v/>
      </c>
      <c r="O246" s="28" t="str">
        <f t="shared" si="35"/>
        <v/>
      </c>
      <c r="U246" t="e">
        <f t="shared" si="31"/>
        <v>#N/A</v>
      </c>
      <c r="X246" t="e">
        <f t="shared" si="32"/>
        <v>#N/A</v>
      </c>
      <c r="Y246" t="e">
        <f t="shared" si="33"/>
        <v>#N/A</v>
      </c>
      <c r="AC246" t="s">
        <v>251</v>
      </c>
      <c r="AD246">
        <v>9211</v>
      </c>
    </row>
    <row r="247" spans="14:30" x14ac:dyDescent="0.3">
      <c r="N247" s="15" t="str">
        <f t="shared" si="34"/>
        <v/>
      </c>
      <c r="O247" s="28" t="str">
        <f t="shared" si="35"/>
        <v/>
      </c>
      <c r="U247" t="e">
        <f t="shared" si="31"/>
        <v>#N/A</v>
      </c>
      <c r="X247" t="e">
        <f t="shared" si="32"/>
        <v>#N/A</v>
      </c>
      <c r="Y247" t="e">
        <f t="shared" si="33"/>
        <v>#N/A</v>
      </c>
      <c r="AC247" t="s">
        <v>252</v>
      </c>
      <c r="AD247">
        <v>10101</v>
      </c>
    </row>
    <row r="248" spans="14:30" x14ac:dyDescent="0.3">
      <c r="N248" s="15" t="str">
        <f t="shared" si="34"/>
        <v/>
      </c>
      <c r="O248" s="28" t="str">
        <f t="shared" si="35"/>
        <v/>
      </c>
      <c r="U248" t="e">
        <f t="shared" si="31"/>
        <v>#N/A</v>
      </c>
      <c r="X248" t="e">
        <f t="shared" si="32"/>
        <v>#N/A</v>
      </c>
      <c r="Y248" t="e">
        <f t="shared" si="33"/>
        <v>#N/A</v>
      </c>
      <c r="AC248" t="s">
        <v>253</v>
      </c>
      <c r="AD248">
        <v>10102</v>
      </c>
    </row>
    <row r="249" spans="14:30" x14ac:dyDescent="0.3">
      <c r="N249" s="15" t="str">
        <f t="shared" si="34"/>
        <v/>
      </c>
      <c r="O249" s="28" t="str">
        <f t="shared" si="35"/>
        <v/>
      </c>
      <c r="U249" t="e">
        <f t="shared" si="31"/>
        <v>#N/A</v>
      </c>
      <c r="X249" t="e">
        <f t="shared" si="32"/>
        <v>#N/A</v>
      </c>
      <c r="Y249" t="e">
        <f t="shared" si="33"/>
        <v>#N/A</v>
      </c>
      <c r="AC249" t="s">
        <v>254</v>
      </c>
      <c r="AD249">
        <v>10103</v>
      </c>
    </row>
    <row r="250" spans="14:30" x14ac:dyDescent="0.3">
      <c r="N250" s="15" t="str">
        <f t="shared" si="34"/>
        <v/>
      </c>
      <c r="O250" s="28" t="str">
        <f t="shared" si="35"/>
        <v/>
      </c>
      <c r="U250" t="e">
        <f t="shared" si="31"/>
        <v>#N/A</v>
      </c>
      <c r="X250" t="e">
        <f t="shared" si="32"/>
        <v>#N/A</v>
      </c>
      <c r="Y250" t="e">
        <f t="shared" si="33"/>
        <v>#N/A</v>
      </c>
      <c r="AC250" t="s">
        <v>255</v>
      </c>
      <c r="AD250">
        <v>10104</v>
      </c>
    </row>
    <row r="251" spans="14:30" x14ac:dyDescent="0.3">
      <c r="N251" s="15" t="str">
        <f t="shared" si="34"/>
        <v/>
      </c>
      <c r="O251" s="28" t="str">
        <f t="shared" si="35"/>
        <v/>
      </c>
      <c r="U251" t="e">
        <f t="shared" si="31"/>
        <v>#N/A</v>
      </c>
      <c r="X251" t="e">
        <f t="shared" si="32"/>
        <v>#N/A</v>
      </c>
      <c r="Y251" t="e">
        <f t="shared" si="33"/>
        <v>#N/A</v>
      </c>
      <c r="AC251" t="s">
        <v>256</v>
      </c>
      <c r="AD251">
        <v>10105</v>
      </c>
    </row>
    <row r="252" spans="14:30" x14ac:dyDescent="0.3">
      <c r="N252" s="15" t="str">
        <f t="shared" si="34"/>
        <v/>
      </c>
      <c r="O252" s="28" t="str">
        <f t="shared" si="35"/>
        <v/>
      </c>
      <c r="U252" t="e">
        <f t="shared" si="31"/>
        <v>#N/A</v>
      </c>
      <c r="X252" t="e">
        <f t="shared" si="32"/>
        <v>#N/A</v>
      </c>
      <c r="Y252" t="e">
        <f t="shared" si="33"/>
        <v>#N/A</v>
      </c>
      <c r="AC252" t="s">
        <v>257</v>
      </c>
      <c r="AD252">
        <v>10106</v>
      </c>
    </row>
    <row r="253" spans="14:30" x14ac:dyDescent="0.3">
      <c r="N253" s="15" t="str">
        <f t="shared" si="34"/>
        <v/>
      </c>
      <c r="O253" s="28" t="str">
        <f t="shared" si="35"/>
        <v/>
      </c>
      <c r="U253" t="e">
        <f t="shared" si="31"/>
        <v>#N/A</v>
      </c>
      <c r="X253" t="e">
        <f t="shared" si="32"/>
        <v>#N/A</v>
      </c>
      <c r="Y253" t="e">
        <f t="shared" si="33"/>
        <v>#N/A</v>
      </c>
      <c r="AC253" t="s">
        <v>258</v>
      </c>
      <c r="AD253">
        <v>10107</v>
      </c>
    </row>
    <row r="254" spans="14:30" x14ac:dyDescent="0.3">
      <c r="N254" s="15" t="str">
        <f t="shared" si="34"/>
        <v/>
      </c>
      <c r="O254" s="28" t="str">
        <f t="shared" si="35"/>
        <v/>
      </c>
      <c r="U254" t="e">
        <f t="shared" si="31"/>
        <v>#N/A</v>
      </c>
      <c r="X254" t="e">
        <f t="shared" si="32"/>
        <v>#N/A</v>
      </c>
      <c r="Y254" t="e">
        <f t="shared" si="33"/>
        <v>#N/A</v>
      </c>
      <c r="AC254" t="s">
        <v>259</v>
      </c>
      <c r="AD254">
        <v>10108</v>
      </c>
    </row>
    <row r="255" spans="14:30" x14ac:dyDescent="0.3">
      <c r="N255" s="15" t="str">
        <f t="shared" si="34"/>
        <v/>
      </c>
      <c r="O255" s="28" t="str">
        <f t="shared" si="35"/>
        <v/>
      </c>
      <c r="U255" t="e">
        <f t="shared" si="31"/>
        <v>#N/A</v>
      </c>
      <c r="X255" t="e">
        <f t="shared" si="32"/>
        <v>#N/A</v>
      </c>
      <c r="Y255" t="e">
        <f t="shared" si="33"/>
        <v>#N/A</v>
      </c>
      <c r="AC255" t="s">
        <v>260</v>
      </c>
      <c r="AD255">
        <v>10109</v>
      </c>
    </row>
    <row r="256" spans="14:30" x14ac:dyDescent="0.3">
      <c r="N256" s="15" t="str">
        <f t="shared" si="34"/>
        <v/>
      </c>
      <c r="O256" s="28" t="str">
        <f t="shared" si="35"/>
        <v/>
      </c>
      <c r="U256" t="e">
        <f t="shared" si="31"/>
        <v>#N/A</v>
      </c>
      <c r="X256" t="e">
        <f t="shared" si="32"/>
        <v>#N/A</v>
      </c>
      <c r="Y256" t="e">
        <f t="shared" si="33"/>
        <v>#N/A</v>
      </c>
      <c r="AC256" t="s">
        <v>261</v>
      </c>
      <c r="AD256">
        <v>10201</v>
      </c>
    </row>
    <row r="257" spans="14:30" x14ac:dyDescent="0.3">
      <c r="N257" s="15" t="str">
        <f t="shared" si="34"/>
        <v/>
      </c>
      <c r="O257" s="28" t="str">
        <f t="shared" si="35"/>
        <v/>
      </c>
      <c r="U257" t="e">
        <f t="shared" si="31"/>
        <v>#N/A</v>
      </c>
      <c r="X257" t="e">
        <f t="shared" si="32"/>
        <v>#N/A</v>
      </c>
      <c r="Y257" t="e">
        <f t="shared" si="33"/>
        <v>#N/A</v>
      </c>
      <c r="AC257" t="s">
        <v>262</v>
      </c>
      <c r="AD257">
        <v>10202</v>
      </c>
    </row>
    <row r="258" spans="14:30" x14ac:dyDescent="0.3">
      <c r="N258" s="15" t="str">
        <f t="shared" si="34"/>
        <v/>
      </c>
      <c r="O258" s="28" t="str">
        <f t="shared" si="35"/>
        <v/>
      </c>
      <c r="U258" t="e">
        <f t="shared" si="31"/>
        <v>#N/A</v>
      </c>
      <c r="X258" t="e">
        <f t="shared" si="32"/>
        <v>#N/A</v>
      </c>
      <c r="Y258" t="e">
        <f t="shared" si="33"/>
        <v>#N/A</v>
      </c>
      <c r="AC258" t="s">
        <v>263</v>
      </c>
      <c r="AD258">
        <v>10203</v>
      </c>
    </row>
    <row r="259" spans="14:30" x14ac:dyDescent="0.3">
      <c r="N259" s="15" t="str">
        <f t="shared" si="34"/>
        <v/>
      </c>
      <c r="O259" s="28" t="str">
        <f t="shared" si="35"/>
        <v/>
      </c>
      <c r="U259" t="e">
        <f t="shared" si="31"/>
        <v>#N/A</v>
      </c>
      <c r="X259" t="e">
        <f t="shared" si="32"/>
        <v>#N/A</v>
      </c>
      <c r="Y259" t="e">
        <f t="shared" si="33"/>
        <v>#N/A</v>
      </c>
      <c r="AC259" t="s">
        <v>264</v>
      </c>
      <c r="AD259">
        <v>10204</v>
      </c>
    </row>
    <row r="260" spans="14:30" x14ac:dyDescent="0.3">
      <c r="N260" s="15" t="str">
        <f t="shared" si="34"/>
        <v/>
      </c>
      <c r="O260" s="28" t="str">
        <f t="shared" si="35"/>
        <v/>
      </c>
      <c r="U260" t="e">
        <f t="shared" si="31"/>
        <v>#N/A</v>
      </c>
      <c r="X260" t="e">
        <f t="shared" si="32"/>
        <v>#N/A</v>
      </c>
      <c r="Y260" t="e">
        <f t="shared" si="33"/>
        <v>#N/A</v>
      </c>
      <c r="AC260" t="s">
        <v>265</v>
      </c>
      <c r="AD260">
        <v>10205</v>
      </c>
    </row>
    <row r="261" spans="14:30" x14ac:dyDescent="0.3">
      <c r="N261" s="15" t="str">
        <f t="shared" si="34"/>
        <v/>
      </c>
      <c r="O261" s="28" t="str">
        <f t="shared" si="35"/>
        <v/>
      </c>
      <c r="U261" t="e">
        <f t="shared" ref="U261:U324" si="36">+VLOOKUP(W261,$R$4:$S$6,2,0)*100000+X261</f>
        <v>#N/A</v>
      </c>
      <c r="X261" t="e">
        <f t="shared" ref="X261:X324" si="37">+VLOOKUP(V261,$AC$3:$AD$364,2,0)</f>
        <v>#N/A</v>
      </c>
      <c r="Y261" t="e">
        <f t="shared" ref="Y261:Y324" si="38">+U261</f>
        <v>#N/A</v>
      </c>
      <c r="AC261" t="s">
        <v>266</v>
      </c>
      <c r="AD261">
        <v>10206</v>
      </c>
    </row>
    <row r="262" spans="14:30" x14ac:dyDescent="0.3">
      <c r="N262" s="15" t="str">
        <f t="shared" si="34"/>
        <v/>
      </c>
      <c r="O262" s="28" t="str">
        <f t="shared" si="35"/>
        <v/>
      </c>
      <c r="U262" t="e">
        <f t="shared" si="36"/>
        <v>#N/A</v>
      </c>
      <c r="X262" t="e">
        <f t="shared" si="37"/>
        <v>#N/A</v>
      </c>
      <c r="Y262" t="e">
        <f t="shared" si="38"/>
        <v>#N/A</v>
      </c>
      <c r="AC262" t="s">
        <v>267</v>
      </c>
      <c r="AD262">
        <v>10207</v>
      </c>
    </row>
    <row r="263" spans="14:30" x14ac:dyDescent="0.3">
      <c r="N263" s="15" t="str">
        <f t="shared" si="34"/>
        <v/>
      </c>
      <c r="O263" s="28" t="str">
        <f t="shared" si="35"/>
        <v/>
      </c>
      <c r="U263" t="e">
        <f t="shared" si="36"/>
        <v>#N/A</v>
      </c>
      <c r="X263" t="e">
        <f t="shared" si="37"/>
        <v>#N/A</v>
      </c>
      <c r="Y263" t="e">
        <f t="shared" si="38"/>
        <v>#N/A</v>
      </c>
      <c r="AC263" t="s">
        <v>268</v>
      </c>
      <c r="AD263">
        <v>10208</v>
      </c>
    </row>
    <row r="264" spans="14:30" x14ac:dyDescent="0.3">
      <c r="N264" s="15" t="str">
        <f t="shared" si="34"/>
        <v/>
      </c>
      <c r="O264" s="28" t="str">
        <f t="shared" si="35"/>
        <v/>
      </c>
      <c r="U264" t="e">
        <f t="shared" si="36"/>
        <v>#N/A</v>
      </c>
      <c r="X264" t="e">
        <f t="shared" si="37"/>
        <v>#N/A</v>
      </c>
      <c r="Y264" t="e">
        <f t="shared" si="38"/>
        <v>#N/A</v>
      </c>
      <c r="AC264" t="s">
        <v>269</v>
      </c>
      <c r="AD264">
        <v>10209</v>
      </c>
    </row>
    <row r="265" spans="14:30" x14ac:dyDescent="0.3">
      <c r="N265" s="15" t="str">
        <f t="shared" si="34"/>
        <v/>
      </c>
      <c r="O265" s="28" t="str">
        <f t="shared" si="35"/>
        <v/>
      </c>
      <c r="U265" t="e">
        <f t="shared" si="36"/>
        <v>#N/A</v>
      </c>
      <c r="X265" t="e">
        <f t="shared" si="37"/>
        <v>#N/A</v>
      </c>
      <c r="Y265" t="e">
        <f t="shared" si="38"/>
        <v>#N/A</v>
      </c>
      <c r="AC265" t="s">
        <v>270</v>
      </c>
      <c r="AD265">
        <v>10210</v>
      </c>
    </row>
    <row r="266" spans="14:30" x14ac:dyDescent="0.3">
      <c r="N266" s="15" t="str">
        <f t="shared" si="34"/>
        <v/>
      </c>
      <c r="O266" s="28" t="str">
        <f t="shared" si="35"/>
        <v/>
      </c>
      <c r="U266" t="e">
        <f t="shared" si="36"/>
        <v>#N/A</v>
      </c>
      <c r="X266" t="e">
        <f t="shared" si="37"/>
        <v>#N/A</v>
      </c>
      <c r="Y266" t="e">
        <f t="shared" si="38"/>
        <v>#N/A</v>
      </c>
      <c r="AC266" t="s">
        <v>271</v>
      </c>
      <c r="AD266">
        <v>10301</v>
      </c>
    </row>
    <row r="267" spans="14:30" x14ac:dyDescent="0.3">
      <c r="N267" s="15" t="str">
        <f t="shared" si="34"/>
        <v/>
      </c>
      <c r="O267" s="28" t="str">
        <f t="shared" si="35"/>
        <v/>
      </c>
      <c r="U267" t="e">
        <f t="shared" si="36"/>
        <v>#N/A</v>
      </c>
      <c r="X267" t="e">
        <f t="shared" si="37"/>
        <v>#N/A</v>
      </c>
      <c r="Y267" t="e">
        <f t="shared" si="38"/>
        <v>#N/A</v>
      </c>
      <c r="AC267" t="s">
        <v>272</v>
      </c>
      <c r="AD267">
        <v>10302</v>
      </c>
    </row>
    <row r="268" spans="14:30" x14ac:dyDescent="0.3">
      <c r="U268" t="e">
        <f t="shared" si="36"/>
        <v>#N/A</v>
      </c>
      <c r="X268" t="e">
        <f t="shared" si="37"/>
        <v>#N/A</v>
      </c>
      <c r="Y268" t="e">
        <f t="shared" si="38"/>
        <v>#N/A</v>
      </c>
      <c r="AC268" t="s">
        <v>273</v>
      </c>
      <c r="AD268">
        <v>10303</v>
      </c>
    </row>
    <row r="269" spans="14:30" x14ac:dyDescent="0.3">
      <c r="U269" t="e">
        <f t="shared" si="36"/>
        <v>#N/A</v>
      </c>
      <c r="X269" t="e">
        <f t="shared" si="37"/>
        <v>#N/A</v>
      </c>
      <c r="Y269" t="e">
        <f t="shared" si="38"/>
        <v>#N/A</v>
      </c>
      <c r="AC269" t="s">
        <v>274</v>
      </c>
      <c r="AD269">
        <v>10304</v>
      </c>
    </row>
    <row r="270" spans="14:30" x14ac:dyDescent="0.3">
      <c r="U270" t="e">
        <f t="shared" si="36"/>
        <v>#N/A</v>
      </c>
      <c r="X270" t="e">
        <f t="shared" si="37"/>
        <v>#N/A</v>
      </c>
      <c r="Y270" t="e">
        <f t="shared" si="38"/>
        <v>#N/A</v>
      </c>
      <c r="AC270" t="s">
        <v>275</v>
      </c>
      <c r="AD270">
        <v>10305</v>
      </c>
    </row>
    <row r="271" spans="14:30" x14ac:dyDescent="0.3">
      <c r="U271" t="e">
        <f t="shared" si="36"/>
        <v>#N/A</v>
      </c>
      <c r="X271" t="e">
        <f t="shared" si="37"/>
        <v>#N/A</v>
      </c>
      <c r="Y271" t="e">
        <f t="shared" si="38"/>
        <v>#N/A</v>
      </c>
      <c r="AC271" t="s">
        <v>276</v>
      </c>
      <c r="AD271">
        <v>10306</v>
      </c>
    </row>
    <row r="272" spans="14:30" x14ac:dyDescent="0.3">
      <c r="U272" t="e">
        <f t="shared" si="36"/>
        <v>#N/A</v>
      </c>
      <c r="X272" t="e">
        <f t="shared" si="37"/>
        <v>#N/A</v>
      </c>
      <c r="Y272" t="e">
        <f t="shared" si="38"/>
        <v>#N/A</v>
      </c>
      <c r="AC272" t="s">
        <v>277</v>
      </c>
      <c r="AD272">
        <v>10307</v>
      </c>
    </row>
    <row r="273" spans="21:30" x14ac:dyDescent="0.3">
      <c r="U273" t="e">
        <f t="shared" si="36"/>
        <v>#N/A</v>
      </c>
      <c r="X273" t="e">
        <f t="shared" si="37"/>
        <v>#N/A</v>
      </c>
      <c r="Y273" t="e">
        <f t="shared" si="38"/>
        <v>#N/A</v>
      </c>
      <c r="AC273" t="s">
        <v>278</v>
      </c>
      <c r="AD273">
        <v>10401</v>
      </c>
    </row>
    <row r="274" spans="21:30" x14ac:dyDescent="0.3">
      <c r="U274" t="e">
        <f t="shared" si="36"/>
        <v>#N/A</v>
      </c>
      <c r="X274" t="e">
        <f t="shared" si="37"/>
        <v>#N/A</v>
      </c>
      <c r="Y274" t="e">
        <f t="shared" si="38"/>
        <v>#N/A</v>
      </c>
      <c r="AC274" t="s">
        <v>279</v>
      </c>
      <c r="AD274">
        <v>10402</v>
      </c>
    </row>
    <row r="275" spans="21:30" x14ac:dyDescent="0.3">
      <c r="U275" t="e">
        <f t="shared" si="36"/>
        <v>#N/A</v>
      </c>
      <c r="X275" t="e">
        <f t="shared" si="37"/>
        <v>#N/A</v>
      </c>
      <c r="Y275" t="e">
        <f t="shared" si="38"/>
        <v>#N/A</v>
      </c>
      <c r="AC275" t="s">
        <v>280</v>
      </c>
      <c r="AD275">
        <v>10403</v>
      </c>
    </row>
    <row r="276" spans="21:30" x14ac:dyDescent="0.3">
      <c r="U276" t="e">
        <f t="shared" si="36"/>
        <v>#N/A</v>
      </c>
      <c r="X276" t="e">
        <f t="shared" si="37"/>
        <v>#N/A</v>
      </c>
      <c r="Y276" t="e">
        <f t="shared" si="38"/>
        <v>#N/A</v>
      </c>
      <c r="AC276" t="s">
        <v>281</v>
      </c>
      <c r="AD276">
        <v>10404</v>
      </c>
    </row>
    <row r="277" spans="21:30" x14ac:dyDescent="0.3">
      <c r="U277" t="e">
        <f t="shared" si="36"/>
        <v>#N/A</v>
      </c>
      <c r="X277" t="e">
        <f t="shared" si="37"/>
        <v>#N/A</v>
      </c>
      <c r="Y277" t="e">
        <f t="shared" si="38"/>
        <v>#N/A</v>
      </c>
      <c r="AC277" t="s">
        <v>282</v>
      </c>
      <c r="AD277">
        <v>11101</v>
      </c>
    </row>
    <row r="278" spans="21:30" x14ac:dyDescent="0.3">
      <c r="U278" t="e">
        <f t="shared" si="36"/>
        <v>#N/A</v>
      </c>
      <c r="X278" t="e">
        <f t="shared" si="37"/>
        <v>#N/A</v>
      </c>
      <c r="Y278" t="e">
        <f t="shared" si="38"/>
        <v>#N/A</v>
      </c>
      <c r="AC278" t="s">
        <v>283</v>
      </c>
      <c r="AD278">
        <v>11102</v>
      </c>
    </row>
    <row r="279" spans="21:30" x14ac:dyDescent="0.3">
      <c r="U279" t="e">
        <f t="shared" si="36"/>
        <v>#N/A</v>
      </c>
      <c r="X279" t="e">
        <f t="shared" si="37"/>
        <v>#N/A</v>
      </c>
      <c r="Y279" t="e">
        <f t="shared" si="38"/>
        <v>#N/A</v>
      </c>
      <c r="AC279" t="s">
        <v>284</v>
      </c>
      <c r="AD279">
        <v>11201</v>
      </c>
    </row>
    <row r="280" spans="21:30" x14ac:dyDescent="0.3">
      <c r="U280" t="e">
        <f t="shared" si="36"/>
        <v>#N/A</v>
      </c>
      <c r="X280" t="e">
        <f t="shared" si="37"/>
        <v>#N/A</v>
      </c>
      <c r="Y280" t="e">
        <f t="shared" si="38"/>
        <v>#N/A</v>
      </c>
      <c r="AC280" t="s">
        <v>285</v>
      </c>
      <c r="AD280">
        <v>11202</v>
      </c>
    </row>
    <row r="281" spans="21:30" x14ac:dyDescent="0.3">
      <c r="U281" t="e">
        <f t="shared" si="36"/>
        <v>#N/A</v>
      </c>
      <c r="X281" t="e">
        <f t="shared" si="37"/>
        <v>#N/A</v>
      </c>
      <c r="Y281" t="e">
        <f t="shared" si="38"/>
        <v>#N/A</v>
      </c>
      <c r="AC281" t="s">
        <v>286</v>
      </c>
      <c r="AD281">
        <v>11203</v>
      </c>
    </row>
    <row r="282" spans="21:30" x14ac:dyDescent="0.3">
      <c r="U282" t="e">
        <f t="shared" si="36"/>
        <v>#N/A</v>
      </c>
      <c r="X282" t="e">
        <f t="shared" si="37"/>
        <v>#N/A</v>
      </c>
      <c r="Y282" t="e">
        <f t="shared" si="38"/>
        <v>#N/A</v>
      </c>
      <c r="AC282" t="s">
        <v>287</v>
      </c>
      <c r="AD282">
        <v>11301</v>
      </c>
    </row>
    <row r="283" spans="21:30" x14ac:dyDescent="0.3">
      <c r="U283" t="e">
        <f t="shared" si="36"/>
        <v>#N/A</v>
      </c>
      <c r="X283" t="e">
        <f t="shared" si="37"/>
        <v>#N/A</v>
      </c>
      <c r="Y283" t="e">
        <f t="shared" si="38"/>
        <v>#N/A</v>
      </c>
      <c r="AC283" t="s">
        <v>23</v>
      </c>
      <c r="AD283">
        <v>11302</v>
      </c>
    </row>
    <row r="284" spans="21:30" x14ac:dyDescent="0.3">
      <c r="U284" t="e">
        <f t="shared" si="36"/>
        <v>#N/A</v>
      </c>
      <c r="X284" t="e">
        <f t="shared" si="37"/>
        <v>#N/A</v>
      </c>
      <c r="Y284" t="e">
        <f t="shared" si="38"/>
        <v>#N/A</v>
      </c>
      <c r="AC284" t="s">
        <v>288</v>
      </c>
      <c r="AD284">
        <v>11303</v>
      </c>
    </row>
    <row r="285" spans="21:30" x14ac:dyDescent="0.3">
      <c r="U285" t="e">
        <f t="shared" si="36"/>
        <v>#N/A</v>
      </c>
      <c r="X285" t="e">
        <f t="shared" si="37"/>
        <v>#N/A</v>
      </c>
      <c r="Y285" t="e">
        <f t="shared" si="38"/>
        <v>#N/A</v>
      </c>
      <c r="AC285" t="s">
        <v>289</v>
      </c>
      <c r="AD285">
        <v>11401</v>
      </c>
    </row>
    <row r="286" spans="21:30" x14ac:dyDescent="0.3">
      <c r="U286" t="e">
        <f t="shared" si="36"/>
        <v>#N/A</v>
      </c>
      <c r="X286" t="e">
        <f t="shared" si="37"/>
        <v>#N/A</v>
      </c>
      <c r="Y286" t="e">
        <f t="shared" si="38"/>
        <v>#N/A</v>
      </c>
      <c r="AC286" t="s">
        <v>290</v>
      </c>
      <c r="AD286">
        <v>11402</v>
      </c>
    </row>
    <row r="287" spans="21:30" x14ac:dyDescent="0.3">
      <c r="U287" t="e">
        <f t="shared" si="36"/>
        <v>#N/A</v>
      </c>
      <c r="X287" t="e">
        <f t="shared" si="37"/>
        <v>#N/A</v>
      </c>
      <c r="Y287" t="e">
        <f t="shared" si="38"/>
        <v>#N/A</v>
      </c>
      <c r="AC287" t="s">
        <v>291</v>
      </c>
      <c r="AD287">
        <v>12101</v>
      </c>
    </row>
    <row r="288" spans="21:30" x14ac:dyDescent="0.3">
      <c r="U288" t="e">
        <f t="shared" si="36"/>
        <v>#N/A</v>
      </c>
      <c r="X288" t="e">
        <f t="shared" si="37"/>
        <v>#N/A</v>
      </c>
      <c r="Y288" t="e">
        <f t="shared" si="38"/>
        <v>#N/A</v>
      </c>
      <c r="AC288" t="s">
        <v>292</v>
      </c>
      <c r="AD288">
        <v>12102</v>
      </c>
    </row>
    <row r="289" spans="21:30" x14ac:dyDescent="0.3">
      <c r="U289" t="e">
        <f t="shared" si="36"/>
        <v>#N/A</v>
      </c>
      <c r="X289" t="e">
        <f t="shared" si="37"/>
        <v>#N/A</v>
      </c>
      <c r="Y289" t="e">
        <f t="shared" si="38"/>
        <v>#N/A</v>
      </c>
      <c r="AC289" t="s">
        <v>293</v>
      </c>
      <c r="AD289">
        <v>12103</v>
      </c>
    </row>
    <row r="290" spans="21:30" x14ac:dyDescent="0.3">
      <c r="U290" t="e">
        <f t="shared" si="36"/>
        <v>#N/A</v>
      </c>
      <c r="X290" t="e">
        <f t="shared" si="37"/>
        <v>#N/A</v>
      </c>
      <c r="Y290" t="e">
        <f t="shared" si="38"/>
        <v>#N/A</v>
      </c>
      <c r="AC290" t="s">
        <v>294</v>
      </c>
      <c r="AD290">
        <v>12104</v>
      </c>
    </row>
    <row r="291" spans="21:30" x14ac:dyDescent="0.3">
      <c r="U291" t="e">
        <f t="shared" si="36"/>
        <v>#N/A</v>
      </c>
      <c r="X291" t="e">
        <f t="shared" si="37"/>
        <v>#N/A</v>
      </c>
      <c r="Y291" t="e">
        <f t="shared" si="38"/>
        <v>#N/A</v>
      </c>
      <c r="AC291" t="s">
        <v>295</v>
      </c>
      <c r="AD291">
        <v>12201</v>
      </c>
    </row>
    <row r="292" spans="21:30" x14ac:dyDescent="0.3">
      <c r="U292" t="e">
        <f t="shared" si="36"/>
        <v>#N/A</v>
      </c>
      <c r="X292" t="e">
        <f t="shared" si="37"/>
        <v>#N/A</v>
      </c>
      <c r="Y292" t="e">
        <f t="shared" si="38"/>
        <v>#N/A</v>
      </c>
      <c r="AC292" t="s">
        <v>296</v>
      </c>
      <c r="AD292">
        <v>12301</v>
      </c>
    </row>
    <row r="293" spans="21:30" x14ac:dyDescent="0.3">
      <c r="U293" t="e">
        <f t="shared" si="36"/>
        <v>#N/A</v>
      </c>
      <c r="X293" t="e">
        <f t="shared" si="37"/>
        <v>#N/A</v>
      </c>
      <c r="Y293" t="e">
        <f t="shared" si="38"/>
        <v>#N/A</v>
      </c>
      <c r="AC293" t="s">
        <v>297</v>
      </c>
      <c r="AD293">
        <v>12302</v>
      </c>
    </row>
    <row r="294" spans="21:30" x14ac:dyDescent="0.3">
      <c r="U294" t="e">
        <f t="shared" si="36"/>
        <v>#N/A</v>
      </c>
      <c r="X294" t="e">
        <f t="shared" si="37"/>
        <v>#N/A</v>
      </c>
      <c r="Y294" t="e">
        <f t="shared" si="38"/>
        <v>#N/A</v>
      </c>
      <c r="AC294" t="s">
        <v>298</v>
      </c>
      <c r="AD294">
        <v>12303</v>
      </c>
    </row>
    <row r="295" spans="21:30" x14ac:dyDescent="0.3">
      <c r="U295" t="e">
        <f t="shared" si="36"/>
        <v>#N/A</v>
      </c>
      <c r="X295" t="e">
        <f t="shared" si="37"/>
        <v>#N/A</v>
      </c>
      <c r="Y295" t="e">
        <f t="shared" si="38"/>
        <v>#N/A</v>
      </c>
      <c r="AC295" t="s">
        <v>299</v>
      </c>
      <c r="AD295">
        <v>12401</v>
      </c>
    </row>
    <row r="296" spans="21:30" x14ac:dyDescent="0.3">
      <c r="U296" t="e">
        <f t="shared" si="36"/>
        <v>#N/A</v>
      </c>
      <c r="X296" t="e">
        <f t="shared" si="37"/>
        <v>#N/A</v>
      </c>
      <c r="Y296" t="e">
        <f t="shared" si="38"/>
        <v>#N/A</v>
      </c>
      <c r="AC296" t="s">
        <v>300</v>
      </c>
      <c r="AD296">
        <v>12402</v>
      </c>
    </row>
    <row r="297" spans="21:30" x14ac:dyDescent="0.3">
      <c r="U297" t="e">
        <f t="shared" si="36"/>
        <v>#N/A</v>
      </c>
      <c r="X297" t="e">
        <f t="shared" si="37"/>
        <v>#N/A</v>
      </c>
      <c r="Y297" t="e">
        <f t="shared" si="38"/>
        <v>#N/A</v>
      </c>
      <c r="AC297" t="s">
        <v>301</v>
      </c>
      <c r="AD297">
        <v>13101</v>
      </c>
    </row>
    <row r="298" spans="21:30" x14ac:dyDescent="0.3">
      <c r="U298" t="e">
        <f t="shared" si="36"/>
        <v>#N/A</v>
      </c>
      <c r="X298" t="e">
        <f t="shared" si="37"/>
        <v>#N/A</v>
      </c>
      <c r="Y298" t="e">
        <f t="shared" si="38"/>
        <v>#N/A</v>
      </c>
      <c r="AC298" t="s">
        <v>302</v>
      </c>
      <c r="AD298">
        <v>13102</v>
      </c>
    </row>
    <row r="299" spans="21:30" x14ac:dyDescent="0.3">
      <c r="U299" t="e">
        <f t="shared" si="36"/>
        <v>#N/A</v>
      </c>
      <c r="X299" t="e">
        <f t="shared" si="37"/>
        <v>#N/A</v>
      </c>
      <c r="Y299" t="e">
        <f t="shared" si="38"/>
        <v>#N/A</v>
      </c>
      <c r="AC299" t="s">
        <v>303</v>
      </c>
      <c r="AD299">
        <v>13103</v>
      </c>
    </row>
    <row r="300" spans="21:30" x14ac:dyDescent="0.3">
      <c r="U300" t="e">
        <f t="shared" si="36"/>
        <v>#N/A</v>
      </c>
      <c r="X300" t="e">
        <f t="shared" si="37"/>
        <v>#N/A</v>
      </c>
      <c r="Y300" t="e">
        <f t="shared" si="38"/>
        <v>#N/A</v>
      </c>
      <c r="AC300" t="s">
        <v>304</v>
      </c>
      <c r="AD300">
        <v>13104</v>
      </c>
    </row>
    <row r="301" spans="21:30" x14ac:dyDescent="0.3">
      <c r="U301" t="e">
        <f t="shared" si="36"/>
        <v>#N/A</v>
      </c>
      <c r="X301" t="e">
        <f t="shared" si="37"/>
        <v>#N/A</v>
      </c>
      <c r="Y301" t="e">
        <f t="shared" si="38"/>
        <v>#N/A</v>
      </c>
      <c r="AC301" t="s">
        <v>305</v>
      </c>
      <c r="AD301">
        <v>13105</v>
      </c>
    </row>
    <row r="302" spans="21:30" x14ac:dyDescent="0.3">
      <c r="U302" t="e">
        <f t="shared" si="36"/>
        <v>#N/A</v>
      </c>
      <c r="X302" t="e">
        <f t="shared" si="37"/>
        <v>#N/A</v>
      </c>
      <c r="Y302" t="e">
        <f t="shared" si="38"/>
        <v>#N/A</v>
      </c>
      <c r="AC302" t="s">
        <v>306</v>
      </c>
      <c r="AD302">
        <v>13106</v>
      </c>
    </row>
    <row r="303" spans="21:30" x14ac:dyDescent="0.3">
      <c r="U303" t="e">
        <f t="shared" si="36"/>
        <v>#N/A</v>
      </c>
      <c r="X303" t="e">
        <f t="shared" si="37"/>
        <v>#N/A</v>
      </c>
      <c r="Y303" t="e">
        <f t="shared" si="38"/>
        <v>#N/A</v>
      </c>
      <c r="AC303" t="s">
        <v>307</v>
      </c>
      <c r="AD303">
        <v>13107</v>
      </c>
    </row>
    <row r="304" spans="21:30" x14ac:dyDescent="0.3">
      <c r="U304" t="e">
        <f t="shared" si="36"/>
        <v>#N/A</v>
      </c>
      <c r="X304" t="e">
        <f t="shared" si="37"/>
        <v>#N/A</v>
      </c>
      <c r="Y304" t="e">
        <f t="shared" si="38"/>
        <v>#N/A</v>
      </c>
      <c r="AC304" t="s">
        <v>308</v>
      </c>
      <c r="AD304">
        <v>13108</v>
      </c>
    </row>
    <row r="305" spans="21:30" x14ac:dyDescent="0.3">
      <c r="U305" t="e">
        <f t="shared" si="36"/>
        <v>#N/A</v>
      </c>
      <c r="X305" t="e">
        <f t="shared" si="37"/>
        <v>#N/A</v>
      </c>
      <c r="Y305" t="e">
        <f t="shared" si="38"/>
        <v>#N/A</v>
      </c>
      <c r="AC305" t="s">
        <v>309</v>
      </c>
      <c r="AD305">
        <v>13109</v>
      </c>
    </row>
    <row r="306" spans="21:30" x14ac:dyDescent="0.3">
      <c r="U306" t="e">
        <f t="shared" si="36"/>
        <v>#N/A</v>
      </c>
      <c r="X306" t="e">
        <f t="shared" si="37"/>
        <v>#N/A</v>
      </c>
      <c r="Y306" t="e">
        <f t="shared" si="38"/>
        <v>#N/A</v>
      </c>
      <c r="AC306" t="s">
        <v>310</v>
      </c>
      <c r="AD306">
        <v>13110</v>
      </c>
    </row>
    <row r="307" spans="21:30" x14ac:dyDescent="0.3">
      <c r="U307" t="e">
        <f t="shared" si="36"/>
        <v>#N/A</v>
      </c>
      <c r="X307" t="e">
        <f t="shared" si="37"/>
        <v>#N/A</v>
      </c>
      <c r="Y307" t="e">
        <f t="shared" si="38"/>
        <v>#N/A</v>
      </c>
      <c r="AC307" t="s">
        <v>311</v>
      </c>
      <c r="AD307">
        <v>13111</v>
      </c>
    </row>
    <row r="308" spans="21:30" x14ac:dyDescent="0.3">
      <c r="U308" t="e">
        <f t="shared" si="36"/>
        <v>#N/A</v>
      </c>
      <c r="X308" t="e">
        <f t="shared" si="37"/>
        <v>#N/A</v>
      </c>
      <c r="Y308" t="e">
        <f t="shared" si="38"/>
        <v>#N/A</v>
      </c>
      <c r="AC308" t="s">
        <v>312</v>
      </c>
      <c r="AD308">
        <v>13112</v>
      </c>
    </row>
    <row r="309" spans="21:30" x14ac:dyDescent="0.3">
      <c r="U309" t="e">
        <f t="shared" si="36"/>
        <v>#N/A</v>
      </c>
      <c r="X309" t="e">
        <f t="shared" si="37"/>
        <v>#N/A</v>
      </c>
      <c r="Y309" t="e">
        <f t="shared" si="38"/>
        <v>#N/A</v>
      </c>
      <c r="AC309" t="s">
        <v>313</v>
      </c>
      <c r="AD309">
        <v>13113</v>
      </c>
    </row>
    <row r="310" spans="21:30" x14ac:dyDescent="0.3">
      <c r="U310" t="e">
        <f t="shared" si="36"/>
        <v>#N/A</v>
      </c>
      <c r="X310" t="e">
        <f t="shared" si="37"/>
        <v>#N/A</v>
      </c>
      <c r="Y310" t="e">
        <f t="shared" si="38"/>
        <v>#N/A</v>
      </c>
      <c r="AC310" t="s">
        <v>314</v>
      </c>
      <c r="AD310">
        <v>13114</v>
      </c>
    </row>
    <row r="311" spans="21:30" x14ac:dyDescent="0.3">
      <c r="U311" t="e">
        <f t="shared" si="36"/>
        <v>#N/A</v>
      </c>
      <c r="X311" t="e">
        <f t="shared" si="37"/>
        <v>#N/A</v>
      </c>
      <c r="Y311" t="e">
        <f t="shared" si="38"/>
        <v>#N/A</v>
      </c>
      <c r="AC311" t="s">
        <v>315</v>
      </c>
      <c r="AD311">
        <v>13115</v>
      </c>
    </row>
    <row r="312" spans="21:30" x14ac:dyDescent="0.3">
      <c r="U312" t="e">
        <f t="shared" si="36"/>
        <v>#N/A</v>
      </c>
      <c r="X312" t="e">
        <f t="shared" si="37"/>
        <v>#N/A</v>
      </c>
      <c r="Y312" t="e">
        <f t="shared" si="38"/>
        <v>#N/A</v>
      </c>
      <c r="AC312" t="s">
        <v>316</v>
      </c>
      <c r="AD312">
        <v>13116</v>
      </c>
    </row>
    <row r="313" spans="21:30" x14ac:dyDescent="0.3">
      <c r="U313" t="e">
        <f t="shared" si="36"/>
        <v>#N/A</v>
      </c>
      <c r="X313" t="e">
        <f t="shared" si="37"/>
        <v>#N/A</v>
      </c>
      <c r="Y313" t="e">
        <f t="shared" si="38"/>
        <v>#N/A</v>
      </c>
      <c r="AC313" t="s">
        <v>317</v>
      </c>
      <c r="AD313">
        <v>13117</v>
      </c>
    </row>
    <row r="314" spans="21:30" x14ac:dyDescent="0.3">
      <c r="U314" t="e">
        <f t="shared" si="36"/>
        <v>#N/A</v>
      </c>
      <c r="X314" t="e">
        <f t="shared" si="37"/>
        <v>#N/A</v>
      </c>
      <c r="Y314" t="e">
        <f t="shared" si="38"/>
        <v>#N/A</v>
      </c>
      <c r="AC314" t="s">
        <v>318</v>
      </c>
      <c r="AD314">
        <v>13118</v>
      </c>
    </row>
    <row r="315" spans="21:30" x14ac:dyDescent="0.3">
      <c r="U315" t="e">
        <f t="shared" si="36"/>
        <v>#N/A</v>
      </c>
      <c r="X315" t="e">
        <f t="shared" si="37"/>
        <v>#N/A</v>
      </c>
      <c r="Y315" t="e">
        <f t="shared" si="38"/>
        <v>#N/A</v>
      </c>
      <c r="AC315" t="s">
        <v>319</v>
      </c>
      <c r="AD315">
        <v>13119</v>
      </c>
    </row>
    <row r="316" spans="21:30" x14ac:dyDescent="0.3">
      <c r="U316" t="e">
        <f t="shared" si="36"/>
        <v>#N/A</v>
      </c>
      <c r="X316" t="e">
        <f t="shared" si="37"/>
        <v>#N/A</v>
      </c>
      <c r="Y316" t="e">
        <f t="shared" si="38"/>
        <v>#N/A</v>
      </c>
      <c r="AC316" t="s">
        <v>320</v>
      </c>
      <c r="AD316">
        <v>13120</v>
      </c>
    </row>
    <row r="317" spans="21:30" x14ac:dyDescent="0.3">
      <c r="U317" t="e">
        <f t="shared" si="36"/>
        <v>#N/A</v>
      </c>
      <c r="X317" t="e">
        <f t="shared" si="37"/>
        <v>#N/A</v>
      </c>
      <c r="Y317" t="e">
        <f t="shared" si="38"/>
        <v>#N/A</v>
      </c>
      <c r="AC317" t="s">
        <v>321</v>
      </c>
      <c r="AD317">
        <v>13121</v>
      </c>
    </row>
    <row r="318" spans="21:30" x14ac:dyDescent="0.3">
      <c r="U318" t="e">
        <f t="shared" si="36"/>
        <v>#N/A</v>
      </c>
      <c r="X318" t="e">
        <f t="shared" si="37"/>
        <v>#N/A</v>
      </c>
      <c r="Y318" t="e">
        <f t="shared" si="38"/>
        <v>#N/A</v>
      </c>
      <c r="AC318" t="s">
        <v>322</v>
      </c>
      <c r="AD318">
        <v>13122</v>
      </c>
    </row>
    <row r="319" spans="21:30" x14ac:dyDescent="0.3">
      <c r="U319" t="e">
        <f t="shared" si="36"/>
        <v>#N/A</v>
      </c>
      <c r="X319" t="e">
        <f t="shared" si="37"/>
        <v>#N/A</v>
      </c>
      <c r="Y319" t="e">
        <f t="shared" si="38"/>
        <v>#N/A</v>
      </c>
      <c r="AC319" t="s">
        <v>323</v>
      </c>
      <c r="AD319">
        <v>13123</v>
      </c>
    </row>
    <row r="320" spans="21:30" x14ac:dyDescent="0.3">
      <c r="U320" t="e">
        <f t="shared" si="36"/>
        <v>#N/A</v>
      </c>
      <c r="X320" t="e">
        <f t="shared" si="37"/>
        <v>#N/A</v>
      </c>
      <c r="Y320" t="e">
        <f t="shared" si="38"/>
        <v>#N/A</v>
      </c>
      <c r="AC320" t="s">
        <v>324</v>
      </c>
      <c r="AD320">
        <v>13124</v>
      </c>
    </row>
    <row r="321" spans="21:30" x14ac:dyDescent="0.3">
      <c r="U321" t="e">
        <f t="shared" si="36"/>
        <v>#N/A</v>
      </c>
      <c r="X321" t="e">
        <f t="shared" si="37"/>
        <v>#N/A</v>
      </c>
      <c r="Y321" t="e">
        <f t="shared" si="38"/>
        <v>#N/A</v>
      </c>
      <c r="AC321" t="s">
        <v>325</v>
      </c>
      <c r="AD321">
        <v>13125</v>
      </c>
    </row>
    <row r="322" spans="21:30" x14ac:dyDescent="0.3">
      <c r="U322" t="e">
        <f t="shared" si="36"/>
        <v>#N/A</v>
      </c>
      <c r="X322" t="e">
        <f t="shared" si="37"/>
        <v>#N/A</v>
      </c>
      <c r="Y322" t="e">
        <f t="shared" si="38"/>
        <v>#N/A</v>
      </c>
      <c r="AC322" t="s">
        <v>326</v>
      </c>
      <c r="AD322">
        <v>13126</v>
      </c>
    </row>
    <row r="323" spans="21:30" x14ac:dyDescent="0.3">
      <c r="U323" t="e">
        <f t="shared" si="36"/>
        <v>#N/A</v>
      </c>
      <c r="X323" t="e">
        <f t="shared" si="37"/>
        <v>#N/A</v>
      </c>
      <c r="Y323" t="e">
        <f t="shared" si="38"/>
        <v>#N/A</v>
      </c>
      <c r="AC323" t="s">
        <v>19</v>
      </c>
      <c r="AD323">
        <v>13127</v>
      </c>
    </row>
    <row r="324" spans="21:30" x14ac:dyDescent="0.3">
      <c r="U324" t="e">
        <f t="shared" si="36"/>
        <v>#N/A</v>
      </c>
      <c r="X324" t="e">
        <f t="shared" si="37"/>
        <v>#N/A</v>
      </c>
      <c r="Y324" t="e">
        <f t="shared" si="38"/>
        <v>#N/A</v>
      </c>
      <c r="AC324" t="s">
        <v>327</v>
      </c>
      <c r="AD324">
        <v>13128</v>
      </c>
    </row>
    <row r="325" spans="21:30" x14ac:dyDescent="0.3">
      <c r="U325" t="e">
        <f t="shared" ref="U325:U366" si="39">+VLOOKUP(W325,$R$4:$S$6,2,0)*100000+X325</f>
        <v>#N/A</v>
      </c>
      <c r="X325" t="e">
        <f t="shared" ref="X325:X366" si="40">+VLOOKUP(V325,$AC$3:$AD$364,2,0)</f>
        <v>#N/A</v>
      </c>
      <c r="Y325" t="e">
        <f t="shared" ref="Y325:Y366" si="41">+U325</f>
        <v>#N/A</v>
      </c>
      <c r="AC325" t="s">
        <v>328</v>
      </c>
      <c r="AD325">
        <v>13129</v>
      </c>
    </row>
    <row r="326" spans="21:30" x14ac:dyDescent="0.3">
      <c r="U326" t="e">
        <f t="shared" si="39"/>
        <v>#N/A</v>
      </c>
      <c r="X326" t="e">
        <f t="shared" si="40"/>
        <v>#N/A</v>
      </c>
      <c r="Y326" t="e">
        <f t="shared" si="41"/>
        <v>#N/A</v>
      </c>
      <c r="AC326" t="s">
        <v>329</v>
      </c>
      <c r="AD326">
        <v>13130</v>
      </c>
    </row>
    <row r="327" spans="21:30" x14ac:dyDescent="0.3">
      <c r="U327" t="e">
        <f t="shared" si="39"/>
        <v>#N/A</v>
      </c>
      <c r="X327" t="e">
        <f t="shared" si="40"/>
        <v>#N/A</v>
      </c>
      <c r="Y327" t="e">
        <f t="shared" si="41"/>
        <v>#N/A</v>
      </c>
      <c r="AC327" t="s">
        <v>330</v>
      </c>
      <c r="AD327">
        <v>13131</v>
      </c>
    </row>
    <row r="328" spans="21:30" x14ac:dyDescent="0.3">
      <c r="U328" t="e">
        <f t="shared" si="39"/>
        <v>#N/A</v>
      </c>
      <c r="X328" t="e">
        <f t="shared" si="40"/>
        <v>#N/A</v>
      </c>
      <c r="Y328" t="e">
        <f t="shared" si="41"/>
        <v>#N/A</v>
      </c>
      <c r="AC328" t="s">
        <v>331</v>
      </c>
      <c r="AD328">
        <v>13132</v>
      </c>
    </row>
    <row r="329" spans="21:30" x14ac:dyDescent="0.3">
      <c r="U329" t="e">
        <f t="shared" si="39"/>
        <v>#N/A</v>
      </c>
      <c r="X329" t="e">
        <f t="shared" si="40"/>
        <v>#N/A</v>
      </c>
      <c r="Y329" t="e">
        <f t="shared" si="41"/>
        <v>#N/A</v>
      </c>
      <c r="AC329" t="s">
        <v>332</v>
      </c>
      <c r="AD329">
        <v>13201</v>
      </c>
    </row>
    <row r="330" spans="21:30" x14ac:dyDescent="0.3">
      <c r="U330" t="e">
        <f t="shared" si="39"/>
        <v>#N/A</v>
      </c>
      <c r="X330" t="e">
        <f t="shared" si="40"/>
        <v>#N/A</v>
      </c>
      <c r="Y330" t="e">
        <f t="shared" si="41"/>
        <v>#N/A</v>
      </c>
      <c r="AC330" t="s">
        <v>333</v>
      </c>
      <c r="AD330">
        <v>13202</v>
      </c>
    </row>
    <row r="331" spans="21:30" x14ac:dyDescent="0.3">
      <c r="U331" t="e">
        <f t="shared" si="39"/>
        <v>#N/A</v>
      </c>
      <c r="X331" t="e">
        <f t="shared" si="40"/>
        <v>#N/A</v>
      </c>
      <c r="Y331" t="e">
        <f t="shared" si="41"/>
        <v>#N/A</v>
      </c>
      <c r="AC331" t="s">
        <v>334</v>
      </c>
      <c r="AD331">
        <v>13203</v>
      </c>
    </row>
    <row r="332" spans="21:30" x14ac:dyDescent="0.3">
      <c r="U332" t="e">
        <f t="shared" si="39"/>
        <v>#N/A</v>
      </c>
      <c r="X332" t="e">
        <f t="shared" si="40"/>
        <v>#N/A</v>
      </c>
      <c r="Y332" t="e">
        <f t="shared" si="41"/>
        <v>#N/A</v>
      </c>
      <c r="AC332" t="s">
        <v>335</v>
      </c>
      <c r="AD332">
        <v>13301</v>
      </c>
    </row>
    <row r="333" spans="21:30" x14ac:dyDescent="0.3">
      <c r="U333" t="e">
        <f t="shared" si="39"/>
        <v>#N/A</v>
      </c>
      <c r="X333" t="e">
        <f t="shared" si="40"/>
        <v>#N/A</v>
      </c>
      <c r="Y333" t="e">
        <f t="shared" si="41"/>
        <v>#N/A</v>
      </c>
      <c r="AC333" t="s">
        <v>336</v>
      </c>
      <c r="AD333">
        <v>13302</v>
      </c>
    </row>
    <row r="334" spans="21:30" x14ac:dyDescent="0.3">
      <c r="U334" t="e">
        <f t="shared" si="39"/>
        <v>#N/A</v>
      </c>
      <c r="X334" t="e">
        <f t="shared" si="40"/>
        <v>#N/A</v>
      </c>
      <c r="Y334" t="e">
        <f t="shared" si="41"/>
        <v>#N/A</v>
      </c>
      <c r="AC334" t="s">
        <v>337</v>
      </c>
      <c r="AD334">
        <v>13303</v>
      </c>
    </row>
    <row r="335" spans="21:30" x14ac:dyDescent="0.3">
      <c r="U335" t="e">
        <f t="shared" si="39"/>
        <v>#N/A</v>
      </c>
      <c r="X335" t="e">
        <f t="shared" si="40"/>
        <v>#N/A</v>
      </c>
      <c r="Y335" t="e">
        <f t="shared" si="41"/>
        <v>#N/A</v>
      </c>
      <c r="AC335" t="s">
        <v>338</v>
      </c>
      <c r="AD335">
        <v>13401</v>
      </c>
    </row>
    <row r="336" spans="21:30" x14ac:dyDescent="0.3">
      <c r="U336" t="e">
        <f t="shared" si="39"/>
        <v>#N/A</v>
      </c>
      <c r="X336" t="e">
        <f t="shared" si="40"/>
        <v>#N/A</v>
      </c>
      <c r="Y336" t="e">
        <f t="shared" si="41"/>
        <v>#N/A</v>
      </c>
      <c r="AC336" t="s">
        <v>339</v>
      </c>
      <c r="AD336">
        <v>13402</v>
      </c>
    </row>
    <row r="337" spans="21:30" x14ac:dyDescent="0.3">
      <c r="U337" t="e">
        <f t="shared" si="39"/>
        <v>#N/A</v>
      </c>
      <c r="X337" t="e">
        <f t="shared" si="40"/>
        <v>#N/A</v>
      </c>
      <c r="Y337" t="e">
        <f t="shared" si="41"/>
        <v>#N/A</v>
      </c>
      <c r="AC337" t="s">
        <v>340</v>
      </c>
      <c r="AD337">
        <v>13403</v>
      </c>
    </row>
    <row r="338" spans="21:30" x14ac:dyDescent="0.3">
      <c r="U338" t="e">
        <f t="shared" si="39"/>
        <v>#N/A</v>
      </c>
      <c r="X338" t="e">
        <f t="shared" si="40"/>
        <v>#N/A</v>
      </c>
      <c r="Y338" t="e">
        <f t="shared" si="41"/>
        <v>#N/A</v>
      </c>
      <c r="AC338" t="s">
        <v>341</v>
      </c>
      <c r="AD338">
        <v>13404</v>
      </c>
    </row>
    <row r="339" spans="21:30" x14ac:dyDescent="0.3">
      <c r="U339" t="e">
        <f t="shared" si="39"/>
        <v>#N/A</v>
      </c>
      <c r="X339" t="e">
        <f t="shared" si="40"/>
        <v>#N/A</v>
      </c>
      <c r="Y339" t="e">
        <f t="shared" si="41"/>
        <v>#N/A</v>
      </c>
      <c r="AC339" t="s">
        <v>342</v>
      </c>
      <c r="AD339">
        <v>13501</v>
      </c>
    </row>
    <row r="340" spans="21:30" x14ac:dyDescent="0.3">
      <c r="U340" t="e">
        <f t="shared" si="39"/>
        <v>#N/A</v>
      </c>
      <c r="X340" t="e">
        <f t="shared" si="40"/>
        <v>#N/A</v>
      </c>
      <c r="Y340" t="e">
        <f t="shared" si="41"/>
        <v>#N/A</v>
      </c>
      <c r="AC340" t="s">
        <v>343</v>
      </c>
      <c r="AD340">
        <v>13502</v>
      </c>
    </row>
    <row r="341" spans="21:30" x14ac:dyDescent="0.3">
      <c r="U341" t="e">
        <f t="shared" si="39"/>
        <v>#N/A</v>
      </c>
      <c r="X341" t="e">
        <f t="shared" si="40"/>
        <v>#N/A</v>
      </c>
      <c r="Y341" t="e">
        <f t="shared" si="41"/>
        <v>#N/A</v>
      </c>
      <c r="AC341" t="s">
        <v>344</v>
      </c>
      <c r="AD341">
        <v>13503</v>
      </c>
    </row>
    <row r="342" spans="21:30" x14ac:dyDescent="0.3">
      <c r="U342" t="e">
        <f t="shared" si="39"/>
        <v>#N/A</v>
      </c>
      <c r="X342" t="e">
        <f t="shared" si="40"/>
        <v>#N/A</v>
      </c>
      <c r="Y342" t="e">
        <f t="shared" si="41"/>
        <v>#N/A</v>
      </c>
      <c r="AC342" t="s">
        <v>345</v>
      </c>
      <c r="AD342">
        <v>13504</v>
      </c>
    </row>
    <row r="343" spans="21:30" x14ac:dyDescent="0.3">
      <c r="U343" t="e">
        <f t="shared" si="39"/>
        <v>#N/A</v>
      </c>
      <c r="X343" t="e">
        <f t="shared" si="40"/>
        <v>#N/A</v>
      </c>
      <c r="Y343" t="e">
        <f t="shared" si="41"/>
        <v>#N/A</v>
      </c>
      <c r="AC343" t="s">
        <v>346</v>
      </c>
      <c r="AD343">
        <v>13505</v>
      </c>
    </row>
    <row r="344" spans="21:30" x14ac:dyDescent="0.3">
      <c r="U344" t="e">
        <f t="shared" si="39"/>
        <v>#N/A</v>
      </c>
      <c r="X344" t="e">
        <f t="shared" si="40"/>
        <v>#N/A</v>
      </c>
      <c r="Y344" t="e">
        <f t="shared" si="41"/>
        <v>#N/A</v>
      </c>
      <c r="AC344" t="s">
        <v>347</v>
      </c>
      <c r="AD344">
        <v>13601</v>
      </c>
    </row>
    <row r="345" spans="21:30" x14ac:dyDescent="0.3">
      <c r="U345" t="e">
        <f t="shared" si="39"/>
        <v>#N/A</v>
      </c>
      <c r="X345" t="e">
        <f t="shared" si="40"/>
        <v>#N/A</v>
      </c>
      <c r="Y345" t="e">
        <f t="shared" si="41"/>
        <v>#N/A</v>
      </c>
      <c r="AC345" t="s">
        <v>348</v>
      </c>
      <c r="AD345">
        <v>13602</v>
      </c>
    </row>
    <row r="346" spans="21:30" x14ac:dyDescent="0.3">
      <c r="U346" t="e">
        <f t="shared" si="39"/>
        <v>#N/A</v>
      </c>
      <c r="X346" t="e">
        <f t="shared" si="40"/>
        <v>#N/A</v>
      </c>
      <c r="Y346" t="e">
        <f t="shared" si="41"/>
        <v>#N/A</v>
      </c>
      <c r="AC346" t="s">
        <v>349</v>
      </c>
      <c r="AD346">
        <v>13603</v>
      </c>
    </row>
    <row r="347" spans="21:30" x14ac:dyDescent="0.3">
      <c r="U347" t="e">
        <f t="shared" si="39"/>
        <v>#N/A</v>
      </c>
      <c r="X347" t="e">
        <f t="shared" si="40"/>
        <v>#N/A</v>
      </c>
      <c r="Y347" t="e">
        <f t="shared" si="41"/>
        <v>#N/A</v>
      </c>
      <c r="AC347" t="s">
        <v>350</v>
      </c>
      <c r="AD347">
        <v>13604</v>
      </c>
    </row>
    <row r="348" spans="21:30" x14ac:dyDescent="0.3">
      <c r="U348" t="e">
        <f t="shared" si="39"/>
        <v>#N/A</v>
      </c>
      <c r="X348" t="e">
        <f t="shared" si="40"/>
        <v>#N/A</v>
      </c>
      <c r="Y348" t="e">
        <f t="shared" si="41"/>
        <v>#N/A</v>
      </c>
      <c r="AC348" t="s">
        <v>351</v>
      </c>
      <c r="AD348">
        <v>13605</v>
      </c>
    </row>
    <row r="349" spans="21:30" x14ac:dyDescent="0.3">
      <c r="U349" t="e">
        <f t="shared" si="39"/>
        <v>#N/A</v>
      </c>
      <c r="X349" t="e">
        <f t="shared" si="40"/>
        <v>#N/A</v>
      </c>
      <c r="Y349" t="e">
        <f t="shared" si="41"/>
        <v>#N/A</v>
      </c>
      <c r="AC349" t="s">
        <v>352</v>
      </c>
      <c r="AD349">
        <v>14101</v>
      </c>
    </row>
    <row r="350" spans="21:30" x14ac:dyDescent="0.3">
      <c r="U350" t="e">
        <f t="shared" si="39"/>
        <v>#N/A</v>
      </c>
      <c r="X350" t="e">
        <f t="shared" si="40"/>
        <v>#N/A</v>
      </c>
      <c r="Y350" t="e">
        <f t="shared" si="41"/>
        <v>#N/A</v>
      </c>
      <c r="AC350" t="s">
        <v>353</v>
      </c>
      <c r="AD350">
        <v>14102</v>
      </c>
    </row>
    <row r="351" spans="21:30" x14ac:dyDescent="0.3">
      <c r="U351" t="e">
        <f t="shared" si="39"/>
        <v>#N/A</v>
      </c>
      <c r="X351" t="e">
        <f t="shared" si="40"/>
        <v>#N/A</v>
      </c>
      <c r="Y351" t="e">
        <f t="shared" si="41"/>
        <v>#N/A</v>
      </c>
      <c r="AC351" t="s">
        <v>354</v>
      </c>
      <c r="AD351">
        <v>14103</v>
      </c>
    </row>
    <row r="352" spans="21:30" x14ac:dyDescent="0.3">
      <c r="U352" t="e">
        <f t="shared" si="39"/>
        <v>#N/A</v>
      </c>
      <c r="X352" t="e">
        <f t="shared" si="40"/>
        <v>#N/A</v>
      </c>
      <c r="Y352" t="e">
        <f t="shared" si="41"/>
        <v>#N/A</v>
      </c>
      <c r="AC352" t="s">
        <v>29</v>
      </c>
      <c r="AD352">
        <v>14104</v>
      </c>
    </row>
    <row r="353" spans="21:30" x14ac:dyDescent="0.3">
      <c r="U353" t="e">
        <f t="shared" si="39"/>
        <v>#N/A</v>
      </c>
      <c r="X353" t="e">
        <f t="shared" si="40"/>
        <v>#N/A</v>
      </c>
      <c r="Y353" t="e">
        <f t="shared" si="41"/>
        <v>#N/A</v>
      </c>
      <c r="AC353" t="s">
        <v>355</v>
      </c>
      <c r="AD353">
        <v>14105</v>
      </c>
    </row>
    <row r="354" spans="21:30" x14ac:dyDescent="0.3">
      <c r="U354" t="e">
        <f t="shared" si="39"/>
        <v>#N/A</v>
      </c>
      <c r="X354" t="e">
        <f t="shared" si="40"/>
        <v>#N/A</v>
      </c>
      <c r="Y354" t="e">
        <f t="shared" si="41"/>
        <v>#N/A</v>
      </c>
      <c r="AC354" t="s">
        <v>356</v>
      </c>
      <c r="AD354">
        <v>14106</v>
      </c>
    </row>
    <row r="355" spans="21:30" x14ac:dyDescent="0.3">
      <c r="U355" t="e">
        <f t="shared" si="39"/>
        <v>#N/A</v>
      </c>
      <c r="X355" t="e">
        <f t="shared" si="40"/>
        <v>#N/A</v>
      </c>
      <c r="Y355" t="e">
        <f t="shared" si="41"/>
        <v>#N/A</v>
      </c>
      <c r="AC355" t="s">
        <v>357</v>
      </c>
      <c r="AD355">
        <v>14107</v>
      </c>
    </row>
    <row r="356" spans="21:30" x14ac:dyDescent="0.3">
      <c r="U356" t="e">
        <f t="shared" si="39"/>
        <v>#N/A</v>
      </c>
      <c r="X356" t="e">
        <f t="shared" si="40"/>
        <v>#N/A</v>
      </c>
      <c r="Y356" t="e">
        <f t="shared" si="41"/>
        <v>#N/A</v>
      </c>
      <c r="AC356" t="s">
        <v>358</v>
      </c>
      <c r="AD356">
        <v>14108</v>
      </c>
    </row>
    <row r="357" spans="21:30" x14ac:dyDescent="0.3">
      <c r="U357" t="e">
        <f t="shared" si="39"/>
        <v>#N/A</v>
      </c>
      <c r="X357" t="e">
        <f t="shared" si="40"/>
        <v>#N/A</v>
      </c>
      <c r="Y357" t="e">
        <f t="shared" si="41"/>
        <v>#N/A</v>
      </c>
      <c r="AC357" t="s">
        <v>359</v>
      </c>
      <c r="AD357">
        <v>14201</v>
      </c>
    </row>
    <row r="358" spans="21:30" x14ac:dyDescent="0.3">
      <c r="U358" t="e">
        <f t="shared" si="39"/>
        <v>#N/A</v>
      </c>
      <c r="X358" t="e">
        <f t="shared" si="40"/>
        <v>#N/A</v>
      </c>
      <c r="Y358" t="e">
        <f t="shared" si="41"/>
        <v>#N/A</v>
      </c>
      <c r="AC358" t="s">
        <v>360</v>
      </c>
      <c r="AD358">
        <v>14202</v>
      </c>
    </row>
    <row r="359" spans="21:30" x14ac:dyDescent="0.3">
      <c r="U359" t="e">
        <f t="shared" si="39"/>
        <v>#N/A</v>
      </c>
      <c r="X359" t="e">
        <f t="shared" si="40"/>
        <v>#N/A</v>
      </c>
      <c r="Y359" t="e">
        <f t="shared" si="41"/>
        <v>#N/A</v>
      </c>
      <c r="AC359" t="s">
        <v>361</v>
      </c>
      <c r="AD359">
        <v>14203</v>
      </c>
    </row>
    <row r="360" spans="21:30" x14ac:dyDescent="0.3">
      <c r="U360" t="e">
        <f t="shared" si="39"/>
        <v>#N/A</v>
      </c>
      <c r="X360" t="e">
        <f t="shared" si="40"/>
        <v>#N/A</v>
      </c>
      <c r="Y360" t="e">
        <f t="shared" si="41"/>
        <v>#N/A</v>
      </c>
      <c r="AC360" t="s">
        <v>362</v>
      </c>
      <c r="AD360">
        <v>14204</v>
      </c>
    </row>
    <row r="361" spans="21:30" x14ac:dyDescent="0.3">
      <c r="U361" t="e">
        <f t="shared" si="39"/>
        <v>#N/A</v>
      </c>
      <c r="X361" t="e">
        <f t="shared" si="40"/>
        <v>#N/A</v>
      </c>
      <c r="Y361" t="e">
        <f t="shared" si="41"/>
        <v>#N/A</v>
      </c>
      <c r="AC361" t="s">
        <v>363</v>
      </c>
      <c r="AD361">
        <v>15101</v>
      </c>
    </row>
    <row r="362" spans="21:30" x14ac:dyDescent="0.3">
      <c r="U362" t="e">
        <f t="shared" si="39"/>
        <v>#N/A</v>
      </c>
      <c r="X362" t="e">
        <f t="shared" si="40"/>
        <v>#N/A</v>
      </c>
      <c r="Y362" t="e">
        <f t="shared" si="41"/>
        <v>#N/A</v>
      </c>
      <c r="AC362" t="s">
        <v>364</v>
      </c>
      <c r="AD362">
        <v>15102</v>
      </c>
    </row>
    <row r="363" spans="21:30" x14ac:dyDescent="0.3">
      <c r="U363" t="e">
        <f t="shared" si="39"/>
        <v>#N/A</v>
      </c>
      <c r="X363" t="e">
        <f t="shared" si="40"/>
        <v>#N/A</v>
      </c>
      <c r="Y363" t="e">
        <f t="shared" si="41"/>
        <v>#N/A</v>
      </c>
      <c r="AC363" t="s">
        <v>365</v>
      </c>
      <c r="AD363">
        <v>15201</v>
      </c>
    </row>
    <row r="364" spans="21:30" x14ac:dyDescent="0.3">
      <c r="U364" t="e">
        <f t="shared" si="39"/>
        <v>#N/A</v>
      </c>
      <c r="X364" t="e">
        <f t="shared" si="40"/>
        <v>#N/A</v>
      </c>
      <c r="Y364" t="e">
        <f t="shared" si="41"/>
        <v>#N/A</v>
      </c>
      <c r="AC364" t="s">
        <v>366</v>
      </c>
      <c r="AD364">
        <v>15202</v>
      </c>
    </row>
    <row r="365" spans="21:30" x14ac:dyDescent="0.3">
      <c r="U365" t="e">
        <f t="shared" si="39"/>
        <v>#N/A</v>
      </c>
      <c r="X365" t="e">
        <f t="shared" si="40"/>
        <v>#N/A</v>
      </c>
      <c r="Y365" t="e">
        <f t="shared" si="41"/>
        <v>#N/A</v>
      </c>
    </row>
    <row r="366" spans="21:30" x14ac:dyDescent="0.3">
      <c r="U366" t="e">
        <f t="shared" si="39"/>
        <v>#N/A</v>
      </c>
      <c r="X366" t="e">
        <f t="shared" si="40"/>
        <v>#N/A</v>
      </c>
      <c r="Y366" t="e">
        <f t="shared" si="41"/>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A89A-B284-4524-A564-1E9E745816B0}">
  <sheetPr>
    <tabColor rgb="FFFFC000"/>
  </sheetPr>
  <dimension ref="A3:G1696"/>
  <sheetViews>
    <sheetView workbookViewId="0">
      <selection activeCell="B14" sqref="B14"/>
    </sheetView>
  </sheetViews>
  <sheetFormatPr baseColWidth="10" defaultRowHeight="14.4" x14ac:dyDescent="0.3"/>
  <cols>
    <col min="1" max="2" width="37.109375" bestFit="1" customWidth="1"/>
    <col min="3" max="3" width="8.44140625" bestFit="1" customWidth="1"/>
    <col min="4" max="4" width="44" bestFit="1" customWidth="1"/>
    <col min="5" max="5" width="24.44140625" bestFit="1" customWidth="1"/>
    <col min="6" max="6" width="14.44140625" bestFit="1" customWidth="1"/>
    <col min="7" max="7" width="12.77734375" bestFit="1" customWidth="1"/>
  </cols>
  <sheetData>
    <row r="3" spans="1:7" x14ac:dyDescent="0.3">
      <c r="A3" s="65" t="s">
        <v>3</v>
      </c>
      <c r="B3" s="65" t="s">
        <v>4</v>
      </c>
      <c r="C3" s="65" t="s">
        <v>5</v>
      </c>
      <c r="D3" s="65" t="s">
        <v>24</v>
      </c>
      <c r="E3" s="65" t="s">
        <v>6</v>
      </c>
      <c r="F3" s="65" t="s">
        <v>25</v>
      </c>
      <c r="G3" s="65" t="s">
        <v>384</v>
      </c>
    </row>
    <row r="4" spans="1:7" x14ac:dyDescent="0.3">
      <c r="A4" s="64" t="s">
        <v>1429</v>
      </c>
      <c r="B4" s="64" t="s">
        <v>4290</v>
      </c>
      <c r="C4" s="64" t="s">
        <v>20</v>
      </c>
      <c r="D4" s="64" t="s">
        <v>18</v>
      </c>
      <c r="E4" s="64" t="s">
        <v>15</v>
      </c>
      <c r="F4" s="64" t="s">
        <v>1425</v>
      </c>
      <c r="G4" s="64" t="s">
        <v>957</v>
      </c>
    </row>
    <row r="5" spans="1:7" x14ac:dyDescent="0.3">
      <c r="A5" s="64" t="s">
        <v>1429</v>
      </c>
      <c r="B5" s="64" t="s">
        <v>4290</v>
      </c>
      <c r="C5" s="64" t="s">
        <v>20</v>
      </c>
      <c r="D5" s="64" t="s">
        <v>16</v>
      </c>
      <c r="E5" s="64" t="s">
        <v>15</v>
      </c>
      <c r="F5" s="64" t="s">
        <v>1425</v>
      </c>
      <c r="G5" s="64" t="s">
        <v>805</v>
      </c>
    </row>
    <row r="6" spans="1:7" x14ac:dyDescent="0.3">
      <c r="A6" s="64" t="s">
        <v>1429</v>
      </c>
      <c r="B6" s="64" t="s">
        <v>4290</v>
      </c>
      <c r="C6" s="64" t="s">
        <v>20</v>
      </c>
      <c r="D6" s="64" t="s">
        <v>16</v>
      </c>
      <c r="E6" s="64" t="s">
        <v>15</v>
      </c>
      <c r="F6" s="64" t="s">
        <v>1425</v>
      </c>
      <c r="G6" s="64" t="s">
        <v>957</v>
      </c>
    </row>
    <row r="7" spans="1:7" x14ac:dyDescent="0.3">
      <c r="A7" s="64" t="s">
        <v>1429</v>
      </c>
      <c r="B7" s="64" t="s">
        <v>4290</v>
      </c>
      <c r="C7" s="64" t="s">
        <v>16</v>
      </c>
      <c r="D7" s="64" t="s">
        <v>18</v>
      </c>
      <c r="E7" s="64" t="s">
        <v>369</v>
      </c>
      <c r="F7" s="64" t="s">
        <v>1425</v>
      </c>
      <c r="G7" s="64" t="s">
        <v>1844</v>
      </c>
    </row>
    <row r="8" spans="1:7" x14ac:dyDescent="0.3">
      <c r="A8" s="64" t="s">
        <v>1429</v>
      </c>
      <c r="B8" s="64" t="s">
        <v>4290</v>
      </c>
      <c r="C8" s="64" t="s">
        <v>16</v>
      </c>
      <c r="D8" s="64" t="s">
        <v>18</v>
      </c>
      <c r="E8" s="64" t="s">
        <v>382</v>
      </c>
      <c r="F8" s="64" t="s">
        <v>1425</v>
      </c>
      <c r="G8" s="64" t="s">
        <v>1845</v>
      </c>
    </row>
    <row r="9" spans="1:7" x14ac:dyDescent="0.3">
      <c r="A9" s="64" t="s">
        <v>1429</v>
      </c>
      <c r="B9" s="64" t="s">
        <v>4290</v>
      </c>
      <c r="C9" s="64" t="s">
        <v>16</v>
      </c>
      <c r="D9" s="64" t="s">
        <v>18</v>
      </c>
      <c r="E9" s="64" t="s">
        <v>370</v>
      </c>
      <c r="F9" s="64" t="s">
        <v>1425</v>
      </c>
      <c r="G9" s="64" t="s">
        <v>1846</v>
      </c>
    </row>
    <row r="10" spans="1:7" x14ac:dyDescent="0.3">
      <c r="A10" s="64" t="s">
        <v>1429</v>
      </c>
      <c r="B10" s="64" t="s">
        <v>4290</v>
      </c>
      <c r="C10" s="64" t="s">
        <v>16</v>
      </c>
      <c r="D10" s="64" t="s">
        <v>18</v>
      </c>
      <c r="E10" s="64" t="s">
        <v>378</v>
      </c>
      <c r="F10" s="64" t="s">
        <v>1425</v>
      </c>
      <c r="G10" s="64" t="s">
        <v>1847</v>
      </c>
    </row>
    <row r="11" spans="1:7" x14ac:dyDescent="0.3">
      <c r="A11" s="64" t="s">
        <v>1429</v>
      </c>
      <c r="B11" s="64" t="s">
        <v>4290</v>
      </c>
      <c r="C11" s="64" t="s">
        <v>16</v>
      </c>
      <c r="D11" s="64" t="s">
        <v>18</v>
      </c>
      <c r="E11" s="64" t="s">
        <v>371</v>
      </c>
      <c r="F11" s="64" t="s">
        <v>1425</v>
      </c>
      <c r="G11" s="64" t="s">
        <v>1848</v>
      </c>
    </row>
    <row r="12" spans="1:7" x14ac:dyDescent="0.3">
      <c r="A12" s="64" t="s">
        <v>1429</v>
      </c>
      <c r="B12" s="64" t="s">
        <v>4290</v>
      </c>
      <c r="C12" s="64" t="s">
        <v>16</v>
      </c>
      <c r="D12" s="64" t="s">
        <v>18</v>
      </c>
      <c r="E12" s="64" t="s">
        <v>376</v>
      </c>
      <c r="F12" s="64" t="s">
        <v>1425</v>
      </c>
      <c r="G12" s="64" t="s">
        <v>1849</v>
      </c>
    </row>
    <row r="13" spans="1:7" x14ac:dyDescent="0.3">
      <c r="A13" s="64" t="s">
        <v>1429</v>
      </c>
      <c r="B13" s="64" t="s">
        <v>4290</v>
      </c>
      <c r="C13" s="64" t="s">
        <v>16</v>
      </c>
      <c r="D13" s="64" t="s">
        <v>18</v>
      </c>
      <c r="E13" s="64" t="s">
        <v>377</v>
      </c>
      <c r="F13" s="64" t="s">
        <v>1425</v>
      </c>
      <c r="G13" s="64" t="s">
        <v>1850</v>
      </c>
    </row>
    <row r="14" spans="1:7" x14ac:dyDescent="0.3">
      <c r="A14" s="64" t="s">
        <v>1429</v>
      </c>
      <c r="B14" s="64" t="s">
        <v>4290</v>
      </c>
      <c r="C14" s="64" t="s">
        <v>16</v>
      </c>
      <c r="D14" s="64" t="s">
        <v>18</v>
      </c>
      <c r="E14" s="64" t="s">
        <v>381</v>
      </c>
      <c r="F14" s="64" t="s">
        <v>1425</v>
      </c>
      <c r="G14" s="64" t="s">
        <v>1851</v>
      </c>
    </row>
    <row r="15" spans="1:7" x14ac:dyDescent="0.3">
      <c r="A15" s="64" t="s">
        <v>1429</v>
      </c>
      <c r="B15" s="64" t="s">
        <v>4290</v>
      </c>
      <c r="C15" s="64" t="s">
        <v>16</v>
      </c>
      <c r="D15" s="64" t="s">
        <v>18</v>
      </c>
      <c r="E15" s="64" t="s">
        <v>379</v>
      </c>
      <c r="F15" s="64" t="s">
        <v>1425</v>
      </c>
      <c r="G15" s="64" t="s">
        <v>1852</v>
      </c>
    </row>
    <row r="16" spans="1:7" x14ac:dyDescent="0.3">
      <c r="A16" s="64" t="s">
        <v>1429</v>
      </c>
      <c r="B16" s="64" t="s">
        <v>4290</v>
      </c>
      <c r="C16" s="64" t="s">
        <v>16</v>
      </c>
      <c r="D16" s="64" t="s">
        <v>18</v>
      </c>
      <c r="E16" s="64" t="s">
        <v>374</v>
      </c>
      <c r="F16" s="64" t="s">
        <v>1425</v>
      </c>
      <c r="G16" s="64" t="s">
        <v>1853</v>
      </c>
    </row>
    <row r="17" spans="1:7" x14ac:dyDescent="0.3">
      <c r="A17" s="64" t="s">
        <v>1429</v>
      </c>
      <c r="B17" s="64" t="s">
        <v>4290</v>
      </c>
      <c r="C17" s="64" t="s">
        <v>16</v>
      </c>
      <c r="D17" s="64" t="s">
        <v>18</v>
      </c>
      <c r="E17" s="64" t="s">
        <v>383</v>
      </c>
      <c r="F17" s="64" t="s">
        <v>1425</v>
      </c>
      <c r="G17" s="64" t="s">
        <v>1854</v>
      </c>
    </row>
    <row r="18" spans="1:7" x14ac:dyDescent="0.3">
      <c r="A18" s="64" t="s">
        <v>1429</v>
      </c>
      <c r="B18" s="64" t="s">
        <v>4290</v>
      </c>
      <c r="C18" s="64" t="s">
        <v>16</v>
      </c>
      <c r="D18" s="64" t="s">
        <v>18</v>
      </c>
      <c r="E18" s="64" t="s">
        <v>373</v>
      </c>
      <c r="F18" s="64" t="s">
        <v>1425</v>
      </c>
      <c r="G18" s="64" t="s">
        <v>1855</v>
      </c>
    </row>
    <row r="19" spans="1:7" x14ac:dyDescent="0.3">
      <c r="A19" s="64" t="s">
        <v>1429</v>
      </c>
      <c r="B19" s="64" t="s">
        <v>4290</v>
      </c>
      <c r="C19" s="64" t="s">
        <v>16</v>
      </c>
      <c r="D19" s="64" t="s">
        <v>18</v>
      </c>
      <c r="E19" s="64" t="s">
        <v>368</v>
      </c>
      <c r="F19" s="64" t="s">
        <v>1425</v>
      </c>
      <c r="G19" s="64" t="s">
        <v>1856</v>
      </c>
    </row>
    <row r="20" spans="1:7" x14ac:dyDescent="0.3">
      <c r="A20" s="64" t="s">
        <v>1429</v>
      </c>
      <c r="B20" s="64" t="s">
        <v>4290</v>
      </c>
      <c r="C20" s="64" t="s">
        <v>16</v>
      </c>
      <c r="D20" s="64" t="s">
        <v>18</v>
      </c>
      <c r="E20" s="64" t="s">
        <v>372</v>
      </c>
      <c r="F20" s="64" t="s">
        <v>1425</v>
      </c>
      <c r="G20" s="64" t="s">
        <v>1857</v>
      </c>
    </row>
    <row r="21" spans="1:7" x14ac:dyDescent="0.3">
      <c r="A21" s="64" t="s">
        <v>1429</v>
      </c>
      <c r="B21" s="64" t="s">
        <v>4290</v>
      </c>
      <c r="C21" s="64" t="s">
        <v>16</v>
      </c>
      <c r="D21" s="64" t="s">
        <v>18</v>
      </c>
      <c r="E21" s="64" t="s">
        <v>375</v>
      </c>
      <c r="F21" s="64" t="s">
        <v>1425</v>
      </c>
      <c r="G21" s="64" t="s">
        <v>1858</v>
      </c>
    </row>
    <row r="22" spans="1:7" x14ac:dyDescent="0.3">
      <c r="A22" s="64" t="s">
        <v>1429</v>
      </c>
      <c r="B22" s="64" t="s">
        <v>4290</v>
      </c>
      <c r="C22" s="64" t="s">
        <v>16</v>
      </c>
      <c r="D22" s="64" t="s">
        <v>18</v>
      </c>
      <c r="E22" s="64" t="s">
        <v>380</v>
      </c>
      <c r="F22" s="64" t="s">
        <v>1425</v>
      </c>
      <c r="G22" s="64" t="s">
        <v>1859</v>
      </c>
    </row>
    <row r="23" spans="1:7" x14ac:dyDescent="0.3">
      <c r="A23" s="64" t="s">
        <v>1429</v>
      </c>
      <c r="B23" s="64" t="s">
        <v>4290</v>
      </c>
      <c r="C23" s="64" t="s">
        <v>16</v>
      </c>
      <c r="D23" s="64" t="s">
        <v>403</v>
      </c>
      <c r="E23" s="64" t="s">
        <v>369</v>
      </c>
      <c r="F23" s="64" t="s">
        <v>1425</v>
      </c>
      <c r="G23" s="64" t="s">
        <v>1860</v>
      </c>
    </row>
    <row r="24" spans="1:7" x14ac:dyDescent="0.3">
      <c r="A24" s="64" t="s">
        <v>1429</v>
      </c>
      <c r="B24" s="64" t="s">
        <v>4290</v>
      </c>
      <c r="C24" s="64" t="s">
        <v>16</v>
      </c>
      <c r="D24" s="64" t="s">
        <v>403</v>
      </c>
      <c r="E24" s="64" t="s">
        <v>369</v>
      </c>
      <c r="F24" s="64" t="s">
        <v>1425</v>
      </c>
      <c r="G24" s="64" t="s">
        <v>1844</v>
      </c>
    </row>
    <row r="25" spans="1:7" x14ac:dyDescent="0.3">
      <c r="A25" s="64" t="s">
        <v>1429</v>
      </c>
      <c r="B25" s="64" t="s">
        <v>4290</v>
      </c>
      <c r="C25" s="64" t="s">
        <v>16</v>
      </c>
      <c r="D25" s="64" t="s">
        <v>403</v>
      </c>
      <c r="E25" s="64" t="s">
        <v>382</v>
      </c>
      <c r="F25" s="64" t="s">
        <v>1425</v>
      </c>
      <c r="G25" s="64" t="s">
        <v>1861</v>
      </c>
    </row>
    <row r="26" spans="1:7" x14ac:dyDescent="0.3">
      <c r="A26" s="64" t="s">
        <v>1429</v>
      </c>
      <c r="B26" s="64" t="s">
        <v>4290</v>
      </c>
      <c r="C26" s="64" t="s">
        <v>16</v>
      </c>
      <c r="D26" s="64" t="s">
        <v>403</v>
      </c>
      <c r="E26" s="64" t="s">
        <v>382</v>
      </c>
      <c r="F26" s="64" t="s">
        <v>1425</v>
      </c>
      <c r="G26" s="64" t="s">
        <v>1845</v>
      </c>
    </row>
    <row r="27" spans="1:7" x14ac:dyDescent="0.3">
      <c r="A27" s="64" t="s">
        <v>1429</v>
      </c>
      <c r="B27" s="64" t="s">
        <v>4290</v>
      </c>
      <c r="C27" s="64" t="s">
        <v>16</v>
      </c>
      <c r="D27" s="64" t="s">
        <v>403</v>
      </c>
      <c r="E27" s="64" t="s">
        <v>370</v>
      </c>
      <c r="F27" s="64" t="s">
        <v>1425</v>
      </c>
      <c r="G27" s="64" t="s">
        <v>1862</v>
      </c>
    </row>
    <row r="28" spans="1:7" x14ac:dyDescent="0.3">
      <c r="A28" s="64" t="s">
        <v>1429</v>
      </c>
      <c r="B28" s="64" t="s">
        <v>4290</v>
      </c>
      <c r="C28" s="64" t="s">
        <v>16</v>
      </c>
      <c r="D28" s="64" t="s">
        <v>403</v>
      </c>
      <c r="E28" s="64" t="s">
        <v>370</v>
      </c>
      <c r="F28" s="64" t="s">
        <v>1425</v>
      </c>
      <c r="G28" s="64" t="s">
        <v>1846</v>
      </c>
    </row>
    <row r="29" spans="1:7" x14ac:dyDescent="0.3">
      <c r="A29" s="64" t="s">
        <v>1429</v>
      </c>
      <c r="B29" s="64" t="s">
        <v>4290</v>
      </c>
      <c r="C29" s="64" t="s">
        <v>16</v>
      </c>
      <c r="D29" s="64" t="s">
        <v>403</v>
      </c>
      <c r="E29" s="64" t="s">
        <v>378</v>
      </c>
      <c r="F29" s="64" t="s">
        <v>1425</v>
      </c>
      <c r="G29" s="64" t="s">
        <v>1863</v>
      </c>
    </row>
    <row r="30" spans="1:7" x14ac:dyDescent="0.3">
      <c r="A30" s="64" t="s">
        <v>1429</v>
      </c>
      <c r="B30" s="64" t="s">
        <v>4290</v>
      </c>
      <c r="C30" s="64" t="s">
        <v>16</v>
      </c>
      <c r="D30" s="64" t="s">
        <v>403</v>
      </c>
      <c r="E30" s="64" t="s">
        <v>378</v>
      </c>
      <c r="F30" s="64" t="s">
        <v>1425</v>
      </c>
      <c r="G30" s="64" t="s">
        <v>1847</v>
      </c>
    </row>
    <row r="31" spans="1:7" x14ac:dyDescent="0.3">
      <c r="A31" s="64" t="s">
        <v>1429</v>
      </c>
      <c r="B31" s="64" t="s">
        <v>4290</v>
      </c>
      <c r="C31" s="64" t="s">
        <v>16</v>
      </c>
      <c r="D31" s="64" t="s">
        <v>403</v>
      </c>
      <c r="E31" s="64" t="s">
        <v>371</v>
      </c>
      <c r="F31" s="64" t="s">
        <v>1425</v>
      </c>
      <c r="G31" s="64" t="s">
        <v>1864</v>
      </c>
    </row>
    <row r="32" spans="1:7" x14ac:dyDescent="0.3">
      <c r="A32" s="64" t="s">
        <v>1429</v>
      </c>
      <c r="B32" s="64" t="s">
        <v>4290</v>
      </c>
      <c r="C32" s="64" t="s">
        <v>16</v>
      </c>
      <c r="D32" s="64" t="s">
        <v>403</v>
      </c>
      <c r="E32" s="64" t="s">
        <v>371</v>
      </c>
      <c r="F32" s="64" t="s">
        <v>1425</v>
      </c>
      <c r="G32" s="64" t="s">
        <v>1848</v>
      </c>
    </row>
    <row r="33" spans="1:7" x14ac:dyDescent="0.3">
      <c r="A33" s="64" t="s">
        <v>1429</v>
      </c>
      <c r="B33" s="64" t="s">
        <v>4290</v>
      </c>
      <c r="C33" s="64" t="s">
        <v>16</v>
      </c>
      <c r="D33" s="64" t="s">
        <v>403</v>
      </c>
      <c r="E33" s="64" t="s">
        <v>376</v>
      </c>
      <c r="F33" s="64" t="s">
        <v>1425</v>
      </c>
      <c r="G33" s="64" t="s">
        <v>1865</v>
      </c>
    </row>
    <row r="34" spans="1:7" x14ac:dyDescent="0.3">
      <c r="A34" s="64" t="s">
        <v>1429</v>
      </c>
      <c r="B34" s="64" t="s">
        <v>4290</v>
      </c>
      <c r="C34" s="64" t="s">
        <v>16</v>
      </c>
      <c r="D34" s="64" t="s">
        <v>403</v>
      </c>
      <c r="E34" s="64" t="s">
        <v>376</v>
      </c>
      <c r="F34" s="64" t="s">
        <v>1425</v>
      </c>
      <c r="G34" s="64" t="s">
        <v>1849</v>
      </c>
    </row>
    <row r="35" spans="1:7" x14ac:dyDescent="0.3">
      <c r="A35" s="64" t="s">
        <v>1429</v>
      </c>
      <c r="B35" s="64" t="s">
        <v>4290</v>
      </c>
      <c r="C35" s="64" t="s">
        <v>16</v>
      </c>
      <c r="D35" s="64" t="s">
        <v>403</v>
      </c>
      <c r="E35" s="64" t="s">
        <v>377</v>
      </c>
      <c r="F35" s="64" t="s">
        <v>1425</v>
      </c>
      <c r="G35" s="64" t="s">
        <v>1866</v>
      </c>
    </row>
    <row r="36" spans="1:7" x14ac:dyDescent="0.3">
      <c r="A36" s="64" t="s">
        <v>1429</v>
      </c>
      <c r="B36" s="64" t="s">
        <v>4290</v>
      </c>
      <c r="C36" s="64" t="s">
        <v>16</v>
      </c>
      <c r="D36" s="64" t="s">
        <v>403</v>
      </c>
      <c r="E36" s="64" t="s">
        <v>377</v>
      </c>
      <c r="F36" s="64" t="s">
        <v>1425</v>
      </c>
      <c r="G36" s="64" t="s">
        <v>1850</v>
      </c>
    </row>
    <row r="37" spans="1:7" x14ac:dyDescent="0.3">
      <c r="A37" s="64" t="s">
        <v>1429</v>
      </c>
      <c r="B37" s="64" t="s">
        <v>4290</v>
      </c>
      <c r="C37" s="64" t="s">
        <v>16</v>
      </c>
      <c r="D37" s="64" t="s">
        <v>403</v>
      </c>
      <c r="E37" s="64" t="s">
        <v>381</v>
      </c>
      <c r="F37" s="64" t="s">
        <v>1425</v>
      </c>
      <c r="G37" s="64" t="s">
        <v>1867</v>
      </c>
    </row>
    <row r="38" spans="1:7" x14ac:dyDescent="0.3">
      <c r="A38" s="64" t="s">
        <v>1429</v>
      </c>
      <c r="B38" s="64" t="s">
        <v>4290</v>
      </c>
      <c r="C38" s="64" t="s">
        <v>16</v>
      </c>
      <c r="D38" s="64" t="s">
        <v>403</v>
      </c>
      <c r="E38" s="64" t="s">
        <v>381</v>
      </c>
      <c r="F38" s="64" t="s">
        <v>1425</v>
      </c>
      <c r="G38" s="64" t="s">
        <v>1851</v>
      </c>
    </row>
    <row r="39" spans="1:7" x14ac:dyDescent="0.3">
      <c r="A39" s="64" t="s">
        <v>1429</v>
      </c>
      <c r="B39" s="64" t="s">
        <v>4290</v>
      </c>
      <c r="C39" s="64" t="s">
        <v>16</v>
      </c>
      <c r="D39" s="64" t="s">
        <v>403</v>
      </c>
      <c r="E39" s="64" t="s">
        <v>379</v>
      </c>
      <c r="F39" s="64" t="s">
        <v>1425</v>
      </c>
      <c r="G39" s="64" t="s">
        <v>1868</v>
      </c>
    </row>
    <row r="40" spans="1:7" x14ac:dyDescent="0.3">
      <c r="A40" s="64" t="s">
        <v>1429</v>
      </c>
      <c r="B40" s="64" t="s">
        <v>4290</v>
      </c>
      <c r="C40" s="64" t="s">
        <v>16</v>
      </c>
      <c r="D40" s="64" t="s">
        <v>403</v>
      </c>
      <c r="E40" s="64" t="s">
        <v>379</v>
      </c>
      <c r="F40" s="64" t="s">
        <v>1425</v>
      </c>
      <c r="G40" s="64" t="s">
        <v>1852</v>
      </c>
    </row>
    <row r="41" spans="1:7" x14ac:dyDescent="0.3">
      <c r="A41" s="64" t="s">
        <v>1429</v>
      </c>
      <c r="B41" s="64" t="s">
        <v>4290</v>
      </c>
      <c r="C41" s="64" t="s">
        <v>16</v>
      </c>
      <c r="D41" s="64" t="s">
        <v>403</v>
      </c>
      <c r="E41" s="64" t="s">
        <v>374</v>
      </c>
      <c r="F41" s="64" t="s">
        <v>1425</v>
      </c>
      <c r="G41" s="64" t="s">
        <v>1869</v>
      </c>
    </row>
    <row r="42" spans="1:7" x14ac:dyDescent="0.3">
      <c r="A42" s="64" t="s">
        <v>1429</v>
      </c>
      <c r="B42" s="64" t="s">
        <v>4290</v>
      </c>
      <c r="C42" s="64" t="s">
        <v>16</v>
      </c>
      <c r="D42" s="64" t="s">
        <v>403</v>
      </c>
      <c r="E42" s="64" t="s">
        <v>374</v>
      </c>
      <c r="F42" s="64" t="s">
        <v>1425</v>
      </c>
      <c r="G42" s="64" t="s">
        <v>1853</v>
      </c>
    </row>
    <row r="43" spans="1:7" x14ac:dyDescent="0.3">
      <c r="A43" s="64" t="s">
        <v>1429</v>
      </c>
      <c r="B43" s="64" t="s">
        <v>4290</v>
      </c>
      <c r="C43" s="64" t="s">
        <v>16</v>
      </c>
      <c r="D43" s="64" t="s">
        <v>403</v>
      </c>
      <c r="E43" s="64" t="s">
        <v>383</v>
      </c>
      <c r="F43" s="64" t="s">
        <v>1425</v>
      </c>
      <c r="G43" s="64" t="s">
        <v>1870</v>
      </c>
    </row>
    <row r="44" spans="1:7" x14ac:dyDescent="0.3">
      <c r="A44" s="64" t="s">
        <v>1429</v>
      </c>
      <c r="B44" s="64" t="s">
        <v>4290</v>
      </c>
      <c r="C44" s="64" t="s">
        <v>16</v>
      </c>
      <c r="D44" s="64" t="s">
        <v>403</v>
      </c>
      <c r="E44" s="64" t="s">
        <v>383</v>
      </c>
      <c r="F44" s="64" t="s">
        <v>1425</v>
      </c>
      <c r="G44" s="64" t="s">
        <v>1854</v>
      </c>
    </row>
    <row r="45" spans="1:7" x14ac:dyDescent="0.3">
      <c r="A45" s="64" t="s">
        <v>1429</v>
      </c>
      <c r="B45" s="64" t="s">
        <v>4290</v>
      </c>
      <c r="C45" s="64" t="s">
        <v>16</v>
      </c>
      <c r="D45" s="64" t="s">
        <v>403</v>
      </c>
      <c r="E45" s="64" t="s">
        <v>373</v>
      </c>
      <c r="F45" s="64" t="s">
        <v>1425</v>
      </c>
      <c r="G45" s="64" t="s">
        <v>1871</v>
      </c>
    </row>
    <row r="46" spans="1:7" x14ac:dyDescent="0.3">
      <c r="A46" s="64" t="s">
        <v>1429</v>
      </c>
      <c r="B46" s="64" t="s">
        <v>4290</v>
      </c>
      <c r="C46" s="64" t="s">
        <v>16</v>
      </c>
      <c r="D46" s="64" t="s">
        <v>403</v>
      </c>
      <c r="E46" s="64" t="s">
        <v>373</v>
      </c>
      <c r="F46" s="64" t="s">
        <v>1425</v>
      </c>
      <c r="G46" s="64" t="s">
        <v>1855</v>
      </c>
    </row>
    <row r="47" spans="1:7" x14ac:dyDescent="0.3">
      <c r="A47" s="64" t="s">
        <v>1429</v>
      </c>
      <c r="B47" s="64" t="s">
        <v>4290</v>
      </c>
      <c r="C47" s="64" t="s">
        <v>16</v>
      </c>
      <c r="D47" s="64" t="s">
        <v>403</v>
      </c>
      <c r="E47" s="64" t="s">
        <v>368</v>
      </c>
      <c r="F47" s="64" t="s">
        <v>1425</v>
      </c>
      <c r="G47" s="64" t="s">
        <v>1872</v>
      </c>
    </row>
    <row r="48" spans="1:7" x14ac:dyDescent="0.3">
      <c r="A48" s="64" t="s">
        <v>1429</v>
      </c>
      <c r="B48" s="64" t="s">
        <v>4290</v>
      </c>
      <c r="C48" s="64" t="s">
        <v>16</v>
      </c>
      <c r="D48" s="64" t="s">
        <v>403</v>
      </c>
      <c r="E48" s="64" t="s">
        <v>368</v>
      </c>
      <c r="F48" s="64" t="s">
        <v>1425</v>
      </c>
      <c r="G48" s="64" t="s">
        <v>1856</v>
      </c>
    </row>
    <row r="49" spans="1:7" x14ac:dyDescent="0.3">
      <c r="A49" s="64" t="s">
        <v>1429</v>
      </c>
      <c r="B49" s="64" t="s">
        <v>4290</v>
      </c>
      <c r="C49" s="64" t="s">
        <v>16</v>
      </c>
      <c r="D49" s="64" t="s">
        <v>403</v>
      </c>
      <c r="E49" s="64" t="s">
        <v>372</v>
      </c>
      <c r="F49" s="64" t="s">
        <v>1425</v>
      </c>
      <c r="G49" s="64" t="s">
        <v>1873</v>
      </c>
    </row>
    <row r="50" spans="1:7" x14ac:dyDescent="0.3">
      <c r="A50" s="64" t="s">
        <v>1429</v>
      </c>
      <c r="B50" s="64" t="s">
        <v>4290</v>
      </c>
      <c r="C50" s="64" t="s">
        <v>16</v>
      </c>
      <c r="D50" s="64" t="s">
        <v>403</v>
      </c>
      <c r="E50" s="64" t="s">
        <v>372</v>
      </c>
      <c r="F50" s="64" t="s">
        <v>1425</v>
      </c>
      <c r="G50" s="64" t="s">
        <v>1857</v>
      </c>
    </row>
    <row r="51" spans="1:7" x14ac:dyDescent="0.3">
      <c r="A51" s="64" t="s">
        <v>1429</v>
      </c>
      <c r="B51" s="64" t="s">
        <v>4290</v>
      </c>
      <c r="C51" s="64" t="s">
        <v>16</v>
      </c>
      <c r="D51" s="64" t="s">
        <v>403</v>
      </c>
      <c r="E51" s="64" t="s">
        <v>375</v>
      </c>
      <c r="F51" s="64" t="s">
        <v>1425</v>
      </c>
      <c r="G51" s="64" t="s">
        <v>1874</v>
      </c>
    </row>
    <row r="52" spans="1:7" x14ac:dyDescent="0.3">
      <c r="A52" s="64" t="s">
        <v>1429</v>
      </c>
      <c r="B52" s="64" t="s">
        <v>4290</v>
      </c>
      <c r="C52" s="64" t="s">
        <v>16</v>
      </c>
      <c r="D52" s="64" t="s">
        <v>403</v>
      </c>
      <c r="E52" s="64" t="s">
        <v>375</v>
      </c>
      <c r="F52" s="64" t="s">
        <v>1425</v>
      </c>
      <c r="G52" s="64" t="s">
        <v>1858</v>
      </c>
    </row>
    <row r="53" spans="1:7" x14ac:dyDescent="0.3">
      <c r="A53" s="64" t="s">
        <v>1429</v>
      </c>
      <c r="B53" s="64" t="s">
        <v>4290</v>
      </c>
      <c r="C53" s="64" t="s">
        <v>16</v>
      </c>
      <c r="D53" s="64" t="s">
        <v>403</v>
      </c>
      <c r="E53" s="64" t="s">
        <v>380</v>
      </c>
      <c r="F53" s="64" t="s">
        <v>1425</v>
      </c>
      <c r="G53" s="64" t="s">
        <v>1875</v>
      </c>
    </row>
    <row r="54" spans="1:7" x14ac:dyDescent="0.3">
      <c r="A54" s="64" t="s">
        <v>1429</v>
      </c>
      <c r="B54" s="64" t="s">
        <v>4290</v>
      </c>
      <c r="C54" s="64" t="s">
        <v>16</v>
      </c>
      <c r="D54" s="64" t="s">
        <v>403</v>
      </c>
      <c r="E54" s="64" t="s">
        <v>380</v>
      </c>
      <c r="F54" s="64" t="s">
        <v>1425</v>
      </c>
      <c r="G54" s="64" t="s">
        <v>1859</v>
      </c>
    </row>
    <row r="55" spans="1:7" x14ac:dyDescent="0.3">
      <c r="A55" s="64" t="s">
        <v>421</v>
      </c>
      <c r="B55" s="64" t="s">
        <v>3605</v>
      </c>
      <c r="C55" s="64" t="s">
        <v>20</v>
      </c>
      <c r="D55" s="64" t="s">
        <v>16</v>
      </c>
      <c r="E55" s="64" t="s">
        <v>15</v>
      </c>
      <c r="F55" s="64" t="s">
        <v>9288</v>
      </c>
      <c r="G55" s="64" t="s">
        <v>957</v>
      </c>
    </row>
    <row r="56" spans="1:7" x14ac:dyDescent="0.3">
      <c r="A56" s="64" t="s">
        <v>421</v>
      </c>
      <c r="B56" s="64" t="s">
        <v>3605</v>
      </c>
      <c r="C56" s="64" t="s">
        <v>16</v>
      </c>
      <c r="D56" s="64" t="s">
        <v>403</v>
      </c>
      <c r="E56" s="64" t="s">
        <v>369</v>
      </c>
      <c r="F56" s="64" t="s">
        <v>9288</v>
      </c>
      <c r="G56" s="64" t="s">
        <v>1844</v>
      </c>
    </row>
    <row r="57" spans="1:7" x14ac:dyDescent="0.3">
      <c r="A57" s="64" t="s">
        <v>421</v>
      </c>
      <c r="B57" s="64" t="s">
        <v>3605</v>
      </c>
      <c r="C57" s="64" t="s">
        <v>16</v>
      </c>
      <c r="D57" s="64" t="s">
        <v>403</v>
      </c>
      <c r="E57" s="64" t="s">
        <v>370</v>
      </c>
      <c r="F57" s="64" t="s">
        <v>9288</v>
      </c>
      <c r="G57" s="64" t="s">
        <v>1846</v>
      </c>
    </row>
    <row r="58" spans="1:7" x14ac:dyDescent="0.3">
      <c r="A58" s="64" t="s">
        <v>421</v>
      </c>
      <c r="B58" s="64" t="s">
        <v>3605</v>
      </c>
      <c r="C58" s="64" t="s">
        <v>16</v>
      </c>
      <c r="D58" s="64" t="s">
        <v>403</v>
      </c>
      <c r="E58" s="64" t="s">
        <v>378</v>
      </c>
      <c r="F58" s="64" t="s">
        <v>9288</v>
      </c>
      <c r="G58" s="64" t="s">
        <v>1847</v>
      </c>
    </row>
    <row r="59" spans="1:7" x14ac:dyDescent="0.3">
      <c r="A59" s="64" t="s">
        <v>421</v>
      </c>
      <c r="B59" s="64" t="s">
        <v>3605</v>
      </c>
      <c r="C59" s="64" t="s">
        <v>16</v>
      </c>
      <c r="D59" s="64" t="s">
        <v>403</v>
      </c>
      <c r="E59" s="64" t="s">
        <v>371</v>
      </c>
      <c r="F59" s="64" t="s">
        <v>9288</v>
      </c>
      <c r="G59" s="64" t="s">
        <v>1848</v>
      </c>
    </row>
    <row r="60" spans="1:7" x14ac:dyDescent="0.3">
      <c r="A60" s="64" t="s">
        <v>421</v>
      </c>
      <c r="B60" s="64" t="s">
        <v>3605</v>
      </c>
      <c r="C60" s="64" t="s">
        <v>16</v>
      </c>
      <c r="D60" s="64" t="s">
        <v>403</v>
      </c>
      <c r="E60" s="64" t="s">
        <v>376</v>
      </c>
      <c r="F60" s="64" t="s">
        <v>9288</v>
      </c>
      <c r="G60" s="64" t="s">
        <v>1849</v>
      </c>
    </row>
    <row r="61" spans="1:7" x14ac:dyDescent="0.3">
      <c r="A61" s="64" t="s">
        <v>421</v>
      </c>
      <c r="B61" s="64" t="s">
        <v>3605</v>
      </c>
      <c r="C61" s="64" t="s">
        <v>16</v>
      </c>
      <c r="D61" s="64" t="s">
        <v>403</v>
      </c>
      <c r="E61" s="64" t="s">
        <v>377</v>
      </c>
      <c r="F61" s="64" t="s">
        <v>9288</v>
      </c>
      <c r="G61" s="64" t="s">
        <v>1850</v>
      </c>
    </row>
    <row r="62" spans="1:7" x14ac:dyDescent="0.3">
      <c r="A62" s="64" t="s">
        <v>421</v>
      </c>
      <c r="B62" s="64" t="s">
        <v>3605</v>
      </c>
      <c r="C62" s="64" t="s">
        <v>16</v>
      </c>
      <c r="D62" s="64" t="s">
        <v>403</v>
      </c>
      <c r="E62" s="64" t="s">
        <v>381</v>
      </c>
      <c r="F62" s="64" t="s">
        <v>9288</v>
      </c>
      <c r="G62" s="64" t="s">
        <v>1851</v>
      </c>
    </row>
    <row r="63" spans="1:7" x14ac:dyDescent="0.3">
      <c r="A63" s="64" t="s">
        <v>421</v>
      </c>
      <c r="B63" s="64" t="s">
        <v>3605</v>
      </c>
      <c r="C63" s="64" t="s">
        <v>16</v>
      </c>
      <c r="D63" s="64" t="s">
        <v>403</v>
      </c>
      <c r="E63" s="64" t="s">
        <v>379</v>
      </c>
      <c r="F63" s="64" t="s">
        <v>9288</v>
      </c>
      <c r="G63" s="64" t="s">
        <v>1852</v>
      </c>
    </row>
    <row r="64" spans="1:7" x14ac:dyDescent="0.3">
      <c r="A64" s="64" t="s">
        <v>421</v>
      </c>
      <c r="B64" s="64" t="s">
        <v>3605</v>
      </c>
      <c r="C64" s="64" t="s">
        <v>16</v>
      </c>
      <c r="D64" s="64" t="s">
        <v>403</v>
      </c>
      <c r="E64" s="64" t="s">
        <v>374</v>
      </c>
      <c r="F64" s="64" t="s">
        <v>9288</v>
      </c>
      <c r="G64" s="64" t="s">
        <v>1853</v>
      </c>
    </row>
    <row r="65" spans="1:7" x14ac:dyDescent="0.3">
      <c r="A65" s="64" t="s">
        <v>421</v>
      </c>
      <c r="B65" s="64" t="s">
        <v>3605</v>
      </c>
      <c r="C65" s="64" t="s">
        <v>16</v>
      </c>
      <c r="D65" s="64" t="s">
        <v>403</v>
      </c>
      <c r="E65" s="64" t="s">
        <v>383</v>
      </c>
      <c r="F65" s="64" t="s">
        <v>9288</v>
      </c>
      <c r="G65" s="64" t="s">
        <v>1854</v>
      </c>
    </row>
    <row r="66" spans="1:7" x14ac:dyDescent="0.3">
      <c r="A66" s="64" t="s">
        <v>421</v>
      </c>
      <c r="B66" s="64" t="s">
        <v>3605</v>
      </c>
      <c r="C66" s="64" t="s">
        <v>16</v>
      </c>
      <c r="D66" s="64" t="s">
        <v>403</v>
      </c>
      <c r="E66" s="64" t="s">
        <v>373</v>
      </c>
      <c r="F66" s="64" t="s">
        <v>9288</v>
      </c>
      <c r="G66" s="64" t="s">
        <v>1855</v>
      </c>
    </row>
    <row r="67" spans="1:7" x14ac:dyDescent="0.3">
      <c r="A67" s="64" t="s">
        <v>421</v>
      </c>
      <c r="B67" s="64" t="s">
        <v>3605</v>
      </c>
      <c r="C67" s="64" t="s">
        <v>16</v>
      </c>
      <c r="D67" s="64" t="s">
        <v>403</v>
      </c>
      <c r="E67" s="64" t="s">
        <v>368</v>
      </c>
      <c r="F67" s="64" t="s">
        <v>9288</v>
      </c>
      <c r="G67" s="64" t="s">
        <v>1856</v>
      </c>
    </row>
    <row r="68" spans="1:7" x14ac:dyDescent="0.3">
      <c r="A68" s="64" t="s">
        <v>421</v>
      </c>
      <c r="B68" s="64" t="s">
        <v>3605</v>
      </c>
      <c r="C68" s="64" t="s">
        <v>16</v>
      </c>
      <c r="D68" s="64" t="s">
        <v>403</v>
      </c>
      <c r="E68" s="64" t="s">
        <v>372</v>
      </c>
      <c r="F68" s="64" t="s">
        <v>9288</v>
      </c>
      <c r="G68" s="64" t="s">
        <v>1857</v>
      </c>
    </row>
    <row r="69" spans="1:7" x14ac:dyDescent="0.3">
      <c r="A69" s="64" t="s">
        <v>421</v>
      </c>
      <c r="B69" s="64" t="s">
        <v>3605</v>
      </c>
      <c r="C69" s="64" t="s">
        <v>16</v>
      </c>
      <c r="D69" s="64" t="s">
        <v>403</v>
      </c>
      <c r="E69" s="64" t="s">
        <v>375</v>
      </c>
      <c r="F69" s="64" t="s">
        <v>9288</v>
      </c>
      <c r="G69" s="64" t="s">
        <v>1858</v>
      </c>
    </row>
    <row r="70" spans="1:7" x14ac:dyDescent="0.3">
      <c r="A70" s="64" t="s">
        <v>421</v>
      </c>
      <c r="B70" s="64" t="s">
        <v>3605</v>
      </c>
      <c r="C70" s="64" t="s">
        <v>16</v>
      </c>
      <c r="D70" s="64" t="s">
        <v>403</v>
      </c>
      <c r="E70" s="64" t="s">
        <v>380</v>
      </c>
      <c r="F70" s="64" t="s">
        <v>9288</v>
      </c>
      <c r="G70" s="64" t="s">
        <v>1859</v>
      </c>
    </row>
    <row r="71" spans="1:7" x14ac:dyDescent="0.3">
      <c r="A71" s="64" t="s">
        <v>1838</v>
      </c>
      <c r="B71" s="64" t="s">
        <v>1876</v>
      </c>
      <c r="C71" s="64" t="s">
        <v>20</v>
      </c>
      <c r="D71" s="64" t="s">
        <v>16</v>
      </c>
      <c r="E71" s="64" t="s">
        <v>15</v>
      </c>
      <c r="F71" s="64" t="s">
        <v>9292</v>
      </c>
      <c r="G71" s="64" t="s">
        <v>805</v>
      </c>
    </row>
    <row r="72" spans="1:7" x14ac:dyDescent="0.3">
      <c r="A72" s="64" t="s">
        <v>1838</v>
      </c>
      <c r="B72" s="64" t="s">
        <v>1876</v>
      </c>
      <c r="C72" s="64" t="s">
        <v>16</v>
      </c>
      <c r="D72" s="64" t="s">
        <v>403</v>
      </c>
      <c r="E72" s="64" t="s">
        <v>369</v>
      </c>
      <c r="F72" s="64" t="s">
        <v>9292</v>
      </c>
      <c r="G72" s="64" t="s">
        <v>1860</v>
      </c>
    </row>
    <row r="73" spans="1:7" x14ac:dyDescent="0.3">
      <c r="A73" s="64" t="s">
        <v>1838</v>
      </c>
      <c r="B73" s="64" t="s">
        <v>1876</v>
      </c>
      <c r="C73" s="64" t="s">
        <v>16</v>
      </c>
      <c r="D73" s="64" t="s">
        <v>403</v>
      </c>
      <c r="E73" s="64" t="s">
        <v>382</v>
      </c>
      <c r="F73" s="64" t="s">
        <v>9292</v>
      </c>
      <c r="G73" s="64" t="s">
        <v>1861</v>
      </c>
    </row>
    <row r="74" spans="1:7" x14ac:dyDescent="0.3">
      <c r="A74" s="64" t="s">
        <v>1838</v>
      </c>
      <c r="B74" s="64" t="s">
        <v>1876</v>
      </c>
      <c r="C74" s="64" t="s">
        <v>16</v>
      </c>
      <c r="D74" s="64" t="s">
        <v>403</v>
      </c>
      <c r="E74" s="64" t="s">
        <v>370</v>
      </c>
      <c r="F74" s="64" t="s">
        <v>9292</v>
      </c>
      <c r="G74" s="64" t="s">
        <v>1862</v>
      </c>
    </row>
    <row r="75" spans="1:7" x14ac:dyDescent="0.3">
      <c r="A75" s="64" t="s">
        <v>1838</v>
      </c>
      <c r="B75" s="64" t="s">
        <v>1876</v>
      </c>
      <c r="C75" s="64" t="s">
        <v>16</v>
      </c>
      <c r="D75" s="64" t="s">
        <v>403</v>
      </c>
      <c r="E75" s="64" t="s">
        <v>378</v>
      </c>
      <c r="F75" s="64" t="s">
        <v>9292</v>
      </c>
      <c r="G75" s="64" t="s">
        <v>1863</v>
      </c>
    </row>
    <row r="76" spans="1:7" x14ac:dyDescent="0.3">
      <c r="A76" s="64" t="s">
        <v>1838</v>
      </c>
      <c r="B76" s="64" t="s">
        <v>1876</v>
      </c>
      <c r="C76" s="64" t="s">
        <v>16</v>
      </c>
      <c r="D76" s="64" t="s">
        <v>403</v>
      </c>
      <c r="E76" s="64" t="s">
        <v>371</v>
      </c>
      <c r="F76" s="64" t="s">
        <v>9292</v>
      </c>
      <c r="G76" s="64" t="s">
        <v>1864</v>
      </c>
    </row>
    <row r="77" spans="1:7" x14ac:dyDescent="0.3">
      <c r="A77" s="64" t="s">
        <v>1838</v>
      </c>
      <c r="B77" s="64" t="s">
        <v>1876</v>
      </c>
      <c r="C77" s="64" t="s">
        <v>16</v>
      </c>
      <c r="D77" s="64" t="s">
        <v>403</v>
      </c>
      <c r="E77" s="64" t="s">
        <v>376</v>
      </c>
      <c r="F77" s="64" t="s">
        <v>9292</v>
      </c>
      <c r="G77" s="64" t="s">
        <v>1865</v>
      </c>
    </row>
    <row r="78" spans="1:7" x14ac:dyDescent="0.3">
      <c r="A78" s="64" t="s">
        <v>1838</v>
      </c>
      <c r="B78" s="64" t="s">
        <v>1876</v>
      </c>
      <c r="C78" s="64" t="s">
        <v>16</v>
      </c>
      <c r="D78" s="64" t="s">
        <v>403</v>
      </c>
      <c r="E78" s="64" t="s">
        <v>377</v>
      </c>
      <c r="F78" s="64" t="s">
        <v>9292</v>
      </c>
      <c r="G78" s="64" t="s">
        <v>1866</v>
      </c>
    </row>
    <row r="79" spans="1:7" x14ac:dyDescent="0.3">
      <c r="A79" s="64" t="s">
        <v>1838</v>
      </c>
      <c r="B79" s="64" t="s">
        <v>1876</v>
      </c>
      <c r="C79" s="64" t="s">
        <v>16</v>
      </c>
      <c r="D79" s="64" t="s">
        <v>403</v>
      </c>
      <c r="E79" s="64" t="s">
        <v>381</v>
      </c>
      <c r="F79" s="64" t="s">
        <v>9292</v>
      </c>
      <c r="G79" s="64" t="s">
        <v>1867</v>
      </c>
    </row>
    <row r="80" spans="1:7" x14ac:dyDescent="0.3">
      <c r="A80" s="64" t="s">
        <v>1838</v>
      </c>
      <c r="B80" s="64" t="s">
        <v>1876</v>
      </c>
      <c r="C80" s="64" t="s">
        <v>16</v>
      </c>
      <c r="D80" s="64" t="s">
        <v>403</v>
      </c>
      <c r="E80" s="64" t="s">
        <v>379</v>
      </c>
      <c r="F80" s="64" t="s">
        <v>9292</v>
      </c>
      <c r="G80" s="64" t="s">
        <v>1868</v>
      </c>
    </row>
    <row r="81" spans="1:7" x14ac:dyDescent="0.3">
      <c r="A81" s="64" t="s">
        <v>1838</v>
      </c>
      <c r="B81" s="64" t="s">
        <v>1876</v>
      </c>
      <c r="C81" s="64" t="s">
        <v>16</v>
      </c>
      <c r="D81" s="64" t="s">
        <v>403</v>
      </c>
      <c r="E81" s="64" t="s">
        <v>374</v>
      </c>
      <c r="F81" s="64" t="s">
        <v>9292</v>
      </c>
      <c r="G81" s="64" t="s">
        <v>1869</v>
      </c>
    </row>
    <row r="82" spans="1:7" x14ac:dyDescent="0.3">
      <c r="A82" s="64" t="s">
        <v>1838</v>
      </c>
      <c r="B82" s="64" t="s">
        <v>1876</v>
      </c>
      <c r="C82" s="64" t="s">
        <v>16</v>
      </c>
      <c r="D82" s="64" t="s">
        <v>403</v>
      </c>
      <c r="E82" s="64" t="s">
        <v>383</v>
      </c>
      <c r="F82" s="64" t="s">
        <v>9292</v>
      </c>
      <c r="G82" s="64" t="s">
        <v>1870</v>
      </c>
    </row>
    <row r="83" spans="1:7" x14ac:dyDescent="0.3">
      <c r="A83" s="64" t="s">
        <v>1838</v>
      </c>
      <c r="B83" s="64" t="s">
        <v>1876</v>
      </c>
      <c r="C83" s="64" t="s">
        <v>16</v>
      </c>
      <c r="D83" s="64" t="s">
        <v>403</v>
      </c>
      <c r="E83" s="64" t="s">
        <v>373</v>
      </c>
      <c r="F83" s="64" t="s">
        <v>9292</v>
      </c>
      <c r="G83" s="64" t="s">
        <v>1871</v>
      </c>
    </row>
    <row r="84" spans="1:7" x14ac:dyDescent="0.3">
      <c r="A84" s="64" t="s">
        <v>1838</v>
      </c>
      <c r="B84" s="64" t="s">
        <v>1876</v>
      </c>
      <c r="C84" s="64" t="s">
        <v>16</v>
      </c>
      <c r="D84" s="64" t="s">
        <v>403</v>
      </c>
      <c r="E84" s="64" t="s">
        <v>368</v>
      </c>
      <c r="F84" s="64" t="s">
        <v>9292</v>
      </c>
      <c r="G84" s="64" t="s">
        <v>1872</v>
      </c>
    </row>
    <row r="85" spans="1:7" x14ac:dyDescent="0.3">
      <c r="A85" s="64" t="s">
        <v>1838</v>
      </c>
      <c r="B85" s="64" t="s">
        <v>1876</v>
      </c>
      <c r="C85" s="64" t="s">
        <v>16</v>
      </c>
      <c r="D85" s="64" t="s">
        <v>403</v>
      </c>
      <c r="E85" s="64" t="s">
        <v>372</v>
      </c>
      <c r="F85" s="64" t="s">
        <v>9292</v>
      </c>
      <c r="G85" s="64" t="s">
        <v>1873</v>
      </c>
    </row>
    <row r="86" spans="1:7" x14ac:dyDescent="0.3">
      <c r="A86" s="64" t="s">
        <v>1838</v>
      </c>
      <c r="B86" s="64" t="s">
        <v>1876</v>
      </c>
      <c r="C86" s="64" t="s">
        <v>16</v>
      </c>
      <c r="D86" s="64" t="s">
        <v>403</v>
      </c>
      <c r="E86" s="64" t="s">
        <v>375</v>
      </c>
      <c r="F86" s="64" t="s">
        <v>9292</v>
      </c>
      <c r="G86" s="64" t="s">
        <v>1874</v>
      </c>
    </row>
    <row r="87" spans="1:7" x14ac:dyDescent="0.3">
      <c r="A87" s="64" t="s">
        <v>1838</v>
      </c>
      <c r="B87" s="64" t="s">
        <v>1876</v>
      </c>
      <c r="C87" s="64" t="s">
        <v>16</v>
      </c>
      <c r="D87" s="64" t="s">
        <v>403</v>
      </c>
      <c r="E87" s="64" t="s">
        <v>380</v>
      </c>
      <c r="F87" s="64" t="s">
        <v>9292</v>
      </c>
      <c r="G87" s="64" t="s">
        <v>1875</v>
      </c>
    </row>
    <row r="88" spans="1:7" x14ac:dyDescent="0.3">
      <c r="A88" s="64" t="s">
        <v>1839</v>
      </c>
      <c r="B88" s="64" t="s">
        <v>1876</v>
      </c>
      <c r="C88" s="64" t="s">
        <v>20</v>
      </c>
      <c r="D88" s="64" t="s">
        <v>18</v>
      </c>
      <c r="E88" s="64" t="s">
        <v>15</v>
      </c>
      <c r="F88" s="64" t="s">
        <v>9293</v>
      </c>
      <c r="G88" s="64">
        <v>0</v>
      </c>
    </row>
    <row r="89" spans="1:7" x14ac:dyDescent="0.3">
      <c r="A89" s="64" t="s">
        <v>610</v>
      </c>
      <c r="B89" s="64" t="s">
        <v>1900</v>
      </c>
      <c r="C89" s="64" t="s">
        <v>20</v>
      </c>
      <c r="D89" s="64" t="s">
        <v>403</v>
      </c>
      <c r="E89" s="64" t="s">
        <v>15</v>
      </c>
      <c r="F89" s="64" t="s">
        <v>9284</v>
      </c>
      <c r="G89" s="64">
        <v>0</v>
      </c>
    </row>
    <row r="90" spans="1:7" x14ac:dyDescent="0.3">
      <c r="A90" s="64" t="s">
        <v>605</v>
      </c>
      <c r="B90" s="64" t="s">
        <v>1896</v>
      </c>
      <c r="C90" s="64" t="s">
        <v>20</v>
      </c>
      <c r="D90" s="64" t="s">
        <v>16</v>
      </c>
      <c r="E90" s="64" t="s">
        <v>15</v>
      </c>
      <c r="F90" s="64" t="s">
        <v>1517</v>
      </c>
      <c r="G90" s="64" t="s">
        <v>957</v>
      </c>
    </row>
    <row r="91" spans="1:7" x14ac:dyDescent="0.3">
      <c r="A91" s="64" t="s">
        <v>605</v>
      </c>
      <c r="B91" s="64" t="s">
        <v>1896</v>
      </c>
      <c r="C91" s="64" t="s">
        <v>16</v>
      </c>
      <c r="D91" s="64" t="s">
        <v>18</v>
      </c>
      <c r="E91" s="64" t="s">
        <v>369</v>
      </c>
      <c r="F91" s="64" t="s">
        <v>1517</v>
      </c>
      <c r="G91" s="64" t="s">
        <v>1844</v>
      </c>
    </row>
    <row r="92" spans="1:7" x14ac:dyDescent="0.3">
      <c r="A92" s="64" t="s">
        <v>605</v>
      </c>
      <c r="B92" s="64" t="s">
        <v>1896</v>
      </c>
      <c r="C92" s="64" t="s">
        <v>16</v>
      </c>
      <c r="D92" s="64" t="s">
        <v>18</v>
      </c>
      <c r="E92" s="64" t="s">
        <v>382</v>
      </c>
      <c r="F92" s="64" t="s">
        <v>1517</v>
      </c>
      <c r="G92" s="64" t="s">
        <v>1845</v>
      </c>
    </row>
    <row r="93" spans="1:7" x14ac:dyDescent="0.3">
      <c r="A93" s="64" t="s">
        <v>605</v>
      </c>
      <c r="B93" s="64" t="s">
        <v>1896</v>
      </c>
      <c r="C93" s="64" t="s">
        <v>16</v>
      </c>
      <c r="D93" s="64" t="s">
        <v>18</v>
      </c>
      <c r="E93" s="64" t="s">
        <v>370</v>
      </c>
      <c r="F93" s="64" t="s">
        <v>1517</v>
      </c>
      <c r="G93" s="64" t="s">
        <v>1846</v>
      </c>
    </row>
    <row r="94" spans="1:7" x14ac:dyDescent="0.3">
      <c r="A94" s="64" t="s">
        <v>605</v>
      </c>
      <c r="B94" s="64" t="s">
        <v>1896</v>
      </c>
      <c r="C94" s="64" t="s">
        <v>16</v>
      </c>
      <c r="D94" s="64" t="s">
        <v>18</v>
      </c>
      <c r="E94" s="64" t="s">
        <v>378</v>
      </c>
      <c r="F94" s="64" t="s">
        <v>1517</v>
      </c>
      <c r="G94" s="64" t="s">
        <v>1847</v>
      </c>
    </row>
    <row r="95" spans="1:7" x14ac:dyDescent="0.3">
      <c r="A95" s="64" t="s">
        <v>605</v>
      </c>
      <c r="B95" s="64" t="s">
        <v>1896</v>
      </c>
      <c r="C95" s="64" t="s">
        <v>16</v>
      </c>
      <c r="D95" s="64" t="s">
        <v>18</v>
      </c>
      <c r="E95" s="64" t="s">
        <v>371</v>
      </c>
      <c r="F95" s="64" t="s">
        <v>1517</v>
      </c>
      <c r="G95" s="64" t="s">
        <v>1848</v>
      </c>
    </row>
    <row r="96" spans="1:7" x14ac:dyDescent="0.3">
      <c r="A96" s="64" t="s">
        <v>605</v>
      </c>
      <c r="B96" s="64" t="s">
        <v>1896</v>
      </c>
      <c r="C96" s="64" t="s">
        <v>16</v>
      </c>
      <c r="D96" s="64" t="s">
        <v>18</v>
      </c>
      <c r="E96" s="64" t="s">
        <v>376</v>
      </c>
      <c r="F96" s="64" t="s">
        <v>1517</v>
      </c>
      <c r="G96" s="64" t="s">
        <v>1849</v>
      </c>
    </row>
    <row r="97" spans="1:7" x14ac:dyDescent="0.3">
      <c r="A97" s="64" t="s">
        <v>605</v>
      </c>
      <c r="B97" s="64" t="s">
        <v>1896</v>
      </c>
      <c r="C97" s="64" t="s">
        <v>16</v>
      </c>
      <c r="D97" s="64" t="s">
        <v>18</v>
      </c>
      <c r="E97" s="64" t="s">
        <v>377</v>
      </c>
      <c r="F97" s="64" t="s">
        <v>1517</v>
      </c>
      <c r="G97" s="64" t="s">
        <v>1850</v>
      </c>
    </row>
    <row r="98" spans="1:7" x14ac:dyDescent="0.3">
      <c r="A98" s="64" t="s">
        <v>605</v>
      </c>
      <c r="B98" s="64" t="s">
        <v>1896</v>
      </c>
      <c r="C98" s="64" t="s">
        <v>16</v>
      </c>
      <c r="D98" s="64" t="s">
        <v>18</v>
      </c>
      <c r="E98" s="64" t="s">
        <v>381</v>
      </c>
      <c r="F98" s="64" t="s">
        <v>1517</v>
      </c>
      <c r="G98" s="64" t="s">
        <v>1851</v>
      </c>
    </row>
    <row r="99" spans="1:7" x14ac:dyDescent="0.3">
      <c r="A99" s="64" t="s">
        <v>605</v>
      </c>
      <c r="B99" s="64" t="s">
        <v>1896</v>
      </c>
      <c r="C99" s="64" t="s">
        <v>16</v>
      </c>
      <c r="D99" s="64" t="s">
        <v>18</v>
      </c>
      <c r="E99" s="64" t="s">
        <v>379</v>
      </c>
      <c r="F99" s="64" t="s">
        <v>1517</v>
      </c>
      <c r="G99" s="64" t="s">
        <v>1852</v>
      </c>
    </row>
    <row r="100" spans="1:7" x14ac:dyDescent="0.3">
      <c r="A100" s="64" t="s">
        <v>605</v>
      </c>
      <c r="B100" s="64" t="s">
        <v>1896</v>
      </c>
      <c r="C100" s="64" t="s">
        <v>16</v>
      </c>
      <c r="D100" s="64" t="s">
        <v>18</v>
      </c>
      <c r="E100" s="64" t="s">
        <v>374</v>
      </c>
      <c r="F100" s="64" t="s">
        <v>1517</v>
      </c>
      <c r="G100" s="64" t="s">
        <v>1853</v>
      </c>
    </row>
    <row r="101" spans="1:7" x14ac:dyDescent="0.3">
      <c r="A101" s="64" t="s">
        <v>605</v>
      </c>
      <c r="B101" s="64" t="s">
        <v>1896</v>
      </c>
      <c r="C101" s="64" t="s">
        <v>16</v>
      </c>
      <c r="D101" s="64" t="s">
        <v>18</v>
      </c>
      <c r="E101" s="64" t="s">
        <v>383</v>
      </c>
      <c r="F101" s="64" t="s">
        <v>1517</v>
      </c>
      <c r="G101" s="64" t="s">
        <v>1854</v>
      </c>
    </row>
    <row r="102" spans="1:7" x14ac:dyDescent="0.3">
      <c r="A102" s="64" t="s">
        <v>605</v>
      </c>
      <c r="B102" s="64" t="s">
        <v>1896</v>
      </c>
      <c r="C102" s="64" t="s">
        <v>16</v>
      </c>
      <c r="D102" s="64" t="s">
        <v>18</v>
      </c>
      <c r="E102" s="64" t="s">
        <v>373</v>
      </c>
      <c r="F102" s="64" t="s">
        <v>1517</v>
      </c>
      <c r="G102" s="64" t="s">
        <v>1855</v>
      </c>
    </row>
    <row r="103" spans="1:7" x14ac:dyDescent="0.3">
      <c r="A103" s="64" t="s">
        <v>605</v>
      </c>
      <c r="B103" s="64" t="s">
        <v>1896</v>
      </c>
      <c r="C103" s="64" t="s">
        <v>16</v>
      </c>
      <c r="D103" s="64" t="s">
        <v>18</v>
      </c>
      <c r="E103" s="64" t="s">
        <v>368</v>
      </c>
      <c r="F103" s="64" t="s">
        <v>1517</v>
      </c>
      <c r="G103" s="64" t="s">
        <v>1856</v>
      </c>
    </row>
    <row r="104" spans="1:7" x14ac:dyDescent="0.3">
      <c r="A104" s="64" t="s">
        <v>605</v>
      </c>
      <c r="B104" s="64" t="s">
        <v>1896</v>
      </c>
      <c r="C104" s="64" t="s">
        <v>16</v>
      </c>
      <c r="D104" s="64" t="s">
        <v>18</v>
      </c>
      <c r="E104" s="64" t="s">
        <v>372</v>
      </c>
      <c r="F104" s="64" t="s">
        <v>1517</v>
      </c>
      <c r="G104" s="64" t="s">
        <v>1857</v>
      </c>
    </row>
    <row r="105" spans="1:7" x14ac:dyDescent="0.3">
      <c r="A105" s="64" t="s">
        <v>605</v>
      </c>
      <c r="B105" s="64" t="s">
        <v>1896</v>
      </c>
      <c r="C105" s="64" t="s">
        <v>16</v>
      </c>
      <c r="D105" s="64" t="s">
        <v>18</v>
      </c>
      <c r="E105" s="64" t="s">
        <v>375</v>
      </c>
      <c r="F105" s="64" t="s">
        <v>1517</v>
      </c>
      <c r="G105" s="64" t="s">
        <v>1858</v>
      </c>
    </row>
    <row r="106" spans="1:7" x14ac:dyDescent="0.3">
      <c r="A106" s="64" t="s">
        <v>605</v>
      </c>
      <c r="B106" s="64" t="s">
        <v>1896</v>
      </c>
      <c r="C106" s="64" t="s">
        <v>16</v>
      </c>
      <c r="D106" s="64" t="s">
        <v>18</v>
      </c>
      <c r="E106" s="64" t="s">
        <v>380</v>
      </c>
      <c r="F106" s="64" t="s">
        <v>1517</v>
      </c>
      <c r="G106" s="64" t="s">
        <v>1859</v>
      </c>
    </row>
    <row r="107" spans="1:7" x14ac:dyDescent="0.3">
      <c r="A107" s="64" t="s">
        <v>5156</v>
      </c>
      <c r="B107" s="64" t="s">
        <v>1896</v>
      </c>
      <c r="C107" s="64" t="s">
        <v>20</v>
      </c>
      <c r="D107" s="64" t="s">
        <v>18</v>
      </c>
      <c r="E107" s="64" t="s">
        <v>15</v>
      </c>
      <c r="F107" s="64" t="s">
        <v>1517</v>
      </c>
      <c r="G107" s="64" t="s">
        <v>957</v>
      </c>
    </row>
    <row r="108" spans="1:7" x14ac:dyDescent="0.3">
      <c r="A108" s="64" t="s">
        <v>5156</v>
      </c>
      <c r="B108" s="64" t="s">
        <v>1896</v>
      </c>
      <c r="C108" s="64" t="s">
        <v>16</v>
      </c>
      <c r="D108" s="64" t="s">
        <v>18</v>
      </c>
      <c r="E108" s="64" t="s">
        <v>369</v>
      </c>
      <c r="F108" s="64" t="s">
        <v>1517</v>
      </c>
      <c r="G108" s="64" t="s">
        <v>1844</v>
      </c>
    </row>
    <row r="109" spans="1:7" x14ac:dyDescent="0.3">
      <c r="A109" s="64" t="s">
        <v>5156</v>
      </c>
      <c r="B109" s="64" t="s">
        <v>1896</v>
      </c>
      <c r="C109" s="64" t="s">
        <v>16</v>
      </c>
      <c r="D109" s="64" t="s">
        <v>18</v>
      </c>
      <c r="E109" s="64" t="s">
        <v>382</v>
      </c>
      <c r="F109" s="64" t="s">
        <v>1517</v>
      </c>
      <c r="G109" s="64" t="s">
        <v>1845</v>
      </c>
    </row>
    <row r="110" spans="1:7" x14ac:dyDescent="0.3">
      <c r="A110" s="64" t="s">
        <v>5156</v>
      </c>
      <c r="B110" s="64" t="s">
        <v>1896</v>
      </c>
      <c r="C110" s="64" t="s">
        <v>16</v>
      </c>
      <c r="D110" s="64" t="s">
        <v>18</v>
      </c>
      <c r="E110" s="64" t="s">
        <v>370</v>
      </c>
      <c r="F110" s="64" t="s">
        <v>1517</v>
      </c>
      <c r="G110" s="64" t="s">
        <v>1846</v>
      </c>
    </row>
    <row r="111" spans="1:7" x14ac:dyDescent="0.3">
      <c r="A111" s="64" t="s">
        <v>5156</v>
      </c>
      <c r="B111" s="64" t="s">
        <v>1896</v>
      </c>
      <c r="C111" s="64" t="s">
        <v>16</v>
      </c>
      <c r="D111" s="64" t="s">
        <v>18</v>
      </c>
      <c r="E111" s="64" t="s">
        <v>378</v>
      </c>
      <c r="F111" s="64" t="s">
        <v>1517</v>
      </c>
      <c r="G111" s="64" t="s">
        <v>1847</v>
      </c>
    </row>
    <row r="112" spans="1:7" x14ac:dyDescent="0.3">
      <c r="A112" s="64" t="s">
        <v>5156</v>
      </c>
      <c r="B112" s="64" t="s">
        <v>1896</v>
      </c>
      <c r="C112" s="64" t="s">
        <v>16</v>
      </c>
      <c r="D112" s="64" t="s">
        <v>18</v>
      </c>
      <c r="E112" s="64" t="s">
        <v>371</v>
      </c>
      <c r="F112" s="64" t="s">
        <v>1517</v>
      </c>
      <c r="G112" s="64" t="s">
        <v>1848</v>
      </c>
    </row>
    <row r="113" spans="1:7" x14ac:dyDescent="0.3">
      <c r="A113" s="64" t="s">
        <v>5156</v>
      </c>
      <c r="B113" s="64" t="s">
        <v>1896</v>
      </c>
      <c r="C113" s="64" t="s">
        <v>16</v>
      </c>
      <c r="D113" s="64" t="s">
        <v>18</v>
      </c>
      <c r="E113" s="64" t="s">
        <v>376</v>
      </c>
      <c r="F113" s="64" t="s">
        <v>1517</v>
      </c>
      <c r="G113" s="64" t="s">
        <v>1849</v>
      </c>
    </row>
    <row r="114" spans="1:7" x14ac:dyDescent="0.3">
      <c r="A114" s="64" t="s">
        <v>5156</v>
      </c>
      <c r="B114" s="64" t="s">
        <v>1896</v>
      </c>
      <c r="C114" s="64" t="s">
        <v>16</v>
      </c>
      <c r="D114" s="64" t="s">
        <v>18</v>
      </c>
      <c r="E114" s="64" t="s">
        <v>377</v>
      </c>
      <c r="F114" s="64" t="s">
        <v>1517</v>
      </c>
      <c r="G114" s="64" t="s">
        <v>1850</v>
      </c>
    </row>
    <row r="115" spans="1:7" x14ac:dyDescent="0.3">
      <c r="A115" s="64" t="s">
        <v>5156</v>
      </c>
      <c r="B115" s="64" t="s">
        <v>1896</v>
      </c>
      <c r="C115" s="64" t="s">
        <v>16</v>
      </c>
      <c r="D115" s="64" t="s">
        <v>18</v>
      </c>
      <c r="E115" s="64" t="s">
        <v>381</v>
      </c>
      <c r="F115" s="64" t="s">
        <v>1517</v>
      </c>
      <c r="G115" s="64" t="s">
        <v>1851</v>
      </c>
    </row>
    <row r="116" spans="1:7" x14ac:dyDescent="0.3">
      <c r="A116" s="64" t="s">
        <v>5156</v>
      </c>
      <c r="B116" s="64" t="s">
        <v>1896</v>
      </c>
      <c r="C116" s="64" t="s">
        <v>16</v>
      </c>
      <c r="D116" s="64" t="s">
        <v>18</v>
      </c>
      <c r="E116" s="64" t="s">
        <v>379</v>
      </c>
      <c r="F116" s="64" t="s">
        <v>1517</v>
      </c>
      <c r="G116" s="64" t="s">
        <v>1852</v>
      </c>
    </row>
    <row r="117" spans="1:7" x14ac:dyDescent="0.3">
      <c r="A117" s="64" t="s">
        <v>5156</v>
      </c>
      <c r="B117" s="64" t="s">
        <v>1896</v>
      </c>
      <c r="C117" s="64" t="s">
        <v>16</v>
      </c>
      <c r="D117" s="64" t="s">
        <v>18</v>
      </c>
      <c r="E117" s="64" t="s">
        <v>374</v>
      </c>
      <c r="F117" s="64" t="s">
        <v>1517</v>
      </c>
      <c r="G117" s="64" t="s">
        <v>1853</v>
      </c>
    </row>
    <row r="118" spans="1:7" x14ac:dyDescent="0.3">
      <c r="A118" s="64" t="s">
        <v>5156</v>
      </c>
      <c r="B118" s="64" t="s">
        <v>1896</v>
      </c>
      <c r="C118" s="64" t="s">
        <v>16</v>
      </c>
      <c r="D118" s="64" t="s">
        <v>18</v>
      </c>
      <c r="E118" s="64" t="s">
        <v>383</v>
      </c>
      <c r="F118" s="64" t="s">
        <v>1517</v>
      </c>
      <c r="G118" s="64" t="s">
        <v>1854</v>
      </c>
    </row>
    <row r="119" spans="1:7" x14ac:dyDescent="0.3">
      <c r="A119" s="64" t="s">
        <v>5156</v>
      </c>
      <c r="B119" s="64" t="s">
        <v>1896</v>
      </c>
      <c r="C119" s="64" t="s">
        <v>16</v>
      </c>
      <c r="D119" s="64" t="s">
        <v>18</v>
      </c>
      <c r="E119" s="64" t="s">
        <v>373</v>
      </c>
      <c r="F119" s="64" t="s">
        <v>1517</v>
      </c>
      <c r="G119" s="64" t="s">
        <v>1855</v>
      </c>
    </row>
    <row r="120" spans="1:7" x14ac:dyDescent="0.3">
      <c r="A120" s="64" t="s">
        <v>5156</v>
      </c>
      <c r="B120" s="64" t="s">
        <v>1896</v>
      </c>
      <c r="C120" s="64" t="s">
        <v>16</v>
      </c>
      <c r="D120" s="64" t="s">
        <v>18</v>
      </c>
      <c r="E120" s="64" t="s">
        <v>368</v>
      </c>
      <c r="F120" s="64" t="s">
        <v>1517</v>
      </c>
      <c r="G120" s="64" t="s">
        <v>1856</v>
      </c>
    </row>
    <row r="121" spans="1:7" x14ac:dyDescent="0.3">
      <c r="A121" s="64" t="s">
        <v>5156</v>
      </c>
      <c r="B121" s="64" t="s">
        <v>1896</v>
      </c>
      <c r="C121" s="64" t="s">
        <v>16</v>
      </c>
      <c r="D121" s="64" t="s">
        <v>18</v>
      </c>
      <c r="E121" s="64" t="s">
        <v>372</v>
      </c>
      <c r="F121" s="64" t="s">
        <v>1517</v>
      </c>
      <c r="G121" s="64" t="s">
        <v>1857</v>
      </c>
    </row>
    <row r="122" spans="1:7" x14ac:dyDescent="0.3">
      <c r="A122" s="64" t="s">
        <v>5156</v>
      </c>
      <c r="B122" s="64" t="s">
        <v>1896</v>
      </c>
      <c r="C122" s="64" t="s">
        <v>16</v>
      </c>
      <c r="D122" s="64" t="s">
        <v>18</v>
      </c>
      <c r="E122" s="64" t="s">
        <v>375</v>
      </c>
      <c r="F122" s="64" t="s">
        <v>1517</v>
      </c>
      <c r="G122" s="64" t="s">
        <v>1858</v>
      </c>
    </row>
    <row r="123" spans="1:7" x14ac:dyDescent="0.3">
      <c r="A123" s="64" t="s">
        <v>5156</v>
      </c>
      <c r="B123" s="64" t="s">
        <v>1896</v>
      </c>
      <c r="C123" s="64" t="s">
        <v>16</v>
      </c>
      <c r="D123" s="64" t="s">
        <v>18</v>
      </c>
      <c r="E123" s="64" t="s">
        <v>380</v>
      </c>
      <c r="F123" s="64" t="s">
        <v>1517</v>
      </c>
      <c r="G123" s="64" t="s">
        <v>1859</v>
      </c>
    </row>
    <row r="124" spans="1:7" x14ac:dyDescent="0.3">
      <c r="A124" s="64" t="s">
        <v>946</v>
      </c>
      <c r="B124" s="64" t="s">
        <v>1897</v>
      </c>
      <c r="C124" s="64" t="s">
        <v>20</v>
      </c>
      <c r="D124" s="64" t="s">
        <v>16</v>
      </c>
      <c r="E124" s="64" t="s">
        <v>15</v>
      </c>
      <c r="F124" s="64" t="s">
        <v>9303</v>
      </c>
      <c r="G124" s="64" t="s">
        <v>805</v>
      </c>
    </row>
    <row r="125" spans="1:7" x14ac:dyDescent="0.3">
      <c r="A125" s="64" t="s">
        <v>946</v>
      </c>
      <c r="B125" s="64" t="s">
        <v>1897</v>
      </c>
      <c r="C125" s="64" t="s">
        <v>20</v>
      </c>
      <c r="D125" s="64" t="s">
        <v>403</v>
      </c>
      <c r="E125" s="64" t="s">
        <v>15</v>
      </c>
      <c r="F125" s="64" t="s">
        <v>9303</v>
      </c>
      <c r="G125" s="64" t="s">
        <v>805</v>
      </c>
    </row>
    <row r="126" spans="1:7" x14ac:dyDescent="0.3">
      <c r="A126" s="64" t="s">
        <v>946</v>
      </c>
      <c r="B126" s="64" t="s">
        <v>1897</v>
      </c>
      <c r="C126" s="64" t="s">
        <v>20</v>
      </c>
      <c r="D126" s="64" t="s">
        <v>403</v>
      </c>
      <c r="E126" s="64" t="s">
        <v>15</v>
      </c>
      <c r="F126" s="64" t="s">
        <v>9303</v>
      </c>
      <c r="G126" s="64">
        <v>0</v>
      </c>
    </row>
    <row r="127" spans="1:7" x14ac:dyDescent="0.3">
      <c r="A127" s="64" t="s">
        <v>946</v>
      </c>
      <c r="B127" s="64" t="s">
        <v>1897</v>
      </c>
      <c r="C127" s="64" t="s">
        <v>20</v>
      </c>
      <c r="D127" s="64" t="s">
        <v>2992</v>
      </c>
      <c r="E127" s="64" t="s">
        <v>15</v>
      </c>
      <c r="F127" s="64" t="s">
        <v>9303</v>
      </c>
      <c r="G127" s="64" t="s">
        <v>957</v>
      </c>
    </row>
    <row r="128" spans="1:7" x14ac:dyDescent="0.3">
      <c r="A128" s="64" t="s">
        <v>946</v>
      </c>
      <c r="B128" s="64" t="s">
        <v>1897</v>
      </c>
      <c r="C128" s="64" t="s">
        <v>16</v>
      </c>
      <c r="D128" s="64" t="s">
        <v>403</v>
      </c>
      <c r="E128" s="64" t="s">
        <v>369</v>
      </c>
      <c r="F128" s="64" t="s">
        <v>9303</v>
      </c>
      <c r="G128" s="64" t="s">
        <v>1860</v>
      </c>
    </row>
    <row r="129" spans="1:7" x14ac:dyDescent="0.3">
      <c r="A129" s="64" t="s">
        <v>946</v>
      </c>
      <c r="B129" s="64" t="s">
        <v>1897</v>
      </c>
      <c r="C129" s="64" t="s">
        <v>16</v>
      </c>
      <c r="D129" s="64" t="s">
        <v>403</v>
      </c>
      <c r="E129" s="64" t="s">
        <v>382</v>
      </c>
      <c r="F129" s="64" t="s">
        <v>9303</v>
      </c>
      <c r="G129" s="64" t="s">
        <v>1861</v>
      </c>
    </row>
    <row r="130" spans="1:7" x14ac:dyDescent="0.3">
      <c r="A130" s="64" t="s">
        <v>946</v>
      </c>
      <c r="B130" s="64" t="s">
        <v>1897</v>
      </c>
      <c r="C130" s="64" t="s">
        <v>16</v>
      </c>
      <c r="D130" s="64" t="s">
        <v>403</v>
      </c>
      <c r="E130" s="64" t="s">
        <v>370</v>
      </c>
      <c r="F130" s="64" t="s">
        <v>9303</v>
      </c>
      <c r="G130" s="64" t="s">
        <v>1862</v>
      </c>
    </row>
    <row r="131" spans="1:7" x14ac:dyDescent="0.3">
      <c r="A131" s="64" t="s">
        <v>946</v>
      </c>
      <c r="B131" s="64" t="s">
        <v>1897</v>
      </c>
      <c r="C131" s="64" t="s">
        <v>16</v>
      </c>
      <c r="D131" s="64" t="s">
        <v>403</v>
      </c>
      <c r="E131" s="64" t="s">
        <v>378</v>
      </c>
      <c r="F131" s="64" t="s">
        <v>9303</v>
      </c>
      <c r="G131" s="64" t="s">
        <v>1863</v>
      </c>
    </row>
    <row r="132" spans="1:7" x14ac:dyDescent="0.3">
      <c r="A132" s="64" t="s">
        <v>946</v>
      </c>
      <c r="B132" s="64" t="s">
        <v>1897</v>
      </c>
      <c r="C132" s="64" t="s">
        <v>16</v>
      </c>
      <c r="D132" s="64" t="s">
        <v>403</v>
      </c>
      <c r="E132" s="64" t="s">
        <v>371</v>
      </c>
      <c r="F132" s="64" t="s">
        <v>9303</v>
      </c>
      <c r="G132" s="64" t="s">
        <v>1864</v>
      </c>
    </row>
    <row r="133" spans="1:7" x14ac:dyDescent="0.3">
      <c r="A133" s="64" t="s">
        <v>946</v>
      </c>
      <c r="B133" s="64" t="s">
        <v>1897</v>
      </c>
      <c r="C133" s="64" t="s">
        <v>16</v>
      </c>
      <c r="D133" s="64" t="s">
        <v>403</v>
      </c>
      <c r="E133" s="64" t="s">
        <v>376</v>
      </c>
      <c r="F133" s="64" t="s">
        <v>9303</v>
      </c>
      <c r="G133" s="64" t="s">
        <v>1865</v>
      </c>
    </row>
    <row r="134" spans="1:7" x14ac:dyDescent="0.3">
      <c r="A134" s="64" t="s">
        <v>946</v>
      </c>
      <c r="B134" s="64" t="s">
        <v>1897</v>
      </c>
      <c r="C134" s="64" t="s">
        <v>16</v>
      </c>
      <c r="D134" s="64" t="s">
        <v>403</v>
      </c>
      <c r="E134" s="64" t="s">
        <v>377</v>
      </c>
      <c r="F134" s="64" t="s">
        <v>9303</v>
      </c>
      <c r="G134" s="64" t="s">
        <v>1866</v>
      </c>
    </row>
    <row r="135" spans="1:7" x14ac:dyDescent="0.3">
      <c r="A135" s="64" t="s">
        <v>946</v>
      </c>
      <c r="B135" s="64" t="s">
        <v>1897</v>
      </c>
      <c r="C135" s="64" t="s">
        <v>16</v>
      </c>
      <c r="D135" s="64" t="s">
        <v>403</v>
      </c>
      <c r="E135" s="64" t="s">
        <v>381</v>
      </c>
      <c r="F135" s="64" t="s">
        <v>9303</v>
      </c>
      <c r="G135" s="64" t="s">
        <v>1867</v>
      </c>
    </row>
    <row r="136" spans="1:7" x14ac:dyDescent="0.3">
      <c r="A136" s="64" t="s">
        <v>946</v>
      </c>
      <c r="B136" s="64" t="s">
        <v>1897</v>
      </c>
      <c r="C136" s="64" t="s">
        <v>16</v>
      </c>
      <c r="D136" s="64" t="s">
        <v>403</v>
      </c>
      <c r="E136" s="64" t="s">
        <v>379</v>
      </c>
      <c r="F136" s="64" t="s">
        <v>9303</v>
      </c>
      <c r="G136" s="64" t="s">
        <v>1868</v>
      </c>
    </row>
    <row r="137" spans="1:7" x14ac:dyDescent="0.3">
      <c r="A137" s="64" t="s">
        <v>946</v>
      </c>
      <c r="B137" s="64" t="s">
        <v>1897</v>
      </c>
      <c r="C137" s="64" t="s">
        <v>16</v>
      </c>
      <c r="D137" s="64" t="s">
        <v>403</v>
      </c>
      <c r="E137" s="64" t="s">
        <v>374</v>
      </c>
      <c r="F137" s="64" t="s">
        <v>9303</v>
      </c>
      <c r="G137" s="64" t="s">
        <v>1869</v>
      </c>
    </row>
    <row r="138" spans="1:7" x14ac:dyDescent="0.3">
      <c r="A138" s="64" t="s">
        <v>946</v>
      </c>
      <c r="B138" s="64" t="s">
        <v>1897</v>
      </c>
      <c r="C138" s="64" t="s">
        <v>16</v>
      </c>
      <c r="D138" s="64" t="s">
        <v>403</v>
      </c>
      <c r="E138" s="64" t="s">
        <v>383</v>
      </c>
      <c r="F138" s="64" t="s">
        <v>9303</v>
      </c>
      <c r="G138" s="64" t="s">
        <v>1870</v>
      </c>
    </row>
    <row r="139" spans="1:7" x14ac:dyDescent="0.3">
      <c r="A139" s="64" t="s">
        <v>946</v>
      </c>
      <c r="B139" s="64" t="s">
        <v>1897</v>
      </c>
      <c r="C139" s="64" t="s">
        <v>16</v>
      </c>
      <c r="D139" s="64" t="s">
        <v>403</v>
      </c>
      <c r="E139" s="64" t="s">
        <v>373</v>
      </c>
      <c r="F139" s="64" t="s">
        <v>9303</v>
      </c>
      <c r="G139" s="64" t="s">
        <v>1871</v>
      </c>
    </row>
    <row r="140" spans="1:7" x14ac:dyDescent="0.3">
      <c r="A140" s="64" t="s">
        <v>946</v>
      </c>
      <c r="B140" s="64" t="s">
        <v>1897</v>
      </c>
      <c r="C140" s="64" t="s">
        <v>16</v>
      </c>
      <c r="D140" s="64" t="s">
        <v>403</v>
      </c>
      <c r="E140" s="64" t="s">
        <v>368</v>
      </c>
      <c r="F140" s="64" t="s">
        <v>9303</v>
      </c>
      <c r="G140" s="64" t="s">
        <v>1872</v>
      </c>
    </row>
    <row r="141" spans="1:7" x14ac:dyDescent="0.3">
      <c r="A141" s="64" t="s">
        <v>946</v>
      </c>
      <c r="B141" s="64" t="s">
        <v>1897</v>
      </c>
      <c r="C141" s="64" t="s">
        <v>16</v>
      </c>
      <c r="D141" s="64" t="s">
        <v>403</v>
      </c>
      <c r="E141" s="64" t="s">
        <v>372</v>
      </c>
      <c r="F141" s="64" t="s">
        <v>9303</v>
      </c>
      <c r="G141" s="64" t="s">
        <v>1873</v>
      </c>
    </row>
    <row r="142" spans="1:7" x14ac:dyDescent="0.3">
      <c r="A142" s="64" t="s">
        <v>946</v>
      </c>
      <c r="B142" s="64" t="s">
        <v>1897</v>
      </c>
      <c r="C142" s="64" t="s">
        <v>16</v>
      </c>
      <c r="D142" s="64" t="s">
        <v>403</v>
      </c>
      <c r="E142" s="64" t="s">
        <v>375</v>
      </c>
      <c r="F142" s="64" t="s">
        <v>9303</v>
      </c>
      <c r="G142" s="64" t="s">
        <v>1874</v>
      </c>
    </row>
    <row r="143" spans="1:7" x14ac:dyDescent="0.3">
      <c r="A143" s="64" t="s">
        <v>946</v>
      </c>
      <c r="B143" s="64" t="s">
        <v>1897</v>
      </c>
      <c r="C143" s="64" t="s">
        <v>16</v>
      </c>
      <c r="D143" s="64" t="s">
        <v>403</v>
      </c>
      <c r="E143" s="64" t="s">
        <v>380</v>
      </c>
      <c r="F143" s="64" t="s">
        <v>9303</v>
      </c>
      <c r="G143" s="64" t="s">
        <v>1875</v>
      </c>
    </row>
    <row r="144" spans="1:7" x14ac:dyDescent="0.3">
      <c r="A144" s="64" t="s">
        <v>946</v>
      </c>
      <c r="B144" s="64" t="s">
        <v>1897</v>
      </c>
      <c r="C144" s="64" t="s">
        <v>16</v>
      </c>
      <c r="D144" s="64" t="s">
        <v>1495</v>
      </c>
      <c r="E144" s="64" t="s">
        <v>369</v>
      </c>
      <c r="F144" s="64" t="s">
        <v>9303</v>
      </c>
      <c r="G144" s="64" t="s">
        <v>1844</v>
      </c>
    </row>
    <row r="145" spans="1:7" x14ac:dyDescent="0.3">
      <c r="A145" s="64" t="s">
        <v>946</v>
      </c>
      <c r="B145" s="64" t="s">
        <v>1897</v>
      </c>
      <c r="C145" s="64" t="s">
        <v>16</v>
      </c>
      <c r="D145" s="64" t="s">
        <v>1495</v>
      </c>
      <c r="E145" s="64" t="s">
        <v>382</v>
      </c>
      <c r="F145" s="64" t="s">
        <v>9303</v>
      </c>
      <c r="G145" s="64" t="s">
        <v>1845</v>
      </c>
    </row>
    <row r="146" spans="1:7" x14ac:dyDescent="0.3">
      <c r="A146" s="64" t="s">
        <v>946</v>
      </c>
      <c r="B146" s="64" t="s">
        <v>1897</v>
      </c>
      <c r="C146" s="64" t="s">
        <v>16</v>
      </c>
      <c r="D146" s="64" t="s">
        <v>1495</v>
      </c>
      <c r="E146" s="64" t="s">
        <v>370</v>
      </c>
      <c r="F146" s="64" t="s">
        <v>9303</v>
      </c>
      <c r="G146" s="64" t="s">
        <v>1846</v>
      </c>
    </row>
    <row r="147" spans="1:7" x14ac:dyDescent="0.3">
      <c r="A147" s="64" t="s">
        <v>946</v>
      </c>
      <c r="B147" s="64" t="s">
        <v>1897</v>
      </c>
      <c r="C147" s="64" t="s">
        <v>16</v>
      </c>
      <c r="D147" s="64" t="s">
        <v>1495</v>
      </c>
      <c r="E147" s="64" t="s">
        <v>378</v>
      </c>
      <c r="F147" s="64" t="s">
        <v>9303</v>
      </c>
      <c r="G147" s="64" t="s">
        <v>1847</v>
      </c>
    </row>
    <row r="148" spans="1:7" x14ac:dyDescent="0.3">
      <c r="A148" s="64" t="s">
        <v>946</v>
      </c>
      <c r="B148" s="64" t="s">
        <v>1897</v>
      </c>
      <c r="C148" s="64" t="s">
        <v>16</v>
      </c>
      <c r="D148" s="64" t="s">
        <v>1495</v>
      </c>
      <c r="E148" s="64" t="s">
        <v>371</v>
      </c>
      <c r="F148" s="64" t="s">
        <v>9303</v>
      </c>
      <c r="G148" s="64" t="s">
        <v>1848</v>
      </c>
    </row>
    <row r="149" spans="1:7" x14ac:dyDescent="0.3">
      <c r="A149" s="64" t="s">
        <v>946</v>
      </c>
      <c r="B149" s="64" t="s">
        <v>1897</v>
      </c>
      <c r="C149" s="64" t="s">
        <v>16</v>
      </c>
      <c r="D149" s="64" t="s">
        <v>1495</v>
      </c>
      <c r="E149" s="64" t="s">
        <v>376</v>
      </c>
      <c r="F149" s="64" t="s">
        <v>9303</v>
      </c>
      <c r="G149" s="64" t="s">
        <v>1849</v>
      </c>
    </row>
    <row r="150" spans="1:7" x14ac:dyDescent="0.3">
      <c r="A150" s="64" t="s">
        <v>946</v>
      </c>
      <c r="B150" s="64" t="s">
        <v>1897</v>
      </c>
      <c r="C150" s="64" t="s">
        <v>16</v>
      </c>
      <c r="D150" s="64" t="s">
        <v>1495</v>
      </c>
      <c r="E150" s="64" t="s">
        <v>377</v>
      </c>
      <c r="F150" s="64" t="s">
        <v>9303</v>
      </c>
      <c r="G150" s="64" t="s">
        <v>1850</v>
      </c>
    </row>
    <row r="151" spans="1:7" x14ac:dyDescent="0.3">
      <c r="A151" s="64" t="s">
        <v>946</v>
      </c>
      <c r="B151" s="64" t="s">
        <v>1897</v>
      </c>
      <c r="C151" s="64" t="s">
        <v>16</v>
      </c>
      <c r="D151" s="64" t="s">
        <v>1495</v>
      </c>
      <c r="E151" s="64" t="s">
        <v>381</v>
      </c>
      <c r="F151" s="64" t="s">
        <v>9303</v>
      </c>
      <c r="G151" s="64" t="s">
        <v>1851</v>
      </c>
    </row>
    <row r="152" spans="1:7" x14ac:dyDescent="0.3">
      <c r="A152" s="64" t="s">
        <v>946</v>
      </c>
      <c r="B152" s="64" t="s">
        <v>1897</v>
      </c>
      <c r="C152" s="64" t="s">
        <v>16</v>
      </c>
      <c r="D152" s="64" t="s">
        <v>1495</v>
      </c>
      <c r="E152" s="64" t="s">
        <v>379</v>
      </c>
      <c r="F152" s="64" t="s">
        <v>9303</v>
      </c>
      <c r="G152" s="64" t="s">
        <v>1852</v>
      </c>
    </row>
    <row r="153" spans="1:7" x14ac:dyDescent="0.3">
      <c r="A153" s="64" t="s">
        <v>946</v>
      </c>
      <c r="B153" s="64" t="s">
        <v>1897</v>
      </c>
      <c r="C153" s="64" t="s">
        <v>16</v>
      </c>
      <c r="D153" s="64" t="s">
        <v>1495</v>
      </c>
      <c r="E153" s="64" t="s">
        <v>374</v>
      </c>
      <c r="F153" s="64" t="s">
        <v>9303</v>
      </c>
      <c r="G153" s="64" t="s">
        <v>1853</v>
      </c>
    </row>
    <row r="154" spans="1:7" x14ac:dyDescent="0.3">
      <c r="A154" s="64" t="s">
        <v>946</v>
      </c>
      <c r="B154" s="64" t="s">
        <v>1897</v>
      </c>
      <c r="C154" s="64" t="s">
        <v>16</v>
      </c>
      <c r="D154" s="64" t="s">
        <v>1495</v>
      </c>
      <c r="E154" s="64" t="s">
        <v>383</v>
      </c>
      <c r="F154" s="64" t="s">
        <v>9303</v>
      </c>
      <c r="G154" s="64" t="s">
        <v>1854</v>
      </c>
    </row>
    <row r="155" spans="1:7" x14ac:dyDescent="0.3">
      <c r="A155" s="64" t="s">
        <v>946</v>
      </c>
      <c r="B155" s="64" t="s">
        <v>1897</v>
      </c>
      <c r="C155" s="64" t="s">
        <v>16</v>
      </c>
      <c r="D155" s="64" t="s">
        <v>1495</v>
      </c>
      <c r="E155" s="64" t="s">
        <v>373</v>
      </c>
      <c r="F155" s="64" t="s">
        <v>9303</v>
      </c>
      <c r="G155" s="64" t="s">
        <v>1855</v>
      </c>
    </row>
    <row r="156" spans="1:7" x14ac:dyDescent="0.3">
      <c r="A156" s="64" t="s">
        <v>946</v>
      </c>
      <c r="B156" s="64" t="s">
        <v>1897</v>
      </c>
      <c r="C156" s="64" t="s">
        <v>16</v>
      </c>
      <c r="D156" s="64" t="s">
        <v>1495</v>
      </c>
      <c r="E156" s="64" t="s">
        <v>368</v>
      </c>
      <c r="F156" s="64" t="s">
        <v>9303</v>
      </c>
      <c r="G156" s="64" t="s">
        <v>1856</v>
      </c>
    </row>
    <row r="157" spans="1:7" x14ac:dyDescent="0.3">
      <c r="A157" s="64" t="s">
        <v>946</v>
      </c>
      <c r="B157" s="64" t="s">
        <v>1897</v>
      </c>
      <c r="C157" s="64" t="s">
        <v>16</v>
      </c>
      <c r="D157" s="64" t="s">
        <v>1495</v>
      </c>
      <c r="E157" s="64" t="s">
        <v>372</v>
      </c>
      <c r="F157" s="64" t="s">
        <v>9303</v>
      </c>
      <c r="G157" s="64" t="s">
        <v>1857</v>
      </c>
    </row>
    <row r="158" spans="1:7" x14ac:dyDescent="0.3">
      <c r="A158" s="64" t="s">
        <v>946</v>
      </c>
      <c r="B158" s="64" t="s">
        <v>1897</v>
      </c>
      <c r="C158" s="64" t="s">
        <v>16</v>
      </c>
      <c r="D158" s="64" t="s">
        <v>1495</v>
      </c>
      <c r="E158" s="64" t="s">
        <v>375</v>
      </c>
      <c r="F158" s="64" t="s">
        <v>9303</v>
      </c>
      <c r="G158" s="64" t="s">
        <v>1858</v>
      </c>
    </row>
    <row r="159" spans="1:7" x14ac:dyDescent="0.3">
      <c r="A159" s="64" t="s">
        <v>946</v>
      </c>
      <c r="B159" s="64" t="s">
        <v>1897</v>
      </c>
      <c r="C159" s="64" t="s">
        <v>16</v>
      </c>
      <c r="D159" s="64" t="s">
        <v>1495</v>
      </c>
      <c r="E159" s="64" t="s">
        <v>380</v>
      </c>
      <c r="F159" s="64" t="s">
        <v>9303</v>
      </c>
      <c r="G159" s="64" t="s">
        <v>1859</v>
      </c>
    </row>
    <row r="160" spans="1:7" x14ac:dyDescent="0.3">
      <c r="A160" s="64" t="s">
        <v>948</v>
      </c>
      <c r="B160" s="64" t="s">
        <v>1898</v>
      </c>
      <c r="C160" s="64" t="s">
        <v>20</v>
      </c>
      <c r="D160" s="64" t="s">
        <v>16</v>
      </c>
      <c r="E160" s="64" t="s">
        <v>15</v>
      </c>
      <c r="F160" s="64" t="s">
        <v>9307</v>
      </c>
      <c r="G160" s="64" t="s">
        <v>805</v>
      </c>
    </row>
    <row r="161" spans="1:7" x14ac:dyDescent="0.3">
      <c r="A161" s="64" t="s">
        <v>948</v>
      </c>
      <c r="B161" s="64" t="s">
        <v>1898</v>
      </c>
      <c r="C161" s="64" t="s">
        <v>20</v>
      </c>
      <c r="D161" s="64" t="s">
        <v>403</v>
      </c>
      <c r="E161" s="64" t="s">
        <v>15</v>
      </c>
      <c r="F161" s="64" t="s">
        <v>9307</v>
      </c>
      <c r="G161" s="64">
        <v>0</v>
      </c>
    </row>
    <row r="162" spans="1:7" x14ac:dyDescent="0.3">
      <c r="A162" s="64" t="s">
        <v>948</v>
      </c>
      <c r="B162" s="64" t="s">
        <v>1898</v>
      </c>
      <c r="C162" s="64" t="s">
        <v>20</v>
      </c>
      <c r="D162" s="64" t="s">
        <v>2992</v>
      </c>
      <c r="E162" s="64" t="s">
        <v>15</v>
      </c>
      <c r="F162" s="64" t="s">
        <v>9307</v>
      </c>
      <c r="G162" s="64" t="s">
        <v>957</v>
      </c>
    </row>
    <row r="163" spans="1:7" x14ac:dyDescent="0.3">
      <c r="A163" s="64" t="s">
        <v>948</v>
      </c>
      <c r="B163" s="64" t="s">
        <v>1898</v>
      </c>
      <c r="C163" s="64" t="s">
        <v>16</v>
      </c>
      <c r="D163" s="64" t="s">
        <v>403</v>
      </c>
      <c r="E163" s="64" t="s">
        <v>369</v>
      </c>
      <c r="F163" s="64" t="s">
        <v>9307</v>
      </c>
      <c r="G163" s="64" t="s">
        <v>1860</v>
      </c>
    </row>
    <row r="164" spans="1:7" x14ac:dyDescent="0.3">
      <c r="A164" s="64" t="s">
        <v>948</v>
      </c>
      <c r="B164" s="64" t="s">
        <v>1898</v>
      </c>
      <c r="C164" s="64" t="s">
        <v>16</v>
      </c>
      <c r="D164" s="64" t="s">
        <v>403</v>
      </c>
      <c r="E164" s="64" t="s">
        <v>382</v>
      </c>
      <c r="F164" s="64" t="s">
        <v>9307</v>
      </c>
      <c r="G164" s="64" t="s">
        <v>1861</v>
      </c>
    </row>
    <row r="165" spans="1:7" x14ac:dyDescent="0.3">
      <c r="A165" s="64" t="s">
        <v>948</v>
      </c>
      <c r="B165" s="64" t="s">
        <v>1898</v>
      </c>
      <c r="C165" s="64" t="s">
        <v>16</v>
      </c>
      <c r="D165" s="64" t="s">
        <v>403</v>
      </c>
      <c r="E165" s="64" t="s">
        <v>370</v>
      </c>
      <c r="F165" s="64" t="s">
        <v>9307</v>
      </c>
      <c r="G165" s="64" t="s">
        <v>1862</v>
      </c>
    </row>
    <row r="166" spans="1:7" x14ac:dyDescent="0.3">
      <c r="A166" s="64" t="s">
        <v>948</v>
      </c>
      <c r="B166" s="64" t="s">
        <v>1898</v>
      </c>
      <c r="C166" s="64" t="s">
        <v>16</v>
      </c>
      <c r="D166" s="64" t="s">
        <v>403</v>
      </c>
      <c r="E166" s="64" t="s">
        <v>378</v>
      </c>
      <c r="F166" s="64" t="s">
        <v>9307</v>
      </c>
      <c r="G166" s="64" t="s">
        <v>1863</v>
      </c>
    </row>
    <row r="167" spans="1:7" x14ac:dyDescent="0.3">
      <c r="A167" s="64" t="s">
        <v>948</v>
      </c>
      <c r="B167" s="64" t="s">
        <v>1898</v>
      </c>
      <c r="C167" s="64" t="s">
        <v>16</v>
      </c>
      <c r="D167" s="64" t="s">
        <v>403</v>
      </c>
      <c r="E167" s="64" t="s">
        <v>371</v>
      </c>
      <c r="F167" s="64" t="s">
        <v>9307</v>
      </c>
      <c r="G167" s="64" t="s">
        <v>1864</v>
      </c>
    </row>
    <row r="168" spans="1:7" x14ac:dyDescent="0.3">
      <c r="A168" s="64" t="s">
        <v>948</v>
      </c>
      <c r="B168" s="64" t="s">
        <v>1898</v>
      </c>
      <c r="C168" s="64" t="s">
        <v>16</v>
      </c>
      <c r="D168" s="64" t="s">
        <v>403</v>
      </c>
      <c r="E168" s="64" t="s">
        <v>376</v>
      </c>
      <c r="F168" s="64" t="s">
        <v>9307</v>
      </c>
      <c r="G168" s="64" t="s">
        <v>1865</v>
      </c>
    </row>
    <row r="169" spans="1:7" x14ac:dyDescent="0.3">
      <c r="A169" s="64" t="s">
        <v>948</v>
      </c>
      <c r="B169" s="64" t="s">
        <v>1898</v>
      </c>
      <c r="C169" s="64" t="s">
        <v>16</v>
      </c>
      <c r="D169" s="64" t="s">
        <v>403</v>
      </c>
      <c r="E169" s="64" t="s">
        <v>377</v>
      </c>
      <c r="F169" s="64" t="s">
        <v>9307</v>
      </c>
      <c r="G169" s="64" t="s">
        <v>1866</v>
      </c>
    </row>
    <row r="170" spans="1:7" x14ac:dyDescent="0.3">
      <c r="A170" s="64" t="s">
        <v>948</v>
      </c>
      <c r="B170" s="64" t="s">
        <v>1898</v>
      </c>
      <c r="C170" s="64" t="s">
        <v>16</v>
      </c>
      <c r="D170" s="64" t="s">
        <v>403</v>
      </c>
      <c r="E170" s="64" t="s">
        <v>381</v>
      </c>
      <c r="F170" s="64" t="s">
        <v>9307</v>
      </c>
      <c r="G170" s="64" t="s">
        <v>1867</v>
      </c>
    </row>
    <row r="171" spans="1:7" x14ac:dyDescent="0.3">
      <c r="A171" s="64" t="s">
        <v>948</v>
      </c>
      <c r="B171" s="64" t="s">
        <v>1898</v>
      </c>
      <c r="C171" s="64" t="s">
        <v>16</v>
      </c>
      <c r="D171" s="64" t="s">
        <v>403</v>
      </c>
      <c r="E171" s="64" t="s">
        <v>379</v>
      </c>
      <c r="F171" s="64" t="s">
        <v>9307</v>
      </c>
      <c r="G171" s="64" t="s">
        <v>1868</v>
      </c>
    </row>
    <row r="172" spans="1:7" x14ac:dyDescent="0.3">
      <c r="A172" s="64" t="s">
        <v>948</v>
      </c>
      <c r="B172" s="64" t="s">
        <v>1898</v>
      </c>
      <c r="C172" s="64" t="s">
        <v>16</v>
      </c>
      <c r="D172" s="64" t="s">
        <v>403</v>
      </c>
      <c r="E172" s="64" t="s">
        <v>374</v>
      </c>
      <c r="F172" s="64" t="s">
        <v>9307</v>
      </c>
      <c r="G172" s="64" t="s">
        <v>1869</v>
      </c>
    </row>
    <row r="173" spans="1:7" x14ac:dyDescent="0.3">
      <c r="A173" s="64" t="s">
        <v>948</v>
      </c>
      <c r="B173" s="64" t="s">
        <v>1898</v>
      </c>
      <c r="C173" s="64" t="s">
        <v>16</v>
      </c>
      <c r="D173" s="64" t="s">
        <v>403</v>
      </c>
      <c r="E173" s="64" t="s">
        <v>383</v>
      </c>
      <c r="F173" s="64" t="s">
        <v>9307</v>
      </c>
      <c r="G173" s="64" t="s">
        <v>1870</v>
      </c>
    </row>
    <row r="174" spans="1:7" x14ac:dyDescent="0.3">
      <c r="A174" s="64" t="s">
        <v>948</v>
      </c>
      <c r="B174" s="64" t="s">
        <v>1898</v>
      </c>
      <c r="C174" s="64" t="s">
        <v>16</v>
      </c>
      <c r="D174" s="64" t="s">
        <v>403</v>
      </c>
      <c r="E174" s="64" t="s">
        <v>373</v>
      </c>
      <c r="F174" s="64" t="s">
        <v>9307</v>
      </c>
      <c r="G174" s="64" t="s">
        <v>1871</v>
      </c>
    </row>
    <row r="175" spans="1:7" x14ac:dyDescent="0.3">
      <c r="A175" s="64" t="s">
        <v>948</v>
      </c>
      <c r="B175" s="64" t="s">
        <v>1898</v>
      </c>
      <c r="C175" s="64" t="s">
        <v>16</v>
      </c>
      <c r="D175" s="64" t="s">
        <v>403</v>
      </c>
      <c r="E175" s="64" t="s">
        <v>368</v>
      </c>
      <c r="F175" s="64" t="s">
        <v>9307</v>
      </c>
      <c r="G175" s="64" t="s">
        <v>1872</v>
      </c>
    </row>
    <row r="176" spans="1:7" x14ac:dyDescent="0.3">
      <c r="A176" s="64" t="s">
        <v>948</v>
      </c>
      <c r="B176" s="64" t="s">
        <v>1898</v>
      </c>
      <c r="C176" s="64" t="s">
        <v>16</v>
      </c>
      <c r="D176" s="64" t="s">
        <v>403</v>
      </c>
      <c r="E176" s="64" t="s">
        <v>372</v>
      </c>
      <c r="F176" s="64" t="s">
        <v>9307</v>
      </c>
      <c r="G176" s="64" t="s">
        <v>1873</v>
      </c>
    </row>
    <row r="177" spans="1:7" x14ac:dyDescent="0.3">
      <c r="A177" s="64" t="s">
        <v>948</v>
      </c>
      <c r="B177" s="64" t="s">
        <v>1898</v>
      </c>
      <c r="C177" s="64" t="s">
        <v>16</v>
      </c>
      <c r="D177" s="64" t="s">
        <v>403</v>
      </c>
      <c r="E177" s="64" t="s">
        <v>375</v>
      </c>
      <c r="F177" s="64" t="s">
        <v>9307</v>
      </c>
      <c r="G177" s="64" t="s">
        <v>1874</v>
      </c>
    </row>
    <row r="178" spans="1:7" x14ac:dyDescent="0.3">
      <c r="A178" s="64" t="s">
        <v>948</v>
      </c>
      <c r="B178" s="64" t="s">
        <v>1898</v>
      </c>
      <c r="C178" s="64" t="s">
        <v>16</v>
      </c>
      <c r="D178" s="64" t="s">
        <v>403</v>
      </c>
      <c r="E178" s="64" t="s">
        <v>380</v>
      </c>
      <c r="F178" s="64" t="s">
        <v>9307</v>
      </c>
      <c r="G178" s="64" t="s">
        <v>1875</v>
      </c>
    </row>
    <row r="179" spans="1:7" x14ac:dyDescent="0.3">
      <c r="A179" s="64" t="s">
        <v>948</v>
      </c>
      <c r="B179" s="64" t="s">
        <v>1898</v>
      </c>
      <c r="C179" s="64" t="s">
        <v>16</v>
      </c>
      <c r="D179" s="64" t="s">
        <v>1495</v>
      </c>
      <c r="E179" s="64" t="s">
        <v>369</v>
      </c>
      <c r="F179" s="64" t="s">
        <v>9307</v>
      </c>
      <c r="G179" s="64" t="s">
        <v>1844</v>
      </c>
    </row>
    <row r="180" spans="1:7" x14ac:dyDescent="0.3">
      <c r="A180" s="64" t="s">
        <v>948</v>
      </c>
      <c r="B180" s="64" t="s">
        <v>1898</v>
      </c>
      <c r="C180" s="64" t="s">
        <v>16</v>
      </c>
      <c r="D180" s="64" t="s">
        <v>1495</v>
      </c>
      <c r="E180" s="64" t="s">
        <v>382</v>
      </c>
      <c r="F180" s="64" t="s">
        <v>9307</v>
      </c>
      <c r="G180" s="64" t="s">
        <v>1845</v>
      </c>
    </row>
    <row r="181" spans="1:7" x14ac:dyDescent="0.3">
      <c r="A181" s="64" t="s">
        <v>948</v>
      </c>
      <c r="B181" s="64" t="s">
        <v>1898</v>
      </c>
      <c r="C181" s="64" t="s">
        <v>16</v>
      </c>
      <c r="D181" s="64" t="s">
        <v>1495</v>
      </c>
      <c r="E181" s="64" t="s">
        <v>370</v>
      </c>
      <c r="F181" s="64" t="s">
        <v>9307</v>
      </c>
      <c r="G181" s="64" t="s">
        <v>1846</v>
      </c>
    </row>
    <row r="182" spans="1:7" x14ac:dyDescent="0.3">
      <c r="A182" s="64" t="s">
        <v>948</v>
      </c>
      <c r="B182" s="64" t="s">
        <v>1898</v>
      </c>
      <c r="C182" s="64" t="s">
        <v>16</v>
      </c>
      <c r="D182" s="64" t="s">
        <v>1495</v>
      </c>
      <c r="E182" s="64" t="s">
        <v>378</v>
      </c>
      <c r="F182" s="64" t="s">
        <v>9307</v>
      </c>
      <c r="G182" s="64" t="s">
        <v>1847</v>
      </c>
    </row>
    <row r="183" spans="1:7" x14ac:dyDescent="0.3">
      <c r="A183" s="64" t="s">
        <v>948</v>
      </c>
      <c r="B183" s="64" t="s">
        <v>1898</v>
      </c>
      <c r="C183" s="64" t="s">
        <v>16</v>
      </c>
      <c r="D183" s="64" t="s">
        <v>1495</v>
      </c>
      <c r="E183" s="64" t="s">
        <v>371</v>
      </c>
      <c r="F183" s="64" t="s">
        <v>9307</v>
      </c>
      <c r="G183" s="64" t="s">
        <v>1848</v>
      </c>
    </row>
    <row r="184" spans="1:7" x14ac:dyDescent="0.3">
      <c r="A184" s="64" t="s">
        <v>948</v>
      </c>
      <c r="B184" s="64" t="s">
        <v>1898</v>
      </c>
      <c r="C184" s="64" t="s">
        <v>16</v>
      </c>
      <c r="D184" s="64" t="s">
        <v>1495</v>
      </c>
      <c r="E184" s="64" t="s">
        <v>376</v>
      </c>
      <c r="F184" s="64" t="s">
        <v>9307</v>
      </c>
      <c r="G184" s="64" t="s">
        <v>1849</v>
      </c>
    </row>
    <row r="185" spans="1:7" x14ac:dyDescent="0.3">
      <c r="A185" s="64" t="s">
        <v>948</v>
      </c>
      <c r="B185" s="64" t="s">
        <v>1898</v>
      </c>
      <c r="C185" s="64" t="s">
        <v>16</v>
      </c>
      <c r="D185" s="64" t="s">
        <v>1495</v>
      </c>
      <c r="E185" s="64" t="s">
        <v>377</v>
      </c>
      <c r="F185" s="64" t="s">
        <v>9307</v>
      </c>
      <c r="G185" s="64" t="s">
        <v>1850</v>
      </c>
    </row>
    <row r="186" spans="1:7" x14ac:dyDescent="0.3">
      <c r="A186" s="64" t="s">
        <v>948</v>
      </c>
      <c r="B186" s="64" t="s">
        <v>1898</v>
      </c>
      <c r="C186" s="64" t="s">
        <v>16</v>
      </c>
      <c r="D186" s="64" t="s">
        <v>1495</v>
      </c>
      <c r="E186" s="64" t="s">
        <v>381</v>
      </c>
      <c r="F186" s="64" t="s">
        <v>9307</v>
      </c>
      <c r="G186" s="64" t="s">
        <v>1851</v>
      </c>
    </row>
    <row r="187" spans="1:7" x14ac:dyDescent="0.3">
      <c r="A187" s="64" t="s">
        <v>948</v>
      </c>
      <c r="B187" s="64" t="s">
        <v>1898</v>
      </c>
      <c r="C187" s="64" t="s">
        <v>16</v>
      </c>
      <c r="D187" s="64" t="s">
        <v>1495</v>
      </c>
      <c r="E187" s="64" t="s">
        <v>379</v>
      </c>
      <c r="F187" s="64" t="s">
        <v>9307</v>
      </c>
      <c r="G187" s="64" t="s">
        <v>1852</v>
      </c>
    </row>
    <row r="188" spans="1:7" x14ac:dyDescent="0.3">
      <c r="A188" s="64" t="s">
        <v>948</v>
      </c>
      <c r="B188" s="64" t="s">
        <v>1898</v>
      </c>
      <c r="C188" s="64" t="s">
        <v>16</v>
      </c>
      <c r="D188" s="64" t="s">
        <v>1495</v>
      </c>
      <c r="E188" s="64" t="s">
        <v>374</v>
      </c>
      <c r="F188" s="64" t="s">
        <v>9307</v>
      </c>
      <c r="G188" s="64" t="s">
        <v>1853</v>
      </c>
    </row>
    <row r="189" spans="1:7" x14ac:dyDescent="0.3">
      <c r="A189" s="64" t="s">
        <v>948</v>
      </c>
      <c r="B189" s="64" t="s">
        <v>1898</v>
      </c>
      <c r="C189" s="64" t="s">
        <v>16</v>
      </c>
      <c r="D189" s="64" t="s">
        <v>1495</v>
      </c>
      <c r="E189" s="64" t="s">
        <v>383</v>
      </c>
      <c r="F189" s="64" t="s">
        <v>9307</v>
      </c>
      <c r="G189" s="64" t="s">
        <v>1854</v>
      </c>
    </row>
    <row r="190" spans="1:7" x14ac:dyDescent="0.3">
      <c r="A190" s="64" t="s">
        <v>948</v>
      </c>
      <c r="B190" s="64" t="s">
        <v>1898</v>
      </c>
      <c r="C190" s="64" t="s">
        <v>16</v>
      </c>
      <c r="D190" s="64" t="s">
        <v>1495</v>
      </c>
      <c r="E190" s="64" t="s">
        <v>373</v>
      </c>
      <c r="F190" s="64" t="s">
        <v>9307</v>
      </c>
      <c r="G190" s="64" t="s">
        <v>1855</v>
      </c>
    </row>
    <row r="191" spans="1:7" x14ac:dyDescent="0.3">
      <c r="A191" s="64" t="s">
        <v>948</v>
      </c>
      <c r="B191" s="64" t="s">
        <v>1898</v>
      </c>
      <c r="C191" s="64" t="s">
        <v>16</v>
      </c>
      <c r="D191" s="64" t="s">
        <v>1495</v>
      </c>
      <c r="E191" s="64" t="s">
        <v>368</v>
      </c>
      <c r="F191" s="64" t="s">
        <v>9307</v>
      </c>
      <c r="G191" s="64" t="s">
        <v>1856</v>
      </c>
    </row>
    <row r="192" spans="1:7" x14ac:dyDescent="0.3">
      <c r="A192" s="64" t="s">
        <v>948</v>
      </c>
      <c r="B192" s="64" t="s">
        <v>1898</v>
      </c>
      <c r="C192" s="64" t="s">
        <v>16</v>
      </c>
      <c r="D192" s="64" t="s">
        <v>1495</v>
      </c>
      <c r="E192" s="64" t="s">
        <v>372</v>
      </c>
      <c r="F192" s="64" t="s">
        <v>9307</v>
      </c>
      <c r="G192" s="64" t="s">
        <v>1857</v>
      </c>
    </row>
    <row r="193" spans="1:7" x14ac:dyDescent="0.3">
      <c r="A193" s="64" t="s">
        <v>948</v>
      </c>
      <c r="B193" s="64" t="s">
        <v>1898</v>
      </c>
      <c r="C193" s="64" t="s">
        <v>16</v>
      </c>
      <c r="D193" s="64" t="s">
        <v>1495</v>
      </c>
      <c r="E193" s="64" t="s">
        <v>375</v>
      </c>
      <c r="F193" s="64" t="s">
        <v>9307</v>
      </c>
      <c r="G193" s="64" t="s">
        <v>1858</v>
      </c>
    </row>
    <row r="194" spans="1:7" x14ac:dyDescent="0.3">
      <c r="A194" s="64" t="s">
        <v>948</v>
      </c>
      <c r="B194" s="64" t="s">
        <v>1898</v>
      </c>
      <c r="C194" s="64" t="s">
        <v>16</v>
      </c>
      <c r="D194" s="64" t="s">
        <v>1495</v>
      </c>
      <c r="E194" s="64" t="s">
        <v>380</v>
      </c>
      <c r="F194" s="64" t="s">
        <v>9307</v>
      </c>
      <c r="G194" s="64" t="s">
        <v>1859</v>
      </c>
    </row>
    <row r="195" spans="1:7" x14ac:dyDescent="0.3">
      <c r="A195" s="64" t="s">
        <v>952</v>
      </c>
      <c r="B195" s="64" t="s">
        <v>953</v>
      </c>
      <c r="C195" s="64" t="s">
        <v>20</v>
      </c>
      <c r="D195" s="64" t="s">
        <v>403</v>
      </c>
      <c r="E195" s="64" t="s">
        <v>15</v>
      </c>
      <c r="F195" s="64" t="s">
        <v>955</v>
      </c>
      <c r="G195" s="64" t="s">
        <v>805</v>
      </c>
    </row>
    <row r="196" spans="1:7" x14ac:dyDescent="0.3">
      <c r="A196" s="64" t="s">
        <v>952</v>
      </c>
      <c r="B196" s="64" t="s">
        <v>953</v>
      </c>
      <c r="C196" s="64" t="s">
        <v>20</v>
      </c>
      <c r="D196" s="64" t="s">
        <v>403</v>
      </c>
      <c r="E196" s="64" t="s">
        <v>15</v>
      </c>
      <c r="F196" s="64" t="s">
        <v>987</v>
      </c>
      <c r="G196" s="64">
        <v>0</v>
      </c>
    </row>
    <row r="197" spans="1:7" x14ac:dyDescent="0.3">
      <c r="A197" s="64" t="s">
        <v>952</v>
      </c>
      <c r="B197" s="64" t="s">
        <v>953</v>
      </c>
      <c r="C197" s="64" t="s">
        <v>20</v>
      </c>
      <c r="D197" s="64" t="s">
        <v>403</v>
      </c>
      <c r="E197" s="64" t="s">
        <v>15</v>
      </c>
      <c r="F197" s="64" t="s">
        <v>988</v>
      </c>
      <c r="G197" s="64">
        <v>0</v>
      </c>
    </row>
    <row r="198" spans="1:7" x14ac:dyDescent="0.3">
      <c r="A198" s="64" t="s">
        <v>952</v>
      </c>
      <c r="B198" s="64" t="s">
        <v>953</v>
      </c>
      <c r="C198" s="64" t="s">
        <v>16</v>
      </c>
      <c r="D198" s="64" t="s">
        <v>403</v>
      </c>
      <c r="E198" s="64" t="s">
        <v>369</v>
      </c>
      <c r="F198" s="64" t="s">
        <v>955</v>
      </c>
      <c r="G198" s="64" t="s">
        <v>1860</v>
      </c>
    </row>
    <row r="199" spans="1:7" x14ac:dyDescent="0.3">
      <c r="A199" s="64" t="s">
        <v>952</v>
      </c>
      <c r="B199" s="64" t="s">
        <v>953</v>
      </c>
      <c r="C199" s="64" t="s">
        <v>16</v>
      </c>
      <c r="D199" s="64" t="s">
        <v>403</v>
      </c>
      <c r="E199" s="64" t="s">
        <v>382</v>
      </c>
      <c r="F199" s="64" t="s">
        <v>955</v>
      </c>
      <c r="G199" s="64" t="s">
        <v>1861</v>
      </c>
    </row>
    <row r="200" spans="1:7" x14ac:dyDescent="0.3">
      <c r="A200" s="64" t="s">
        <v>952</v>
      </c>
      <c r="B200" s="64" t="s">
        <v>953</v>
      </c>
      <c r="C200" s="64" t="s">
        <v>16</v>
      </c>
      <c r="D200" s="64" t="s">
        <v>403</v>
      </c>
      <c r="E200" s="64" t="s">
        <v>370</v>
      </c>
      <c r="F200" s="64" t="s">
        <v>955</v>
      </c>
      <c r="G200" s="64" t="s">
        <v>1862</v>
      </c>
    </row>
    <row r="201" spans="1:7" x14ac:dyDescent="0.3">
      <c r="A201" s="64" t="s">
        <v>952</v>
      </c>
      <c r="B201" s="64" t="s">
        <v>953</v>
      </c>
      <c r="C201" s="64" t="s">
        <v>16</v>
      </c>
      <c r="D201" s="64" t="s">
        <v>403</v>
      </c>
      <c r="E201" s="64" t="s">
        <v>378</v>
      </c>
      <c r="F201" s="64" t="s">
        <v>955</v>
      </c>
      <c r="G201" s="64" t="s">
        <v>1863</v>
      </c>
    </row>
    <row r="202" spans="1:7" x14ac:dyDescent="0.3">
      <c r="A202" s="64" t="s">
        <v>952</v>
      </c>
      <c r="B202" s="64" t="s">
        <v>953</v>
      </c>
      <c r="C202" s="64" t="s">
        <v>16</v>
      </c>
      <c r="D202" s="64" t="s">
        <v>403</v>
      </c>
      <c r="E202" s="64" t="s">
        <v>371</v>
      </c>
      <c r="F202" s="64" t="s">
        <v>955</v>
      </c>
      <c r="G202" s="64" t="s">
        <v>1864</v>
      </c>
    </row>
    <row r="203" spans="1:7" x14ac:dyDescent="0.3">
      <c r="A203" s="64" t="s">
        <v>952</v>
      </c>
      <c r="B203" s="64" t="s">
        <v>953</v>
      </c>
      <c r="C203" s="64" t="s">
        <v>16</v>
      </c>
      <c r="D203" s="64" t="s">
        <v>403</v>
      </c>
      <c r="E203" s="64" t="s">
        <v>376</v>
      </c>
      <c r="F203" s="64" t="s">
        <v>955</v>
      </c>
      <c r="G203" s="64" t="s">
        <v>1865</v>
      </c>
    </row>
    <row r="204" spans="1:7" x14ac:dyDescent="0.3">
      <c r="A204" s="64" t="s">
        <v>952</v>
      </c>
      <c r="B204" s="64" t="s">
        <v>953</v>
      </c>
      <c r="C204" s="64" t="s">
        <v>16</v>
      </c>
      <c r="D204" s="64" t="s">
        <v>403</v>
      </c>
      <c r="E204" s="64" t="s">
        <v>377</v>
      </c>
      <c r="F204" s="64" t="s">
        <v>955</v>
      </c>
      <c r="G204" s="64" t="s">
        <v>1866</v>
      </c>
    </row>
    <row r="205" spans="1:7" x14ac:dyDescent="0.3">
      <c r="A205" s="64" t="s">
        <v>952</v>
      </c>
      <c r="B205" s="64" t="s">
        <v>953</v>
      </c>
      <c r="C205" s="64" t="s">
        <v>16</v>
      </c>
      <c r="D205" s="64" t="s">
        <v>403</v>
      </c>
      <c r="E205" s="64" t="s">
        <v>381</v>
      </c>
      <c r="F205" s="64" t="s">
        <v>955</v>
      </c>
      <c r="G205" s="64" t="s">
        <v>1867</v>
      </c>
    </row>
    <row r="206" spans="1:7" x14ac:dyDescent="0.3">
      <c r="A206" s="64" t="s">
        <v>952</v>
      </c>
      <c r="B206" s="64" t="s">
        <v>953</v>
      </c>
      <c r="C206" s="64" t="s">
        <v>16</v>
      </c>
      <c r="D206" s="64" t="s">
        <v>403</v>
      </c>
      <c r="E206" s="64" t="s">
        <v>379</v>
      </c>
      <c r="F206" s="64" t="s">
        <v>955</v>
      </c>
      <c r="G206" s="64" t="s">
        <v>1868</v>
      </c>
    </row>
    <row r="207" spans="1:7" x14ac:dyDescent="0.3">
      <c r="A207" s="64" t="s">
        <v>952</v>
      </c>
      <c r="B207" s="64" t="s">
        <v>953</v>
      </c>
      <c r="C207" s="64" t="s">
        <v>16</v>
      </c>
      <c r="D207" s="64" t="s">
        <v>403</v>
      </c>
      <c r="E207" s="64" t="s">
        <v>374</v>
      </c>
      <c r="F207" s="64" t="s">
        <v>955</v>
      </c>
      <c r="G207" s="64" t="s">
        <v>1869</v>
      </c>
    </row>
    <row r="208" spans="1:7" x14ac:dyDescent="0.3">
      <c r="A208" s="64" t="s">
        <v>952</v>
      </c>
      <c r="B208" s="64" t="s">
        <v>953</v>
      </c>
      <c r="C208" s="64" t="s">
        <v>16</v>
      </c>
      <c r="D208" s="64" t="s">
        <v>403</v>
      </c>
      <c r="E208" s="64" t="s">
        <v>383</v>
      </c>
      <c r="F208" s="64" t="s">
        <v>955</v>
      </c>
      <c r="G208" s="64" t="s">
        <v>1870</v>
      </c>
    </row>
    <row r="209" spans="1:7" x14ac:dyDescent="0.3">
      <c r="A209" s="64" t="s">
        <v>952</v>
      </c>
      <c r="B209" s="64" t="s">
        <v>953</v>
      </c>
      <c r="C209" s="64" t="s">
        <v>16</v>
      </c>
      <c r="D209" s="64" t="s">
        <v>403</v>
      </c>
      <c r="E209" s="64" t="s">
        <v>373</v>
      </c>
      <c r="F209" s="64" t="s">
        <v>955</v>
      </c>
      <c r="G209" s="64" t="s">
        <v>1871</v>
      </c>
    </row>
    <row r="210" spans="1:7" x14ac:dyDescent="0.3">
      <c r="A210" s="64" t="s">
        <v>952</v>
      </c>
      <c r="B210" s="64" t="s">
        <v>953</v>
      </c>
      <c r="C210" s="64" t="s">
        <v>16</v>
      </c>
      <c r="D210" s="64" t="s">
        <v>403</v>
      </c>
      <c r="E210" s="64" t="s">
        <v>368</v>
      </c>
      <c r="F210" s="64" t="s">
        <v>955</v>
      </c>
      <c r="G210" s="64" t="s">
        <v>1872</v>
      </c>
    </row>
    <row r="211" spans="1:7" x14ac:dyDescent="0.3">
      <c r="A211" s="64" t="s">
        <v>952</v>
      </c>
      <c r="B211" s="64" t="s">
        <v>953</v>
      </c>
      <c r="C211" s="64" t="s">
        <v>16</v>
      </c>
      <c r="D211" s="64" t="s">
        <v>403</v>
      </c>
      <c r="E211" s="64" t="s">
        <v>372</v>
      </c>
      <c r="F211" s="64" t="s">
        <v>955</v>
      </c>
      <c r="G211" s="64" t="s">
        <v>1873</v>
      </c>
    </row>
    <row r="212" spans="1:7" x14ac:dyDescent="0.3">
      <c r="A212" s="64" t="s">
        <v>952</v>
      </c>
      <c r="B212" s="64" t="s">
        <v>953</v>
      </c>
      <c r="C212" s="64" t="s">
        <v>16</v>
      </c>
      <c r="D212" s="64" t="s">
        <v>403</v>
      </c>
      <c r="E212" s="64" t="s">
        <v>375</v>
      </c>
      <c r="F212" s="64" t="s">
        <v>955</v>
      </c>
      <c r="G212" s="64" t="s">
        <v>1874</v>
      </c>
    </row>
    <row r="213" spans="1:7" x14ac:dyDescent="0.3">
      <c r="A213" s="64" t="s">
        <v>952</v>
      </c>
      <c r="B213" s="64" t="s">
        <v>953</v>
      </c>
      <c r="C213" s="64" t="s">
        <v>16</v>
      </c>
      <c r="D213" s="64" t="s">
        <v>403</v>
      </c>
      <c r="E213" s="64" t="s">
        <v>380</v>
      </c>
      <c r="F213" s="64" t="s">
        <v>955</v>
      </c>
      <c r="G213" s="64" t="s">
        <v>1875</v>
      </c>
    </row>
    <row r="214" spans="1:7" x14ac:dyDescent="0.3">
      <c r="A214" s="64" t="s">
        <v>1369</v>
      </c>
      <c r="B214" s="64" t="s">
        <v>1907</v>
      </c>
      <c r="C214" s="64" t="s">
        <v>20</v>
      </c>
      <c r="D214" s="64" t="s">
        <v>16</v>
      </c>
      <c r="E214" s="64" t="s">
        <v>15</v>
      </c>
      <c r="F214" s="64" t="s">
        <v>9309</v>
      </c>
      <c r="G214" s="64">
        <v>0</v>
      </c>
    </row>
    <row r="215" spans="1:7" x14ac:dyDescent="0.3">
      <c r="A215" s="64" t="s">
        <v>1369</v>
      </c>
      <c r="B215" s="64" t="s">
        <v>1907</v>
      </c>
      <c r="C215" s="64" t="s">
        <v>20</v>
      </c>
      <c r="D215" s="64" t="s">
        <v>403</v>
      </c>
      <c r="E215" s="64" t="s">
        <v>15</v>
      </c>
      <c r="F215" s="64" t="s">
        <v>9309</v>
      </c>
      <c r="G215" s="64" t="s">
        <v>805</v>
      </c>
    </row>
    <row r="216" spans="1:7" x14ac:dyDescent="0.3">
      <c r="A216" s="64" t="s">
        <v>1369</v>
      </c>
      <c r="B216" s="64" t="s">
        <v>1907</v>
      </c>
      <c r="C216" s="64" t="s">
        <v>16</v>
      </c>
      <c r="D216" s="64" t="s">
        <v>403</v>
      </c>
      <c r="E216" s="64" t="s">
        <v>369</v>
      </c>
      <c r="F216" s="64" t="s">
        <v>9309</v>
      </c>
      <c r="G216" s="64" t="s">
        <v>1860</v>
      </c>
    </row>
    <row r="217" spans="1:7" x14ac:dyDescent="0.3">
      <c r="A217" s="64" t="s">
        <v>1369</v>
      </c>
      <c r="B217" s="64" t="s">
        <v>1907</v>
      </c>
      <c r="C217" s="64" t="s">
        <v>16</v>
      </c>
      <c r="D217" s="64" t="s">
        <v>403</v>
      </c>
      <c r="E217" s="64" t="s">
        <v>382</v>
      </c>
      <c r="F217" s="64" t="s">
        <v>9309</v>
      </c>
      <c r="G217" s="64" t="s">
        <v>1861</v>
      </c>
    </row>
    <row r="218" spans="1:7" x14ac:dyDescent="0.3">
      <c r="A218" s="64" t="s">
        <v>1369</v>
      </c>
      <c r="B218" s="64" t="s">
        <v>1907</v>
      </c>
      <c r="C218" s="64" t="s">
        <v>16</v>
      </c>
      <c r="D218" s="64" t="s">
        <v>403</v>
      </c>
      <c r="E218" s="64" t="s">
        <v>370</v>
      </c>
      <c r="F218" s="64" t="s">
        <v>9309</v>
      </c>
      <c r="G218" s="64" t="s">
        <v>1862</v>
      </c>
    </row>
    <row r="219" spans="1:7" x14ac:dyDescent="0.3">
      <c r="A219" s="64" t="s">
        <v>1369</v>
      </c>
      <c r="B219" s="64" t="s">
        <v>1907</v>
      </c>
      <c r="C219" s="64" t="s">
        <v>16</v>
      </c>
      <c r="D219" s="64" t="s">
        <v>403</v>
      </c>
      <c r="E219" s="64" t="s">
        <v>378</v>
      </c>
      <c r="F219" s="64" t="s">
        <v>9309</v>
      </c>
      <c r="G219" s="64" t="s">
        <v>1863</v>
      </c>
    </row>
    <row r="220" spans="1:7" x14ac:dyDescent="0.3">
      <c r="A220" s="64" t="s">
        <v>1369</v>
      </c>
      <c r="B220" s="64" t="s">
        <v>1907</v>
      </c>
      <c r="C220" s="64" t="s">
        <v>16</v>
      </c>
      <c r="D220" s="64" t="s">
        <v>403</v>
      </c>
      <c r="E220" s="64" t="s">
        <v>371</v>
      </c>
      <c r="F220" s="64" t="s">
        <v>9309</v>
      </c>
      <c r="G220" s="64" t="s">
        <v>1864</v>
      </c>
    </row>
    <row r="221" spans="1:7" x14ac:dyDescent="0.3">
      <c r="A221" s="64" t="s">
        <v>1369</v>
      </c>
      <c r="B221" s="64" t="s">
        <v>1907</v>
      </c>
      <c r="C221" s="64" t="s">
        <v>16</v>
      </c>
      <c r="D221" s="64" t="s">
        <v>403</v>
      </c>
      <c r="E221" s="64" t="s">
        <v>376</v>
      </c>
      <c r="F221" s="64" t="s">
        <v>9309</v>
      </c>
      <c r="G221" s="64" t="s">
        <v>1865</v>
      </c>
    </row>
    <row r="222" spans="1:7" x14ac:dyDescent="0.3">
      <c r="A222" s="64" t="s">
        <v>1369</v>
      </c>
      <c r="B222" s="64" t="s">
        <v>1907</v>
      </c>
      <c r="C222" s="64" t="s">
        <v>16</v>
      </c>
      <c r="D222" s="64" t="s">
        <v>403</v>
      </c>
      <c r="E222" s="64" t="s">
        <v>377</v>
      </c>
      <c r="F222" s="64" t="s">
        <v>9309</v>
      </c>
      <c r="G222" s="64" t="s">
        <v>1866</v>
      </c>
    </row>
    <row r="223" spans="1:7" x14ac:dyDescent="0.3">
      <c r="A223" s="64" t="s">
        <v>1369</v>
      </c>
      <c r="B223" s="64" t="s">
        <v>1907</v>
      </c>
      <c r="C223" s="64" t="s">
        <v>16</v>
      </c>
      <c r="D223" s="64" t="s">
        <v>403</v>
      </c>
      <c r="E223" s="64" t="s">
        <v>381</v>
      </c>
      <c r="F223" s="64" t="s">
        <v>9309</v>
      </c>
      <c r="G223" s="64" t="s">
        <v>1867</v>
      </c>
    </row>
    <row r="224" spans="1:7" x14ac:dyDescent="0.3">
      <c r="A224" s="64" t="s">
        <v>1369</v>
      </c>
      <c r="B224" s="64" t="s">
        <v>1907</v>
      </c>
      <c r="C224" s="64" t="s">
        <v>16</v>
      </c>
      <c r="D224" s="64" t="s">
        <v>403</v>
      </c>
      <c r="E224" s="64" t="s">
        <v>379</v>
      </c>
      <c r="F224" s="64" t="s">
        <v>9309</v>
      </c>
      <c r="G224" s="64" t="s">
        <v>1868</v>
      </c>
    </row>
    <row r="225" spans="1:7" x14ac:dyDescent="0.3">
      <c r="A225" s="64" t="s">
        <v>1369</v>
      </c>
      <c r="B225" s="64" t="s">
        <v>1907</v>
      </c>
      <c r="C225" s="64" t="s">
        <v>16</v>
      </c>
      <c r="D225" s="64" t="s">
        <v>403</v>
      </c>
      <c r="E225" s="64" t="s">
        <v>374</v>
      </c>
      <c r="F225" s="64" t="s">
        <v>9309</v>
      </c>
      <c r="G225" s="64" t="s">
        <v>1869</v>
      </c>
    </row>
    <row r="226" spans="1:7" x14ac:dyDescent="0.3">
      <c r="A226" s="64" t="s">
        <v>1369</v>
      </c>
      <c r="B226" s="64" t="s">
        <v>1907</v>
      </c>
      <c r="C226" s="64" t="s">
        <v>16</v>
      </c>
      <c r="D226" s="64" t="s">
        <v>403</v>
      </c>
      <c r="E226" s="64" t="s">
        <v>383</v>
      </c>
      <c r="F226" s="64" t="s">
        <v>9309</v>
      </c>
      <c r="G226" s="64" t="s">
        <v>1870</v>
      </c>
    </row>
    <row r="227" spans="1:7" x14ac:dyDescent="0.3">
      <c r="A227" s="64" t="s">
        <v>1369</v>
      </c>
      <c r="B227" s="64" t="s">
        <v>1907</v>
      </c>
      <c r="C227" s="64" t="s">
        <v>16</v>
      </c>
      <c r="D227" s="64" t="s">
        <v>403</v>
      </c>
      <c r="E227" s="64" t="s">
        <v>373</v>
      </c>
      <c r="F227" s="64" t="s">
        <v>9309</v>
      </c>
      <c r="G227" s="64" t="s">
        <v>1871</v>
      </c>
    </row>
    <row r="228" spans="1:7" x14ac:dyDescent="0.3">
      <c r="A228" s="64" t="s">
        <v>1369</v>
      </c>
      <c r="B228" s="64" t="s">
        <v>1907</v>
      </c>
      <c r="C228" s="64" t="s">
        <v>16</v>
      </c>
      <c r="D228" s="64" t="s">
        <v>403</v>
      </c>
      <c r="E228" s="64" t="s">
        <v>368</v>
      </c>
      <c r="F228" s="64" t="s">
        <v>9309</v>
      </c>
      <c r="G228" s="64" t="s">
        <v>1872</v>
      </c>
    </row>
    <row r="229" spans="1:7" x14ac:dyDescent="0.3">
      <c r="A229" s="64" t="s">
        <v>1369</v>
      </c>
      <c r="B229" s="64" t="s">
        <v>1907</v>
      </c>
      <c r="C229" s="64" t="s">
        <v>16</v>
      </c>
      <c r="D229" s="64" t="s">
        <v>403</v>
      </c>
      <c r="E229" s="64" t="s">
        <v>372</v>
      </c>
      <c r="F229" s="64" t="s">
        <v>9309</v>
      </c>
      <c r="G229" s="64" t="s">
        <v>1873</v>
      </c>
    </row>
    <row r="230" spans="1:7" x14ac:dyDescent="0.3">
      <c r="A230" s="64" t="s">
        <v>1369</v>
      </c>
      <c r="B230" s="64" t="s">
        <v>1907</v>
      </c>
      <c r="C230" s="64" t="s">
        <v>16</v>
      </c>
      <c r="D230" s="64" t="s">
        <v>403</v>
      </c>
      <c r="E230" s="64" t="s">
        <v>375</v>
      </c>
      <c r="F230" s="64" t="s">
        <v>9309</v>
      </c>
      <c r="G230" s="64" t="s">
        <v>1874</v>
      </c>
    </row>
    <row r="231" spans="1:7" x14ac:dyDescent="0.3">
      <c r="A231" s="64" t="s">
        <v>1369</v>
      </c>
      <c r="B231" s="64" t="s">
        <v>1907</v>
      </c>
      <c r="C231" s="64" t="s">
        <v>16</v>
      </c>
      <c r="D231" s="64" t="s">
        <v>403</v>
      </c>
      <c r="E231" s="64" t="s">
        <v>380</v>
      </c>
      <c r="F231" s="64" t="s">
        <v>9309</v>
      </c>
      <c r="G231" s="64" t="s">
        <v>1875</v>
      </c>
    </row>
    <row r="232" spans="1:7" x14ac:dyDescent="0.3">
      <c r="A232" s="64" t="s">
        <v>1371</v>
      </c>
      <c r="B232" s="64" t="s">
        <v>1882</v>
      </c>
      <c r="C232" s="64" t="s">
        <v>20</v>
      </c>
      <c r="D232" s="64" t="s">
        <v>18</v>
      </c>
      <c r="E232" s="64" t="s">
        <v>15</v>
      </c>
      <c r="F232" s="64" t="s">
        <v>1371</v>
      </c>
      <c r="G232" s="64" t="s">
        <v>957</v>
      </c>
    </row>
    <row r="233" spans="1:7" x14ac:dyDescent="0.3">
      <c r="A233" s="64" t="s">
        <v>1371</v>
      </c>
      <c r="B233" s="64" t="s">
        <v>1882</v>
      </c>
      <c r="C233" s="64" t="s">
        <v>16</v>
      </c>
      <c r="D233" s="64" t="s">
        <v>18</v>
      </c>
      <c r="E233" s="64" t="s">
        <v>369</v>
      </c>
      <c r="F233" s="64" t="s">
        <v>1371</v>
      </c>
      <c r="G233" s="64" t="s">
        <v>1844</v>
      </c>
    </row>
    <row r="234" spans="1:7" x14ac:dyDescent="0.3">
      <c r="A234" s="64" t="s">
        <v>1371</v>
      </c>
      <c r="B234" s="64" t="s">
        <v>1882</v>
      </c>
      <c r="C234" s="64" t="s">
        <v>16</v>
      </c>
      <c r="D234" s="64" t="s">
        <v>18</v>
      </c>
      <c r="E234" s="64" t="s">
        <v>382</v>
      </c>
      <c r="F234" s="64" t="s">
        <v>1371</v>
      </c>
      <c r="G234" s="64" t="s">
        <v>1845</v>
      </c>
    </row>
    <row r="235" spans="1:7" x14ac:dyDescent="0.3">
      <c r="A235" s="64" t="s">
        <v>1371</v>
      </c>
      <c r="B235" s="64" t="s">
        <v>1882</v>
      </c>
      <c r="C235" s="64" t="s">
        <v>16</v>
      </c>
      <c r="D235" s="64" t="s">
        <v>18</v>
      </c>
      <c r="E235" s="64" t="s">
        <v>370</v>
      </c>
      <c r="F235" s="64" t="s">
        <v>1371</v>
      </c>
      <c r="G235" s="64" t="s">
        <v>1846</v>
      </c>
    </row>
    <row r="236" spans="1:7" x14ac:dyDescent="0.3">
      <c r="A236" s="64" t="s">
        <v>1371</v>
      </c>
      <c r="B236" s="64" t="s">
        <v>1882</v>
      </c>
      <c r="C236" s="64" t="s">
        <v>16</v>
      </c>
      <c r="D236" s="64" t="s">
        <v>18</v>
      </c>
      <c r="E236" s="64" t="s">
        <v>378</v>
      </c>
      <c r="F236" s="64" t="s">
        <v>1371</v>
      </c>
      <c r="G236" s="64" t="s">
        <v>1847</v>
      </c>
    </row>
    <row r="237" spans="1:7" x14ac:dyDescent="0.3">
      <c r="A237" s="64" t="s">
        <v>1371</v>
      </c>
      <c r="B237" s="64" t="s">
        <v>1882</v>
      </c>
      <c r="C237" s="64" t="s">
        <v>16</v>
      </c>
      <c r="D237" s="64" t="s">
        <v>18</v>
      </c>
      <c r="E237" s="64" t="s">
        <v>371</v>
      </c>
      <c r="F237" s="64" t="s">
        <v>1371</v>
      </c>
      <c r="G237" s="64" t="s">
        <v>1848</v>
      </c>
    </row>
    <row r="238" spans="1:7" x14ac:dyDescent="0.3">
      <c r="A238" s="64" t="s">
        <v>1371</v>
      </c>
      <c r="B238" s="64" t="s">
        <v>1882</v>
      </c>
      <c r="C238" s="64" t="s">
        <v>16</v>
      </c>
      <c r="D238" s="64" t="s">
        <v>18</v>
      </c>
      <c r="E238" s="64" t="s">
        <v>376</v>
      </c>
      <c r="F238" s="64" t="s">
        <v>1371</v>
      </c>
      <c r="G238" s="64" t="s">
        <v>1849</v>
      </c>
    </row>
    <row r="239" spans="1:7" x14ac:dyDescent="0.3">
      <c r="A239" s="64" t="s">
        <v>1371</v>
      </c>
      <c r="B239" s="64" t="s">
        <v>1882</v>
      </c>
      <c r="C239" s="64" t="s">
        <v>16</v>
      </c>
      <c r="D239" s="64" t="s">
        <v>18</v>
      </c>
      <c r="E239" s="64" t="s">
        <v>377</v>
      </c>
      <c r="F239" s="64" t="s">
        <v>1371</v>
      </c>
      <c r="G239" s="64" t="s">
        <v>1850</v>
      </c>
    </row>
    <row r="240" spans="1:7" x14ac:dyDescent="0.3">
      <c r="A240" s="64" t="s">
        <v>1371</v>
      </c>
      <c r="B240" s="64" t="s">
        <v>1882</v>
      </c>
      <c r="C240" s="64" t="s">
        <v>16</v>
      </c>
      <c r="D240" s="64" t="s">
        <v>18</v>
      </c>
      <c r="E240" s="64" t="s">
        <v>381</v>
      </c>
      <c r="F240" s="64" t="s">
        <v>1371</v>
      </c>
      <c r="G240" s="64" t="s">
        <v>1851</v>
      </c>
    </row>
    <row r="241" spans="1:7" x14ac:dyDescent="0.3">
      <c r="A241" s="64" t="s">
        <v>1371</v>
      </c>
      <c r="B241" s="64" t="s">
        <v>1882</v>
      </c>
      <c r="C241" s="64" t="s">
        <v>16</v>
      </c>
      <c r="D241" s="64" t="s">
        <v>18</v>
      </c>
      <c r="E241" s="64" t="s">
        <v>379</v>
      </c>
      <c r="F241" s="64" t="s">
        <v>1371</v>
      </c>
      <c r="G241" s="64" t="s">
        <v>1852</v>
      </c>
    </row>
    <row r="242" spans="1:7" x14ac:dyDescent="0.3">
      <c r="A242" s="64" t="s">
        <v>1371</v>
      </c>
      <c r="B242" s="64" t="s">
        <v>1882</v>
      </c>
      <c r="C242" s="64" t="s">
        <v>16</v>
      </c>
      <c r="D242" s="64" t="s">
        <v>18</v>
      </c>
      <c r="E242" s="64" t="s">
        <v>374</v>
      </c>
      <c r="F242" s="64" t="s">
        <v>1371</v>
      </c>
      <c r="G242" s="64" t="s">
        <v>1853</v>
      </c>
    </row>
    <row r="243" spans="1:7" x14ac:dyDescent="0.3">
      <c r="A243" s="64" t="s">
        <v>1371</v>
      </c>
      <c r="B243" s="64" t="s">
        <v>1882</v>
      </c>
      <c r="C243" s="64" t="s">
        <v>16</v>
      </c>
      <c r="D243" s="64" t="s">
        <v>18</v>
      </c>
      <c r="E243" s="64" t="s">
        <v>383</v>
      </c>
      <c r="F243" s="64" t="s">
        <v>1371</v>
      </c>
      <c r="G243" s="64" t="s">
        <v>1854</v>
      </c>
    </row>
    <row r="244" spans="1:7" x14ac:dyDescent="0.3">
      <c r="A244" s="64" t="s">
        <v>1371</v>
      </c>
      <c r="B244" s="64" t="s">
        <v>1882</v>
      </c>
      <c r="C244" s="64" t="s">
        <v>16</v>
      </c>
      <c r="D244" s="64" t="s">
        <v>18</v>
      </c>
      <c r="E244" s="64" t="s">
        <v>373</v>
      </c>
      <c r="F244" s="64" t="s">
        <v>1371</v>
      </c>
      <c r="G244" s="64" t="s">
        <v>1855</v>
      </c>
    </row>
    <row r="245" spans="1:7" x14ac:dyDescent="0.3">
      <c r="A245" s="64" t="s">
        <v>1371</v>
      </c>
      <c r="B245" s="64" t="s">
        <v>1882</v>
      </c>
      <c r="C245" s="64" t="s">
        <v>16</v>
      </c>
      <c r="D245" s="64" t="s">
        <v>18</v>
      </c>
      <c r="E245" s="64" t="s">
        <v>368</v>
      </c>
      <c r="F245" s="64" t="s">
        <v>1371</v>
      </c>
      <c r="G245" s="64" t="s">
        <v>1856</v>
      </c>
    </row>
    <row r="246" spans="1:7" x14ac:dyDescent="0.3">
      <c r="A246" s="64" t="s">
        <v>1371</v>
      </c>
      <c r="B246" s="64" t="s">
        <v>1882</v>
      </c>
      <c r="C246" s="64" t="s">
        <v>16</v>
      </c>
      <c r="D246" s="64" t="s">
        <v>18</v>
      </c>
      <c r="E246" s="64" t="s">
        <v>372</v>
      </c>
      <c r="F246" s="64" t="s">
        <v>1371</v>
      </c>
      <c r="G246" s="64" t="s">
        <v>1857</v>
      </c>
    </row>
    <row r="247" spans="1:7" x14ac:dyDescent="0.3">
      <c r="A247" s="64" t="s">
        <v>1371</v>
      </c>
      <c r="B247" s="64" t="s">
        <v>1882</v>
      </c>
      <c r="C247" s="64" t="s">
        <v>16</v>
      </c>
      <c r="D247" s="64" t="s">
        <v>18</v>
      </c>
      <c r="E247" s="64" t="s">
        <v>375</v>
      </c>
      <c r="F247" s="64" t="s">
        <v>1371</v>
      </c>
      <c r="G247" s="64" t="s">
        <v>1858</v>
      </c>
    </row>
    <row r="248" spans="1:7" x14ac:dyDescent="0.3">
      <c r="A248" s="64" t="s">
        <v>1371</v>
      </c>
      <c r="B248" s="64" t="s">
        <v>1882</v>
      </c>
      <c r="C248" s="64" t="s">
        <v>16</v>
      </c>
      <c r="D248" s="64" t="s">
        <v>18</v>
      </c>
      <c r="E248" s="64" t="s">
        <v>380</v>
      </c>
      <c r="F248" s="64" t="s">
        <v>1371</v>
      </c>
      <c r="G248" s="64" t="s">
        <v>1859</v>
      </c>
    </row>
    <row r="249" spans="1:7" x14ac:dyDescent="0.3">
      <c r="A249" s="64" t="s">
        <v>1374</v>
      </c>
      <c r="B249" s="64" t="s">
        <v>1882</v>
      </c>
      <c r="C249" s="64" t="s">
        <v>20</v>
      </c>
      <c r="D249" s="64" t="s">
        <v>18</v>
      </c>
      <c r="E249" s="64" t="s">
        <v>15</v>
      </c>
      <c r="F249" s="64" t="s">
        <v>1374</v>
      </c>
      <c r="G249" s="64" t="s">
        <v>957</v>
      </c>
    </row>
    <row r="250" spans="1:7" x14ac:dyDescent="0.3">
      <c r="A250" s="64" t="s">
        <v>1374</v>
      </c>
      <c r="B250" s="64" t="s">
        <v>1882</v>
      </c>
      <c r="C250" s="64" t="s">
        <v>16</v>
      </c>
      <c r="D250" s="64" t="s">
        <v>18</v>
      </c>
      <c r="E250" s="64" t="s">
        <v>369</v>
      </c>
      <c r="F250" s="64" t="s">
        <v>1374</v>
      </c>
      <c r="G250" s="64" t="s">
        <v>1844</v>
      </c>
    </row>
    <row r="251" spans="1:7" x14ac:dyDescent="0.3">
      <c r="A251" s="64" t="s">
        <v>1374</v>
      </c>
      <c r="B251" s="64" t="s">
        <v>1882</v>
      </c>
      <c r="C251" s="64" t="s">
        <v>16</v>
      </c>
      <c r="D251" s="64" t="s">
        <v>18</v>
      </c>
      <c r="E251" s="64" t="s">
        <v>382</v>
      </c>
      <c r="F251" s="64" t="s">
        <v>1374</v>
      </c>
      <c r="G251" s="64" t="s">
        <v>1845</v>
      </c>
    </row>
    <row r="252" spans="1:7" x14ac:dyDescent="0.3">
      <c r="A252" s="64" t="s">
        <v>1374</v>
      </c>
      <c r="B252" s="64" t="s">
        <v>1882</v>
      </c>
      <c r="C252" s="64" t="s">
        <v>16</v>
      </c>
      <c r="D252" s="64" t="s">
        <v>18</v>
      </c>
      <c r="E252" s="64" t="s">
        <v>370</v>
      </c>
      <c r="F252" s="64" t="s">
        <v>1374</v>
      </c>
      <c r="G252" s="64" t="s">
        <v>1846</v>
      </c>
    </row>
    <row r="253" spans="1:7" x14ac:dyDescent="0.3">
      <c r="A253" s="64" t="s">
        <v>1374</v>
      </c>
      <c r="B253" s="64" t="s">
        <v>1882</v>
      </c>
      <c r="C253" s="64" t="s">
        <v>16</v>
      </c>
      <c r="D253" s="64" t="s">
        <v>18</v>
      </c>
      <c r="E253" s="64" t="s">
        <v>378</v>
      </c>
      <c r="F253" s="64" t="s">
        <v>1374</v>
      </c>
      <c r="G253" s="64" t="s">
        <v>1847</v>
      </c>
    </row>
    <row r="254" spans="1:7" x14ac:dyDescent="0.3">
      <c r="A254" s="64" t="s">
        <v>1374</v>
      </c>
      <c r="B254" s="64" t="s">
        <v>1882</v>
      </c>
      <c r="C254" s="64" t="s">
        <v>16</v>
      </c>
      <c r="D254" s="64" t="s">
        <v>18</v>
      </c>
      <c r="E254" s="64" t="s">
        <v>371</v>
      </c>
      <c r="F254" s="64" t="s">
        <v>1374</v>
      </c>
      <c r="G254" s="64" t="s">
        <v>1848</v>
      </c>
    </row>
    <row r="255" spans="1:7" x14ac:dyDescent="0.3">
      <c r="A255" s="64" t="s">
        <v>1374</v>
      </c>
      <c r="B255" s="64" t="s">
        <v>1882</v>
      </c>
      <c r="C255" s="64" t="s">
        <v>16</v>
      </c>
      <c r="D255" s="64" t="s">
        <v>18</v>
      </c>
      <c r="E255" s="64" t="s">
        <v>376</v>
      </c>
      <c r="F255" s="64" t="s">
        <v>1374</v>
      </c>
      <c r="G255" s="64" t="s">
        <v>1849</v>
      </c>
    </row>
    <row r="256" spans="1:7" x14ac:dyDescent="0.3">
      <c r="A256" s="64" t="s">
        <v>1374</v>
      </c>
      <c r="B256" s="64" t="s">
        <v>1882</v>
      </c>
      <c r="C256" s="64" t="s">
        <v>16</v>
      </c>
      <c r="D256" s="64" t="s">
        <v>18</v>
      </c>
      <c r="E256" s="64" t="s">
        <v>377</v>
      </c>
      <c r="F256" s="64" t="s">
        <v>1374</v>
      </c>
      <c r="G256" s="64" t="s">
        <v>1850</v>
      </c>
    </row>
    <row r="257" spans="1:7" x14ac:dyDescent="0.3">
      <c r="A257" s="64" t="s">
        <v>1374</v>
      </c>
      <c r="B257" s="64" t="s">
        <v>1882</v>
      </c>
      <c r="C257" s="64" t="s">
        <v>16</v>
      </c>
      <c r="D257" s="64" t="s">
        <v>18</v>
      </c>
      <c r="E257" s="64" t="s">
        <v>381</v>
      </c>
      <c r="F257" s="64" t="s">
        <v>1374</v>
      </c>
      <c r="G257" s="64" t="s">
        <v>1851</v>
      </c>
    </row>
    <row r="258" spans="1:7" x14ac:dyDescent="0.3">
      <c r="A258" s="64" t="s">
        <v>1374</v>
      </c>
      <c r="B258" s="64" t="s">
        <v>1882</v>
      </c>
      <c r="C258" s="64" t="s">
        <v>16</v>
      </c>
      <c r="D258" s="64" t="s">
        <v>18</v>
      </c>
      <c r="E258" s="64" t="s">
        <v>379</v>
      </c>
      <c r="F258" s="64" t="s">
        <v>1374</v>
      </c>
      <c r="G258" s="64" t="s">
        <v>1852</v>
      </c>
    </row>
    <row r="259" spans="1:7" x14ac:dyDescent="0.3">
      <c r="A259" s="64" t="s">
        <v>1374</v>
      </c>
      <c r="B259" s="64" t="s">
        <v>1882</v>
      </c>
      <c r="C259" s="64" t="s">
        <v>16</v>
      </c>
      <c r="D259" s="64" t="s">
        <v>18</v>
      </c>
      <c r="E259" s="64" t="s">
        <v>374</v>
      </c>
      <c r="F259" s="64" t="s">
        <v>1374</v>
      </c>
      <c r="G259" s="64" t="s">
        <v>1853</v>
      </c>
    </row>
    <row r="260" spans="1:7" x14ac:dyDescent="0.3">
      <c r="A260" s="64" t="s">
        <v>1374</v>
      </c>
      <c r="B260" s="64" t="s">
        <v>1882</v>
      </c>
      <c r="C260" s="64" t="s">
        <v>16</v>
      </c>
      <c r="D260" s="64" t="s">
        <v>18</v>
      </c>
      <c r="E260" s="64" t="s">
        <v>383</v>
      </c>
      <c r="F260" s="64" t="s">
        <v>1374</v>
      </c>
      <c r="G260" s="64" t="s">
        <v>1854</v>
      </c>
    </row>
    <row r="261" spans="1:7" x14ac:dyDescent="0.3">
      <c r="A261" s="64" t="s">
        <v>1374</v>
      </c>
      <c r="B261" s="64" t="s">
        <v>1882</v>
      </c>
      <c r="C261" s="64" t="s">
        <v>16</v>
      </c>
      <c r="D261" s="64" t="s">
        <v>18</v>
      </c>
      <c r="E261" s="64" t="s">
        <v>373</v>
      </c>
      <c r="F261" s="64" t="s">
        <v>1374</v>
      </c>
      <c r="G261" s="64" t="s">
        <v>1855</v>
      </c>
    </row>
    <row r="262" spans="1:7" x14ac:dyDescent="0.3">
      <c r="A262" s="64" t="s">
        <v>1374</v>
      </c>
      <c r="B262" s="64" t="s">
        <v>1882</v>
      </c>
      <c r="C262" s="64" t="s">
        <v>16</v>
      </c>
      <c r="D262" s="64" t="s">
        <v>18</v>
      </c>
      <c r="E262" s="64" t="s">
        <v>368</v>
      </c>
      <c r="F262" s="64" t="s">
        <v>1374</v>
      </c>
      <c r="G262" s="64" t="s">
        <v>1856</v>
      </c>
    </row>
    <row r="263" spans="1:7" x14ac:dyDescent="0.3">
      <c r="A263" s="64" t="s">
        <v>1374</v>
      </c>
      <c r="B263" s="64" t="s">
        <v>1882</v>
      </c>
      <c r="C263" s="64" t="s">
        <v>16</v>
      </c>
      <c r="D263" s="64" t="s">
        <v>18</v>
      </c>
      <c r="E263" s="64" t="s">
        <v>372</v>
      </c>
      <c r="F263" s="64" t="s">
        <v>1374</v>
      </c>
      <c r="G263" s="64" t="s">
        <v>1857</v>
      </c>
    </row>
    <row r="264" spans="1:7" x14ac:dyDescent="0.3">
      <c r="A264" s="64" t="s">
        <v>1374</v>
      </c>
      <c r="B264" s="64" t="s">
        <v>1882</v>
      </c>
      <c r="C264" s="64" t="s">
        <v>16</v>
      </c>
      <c r="D264" s="64" t="s">
        <v>18</v>
      </c>
      <c r="E264" s="64" t="s">
        <v>375</v>
      </c>
      <c r="F264" s="64" t="s">
        <v>1374</v>
      </c>
      <c r="G264" s="64" t="s">
        <v>1858</v>
      </c>
    </row>
    <row r="265" spans="1:7" x14ac:dyDescent="0.3">
      <c r="A265" s="64" t="s">
        <v>1374</v>
      </c>
      <c r="B265" s="64" t="s">
        <v>1882</v>
      </c>
      <c r="C265" s="64" t="s">
        <v>16</v>
      </c>
      <c r="D265" s="64" t="s">
        <v>18</v>
      </c>
      <c r="E265" s="64" t="s">
        <v>380</v>
      </c>
      <c r="F265" s="64" t="s">
        <v>1374</v>
      </c>
      <c r="G265" s="64" t="s">
        <v>1859</v>
      </c>
    </row>
    <row r="266" spans="1:7" x14ac:dyDescent="0.3">
      <c r="A266" s="64" t="s">
        <v>1376</v>
      </c>
      <c r="B266" s="64" t="s">
        <v>2700</v>
      </c>
      <c r="C266" s="64" t="s">
        <v>20</v>
      </c>
      <c r="D266" s="64" t="s">
        <v>16</v>
      </c>
      <c r="E266" s="64" t="s">
        <v>15</v>
      </c>
      <c r="F266" s="64" t="s">
        <v>1379</v>
      </c>
      <c r="G266" s="64">
        <v>0</v>
      </c>
    </row>
    <row r="267" spans="1:7" x14ac:dyDescent="0.3">
      <c r="A267" s="64" t="s">
        <v>1376</v>
      </c>
      <c r="B267" s="64" t="s">
        <v>2700</v>
      </c>
      <c r="C267" s="64" t="s">
        <v>20</v>
      </c>
      <c r="D267" s="64" t="s">
        <v>16</v>
      </c>
      <c r="E267" s="64" t="s">
        <v>15</v>
      </c>
      <c r="F267" s="64" t="s">
        <v>2034</v>
      </c>
      <c r="G267" s="64" t="s">
        <v>805</v>
      </c>
    </row>
    <row r="268" spans="1:7" x14ac:dyDescent="0.3">
      <c r="A268" s="64" t="s">
        <v>1376</v>
      </c>
      <c r="B268" s="64" t="s">
        <v>2700</v>
      </c>
      <c r="C268" s="64" t="s">
        <v>20</v>
      </c>
      <c r="D268" s="64" t="s">
        <v>2053</v>
      </c>
      <c r="E268" s="64" t="s">
        <v>15</v>
      </c>
      <c r="F268" s="64" t="s">
        <v>2073</v>
      </c>
      <c r="G268" s="64" t="s">
        <v>957</v>
      </c>
    </row>
    <row r="269" spans="1:7" x14ac:dyDescent="0.3">
      <c r="A269" s="64" t="s">
        <v>1376</v>
      </c>
      <c r="B269" s="64" t="s">
        <v>2700</v>
      </c>
      <c r="C269" s="64" t="s">
        <v>16</v>
      </c>
      <c r="D269" s="64" t="s">
        <v>403</v>
      </c>
      <c r="E269" s="64" t="s">
        <v>369</v>
      </c>
      <c r="F269" s="64" t="s">
        <v>2034</v>
      </c>
      <c r="G269" s="64" t="s">
        <v>1860</v>
      </c>
    </row>
    <row r="270" spans="1:7" x14ac:dyDescent="0.3">
      <c r="A270" s="64" t="s">
        <v>1376</v>
      </c>
      <c r="B270" s="64" t="s">
        <v>2700</v>
      </c>
      <c r="C270" s="64" t="s">
        <v>16</v>
      </c>
      <c r="D270" s="64" t="s">
        <v>403</v>
      </c>
      <c r="E270" s="64" t="s">
        <v>382</v>
      </c>
      <c r="F270" s="64" t="s">
        <v>2034</v>
      </c>
      <c r="G270" s="64" t="s">
        <v>1861</v>
      </c>
    </row>
    <row r="271" spans="1:7" x14ac:dyDescent="0.3">
      <c r="A271" s="64" t="s">
        <v>1376</v>
      </c>
      <c r="B271" s="64" t="s">
        <v>2700</v>
      </c>
      <c r="C271" s="64" t="s">
        <v>16</v>
      </c>
      <c r="D271" s="64" t="s">
        <v>403</v>
      </c>
      <c r="E271" s="64" t="s">
        <v>370</v>
      </c>
      <c r="F271" s="64" t="s">
        <v>2034</v>
      </c>
      <c r="G271" s="64" t="s">
        <v>1862</v>
      </c>
    </row>
    <row r="272" spans="1:7" x14ac:dyDescent="0.3">
      <c r="A272" s="64" t="s">
        <v>1376</v>
      </c>
      <c r="B272" s="64" t="s">
        <v>2700</v>
      </c>
      <c r="C272" s="64" t="s">
        <v>16</v>
      </c>
      <c r="D272" s="64" t="s">
        <v>403</v>
      </c>
      <c r="E272" s="64" t="s">
        <v>378</v>
      </c>
      <c r="F272" s="64" t="s">
        <v>2034</v>
      </c>
      <c r="G272" s="64" t="s">
        <v>1863</v>
      </c>
    </row>
    <row r="273" spans="1:7" x14ac:dyDescent="0.3">
      <c r="A273" s="64" t="s">
        <v>1376</v>
      </c>
      <c r="B273" s="64" t="s">
        <v>2700</v>
      </c>
      <c r="C273" s="64" t="s">
        <v>16</v>
      </c>
      <c r="D273" s="64" t="s">
        <v>403</v>
      </c>
      <c r="E273" s="64" t="s">
        <v>371</v>
      </c>
      <c r="F273" s="64" t="s">
        <v>2034</v>
      </c>
      <c r="G273" s="64" t="s">
        <v>1864</v>
      </c>
    </row>
    <row r="274" spans="1:7" x14ac:dyDescent="0.3">
      <c r="A274" s="64" t="s">
        <v>1376</v>
      </c>
      <c r="B274" s="64" t="s">
        <v>2700</v>
      </c>
      <c r="C274" s="64" t="s">
        <v>16</v>
      </c>
      <c r="D274" s="64" t="s">
        <v>403</v>
      </c>
      <c r="E274" s="64" t="s">
        <v>376</v>
      </c>
      <c r="F274" s="64" t="s">
        <v>2034</v>
      </c>
      <c r="G274" s="64" t="s">
        <v>1865</v>
      </c>
    </row>
    <row r="275" spans="1:7" x14ac:dyDescent="0.3">
      <c r="A275" s="64" t="s">
        <v>1376</v>
      </c>
      <c r="B275" s="64" t="s">
        <v>2700</v>
      </c>
      <c r="C275" s="64" t="s">
        <v>16</v>
      </c>
      <c r="D275" s="64" t="s">
        <v>403</v>
      </c>
      <c r="E275" s="64" t="s">
        <v>377</v>
      </c>
      <c r="F275" s="64" t="s">
        <v>2034</v>
      </c>
      <c r="G275" s="64" t="s">
        <v>1866</v>
      </c>
    </row>
    <row r="276" spans="1:7" x14ac:dyDescent="0.3">
      <c r="A276" s="64" t="s">
        <v>1376</v>
      </c>
      <c r="B276" s="64" t="s">
        <v>2700</v>
      </c>
      <c r="C276" s="64" t="s">
        <v>16</v>
      </c>
      <c r="D276" s="64" t="s">
        <v>403</v>
      </c>
      <c r="E276" s="64" t="s">
        <v>381</v>
      </c>
      <c r="F276" s="64" t="s">
        <v>2034</v>
      </c>
      <c r="G276" s="64" t="s">
        <v>1867</v>
      </c>
    </row>
    <row r="277" spans="1:7" x14ac:dyDescent="0.3">
      <c r="A277" s="64" t="s">
        <v>1376</v>
      </c>
      <c r="B277" s="64" t="s">
        <v>2700</v>
      </c>
      <c r="C277" s="64" t="s">
        <v>16</v>
      </c>
      <c r="D277" s="64" t="s">
        <v>403</v>
      </c>
      <c r="E277" s="64" t="s">
        <v>379</v>
      </c>
      <c r="F277" s="64" t="s">
        <v>2034</v>
      </c>
      <c r="G277" s="64" t="s">
        <v>1868</v>
      </c>
    </row>
    <row r="278" spans="1:7" x14ac:dyDescent="0.3">
      <c r="A278" s="64" t="s">
        <v>1376</v>
      </c>
      <c r="B278" s="64" t="s">
        <v>2700</v>
      </c>
      <c r="C278" s="64" t="s">
        <v>16</v>
      </c>
      <c r="D278" s="64" t="s">
        <v>403</v>
      </c>
      <c r="E278" s="64" t="s">
        <v>374</v>
      </c>
      <c r="F278" s="64" t="s">
        <v>2034</v>
      </c>
      <c r="G278" s="64" t="s">
        <v>1869</v>
      </c>
    </row>
    <row r="279" spans="1:7" x14ac:dyDescent="0.3">
      <c r="A279" s="64" t="s">
        <v>1376</v>
      </c>
      <c r="B279" s="64" t="s">
        <v>2700</v>
      </c>
      <c r="C279" s="64" t="s">
        <v>16</v>
      </c>
      <c r="D279" s="64" t="s">
        <v>403</v>
      </c>
      <c r="E279" s="64" t="s">
        <v>383</v>
      </c>
      <c r="F279" s="64" t="s">
        <v>2034</v>
      </c>
      <c r="G279" s="64" t="s">
        <v>1870</v>
      </c>
    </row>
    <row r="280" spans="1:7" x14ac:dyDescent="0.3">
      <c r="A280" s="64" t="s">
        <v>1376</v>
      </c>
      <c r="B280" s="64" t="s">
        <v>2700</v>
      </c>
      <c r="C280" s="64" t="s">
        <v>16</v>
      </c>
      <c r="D280" s="64" t="s">
        <v>403</v>
      </c>
      <c r="E280" s="64" t="s">
        <v>373</v>
      </c>
      <c r="F280" s="64" t="s">
        <v>2034</v>
      </c>
      <c r="G280" s="64" t="s">
        <v>1871</v>
      </c>
    </row>
    <row r="281" spans="1:7" x14ac:dyDescent="0.3">
      <c r="A281" s="64" t="s">
        <v>1376</v>
      </c>
      <c r="B281" s="64" t="s">
        <v>2700</v>
      </c>
      <c r="C281" s="64" t="s">
        <v>16</v>
      </c>
      <c r="D281" s="64" t="s">
        <v>403</v>
      </c>
      <c r="E281" s="64" t="s">
        <v>368</v>
      </c>
      <c r="F281" s="64" t="s">
        <v>2034</v>
      </c>
      <c r="G281" s="64" t="s">
        <v>1872</v>
      </c>
    </row>
    <row r="282" spans="1:7" x14ac:dyDescent="0.3">
      <c r="A282" s="64" t="s">
        <v>1376</v>
      </c>
      <c r="B282" s="64" t="s">
        <v>2700</v>
      </c>
      <c r="C282" s="64" t="s">
        <v>16</v>
      </c>
      <c r="D282" s="64" t="s">
        <v>403</v>
      </c>
      <c r="E282" s="64" t="s">
        <v>372</v>
      </c>
      <c r="F282" s="64" t="s">
        <v>2034</v>
      </c>
      <c r="G282" s="64" t="s">
        <v>1873</v>
      </c>
    </row>
    <row r="283" spans="1:7" x14ac:dyDescent="0.3">
      <c r="A283" s="64" t="s">
        <v>1376</v>
      </c>
      <c r="B283" s="64" t="s">
        <v>2700</v>
      </c>
      <c r="C283" s="64" t="s">
        <v>16</v>
      </c>
      <c r="D283" s="64" t="s">
        <v>403</v>
      </c>
      <c r="E283" s="64" t="s">
        <v>375</v>
      </c>
      <c r="F283" s="64" t="s">
        <v>2034</v>
      </c>
      <c r="G283" s="64" t="s">
        <v>1874</v>
      </c>
    </row>
    <row r="284" spans="1:7" x14ac:dyDescent="0.3">
      <c r="A284" s="64" t="s">
        <v>1376</v>
      </c>
      <c r="B284" s="64" t="s">
        <v>2700</v>
      </c>
      <c r="C284" s="64" t="s">
        <v>16</v>
      </c>
      <c r="D284" s="64" t="s">
        <v>403</v>
      </c>
      <c r="E284" s="64" t="s">
        <v>380</v>
      </c>
      <c r="F284" s="64" t="s">
        <v>2034</v>
      </c>
      <c r="G284" s="64" t="s">
        <v>1875</v>
      </c>
    </row>
    <row r="285" spans="1:7" x14ac:dyDescent="0.3">
      <c r="A285" s="64" t="s">
        <v>1376</v>
      </c>
      <c r="B285" s="64" t="s">
        <v>2700</v>
      </c>
      <c r="C285" s="64" t="s">
        <v>16</v>
      </c>
      <c r="D285" s="64" t="s">
        <v>2076</v>
      </c>
      <c r="E285" s="64" t="s">
        <v>369</v>
      </c>
      <c r="F285" s="64" t="s">
        <v>2073</v>
      </c>
      <c r="G285" s="64" t="s">
        <v>1844</v>
      </c>
    </row>
    <row r="286" spans="1:7" x14ac:dyDescent="0.3">
      <c r="A286" s="64" t="s">
        <v>1376</v>
      </c>
      <c r="B286" s="64" t="s">
        <v>2700</v>
      </c>
      <c r="C286" s="64" t="s">
        <v>16</v>
      </c>
      <c r="D286" s="64" t="s">
        <v>2076</v>
      </c>
      <c r="E286" s="64" t="s">
        <v>382</v>
      </c>
      <c r="F286" s="64" t="s">
        <v>2073</v>
      </c>
      <c r="G286" s="64" t="s">
        <v>1845</v>
      </c>
    </row>
    <row r="287" spans="1:7" x14ac:dyDescent="0.3">
      <c r="A287" s="64" t="s">
        <v>1376</v>
      </c>
      <c r="B287" s="64" t="s">
        <v>2700</v>
      </c>
      <c r="C287" s="64" t="s">
        <v>16</v>
      </c>
      <c r="D287" s="64" t="s">
        <v>2076</v>
      </c>
      <c r="E287" s="64" t="s">
        <v>370</v>
      </c>
      <c r="F287" s="64" t="s">
        <v>2073</v>
      </c>
      <c r="G287" s="64" t="s">
        <v>1846</v>
      </c>
    </row>
    <row r="288" spans="1:7" x14ac:dyDescent="0.3">
      <c r="A288" s="64" t="s">
        <v>1376</v>
      </c>
      <c r="B288" s="64" t="s">
        <v>2700</v>
      </c>
      <c r="C288" s="64" t="s">
        <v>16</v>
      </c>
      <c r="D288" s="64" t="s">
        <v>2076</v>
      </c>
      <c r="E288" s="64" t="s">
        <v>378</v>
      </c>
      <c r="F288" s="64" t="s">
        <v>2073</v>
      </c>
      <c r="G288" s="64" t="s">
        <v>1847</v>
      </c>
    </row>
    <row r="289" spans="1:7" x14ac:dyDescent="0.3">
      <c r="A289" s="64" t="s">
        <v>1376</v>
      </c>
      <c r="B289" s="64" t="s">
        <v>2700</v>
      </c>
      <c r="C289" s="64" t="s">
        <v>16</v>
      </c>
      <c r="D289" s="64" t="s">
        <v>2076</v>
      </c>
      <c r="E289" s="64" t="s">
        <v>371</v>
      </c>
      <c r="F289" s="64" t="s">
        <v>2073</v>
      </c>
      <c r="G289" s="64" t="s">
        <v>1848</v>
      </c>
    </row>
    <row r="290" spans="1:7" x14ac:dyDescent="0.3">
      <c r="A290" s="64" t="s">
        <v>1376</v>
      </c>
      <c r="B290" s="64" t="s">
        <v>2700</v>
      </c>
      <c r="C290" s="64" t="s">
        <v>16</v>
      </c>
      <c r="D290" s="64" t="s">
        <v>2076</v>
      </c>
      <c r="E290" s="64" t="s">
        <v>376</v>
      </c>
      <c r="F290" s="64" t="s">
        <v>2073</v>
      </c>
      <c r="G290" s="64" t="s">
        <v>1849</v>
      </c>
    </row>
    <row r="291" spans="1:7" x14ac:dyDescent="0.3">
      <c r="A291" s="64" t="s">
        <v>1376</v>
      </c>
      <c r="B291" s="64" t="s">
        <v>2700</v>
      </c>
      <c r="C291" s="64" t="s">
        <v>16</v>
      </c>
      <c r="D291" s="64" t="s">
        <v>2076</v>
      </c>
      <c r="E291" s="64" t="s">
        <v>377</v>
      </c>
      <c r="F291" s="64" t="s">
        <v>2073</v>
      </c>
      <c r="G291" s="64" t="s">
        <v>1850</v>
      </c>
    </row>
    <row r="292" spans="1:7" x14ac:dyDescent="0.3">
      <c r="A292" s="64" t="s">
        <v>1376</v>
      </c>
      <c r="B292" s="64" t="s">
        <v>2700</v>
      </c>
      <c r="C292" s="64" t="s">
        <v>16</v>
      </c>
      <c r="D292" s="64" t="s">
        <v>2076</v>
      </c>
      <c r="E292" s="64" t="s">
        <v>381</v>
      </c>
      <c r="F292" s="64" t="s">
        <v>2073</v>
      </c>
      <c r="G292" s="64" t="s">
        <v>1851</v>
      </c>
    </row>
    <row r="293" spans="1:7" x14ac:dyDescent="0.3">
      <c r="A293" s="64" t="s">
        <v>1376</v>
      </c>
      <c r="B293" s="64" t="s">
        <v>2700</v>
      </c>
      <c r="C293" s="64" t="s">
        <v>16</v>
      </c>
      <c r="D293" s="64" t="s">
        <v>2076</v>
      </c>
      <c r="E293" s="64" t="s">
        <v>379</v>
      </c>
      <c r="F293" s="64" t="s">
        <v>2073</v>
      </c>
      <c r="G293" s="64" t="s">
        <v>1852</v>
      </c>
    </row>
    <row r="294" spans="1:7" x14ac:dyDescent="0.3">
      <c r="A294" s="64" t="s">
        <v>1376</v>
      </c>
      <c r="B294" s="64" t="s">
        <v>2700</v>
      </c>
      <c r="C294" s="64" t="s">
        <v>16</v>
      </c>
      <c r="D294" s="64" t="s">
        <v>2076</v>
      </c>
      <c r="E294" s="64" t="s">
        <v>374</v>
      </c>
      <c r="F294" s="64" t="s">
        <v>2073</v>
      </c>
      <c r="G294" s="64" t="s">
        <v>1853</v>
      </c>
    </row>
    <row r="295" spans="1:7" x14ac:dyDescent="0.3">
      <c r="A295" s="64" t="s">
        <v>1376</v>
      </c>
      <c r="B295" s="64" t="s">
        <v>2700</v>
      </c>
      <c r="C295" s="64" t="s">
        <v>16</v>
      </c>
      <c r="D295" s="64" t="s">
        <v>2076</v>
      </c>
      <c r="E295" s="64" t="s">
        <v>383</v>
      </c>
      <c r="F295" s="64" t="s">
        <v>2073</v>
      </c>
      <c r="G295" s="64" t="s">
        <v>1854</v>
      </c>
    </row>
    <row r="296" spans="1:7" x14ac:dyDescent="0.3">
      <c r="A296" s="64" t="s">
        <v>1376</v>
      </c>
      <c r="B296" s="64" t="s">
        <v>2700</v>
      </c>
      <c r="C296" s="64" t="s">
        <v>16</v>
      </c>
      <c r="D296" s="64" t="s">
        <v>2076</v>
      </c>
      <c r="E296" s="64" t="s">
        <v>373</v>
      </c>
      <c r="F296" s="64" t="s">
        <v>2073</v>
      </c>
      <c r="G296" s="64" t="s">
        <v>1855</v>
      </c>
    </row>
    <row r="297" spans="1:7" x14ac:dyDescent="0.3">
      <c r="A297" s="64" t="s">
        <v>1376</v>
      </c>
      <c r="B297" s="64" t="s">
        <v>2700</v>
      </c>
      <c r="C297" s="64" t="s">
        <v>16</v>
      </c>
      <c r="D297" s="64" t="s">
        <v>2076</v>
      </c>
      <c r="E297" s="64" t="s">
        <v>368</v>
      </c>
      <c r="F297" s="64" t="s">
        <v>2073</v>
      </c>
      <c r="G297" s="64" t="s">
        <v>1856</v>
      </c>
    </row>
    <row r="298" spans="1:7" x14ac:dyDescent="0.3">
      <c r="A298" s="64" t="s">
        <v>1376</v>
      </c>
      <c r="B298" s="64" t="s">
        <v>2700</v>
      </c>
      <c r="C298" s="64" t="s">
        <v>16</v>
      </c>
      <c r="D298" s="64" t="s">
        <v>2076</v>
      </c>
      <c r="E298" s="64" t="s">
        <v>372</v>
      </c>
      <c r="F298" s="64" t="s">
        <v>2073</v>
      </c>
      <c r="G298" s="64" t="s">
        <v>1857</v>
      </c>
    </row>
    <row r="299" spans="1:7" x14ac:dyDescent="0.3">
      <c r="A299" s="64" t="s">
        <v>1376</v>
      </c>
      <c r="B299" s="64" t="s">
        <v>2700</v>
      </c>
      <c r="C299" s="64" t="s">
        <v>16</v>
      </c>
      <c r="D299" s="64" t="s">
        <v>2076</v>
      </c>
      <c r="E299" s="64" t="s">
        <v>375</v>
      </c>
      <c r="F299" s="64" t="s">
        <v>2073</v>
      </c>
      <c r="G299" s="64" t="s">
        <v>1858</v>
      </c>
    </row>
    <row r="300" spans="1:7" x14ac:dyDescent="0.3">
      <c r="A300" s="64" t="s">
        <v>1376</v>
      </c>
      <c r="B300" s="64" t="s">
        <v>2700</v>
      </c>
      <c r="C300" s="64" t="s">
        <v>16</v>
      </c>
      <c r="D300" s="64" t="s">
        <v>2076</v>
      </c>
      <c r="E300" s="64" t="s">
        <v>380</v>
      </c>
      <c r="F300" s="64" t="s">
        <v>2073</v>
      </c>
      <c r="G300" s="64" t="s">
        <v>1859</v>
      </c>
    </row>
    <row r="301" spans="1:7" x14ac:dyDescent="0.3">
      <c r="A301" s="64" t="s">
        <v>1394</v>
      </c>
      <c r="B301" s="64" t="s">
        <v>1470</v>
      </c>
      <c r="C301" s="64" t="s">
        <v>20</v>
      </c>
      <c r="D301" s="64" t="s">
        <v>1395</v>
      </c>
      <c r="E301" s="64" t="s">
        <v>15</v>
      </c>
      <c r="F301" s="64" t="s">
        <v>1509</v>
      </c>
      <c r="G301" s="64">
        <v>0</v>
      </c>
    </row>
    <row r="302" spans="1:7" x14ac:dyDescent="0.3">
      <c r="A302" s="64" t="s">
        <v>1396</v>
      </c>
      <c r="B302" s="64" t="s">
        <v>1470</v>
      </c>
      <c r="C302" s="64" t="s">
        <v>20</v>
      </c>
      <c r="D302" s="64" t="s">
        <v>16</v>
      </c>
      <c r="E302" s="64" t="s">
        <v>15</v>
      </c>
      <c r="F302" s="64" t="s">
        <v>9278</v>
      </c>
      <c r="G302" s="64" t="s">
        <v>805</v>
      </c>
    </row>
    <row r="303" spans="1:7" x14ac:dyDescent="0.3">
      <c r="A303" s="64" t="s">
        <v>1396</v>
      </c>
      <c r="B303" s="64" t="s">
        <v>1470</v>
      </c>
      <c r="C303" s="64" t="s">
        <v>16</v>
      </c>
      <c r="D303" s="64" t="s">
        <v>403</v>
      </c>
      <c r="E303" s="64" t="s">
        <v>369</v>
      </c>
      <c r="F303" s="64" t="s">
        <v>9278</v>
      </c>
      <c r="G303" s="64" t="s">
        <v>1860</v>
      </c>
    </row>
    <row r="304" spans="1:7" x14ac:dyDescent="0.3">
      <c r="A304" s="64" t="s">
        <v>1396</v>
      </c>
      <c r="B304" s="64" t="s">
        <v>1470</v>
      </c>
      <c r="C304" s="64" t="s">
        <v>16</v>
      </c>
      <c r="D304" s="64" t="s">
        <v>403</v>
      </c>
      <c r="E304" s="64" t="s">
        <v>382</v>
      </c>
      <c r="F304" s="64" t="s">
        <v>9278</v>
      </c>
      <c r="G304" s="64" t="s">
        <v>1861</v>
      </c>
    </row>
    <row r="305" spans="1:7" x14ac:dyDescent="0.3">
      <c r="A305" s="64" t="s">
        <v>1396</v>
      </c>
      <c r="B305" s="64" t="s">
        <v>1470</v>
      </c>
      <c r="C305" s="64" t="s">
        <v>16</v>
      </c>
      <c r="D305" s="64" t="s">
        <v>403</v>
      </c>
      <c r="E305" s="64" t="s">
        <v>370</v>
      </c>
      <c r="F305" s="64" t="s">
        <v>9278</v>
      </c>
      <c r="G305" s="64" t="s">
        <v>1862</v>
      </c>
    </row>
    <row r="306" spans="1:7" x14ac:dyDescent="0.3">
      <c r="A306" s="64" t="s">
        <v>1396</v>
      </c>
      <c r="B306" s="64" t="s">
        <v>1470</v>
      </c>
      <c r="C306" s="64" t="s">
        <v>16</v>
      </c>
      <c r="D306" s="64" t="s">
        <v>403</v>
      </c>
      <c r="E306" s="64" t="s">
        <v>378</v>
      </c>
      <c r="F306" s="64" t="s">
        <v>9278</v>
      </c>
      <c r="G306" s="64" t="s">
        <v>1863</v>
      </c>
    </row>
    <row r="307" spans="1:7" x14ac:dyDescent="0.3">
      <c r="A307" s="64" t="s">
        <v>1396</v>
      </c>
      <c r="B307" s="64" t="s">
        <v>1470</v>
      </c>
      <c r="C307" s="64" t="s">
        <v>16</v>
      </c>
      <c r="D307" s="64" t="s">
        <v>403</v>
      </c>
      <c r="E307" s="64" t="s">
        <v>371</v>
      </c>
      <c r="F307" s="64" t="s">
        <v>9278</v>
      </c>
      <c r="G307" s="64" t="s">
        <v>1864</v>
      </c>
    </row>
    <row r="308" spans="1:7" x14ac:dyDescent="0.3">
      <c r="A308" s="64" t="s">
        <v>1396</v>
      </c>
      <c r="B308" s="64" t="s">
        <v>1470</v>
      </c>
      <c r="C308" s="64" t="s">
        <v>16</v>
      </c>
      <c r="D308" s="64" t="s">
        <v>403</v>
      </c>
      <c r="E308" s="64" t="s">
        <v>376</v>
      </c>
      <c r="F308" s="64" t="s">
        <v>9278</v>
      </c>
      <c r="G308" s="64" t="s">
        <v>1865</v>
      </c>
    </row>
    <row r="309" spans="1:7" x14ac:dyDescent="0.3">
      <c r="A309" s="64" t="s">
        <v>1396</v>
      </c>
      <c r="B309" s="64" t="s">
        <v>1470</v>
      </c>
      <c r="C309" s="64" t="s">
        <v>16</v>
      </c>
      <c r="D309" s="64" t="s">
        <v>403</v>
      </c>
      <c r="E309" s="64" t="s">
        <v>377</v>
      </c>
      <c r="F309" s="64" t="s">
        <v>9278</v>
      </c>
      <c r="G309" s="64" t="s">
        <v>1866</v>
      </c>
    </row>
    <row r="310" spans="1:7" x14ac:dyDescent="0.3">
      <c r="A310" s="64" t="s">
        <v>1396</v>
      </c>
      <c r="B310" s="64" t="s">
        <v>1470</v>
      </c>
      <c r="C310" s="64" t="s">
        <v>16</v>
      </c>
      <c r="D310" s="64" t="s">
        <v>403</v>
      </c>
      <c r="E310" s="64" t="s">
        <v>381</v>
      </c>
      <c r="F310" s="64" t="s">
        <v>9278</v>
      </c>
      <c r="G310" s="64" t="s">
        <v>1867</v>
      </c>
    </row>
    <row r="311" spans="1:7" x14ac:dyDescent="0.3">
      <c r="A311" s="64" t="s">
        <v>1396</v>
      </c>
      <c r="B311" s="64" t="s">
        <v>1470</v>
      </c>
      <c r="C311" s="64" t="s">
        <v>16</v>
      </c>
      <c r="D311" s="64" t="s">
        <v>403</v>
      </c>
      <c r="E311" s="64" t="s">
        <v>379</v>
      </c>
      <c r="F311" s="64" t="s">
        <v>9278</v>
      </c>
      <c r="G311" s="64" t="s">
        <v>1868</v>
      </c>
    </row>
    <row r="312" spans="1:7" x14ac:dyDescent="0.3">
      <c r="A312" s="64" t="s">
        <v>1396</v>
      </c>
      <c r="B312" s="64" t="s">
        <v>1470</v>
      </c>
      <c r="C312" s="64" t="s">
        <v>16</v>
      </c>
      <c r="D312" s="64" t="s">
        <v>403</v>
      </c>
      <c r="E312" s="64" t="s">
        <v>374</v>
      </c>
      <c r="F312" s="64" t="s">
        <v>9278</v>
      </c>
      <c r="G312" s="64" t="s">
        <v>1869</v>
      </c>
    </row>
    <row r="313" spans="1:7" x14ac:dyDescent="0.3">
      <c r="A313" s="64" t="s">
        <v>1396</v>
      </c>
      <c r="B313" s="64" t="s">
        <v>1470</v>
      </c>
      <c r="C313" s="64" t="s">
        <v>16</v>
      </c>
      <c r="D313" s="64" t="s">
        <v>403</v>
      </c>
      <c r="E313" s="64" t="s">
        <v>383</v>
      </c>
      <c r="F313" s="64" t="s">
        <v>9278</v>
      </c>
      <c r="G313" s="64" t="s">
        <v>1870</v>
      </c>
    </row>
    <row r="314" spans="1:7" x14ac:dyDescent="0.3">
      <c r="A314" s="64" t="s">
        <v>1396</v>
      </c>
      <c r="B314" s="64" t="s">
        <v>1470</v>
      </c>
      <c r="C314" s="64" t="s">
        <v>16</v>
      </c>
      <c r="D314" s="64" t="s">
        <v>403</v>
      </c>
      <c r="E314" s="64" t="s">
        <v>373</v>
      </c>
      <c r="F314" s="64" t="s">
        <v>9278</v>
      </c>
      <c r="G314" s="64" t="s">
        <v>1871</v>
      </c>
    </row>
    <row r="315" spans="1:7" x14ac:dyDescent="0.3">
      <c r="A315" s="64" t="s">
        <v>1396</v>
      </c>
      <c r="B315" s="64" t="s">
        <v>1470</v>
      </c>
      <c r="C315" s="64" t="s">
        <v>16</v>
      </c>
      <c r="D315" s="64" t="s">
        <v>403</v>
      </c>
      <c r="E315" s="64" t="s">
        <v>368</v>
      </c>
      <c r="F315" s="64" t="s">
        <v>9278</v>
      </c>
      <c r="G315" s="64" t="s">
        <v>1872</v>
      </c>
    </row>
    <row r="316" spans="1:7" x14ac:dyDescent="0.3">
      <c r="A316" s="64" t="s">
        <v>1396</v>
      </c>
      <c r="B316" s="64" t="s">
        <v>1470</v>
      </c>
      <c r="C316" s="64" t="s">
        <v>16</v>
      </c>
      <c r="D316" s="64" t="s">
        <v>403</v>
      </c>
      <c r="E316" s="64" t="s">
        <v>372</v>
      </c>
      <c r="F316" s="64" t="s">
        <v>9278</v>
      </c>
      <c r="G316" s="64" t="s">
        <v>1873</v>
      </c>
    </row>
    <row r="317" spans="1:7" x14ac:dyDescent="0.3">
      <c r="A317" s="64" t="s">
        <v>1396</v>
      </c>
      <c r="B317" s="64" t="s">
        <v>1470</v>
      </c>
      <c r="C317" s="64" t="s">
        <v>16</v>
      </c>
      <c r="D317" s="64" t="s">
        <v>403</v>
      </c>
      <c r="E317" s="64" t="s">
        <v>375</v>
      </c>
      <c r="F317" s="64" t="s">
        <v>9278</v>
      </c>
      <c r="G317" s="64" t="s">
        <v>1874</v>
      </c>
    </row>
    <row r="318" spans="1:7" x14ac:dyDescent="0.3">
      <c r="A318" s="64" t="s">
        <v>1396</v>
      </c>
      <c r="B318" s="64" t="s">
        <v>1470</v>
      </c>
      <c r="C318" s="64" t="s">
        <v>16</v>
      </c>
      <c r="D318" s="64" t="s">
        <v>403</v>
      </c>
      <c r="E318" s="64" t="s">
        <v>380</v>
      </c>
      <c r="F318" s="64" t="s">
        <v>9278</v>
      </c>
      <c r="G318" s="64" t="s">
        <v>1875</v>
      </c>
    </row>
    <row r="319" spans="1:7" x14ac:dyDescent="0.3">
      <c r="A319" s="64" t="s">
        <v>1449</v>
      </c>
      <c r="B319" s="64" t="s">
        <v>1900</v>
      </c>
      <c r="C319" s="64" t="s">
        <v>20</v>
      </c>
      <c r="D319" s="64" t="s">
        <v>403</v>
      </c>
      <c r="E319" s="64" t="s">
        <v>15</v>
      </c>
      <c r="F319" s="64" t="s">
        <v>9284</v>
      </c>
      <c r="G319" s="64">
        <v>0</v>
      </c>
    </row>
    <row r="320" spans="1:7" x14ac:dyDescent="0.3">
      <c r="A320" s="64" t="s">
        <v>5164</v>
      </c>
      <c r="B320" s="64" t="s">
        <v>569</v>
      </c>
      <c r="C320" s="64" t="s">
        <v>20</v>
      </c>
      <c r="D320" s="64" t="s">
        <v>956</v>
      </c>
      <c r="E320" s="64" t="s">
        <v>15</v>
      </c>
      <c r="F320" s="64" t="s">
        <v>9273</v>
      </c>
      <c r="G320" s="64" t="s">
        <v>957</v>
      </c>
    </row>
    <row r="321" spans="1:7" x14ac:dyDescent="0.3">
      <c r="A321" s="64" t="s">
        <v>5164</v>
      </c>
      <c r="B321" s="64" t="s">
        <v>569</v>
      </c>
      <c r="C321" s="64" t="s">
        <v>16</v>
      </c>
      <c r="D321" s="64" t="s">
        <v>18</v>
      </c>
      <c r="E321" s="64" t="s">
        <v>369</v>
      </c>
      <c r="F321" s="64" t="s">
        <v>9273</v>
      </c>
      <c r="G321" s="64" t="s">
        <v>1844</v>
      </c>
    </row>
    <row r="322" spans="1:7" x14ac:dyDescent="0.3">
      <c r="A322" s="64" t="s">
        <v>5164</v>
      </c>
      <c r="B322" s="64" t="s">
        <v>569</v>
      </c>
      <c r="C322" s="64" t="s">
        <v>16</v>
      </c>
      <c r="D322" s="64" t="s">
        <v>18</v>
      </c>
      <c r="E322" s="64" t="s">
        <v>382</v>
      </c>
      <c r="F322" s="64" t="s">
        <v>9273</v>
      </c>
      <c r="G322" s="64" t="s">
        <v>1845</v>
      </c>
    </row>
    <row r="323" spans="1:7" x14ac:dyDescent="0.3">
      <c r="A323" s="64" t="s">
        <v>5164</v>
      </c>
      <c r="B323" s="64" t="s">
        <v>569</v>
      </c>
      <c r="C323" s="64" t="s">
        <v>16</v>
      </c>
      <c r="D323" s="64" t="s">
        <v>18</v>
      </c>
      <c r="E323" s="64" t="s">
        <v>370</v>
      </c>
      <c r="F323" s="64" t="s">
        <v>9273</v>
      </c>
      <c r="G323" s="64" t="s">
        <v>1846</v>
      </c>
    </row>
    <row r="324" spans="1:7" x14ac:dyDescent="0.3">
      <c r="A324" s="64" t="s">
        <v>5164</v>
      </c>
      <c r="B324" s="64" t="s">
        <v>569</v>
      </c>
      <c r="C324" s="64" t="s">
        <v>16</v>
      </c>
      <c r="D324" s="64" t="s">
        <v>18</v>
      </c>
      <c r="E324" s="64" t="s">
        <v>378</v>
      </c>
      <c r="F324" s="64" t="s">
        <v>9273</v>
      </c>
      <c r="G324" s="64" t="s">
        <v>1847</v>
      </c>
    </row>
    <row r="325" spans="1:7" x14ac:dyDescent="0.3">
      <c r="A325" s="64" t="s">
        <v>5164</v>
      </c>
      <c r="B325" s="64" t="s">
        <v>569</v>
      </c>
      <c r="C325" s="64" t="s">
        <v>16</v>
      </c>
      <c r="D325" s="64" t="s">
        <v>18</v>
      </c>
      <c r="E325" s="64" t="s">
        <v>371</v>
      </c>
      <c r="F325" s="64" t="s">
        <v>9273</v>
      </c>
      <c r="G325" s="64" t="s">
        <v>1848</v>
      </c>
    </row>
    <row r="326" spans="1:7" x14ac:dyDescent="0.3">
      <c r="A326" s="64" t="s">
        <v>5164</v>
      </c>
      <c r="B326" s="64" t="s">
        <v>569</v>
      </c>
      <c r="C326" s="64" t="s">
        <v>16</v>
      </c>
      <c r="D326" s="64" t="s">
        <v>18</v>
      </c>
      <c r="E326" s="64" t="s">
        <v>376</v>
      </c>
      <c r="F326" s="64" t="s">
        <v>9273</v>
      </c>
      <c r="G326" s="64" t="s">
        <v>1849</v>
      </c>
    </row>
    <row r="327" spans="1:7" x14ac:dyDescent="0.3">
      <c r="A327" s="64" t="s">
        <v>5164</v>
      </c>
      <c r="B327" s="64" t="s">
        <v>569</v>
      </c>
      <c r="C327" s="64" t="s">
        <v>16</v>
      </c>
      <c r="D327" s="64" t="s">
        <v>18</v>
      </c>
      <c r="E327" s="64" t="s">
        <v>377</v>
      </c>
      <c r="F327" s="64" t="s">
        <v>9273</v>
      </c>
      <c r="G327" s="64" t="s">
        <v>1850</v>
      </c>
    </row>
    <row r="328" spans="1:7" x14ac:dyDescent="0.3">
      <c r="A328" s="64" t="s">
        <v>5164</v>
      </c>
      <c r="B328" s="64" t="s">
        <v>569</v>
      </c>
      <c r="C328" s="64" t="s">
        <v>16</v>
      </c>
      <c r="D328" s="64" t="s">
        <v>18</v>
      </c>
      <c r="E328" s="64" t="s">
        <v>381</v>
      </c>
      <c r="F328" s="64" t="s">
        <v>9273</v>
      </c>
      <c r="G328" s="64" t="s">
        <v>1851</v>
      </c>
    </row>
    <row r="329" spans="1:7" x14ac:dyDescent="0.3">
      <c r="A329" s="64" t="s">
        <v>5164</v>
      </c>
      <c r="B329" s="64" t="s">
        <v>569</v>
      </c>
      <c r="C329" s="64" t="s">
        <v>16</v>
      </c>
      <c r="D329" s="64" t="s">
        <v>18</v>
      </c>
      <c r="E329" s="64" t="s">
        <v>379</v>
      </c>
      <c r="F329" s="64" t="s">
        <v>9273</v>
      </c>
      <c r="G329" s="64" t="s">
        <v>1852</v>
      </c>
    </row>
    <row r="330" spans="1:7" x14ac:dyDescent="0.3">
      <c r="A330" s="64" t="s">
        <v>5164</v>
      </c>
      <c r="B330" s="64" t="s">
        <v>569</v>
      </c>
      <c r="C330" s="64" t="s">
        <v>16</v>
      </c>
      <c r="D330" s="64" t="s">
        <v>18</v>
      </c>
      <c r="E330" s="64" t="s">
        <v>374</v>
      </c>
      <c r="F330" s="64" t="s">
        <v>9273</v>
      </c>
      <c r="G330" s="64" t="s">
        <v>1853</v>
      </c>
    </row>
    <row r="331" spans="1:7" x14ac:dyDescent="0.3">
      <c r="A331" s="64" t="s">
        <v>5164</v>
      </c>
      <c r="B331" s="64" t="s">
        <v>569</v>
      </c>
      <c r="C331" s="64" t="s">
        <v>16</v>
      </c>
      <c r="D331" s="64" t="s">
        <v>18</v>
      </c>
      <c r="E331" s="64" t="s">
        <v>383</v>
      </c>
      <c r="F331" s="64" t="s">
        <v>9273</v>
      </c>
      <c r="G331" s="64" t="s">
        <v>1854</v>
      </c>
    </row>
    <row r="332" spans="1:7" x14ac:dyDescent="0.3">
      <c r="A332" s="64" t="s">
        <v>5164</v>
      </c>
      <c r="B332" s="64" t="s">
        <v>569</v>
      </c>
      <c r="C332" s="64" t="s">
        <v>16</v>
      </c>
      <c r="D332" s="64" t="s">
        <v>18</v>
      </c>
      <c r="E332" s="64" t="s">
        <v>373</v>
      </c>
      <c r="F332" s="64" t="s">
        <v>9273</v>
      </c>
      <c r="G332" s="64" t="s">
        <v>1855</v>
      </c>
    </row>
    <row r="333" spans="1:7" x14ac:dyDescent="0.3">
      <c r="A333" s="64" t="s">
        <v>5164</v>
      </c>
      <c r="B333" s="64" t="s">
        <v>569</v>
      </c>
      <c r="C333" s="64" t="s">
        <v>16</v>
      </c>
      <c r="D333" s="64" t="s">
        <v>18</v>
      </c>
      <c r="E333" s="64" t="s">
        <v>368</v>
      </c>
      <c r="F333" s="64" t="s">
        <v>9273</v>
      </c>
      <c r="G333" s="64" t="s">
        <v>1856</v>
      </c>
    </row>
    <row r="334" spans="1:7" x14ac:dyDescent="0.3">
      <c r="A334" s="64" t="s">
        <v>5164</v>
      </c>
      <c r="B334" s="64" t="s">
        <v>569</v>
      </c>
      <c r="C334" s="64" t="s">
        <v>16</v>
      </c>
      <c r="D334" s="64" t="s">
        <v>18</v>
      </c>
      <c r="E334" s="64" t="s">
        <v>372</v>
      </c>
      <c r="F334" s="64" t="s">
        <v>9273</v>
      </c>
      <c r="G334" s="64" t="s">
        <v>1857</v>
      </c>
    </row>
    <row r="335" spans="1:7" x14ac:dyDescent="0.3">
      <c r="A335" s="64" t="s">
        <v>5164</v>
      </c>
      <c r="B335" s="64" t="s">
        <v>569</v>
      </c>
      <c r="C335" s="64" t="s">
        <v>16</v>
      </c>
      <c r="D335" s="64" t="s">
        <v>18</v>
      </c>
      <c r="E335" s="64" t="s">
        <v>375</v>
      </c>
      <c r="F335" s="64" t="s">
        <v>9273</v>
      </c>
      <c r="G335" s="64" t="s">
        <v>1858</v>
      </c>
    </row>
    <row r="336" spans="1:7" x14ac:dyDescent="0.3">
      <c r="A336" s="64" t="s">
        <v>5164</v>
      </c>
      <c r="B336" s="64" t="s">
        <v>569</v>
      </c>
      <c r="C336" s="64" t="s">
        <v>16</v>
      </c>
      <c r="D336" s="64" t="s">
        <v>18</v>
      </c>
      <c r="E336" s="64" t="s">
        <v>380</v>
      </c>
      <c r="F336" s="64" t="s">
        <v>9273</v>
      </c>
      <c r="G336" s="64" t="s">
        <v>1859</v>
      </c>
    </row>
    <row r="337" spans="1:7" x14ac:dyDescent="0.3">
      <c r="A337" s="64" t="s">
        <v>1462</v>
      </c>
      <c r="B337" s="64" t="s">
        <v>1470</v>
      </c>
      <c r="C337" s="64" t="s">
        <v>20</v>
      </c>
      <c r="D337" s="64" t="s">
        <v>16</v>
      </c>
      <c r="E337" s="64" t="s">
        <v>15</v>
      </c>
      <c r="F337" s="64" t="s">
        <v>9266</v>
      </c>
      <c r="G337" s="64" t="s">
        <v>805</v>
      </c>
    </row>
    <row r="338" spans="1:7" x14ac:dyDescent="0.3">
      <c r="A338" s="64" t="s">
        <v>1462</v>
      </c>
      <c r="B338" s="64" t="s">
        <v>1470</v>
      </c>
      <c r="C338" s="64" t="s">
        <v>16</v>
      </c>
      <c r="D338" s="64" t="s">
        <v>403</v>
      </c>
      <c r="E338" s="64" t="s">
        <v>369</v>
      </c>
      <c r="F338" s="64" t="s">
        <v>9266</v>
      </c>
      <c r="G338" s="64" t="s">
        <v>1860</v>
      </c>
    </row>
    <row r="339" spans="1:7" x14ac:dyDescent="0.3">
      <c r="A339" s="64" t="s">
        <v>1462</v>
      </c>
      <c r="B339" s="64" t="s">
        <v>1470</v>
      </c>
      <c r="C339" s="64" t="s">
        <v>16</v>
      </c>
      <c r="D339" s="64" t="s">
        <v>403</v>
      </c>
      <c r="E339" s="64" t="s">
        <v>382</v>
      </c>
      <c r="F339" s="64" t="s">
        <v>9266</v>
      </c>
      <c r="G339" s="64" t="s">
        <v>1861</v>
      </c>
    </row>
    <row r="340" spans="1:7" x14ac:dyDescent="0.3">
      <c r="A340" s="64" t="s">
        <v>1462</v>
      </c>
      <c r="B340" s="64" t="s">
        <v>1470</v>
      </c>
      <c r="C340" s="64" t="s">
        <v>16</v>
      </c>
      <c r="D340" s="64" t="s">
        <v>403</v>
      </c>
      <c r="E340" s="64" t="s">
        <v>370</v>
      </c>
      <c r="F340" s="64" t="s">
        <v>9266</v>
      </c>
      <c r="G340" s="64" t="s">
        <v>1862</v>
      </c>
    </row>
    <row r="341" spans="1:7" x14ac:dyDescent="0.3">
      <c r="A341" s="64" t="s">
        <v>1462</v>
      </c>
      <c r="B341" s="64" t="s">
        <v>1470</v>
      </c>
      <c r="C341" s="64" t="s">
        <v>16</v>
      </c>
      <c r="D341" s="64" t="s">
        <v>403</v>
      </c>
      <c r="E341" s="64" t="s">
        <v>378</v>
      </c>
      <c r="F341" s="64" t="s">
        <v>9266</v>
      </c>
      <c r="G341" s="64" t="s">
        <v>1863</v>
      </c>
    </row>
    <row r="342" spans="1:7" x14ac:dyDescent="0.3">
      <c r="A342" s="64" t="s">
        <v>1462</v>
      </c>
      <c r="B342" s="64" t="s">
        <v>1470</v>
      </c>
      <c r="C342" s="64" t="s">
        <v>16</v>
      </c>
      <c r="D342" s="64" t="s">
        <v>403</v>
      </c>
      <c r="E342" s="64" t="s">
        <v>371</v>
      </c>
      <c r="F342" s="64" t="s">
        <v>9266</v>
      </c>
      <c r="G342" s="64" t="s">
        <v>1864</v>
      </c>
    </row>
    <row r="343" spans="1:7" x14ac:dyDescent="0.3">
      <c r="A343" s="64" t="s">
        <v>1462</v>
      </c>
      <c r="B343" s="64" t="s">
        <v>1470</v>
      </c>
      <c r="C343" s="64" t="s">
        <v>16</v>
      </c>
      <c r="D343" s="64" t="s">
        <v>403</v>
      </c>
      <c r="E343" s="64" t="s">
        <v>376</v>
      </c>
      <c r="F343" s="64" t="s">
        <v>9266</v>
      </c>
      <c r="G343" s="64" t="s">
        <v>1865</v>
      </c>
    </row>
    <row r="344" spans="1:7" x14ac:dyDescent="0.3">
      <c r="A344" s="64" t="s">
        <v>1462</v>
      </c>
      <c r="B344" s="64" t="s">
        <v>1470</v>
      </c>
      <c r="C344" s="64" t="s">
        <v>16</v>
      </c>
      <c r="D344" s="64" t="s">
        <v>403</v>
      </c>
      <c r="E344" s="64" t="s">
        <v>377</v>
      </c>
      <c r="F344" s="64" t="s">
        <v>9266</v>
      </c>
      <c r="G344" s="64" t="s">
        <v>1866</v>
      </c>
    </row>
    <row r="345" spans="1:7" x14ac:dyDescent="0.3">
      <c r="A345" s="64" t="s">
        <v>1462</v>
      </c>
      <c r="B345" s="64" t="s">
        <v>1470</v>
      </c>
      <c r="C345" s="64" t="s">
        <v>16</v>
      </c>
      <c r="D345" s="64" t="s">
        <v>403</v>
      </c>
      <c r="E345" s="64" t="s">
        <v>381</v>
      </c>
      <c r="F345" s="64" t="s">
        <v>9266</v>
      </c>
      <c r="G345" s="64" t="s">
        <v>1867</v>
      </c>
    </row>
    <row r="346" spans="1:7" x14ac:dyDescent="0.3">
      <c r="A346" s="64" t="s">
        <v>1462</v>
      </c>
      <c r="B346" s="64" t="s">
        <v>1470</v>
      </c>
      <c r="C346" s="64" t="s">
        <v>16</v>
      </c>
      <c r="D346" s="64" t="s">
        <v>403</v>
      </c>
      <c r="E346" s="64" t="s">
        <v>379</v>
      </c>
      <c r="F346" s="64" t="s">
        <v>9266</v>
      </c>
      <c r="G346" s="64" t="s">
        <v>1868</v>
      </c>
    </row>
    <row r="347" spans="1:7" x14ac:dyDescent="0.3">
      <c r="A347" s="64" t="s">
        <v>1462</v>
      </c>
      <c r="B347" s="64" t="s">
        <v>1470</v>
      </c>
      <c r="C347" s="64" t="s">
        <v>16</v>
      </c>
      <c r="D347" s="64" t="s">
        <v>403</v>
      </c>
      <c r="E347" s="64" t="s">
        <v>374</v>
      </c>
      <c r="F347" s="64" t="s">
        <v>9266</v>
      </c>
      <c r="G347" s="64" t="s">
        <v>1869</v>
      </c>
    </row>
    <row r="348" spans="1:7" x14ac:dyDescent="0.3">
      <c r="A348" s="64" t="s">
        <v>1462</v>
      </c>
      <c r="B348" s="64" t="s">
        <v>1470</v>
      </c>
      <c r="C348" s="64" t="s">
        <v>16</v>
      </c>
      <c r="D348" s="64" t="s">
        <v>403</v>
      </c>
      <c r="E348" s="64" t="s">
        <v>383</v>
      </c>
      <c r="F348" s="64" t="s">
        <v>9266</v>
      </c>
      <c r="G348" s="64" t="s">
        <v>1870</v>
      </c>
    </row>
    <row r="349" spans="1:7" x14ac:dyDescent="0.3">
      <c r="A349" s="64" t="s">
        <v>1462</v>
      </c>
      <c r="B349" s="64" t="s">
        <v>1470</v>
      </c>
      <c r="C349" s="64" t="s">
        <v>16</v>
      </c>
      <c r="D349" s="64" t="s">
        <v>403</v>
      </c>
      <c r="E349" s="64" t="s">
        <v>373</v>
      </c>
      <c r="F349" s="64" t="s">
        <v>9266</v>
      </c>
      <c r="G349" s="64" t="s">
        <v>1871</v>
      </c>
    </row>
    <row r="350" spans="1:7" x14ac:dyDescent="0.3">
      <c r="A350" s="64" t="s">
        <v>1462</v>
      </c>
      <c r="B350" s="64" t="s">
        <v>1470</v>
      </c>
      <c r="C350" s="64" t="s">
        <v>16</v>
      </c>
      <c r="D350" s="64" t="s">
        <v>403</v>
      </c>
      <c r="E350" s="64" t="s">
        <v>368</v>
      </c>
      <c r="F350" s="64" t="s">
        <v>9266</v>
      </c>
      <c r="G350" s="64" t="s">
        <v>1872</v>
      </c>
    </row>
    <row r="351" spans="1:7" x14ac:dyDescent="0.3">
      <c r="A351" s="64" t="s">
        <v>1462</v>
      </c>
      <c r="B351" s="64" t="s">
        <v>1470</v>
      </c>
      <c r="C351" s="64" t="s">
        <v>16</v>
      </c>
      <c r="D351" s="64" t="s">
        <v>403</v>
      </c>
      <c r="E351" s="64" t="s">
        <v>372</v>
      </c>
      <c r="F351" s="64" t="s">
        <v>9266</v>
      </c>
      <c r="G351" s="64" t="s">
        <v>1873</v>
      </c>
    </row>
    <row r="352" spans="1:7" x14ac:dyDescent="0.3">
      <c r="A352" s="64" t="s">
        <v>1462</v>
      </c>
      <c r="B352" s="64" t="s">
        <v>1470</v>
      </c>
      <c r="C352" s="64" t="s">
        <v>16</v>
      </c>
      <c r="D352" s="64" t="s">
        <v>403</v>
      </c>
      <c r="E352" s="64" t="s">
        <v>375</v>
      </c>
      <c r="F352" s="64" t="s">
        <v>9266</v>
      </c>
      <c r="G352" s="64" t="s">
        <v>1874</v>
      </c>
    </row>
    <row r="353" spans="1:7" x14ac:dyDescent="0.3">
      <c r="A353" s="64" t="s">
        <v>1462</v>
      </c>
      <c r="B353" s="64" t="s">
        <v>1470</v>
      </c>
      <c r="C353" s="64" t="s">
        <v>16</v>
      </c>
      <c r="D353" s="64" t="s">
        <v>403</v>
      </c>
      <c r="E353" s="64" t="s">
        <v>380</v>
      </c>
      <c r="F353" s="64" t="s">
        <v>9266</v>
      </c>
      <c r="G353" s="64" t="s">
        <v>1875</v>
      </c>
    </row>
    <row r="354" spans="1:7" x14ac:dyDescent="0.3">
      <c r="A354" s="64" t="s">
        <v>1466</v>
      </c>
      <c r="B354" s="64" t="s">
        <v>1470</v>
      </c>
      <c r="C354" s="64" t="s">
        <v>20</v>
      </c>
      <c r="D354" s="64" t="s">
        <v>16</v>
      </c>
      <c r="E354" s="64" t="s">
        <v>15</v>
      </c>
      <c r="F354" s="64" t="s">
        <v>1465</v>
      </c>
      <c r="G354" s="64" t="s">
        <v>805</v>
      </c>
    </row>
    <row r="355" spans="1:7" x14ac:dyDescent="0.3">
      <c r="A355" s="64" t="s">
        <v>1466</v>
      </c>
      <c r="B355" s="64" t="s">
        <v>1470</v>
      </c>
      <c r="C355" s="64" t="s">
        <v>16</v>
      </c>
      <c r="D355" s="64" t="s">
        <v>403</v>
      </c>
      <c r="E355" s="64" t="s">
        <v>369</v>
      </c>
      <c r="F355" s="64" t="s">
        <v>1465</v>
      </c>
      <c r="G355" s="64" t="s">
        <v>1860</v>
      </c>
    </row>
    <row r="356" spans="1:7" x14ac:dyDescent="0.3">
      <c r="A356" s="64" t="s">
        <v>1466</v>
      </c>
      <c r="B356" s="64" t="s">
        <v>1470</v>
      </c>
      <c r="C356" s="64" t="s">
        <v>16</v>
      </c>
      <c r="D356" s="64" t="s">
        <v>403</v>
      </c>
      <c r="E356" s="64" t="s">
        <v>382</v>
      </c>
      <c r="F356" s="64" t="s">
        <v>1465</v>
      </c>
      <c r="G356" s="64" t="s">
        <v>1861</v>
      </c>
    </row>
    <row r="357" spans="1:7" x14ac:dyDescent="0.3">
      <c r="A357" s="64" t="s">
        <v>1466</v>
      </c>
      <c r="B357" s="64" t="s">
        <v>1470</v>
      </c>
      <c r="C357" s="64" t="s">
        <v>16</v>
      </c>
      <c r="D357" s="64" t="s">
        <v>403</v>
      </c>
      <c r="E357" s="64" t="s">
        <v>370</v>
      </c>
      <c r="F357" s="64" t="s">
        <v>1465</v>
      </c>
      <c r="G357" s="64" t="s">
        <v>1862</v>
      </c>
    </row>
    <row r="358" spans="1:7" x14ac:dyDescent="0.3">
      <c r="A358" s="64" t="s">
        <v>1466</v>
      </c>
      <c r="B358" s="64" t="s">
        <v>1470</v>
      </c>
      <c r="C358" s="64" t="s">
        <v>16</v>
      </c>
      <c r="D358" s="64" t="s">
        <v>403</v>
      </c>
      <c r="E358" s="64" t="s">
        <v>378</v>
      </c>
      <c r="F358" s="64" t="s">
        <v>1465</v>
      </c>
      <c r="G358" s="64" t="s">
        <v>1863</v>
      </c>
    </row>
    <row r="359" spans="1:7" x14ac:dyDescent="0.3">
      <c r="A359" s="64" t="s">
        <v>1466</v>
      </c>
      <c r="B359" s="64" t="s">
        <v>1470</v>
      </c>
      <c r="C359" s="64" t="s">
        <v>16</v>
      </c>
      <c r="D359" s="64" t="s">
        <v>403</v>
      </c>
      <c r="E359" s="64" t="s">
        <v>371</v>
      </c>
      <c r="F359" s="64" t="s">
        <v>1465</v>
      </c>
      <c r="G359" s="64" t="s">
        <v>1864</v>
      </c>
    </row>
    <row r="360" spans="1:7" x14ac:dyDescent="0.3">
      <c r="A360" s="64" t="s">
        <v>1466</v>
      </c>
      <c r="B360" s="64" t="s">
        <v>1470</v>
      </c>
      <c r="C360" s="64" t="s">
        <v>16</v>
      </c>
      <c r="D360" s="64" t="s">
        <v>403</v>
      </c>
      <c r="E360" s="64" t="s">
        <v>376</v>
      </c>
      <c r="F360" s="64" t="s">
        <v>1465</v>
      </c>
      <c r="G360" s="64" t="s">
        <v>1865</v>
      </c>
    </row>
    <row r="361" spans="1:7" x14ac:dyDescent="0.3">
      <c r="A361" s="64" t="s">
        <v>1466</v>
      </c>
      <c r="B361" s="64" t="s">
        <v>1470</v>
      </c>
      <c r="C361" s="64" t="s">
        <v>16</v>
      </c>
      <c r="D361" s="64" t="s">
        <v>403</v>
      </c>
      <c r="E361" s="64" t="s">
        <v>377</v>
      </c>
      <c r="F361" s="64" t="s">
        <v>1465</v>
      </c>
      <c r="G361" s="64" t="s">
        <v>1866</v>
      </c>
    </row>
    <row r="362" spans="1:7" x14ac:dyDescent="0.3">
      <c r="A362" s="64" t="s">
        <v>1466</v>
      </c>
      <c r="B362" s="64" t="s">
        <v>1470</v>
      </c>
      <c r="C362" s="64" t="s">
        <v>16</v>
      </c>
      <c r="D362" s="64" t="s">
        <v>403</v>
      </c>
      <c r="E362" s="64" t="s">
        <v>381</v>
      </c>
      <c r="F362" s="64" t="s">
        <v>1465</v>
      </c>
      <c r="G362" s="64" t="s">
        <v>1867</v>
      </c>
    </row>
    <row r="363" spans="1:7" x14ac:dyDescent="0.3">
      <c r="A363" s="64" t="s">
        <v>1466</v>
      </c>
      <c r="B363" s="64" t="s">
        <v>1470</v>
      </c>
      <c r="C363" s="64" t="s">
        <v>16</v>
      </c>
      <c r="D363" s="64" t="s">
        <v>403</v>
      </c>
      <c r="E363" s="64" t="s">
        <v>379</v>
      </c>
      <c r="F363" s="64" t="s">
        <v>1465</v>
      </c>
      <c r="G363" s="64" t="s">
        <v>1868</v>
      </c>
    </row>
    <row r="364" spans="1:7" x14ac:dyDescent="0.3">
      <c r="A364" s="64" t="s">
        <v>1466</v>
      </c>
      <c r="B364" s="64" t="s">
        <v>1470</v>
      </c>
      <c r="C364" s="64" t="s">
        <v>16</v>
      </c>
      <c r="D364" s="64" t="s">
        <v>403</v>
      </c>
      <c r="E364" s="64" t="s">
        <v>374</v>
      </c>
      <c r="F364" s="64" t="s">
        <v>1465</v>
      </c>
      <c r="G364" s="64" t="s">
        <v>1869</v>
      </c>
    </row>
    <row r="365" spans="1:7" x14ac:dyDescent="0.3">
      <c r="A365" s="64" t="s">
        <v>1466</v>
      </c>
      <c r="B365" s="64" t="s">
        <v>1470</v>
      </c>
      <c r="C365" s="64" t="s">
        <v>16</v>
      </c>
      <c r="D365" s="64" t="s">
        <v>403</v>
      </c>
      <c r="E365" s="64" t="s">
        <v>383</v>
      </c>
      <c r="F365" s="64" t="s">
        <v>1465</v>
      </c>
      <c r="G365" s="64" t="s">
        <v>1870</v>
      </c>
    </row>
    <row r="366" spans="1:7" x14ac:dyDescent="0.3">
      <c r="A366" s="64" t="s">
        <v>1466</v>
      </c>
      <c r="B366" s="64" t="s">
        <v>1470</v>
      </c>
      <c r="C366" s="64" t="s">
        <v>16</v>
      </c>
      <c r="D366" s="64" t="s">
        <v>403</v>
      </c>
      <c r="E366" s="64" t="s">
        <v>373</v>
      </c>
      <c r="F366" s="64" t="s">
        <v>1465</v>
      </c>
      <c r="G366" s="64" t="s">
        <v>1871</v>
      </c>
    </row>
    <row r="367" spans="1:7" x14ac:dyDescent="0.3">
      <c r="A367" s="64" t="s">
        <v>1466</v>
      </c>
      <c r="B367" s="64" t="s">
        <v>1470</v>
      </c>
      <c r="C367" s="64" t="s">
        <v>16</v>
      </c>
      <c r="D367" s="64" t="s">
        <v>403</v>
      </c>
      <c r="E367" s="64" t="s">
        <v>368</v>
      </c>
      <c r="F367" s="64" t="s">
        <v>1465</v>
      </c>
      <c r="G367" s="64" t="s">
        <v>1872</v>
      </c>
    </row>
    <row r="368" spans="1:7" x14ac:dyDescent="0.3">
      <c r="A368" s="64" t="s">
        <v>1466</v>
      </c>
      <c r="B368" s="64" t="s">
        <v>1470</v>
      </c>
      <c r="C368" s="64" t="s">
        <v>16</v>
      </c>
      <c r="D368" s="64" t="s">
        <v>403</v>
      </c>
      <c r="E368" s="64" t="s">
        <v>372</v>
      </c>
      <c r="F368" s="64" t="s">
        <v>1465</v>
      </c>
      <c r="G368" s="64" t="s">
        <v>1873</v>
      </c>
    </row>
    <row r="369" spans="1:7" x14ac:dyDescent="0.3">
      <c r="A369" s="64" t="s">
        <v>1466</v>
      </c>
      <c r="B369" s="64" t="s">
        <v>1470</v>
      </c>
      <c r="C369" s="64" t="s">
        <v>16</v>
      </c>
      <c r="D369" s="64" t="s">
        <v>403</v>
      </c>
      <c r="E369" s="64" t="s">
        <v>375</v>
      </c>
      <c r="F369" s="64" t="s">
        <v>1465</v>
      </c>
      <c r="G369" s="64" t="s">
        <v>1874</v>
      </c>
    </row>
    <row r="370" spans="1:7" x14ac:dyDescent="0.3">
      <c r="A370" s="64" t="s">
        <v>1466</v>
      </c>
      <c r="B370" s="64" t="s">
        <v>1470</v>
      </c>
      <c r="C370" s="64" t="s">
        <v>16</v>
      </c>
      <c r="D370" s="64" t="s">
        <v>403</v>
      </c>
      <c r="E370" s="64" t="s">
        <v>380</v>
      </c>
      <c r="F370" s="64" t="s">
        <v>1465</v>
      </c>
      <c r="G370" s="64" t="s">
        <v>1875</v>
      </c>
    </row>
    <row r="371" spans="1:7" x14ac:dyDescent="0.3">
      <c r="A371" s="64" t="s">
        <v>1471</v>
      </c>
      <c r="B371" s="64" t="s">
        <v>1470</v>
      </c>
      <c r="C371" s="64" t="s">
        <v>20</v>
      </c>
      <c r="D371" s="64" t="s">
        <v>16</v>
      </c>
      <c r="E371" s="64" t="s">
        <v>15</v>
      </c>
      <c r="F371" s="64" t="s">
        <v>1470</v>
      </c>
      <c r="G371" s="64" t="s">
        <v>805</v>
      </c>
    </row>
    <row r="372" spans="1:7" x14ac:dyDescent="0.3">
      <c r="A372" s="64" t="s">
        <v>1471</v>
      </c>
      <c r="B372" s="64" t="s">
        <v>1470</v>
      </c>
      <c r="C372" s="64" t="s">
        <v>16</v>
      </c>
      <c r="D372" s="64" t="s">
        <v>403</v>
      </c>
      <c r="E372" s="64" t="s">
        <v>369</v>
      </c>
      <c r="F372" s="64" t="s">
        <v>1470</v>
      </c>
      <c r="G372" s="64" t="s">
        <v>1860</v>
      </c>
    </row>
    <row r="373" spans="1:7" x14ac:dyDescent="0.3">
      <c r="A373" s="64" t="s">
        <v>1471</v>
      </c>
      <c r="B373" s="64" t="s">
        <v>1470</v>
      </c>
      <c r="C373" s="64" t="s">
        <v>16</v>
      </c>
      <c r="D373" s="64" t="s">
        <v>403</v>
      </c>
      <c r="E373" s="64" t="s">
        <v>382</v>
      </c>
      <c r="F373" s="64" t="s">
        <v>1470</v>
      </c>
      <c r="G373" s="64" t="s">
        <v>1861</v>
      </c>
    </row>
    <row r="374" spans="1:7" x14ac:dyDescent="0.3">
      <c r="A374" s="64" t="s">
        <v>1471</v>
      </c>
      <c r="B374" s="64" t="s">
        <v>1470</v>
      </c>
      <c r="C374" s="64" t="s">
        <v>16</v>
      </c>
      <c r="D374" s="64" t="s">
        <v>403</v>
      </c>
      <c r="E374" s="64" t="s">
        <v>370</v>
      </c>
      <c r="F374" s="64" t="s">
        <v>1470</v>
      </c>
      <c r="G374" s="64" t="s">
        <v>1862</v>
      </c>
    </row>
    <row r="375" spans="1:7" x14ac:dyDescent="0.3">
      <c r="A375" s="64" t="s">
        <v>1471</v>
      </c>
      <c r="B375" s="64" t="s">
        <v>1470</v>
      </c>
      <c r="C375" s="64" t="s">
        <v>16</v>
      </c>
      <c r="D375" s="64" t="s">
        <v>403</v>
      </c>
      <c r="E375" s="64" t="s">
        <v>378</v>
      </c>
      <c r="F375" s="64" t="s">
        <v>1470</v>
      </c>
      <c r="G375" s="64" t="s">
        <v>1863</v>
      </c>
    </row>
    <row r="376" spans="1:7" x14ac:dyDescent="0.3">
      <c r="A376" s="64" t="s">
        <v>1471</v>
      </c>
      <c r="B376" s="64" t="s">
        <v>1470</v>
      </c>
      <c r="C376" s="64" t="s">
        <v>16</v>
      </c>
      <c r="D376" s="64" t="s">
        <v>403</v>
      </c>
      <c r="E376" s="64" t="s">
        <v>371</v>
      </c>
      <c r="F376" s="64" t="s">
        <v>1470</v>
      </c>
      <c r="G376" s="64" t="s">
        <v>1864</v>
      </c>
    </row>
    <row r="377" spans="1:7" x14ac:dyDescent="0.3">
      <c r="A377" s="64" t="s">
        <v>1471</v>
      </c>
      <c r="B377" s="64" t="s">
        <v>1470</v>
      </c>
      <c r="C377" s="64" t="s">
        <v>16</v>
      </c>
      <c r="D377" s="64" t="s">
        <v>403</v>
      </c>
      <c r="E377" s="64" t="s">
        <v>376</v>
      </c>
      <c r="F377" s="64" t="s">
        <v>1470</v>
      </c>
      <c r="G377" s="64" t="s">
        <v>1865</v>
      </c>
    </row>
    <row r="378" spans="1:7" x14ac:dyDescent="0.3">
      <c r="A378" s="64" t="s">
        <v>1471</v>
      </c>
      <c r="B378" s="64" t="s">
        <v>1470</v>
      </c>
      <c r="C378" s="64" t="s">
        <v>16</v>
      </c>
      <c r="D378" s="64" t="s">
        <v>403</v>
      </c>
      <c r="E378" s="64" t="s">
        <v>377</v>
      </c>
      <c r="F378" s="64" t="s">
        <v>1470</v>
      </c>
      <c r="G378" s="64" t="s">
        <v>1866</v>
      </c>
    </row>
    <row r="379" spans="1:7" x14ac:dyDescent="0.3">
      <c r="A379" s="64" t="s">
        <v>1471</v>
      </c>
      <c r="B379" s="64" t="s">
        <v>1470</v>
      </c>
      <c r="C379" s="64" t="s">
        <v>16</v>
      </c>
      <c r="D379" s="64" t="s">
        <v>403</v>
      </c>
      <c r="E379" s="64" t="s">
        <v>381</v>
      </c>
      <c r="F379" s="64" t="s">
        <v>1470</v>
      </c>
      <c r="G379" s="64" t="s">
        <v>1867</v>
      </c>
    </row>
    <row r="380" spans="1:7" x14ac:dyDescent="0.3">
      <c r="A380" s="64" t="s">
        <v>1471</v>
      </c>
      <c r="B380" s="64" t="s">
        <v>1470</v>
      </c>
      <c r="C380" s="64" t="s">
        <v>16</v>
      </c>
      <c r="D380" s="64" t="s">
        <v>403</v>
      </c>
      <c r="E380" s="64" t="s">
        <v>379</v>
      </c>
      <c r="F380" s="64" t="s">
        <v>1470</v>
      </c>
      <c r="G380" s="64" t="s">
        <v>1868</v>
      </c>
    </row>
    <row r="381" spans="1:7" x14ac:dyDescent="0.3">
      <c r="A381" s="64" t="s">
        <v>1471</v>
      </c>
      <c r="B381" s="64" t="s">
        <v>1470</v>
      </c>
      <c r="C381" s="64" t="s">
        <v>16</v>
      </c>
      <c r="D381" s="64" t="s">
        <v>403</v>
      </c>
      <c r="E381" s="64" t="s">
        <v>374</v>
      </c>
      <c r="F381" s="64" t="s">
        <v>1470</v>
      </c>
      <c r="G381" s="64" t="s">
        <v>1869</v>
      </c>
    </row>
    <row r="382" spans="1:7" x14ac:dyDescent="0.3">
      <c r="A382" s="64" t="s">
        <v>1471</v>
      </c>
      <c r="B382" s="64" t="s">
        <v>1470</v>
      </c>
      <c r="C382" s="64" t="s">
        <v>16</v>
      </c>
      <c r="D382" s="64" t="s">
        <v>403</v>
      </c>
      <c r="E382" s="64" t="s">
        <v>383</v>
      </c>
      <c r="F382" s="64" t="s">
        <v>1470</v>
      </c>
      <c r="G382" s="64" t="s">
        <v>1870</v>
      </c>
    </row>
    <row r="383" spans="1:7" x14ac:dyDescent="0.3">
      <c r="A383" s="64" t="s">
        <v>1471</v>
      </c>
      <c r="B383" s="64" t="s">
        <v>1470</v>
      </c>
      <c r="C383" s="64" t="s">
        <v>16</v>
      </c>
      <c r="D383" s="64" t="s">
        <v>403</v>
      </c>
      <c r="E383" s="64" t="s">
        <v>373</v>
      </c>
      <c r="F383" s="64" t="s">
        <v>1470</v>
      </c>
      <c r="G383" s="64" t="s">
        <v>1871</v>
      </c>
    </row>
    <row r="384" spans="1:7" x14ac:dyDescent="0.3">
      <c r="A384" s="64" t="s">
        <v>1471</v>
      </c>
      <c r="B384" s="64" t="s">
        <v>1470</v>
      </c>
      <c r="C384" s="64" t="s">
        <v>16</v>
      </c>
      <c r="D384" s="64" t="s">
        <v>403</v>
      </c>
      <c r="E384" s="64" t="s">
        <v>368</v>
      </c>
      <c r="F384" s="64" t="s">
        <v>1470</v>
      </c>
      <c r="G384" s="64" t="s">
        <v>1872</v>
      </c>
    </row>
    <row r="385" spans="1:7" x14ac:dyDescent="0.3">
      <c r="A385" s="64" t="s">
        <v>1471</v>
      </c>
      <c r="B385" s="64" t="s">
        <v>1470</v>
      </c>
      <c r="C385" s="64" t="s">
        <v>16</v>
      </c>
      <c r="D385" s="64" t="s">
        <v>403</v>
      </c>
      <c r="E385" s="64" t="s">
        <v>372</v>
      </c>
      <c r="F385" s="64" t="s">
        <v>1470</v>
      </c>
      <c r="G385" s="64" t="s">
        <v>1873</v>
      </c>
    </row>
    <row r="386" spans="1:7" x14ac:dyDescent="0.3">
      <c r="A386" s="64" t="s">
        <v>1471</v>
      </c>
      <c r="B386" s="64" t="s">
        <v>1470</v>
      </c>
      <c r="C386" s="64" t="s">
        <v>16</v>
      </c>
      <c r="D386" s="64" t="s">
        <v>403</v>
      </c>
      <c r="E386" s="64" t="s">
        <v>375</v>
      </c>
      <c r="F386" s="64" t="s">
        <v>1470</v>
      </c>
      <c r="G386" s="64" t="s">
        <v>1874</v>
      </c>
    </row>
    <row r="387" spans="1:7" x14ac:dyDescent="0.3">
      <c r="A387" s="64" t="s">
        <v>1471</v>
      </c>
      <c r="B387" s="64" t="s">
        <v>1470</v>
      </c>
      <c r="C387" s="64" t="s">
        <v>16</v>
      </c>
      <c r="D387" s="64" t="s">
        <v>403</v>
      </c>
      <c r="E387" s="64" t="s">
        <v>380</v>
      </c>
      <c r="F387" s="64" t="s">
        <v>1470</v>
      </c>
      <c r="G387" s="64" t="s">
        <v>1875</v>
      </c>
    </row>
    <row r="388" spans="1:7" x14ac:dyDescent="0.3">
      <c r="A388" s="64" t="s">
        <v>1473</v>
      </c>
      <c r="B388" s="64" t="s">
        <v>1898</v>
      </c>
      <c r="C388" s="64" t="s">
        <v>20</v>
      </c>
      <c r="D388" s="64" t="s">
        <v>16</v>
      </c>
      <c r="E388" s="64" t="s">
        <v>15</v>
      </c>
      <c r="F388" s="64" t="s">
        <v>9307</v>
      </c>
      <c r="G388" s="64" t="s">
        <v>805</v>
      </c>
    </row>
    <row r="389" spans="1:7" x14ac:dyDescent="0.3">
      <c r="A389" s="64" t="s">
        <v>1473</v>
      </c>
      <c r="B389" s="64" t="s">
        <v>1898</v>
      </c>
      <c r="C389" s="64" t="s">
        <v>20</v>
      </c>
      <c r="D389" s="64" t="s">
        <v>403</v>
      </c>
      <c r="E389" s="64" t="s">
        <v>15</v>
      </c>
      <c r="F389" s="64" t="s">
        <v>9307</v>
      </c>
      <c r="G389" s="64" t="s">
        <v>805</v>
      </c>
    </row>
    <row r="390" spans="1:7" x14ac:dyDescent="0.3">
      <c r="A390" s="64" t="s">
        <v>1473</v>
      </c>
      <c r="B390" s="64" t="s">
        <v>1898</v>
      </c>
      <c r="C390" s="64" t="s">
        <v>20</v>
      </c>
      <c r="D390" s="64" t="s">
        <v>403</v>
      </c>
      <c r="E390" s="64" t="s">
        <v>15</v>
      </c>
      <c r="F390" s="64" t="s">
        <v>9307</v>
      </c>
      <c r="G390" s="64">
        <v>0</v>
      </c>
    </row>
    <row r="391" spans="1:7" x14ac:dyDescent="0.3">
      <c r="A391" s="64" t="s">
        <v>1473</v>
      </c>
      <c r="B391" s="64" t="s">
        <v>1898</v>
      </c>
      <c r="C391" s="64" t="s">
        <v>20</v>
      </c>
      <c r="D391" s="64" t="s">
        <v>1474</v>
      </c>
      <c r="E391" s="64" t="s">
        <v>15</v>
      </c>
      <c r="F391" s="64" t="s">
        <v>9307</v>
      </c>
      <c r="G391" s="64">
        <v>0</v>
      </c>
    </row>
    <row r="392" spans="1:7" x14ac:dyDescent="0.3">
      <c r="A392" s="64" t="s">
        <v>1473</v>
      </c>
      <c r="B392" s="64" t="s">
        <v>1898</v>
      </c>
      <c r="C392" s="64" t="s">
        <v>20</v>
      </c>
      <c r="D392" s="64" t="s">
        <v>1933</v>
      </c>
      <c r="E392" s="64" t="s">
        <v>15</v>
      </c>
      <c r="F392" s="64" t="s">
        <v>9307</v>
      </c>
      <c r="G392" s="64" t="s">
        <v>805</v>
      </c>
    </row>
    <row r="393" spans="1:7" x14ac:dyDescent="0.3">
      <c r="A393" s="64" t="s">
        <v>1473</v>
      </c>
      <c r="B393" s="64" t="s">
        <v>1898</v>
      </c>
      <c r="C393" s="64" t="s">
        <v>20</v>
      </c>
      <c r="D393" s="64" t="s">
        <v>2992</v>
      </c>
      <c r="E393" s="64" t="s">
        <v>15</v>
      </c>
      <c r="F393" s="64" t="s">
        <v>9307</v>
      </c>
      <c r="G393" s="64" t="s">
        <v>957</v>
      </c>
    </row>
    <row r="394" spans="1:7" x14ac:dyDescent="0.3">
      <c r="A394" s="64" t="s">
        <v>1473</v>
      </c>
      <c r="B394" s="64" t="s">
        <v>1898</v>
      </c>
      <c r="C394" s="64" t="s">
        <v>16</v>
      </c>
      <c r="D394" s="64" t="s">
        <v>403</v>
      </c>
      <c r="E394" s="64" t="s">
        <v>369</v>
      </c>
      <c r="F394" s="64" t="s">
        <v>9307</v>
      </c>
      <c r="G394" s="64" t="s">
        <v>1860</v>
      </c>
    </row>
    <row r="395" spans="1:7" x14ac:dyDescent="0.3">
      <c r="A395" s="64" t="s">
        <v>1473</v>
      </c>
      <c r="B395" s="64" t="s">
        <v>1898</v>
      </c>
      <c r="C395" s="64" t="s">
        <v>16</v>
      </c>
      <c r="D395" s="64" t="s">
        <v>403</v>
      </c>
      <c r="E395" s="64" t="s">
        <v>382</v>
      </c>
      <c r="F395" s="64" t="s">
        <v>9307</v>
      </c>
      <c r="G395" s="64" t="s">
        <v>1861</v>
      </c>
    </row>
    <row r="396" spans="1:7" x14ac:dyDescent="0.3">
      <c r="A396" s="64" t="s">
        <v>1473</v>
      </c>
      <c r="B396" s="64" t="s">
        <v>1898</v>
      </c>
      <c r="C396" s="64" t="s">
        <v>16</v>
      </c>
      <c r="D396" s="64" t="s">
        <v>403</v>
      </c>
      <c r="E396" s="64" t="s">
        <v>370</v>
      </c>
      <c r="F396" s="64" t="s">
        <v>9307</v>
      </c>
      <c r="G396" s="64" t="s">
        <v>1862</v>
      </c>
    </row>
    <row r="397" spans="1:7" x14ac:dyDescent="0.3">
      <c r="A397" s="64" t="s">
        <v>1473</v>
      </c>
      <c r="B397" s="64" t="s">
        <v>1898</v>
      </c>
      <c r="C397" s="64" t="s">
        <v>16</v>
      </c>
      <c r="D397" s="64" t="s">
        <v>403</v>
      </c>
      <c r="E397" s="64" t="s">
        <v>378</v>
      </c>
      <c r="F397" s="64" t="s">
        <v>9307</v>
      </c>
      <c r="G397" s="64" t="s">
        <v>1863</v>
      </c>
    </row>
    <row r="398" spans="1:7" x14ac:dyDescent="0.3">
      <c r="A398" s="64" t="s">
        <v>1473</v>
      </c>
      <c r="B398" s="64" t="s">
        <v>1898</v>
      </c>
      <c r="C398" s="64" t="s">
        <v>16</v>
      </c>
      <c r="D398" s="64" t="s">
        <v>403</v>
      </c>
      <c r="E398" s="64" t="s">
        <v>371</v>
      </c>
      <c r="F398" s="64" t="s">
        <v>9307</v>
      </c>
      <c r="G398" s="64" t="s">
        <v>1864</v>
      </c>
    </row>
    <row r="399" spans="1:7" x14ac:dyDescent="0.3">
      <c r="A399" s="64" t="s">
        <v>1473</v>
      </c>
      <c r="B399" s="64" t="s">
        <v>1898</v>
      </c>
      <c r="C399" s="64" t="s">
        <v>16</v>
      </c>
      <c r="D399" s="64" t="s">
        <v>403</v>
      </c>
      <c r="E399" s="64" t="s">
        <v>376</v>
      </c>
      <c r="F399" s="64" t="s">
        <v>9307</v>
      </c>
      <c r="G399" s="64" t="s">
        <v>1865</v>
      </c>
    </row>
    <row r="400" spans="1:7" x14ac:dyDescent="0.3">
      <c r="A400" s="64" t="s">
        <v>1473</v>
      </c>
      <c r="B400" s="64" t="s">
        <v>1898</v>
      </c>
      <c r="C400" s="64" t="s">
        <v>16</v>
      </c>
      <c r="D400" s="64" t="s">
        <v>403</v>
      </c>
      <c r="E400" s="64" t="s">
        <v>377</v>
      </c>
      <c r="F400" s="64" t="s">
        <v>9307</v>
      </c>
      <c r="G400" s="64" t="s">
        <v>1866</v>
      </c>
    </row>
    <row r="401" spans="1:7" x14ac:dyDescent="0.3">
      <c r="A401" s="64" t="s">
        <v>1473</v>
      </c>
      <c r="B401" s="64" t="s">
        <v>1898</v>
      </c>
      <c r="C401" s="64" t="s">
        <v>16</v>
      </c>
      <c r="D401" s="64" t="s">
        <v>403</v>
      </c>
      <c r="E401" s="64" t="s">
        <v>381</v>
      </c>
      <c r="F401" s="64" t="s">
        <v>9307</v>
      </c>
      <c r="G401" s="64" t="s">
        <v>1867</v>
      </c>
    </row>
    <row r="402" spans="1:7" x14ac:dyDescent="0.3">
      <c r="A402" s="64" t="s">
        <v>1473</v>
      </c>
      <c r="B402" s="64" t="s">
        <v>1898</v>
      </c>
      <c r="C402" s="64" t="s">
        <v>16</v>
      </c>
      <c r="D402" s="64" t="s">
        <v>403</v>
      </c>
      <c r="E402" s="64" t="s">
        <v>379</v>
      </c>
      <c r="F402" s="64" t="s">
        <v>9307</v>
      </c>
      <c r="G402" s="64" t="s">
        <v>1868</v>
      </c>
    </row>
    <row r="403" spans="1:7" x14ac:dyDescent="0.3">
      <c r="A403" s="64" t="s">
        <v>1473</v>
      </c>
      <c r="B403" s="64" t="s">
        <v>1898</v>
      </c>
      <c r="C403" s="64" t="s">
        <v>16</v>
      </c>
      <c r="D403" s="64" t="s">
        <v>403</v>
      </c>
      <c r="E403" s="64" t="s">
        <v>374</v>
      </c>
      <c r="F403" s="64" t="s">
        <v>9307</v>
      </c>
      <c r="G403" s="64" t="s">
        <v>1869</v>
      </c>
    </row>
    <row r="404" spans="1:7" x14ac:dyDescent="0.3">
      <c r="A404" s="64" t="s">
        <v>1473</v>
      </c>
      <c r="B404" s="64" t="s">
        <v>1898</v>
      </c>
      <c r="C404" s="64" t="s">
        <v>16</v>
      </c>
      <c r="D404" s="64" t="s">
        <v>403</v>
      </c>
      <c r="E404" s="64" t="s">
        <v>383</v>
      </c>
      <c r="F404" s="64" t="s">
        <v>9307</v>
      </c>
      <c r="G404" s="64" t="s">
        <v>1870</v>
      </c>
    </row>
    <row r="405" spans="1:7" x14ac:dyDescent="0.3">
      <c r="A405" s="64" t="s">
        <v>1473</v>
      </c>
      <c r="B405" s="64" t="s">
        <v>1898</v>
      </c>
      <c r="C405" s="64" t="s">
        <v>16</v>
      </c>
      <c r="D405" s="64" t="s">
        <v>403</v>
      </c>
      <c r="E405" s="64" t="s">
        <v>373</v>
      </c>
      <c r="F405" s="64" t="s">
        <v>9307</v>
      </c>
      <c r="G405" s="64" t="s">
        <v>1871</v>
      </c>
    </row>
    <row r="406" spans="1:7" x14ac:dyDescent="0.3">
      <c r="A406" s="64" t="s">
        <v>1473</v>
      </c>
      <c r="B406" s="64" t="s">
        <v>1898</v>
      </c>
      <c r="C406" s="64" t="s">
        <v>16</v>
      </c>
      <c r="D406" s="64" t="s">
        <v>403</v>
      </c>
      <c r="E406" s="64" t="s">
        <v>368</v>
      </c>
      <c r="F406" s="64" t="s">
        <v>9307</v>
      </c>
      <c r="G406" s="64" t="s">
        <v>1872</v>
      </c>
    </row>
    <row r="407" spans="1:7" x14ac:dyDescent="0.3">
      <c r="A407" s="64" t="s">
        <v>1473</v>
      </c>
      <c r="B407" s="64" t="s">
        <v>1898</v>
      </c>
      <c r="C407" s="64" t="s">
        <v>16</v>
      </c>
      <c r="D407" s="64" t="s">
        <v>403</v>
      </c>
      <c r="E407" s="64" t="s">
        <v>372</v>
      </c>
      <c r="F407" s="64" t="s">
        <v>9307</v>
      </c>
      <c r="G407" s="64" t="s">
        <v>1873</v>
      </c>
    </row>
    <row r="408" spans="1:7" x14ac:dyDescent="0.3">
      <c r="A408" s="64" t="s">
        <v>1473</v>
      </c>
      <c r="B408" s="64" t="s">
        <v>1898</v>
      </c>
      <c r="C408" s="64" t="s">
        <v>16</v>
      </c>
      <c r="D408" s="64" t="s">
        <v>403</v>
      </c>
      <c r="E408" s="64" t="s">
        <v>375</v>
      </c>
      <c r="F408" s="64" t="s">
        <v>9307</v>
      </c>
      <c r="G408" s="64" t="s">
        <v>1874</v>
      </c>
    </row>
    <row r="409" spans="1:7" x14ac:dyDescent="0.3">
      <c r="A409" s="64" t="s">
        <v>1473</v>
      </c>
      <c r="B409" s="64" t="s">
        <v>1898</v>
      </c>
      <c r="C409" s="64" t="s">
        <v>16</v>
      </c>
      <c r="D409" s="64" t="s">
        <v>403</v>
      </c>
      <c r="E409" s="64" t="s">
        <v>380</v>
      </c>
      <c r="F409" s="64" t="s">
        <v>9307</v>
      </c>
      <c r="G409" s="64" t="s">
        <v>1875</v>
      </c>
    </row>
    <row r="410" spans="1:7" x14ac:dyDescent="0.3">
      <c r="A410" s="64" t="s">
        <v>1473</v>
      </c>
      <c r="B410" s="64" t="s">
        <v>1898</v>
      </c>
      <c r="C410" s="64" t="s">
        <v>16</v>
      </c>
      <c r="D410" s="64" t="s">
        <v>1474</v>
      </c>
      <c r="E410" s="64" t="s">
        <v>369</v>
      </c>
      <c r="F410" s="64" t="s">
        <v>9307</v>
      </c>
      <c r="G410" s="64" t="s">
        <v>1860</v>
      </c>
    </row>
    <row r="411" spans="1:7" x14ac:dyDescent="0.3">
      <c r="A411" s="64" t="s">
        <v>1473</v>
      </c>
      <c r="B411" s="64" t="s">
        <v>1898</v>
      </c>
      <c r="C411" s="64" t="s">
        <v>16</v>
      </c>
      <c r="D411" s="64" t="s">
        <v>1474</v>
      </c>
      <c r="E411" s="64" t="s">
        <v>382</v>
      </c>
      <c r="F411" s="64" t="s">
        <v>9307</v>
      </c>
      <c r="G411" s="64" t="s">
        <v>1861</v>
      </c>
    </row>
    <row r="412" spans="1:7" x14ac:dyDescent="0.3">
      <c r="A412" s="64" t="s">
        <v>1473</v>
      </c>
      <c r="B412" s="64" t="s">
        <v>1898</v>
      </c>
      <c r="C412" s="64" t="s">
        <v>16</v>
      </c>
      <c r="D412" s="64" t="s">
        <v>1474</v>
      </c>
      <c r="E412" s="64" t="s">
        <v>370</v>
      </c>
      <c r="F412" s="64" t="s">
        <v>9307</v>
      </c>
      <c r="G412" s="64" t="s">
        <v>1862</v>
      </c>
    </row>
    <row r="413" spans="1:7" x14ac:dyDescent="0.3">
      <c r="A413" s="64" t="s">
        <v>1473</v>
      </c>
      <c r="B413" s="64" t="s">
        <v>1898</v>
      </c>
      <c r="C413" s="64" t="s">
        <v>16</v>
      </c>
      <c r="D413" s="64" t="s">
        <v>1474</v>
      </c>
      <c r="E413" s="64" t="s">
        <v>378</v>
      </c>
      <c r="F413" s="64" t="s">
        <v>9307</v>
      </c>
      <c r="G413" s="64" t="s">
        <v>1863</v>
      </c>
    </row>
    <row r="414" spans="1:7" x14ac:dyDescent="0.3">
      <c r="A414" s="64" t="s">
        <v>1473</v>
      </c>
      <c r="B414" s="64" t="s">
        <v>1898</v>
      </c>
      <c r="C414" s="64" t="s">
        <v>16</v>
      </c>
      <c r="D414" s="64" t="s">
        <v>1474</v>
      </c>
      <c r="E414" s="64" t="s">
        <v>371</v>
      </c>
      <c r="F414" s="64" t="s">
        <v>9307</v>
      </c>
      <c r="G414" s="64" t="s">
        <v>1864</v>
      </c>
    </row>
    <row r="415" spans="1:7" x14ac:dyDescent="0.3">
      <c r="A415" s="64" t="s">
        <v>1473</v>
      </c>
      <c r="B415" s="64" t="s">
        <v>1898</v>
      </c>
      <c r="C415" s="64" t="s">
        <v>16</v>
      </c>
      <c r="D415" s="64" t="s">
        <v>1474</v>
      </c>
      <c r="E415" s="64" t="s">
        <v>376</v>
      </c>
      <c r="F415" s="64" t="s">
        <v>9307</v>
      </c>
      <c r="G415" s="64" t="s">
        <v>1865</v>
      </c>
    </row>
    <row r="416" spans="1:7" x14ac:dyDescent="0.3">
      <c r="A416" s="64" t="s">
        <v>1473</v>
      </c>
      <c r="B416" s="64" t="s">
        <v>1898</v>
      </c>
      <c r="C416" s="64" t="s">
        <v>16</v>
      </c>
      <c r="D416" s="64" t="s">
        <v>1474</v>
      </c>
      <c r="E416" s="64" t="s">
        <v>377</v>
      </c>
      <c r="F416" s="64" t="s">
        <v>9307</v>
      </c>
      <c r="G416" s="64" t="s">
        <v>1866</v>
      </c>
    </row>
    <row r="417" spans="1:7" x14ac:dyDescent="0.3">
      <c r="A417" s="64" t="s">
        <v>1473</v>
      </c>
      <c r="B417" s="64" t="s">
        <v>1898</v>
      </c>
      <c r="C417" s="64" t="s">
        <v>16</v>
      </c>
      <c r="D417" s="64" t="s">
        <v>1474</v>
      </c>
      <c r="E417" s="64" t="s">
        <v>381</v>
      </c>
      <c r="F417" s="64" t="s">
        <v>9307</v>
      </c>
      <c r="G417" s="64" t="s">
        <v>1867</v>
      </c>
    </row>
    <row r="418" spans="1:7" x14ac:dyDescent="0.3">
      <c r="A418" s="64" t="s">
        <v>1473</v>
      </c>
      <c r="B418" s="64" t="s">
        <v>1898</v>
      </c>
      <c r="C418" s="64" t="s">
        <v>16</v>
      </c>
      <c r="D418" s="64" t="s">
        <v>1474</v>
      </c>
      <c r="E418" s="64" t="s">
        <v>379</v>
      </c>
      <c r="F418" s="64" t="s">
        <v>9307</v>
      </c>
      <c r="G418" s="64" t="s">
        <v>1868</v>
      </c>
    </row>
    <row r="419" spans="1:7" x14ac:dyDescent="0.3">
      <c r="A419" s="64" t="s">
        <v>1473</v>
      </c>
      <c r="B419" s="64" t="s">
        <v>1898</v>
      </c>
      <c r="C419" s="64" t="s">
        <v>16</v>
      </c>
      <c r="D419" s="64" t="s">
        <v>1474</v>
      </c>
      <c r="E419" s="64" t="s">
        <v>374</v>
      </c>
      <c r="F419" s="64" t="s">
        <v>9307</v>
      </c>
      <c r="G419" s="64" t="s">
        <v>1869</v>
      </c>
    </row>
    <row r="420" spans="1:7" x14ac:dyDescent="0.3">
      <c r="A420" s="64" t="s">
        <v>1473</v>
      </c>
      <c r="B420" s="64" t="s">
        <v>1898</v>
      </c>
      <c r="C420" s="64" t="s">
        <v>16</v>
      </c>
      <c r="D420" s="64" t="s">
        <v>1474</v>
      </c>
      <c r="E420" s="64" t="s">
        <v>383</v>
      </c>
      <c r="F420" s="64" t="s">
        <v>9307</v>
      </c>
      <c r="G420" s="64" t="s">
        <v>1870</v>
      </c>
    </row>
    <row r="421" spans="1:7" x14ac:dyDescent="0.3">
      <c r="A421" s="64" t="s">
        <v>1473</v>
      </c>
      <c r="B421" s="64" t="s">
        <v>1898</v>
      </c>
      <c r="C421" s="64" t="s">
        <v>16</v>
      </c>
      <c r="D421" s="64" t="s">
        <v>1474</v>
      </c>
      <c r="E421" s="64" t="s">
        <v>373</v>
      </c>
      <c r="F421" s="64" t="s">
        <v>9307</v>
      </c>
      <c r="G421" s="64" t="s">
        <v>1871</v>
      </c>
    </row>
    <row r="422" spans="1:7" x14ac:dyDescent="0.3">
      <c r="A422" s="64" t="s">
        <v>1473</v>
      </c>
      <c r="B422" s="64" t="s">
        <v>1898</v>
      </c>
      <c r="C422" s="64" t="s">
        <v>16</v>
      </c>
      <c r="D422" s="64" t="s">
        <v>1474</v>
      </c>
      <c r="E422" s="64" t="s">
        <v>368</v>
      </c>
      <c r="F422" s="64" t="s">
        <v>9307</v>
      </c>
      <c r="G422" s="64" t="s">
        <v>1872</v>
      </c>
    </row>
    <row r="423" spans="1:7" x14ac:dyDescent="0.3">
      <c r="A423" s="64" t="s">
        <v>1473</v>
      </c>
      <c r="B423" s="64" t="s">
        <v>1898</v>
      </c>
      <c r="C423" s="64" t="s">
        <v>16</v>
      </c>
      <c r="D423" s="64" t="s">
        <v>1474</v>
      </c>
      <c r="E423" s="64" t="s">
        <v>372</v>
      </c>
      <c r="F423" s="64" t="s">
        <v>9307</v>
      </c>
      <c r="G423" s="64" t="s">
        <v>1873</v>
      </c>
    </row>
    <row r="424" spans="1:7" x14ac:dyDescent="0.3">
      <c r="A424" s="64" t="s">
        <v>1473</v>
      </c>
      <c r="B424" s="64" t="s">
        <v>1898</v>
      </c>
      <c r="C424" s="64" t="s">
        <v>16</v>
      </c>
      <c r="D424" s="64" t="s">
        <v>1474</v>
      </c>
      <c r="E424" s="64" t="s">
        <v>375</v>
      </c>
      <c r="F424" s="64" t="s">
        <v>9307</v>
      </c>
      <c r="G424" s="64" t="s">
        <v>1874</v>
      </c>
    </row>
    <row r="425" spans="1:7" x14ac:dyDescent="0.3">
      <c r="A425" s="64" t="s">
        <v>1473</v>
      </c>
      <c r="B425" s="64" t="s">
        <v>1898</v>
      </c>
      <c r="C425" s="64" t="s">
        <v>16</v>
      </c>
      <c r="D425" s="64" t="s">
        <v>1474</v>
      </c>
      <c r="E425" s="64" t="s">
        <v>380</v>
      </c>
      <c r="F425" s="64" t="s">
        <v>9307</v>
      </c>
      <c r="G425" s="64" t="s">
        <v>1875</v>
      </c>
    </row>
    <row r="426" spans="1:7" x14ac:dyDescent="0.3">
      <c r="A426" s="64" t="s">
        <v>1473</v>
      </c>
      <c r="B426" s="64" t="s">
        <v>1898</v>
      </c>
      <c r="C426" s="64" t="s">
        <v>16</v>
      </c>
      <c r="D426" s="64" t="s">
        <v>1495</v>
      </c>
      <c r="E426" s="64" t="s">
        <v>369</v>
      </c>
      <c r="F426" s="64" t="s">
        <v>9307</v>
      </c>
      <c r="G426" s="64" t="s">
        <v>1844</v>
      </c>
    </row>
    <row r="427" spans="1:7" x14ac:dyDescent="0.3">
      <c r="A427" s="64" t="s">
        <v>1473</v>
      </c>
      <c r="B427" s="64" t="s">
        <v>1898</v>
      </c>
      <c r="C427" s="64" t="s">
        <v>16</v>
      </c>
      <c r="D427" s="64" t="s">
        <v>1495</v>
      </c>
      <c r="E427" s="64" t="s">
        <v>382</v>
      </c>
      <c r="F427" s="64" t="s">
        <v>9307</v>
      </c>
      <c r="G427" s="64" t="s">
        <v>1845</v>
      </c>
    </row>
    <row r="428" spans="1:7" x14ac:dyDescent="0.3">
      <c r="A428" s="64" t="s">
        <v>1473</v>
      </c>
      <c r="B428" s="64" t="s">
        <v>1898</v>
      </c>
      <c r="C428" s="64" t="s">
        <v>16</v>
      </c>
      <c r="D428" s="64" t="s">
        <v>1495</v>
      </c>
      <c r="E428" s="64" t="s">
        <v>370</v>
      </c>
      <c r="F428" s="64" t="s">
        <v>9307</v>
      </c>
      <c r="G428" s="64" t="s">
        <v>1846</v>
      </c>
    </row>
    <row r="429" spans="1:7" x14ac:dyDescent="0.3">
      <c r="A429" s="64" t="s">
        <v>1473</v>
      </c>
      <c r="B429" s="64" t="s">
        <v>1898</v>
      </c>
      <c r="C429" s="64" t="s">
        <v>16</v>
      </c>
      <c r="D429" s="64" t="s">
        <v>1495</v>
      </c>
      <c r="E429" s="64" t="s">
        <v>378</v>
      </c>
      <c r="F429" s="64" t="s">
        <v>9307</v>
      </c>
      <c r="G429" s="64" t="s">
        <v>1847</v>
      </c>
    </row>
    <row r="430" spans="1:7" x14ac:dyDescent="0.3">
      <c r="A430" s="64" t="s">
        <v>1473</v>
      </c>
      <c r="B430" s="64" t="s">
        <v>1898</v>
      </c>
      <c r="C430" s="64" t="s">
        <v>16</v>
      </c>
      <c r="D430" s="64" t="s">
        <v>1495</v>
      </c>
      <c r="E430" s="64" t="s">
        <v>371</v>
      </c>
      <c r="F430" s="64" t="s">
        <v>9307</v>
      </c>
      <c r="G430" s="64" t="s">
        <v>1848</v>
      </c>
    </row>
    <row r="431" spans="1:7" x14ac:dyDescent="0.3">
      <c r="A431" s="64" t="s">
        <v>1473</v>
      </c>
      <c r="B431" s="64" t="s">
        <v>1898</v>
      </c>
      <c r="C431" s="64" t="s">
        <v>16</v>
      </c>
      <c r="D431" s="64" t="s">
        <v>1495</v>
      </c>
      <c r="E431" s="64" t="s">
        <v>376</v>
      </c>
      <c r="F431" s="64" t="s">
        <v>9307</v>
      </c>
      <c r="G431" s="64" t="s">
        <v>1849</v>
      </c>
    </row>
    <row r="432" spans="1:7" x14ac:dyDescent="0.3">
      <c r="A432" s="64" t="s">
        <v>1473</v>
      </c>
      <c r="B432" s="64" t="s">
        <v>1898</v>
      </c>
      <c r="C432" s="64" t="s">
        <v>16</v>
      </c>
      <c r="D432" s="64" t="s">
        <v>1495</v>
      </c>
      <c r="E432" s="64" t="s">
        <v>377</v>
      </c>
      <c r="F432" s="64" t="s">
        <v>9307</v>
      </c>
      <c r="G432" s="64" t="s">
        <v>1850</v>
      </c>
    </row>
    <row r="433" spans="1:7" x14ac:dyDescent="0.3">
      <c r="A433" s="64" t="s">
        <v>1473</v>
      </c>
      <c r="B433" s="64" t="s">
        <v>1898</v>
      </c>
      <c r="C433" s="64" t="s">
        <v>16</v>
      </c>
      <c r="D433" s="64" t="s">
        <v>1495</v>
      </c>
      <c r="E433" s="64" t="s">
        <v>381</v>
      </c>
      <c r="F433" s="64" t="s">
        <v>9307</v>
      </c>
      <c r="G433" s="64" t="s">
        <v>1851</v>
      </c>
    </row>
    <row r="434" spans="1:7" x14ac:dyDescent="0.3">
      <c r="A434" s="64" t="s">
        <v>1473</v>
      </c>
      <c r="B434" s="64" t="s">
        <v>1898</v>
      </c>
      <c r="C434" s="64" t="s">
        <v>16</v>
      </c>
      <c r="D434" s="64" t="s">
        <v>1495</v>
      </c>
      <c r="E434" s="64" t="s">
        <v>379</v>
      </c>
      <c r="F434" s="64" t="s">
        <v>9307</v>
      </c>
      <c r="G434" s="64" t="s">
        <v>1852</v>
      </c>
    </row>
    <row r="435" spans="1:7" x14ac:dyDescent="0.3">
      <c r="A435" s="64" t="s">
        <v>1473</v>
      </c>
      <c r="B435" s="64" t="s">
        <v>1898</v>
      </c>
      <c r="C435" s="64" t="s">
        <v>16</v>
      </c>
      <c r="D435" s="64" t="s">
        <v>1495</v>
      </c>
      <c r="E435" s="64" t="s">
        <v>374</v>
      </c>
      <c r="F435" s="64" t="s">
        <v>9307</v>
      </c>
      <c r="G435" s="64" t="s">
        <v>1853</v>
      </c>
    </row>
    <row r="436" spans="1:7" x14ac:dyDescent="0.3">
      <c r="A436" s="64" t="s">
        <v>1473</v>
      </c>
      <c r="B436" s="64" t="s">
        <v>1898</v>
      </c>
      <c r="C436" s="64" t="s">
        <v>16</v>
      </c>
      <c r="D436" s="64" t="s">
        <v>1495</v>
      </c>
      <c r="E436" s="64" t="s">
        <v>383</v>
      </c>
      <c r="F436" s="64" t="s">
        <v>9307</v>
      </c>
      <c r="G436" s="64" t="s">
        <v>1854</v>
      </c>
    </row>
    <row r="437" spans="1:7" x14ac:dyDescent="0.3">
      <c r="A437" s="64" t="s">
        <v>1473</v>
      </c>
      <c r="B437" s="64" t="s">
        <v>1898</v>
      </c>
      <c r="C437" s="64" t="s">
        <v>16</v>
      </c>
      <c r="D437" s="64" t="s">
        <v>1495</v>
      </c>
      <c r="E437" s="64" t="s">
        <v>373</v>
      </c>
      <c r="F437" s="64" t="s">
        <v>9307</v>
      </c>
      <c r="G437" s="64" t="s">
        <v>1855</v>
      </c>
    </row>
    <row r="438" spans="1:7" x14ac:dyDescent="0.3">
      <c r="A438" s="64" t="s">
        <v>1473</v>
      </c>
      <c r="B438" s="64" t="s">
        <v>1898</v>
      </c>
      <c r="C438" s="64" t="s">
        <v>16</v>
      </c>
      <c r="D438" s="64" t="s">
        <v>1495</v>
      </c>
      <c r="E438" s="64" t="s">
        <v>368</v>
      </c>
      <c r="F438" s="64" t="s">
        <v>9307</v>
      </c>
      <c r="G438" s="64" t="s">
        <v>1856</v>
      </c>
    </row>
    <row r="439" spans="1:7" x14ac:dyDescent="0.3">
      <c r="A439" s="64" t="s">
        <v>1473</v>
      </c>
      <c r="B439" s="64" t="s">
        <v>1898</v>
      </c>
      <c r="C439" s="64" t="s">
        <v>16</v>
      </c>
      <c r="D439" s="64" t="s">
        <v>1495</v>
      </c>
      <c r="E439" s="64" t="s">
        <v>372</v>
      </c>
      <c r="F439" s="64" t="s">
        <v>9307</v>
      </c>
      <c r="G439" s="64" t="s">
        <v>1857</v>
      </c>
    </row>
    <row r="440" spans="1:7" x14ac:dyDescent="0.3">
      <c r="A440" s="64" t="s">
        <v>1473</v>
      </c>
      <c r="B440" s="64" t="s">
        <v>1898</v>
      </c>
      <c r="C440" s="64" t="s">
        <v>16</v>
      </c>
      <c r="D440" s="64" t="s">
        <v>1495</v>
      </c>
      <c r="E440" s="64" t="s">
        <v>375</v>
      </c>
      <c r="F440" s="64" t="s">
        <v>9307</v>
      </c>
      <c r="G440" s="64" t="s">
        <v>1858</v>
      </c>
    </row>
    <row r="441" spans="1:7" x14ac:dyDescent="0.3">
      <c r="A441" s="64" t="s">
        <v>1473</v>
      </c>
      <c r="B441" s="64" t="s">
        <v>1898</v>
      </c>
      <c r="C441" s="64" t="s">
        <v>16</v>
      </c>
      <c r="D441" s="64" t="s">
        <v>1495</v>
      </c>
      <c r="E441" s="64" t="s">
        <v>380</v>
      </c>
      <c r="F441" s="64" t="s">
        <v>9307</v>
      </c>
      <c r="G441" s="64" t="s">
        <v>1859</v>
      </c>
    </row>
    <row r="442" spans="1:7" x14ac:dyDescent="0.3">
      <c r="A442" s="64" t="s">
        <v>1504</v>
      </c>
      <c r="B442" s="64" t="s">
        <v>1500</v>
      </c>
      <c r="C442" s="64" t="s">
        <v>20</v>
      </c>
      <c r="D442" s="64" t="s">
        <v>956</v>
      </c>
      <c r="E442" s="64" t="s">
        <v>15</v>
      </c>
      <c r="F442" s="64" t="s">
        <v>1504</v>
      </c>
      <c r="G442" s="64" t="s">
        <v>957</v>
      </c>
    </row>
    <row r="443" spans="1:7" x14ac:dyDescent="0.3">
      <c r="A443" s="64" t="s">
        <v>1504</v>
      </c>
      <c r="B443" s="64" t="s">
        <v>1500</v>
      </c>
      <c r="C443" s="64" t="s">
        <v>16</v>
      </c>
      <c r="D443" s="64" t="s">
        <v>18</v>
      </c>
      <c r="E443" s="64" t="s">
        <v>369</v>
      </c>
      <c r="F443" s="64" t="s">
        <v>1504</v>
      </c>
      <c r="G443" s="64" t="s">
        <v>1844</v>
      </c>
    </row>
    <row r="444" spans="1:7" x14ac:dyDescent="0.3">
      <c r="A444" s="64" t="s">
        <v>1504</v>
      </c>
      <c r="B444" s="64" t="s">
        <v>1500</v>
      </c>
      <c r="C444" s="64" t="s">
        <v>16</v>
      </c>
      <c r="D444" s="64" t="s">
        <v>18</v>
      </c>
      <c r="E444" s="64" t="s">
        <v>382</v>
      </c>
      <c r="F444" s="64" t="s">
        <v>1504</v>
      </c>
      <c r="G444" s="64" t="s">
        <v>1845</v>
      </c>
    </row>
    <row r="445" spans="1:7" x14ac:dyDescent="0.3">
      <c r="A445" s="64" t="s">
        <v>1504</v>
      </c>
      <c r="B445" s="64" t="s">
        <v>1500</v>
      </c>
      <c r="C445" s="64" t="s">
        <v>16</v>
      </c>
      <c r="D445" s="64" t="s">
        <v>18</v>
      </c>
      <c r="E445" s="64" t="s">
        <v>370</v>
      </c>
      <c r="F445" s="64" t="s">
        <v>1504</v>
      </c>
      <c r="G445" s="64" t="s">
        <v>1846</v>
      </c>
    </row>
    <row r="446" spans="1:7" x14ac:dyDescent="0.3">
      <c r="A446" s="64" t="s">
        <v>1504</v>
      </c>
      <c r="B446" s="64" t="s">
        <v>1500</v>
      </c>
      <c r="C446" s="64" t="s">
        <v>16</v>
      </c>
      <c r="D446" s="64" t="s">
        <v>18</v>
      </c>
      <c r="E446" s="64" t="s">
        <v>378</v>
      </c>
      <c r="F446" s="64" t="s">
        <v>1504</v>
      </c>
      <c r="G446" s="64" t="s">
        <v>1847</v>
      </c>
    </row>
    <row r="447" spans="1:7" x14ac:dyDescent="0.3">
      <c r="A447" s="64" t="s">
        <v>1504</v>
      </c>
      <c r="B447" s="64" t="s">
        <v>1500</v>
      </c>
      <c r="C447" s="64" t="s">
        <v>16</v>
      </c>
      <c r="D447" s="64" t="s">
        <v>18</v>
      </c>
      <c r="E447" s="64" t="s">
        <v>371</v>
      </c>
      <c r="F447" s="64" t="s">
        <v>1504</v>
      </c>
      <c r="G447" s="64" t="s">
        <v>1848</v>
      </c>
    </row>
    <row r="448" spans="1:7" x14ac:dyDescent="0.3">
      <c r="A448" s="64" t="s">
        <v>1504</v>
      </c>
      <c r="B448" s="64" t="s">
        <v>1500</v>
      </c>
      <c r="C448" s="64" t="s">
        <v>16</v>
      </c>
      <c r="D448" s="64" t="s">
        <v>18</v>
      </c>
      <c r="E448" s="64" t="s">
        <v>376</v>
      </c>
      <c r="F448" s="64" t="s">
        <v>1504</v>
      </c>
      <c r="G448" s="64" t="s">
        <v>1849</v>
      </c>
    </row>
    <row r="449" spans="1:7" x14ac:dyDescent="0.3">
      <c r="A449" s="64" t="s">
        <v>1504</v>
      </c>
      <c r="B449" s="64" t="s">
        <v>1500</v>
      </c>
      <c r="C449" s="64" t="s">
        <v>16</v>
      </c>
      <c r="D449" s="64" t="s">
        <v>18</v>
      </c>
      <c r="E449" s="64" t="s">
        <v>377</v>
      </c>
      <c r="F449" s="64" t="s">
        <v>1504</v>
      </c>
      <c r="G449" s="64" t="s">
        <v>1850</v>
      </c>
    </row>
    <row r="450" spans="1:7" x14ac:dyDescent="0.3">
      <c r="A450" s="64" t="s">
        <v>1504</v>
      </c>
      <c r="B450" s="64" t="s">
        <v>1500</v>
      </c>
      <c r="C450" s="64" t="s">
        <v>16</v>
      </c>
      <c r="D450" s="64" t="s">
        <v>18</v>
      </c>
      <c r="E450" s="64" t="s">
        <v>381</v>
      </c>
      <c r="F450" s="64" t="s">
        <v>1504</v>
      </c>
      <c r="G450" s="64" t="s">
        <v>1851</v>
      </c>
    </row>
    <row r="451" spans="1:7" x14ac:dyDescent="0.3">
      <c r="A451" s="64" t="s">
        <v>1504</v>
      </c>
      <c r="B451" s="64" t="s">
        <v>1500</v>
      </c>
      <c r="C451" s="64" t="s">
        <v>16</v>
      </c>
      <c r="D451" s="64" t="s">
        <v>18</v>
      </c>
      <c r="E451" s="64" t="s">
        <v>379</v>
      </c>
      <c r="F451" s="64" t="s">
        <v>1504</v>
      </c>
      <c r="G451" s="64" t="s">
        <v>1852</v>
      </c>
    </row>
    <row r="452" spans="1:7" x14ac:dyDescent="0.3">
      <c r="A452" s="64" t="s">
        <v>1504</v>
      </c>
      <c r="B452" s="64" t="s">
        <v>1500</v>
      </c>
      <c r="C452" s="64" t="s">
        <v>16</v>
      </c>
      <c r="D452" s="64" t="s">
        <v>18</v>
      </c>
      <c r="E452" s="64" t="s">
        <v>374</v>
      </c>
      <c r="F452" s="64" t="s">
        <v>1504</v>
      </c>
      <c r="G452" s="64" t="s">
        <v>1853</v>
      </c>
    </row>
    <row r="453" spans="1:7" x14ac:dyDescent="0.3">
      <c r="A453" s="64" t="s">
        <v>1504</v>
      </c>
      <c r="B453" s="64" t="s">
        <v>1500</v>
      </c>
      <c r="C453" s="64" t="s">
        <v>16</v>
      </c>
      <c r="D453" s="64" t="s">
        <v>18</v>
      </c>
      <c r="E453" s="64" t="s">
        <v>383</v>
      </c>
      <c r="F453" s="64" t="s">
        <v>1504</v>
      </c>
      <c r="G453" s="64" t="s">
        <v>1854</v>
      </c>
    </row>
    <row r="454" spans="1:7" x14ac:dyDescent="0.3">
      <c r="A454" s="64" t="s">
        <v>1504</v>
      </c>
      <c r="B454" s="64" t="s">
        <v>1500</v>
      </c>
      <c r="C454" s="64" t="s">
        <v>16</v>
      </c>
      <c r="D454" s="64" t="s">
        <v>18</v>
      </c>
      <c r="E454" s="64" t="s">
        <v>373</v>
      </c>
      <c r="F454" s="64" t="s">
        <v>1504</v>
      </c>
      <c r="G454" s="64" t="s">
        <v>1855</v>
      </c>
    </row>
    <row r="455" spans="1:7" x14ac:dyDescent="0.3">
      <c r="A455" s="64" t="s">
        <v>1504</v>
      </c>
      <c r="B455" s="64" t="s">
        <v>1500</v>
      </c>
      <c r="C455" s="64" t="s">
        <v>16</v>
      </c>
      <c r="D455" s="64" t="s">
        <v>18</v>
      </c>
      <c r="E455" s="64" t="s">
        <v>368</v>
      </c>
      <c r="F455" s="64" t="s">
        <v>1504</v>
      </c>
      <c r="G455" s="64" t="s">
        <v>1856</v>
      </c>
    </row>
    <row r="456" spans="1:7" x14ac:dyDescent="0.3">
      <c r="A456" s="64" t="s">
        <v>1504</v>
      </c>
      <c r="B456" s="64" t="s">
        <v>1500</v>
      </c>
      <c r="C456" s="64" t="s">
        <v>16</v>
      </c>
      <c r="D456" s="64" t="s">
        <v>18</v>
      </c>
      <c r="E456" s="64" t="s">
        <v>372</v>
      </c>
      <c r="F456" s="64" t="s">
        <v>1504</v>
      </c>
      <c r="G456" s="64" t="s">
        <v>1857</v>
      </c>
    </row>
    <row r="457" spans="1:7" x14ac:dyDescent="0.3">
      <c r="A457" s="64" t="s">
        <v>1504</v>
      </c>
      <c r="B457" s="64" t="s">
        <v>1500</v>
      </c>
      <c r="C457" s="64" t="s">
        <v>16</v>
      </c>
      <c r="D457" s="64" t="s">
        <v>18</v>
      </c>
      <c r="E457" s="64" t="s">
        <v>375</v>
      </c>
      <c r="F457" s="64" t="s">
        <v>1504</v>
      </c>
      <c r="G457" s="64" t="s">
        <v>1858</v>
      </c>
    </row>
    <row r="458" spans="1:7" x14ac:dyDescent="0.3">
      <c r="A458" s="64" t="s">
        <v>1504</v>
      </c>
      <c r="B458" s="64" t="s">
        <v>1500</v>
      </c>
      <c r="C458" s="64" t="s">
        <v>16</v>
      </c>
      <c r="D458" s="64" t="s">
        <v>18</v>
      </c>
      <c r="E458" s="64" t="s">
        <v>380</v>
      </c>
      <c r="F458" s="64" t="s">
        <v>1504</v>
      </c>
      <c r="G458" s="64" t="s">
        <v>1859</v>
      </c>
    </row>
    <row r="459" spans="1:7" x14ac:dyDescent="0.3">
      <c r="A459" s="64" t="s">
        <v>1505</v>
      </c>
      <c r="B459" s="64" t="s">
        <v>1500</v>
      </c>
      <c r="C459" s="64" t="s">
        <v>20</v>
      </c>
      <c r="D459" s="64" t="s">
        <v>956</v>
      </c>
      <c r="E459" s="64" t="s">
        <v>15</v>
      </c>
      <c r="F459" s="64" t="s">
        <v>9265</v>
      </c>
      <c r="G459" s="64" t="s">
        <v>957</v>
      </c>
    </row>
    <row r="460" spans="1:7" x14ac:dyDescent="0.3">
      <c r="A460" s="64" t="s">
        <v>1505</v>
      </c>
      <c r="B460" s="64" t="s">
        <v>1500</v>
      </c>
      <c r="C460" s="64" t="s">
        <v>16</v>
      </c>
      <c r="D460" s="64" t="s">
        <v>18</v>
      </c>
      <c r="E460" s="64" t="s">
        <v>369</v>
      </c>
      <c r="F460" s="64" t="s">
        <v>9265</v>
      </c>
      <c r="G460" s="64" t="s">
        <v>1844</v>
      </c>
    </row>
    <row r="461" spans="1:7" x14ac:dyDescent="0.3">
      <c r="A461" s="64" t="s">
        <v>1505</v>
      </c>
      <c r="B461" s="64" t="s">
        <v>1500</v>
      </c>
      <c r="C461" s="64" t="s">
        <v>16</v>
      </c>
      <c r="D461" s="64" t="s">
        <v>18</v>
      </c>
      <c r="E461" s="64" t="s">
        <v>382</v>
      </c>
      <c r="F461" s="64" t="s">
        <v>9265</v>
      </c>
      <c r="G461" s="64" t="s">
        <v>1845</v>
      </c>
    </row>
    <row r="462" spans="1:7" x14ac:dyDescent="0.3">
      <c r="A462" s="64" t="s">
        <v>1505</v>
      </c>
      <c r="B462" s="64" t="s">
        <v>1500</v>
      </c>
      <c r="C462" s="64" t="s">
        <v>16</v>
      </c>
      <c r="D462" s="64" t="s">
        <v>18</v>
      </c>
      <c r="E462" s="64" t="s">
        <v>370</v>
      </c>
      <c r="F462" s="64" t="s">
        <v>9265</v>
      </c>
      <c r="G462" s="64" t="s">
        <v>1846</v>
      </c>
    </row>
    <row r="463" spans="1:7" x14ac:dyDescent="0.3">
      <c r="A463" s="64" t="s">
        <v>1505</v>
      </c>
      <c r="B463" s="64" t="s">
        <v>1500</v>
      </c>
      <c r="C463" s="64" t="s">
        <v>16</v>
      </c>
      <c r="D463" s="64" t="s">
        <v>18</v>
      </c>
      <c r="E463" s="64" t="s">
        <v>378</v>
      </c>
      <c r="F463" s="64" t="s">
        <v>9265</v>
      </c>
      <c r="G463" s="64" t="s">
        <v>1847</v>
      </c>
    </row>
    <row r="464" spans="1:7" x14ac:dyDescent="0.3">
      <c r="A464" s="64" t="s">
        <v>1505</v>
      </c>
      <c r="B464" s="64" t="s">
        <v>1500</v>
      </c>
      <c r="C464" s="64" t="s">
        <v>16</v>
      </c>
      <c r="D464" s="64" t="s">
        <v>18</v>
      </c>
      <c r="E464" s="64" t="s">
        <v>371</v>
      </c>
      <c r="F464" s="64" t="s">
        <v>9265</v>
      </c>
      <c r="G464" s="64" t="s">
        <v>1848</v>
      </c>
    </row>
    <row r="465" spans="1:7" x14ac:dyDescent="0.3">
      <c r="A465" s="64" t="s">
        <v>1505</v>
      </c>
      <c r="B465" s="64" t="s">
        <v>1500</v>
      </c>
      <c r="C465" s="64" t="s">
        <v>16</v>
      </c>
      <c r="D465" s="64" t="s">
        <v>18</v>
      </c>
      <c r="E465" s="64" t="s">
        <v>376</v>
      </c>
      <c r="F465" s="64" t="s">
        <v>9265</v>
      </c>
      <c r="G465" s="64" t="s">
        <v>1849</v>
      </c>
    </row>
    <row r="466" spans="1:7" x14ac:dyDescent="0.3">
      <c r="A466" s="64" t="s">
        <v>1505</v>
      </c>
      <c r="B466" s="64" t="s">
        <v>1500</v>
      </c>
      <c r="C466" s="64" t="s">
        <v>16</v>
      </c>
      <c r="D466" s="64" t="s">
        <v>18</v>
      </c>
      <c r="E466" s="64" t="s">
        <v>377</v>
      </c>
      <c r="F466" s="64" t="s">
        <v>9265</v>
      </c>
      <c r="G466" s="64" t="s">
        <v>1850</v>
      </c>
    </row>
    <row r="467" spans="1:7" x14ac:dyDescent="0.3">
      <c r="A467" s="64" t="s">
        <v>1505</v>
      </c>
      <c r="B467" s="64" t="s">
        <v>1500</v>
      </c>
      <c r="C467" s="64" t="s">
        <v>16</v>
      </c>
      <c r="D467" s="64" t="s">
        <v>18</v>
      </c>
      <c r="E467" s="64" t="s">
        <v>381</v>
      </c>
      <c r="F467" s="64" t="s">
        <v>9265</v>
      </c>
      <c r="G467" s="64" t="s">
        <v>1851</v>
      </c>
    </row>
    <row r="468" spans="1:7" x14ac:dyDescent="0.3">
      <c r="A468" s="64" t="s">
        <v>1505</v>
      </c>
      <c r="B468" s="64" t="s">
        <v>1500</v>
      </c>
      <c r="C468" s="64" t="s">
        <v>16</v>
      </c>
      <c r="D468" s="64" t="s">
        <v>18</v>
      </c>
      <c r="E468" s="64" t="s">
        <v>379</v>
      </c>
      <c r="F468" s="64" t="s">
        <v>9265</v>
      </c>
      <c r="G468" s="64" t="s">
        <v>1852</v>
      </c>
    </row>
    <row r="469" spans="1:7" x14ac:dyDescent="0.3">
      <c r="A469" s="64" t="s">
        <v>1505</v>
      </c>
      <c r="B469" s="64" t="s">
        <v>1500</v>
      </c>
      <c r="C469" s="64" t="s">
        <v>16</v>
      </c>
      <c r="D469" s="64" t="s">
        <v>18</v>
      </c>
      <c r="E469" s="64" t="s">
        <v>374</v>
      </c>
      <c r="F469" s="64" t="s">
        <v>9265</v>
      </c>
      <c r="G469" s="64" t="s">
        <v>1853</v>
      </c>
    </row>
    <row r="470" spans="1:7" x14ac:dyDescent="0.3">
      <c r="A470" s="64" t="s">
        <v>1505</v>
      </c>
      <c r="B470" s="64" t="s">
        <v>1500</v>
      </c>
      <c r="C470" s="64" t="s">
        <v>16</v>
      </c>
      <c r="D470" s="64" t="s">
        <v>18</v>
      </c>
      <c r="E470" s="64" t="s">
        <v>383</v>
      </c>
      <c r="F470" s="64" t="s">
        <v>9265</v>
      </c>
      <c r="G470" s="64" t="s">
        <v>1854</v>
      </c>
    </row>
    <row r="471" spans="1:7" x14ac:dyDescent="0.3">
      <c r="A471" s="64" t="s">
        <v>1505</v>
      </c>
      <c r="B471" s="64" t="s">
        <v>1500</v>
      </c>
      <c r="C471" s="64" t="s">
        <v>16</v>
      </c>
      <c r="D471" s="64" t="s">
        <v>18</v>
      </c>
      <c r="E471" s="64" t="s">
        <v>373</v>
      </c>
      <c r="F471" s="64" t="s">
        <v>9265</v>
      </c>
      <c r="G471" s="64" t="s">
        <v>1855</v>
      </c>
    </row>
    <row r="472" spans="1:7" x14ac:dyDescent="0.3">
      <c r="A472" s="64" t="s">
        <v>1505</v>
      </c>
      <c r="B472" s="64" t="s">
        <v>1500</v>
      </c>
      <c r="C472" s="64" t="s">
        <v>16</v>
      </c>
      <c r="D472" s="64" t="s">
        <v>18</v>
      </c>
      <c r="E472" s="64" t="s">
        <v>368</v>
      </c>
      <c r="F472" s="64" t="s">
        <v>9265</v>
      </c>
      <c r="G472" s="64" t="s">
        <v>1856</v>
      </c>
    </row>
    <row r="473" spans="1:7" x14ac:dyDescent="0.3">
      <c r="A473" s="64" t="s">
        <v>1505</v>
      </c>
      <c r="B473" s="64" t="s">
        <v>1500</v>
      </c>
      <c r="C473" s="64" t="s">
        <v>16</v>
      </c>
      <c r="D473" s="64" t="s">
        <v>18</v>
      </c>
      <c r="E473" s="64" t="s">
        <v>372</v>
      </c>
      <c r="F473" s="64" t="s">
        <v>9265</v>
      </c>
      <c r="G473" s="64" t="s">
        <v>1857</v>
      </c>
    </row>
    <row r="474" spans="1:7" x14ac:dyDescent="0.3">
      <c r="A474" s="64" t="s">
        <v>1505</v>
      </c>
      <c r="B474" s="64" t="s">
        <v>1500</v>
      </c>
      <c r="C474" s="64" t="s">
        <v>16</v>
      </c>
      <c r="D474" s="64" t="s">
        <v>18</v>
      </c>
      <c r="E474" s="64" t="s">
        <v>375</v>
      </c>
      <c r="F474" s="64" t="s">
        <v>9265</v>
      </c>
      <c r="G474" s="64" t="s">
        <v>1858</v>
      </c>
    </row>
    <row r="475" spans="1:7" x14ac:dyDescent="0.3">
      <c r="A475" s="64" t="s">
        <v>1505</v>
      </c>
      <c r="B475" s="64" t="s">
        <v>1500</v>
      </c>
      <c r="C475" s="64" t="s">
        <v>16</v>
      </c>
      <c r="D475" s="64" t="s">
        <v>18</v>
      </c>
      <c r="E475" s="64" t="s">
        <v>380</v>
      </c>
      <c r="F475" s="64" t="s">
        <v>9265</v>
      </c>
      <c r="G475" s="64" t="s">
        <v>1859</v>
      </c>
    </row>
    <row r="476" spans="1:7" x14ac:dyDescent="0.3">
      <c r="A476" s="64" t="s">
        <v>1508</v>
      </c>
      <c r="B476" s="64" t="s">
        <v>1470</v>
      </c>
      <c r="C476" s="64" t="s">
        <v>20</v>
      </c>
      <c r="D476" s="64" t="s">
        <v>956</v>
      </c>
      <c r="E476" s="64" t="s">
        <v>15</v>
      </c>
      <c r="F476" s="64" t="s">
        <v>1508</v>
      </c>
      <c r="G476" s="64" t="s">
        <v>957</v>
      </c>
    </row>
    <row r="477" spans="1:7" x14ac:dyDescent="0.3">
      <c r="A477" s="64" t="s">
        <v>1508</v>
      </c>
      <c r="B477" s="64" t="s">
        <v>1470</v>
      </c>
      <c r="C477" s="64" t="s">
        <v>16</v>
      </c>
      <c r="D477" s="64" t="s">
        <v>18</v>
      </c>
      <c r="E477" s="64" t="s">
        <v>369</v>
      </c>
      <c r="F477" s="64" t="s">
        <v>1508</v>
      </c>
      <c r="G477" s="64" t="s">
        <v>1844</v>
      </c>
    </row>
    <row r="478" spans="1:7" x14ac:dyDescent="0.3">
      <c r="A478" s="64" t="s">
        <v>1508</v>
      </c>
      <c r="B478" s="64" t="s">
        <v>1470</v>
      </c>
      <c r="C478" s="64" t="s">
        <v>16</v>
      </c>
      <c r="D478" s="64" t="s">
        <v>18</v>
      </c>
      <c r="E478" s="64" t="s">
        <v>382</v>
      </c>
      <c r="F478" s="64" t="s">
        <v>1508</v>
      </c>
      <c r="G478" s="64" t="s">
        <v>1845</v>
      </c>
    </row>
    <row r="479" spans="1:7" x14ac:dyDescent="0.3">
      <c r="A479" s="64" t="s">
        <v>1508</v>
      </c>
      <c r="B479" s="64" t="s">
        <v>1470</v>
      </c>
      <c r="C479" s="64" t="s">
        <v>16</v>
      </c>
      <c r="D479" s="64" t="s">
        <v>18</v>
      </c>
      <c r="E479" s="64" t="s">
        <v>370</v>
      </c>
      <c r="F479" s="64" t="s">
        <v>1508</v>
      </c>
      <c r="G479" s="64" t="s">
        <v>1846</v>
      </c>
    </row>
    <row r="480" spans="1:7" x14ac:dyDescent="0.3">
      <c r="A480" s="64" t="s">
        <v>1508</v>
      </c>
      <c r="B480" s="64" t="s">
        <v>1470</v>
      </c>
      <c r="C480" s="64" t="s">
        <v>16</v>
      </c>
      <c r="D480" s="64" t="s">
        <v>18</v>
      </c>
      <c r="E480" s="64" t="s">
        <v>378</v>
      </c>
      <c r="F480" s="64" t="s">
        <v>1508</v>
      </c>
      <c r="G480" s="64" t="s">
        <v>1847</v>
      </c>
    </row>
    <row r="481" spans="1:7" x14ac:dyDescent="0.3">
      <c r="A481" s="64" t="s">
        <v>1508</v>
      </c>
      <c r="B481" s="64" t="s">
        <v>1470</v>
      </c>
      <c r="C481" s="64" t="s">
        <v>16</v>
      </c>
      <c r="D481" s="64" t="s">
        <v>18</v>
      </c>
      <c r="E481" s="64" t="s">
        <v>371</v>
      </c>
      <c r="F481" s="64" t="s">
        <v>1508</v>
      </c>
      <c r="G481" s="64" t="s">
        <v>1848</v>
      </c>
    </row>
    <row r="482" spans="1:7" x14ac:dyDescent="0.3">
      <c r="A482" s="64" t="s">
        <v>1508</v>
      </c>
      <c r="B482" s="64" t="s">
        <v>1470</v>
      </c>
      <c r="C482" s="64" t="s">
        <v>16</v>
      </c>
      <c r="D482" s="64" t="s">
        <v>18</v>
      </c>
      <c r="E482" s="64" t="s">
        <v>376</v>
      </c>
      <c r="F482" s="64" t="s">
        <v>1508</v>
      </c>
      <c r="G482" s="64" t="s">
        <v>1849</v>
      </c>
    </row>
    <row r="483" spans="1:7" x14ac:dyDescent="0.3">
      <c r="A483" s="64" t="s">
        <v>1508</v>
      </c>
      <c r="B483" s="64" t="s">
        <v>1470</v>
      </c>
      <c r="C483" s="64" t="s">
        <v>16</v>
      </c>
      <c r="D483" s="64" t="s">
        <v>18</v>
      </c>
      <c r="E483" s="64" t="s">
        <v>377</v>
      </c>
      <c r="F483" s="64" t="s">
        <v>1508</v>
      </c>
      <c r="G483" s="64" t="s">
        <v>1850</v>
      </c>
    </row>
    <row r="484" spans="1:7" x14ac:dyDescent="0.3">
      <c r="A484" s="64" t="s">
        <v>1508</v>
      </c>
      <c r="B484" s="64" t="s">
        <v>1470</v>
      </c>
      <c r="C484" s="64" t="s">
        <v>16</v>
      </c>
      <c r="D484" s="64" t="s">
        <v>18</v>
      </c>
      <c r="E484" s="64" t="s">
        <v>381</v>
      </c>
      <c r="F484" s="64" t="s">
        <v>1508</v>
      </c>
      <c r="G484" s="64" t="s">
        <v>1851</v>
      </c>
    </row>
    <row r="485" spans="1:7" x14ac:dyDescent="0.3">
      <c r="A485" s="64" t="s">
        <v>1508</v>
      </c>
      <c r="B485" s="64" t="s">
        <v>1470</v>
      </c>
      <c r="C485" s="64" t="s">
        <v>16</v>
      </c>
      <c r="D485" s="64" t="s">
        <v>18</v>
      </c>
      <c r="E485" s="64" t="s">
        <v>379</v>
      </c>
      <c r="F485" s="64" t="s">
        <v>1508</v>
      </c>
      <c r="G485" s="64" t="s">
        <v>1852</v>
      </c>
    </row>
    <row r="486" spans="1:7" x14ac:dyDescent="0.3">
      <c r="A486" s="64" t="s">
        <v>1508</v>
      </c>
      <c r="B486" s="64" t="s">
        <v>1470</v>
      </c>
      <c r="C486" s="64" t="s">
        <v>16</v>
      </c>
      <c r="D486" s="64" t="s">
        <v>18</v>
      </c>
      <c r="E486" s="64" t="s">
        <v>374</v>
      </c>
      <c r="F486" s="64" t="s">
        <v>1508</v>
      </c>
      <c r="G486" s="64" t="s">
        <v>1853</v>
      </c>
    </row>
    <row r="487" spans="1:7" x14ac:dyDescent="0.3">
      <c r="A487" s="64" t="s">
        <v>1508</v>
      </c>
      <c r="B487" s="64" t="s">
        <v>1470</v>
      </c>
      <c r="C487" s="64" t="s">
        <v>16</v>
      </c>
      <c r="D487" s="64" t="s">
        <v>18</v>
      </c>
      <c r="E487" s="64" t="s">
        <v>383</v>
      </c>
      <c r="F487" s="64" t="s">
        <v>1508</v>
      </c>
      <c r="G487" s="64" t="s">
        <v>1854</v>
      </c>
    </row>
    <row r="488" spans="1:7" x14ac:dyDescent="0.3">
      <c r="A488" s="64" t="s">
        <v>1508</v>
      </c>
      <c r="B488" s="64" t="s">
        <v>1470</v>
      </c>
      <c r="C488" s="64" t="s">
        <v>16</v>
      </c>
      <c r="D488" s="64" t="s">
        <v>18</v>
      </c>
      <c r="E488" s="64" t="s">
        <v>373</v>
      </c>
      <c r="F488" s="64" t="s">
        <v>1508</v>
      </c>
      <c r="G488" s="64" t="s">
        <v>1855</v>
      </c>
    </row>
    <row r="489" spans="1:7" x14ac:dyDescent="0.3">
      <c r="A489" s="64" t="s">
        <v>1508</v>
      </c>
      <c r="B489" s="64" t="s">
        <v>1470</v>
      </c>
      <c r="C489" s="64" t="s">
        <v>16</v>
      </c>
      <c r="D489" s="64" t="s">
        <v>18</v>
      </c>
      <c r="E489" s="64" t="s">
        <v>368</v>
      </c>
      <c r="F489" s="64" t="s">
        <v>1508</v>
      </c>
      <c r="G489" s="64" t="s">
        <v>1856</v>
      </c>
    </row>
    <row r="490" spans="1:7" x14ac:dyDescent="0.3">
      <c r="A490" s="64" t="s">
        <v>1508</v>
      </c>
      <c r="B490" s="64" t="s">
        <v>1470</v>
      </c>
      <c r="C490" s="64" t="s">
        <v>16</v>
      </c>
      <c r="D490" s="64" t="s">
        <v>18</v>
      </c>
      <c r="E490" s="64" t="s">
        <v>372</v>
      </c>
      <c r="F490" s="64" t="s">
        <v>1508</v>
      </c>
      <c r="G490" s="64" t="s">
        <v>1857</v>
      </c>
    </row>
    <row r="491" spans="1:7" x14ac:dyDescent="0.3">
      <c r="A491" s="64" t="s">
        <v>1508</v>
      </c>
      <c r="B491" s="64" t="s">
        <v>1470</v>
      </c>
      <c r="C491" s="64" t="s">
        <v>16</v>
      </c>
      <c r="D491" s="64" t="s">
        <v>18</v>
      </c>
      <c r="E491" s="64" t="s">
        <v>375</v>
      </c>
      <c r="F491" s="64" t="s">
        <v>1508</v>
      </c>
      <c r="G491" s="64" t="s">
        <v>1858</v>
      </c>
    </row>
    <row r="492" spans="1:7" x14ac:dyDescent="0.3">
      <c r="A492" s="64" t="s">
        <v>1508</v>
      </c>
      <c r="B492" s="64" t="s">
        <v>1470</v>
      </c>
      <c r="C492" s="64" t="s">
        <v>16</v>
      </c>
      <c r="D492" s="64" t="s">
        <v>18</v>
      </c>
      <c r="E492" s="64" t="s">
        <v>380</v>
      </c>
      <c r="F492" s="64" t="s">
        <v>1508</v>
      </c>
      <c r="G492" s="64" t="s">
        <v>1859</v>
      </c>
    </row>
    <row r="493" spans="1:7" x14ac:dyDescent="0.3">
      <c r="A493" s="64" t="s">
        <v>1509</v>
      </c>
      <c r="B493" s="64" t="s">
        <v>1470</v>
      </c>
      <c r="C493" s="64" t="s">
        <v>20</v>
      </c>
      <c r="D493" s="64" t="s">
        <v>956</v>
      </c>
      <c r="E493" s="64" t="s">
        <v>15</v>
      </c>
      <c r="F493" s="64" t="s">
        <v>9279</v>
      </c>
      <c r="G493" s="64" t="s">
        <v>957</v>
      </c>
    </row>
    <row r="494" spans="1:7" x14ac:dyDescent="0.3">
      <c r="A494" s="64" t="s">
        <v>1509</v>
      </c>
      <c r="B494" s="64" t="s">
        <v>1470</v>
      </c>
      <c r="C494" s="64" t="s">
        <v>16</v>
      </c>
      <c r="D494" s="64" t="s">
        <v>18</v>
      </c>
      <c r="E494" s="64" t="s">
        <v>369</v>
      </c>
      <c r="F494" s="64" t="s">
        <v>9279</v>
      </c>
      <c r="G494" s="64" t="s">
        <v>1844</v>
      </c>
    </row>
    <row r="495" spans="1:7" x14ac:dyDescent="0.3">
      <c r="A495" s="64" t="s">
        <v>1509</v>
      </c>
      <c r="B495" s="64" t="s">
        <v>1470</v>
      </c>
      <c r="C495" s="64" t="s">
        <v>16</v>
      </c>
      <c r="D495" s="64" t="s">
        <v>18</v>
      </c>
      <c r="E495" s="64" t="s">
        <v>382</v>
      </c>
      <c r="F495" s="64" t="s">
        <v>9279</v>
      </c>
      <c r="G495" s="64" t="s">
        <v>1845</v>
      </c>
    </row>
    <row r="496" spans="1:7" x14ac:dyDescent="0.3">
      <c r="A496" s="64" t="s">
        <v>1509</v>
      </c>
      <c r="B496" s="64" t="s">
        <v>1470</v>
      </c>
      <c r="C496" s="64" t="s">
        <v>16</v>
      </c>
      <c r="D496" s="64" t="s">
        <v>18</v>
      </c>
      <c r="E496" s="64" t="s">
        <v>370</v>
      </c>
      <c r="F496" s="64" t="s">
        <v>9279</v>
      </c>
      <c r="G496" s="64" t="s">
        <v>1846</v>
      </c>
    </row>
    <row r="497" spans="1:7" x14ac:dyDescent="0.3">
      <c r="A497" s="64" t="s">
        <v>1509</v>
      </c>
      <c r="B497" s="64" t="s">
        <v>1470</v>
      </c>
      <c r="C497" s="64" t="s">
        <v>16</v>
      </c>
      <c r="D497" s="64" t="s">
        <v>18</v>
      </c>
      <c r="E497" s="64" t="s">
        <v>378</v>
      </c>
      <c r="F497" s="64" t="s">
        <v>9279</v>
      </c>
      <c r="G497" s="64" t="s">
        <v>1847</v>
      </c>
    </row>
    <row r="498" spans="1:7" x14ac:dyDescent="0.3">
      <c r="A498" s="64" t="s">
        <v>1509</v>
      </c>
      <c r="B498" s="64" t="s">
        <v>1470</v>
      </c>
      <c r="C498" s="64" t="s">
        <v>16</v>
      </c>
      <c r="D498" s="64" t="s">
        <v>18</v>
      </c>
      <c r="E498" s="64" t="s">
        <v>371</v>
      </c>
      <c r="F498" s="64" t="s">
        <v>9279</v>
      </c>
      <c r="G498" s="64" t="s">
        <v>1848</v>
      </c>
    </row>
    <row r="499" spans="1:7" x14ac:dyDescent="0.3">
      <c r="A499" s="64" t="s">
        <v>1509</v>
      </c>
      <c r="B499" s="64" t="s">
        <v>1470</v>
      </c>
      <c r="C499" s="64" t="s">
        <v>16</v>
      </c>
      <c r="D499" s="64" t="s">
        <v>18</v>
      </c>
      <c r="E499" s="64" t="s">
        <v>376</v>
      </c>
      <c r="F499" s="64" t="s">
        <v>9279</v>
      </c>
      <c r="G499" s="64" t="s">
        <v>1849</v>
      </c>
    </row>
    <row r="500" spans="1:7" x14ac:dyDescent="0.3">
      <c r="A500" s="64" t="s">
        <v>1509</v>
      </c>
      <c r="B500" s="64" t="s">
        <v>1470</v>
      </c>
      <c r="C500" s="64" t="s">
        <v>16</v>
      </c>
      <c r="D500" s="64" t="s">
        <v>18</v>
      </c>
      <c r="E500" s="64" t="s">
        <v>377</v>
      </c>
      <c r="F500" s="64" t="s">
        <v>9279</v>
      </c>
      <c r="G500" s="64" t="s">
        <v>1850</v>
      </c>
    </row>
    <row r="501" spans="1:7" x14ac:dyDescent="0.3">
      <c r="A501" s="64" t="s">
        <v>1509</v>
      </c>
      <c r="B501" s="64" t="s">
        <v>1470</v>
      </c>
      <c r="C501" s="64" t="s">
        <v>16</v>
      </c>
      <c r="D501" s="64" t="s">
        <v>18</v>
      </c>
      <c r="E501" s="64" t="s">
        <v>381</v>
      </c>
      <c r="F501" s="64" t="s">
        <v>9279</v>
      </c>
      <c r="G501" s="64" t="s">
        <v>1851</v>
      </c>
    </row>
    <row r="502" spans="1:7" x14ac:dyDescent="0.3">
      <c r="A502" s="64" t="s">
        <v>1509</v>
      </c>
      <c r="B502" s="64" t="s">
        <v>1470</v>
      </c>
      <c r="C502" s="64" t="s">
        <v>16</v>
      </c>
      <c r="D502" s="64" t="s">
        <v>18</v>
      </c>
      <c r="E502" s="64" t="s">
        <v>379</v>
      </c>
      <c r="F502" s="64" t="s">
        <v>9279</v>
      </c>
      <c r="G502" s="64" t="s">
        <v>1852</v>
      </c>
    </row>
    <row r="503" spans="1:7" x14ac:dyDescent="0.3">
      <c r="A503" s="64" t="s">
        <v>1509</v>
      </c>
      <c r="B503" s="64" t="s">
        <v>1470</v>
      </c>
      <c r="C503" s="64" t="s">
        <v>16</v>
      </c>
      <c r="D503" s="64" t="s">
        <v>18</v>
      </c>
      <c r="E503" s="64" t="s">
        <v>374</v>
      </c>
      <c r="F503" s="64" t="s">
        <v>9279</v>
      </c>
      <c r="G503" s="64" t="s">
        <v>1853</v>
      </c>
    </row>
    <row r="504" spans="1:7" x14ac:dyDescent="0.3">
      <c r="A504" s="64" t="s">
        <v>1509</v>
      </c>
      <c r="B504" s="64" t="s">
        <v>1470</v>
      </c>
      <c r="C504" s="64" t="s">
        <v>16</v>
      </c>
      <c r="D504" s="64" t="s">
        <v>18</v>
      </c>
      <c r="E504" s="64" t="s">
        <v>383</v>
      </c>
      <c r="F504" s="64" t="s">
        <v>9279</v>
      </c>
      <c r="G504" s="64" t="s">
        <v>1854</v>
      </c>
    </row>
    <row r="505" spans="1:7" x14ac:dyDescent="0.3">
      <c r="A505" s="64" t="s">
        <v>1509</v>
      </c>
      <c r="B505" s="64" t="s">
        <v>1470</v>
      </c>
      <c r="C505" s="64" t="s">
        <v>16</v>
      </c>
      <c r="D505" s="64" t="s">
        <v>18</v>
      </c>
      <c r="E505" s="64" t="s">
        <v>373</v>
      </c>
      <c r="F505" s="64" t="s">
        <v>9279</v>
      </c>
      <c r="G505" s="64" t="s">
        <v>1855</v>
      </c>
    </row>
    <row r="506" spans="1:7" x14ac:dyDescent="0.3">
      <c r="A506" s="64" t="s">
        <v>1509</v>
      </c>
      <c r="B506" s="64" t="s">
        <v>1470</v>
      </c>
      <c r="C506" s="64" t="s">
        <v>16</v>
      </c>
      <c r="D506" s="64" t="s">
        <v>18</v>
      </c>
      <c r="E506" s="64" t="s">
        <v>368</v>
      </c>
      <c r="F506" s="64" t="s">
        <v>9279</v>
      </c>
      <c r="G506" s="64" t="s">
        <v>1856</v>
      </c>
    </row>
    <row r="507" spans="1:7" x14ac:dyDescent="0.3">
      <c r="A507" s="64" t="s">
        <v>1509</v>
      </c>
      <c r="B507" s="64" t="s">
        <v>1470</v>
      </c>
      <c r="C507" s="64" t="s">
        <v>16</v>
      </c>
      <c r="D507" s="64" t="s">
        <v>18</v>
      </c>
      <c r="E507" s="64" t="s">
        <v>372</v>
      </c>
      <c r="F507" s="64" t="s">
        <v>9279</v>
      </c>
      <c r="G507" s="64" t="s">
        <v>1857</v>
      </c>
    </row>
    <row r="508" spans="1:7" x14ac:dyDescent="0.3">
      <c r="A508" s="64" t="s">
        <v>1509</v>
      </c>
      <c r="B508" s="64" t="s">
        <v>1470</v>
      </c>
      <c r="C508" s="64" t="s">
        <v>16</v>
      </c>
      <c r="D508" s="64" t="s">
        <v>18</v>
      </c>
      <c r="E508" s="64" t="s">
        <v>375</v>
      </c>
      <c r="F508" s="64" t="s">
        <v>9279</v>
      </c>
      <c r="G508" s="64" t="s">
        <v>1858</v>
      </c>
    </row>
    <row r="509" spans="1:7" x14ac:dyDescent="0.3">
      <c r="A509" s="64" t="s">
        <v>1509</v>
      </c>
      <c r="B509" s="64" t="s">
        <v>1470</v>
      </c>
      <c r="C509" s="64" t="s">
        <v>16</v>
      </c>
      <c r="D509" s="64" t="s">
        <v>18</v>
      </c>
      <c r="E509" s="64" t="s">
        <v>380</v>
      </c>
      <c r="F509" s="64" t="s">
        <v>9279</v>
      </c>
      <c r="G509" s="64" t="s">
        <v>1859</v>
      </c>
    </row>
    <row r="510" spans="1:7" x14ac:dyDescent="0.3">
      <c r="A510" s="64" t="s">
        <v>1517</v>
      </c>
      <c r="B510" s="64" t="s">
        <v>1896</v>
      </c>
      <c r="C510" s="64" t="s">
        <v>20</v>
      </c>
      <c r="D510" s="64" t="s">
        <v>18</v>
      </c>
      <c r="E510" s="64" t="s">
        <v>15</v>
      </c>
      <c r="F510" s="64" t="s">
        <v>1517</v>
      </c>
      <c r="G510" s="64" t="s">
        <v>957</v>
      </c>
    </row>
    <row r="511" spans="1:7" x14ac:dyDescent="0.3">
      <c r="A511" s="64" t="s">
        <v>1517</v>
      </c>
      <c r="B511" s="64" t="s">
        <v>1896</v>
      </c>
      <c r="C511" s="64" t="s">
        <v>20</v>
      </c>
      <c r="D511" s="64" t="s">
        <v>16</v>
      </c>
      <c r="E511" s="64" t="s">
        <v>15</v>
      </c>
      <c r="F511" s="64" t="s">
        <v>1517</v>
      </c>
      <c r="G511" s="64" t="s">
        <v>957</v>
      </c>
    </row>
    <row r="512" spans="1:7" x14ac:dyDescent="0.3">
      <c r="A512" s="64" t="s">
        <v>1517</v>
      </c>
      <c r="B512" s="64" t="s">
        <v>1896</v>
      </c>
      <c r="C512" s="64" t="s">
        <v>16</v>
      </c>
      <c r="D512" s="64" t="s">
        <v>18</v>
      </c>
      <c r="E512" s="64" t="s">
        <v>369</v>
      </c>
      <c r="F512" s="64" t="s">
        <v>1517</v>
      </c>
      <c r="G512" s="64" t="s">
        <v>1844</v>
      </c>
    </row>
    <row r="513" spans="1:7" x14ac:dyDescent="0.3">
      <c r="A513" s="64" t="s">
        <v>1517</v>
      </c>
      <c r="B513" s="64" t="s">
        <v>1896</v>
      </c>
      <c r="C513" s="64" t="s">
        <v>16</v>
      </c>
      <c r="D513" s="64" t="s">
        <v>18</v>
      </c>
      <c r="E513" s="64" t="s">
        <v>382</v>
      </c>
      <c r="F513" s="64" t="s">
        <v>1517</v>
      </c>
      <c r="G513" s="64" t="s">
        <v>1845</v>
      </c>
    </row>
    <row r="514" spans="1:7" x14ac:dyDescent="0.3">
      <c r="A514" s="64" t="s">
        <v>1517</v>
      </c>
      <c r="B514" s="64" t="s">
        <v>1896</v>
      </c>
      <c r="C514" s="64" t="s">
        <v>16</v>
      </c>
      <c r="D514" s="64" t="s">
        <v>18</v>
      </c>
      <c r="E514" s="64" t="s">
        <v>370</v>
      </c>
      <c r="F514" s="64" t="s">
        <v>1517</v>
      </c>
      <c r="G514" s="64" t="s">
        <v>1846</v>
      </c>
    </row>
    <row r="515" spans="1:7" x14ac:dyDescent="0.3">
      <c r="A515" s="64" t="s">
        <v>1517</v>
      </c>
      <c r="B515" s="64" t="s">
        <v>1896</v>
      </c>
      <c r="C515" s="64" t="s">
        <v>16</v>
      </c>
      <c r="D515" s="64" t="s">
        <v>18</v>
      </c>
      <c r="E515" s="64" t="s">
        <v>378</v>
      </c>
      <c r="F515" s="64" t="s">
        <v>1517</v>
      </c>
      <c r="G515" s="64" t="s">
        <v>1847</v>
      </c>
    </row>
    <row r="516" spans="1:7" x14ac:dyDescent="0.3">
      <c r="A516" s="64" t="s">
        <v>1517</v>
      </c>
      <c r="B516" s="64" t="s">
        <v>1896</v>
      </c>
      <c r="C516" s="64" t="s">
        <v>16</v>
      </c>
      <c r="D516" s="64" t="s">
        <v>18</v>
      </c>
      <c r="E516" s="64" t="s">
        <v>371</v>
      </c>
      <c r="F516" s="64" t="s">
        <v>1517</v>
      </c>
      <c r="G516" s="64" t="s">
        <v>1848</v>
      </c>
    </row>
    <row r="517" spans="1:7" x14ac:dyDescent="0.3">
      <c r="A517" s="64" t="s">
        <v>1517</v>
      </c>
      <c r="B517" s="64" t="s">
        <v>1896</v>
      </c>
      <c r="C517" s="64" t="s">
        <v>16</v>
      </c>
      <c r="D517" s="64" t="s">
        <v>18</v>
      </c>
      <c r="E517" s="64" t="s">
        <v>376</v>
      </c>
      <c r="F517" s="64" t="s">
        <v>1517</v>
      </c>
      <c r="G517" s="64" t="s">
        <v>1849</v>
      </c>
    </row>
    <row r="518" spans="1:7" x14ac:dyDescent="0.3">
      <c r="A518" s="64" t="s">
        <v>1517</v>
      </c>
      <c r="B518" s="64" t="s">
        <v>1896</v>
      </c>
      <c r="C518" s="64" t="s">
        <v>16</v>
      </c>
      <c r="D518" s="64" t="s">
        <v>18</v>
      </c>
      <c r="E518" s="64" t="s">
        <v>377</v>
      </c>
      <c r="F518" s="64" t="s">
        <v>1517</v>
      </c>
      <c r="G518" s="64" t="s">
        <v>1850</v>
      </c>
    </row>
    <row r="519" spans="1:7" x14ac:dyDescent="0.3">
      <c r="A519" s="64" t="s">
        <v>1517</v>
      </c>
      <c r="B519" s="64" t="s">
        <v>1896</v>
      </c>
      <c r="C519" s="64" t="s">
        <v>16</v>
      </c>
      <c r="D519" s="64" t="s">
        <v>18</v>
      </c>
      <c r="E519" s="64" t="s">
        <v>381</v>
      </c>
      <c r="F519" s="64" t="s">
        <v>1517</v>
      </c>
      <c r="G519" s="64" t="s">
        <v>1851</v>
      </c>
    </row>
    <row r="520" spans="1:7" x14ac:dyDescent="0.3">
      <c r="A520" s="64" t="s">
        <v>1517</v>
      </c>
      <c r="B520" s="64" t="s">
        <v>1896</v>
      </c>
      <c r="C520" s="64" t="s">
        <v>16</v>
      </c>
      <c r="D520" s="64" t="s">
        <v>18</v>
      </c>
      <c r="E520" s="64" t="s">
        <v>379</v>
      </c>
      <c r="F520" s="64" t="s">
        <v>1517</v>
      </c>
      <c r="G520" s="64" t="s">
        <v>1852</v>
      </c>
    </row>
    <row r="521" spans="1:7" x14ac:dyDescent="0.3">
      <c r="A521" s="64" t="s">
        <v>1517</v>
      </c>
      <c r="B521" s="64" t="s">
        <v>1896</v>
      </c>
      <c r="C521" s="64" t="s">
        <v>16</v>
      </c>
      <c r="D521" s="64" t="s">
        <v>18</v>
      </c>
      <c r="E521" s="64" t="s">
        <v>374</v>
      </c>
      <c r="F521" s="64" t="s">
        <v>1517</v>
      </c>
      <c r="G521" s="64" t="s">
        <v>1853</v>
      </c>
    </row>
    <row r="522" spans="1:7" x14ac:dyDescent="0.3">
      <c r="A522" s="64" t="s">
        <v>1517</v>
      </c>
      <c r="B522" s="64" t="s">
        <v>1896</v>
      </c>
      <c r="C522" s="64" t="s">
        <v>16</v>
      </c>
      <c r="D522" s="64" t="s">
        <v>18</v>
      </c>
      <c r="E522" s="64" t="s">
        <v>383</v>
      </c>
      <c r="F522" s="64" t="s">
        <v>1517</v>
      </c>
      <c r="G522" s="64" t="s">
        <v>1854</v>
      </c>
    </row>
    <row r="523" spans="1:7" x14ac:dyDescent="0.3">
      <c r="A523" s="64" t="s">
        <v>1517</v>
      </c>
      <c r="B523" s="64" t="s">
        <v>1896</v>
      </c>
      <c r="C523" s="64" t="s">
        <v>16</v>
      </c>
      <c r="D523" s="64" t="s">
        <v>18</v>
      </c>
      <c r="E523" s="64" t="s">
        <v>373</v>
      </c>
      <c r="F523" s="64" t="s">
        <v>1517</v>
      </c>
      <c r="G523" s="64" t="s">
        <v>1855</v>
      </c>
    </row>
    <row r="524" spans="1:7" x14ac:dyDescent="0.3">
      <c r="A524" s="64" t="s">
        <v>1517</v>
      </c>
      <c r="B524" s="64" t="s">
        <v>1896</v>
      </c>
      <c r="C524" s="64" t="s">
        <v>16</v>
      </c>
      <c r="D524" s="64" t="s">
        <v>18</v>
      </c>
      <c r="E524" s="64" t="s">
        <v>368</v>
      </c>
      <c r="F524" s="64" t="s">
        <v>1517</v>
      </c>
      <c r="G524" s="64" t="s">
        <v>1856</v>
      </c>
    </row>
    <row r="525" spans="1:7" x14ac:dyDescent="0.3">
      <c r="A525" s="64" t="s">
        <v>1517</v>
      </c>
      <c r="B525" s="64" t="s">
        <v>1896</v>
      </c>
      <c r="C525" s="64" t="s">
        <v>16</v>
      </c>
      <c r="D525" s="64" t="s">
        <v>18</v>
      </c>
      <c r="E525" s="64" t="s">
        <v>372</v>
      </c>
      <c r="F525" s="64" t="s">
        <v>1517</v>
      </c>
      <c r="G525" s="64" t="s">
        <v>1857</v>
      </c>
    </row>
    <row r="526" spans="1:7" x14ac:dyDescent="0.3">
      <c r="A526" s="64" t="s">
        <v>1517</v>
      </c>
      <c r="B526" s="64" t="s">
        <v>1896</v>
      </c>
      <c r="C526" s="64" t="s">
        <v>16</v>
      </c>
      <c r="D526" s="64" t="s">
        <v>18</v>
      </c>
      <c r="E526" s="64" t="s">
        <v>375</v>
      </c>
      <c r="F526" s="64" t="s">
        <v>1517</v>
      </c>
      <c r="G526" s="64" t="s">
        <v>1858</v>
      </c>
    </row>
    <row r="527" spans="1:7" x14ac:dyDescent="0.3">
      <c r="A527" s="64" t="s">
        <v>1517</v>
      </c>
      <c r="B527" s="64" t="s">
        <v>1896</v>
      </c>
      <c r="C527" s="64" t="s">
        <v>16</v>
      </c>
      <c r="D527" s="64" t="s">
        <v>18</v>
      </c>
      <c r="E527" s="64" t="s">
        <v>380</v>
      </c>
      <c r="F527" s="64" t="s">
        <v>1517</v>
      </c>
      <c r="G527" s="64" t="s">
        <v>1859</v>
      </c>
    </row>
    <row r="528" spans="1:7" x14ac:dyDescent="0.3">
      <c r="A528" s="64" t="s">
        <v>1517</v>
      </c>
      <c r="B528" s="64" t="s">
        <v>1896</v>
      </c>
      <c r="C528" s="64" t="s">
        <v>16</v>
      </c>
      <c r="D528" s="64" t="s">
        <v>403</v>
      </c>
      <c r="E528" s="64" t="s">
        <v>369</v>
      </c>
      <c r="F528" s="64" t="s">
        <v>1517</v>
      </c>
      <c r="G528" s="64" t="s">
        <v>1844</v>
      </c>
    </row>
    <row r="529" spans="1:7" x14ac:dyDescent="0.3">
      <c r="A529" s="64" t="s">
        <v>1517</v>
      </c>
      <c r="B529" s="64" t="s">
        <v>1896</v>
      </c>
      <c r="C529" s="64" t="s">
        <v>16</v>
      </c>
      <c r="D529" s="64" t="s">
        <v>403</v>
      </c>
      <c r="E529" s="64" t="s">
        <v>382</v>
      </c>
      <c r="F529" s="64" t="s">
        <v>1517</v>
      </c>
      <c r="G529" s="64" t="s">
        <v>1845</v>
      </c>
    </row>
    <row r="530" spans="1:7" x14ac:dyDescent="0.3">
      <c r="A530" s="64" t="s">
        <v>1517</v>
      </c>
      <c r="B530" s="64" t="s">
        <v>1896</v>
      </c>
      <c r="C530" s="64" t="s">
        <v>16</v>
      </c>
      <c r="D530" s="64" t="s">
        <v>403</v>
      </c>
      <c r="E530" s="64" t="s">
        <v>370</v>
      </c>
      <c r="F530" s="64" t="s">
        <v>1517</v>
      </c>
      <c r="G530" s="64" t="s">
        <v>1846</v>
      </c>
    </row>
    <row r="531" spans="1:7" x14ac:dyDescent="0.3">
      <c r="A531" s="64" t="s">
        <v>1517</v>
      </c>
      <c r="B531" s="64" t="s">
        <v>1896</v>
      </c>
      <c r="C531" s="64" t="s">
        <v>16</v>
      </c>
      <c r="D531" s="64" t="s">
        <v>403</v>
      </c>
      <c r="E531" s="64" t="s">
        <v>378</v>
      </c>
      <c r="F531" s="64" t="s">
        <v>1517</v>
      </c>
      <c r="G531" s="64" t="s">
        <v>1847</v>
      </c>
    </row>
    <row r="532" spans="1:7" x14ac:dyDescent="0.3">
      <c r="A532" s="64" t="s">
        <v>1517</v>
      </c>
      <c r="B532" s="64" t="s">
        <v>1896</v>
      </c>
      <c r="C532" s="64" t="s">
        <v>16</v>
      </c>
      <c r="D532" s="64" t="s">
        <v>403</v>
      </c>
      <c r="E532" s="64" t="s">
        <v>371</v>
      </c>
      <c r="F532" s="64" t="s">
        <v>1517</v>
      </c>
      <c r="G532" s="64" t="s">
        <v>1848</v>
      </c>
    </row>
    <row r="533" spans="1:7" x14ac:dyDescent="0.3">
      <c r="A533" s="64" t="s">
        <v>1517</v>
      </c>
      <c r="B533" s="64" t="s">
        <v>1896</v>
      </c>
      <c r="C533" s="64" t="s">
        <v>16</v>
      </c>
      <c r="D533" s="64" t="s">
        <v>403</v>
      </c>
      <c r="E533" s="64" t="s">
        <v>376</v>
      </c>
      <c r="F533" s="64" t="s">
        <v>1517</v>
      </c>
      <c r="G533" s="64" t="s">
        <v>1849</v>
      </c>
    </row>
    <row r="534" spans="1:7" x14ac:dyDescent="0.3">
      <c r="A534" s="64" t="s">
        <v>1517</v>
      </c>
      <c r="B534" s="64" t="s">
        <v>1896</v>
      </c>
      <c r="C534" s="64" t="s">
        <v>16</v>
      </c>
      <c r="D534" s="64" t="s">
        <v>403</v>
      </c>
      <c r="E534" s="64" t="s">
        <v>377</v>
      </c>
      <c r="F534" s="64" t="s">
        <v>1517</v>
      </c>
      <c r="G534" s="64" t="s">
        <v>1850</v>
      </c>
    </row>
    <row r="535" spans="1:7" x14ac:dyDescent="0.3">
      <c r="A535" s="64" t="s">
        <v>1517</v>
      </c>
      <c r="B535" s="64" t="s">
        <v>1896</v>
      </c>
      <c r="C535" s="64" t="s">
        <v>16</v>
      </c>
      <c r="D535" s="64" t="s">
        <v>403</v>
      </c>
      <c r="E535" s="64" t="s">
        <v>381</v>
      </c>
      <c r="F535" s="64" t="s">
        <v>1517</v>
      </c>
      <c r="G535" s="64" t="s">
        <v>1851</v>
      </c>
    </row>
    <row r="536" spans="1:7" x14ac:dyDescent="0.3">
      <c r="A536" s="64" t="s">
        <v>1517</v>
      </c>
      <c r="B536" s="64" t="s">
        <v>1896</v>
      </c>
      <c r="C536" s="64" t="s">
        <v>16</v>
      </c>
      <c r="D536" s="64" t="s">
        <v>403</v>
      </c>
      <c r="E536" s="64" t="s">
        <v>379</v>
      </c>
      <c r="F536" s="64" t="s">
        <v>1517</v>
      </c>
      <c r="G536" s="64" t="s">
        <v>1852</v>
      </c>
    </row>
    <row r="537" spans="1:7" x14ac:dyDescent="0.3">
      <c r="A537" s="64" t="s">
        <v>1517</v>
      </c>
      <c r="B537" s="64" t="s">
        <v>1896</v>
      </c>
      <c r="C537" s="64" t="s">
        <v>16</v>
      </c>
      <c r="D537" s="64" t="s">
        <v>403</v>
      </c>
      <c r="E537" s="64" t="s">
        <v>374</v>
      </c>
      <c r="F537" s="64" t="s">
        <v>1517</v>
      </c>
      <c r="G537" s="64" t="s">
        <v>1853</v>
      </c>
    </row>
    <row r="538" spans="1:7" x14ac:dyDescent="0.3">
      <c r="A538" s="64" t="s">
        <v>1517</v>
      </c>
      <c r="B538" s="64" t="s">
        <v>1896</v>
      </c>
      <c r="C538" s="64" t="s">
        <v>16</v>
      </c>
      <c r="D538" s="64" t="s">
        <v>403</v>
      </c>
      <c r="E538" s="64" t="s">
        <v>383</v>
      </c>
      <c r="F538" s="64" t="s">
        <v>1517</v>
      </c>
      <c r="G538" s="64" t="s">
        <v>1854</v>
      </c>
    </row>
    <row r="539" spans="1:7" x14ac:dyDescent="0.3">
      <c r="A539" s="64" t="s">
        <v>1517</v>
      </c>
      <c r="B539" s="64" t="s">
        <v>1896</v>
      </c>
      <c r="C539" s="64" t="s">
        <v>16</v>
      </c>
      <c r="D539" s="64" t="s">
        <v>403</v>
      </c>
      <c r="E539" s="64" t="s">
        <v>373</v>
      </c>
      <c r="F539" s="64" t="s">
        <v>1517</v>
      </c>
      <c r="G539" s="64" t="s">
        <v>1855</v>
      </c>
    </row>
    <row r="540" spans="1:7" x14ac:dyDescent="0.3">
      <c r="A540" s="64" t="s">
        <v>1517</v>
      </c>
      <c r="B540" s="64" t="s">
        <v>1896</v>
      </c>
      <c r="C540" s="64" t="s">
        <v>16</v>
      </c>
      <c r="D540" s="64" t="s">
        <v>403</v>
      </c>
      <c r="E540" s="64" t="s">
        <v>368</v>
      </c>
      <c r="F540" s="64" t="s">
        <v>1517</v>
      </c>
      <c r="G540" s="64" t="s">
        <v>1856</v>
      </c>
    </row>
    <row r="541" spans="1:7" x14ac:dyDescent="0.3">
      <c r="A541" s="64" t="s">
        <v>1517</v>
      </c>
      <c r="B541" s="64" t="s">
        <v>1896</v>
      </c>
      <c r="C541" s="64" t="s">
        <v>16</v>
      </c>
      <c r="D541" s="64" t="s">
        <v>403</v>
      </c>
      <c r="E541" s="64" t="s">
        <v>372</v>
      </c>
      <c r="F541" s="64" t="s">
        <v>1517</v>
      </c>
      <c r="G541" s="64" t="s">
        <v>1857</v>
      </c>
    </row>
    <row r="542" spans="1:7" x14ac:dyDescent="0.3">
      <c r="A542" s="64" t="s">
        <v>1517</v>
      </c>
      <c r="B542" s="64" t="s">
        <v>1896</v>
      </c>
      <c r="C542" s="64" t="s">
        <v>16</v>
      </c>
      <c r="D542" s="64" t="s">
        <v>403</v>
      </c>
      <c r="E542" s="64" t="s">
        <v>375</v>
      </c>
      <c r="F542" s="64" t="s">
        <v>1517</v>
      </c>
      <c r="G542" s="64" t="s">
        <v>1858</v>
      </c>
    </row>
    <row r="543" spans="1:7" x14ac:dyDescent="0.3">
      <c r="A543" s="64" t="s">
        <v>1517</v>
      </c>
      <c r="B543" s="64" t="s">
        <v>1896</v>
      </c>
      <c r="C543" s="64" t="s">
        <v>16</v>
      </c>
      <c r="D543" s="64" t="s">
        <v>403</v>
      </c>
      <c r="E543" s="64" t="s">
        <v>380</v>
      </c>
      <c r="F543" s="64" t="s">
        <v>1517</v>
      </c>
      <c r="G543" s="64" t="s">
        <v>1859</v>
      </c>
    </row>
    <row r="544" spans="1:7" x14ac:dyDescent="0.3">
      <c r="A544" s="64" t="s">
        <v>460</v>
      </c>
      <c r="B544" s="64" t="s">
        <v>1877</v>
      </c>
      <c r="C544" s="64" t="s">
        <v>20</v>
      </c>
      <c r="D544" s="64" t="s">
        <v>956</v>
      </c>
      <c r="E544" s="64" t="s">
        <v>15</v>
      </c>
      <c r="F544" s="64" t="s">
        <v>800</v>
      </c>
      <c r="G544" s="64" t="s">
        <v>957</v>
      </c>
    </row>
    <row r="545" spans="1:7" x14ac:dyDescent="0.3">
      <c r="A545" s="64" t="s">
        <v>460</v>
      </c>
      <c r="B545" s="64" t="s">
        <v>1877</v>
      </c>
      <c r="C545" s="64" t="s">
        <v>16</v>
      </c>
      <c r="D545" s="64" t="s">
        <v>18</v>
      </c>
      <c r="E545" s="64" t="s">
        <v>369</v>
      </c>
      <c r="F545" s="64" t="s">
        <v>800</v>
      </c>
      <c r="G545" s="64" t="s">
        <v>1844</v>
      </c>
    </row>
    <row r="546" spans="1:7" x14ac:dyDescent="0.3">
      <c r="A546" s="64" t="s">
        <v>460</v>
      </c>
      <c r="B546" s="64" t="s">
        <v>1877</v>
      </c>
      <c r="C546" s="64" t="s">
        <v>16</v>
      </c>
      <c r="D546" s="64" t="s">
        <v>18</v>
      </c>
      <c r="E546" s="64" t="s">
        <v>382</v>
      </c>
      <c r="F546" s="64" t="s">
        <v>800</v>
      </c>
      <c r="G546" s="64" t="s">
        <v>1845</v>
      </c>
    </row>
    <row r="547" spans="1:7" x14ac:dyDescent="0.3">
      <c r="A547" s="64" t="s">
        <v>460</v>
      </c>
      <c r="B547" s="64" t="s">
        <v>1877</v>
      </c>
      <c r="C547" s="64" t="s">
        <v>16</v>
      </c>
      <c r="D547" s="64" t="s">
        <v>18</v>
      </c>
      <c r="E547" s="64" t="s">
        <v>370</v>
      </c>
      <c r="F547" s="64" t="s">
        <v>800</v>
      </c>
      <c r="G547" s="64" t="s">
        <v>1846</v>
      </c>
    </row>
    <row r="548" spans="1:7" x14ac:dyDescent="0.3">
      <c r="A548" s="64" t="s">
        <v>460</v>
      </c>
      <c r="B548" s="64" t="s">
        <v>1877</v>
      </c>
      <c r="C548" s="64" t="s">
        <v>16</v>
      </c>
      <c r="D548" s="64" t="s">
        <v>18</v>
      </c>
      <c r="E548" s="64" t="s">
        <v>378</v>
      </c>
      <c r="F548" s="64" t="s">
        <v>800</v>
      </c>
      <c r="G548" s="64" t="s">
        <v>1847</v>
      </c>
    </row>
    <row r="549" spans="1:7" x14ac:dyDescent="0.3">
      <c r="A549" s="64" t="s">
        <v>460</v>
      </c>
      <c r="B549" s="64" t="s">
        <v>1877</v>
      </c>
      <c r="C549" s="64" t="s">
        <v>16</v>
      </c>
      <c r="D549" s="64" t="s">
        <v>18</v>
      </c>
      <c r="E549" s="64" t="s">
        <v>371</v>
      </c>
      <c r="F549" s="64" t="s">
        <v>800</v>
      </c>
      <c r="G549" s="64" t="s">
        <v>1848</v>
      </c>
    </row>
    <row r="550" spans="1:7" x14ac:dyDescent="0.3">
      <c r="A550" s="64" t="s">
        <v>460</v>
      </c>
      <c r="B550" s="64" t="s">
        <v>1877</v>
      </c>
      <c r="C550" s="64" t="s">
        <v>16</v>
      </c>
      <c r="D550" s="64" t="s">
        <v>18</v>
      </c>
      <c r="E550" s="64" t="s">
        <v>376</v>
      </c>
      <c r="F550" s="64" t="s">
        <v>800</v>
      </c>
      <c r="G550" s="64" t="s">
        <v>1849</v>
      </c>
    </row>
    <row r="551" spans="1:7" x14ac:dyDescent="0.3">
      <c r="A551" s="64" t="s">
        <v>460</v>
      </c>
      <c r="B551" s="64" t="s">
        <v>1877</v>
      </c>
      <c r="C551" s="64" t="s">
        <v>16</v>
      </c>
      <c r="D551" s="64" t="s">
        <v>18</v>
      </c>
      <c r="E551" s="64" t="s">
        <v>377</v>
      </c>
      <c r="F551" s="64" t="s">
        <v>800</v>
      </c>
      <c r="G551" s="64" t="s">
        <v>1850</v>
      </c>
    </row>
    <row r="552" spans="1:7" x14ac:dyDescent="0.3">
      <c r="A552" s="64" t="s">
        <v>460</v>
      </c>
      <c r="B552" s="64" t="s">
        <v>1877</v>
      </c>
      <c r="C552" s="64" t="s">
        <v>16</v>
      </c>
      <c r="D552" s="64" t="s">
        <v>18</v>
      </c>
      <c r="E552" s="64" t="s">
        <v>381</v>
      </c>
      <c r="F552" s="64" t="s">
        <v>800</v>
      </c>
      <c r="G552" s="64" t="s">
        <v>1851</v>
      </c>
    </row>
    <row r="553" spans="1:7" x14ac:dyDescent="0.3">
      <c r="A553" s="64" t="s">
        <v>460</v>
      </c>
      <c r="B553" s="64" t="s">
        <v>1877</v>
      </c>
      <c r="C553" s="64" t="s">
        <v>16</v>
      </c>
      <c r="D553" s="64" t="s">
        <v>18</v>
      </c>
      <c r="E553" s="64" t="s">
        <v>379</v>
      </c>
      <c r="F553" s="64" t="s">
        <v>800</v>
      </c>
      <c r="G553" s="64" t="s">
        <v>1852</v>
      </c>
    </row>
    <row r="554" spans="1:7" x14ac:dyDescent="0.3">
      <c r="A554" s="64" t="s">
        <v>460</v>
      </c>
      <c r="B554" s="64" t="s">
        <v>1877</v>
      </c>
      <c r="C554" s="64" t="s">
        <v>16</v>
      </c>
      <c r="D554" s="64" t="s">
        <v>18</v>
      </c>
      <c r="E554" s="64" t="s">
        <v>374</v>
      </c>
      <c r="F554" s="64" t="s">
        <v>800</v>
      </c>
      <c r="G554" s="64" t="s">
        <v>1853</v>
      </c>
    </row>
    <row r="555" spans="1:7" x14ac:dyDescent="0.3">
      <c r="A555" s="64" t="s">
        <v>460</v>
      </c>
      <c r="B555" s="64" t="s">
        <v>1877</v>
      </c>
      <c r="C555" s="64" t="s">
        <v>16</v>
      </c>
      <c r="D555" s="64" t="s">
        <v>18</v>
      </c>
      <c r="E555" s="64" t="s">
        <v>383</v>
      </c>
      <c r="F555" s="64" t="s">
        <v>800</v>
      </c>
      <c r="G555" s="64" t="s">
        <v>1854</v>
      </c>
    </row>
    <row r="556" spans="1:7" x14ac:dyDescent="0.3">
      <c r="A556" s="64" t="s">
        <v>460</v>
      </c>
      <c r="B556" s="64" t="s">
        <v>1877</v>
      </c>
      <c r="C556" s="64" t="s">
        <v>16</v>
      </c>
      <c r="D556" s="64" t="s">
        <v>18</v>
      </c>
      <c r="E556" s="64" t="s">
        <v>373</v>
      </c>
      <c r="F556" s="64" t="s">
        <v>800</v>
      </c>
      <c r="G556" s="64" t="s">
        <v>1855</v>
      </c>
    </row>
    <row r="557" spans="1:7" x14ac:dyDescent="0.3">
      <c r="A557" s="64" t="s">
        <v>460</v>
      </c>
      <c r="B557" s="64" t="s">
        <v>1877</v>
      </c>
      <c r="C557" s="64" t="s">
        <v>16</v>
      </c>
      <c r="D557" s="64" t="s">
        <v>18</v>
      </c>
      <c r="E557" s="64" t="s">
        <v>368</v>
      </c>
      <c r="F557" s="64" t="s">
        <v>800</v>
      </c>
      <c r="G557" s="64" t="s">
        <v>1856</v>
      </c>
    </row>
    <row r="558" spans="1:7" x14ac:dyDescent="0.3">
      <c r="A558" s="64" t="s">
        <v>460</v>
      </c>
      <c r="B558" s="64" t="s">
        <v>1877</v>
      </c>
      <c r="C558" s="64" t="s">
        <v>16</v>
      </c>
      <c r="D558" s="64" t="s">
        <v>18</v>
      </c>
      <c r="E558" s="64" t="s">
        <v>372</v>
      </c>
      <c r="F558" s="64" t="s">
        <v>800</v>
      </c>
      <c r="G558" s="64" t="s">
        <v>1857</v>
      </c>
    </row>
    <row r="559" spans="1:7" x14ac:dyDescent="0.3">
      <c r="A559" s="64" t="s">
        <v>460</v>
      </c>
      <c r="B559" s="64" t="s">
        <v>1877</v>
      </c>
      <c r="C559" s="64" t="s">
        <v>16</v>
      </c>
      <c r="D559" s="64" t="s">
        <v>18</v>
      </c>
      <c r="E559" s="64" t="s">
        <v>375</v>
      </c>
      <c r="F559" s="64" t="s">
        <v>800</v>
      </c>
      <c r="G559" s="64" t="s">
        <v>1858</v>
      </c>
    </row>
    <row r="560" spans="1:7" x14ac:dyDescent="0.3">
      <c r="A560" s="64" t="s">
        <v>460</v>
      </c>
      <c r="B560" s="64" t="s">
        <v>1877</v>
      </c>
      <c r="C560" s="64" t="s">
        <v>16</v>
      </c>
      <c r="D560" s="64" t="s">
        <v>18</v>
      </c>
      <c r="E560" s="64" t="s">
        <v>380</v>
      </c>
      <c r="F560" s="64" t="s">
        <v>800</v>
      </c>
      <c r="G560" s="64" t="s">
        <v>1859</v>
      </c>
    </row>
    <row r="561" spans="1:7" x14ac:dyDescent="0.3">
      <c r="A561" s="64" t="s">
        <v>1837</v>
      </c>
      <c r="B561" s="64" t="s">
        <v>1876</v>
      </c>
      <c r="C561" s="64" t="s">
        <v>20</v>
      </c>
      <c r="D561" s="64" t="s">
        <v>16</v>
      </c>
      <c r="E561" s="64" t="s">
        <v>15</v>
      </c>
      <c r="F561" s="64" t="s">
        <v>9292</v>
      </c>
      <c r="G561" s="64" t="s">
        <v>957</v>
      </c>
    </row>
    <row r="562" spans="1:7" x14ac:dyDescent="0.3">
      <c r="A562" s="64" t="s">
        <v>1837</v>
      </c>
      <c r="B562" s="64" t="s">
        <v>1876</v>
      </c>
      <c r="C562" s="64" t="s">
        <v>16</v>
      </c>
      <c r="D562" s="64" t="s">
        <v>16</v>
      </c>
      <c r="E562" s="64" t="s">
        <v>369</v>
      </c>
      <c r="F562" s="64" t="s">
        <v>9292</v>
      </c>
      <c r="G562" s="64" t="s">
        <v>1844</v>
      </c>
    </row>
    <row r="563" spans="1:7" x14ac:dyDescent="0.3">
      <c r="A563" s="64" t="s">
        <v>1837</v>
      </c>
      <c r="B563" s="64" t="s">
        <v>1876</v>
      </c>
      <c r="C563" s="64" t="s">
        <v>16</v>
      </c>
      <c r="D563" s="64" t="s">
        <v>16</v>
      </c>
      <c r="E563" s="64" t="s">
        <v>382</v>
      </c>
      <c r="F563" s="64" t="s">
        <v>9292</v>
      </c>
      <c r="G563" s="64" t="s">
        <v>1845</v>
      </c>
    </row>
    <row r="564" spans="1:7" x14ac:dyDescent="0.3">
      <c r="A564" s="64" t="s">
        <v>1837</v>
      </c>
      <c r="B564" s="64" t="s">
        <v>1876</v>
      </c>
      <c r="C564" s="64" t="s">
        <v>16</v>
      </c>
      <c r="D564" s="64" t="s">
        <v>16</v>
      </c>
      <c r="E564" s="64" t="s">
        <v>370</v>
      </c>
      <c r="F564" s="64" t="s">
        <v>9292</v>
      </c>
      <c r="G564" s="64" t="s">
        <v>1846</v>
      </c>
    </row>
    <row r="565" spans="1:7" x14ac:dyDescent="0.3">
      <c r="A565" s="64" t="s">
        <v>1837</v>
      </c>
      <c r="B565" s="64" t="s">
        <v>1876</v>
      </c>
      <c r="C565" s="64" t="s">
        <v>16</v>
      </c>
      <c r="D565" s="64" t="s">
        <v>16</v>
      </c>
      <c r="E565" s="64" t="s">
        <v>378</v>
      </c>
      <c r="F565" s="64" t="s">
        <v>9292</v>
      </c>
      <c r="G565" s="64" t="s">
        <v>1847</v>
      </c>
    </row>
    <row r="566" spans="1:7" x14ac:dyDescent="0.3">
      <c r="A566" s="64" t="s">
        <v>1837</v>
      </c>
      <c r="B566" s="64" t="s">
        <v>1876</v>
      </c>
      <c r="C566" s="64" t="s">
        <v>16</v>
      </c>
      <c r="D566" s="64" t="s">
        <v>16</v>
      </c>
      <c r="E566" s="64" t="s">
        <v>371</v>
      </c>
      <c r="F566" s="64" t="s">
        <v>9292</v>
      </c>
      <c r="G566" s="64" t="s">
        <v>1848</v>
      </c>
    </row>
    <row r="567" spans="1:7" x14ac:dyDescent="0.3">
      <c r="A567" s="64" t="s">
        <v>1837</v>
      </c>
      <c r="B567" s="64" t="s">
        <v>1876</v>
      </c>
      <c r="C567" s="64" t="s">
        <v>16</v>
      </c>
      <c r="D567" s="64" t="s">
        <v>16</v>
      </c>
      <c r="E567" s="64" t="s">
        <v>376</v>
      </c>
      <c r="F567" s="64" t="s">
        <v>9292</v>
      </c>
      <c r="G567" s="64" t="s">
        <v>1849</v>
      </c>
    </row>
    <row r="568" spans="1:7" x14ac:dyDescent="0.3">
      <c r="A568" s="64" t="s">
        <v>1837</v>
      </c>
      <c r="B568" s="64" t="s">
        <v>1876</v>
      </c>
      <c r="C568" s="64" t="s">
        <v>16</v>
      </c>
      <c r="D568" s="64" t="s">
        <v>16</v>
      </c>
      <c r="E568" s="64" t="s">
        <v>377</v>
      </c>
      <c r="F568" s="64" t="s">
        <v>9292</v>
      </c>
      <c r="G568" s="64" t="s">
        <v>1850</v>
      </c>
    </row>
    <row r="569" spans="1:7" x14ac:dyDescent="0.3">
      <c r="A569" s="64" t="s">
        <v>1837</v>
      </c>
      <c r="B569" s="64" t="s">
        <v>1876</v>
      </c>
      <c r="C569" s="64" t="s">
        <v>16</v>
      </c>
      <c r="D569" s="64" t="s">
        <v>16</v>
      </c>
      <c r="E569" s="64" t="s">
        <v>381</v>
      </c>
      <c r="F569" s="64" t="s">
        <v>9292</v>
      </c>
      <c r="G569" s="64" t="s">
        <v>1851</v>
      </c>
    </row>
    <row r="570" spans="1:7" x14ac:dyDescent="0.3">
      <c r="A570" s="64" t="s">
        <v>1837</v>
      </c>
      <c r="B570" s="64" t="s">
        <v>1876</v>
      </c>
      <c r="C570" s="64" t="s">
        <v>16</v>
      </c>
      <c r="D570" s="64" t="s">
        <v>16</v>
      </c>
      <c r="E570" s="64" t="s">
        <v>379</v>
      </c>
      <c r="F570" s="64" t="s">
        <v>9292</v>
      </c>
      <c r="G570" s="64" t="s">
        <v>1852</v>
      </c>
    </row>
    <row r="571" spans="1:7" x14ac:dyDescent="0.3">
      <c r="A571" s="64" t="s">
        <v>1837</v>
      </c>
      <c r="B571" s="64" t="s">
        <v>1876</v>
      </c>
      <c r="C571" s="64" t="s">
        <v>16</v>
      </c>
      <c r="D571" s="64" t="s">
        <v>16</v>
      </c>
      <c r="E571" s="64" t="s">
        <v>374</v>
      </c>
      <c r="F571" s="64" t="s">
        <v>9292</v>
      </c>
      <c r="G571" s="64" t="s">
        <v>1853</v>
      </c>
    </row>
    <row r="572" spans="1:7" x14ac:dyDescent="0.3">
      <c r="A572" s="64" t="s">
        <v>1837</v>
      </c>
      <c r="B572" s="64" t="s">
        <v>1876</v>
      </c>
      <c r="C572" s="64" t="s">
        <v>16</v>
      </c>
      <c r="D572" s="64" t="s">
        <v>16</v>
      </c>
      <c r="E572" s="64" t="s">
        <v>383</v>
      </c>
      <c r="F572" s="64" t="s">
        <v>9292</v>
      </c>
      <c r="G572" s="64" t="s">
        <v>1854</v>
      </c>
    </row>
    <row r="573" spans="1:7" x14ac:dyDescent="0.3">
      <c r="A573" s="64" t="s">
        <v>1837</v>
      </c>
      <c r="B573" s="64" t="s">
        <v>1876</v>
      </c>
      <c r="C573" s="64" t="s">
        <v>16</v>
      </c>
      <c r="D573" s="64" t="s">
        <v>16</v>
      </c>
      <c r="E573" s="64" t="s">
        <v>373</v>
      </c>
      <c r="F573" s="64" t="s">
        <v>9292</v>
      </c>
      <c r="G573" s="64" t="s">
        <v>1855</v>
      </c>
    </row>
    <row r="574" spans="1:7" x14ac:dyDescent="0.3">
      <c r="A574" s="64" t="s">
        <v>1837</v>
      </c>
      <c r="B574" s="64" t="s">
        <v>1876</v>
      </c>
      <c r="C574" s="64" t="s">
        <v>16</v>
      </c>
      <c r="D574" s="64" t="s">
        <v>16</v>
      </c>
      <c r="E574" s="64" t="s">
        <v>368</v>
      </c>
      <c r="F574" s="64" t="s">
        <v>9292</v>
      </c>
      <c r="G574" s="64" t="s">
        <v>1856</v>
      </c>
    </row>
    <row r="575" spans="1:7" x14ac:dyDescent="0.3">
      <c r="A575" s="64" t="s">
        <v>1837</v>
      </c>
      <c r="B575" s="64" t="s">
        <v>1876</v>
      </c>
      <c r="C575" s="64" t="s">
        <v>16</v>
      </c>
      <c r="D575" s="64" t="s">
        <v>16</v>
      </c>
      <c r="E575" s="64" t="s">
        <v>372</v>
      </c>
      <c r="F575" s="64" t="s">
        <v>9292</v>
      </c>
      <c r="G575" s="64" t="s">
        <v>1857</v>
      </c>
    </row>
    <row r="576" spans="1:7" x14ac:dyDescent="0.3">
      <c r="A576" s="64" t="s">
        <v>1837</v>
      </c>
      <c r="B576" s="64" t="s">
        <v>1876</v>
      </c>
      <c r="C576" s="64" t="s">
        <v>16</v>
      </c>
      <c r="D576" s="64" t="s">
        <v>16</v>
      </c>
      <c r="E576" s="64" t="s">
        <v>375</v>
      </c>
      <c r="F576" s="64" t="s">
        <v>9292</v>
      </c>
      <c r="G576" s="64" t="s">
        <v>1858</v>
      </c>
    </row>
    <row r="577" spans="1:7" x14ac:dyDescent="0.3">
      <c r="A577" s="64" t="s">
        <v>1837</v>
      </c>
      <c r="B577" s="64" t="s">
        <v>1876</v>
      </c>
      <c r="C577" s="64" t="s">
        <v>16</v>
      </c>
      <c r="D577" s="64" t="s">
        <v>16</v>
      </c>
      <c r="E577" s="64" t="s">
        <v>380</v>
      </c>
      <c r="F577" s="64" t="s">
        <v>9292</v>
      </c>
      <c r="G577" s="64" t="s">
        <v>1859</v>
      </c>
    </row>
    <row r="578" spans="1:7" x14ac:dyDescent="0.3">
      <c r="A578" s="64" t="s">
        <v>572</v>
      </c>
      <c r="B578" s="64" t="s">
        <v>1878</v>
      </c>
      <c r="C578" s="64" t="s">
        <v>20</v>
      </c>
      <c r="D578" s="64" t="s">
        <v>18</v>
      </c>
      <c r="E578" s="64" t="s">
        <v>15</v>
      </c>
      <c r="F578" s="64" t="s">
        <v>9254</v>
      </c>
      <c r="G578" s="64" t="s">
        <v>957</v>
      </c>
    </row>
    <row r="579" spans="1:7" x14ac:dyDescent="0.3">
      <c r="A579" s="64" t="s">
        <v>572</v>
      </c>
      <c r="B579" s="64" t="s">
        <v>1878</v>
      </c>
      <c r="C579" s="64" t="s">
        <v>20</v>
      </c>
      <c r="D579" s="64" t="s">
        <v>16</v>
      </c>
      <c r="E579" s="64" t="s">
        <v>15</v>
      </c>
      <c r="F579" s="64" t="s">
        <v>9251</v>
      </c>
      <c r="G579" s="64">
        <v>0</v>
      </c>
    </row>
    <row r="580" spans="1:7" x14ac:dyDescent="0.3">
      <c r="A580" s="64" t="s">
        <v>572</v>
      </c>
      <c r="B580" s="64" t="s">
        <v>1878</v>
      </c>
      <c r="C580" s="64" t="s">
        <v>20</v>
      </c>
      <c r="D580" s="64" t="s">
        <v>16</v>
      </c>
      <c r="E580" s="64" t="s">
        <v>15</v>
      </c>
      <c r="F580" s="64" t="s">
        <v>9270</v>
      </c>
      <c r="G580" s="64" t="s">
        <v>805</v>
      </c>
    </row>
    <row r="581" spans="1:7" x14ac:dyDescent="0.3">
      <c r="A581" s="64" t="s">
        <v>572</v>
      </c>
      <c r="B581" s="64" t="s">
        <v>1878</v>
      </c>
      <c r="C581" s="64" t="s">
        <v>20</v>
      </c>
      <c r="D581" s="64" t="s">
        <v>403</v>
      </c>
      <c r="E581" s="64" t="s">
        <v>15</v>
      </c>
      <c r="F581" s="64" t="s">
        <v>9251</v>
      </c>
      <c r="G581" s="64">
        <v>0</v>
      </c>
    </row>
    <row r="582" spans="1:7" x14ac:dyDescent="0.3">
      <c r="A582" s="64" t="s">
        <v>572</v>
      </c>
      <c r="B582" s="64" t="s">
        <v>1878</v>
      </c>
      <c r="C582" s="64" t="s">
        <v>20</v>
      </c>
      <c r="D582" s="64" t="s">
        <v>403</v>
      </c>
      <c r="E582" s="64" t="s">
        <v>15</v>
      </c>
      <c r="F582" s="64" t="s">
        <v>9270</v>
      </c>
      <c r="G582" s="64">
        <v>0</v>
      </c>
    </row>
    <row r="583" spans="1:7" x14ac:dyDescent="0.3">
      <c r="A583" s="64" t="s">
        <v>572</v>
      </c>
      <c r="B583" s="64" t="s">
        <v>1878</v>
      </c>
      <c r="C583" s="64" t="s">
        <v>16</v>
      </c>
      <c r="D583" s="64" t="s">
        <v>18</v>
      </c>
      <c r="E583" s="64" t="s">
        <v>382</v>
      </c>
      <c r="F583" s="64" t="s">
        <v>9254</v>
      </c>
      <c r="G583" s="64" t="s">
        <v>1845</v>
      </c>
    </row>
    <row r="584" spans="1:7" x14ac:dyDescent="0.3">
      <c r="A584" s="64" t="s">
        <v>572</v>
      </c>
      <c r="B584" s="64" t="s">
        <v>1878</v>
      </c>
      <c r="C584" s="64" t="s">
        <v>16</v>
      </c>
      <c r="D584" s="64" t="s">
        <v>18</v>
      </c>
      <c r="E584" s="64" t="s">
        <v>370</v>
      </c>
      <c r="F584" s="64" t="s">
        <v>9254</v>
      </c>
      <c r="G584" s="64" t="s">
        <v>1846</v>
      </c>
    </row>
    <row r="585" spans="1:7" x14ac:dyDescent="0.3">
      <c r="A585" s="64" t="s">
        <v>572</v>
      </c>
      <c r="B585" s="64" t="s">
        <v>1878</v>
      </c>
      <c r="C585" s="64" t="s">
        <v>16</v>
      </c>
      <c r="D585" s="64" t="s">
        <v>18</v>
      </c>
      <c r="E585" s="64" t="s">
        <v>371</v>
      </c>
      <c r="F585" s="64" t="s">
        <v>9254</v>
      </c>
      <c r="G585" s="64" t="s">
        <v>1848</v>
      </c>
    </row>
    <row r="586" spans="1:7" x14ac:dyDescent="0.3">
      <c r="A586" s="64" t="s">
        <v>572</v>
      </c>
      <c r="B586" s="64" t="s">
        <v>1878</v>
      </c>
      <c r="C586" s="64" t="s">
        <v>16</v>
      </c>
      <c r="D586" s="64" t="s">
        <v>18</v>
      </c>
      <c r="E586" s="64" t="s">
        <v>376</v>
      </c>
      <c r="F586" s="64" t="s">
        <v>9254</v>
      </c>
      <c r="G586" s="64" t="s">
        <v>1849</v>
      </c>
    </row>
    <row r="587" spans="1:7" x14ac:dyDescent="0.3">
      <c r="A587" s="64" t="s">
        <v>572</v>
      </c>
      <c r="B587" s="64" t="s">
        <v>1878</v>
      </c>
      <c r="C587" s="64" t="s">
        <v>16</v>
      </c>
      <c r="D587" s="64" t="s">
        <v>18</v>
      </c>
      <c r="E587" s="64" t="s">
        <v>377</v>
      </c>
      <c r="F587" s="64" t="s">
        <v>9254</v>
      </c>
      <c r="G587" s="64" t="s">
        <v>1850</v>
      </c>
    </row>
    <row r="588" spans="1:7" x14ac:dyDescent="0.3">
      <c r="A588" s="64" t="s">
        <v>572</v>
      </c>
      <c r="B588" s="64" t="s">
        <v>1878</v>
      </c>
      <c r="C588" s="64" t="s">
        <v>16</v>
      </c>
      <c r="D588" s="64" t="s">
        <v>18</v>
      </c>
      <c r="E588" s="64" t="s">
        <v>381</v>
      </c>
      <c r="F588" s="64" t="s">
        <v>9254</v>
      </c>
      <c r="G588" s="64" t="s">
        <v>1851</v>
      </c>
    </row>
    <row r="589" spans="1:7" x14ac:dyDescent="0.3">
      <c r="A589" s="64" t="s">
        <v>572</v>
      </c>
      <c r="B589" s="64" t="s">
        <v>1878</v>
      </c>
      <c r="C589" s="64" t="s">
        <v>16</v>
      </c>
      <c r="D589" s="64" t="s">
        <v>18</v>
      </c>
      <c r="E589" s="64" t="s">
        <v>374</v>
      </c>
      <c r="F589" s="64" t="s">
        <v>9254</v>
      </c>
      <c r="G589" s="64" t="s">
        <v>1853</v>
      </c>
    </row>
    <row r="590" spans="1:7" x14ac:dyDescent="0.3">
      <c r="A590" s="64" t="s">
        <v>572</v>
      </c>
      <c r="B590" s="64" t="s">
        <v>1878</v>
      </c>
      <c r="C590" s="64" t="s">
        <v>16</v>
      </c>
      <c r="D590" s="64" t="s">
        <v>18</v>
      </c>
      <c r="E590" s="64" t="s">
        <v>383</v>
      </c>
      <c r="F590" s="64" t="s">
        <v>9254</v>
      </c>
      <c r="G590" s="64" t="s">
        <v>1854</v>
      </c>
    </row>
    <row r="591" spans="1:7" x14ac:dyDescent="0.3">
      <c r="A591" s="64" t="s">
        <v>572</v>
      </c>
      <c r="B591" s="64" t="s">
        <v>1878</v>
      </c>
      <c r="C591" s="64" t="s">
        <v>16</v>
      </c>
      <c r="D591" s="64" t="s">
        <v>18</v>
      </c>
      <c r="E591" s="64" t="s">
        <v>373</v>
      </c>
      <c r="F591" s="64" t="s">
        <v>9254</v>
      </c>
      <c r="G591" s="64" t="s">
        <v>1855</v>
      </c>
    </row>
    <row r="592" spans="1:7" x14ac:dyDescent="0.3">
      <c r="A592" s="64" t="s">
        <v>572</v>
      </c>
      <c r="B592" s="64" t="s">
        <v>1878</v>
      </c>
      <c r="C592" s="64" t="s">
        <v>16</v>
      </c>
      <c r="D592" s="64" t="s">
        <v>18</v>
      </c>
      <c r="E592" s="64" t="s">
        <v>368</v>
      </c>
      <c r="F592" s="64" t="s">
        <v>9254</v>
      </c>
      <c r="G592" s="64" t="s">
        <v>1856</v>
      </c>
    </row>
    <row r="593" spans="1:7" x14ac:dyDescent="0.3">
      <c r="A593" s="64" t="s">
        <v>572</v>
      </c>
      <c r="B593" s="64" t="s">
        <v>1878</v>
      </c>
      <c r="C593" s="64" t="s">
        <v>16</v>
      </c>
      <c r="D593" s="64" t="s">
        <v>18</v>
      </c>
      <c r="E593" s="64" t="s">
        <v>372</v>
      </c>
      <c r="F593" s="64" t="s">
        <v>9254</v>
      </c>
      <c r="G593" s="64" t="s">
        <v>1857</v>
      </c>
    </row>
    <row r="594" spans="1:7" x14ac:dyDescent="0.3">
      <c r="A594" s="64" t="s">
        <v>572</v>
      </c>
      <c r="B594" s="64" t="s">
        <v>1878</v>
      </c>
      <c r="C594" s="64" t="s">
        <v>16</v>
      </c>
      <c r="D594" s="64" t="s">
        <v>18</v>
      </c>
      <c r="E594" s="64" t="s">
        <v>375</v>
      </c>
      <c r="F594" s="64" t="s">
        <v>9254</v>
      </c>
      <c r="G594" s="64" t="s">
        <v>1858</v>
      </c>
    </row>
    <row r="595" spans="1:7" x14ac:dyDescent="0.3">
      <c r="A595" s="64" t="s">
        <v>572</v>
      </c>
      <c r="B595" s="64" t="s">
        <v>1878</v>
      </c>
      <c r="C595" s="64" t="s">
        <v>16</v>
      </c>
      <c r="D595" s="64" t="s">
        <v>18</v>
      </c>
      <c r="E595" s="64" t="s">
        <v>380</v>
      </c>
      <c r="F595" s="64" t="s">
        <v>9254</v>
      </c>
      <c r="G595" s="64" t="s">
        <v>1859</v>
      </c>
    </row>
    <row r="596" spans="1:7" x14ac:dyDescent="0.3">
      <c r="A596" s="64" t="s">
        <v>572</v>
      </c>
      <c r="B596" s="64" t="s">
        <v>1878</v>
      </c>
      <c r="C596" s="64" t="s">
        <v>16</v>
      </c>
      <c r="D596" s="64" t="s">
        <v>403</v>
      </c>
      <c r="E596" s="64" t="s">
        <v>369</v>
      </c>
      <c r="F596" s="64" t="s">
        <v>9270</v>
      </c>
      <c r="G596" s="64" t="s">
        <v>1860</v>
      </c>
    </row>
    <row r="597" spans="1:7" x14ac:dyDescent="0.3">
      <c r="A597" s="64" t="s">
        <v>572</v>
      </c>
      <c r="B597" s="64" t="s">
        <v>1878</v>
      </c>
      <c r="C597" s="64" t="s">
        <v>16</v>
      </c>
      <c r="D597" s="64" t="s">
        <v>403</v>
      </c>
      <c r="E597" s="64" t="s">
        <v>382</v>
      </c>
      <c r="F597" s="64" t="s">
        <v>9270</v>
      </c>
      <c r="G597" s="64" t="s">
        <v>1861</v>
      </c>
    </row>
    <row r="598" spans="1:7" x14ac:dyDescent="0.3">
      <c r="A598" s="64" t="s">
        <v>572</v>
      </c>
      <c r="B598" s="64" t="s">
        <v>1878</v>
      </c>
      <c r="C598" s="64" t="s">
        <v>16</v>
      </c>
      <c r="D598" s="64" t="s">
        <v>403</v>
      </c>
      <c r="E598" s="64" t="s">
        <v>370</v>
      </c>
      <c r="F598" s="64" t="s">
        <v>9270</v>
      </c>
      <c r="G598" s="64" t="s">
        <v>1862</v>
      </c>
    </row>
    <row r="599" spans="1:7" x14ac:dyDescent="0.3">
      <c r="A599" s="64" t="s">
        <v>572</v>
      </c>
      <c r="B599" s="64" t="s">
        <v>1878</v>
      </c>
      <c r="C599" s="64" t="s">
        <v>16</v>
      </c>
      <c r="D599" s="64" t="s">
        <v>403</v>
      </c>
      <c r="E599" s="64" t="s">
        <v>378</v>
      </c>
      <c r="F599" s="64" t="s">
        <v>9270</v>
      </c>
      <c r="G599" s="64" t="s">
        <v>1863</v>
      </c>
    </row>
    <row r="600" spans="1:7" x14ac:dyDescent="0.3">
      <c r="A600" s="64" t="s">
        <v>572</v>
      </c>
      <c r="B600" s="64" t="s">
        <v>1878</v>
      </c>
      <c r="C600" s="64" t="s">
        <v>16</v>
      </c>
      <c r="D600" s="64" t="s">
        <v>403</v>
      </c>
      <c r="E600" s="64" t="s">
        <v>371</v>
      </c>
      <c r="F600" s="64" t="s">
        <v>9270</v>
      </c>
      <c r="G600" s="64" t="s">
        <v>1864</v>
      </c>
    </row>
    <row r="601" spans="1:7" x14ac:dyDescent="0.3">
      <c r="A601" s="64" t="s">
        <v>572</v>
      </c>
      <c r="B601" s="64" t="s">
        <v>1878</v>
      </c>
      <c r="C601" s="64" t="s">
        <v>16</v>
      </c>
      <c r="D601" s="64" t="s">
        <v>403</v>
      </c>
      <c r="E601" s="64" t="s">
        <v>376</v>
      </c>
      <c r="F601" s="64" t="s">
        <v>9270</v>
      </c>
      <c r="G601" s="64" t="s">
        <v>1865</v>
      </c>
    </row>
    <row r="602" spans="1:7" x14ac:dyDescent="0.3">
      <c r="A602" s="64" t="s">
        <v>572</v>
      </c>
      <c r="B602" s="64" t="s">
        <v>1878</v>
      </c>
      <c r="C602" s="64" t="s">
        <v>16</v>
      </c>
      <c r="D602" s="64" t="s">
        <v>403</v>
      </c>
      <c r="E602" s="64" t="s">
        <v>377</v>
      </c>
      <c r="F602" s="64" t="s">
        <v>9270</v>
      </c>
      <c r="G602" s="64" t="s">
        <v>1866</v>
      </c>
    </row>
    <row r="603" spans="1:7" x14ac:dyDescent="0.3">
      <c r="A603" s="64" t="s">
        <v>572</v>
      </c>
      <c r="B603" s="64" t="s">
        <v>1878</v>
      </c>
      <c r="C603" s="64" t="s">
        <v>16</v>
      </c>
      <c r="D603" s="64" t="s">
        <v>403</v>
      </c>
      <c r="E603" s="64" t="s">
        <v>381</v>
      </c>
      <c r="F603" s="64" t="s">
        <v>9270</v>
      </c>
      <c r="G603" s="64" t="s">
        <v>1867</v>
      </c>
    </row>
    <row r="604" spans="1:7" x14ac:dyDescent="0.3">
      <c r="A604" s="64" t="s">
        <v>572</v>
      </c>
      <c r="B604" s="64" t="s">
        <v>1878</v>
      </c>
      <c r="C604" s="64" t="s">
        <v>16</v>
      </c>
      <c r="D604" s="64" t="s">
        <v>403</v>
      </c>
      <c r="E604" s="64" t="s">
        <v>379</v>
      </c>
      <c r="F604" s="64" t="s">
        <v>9270</v>
      </c>
      <c r="G604" s="64" t="s">
        <v>1868</v>
      </c>
    </row>
    <row r="605" spans="1:7" x14ac:dyDescent="0.3">
      <c r="A605" s="64" t="s">
        <v>572</v>
      </c>
      <c r="B605" s="64" t="s">
        <v>1878</v>
      </c>
      <c r="C605" s="64" t="s">
        <v>16</v>
      </c>
      <c r="D605" s="64" t="s">
        <v>403</v>
      </c>
      <c r="E605" s="64" t="s">
        <v>374</v>
      </c>
      <c r="F605" s="64" t="s">
        <v>9270</v>
      </c>
      <c r="G605" s="64" t="s">
        <v>1869</v>
      </c>
    </row>
    <row r="606" spans="1:7" x14ac:dyDescent="0.3">
      <c r="A606" s="64" t="s">
        <v>572</v>
      </c>
      <c r="B606" s="64" t="s">
        <v>1878</v>
      </c>
      <c r="C606" s="64" t="s">
        <v>16</v>
      </c>
      <c r="D606" s="64" t="s">
        <v>403</v>
      </c>
      <c r="E606" s="64" t="s">
        <v>383</v>
      </c>
      <c r="F606" s="64" t="s">
        <v>9270</v>
      </c>
      <c r="G606" s="64" t="s">
        <v>1870</v>
      </c>
    </row>
    <row r="607" spans="1:7" x14ac:dyDescent="0.3">
      <c r="A607" s="64" t="s">
        <v>572</v>
      </c>
      <c r="B607" s="64" t="s">
        <v>1878</v>
      </c>
      <c r="C607" s="64" t="s">
        <v>16</v>
      </c>
      <c r="D607" s="64" t="s">
        <v>403</v>
      </c>
      <c r="E607" s="64" t="s">
        <v>373</v>
      </c>
      <c r="F607" s="64" t="s">
        <v>9270</v>
      </c>
      <c r="G607" s="64" t="s">
        <v>1871</v>
      </c>
    </row>
    <row r="608" spans="1:7" x14ac:dyDescent="0.3">
      <c r="A608" s="64" t="s">
        <v>572</v>
      </c>
      <c r="B608" s="64" t="s">
        <v>1878</v>
      </c>
      <c r="C608" s="64" t="s">
        <v>16</v>
      </c>
      <c r="D608" s="64" t="s">
        <v>403</v>
      </c>
      <c r="E608" s="64" t="s">
        <v>368</v>
      </c>
      <c r="F608" s="64" t="s">
        <v>9270</v>
      </c>
      <c r="G608" s="64" t="s">
        <v>1872</v>
      </c>
    </row>
    <row r="609" spans="1:7" x14ac:dyDescent="0.3">
      <c r="A609" s="64" t="s">
        <v>572</v>
      </c>
      <c r="B609" s="64" t="s">
        <v>1878</v>
      </c>
      <c r="C609" s="64" t="s">
        <v>16</v>
      </c>
      <c r="D609" s="64" t="s">
        <v>403</v>
      </c>
      <c r="E609" s="64" t="s">
        <v>372</v>
      </c>
      <c r="F609" s="64" t="s">
        <v>9270</v>
      </c>
      <c r="G609" s="64" t="s">
        <v>1873</v>
      </c>
    </row>
    <row r="610" spans="1:7" x14ac:dyDescent="0.3">
      <c r="A610" s="64" t="s">
        <v>572</v>
      </c>
      <c r="B610" s="64" t="s">
        <v>1878</v>
      </c>
      <c r="C610" s="64" t="s">
        <v>16</v>
      </c>
      <c r="D610" s="64" t="s">
        <v>403</v>
      </c>
      <c r="E610" s="64" t="s">
        <v>375</v>
      </c>
      <c r="F610" s="64" t="s">
        <v>9270</v>
      </c>
      <c r="G610" s="64" t="s">
        <v>1874</v>
      </c>
    </row>
    <row r="611" spans="1:7" x14ac:dyDescent="0.3">
      <c r="A611" s="64" t="s">
        <v>572</v>
      </c>
      <c r="B611" s="64" t="s">
        <v>1878</v>
      </c>
      <c r="C611" s="64" t="s">
        <v>16</v>
      </c>
      <c r="D611" s="64" t="s">
        <v>403</v>
      </c>
      <c r="E611" s="64" t="s">
        <v>380</v>
      </c>
      <c r="F611" s="64" t="s">
        <v>9270</v>
      </c>
      <c r="G611" s="64" t="s">
        <v>1875</v>
      </c>
    </row>
    <row r="612" spans="1:7" x14ac:dyDescent="0.3">
      <c r="A612" s="64" t="s">
        <v>572</v>
      </c>
      <c r="B612" s="64" t="s">
        <v>2183</v>
      </c>
      <c r="C612" s="64" t="s">
        <v>20</v>
      </c>
      <c r="D612" s="64" t="s">
        <v>16</v>
      </c>
      <c r="E612" s="64" t="s">
        <v>15</v>
      </c>
      <c r="F612" s="64" t="s">
        <v>9258</v>
      </c>
      <c r="G612" s="64" t="s">
        <v>805</v>
      </c>
    </row>
    <row r="613" spans="1:7" x14ac:dyDescent="0.3">
      <c r="A613" s="64" t="s">
        <v>572</v>
      </c>
      <c r="B613" s="64" t="s">
        <v>2183</v>
      </c>
      <c r="C613" s="64" t="s">
        <v>20</v>
      </c>
      <c r="D613" s="64" t="s">
        <v>16</v>
      </c>
      <c r="E613" s="64" t="s">
        <v>15</v>
      </c>
      <c r="F613" s="64" t="s">
        <v>9259</v>
      </c>
      <c r="G613" s="64" t="s">
        <v>805</v>
      </c>
    </row>
    <row r="614" spans="1:7" x14ac:dyDescent="0.3">
      <c r="A614" s="64" t="s">
        <v>572</v>
      </c>
      <c r="B614" s="64" t="s">
        <v>2183</v>
      </c>
      <c r="C614" s="64" t="s">
        <v>20</v>
      </c>
      <c r="D614" s="64" t="s">
        <v>2184</v>
      </c>
      <c r="E614" s="64" t="s">
        <v>15</v>
      </c>
      <c r="F614" s="64" t="s">
        <v>9258</v>
      </c>
      <c r="G614" s="64">
        <v>0</v>
      </c>
    </row>
    <row r="615" spans="1:7" x14ac:dyDescent="0.3">
      <c r="A615" s="64" t="s">
        <v>572</v>
      </c>
      <c r="B615" s="64" t="s">
        <v>2183</v>
      </c>
      <c r="C615" s="64" t="s">
        <v>20</v>
      </c>
      <c r="D615" s="64" t="s">
        <v>2188</v>
      </c>
      <c r="E615" s="64" t="s">
        <v>15</v>
      </c>
      <c r="F615" s="64" t="s">
        <v>9261</v>
      </c>
      <c r="G615" s="64">
        <v>0</v>
      </c>
    </row>
    <row r="616" spans="1:7" x14ac:dyDescent="0.3">
      <c r="A616" s="64" t="s">
        <v>572</v>
      </c>
      <c r="B616" s="64" t="s">
        <v>2183</v>
      </c>
      <c r="C616" s="64" t="s">
        <v>20</v>
      </c>
      <c r="D616" s="64" t="s">
        <v>20</v>
      </c>
      <c r="E616" s="64" t="s">
        <v>15</v>
      </c>
      <c r="F616" s="64" t="s">
        <v>9258</v>
      </c>
      <c r="G616" s="64">
        <v>0</v>
      </c>
    </row>
    <row r="617" spans="1:7" x14ac:dyDescent="0.3">
      <c r="A617" s="64" t="s">
        <v>572</v>
      </c>
      <c r="B617" s="64" t="s">
        <v>2183</v>
      </c>
      <c r="C617" s="64" t="s">
        <v>16</v>
      </c>
      <c r="D617" s="64" t="s">
        <v>403</v>
      </c>
      <c r="E617" s="64" t="s">
        <v>369</v>
      </c>
      <c r="F617" s="64" t="s">
        <v>9258</v>
      </c>
      <c r="G617" s="64" t="s">
        <v>1860</v>
      </c>
    </row>
    <row r="618" spans="1:7" x14ac:dyDescent="0.3">
      <c r="A618" s="64" t="s">
        <v>572</v>
      </c>
      <c r="B618" s="64" t="s">
        <v>2183</v>
      </c>
      <c r="C618" s="64" t="s">
        <v>16</v>
      </c>
      <c r="D618" s="64" t="s">
        <v>403</v>
      </c>
      <c r="E618" s="64" t="s">
        <v>382</v>
      </c>
      <c r="F618" s="64" t="s">
        <v>9258</v>
      </c>
      <c r="G618" s="64" t="s">
        <v>1861</v>
      </c>
    </row>
    <row r="619" spans="1:7" x14ac:dyDescent="0.3">
      <c r="A619" s="64" t="s">
        <v>572</v>
      </c>
      <c r="B619" s="64" t="s">
        <v>2183</v>
      </c>
      <c r="C619" s="64" t="s">
        <v>16</v>
      </c>
      <c r="D619" s="64" t="s">
        <v>403</v>
      </c>
      <c r="E619" s="64" t="s">
        <v>370</v>
      </c>
      <c r="F619" s="64" t="s">
        <v>9258</v>
      </c>
      <c r="G619" s="64" t="s">
        <v>1862</v>
      </c>
    </row>
    <row r="620" spans="1:7" x14ac:dyDescent="0.3">
      <c r="A620" s="64" t="s">
        <v>572</v>
      </c>
      <c r="B620" s="64" t="s">
        <v>2183</v>
      </c>
      <c r="C620" s="64" t="s">
        <v>16</v>
      </c>
      <c r="D620" s="64" t="s">
        <v>403</v>
      </c>
      <c r="E620" s="64" t="s">
        <v>378</v>
      </c>
      <c r="F620" s="64" t="s">
        <v>9258</v>
      </c>
      <c r="G620" s="64" t="s">
        <v>1863</v>
      </c>
    </row>
    <row r="621" spans="1:7" x14ac:dyDescent="0.3">
      <c r="A621" s="64" t="s">
        <v>572</v>
      </c>
      <c r="B621" s="64" t="s">
        <v>2183</v>
      </c>
      <c r="C621" s="64" t="s">
        <v>16</v>
      </c>
      <c r="D621" s="64" t="s">
        <v>403</v>
      </c>
      <c r="E621" s="64" t="s">
        <v>371</v>
      </c>
      <c r="F621" s="64" t="s">
        <v>9258</v>
      </c>
      <c r="G621" s="64" t="s">
        <v>1864</v>
      </c>
    </row>
    <row r="622" spans="1:7" x14ac:dyDescent="0.3">
      <c r="A622" s="64" t="s">
        <v>572</v>
      </c>
      <c r="B622" s="64" t="s">
        <v>2183</v>
      </c>
      <c r="C622" s="64" t="s">
        <v>16</v>
      </c>
      <c r="D622" s="64" t="s">
        <v>403</v>
      </c>
      <c r="E622" s="64" t="s">
        <v>376</v>
      </c>
      <c r="F622" s="64" t="s">
        <v>9258</v>
      </c>
      <c r="G622" s="64" t="s">
        <v>1865</v>
      </c>
    </row>
    <row r="623" spans="1:7" x14ac:dyDescent="0.3">
      <c r="A623" s="64" t="s">
        <v>572</v>
      </c>
      <c r="B623" s="64" t="s">
        <v>2183</v>
      </c>
      <c r="C623" s="64" t="s">
        <v>16</v>
      </c>
      <c r="D623" s="64" t="s">
        <v>403</v>
      </c>
      <c r="E623" s="64" t="s">
        <v>377</v>
      </c>
      <c r="F623" s="64" t="s">
        <v>9258</v>
      </c>
      <c r="G623" s="64" t="s">
        <v>1866</v>
      </c>
    </row>
    <row r="624" spans="1:7" x14ac:dyDescent="0.3">
      <c r="A624" s="64" t="s">
        <v>572</v>
      </c>
      <c r="B624" s="64" t="s">
        <v>2183</v>
      </c>
      <c r="C624" s="64" t="s">
        <v>16</v>
      </c>
      <c r="D624" s="64" t="s">
        <v>403</v>
      </c>
      <c r="E624" s="64" t="s">
        <v>381</v>
      </c>
      <c r="F624" s="64" t="s">
        <v>9258</v>
      </c>
      <c r="G624" s="64" t="s">
        <v>1867</v>
      </c>
    </row>
    <row r="625" spans="1:7" x14ac:dyDescent="0.3">
      <c r="A625" s="64" t="s">
        <v>572</v>
      </c>
      <c r="B625" s="64" t="s">
        <v>2183</v>
      </c>
      <c r="C625" s="64" t="s">
        <v>16</v>
      </c>
      <c r="D625" s="64" t="s">
        <v>403</v>
      </c>
      <c r="E625" s="64" t="s">
        <v>379</v>
      </c>
      <c r="F625" s="64" t="s">
        <v>9258</v>
      </c>
      <c r="G625" s="64" t="s">
        <v>1868</v>
      </c>
    </row>
    <row r="626" spans="1:7" x14ac:dyDescent="0.3">
      <c r="A626" s="64" t="s">
        <v>572</v>
      </c>
      <c r="B626" s="64" t="s">
        <v>2183</v>
      </c>
      <c r="C626" s="64" t="s">
        <v>16</v>
      </c>
      <c r="D626" s="64" t="s">
        <v>403</v>
      </c>
      <c r="E626" s="64" t="s">
        <v>374</v>
      </c>
      <c r="F626" s="64" t="s">
        <v>9258</v>
      </c>
      <c r="G626" s="64" t="s">
        <v>1869</v>
      </c>
    </row>
    <row r="627" spans="1:7" x14ac:dyDescent="0.3">
      <c r="A627" s="64" t="s">
        <v>572</v>
      </c>
      <c r="B627" s="64" t="s">
        <v>2183</v>
      </c>
      <c r="C627" s="64" t="s">
        <v>16</v>
      </c>
      <c r="D627" s="64" t="s">
        <v>403</v>
      </c>
      <c r="E627" s="64" t="s">
        <v>373</v>
      </c>
      <c r="F627" s="64" t="s">
        <v>9258</v>
      </c>
      <c r="G627" s="64" t="s">
        <v>1871</v>
      </c>
    </row>
    <row r="628" spans="1:7" x14ac:dyDescent="0.3">
      <c r="A628" s="64" t="s">
        <v>572</v>
      </c>
      <c r="B628" s="64" t="s">
        <v>2183</v>
      </c>
      <c r="C628" s="64" t="s">
        <v>16</v>
      </c>
      <c r="D628" s="64" t="s">
        <v>403</v>
      </c>
      <c r="E628" s="64" t="s">
        <v>368</v>
      </c>
      <c r="F628" s="64" t="s">
        <v>9258</v>
      </c>
      <c r="G628" s="64" t="s">
        <v>1872</v>
      </c>
    </row>
    <row r="629" spans="1:7" x14ac:dyDescent="0.3">
      <c r="A629" s="64" t="s">
        <v>572</v>
      </c>
      <c r="B629" s="64" t="s">
        <v>2183</v>
      </c>
      <c r="C629" s="64" t="s">
        <v>16</v>
      </c>
      <c r="D629" s="64" t="s">
        <v>403</v>
      </c>
      <c r="E629" s="64" t="s">
        <v>372</v>
      </c>
      <c r="F629" s="64" t="s">
        <v>9258</v>
      </c>
      <c r="G629" s="64" t="s">
        <v>1873</v>
      </c>
    </row>
    <row r="630" spans="1:7" x14ac:dyDescent="0.3">
      <c r="A630" s="64" t="s">
        <v>572</v>
      </c>
      <c r="B630" s="64" t="s">
        <v>2183</v>
      </c>
      <c r="C630" s="64" t="s">
        <v>16</v>
      </c>
      <c r="D630" s="64" t="s">
        <v>403</v>
      </c>
      <c r="E630" s="64" t="s">
        <v>375</v>
      </c>
      <c r="F630" s="64" t="s">
        <v>9258</v>
      </c>
      <c r="G630" s="64" t="s">
        <v>1874</v>
      </c>
    </row>
    <row r="631" spans="1:7" x14ac:dyDescent="0.3">
      <c r="A631" s="64" t="s">
        <v>572</v>
      </c>
      <c r="B631" s="64" t="s">
        <v>2183</v>
      </c>
      <c r="C631" s="64" t="s">
        <v>16</v>
      </c>
      <c r="D631" s="64" t="s">
        <v>403</v>
      </c>
      <c r="E631" s="64" t="s">
        <v>380</v>
      </c>
      <c r="F631" s="64" t="s">
        <v>9258</v>
      </c>
      <c r="G631" s="64" t="s">
        <v>1875</v>
      </c>
    </row>
    <row r="632" spans="1:7" x14ac:dyDescent="0.3">
      <c r="A632" s="64" t="s">
        <v>577</v>
      </c>
      <c r="B632" s="64" t="s">
        <v>1877</v>
      </c>
      <c r="C632" s="64" t="s">
        <v>20</v>
      </c>
      <c r="D632" s="64" t="s">
        <v>16</v>
      </c>
      <c r="E632" s="64" t="s">
        <v>15</v>
      </c>
      <c r="F632" s="64" t="s">
        <v>801</v>
      </c>
      <c r="G632" s="64" t="s">
        <v>805</v>
      </c>
    </row>
    <row r="633" spans="1:7" x14ac:dyDescent="0.3">
      <c r="A633" s="64" t="s">
        <v>577</v>
      </c>
      <c r="B633" s="64" t="s">
        <v>1877</v>
      </c>
      <c r="C633" s="64" t="s">
        <v>16</v>
      </c>
      <c r="D633" s="64" t="s">
        <v>403</v>
      </c>
      <c r="E633" s="64" t="s">
        <v>369</v>
      </c>
      <c r="F633" s="64" t="s">
        <v>801</v>
      </c>
      <c r="G633" s="64" t="s">
        <v>1860</v>
      </c>
    </row>
    <row r="634" spans="1:7" x14ac:dyDescent="0.3">
      <c r="A634" s="64" t="s">
        <v>577</v>
      </c>
      <c r="B634" s="64" t="s">
        <v>1877</v>
      </c>
      <c r="C634" s="64" t="s">
        <v>16</v>
      </c>
      <c r="D634" s="64" t="s">
        <v>403</v>
      </c>
      <c r="E634" s="64" t="s">
        <v>382</v>
      </c>
      <c r="F634" s="64" t="s">
        <v>801</v>
      </c>
      <c r="G634" s="64" t="s">
        <v>1861</v>
      </c>
    </row>
    <row r="635" spans="1:7" x14ac:dyDescent="0.3">
      <c r="A635" s="64" t="s">
        <v>577</v>
      </c>
      <c r="B635" s="64" t="s">
        <v>1877</v>
      </c>
      <c r="C635" s="64" t="s">
        <v>16</v>
      </c>
      <c r="D635" s="64" t="s">
        <v>403</v>
      </c>
      <c r="E635" s="64" t="s">
        <v>370</v>
      </c>
      <c r="F635" s="64" t="s">
        <v>801</v>
      </c>
      <c r="G635" s="64" t="s">
        <v>1862</v>
      </c>
    </row>
    <row r="636" spans="1:7" x14ac:dyDescent="0.3">
      <c r="A636" s="64" t="s">
        <v>577</v>
      </c>
      <c r="B636" s="64" t="s">
        <v>1877</v>
      </c>
      <c r="C636" s="64" t="s">
        <v>16</v>
      </c>
      <c r="D636" s="64" t="s">
        <v>403</v>
      </c>
      <c r="E636" s="64" t="s">
        <v>378</v>
      </c>
      <c r="F636" s="64" t="s">
        <v>801</v>
      </c>
      <c r="G636" s="64" t="s">
        <v>1863</v>
      </c>
    </row>
    <row r="637" spans="1:7" x14ac:dyDescent="0.3">
      <c r="A637" s="64" t="s">
        <v>577</v>
      </c>
      <c r="B637" s="64" t="s">
        <v>1877</v>
      </c>
      <c r="C637" s="64" t="s">
        <v>16</v>
      </c>
      <c r="D637" s="64" t="s">
        <v>403</v>
      </c>
      <c r="E637" s="64" t="s">
        <v>371</v>
      </c>
      <c r="F637" s="64" t="s">
        <v>801</v>
      </c>
      <c r="G637" s="64" t="s">
        <v>1864</v>
      </c>
    </row>
    <row r="638" spans="1:7" x14ac:dyDescent="0.3">
      <c r="A638" s="64" t="s">
        <v>577</v>
      </c>
      <c r="B638" s="64" t="s">
        <v>1877</v>
      </c>
      <c r="C638" s="64" t="s">
        <v>16</v>
      </c>
      <c r="D638" s="64" t="s">
        <v>403</v>
      </c>
      <c r="E638" s="64" t="s">
        <v>376</v>
      </c>
      <c r="F638" s="64" t="s">
        <v>801</v>
      </c>
      <c r="G638" s="64" t="s">
        <v>1865</v>
      </c>
    </row>
    <row r="639" spans="1:7" x14ac:dyDescent="0.3">
      <c r="A639" s="64" t="s">
        <v>577</v>
      </c>
      <c r="B639" s="64" t="s">
        <v>1877</v>
      </c>
      <c r="C639" s="64" t="s">
        <v>16</v>
      </c>
      <c r="D639" s="64" t="s">
        <v>403</v>
      </c>
      <c r="E639" s="64" t="s">
        <v>377</v>
      </c>
      <c r="F639" s="64" t="s">
        <v>801</v>
      </c>
      <c r="G639" s="64" t="s">
        <v>1866</v>
      </c>
    </row>
    <row r="640" spans="1:7" x14ac:dyDescent="0.3">
      <c r="A640" s="64" t="s">
        <v>577</v>
      </c>
      <c r="B640" s="64" t="s">
        <v>1877</v>
      </c>
      <c r="C640" s="64" t="s">
        <v>16</v>
      </c>
      <c r="D640" s="64" t="s">
        <v>403</v>
      </c>
      <c r="E640" s="64" t="s">
        <v>381</v>
      </c>
      <c r="F640" s="64" t="s">
        <v>801</v>
      </c>
      <c r="G640" s="64" t="s">
        <v>1867</v>
      </c>
    </row>
    <row r="641" spans="1:7" x14ac:dyDescent="0.3">
      <c r="A641" s="64" t="s">
        <v>577</v>
      </c>
      <c r="B641" s="64" t="s">
        <v>1877</v>
      </c>
      <c r="C641" s="64" t="s">
        <v>16</v>
      </c>
      <c r="D641" s="64" t="s">
        <v>403</v>
      </c>
      <c r="E641" s="64" t="s">
        <v>379</v>
      </c>
      <c r="F641" s="64" t="s">
        <v>801</v>
      </c>
      <c r="G641" s="64" t="s">
        <v>1868</v>
      </c>
    </row>
    <row r="642" spans="1:7" x14ac:dyDescent="0.3">
      <c r="A642" s="64" t="s">
        <v>577</v>
      </c>
      <c r="B642" s="64" t="s">
        <v>1877</v>
      </c>
      <c r="C642" s="64" t="s">
        <v>16</v>
      </c>
      <c r="D642" s="64" t="s">
        <v>403</v>
      </c>
      <c r="E642" s="64" t="s">
        <v>374</v>
      </c>
      <c r="F642" s="64" t="s">
        <v>801</v>
      </c>
      <c r="G642" s="64" t="s">
        <v>1869</v>
      </c>
    </row>
    <row r="643" spans="1:7" x14ac:dyDescent="0.3">
      <c r="A643" s="64" t="s">
        <v>577</v>
      </c>
      <c r="B643" s="64" t="s">
        <v>1877</v>
      </c>
      <c r="C643" s="64" t="s">
        <v>16</v>
      </c>
      <c r="D643" s="64" t="s">
        <v>403</v>
      </c>
      <c r="E643" s="64" t="s">
        <v>383</v>
      </c>
      <c r="F643" s="64" t="s">
        <v>801</v>
      </c>
      <c r="G643" s="64" t="s">
        <v>1870</v>
      </c>
    </row>
    <row r="644" spans="1:7" x14ac:dyDescent="0.3">
      <c r="A644" s="64" t="s">
        <v>577</v>
      </c>
      <c r="B644" s="64" t="s">
        <v>1877</v>
      </c>
      <c r="C644" s="64" t="s">
        <v>16</v>
      </c>
      <c r="D644" s="64" t="s">
        <v>403</v>
      </c>
      <c r="E644" s="64" t="s">
        <v>373</v>
      </c>
      <c r="F644" s="64" t="s">
        <v>801</v>
      </c>
      <c r="G644" s="64" t="s">
        <v>1871</v>
      </c>
    </row>
    <row r="645" spans="1:7" x14ac:dyDescent="0.3">
      <c r="A645" s="64" t="s">
        <v>577</v>
      </c>
      <c r="B645" s="64" t="s">
        <v>1877</v>
      </c>
      <c r="C645" s="64" t="s">
        <v>16</v>
      </c>
      <c r="D645" s="64" t="s">
        <v>403</v>
      </c>
      <c r="E645" s="64" t="s">
        <v>368</v>
      </c>
      <c r="F645" s="64" t="s">
        <v>801</v>
      </c>
      <c r="G645" s="64" t="s">
        <v>1872</v>
      </c>
    </row>
    <row r="646" spans="1:7" x14ac:dyDescent="0.3">
      <c r="A646" s="64" t="s">
        <v>577</v>
      </c>
      <c r="B646" s="64" t="s">
        <v>1877</v>
      </c>
      <c r="C646" s="64" t="s">
        <v>16</v>
      </c>
      <c r="D646" s="64" t="s">
        <v>403</v>
      </c>
      <c r="E646" s="64" t="s">
        <v>372</v>
      </c>
      <c r="F646" s="64" t="s">
        <v>801</v>
      </c>
      <c r="G646" s="64" t="s">
        <v>1873</v>
      </c>
    </row>
    <row r="647" spans="1:7" x14ac:dyDescent="0.3">
      <c r="A647" s="64" t="s">
        <v>577</v>
      </c>
      <c r="B647" s="64" t="s">
        <v>1877</v>
      </c>
      <c r="C647" s="64" t="s">
        <v>16</v>
      </c>
      <c r="D647" s="64" t="s">
        <v>403</v>
      </c>
      <c r="E647" s="64" t="s">
        <v>375</v>
      </c>
      <c r="F647" s="64" t="s">
        <v>801</v>
      </c>
      <c r="G647" s="64" t="s">
        <v>1874</v>
      </c>
    </row>
    <row r="648" spans="1:7" x14ac:dyDescent="0.3">
      <c r="A648" s="64" t="s">
        <v>577</v>
      </c>
      <c r="B648" s="64" t="s">
        <v>1877</v>
      </c>
      <c r="C648" s="64" t="s">
        <v>16</v>
      </c>
      <c r="D648" s="64" t="s">
        <v>403</v>
      </c>
      <c r="E648" s="64" t="s">
        <v>380</v>
      </c>
      <c r="F648" s="64" t="s">
        <v>801</v>
      </c>
      <c r="G648" s="64" t="s">
        <v>1875</v>
      </c>
    </row>
    <row r="649" spans="1:7" x14ac:dyDescent="0.3">
      <c r="A649" s="64" t="s">
        <v>598</v>
      </c>
      <c r="B649" s="64" t="s">
        <v>1878</v>
      </c>
      <c r="C649" s="64" t="s">
        <v>20</v>
      </c>
      <c r="D649" s="64" t="s">
        <v>599</v>
      </c>
      <c r="E649" s="64" t="s">
        <v>15</v>
      </c>
      <c r="F649" s="64" t="s">
        <v>9252</v>
      </c>
      <c r="G649" s="64" t="s">
        <v>805</v>
      </c>
    </row>
    <row r="650" spans="1:7" x14ac:dyDescent="0.3">
      <c r="A650" s="64" t="s">
        <v>598</v>
      </c>
      <c r="B650" s="64" t="s">
        <v>1878</v>
      </c>
      <c r="C650" s="64" t="s">
        <v>20</v>
      </c>
      <c r="D650" s="64" t="s">
        <v>600</v>
      </c>
      <c r="E650" s="64" t="s">
        <v>15</v>
      </c>
      <c r="F650" s="64" t="s">
        <v>9253</v>
      </c>
      <c r="G650" s="64" t="s">
        <v>805</v>
      </c>
    </row>
    <row r="651" spans="1:7" x14ac:dyDescent="0.3">
      <c r="A651" s="64" t="s">
        <v>598</v>
      </c>
      <c r="B651" s="64" t="s">
        <v>1878</v>
      </c>
      <c r="C651" s="64" t="s">
        <v>16</v>
      </c>
      <c r="D651" s="64" t="s">
        <v>599</v>
      </c>
      <c r="E651" s="64" t="s">
        <v>382</v>
      </c>
      <c r="F651" s="64" t="s">
        <v>9252</v>
      </c>
      <c r="G651" s="64" t="s">
        <v>1861</v>
      </c>
    </row>
    <row r="652" spans="1:7" x14ac:dyDescent="0.3">
      <c r="A652" s="64" t="s">
        <v>598</v>
      </c>
      <c r="B652" s="64" t="s">
        <v>1878</v>
      </c>
      <c r="C652" s="64" t="s">
        <v>16</v>
      </c>
      <c r="D652" s="64" t="s">
        <v>599</v>
      </c>
      <c r="E652" s="64" t="s">
        <v>371</v>
      </c>
      <c r="F652" s="64" t="s">
        <v>9252</v>
      </c>
      <c r="G652" s="64" t="s">
        <v>1864</v>
      </c>
    </row>
    <row r="653" spans="1:7" x14ac:dyDescent="0.3">
      <c r="A653" s="64" t="s">
        <v>598</v>
      </c>
      <c r="B653" s="64" t="s">
        <v>1878</v>
      </c>
      <c r="C653" s="64" t="s">
        <v>16</v>
      </c>
      <c r="D653" s="64" t="s">
        <v>599</v>
      </c>
      <c r="E653" s="64" t="s">
        <v>376</v>
      </c>
      <c r="F653" s="64" t="s">
        <v>9252</v>
      </c>
      <c r="G653" s="64" t="s">
        <v>1865</v>
      </c>
    </row>
    <row r="654" spans="1:7" x14ac:dyDescent="0.3">
      <c r="A654" s="64" t="s">
        <v>598</v>
      </c>
      <c r="B654" s="64" t="s">
        <v>1878</v>
      </c>
      <c r="C654" s="64" t="s">
        <v>16</v>
      </c>
      <c r="D654" s="64" t="s">
        <v>599</v>
      </c>
      <c r="E654" s="64" t="s">
        <v>377</v>
      </c>
      <c r="F654" s="64" t="s">
        <v>9252</v>
      </c>
      <c r="G654" s="64" t="s">
        <v>1866</v>
      </c>
    </row>
    <row r="655" spans="1:7" x14ac:dyDescent="0.3">
      <c r="A655" s="64" t="s">
        <v>598</v>
      </c>
      <c r="B655" s="64" t="s">
        <v>1878</v>
      </c>
      <c r="C655" s="64" t="s">
        <v>16</v>
      </c>
      <c r="D655" s="64" t="s">
        <v>599</v>
      </c>
      <c r="E655" s="64" t="s">
        <v>374</v>
      </c>
      <c r="F655" s="64" t="s">
        <v>9252</v>
      </c>
      <c r="G655" s="64" t="s">
        <v>1869</v>
      </c>
    </row>
    <row r="656" spans="1:7" x14ac:dyDescent="0.3">
      <c r="A656" s="64" t="s">
        <v>598</v>
      </c>
      <c r="B656" s="64" t="s">
        <v>1878</v>
      </c>
      <c r="C656" s="64" t="s">
        <v>16</v>
      </c>
      <c r="D656" s="64" t="s">
        <v>599</v>
      </c>
      <c r="E656" s="64" t="s">
        <v>383</v>
      </c>
      <c r="F656" s="64" t="s">
        <v>9252</v>
      </c>
      <c r="G656" s="64" t="s">
        <v>1870</v>
      </c>
    </row>
    <row r="657" spans="1:7" x14ac:dyDescent="0.3">
      <c r="A657" s="64" t="s">
        <v>598</v>
      </c>
      <c r="B657" s="64" t="s">
        <v>1878</v>
      </c>
      <c r="C657" s="64" t="s">
        <v>16</v>
      </c>
      <c r="D657" s="64" t="s">
        <v>599</v>
      </c>
      <c r="E657" s="64" t="s">
        <v>372</v>
      </c>
      <c r="F657" s="64" t="s">
        <v>9252</v>
      </c>
      <c r="G657" s="64" t="s">
        <v>1873</v>
      </c>
    </row>
    <row r="658" spans="1:7" x14ac:dyDescent="0.3">
      <c r="A658" s="64" t="s">
        <v>598</v>
      </c>
      <c r="B658" s="64" t="s">
        <v>1878</v>
      </c>
      <c r="C658" s="64" t="s">
        <v>16</v>
      </c>
      <c r="D658" s="64" t="s">
        <v>599</v>
      </c>
      <c r="E658" s="64" t="s">
        <v>375</v>
      </c>
      <c r="F658" s="64" t="s">
        <v>9252</v>
      </c>
      <c r="G658" s="64" t="s">
        <v>1874</v>
      </c>
    </row>
    <row r="659" spans="1:7" x14ac:dyDescent="0.3">
      <c r="A659" s="64" t="s">
        <v>598</v>
      </c>
      <c r="B659" s="64" t="s">
        <v>1878</v>
      </c>
      <c r="C659" s="64" t="s">
        <v>16</v>
      </c>
      <c r="D659" s="64" t="s">
        <v>599</v>
      </c>
      <c r="E659" s="64" t="s">
        <v>380</v>
      </c>
      <c r="F659" s="64" t="s">
        <v>9252</v>
      </c>
      <c r="G659" s="64" t="s">
        <v>1875</v>
      </c>
    </row>
    <row r="660" spans="1:7" x14ac:dyDescent="0.3">
      <c r="A660" s="64" t="s">
        <v>598</v>
      </c>
      <c r="B660" s="64" t="s">
        <v>1878</v>
      </c>
      <c r="C660" s="64" t="s">
        <v>16</v>
      </c>
      <c r="D660" s="64" t="s">
        <v>600</v>
      </c>
      <c r="E660" s="64" t="s">
        <v>382</v>
      </c>
      <c r="F660" s="64" t="s">
        <v>9253</v>
      </c>
      <c r="G660" s="64" t="s">
        <v>1861</v>
      </c>
    </row>
    <row r="661" spans="1:7" x14ac:dyDescent="0.3">
      <c r="A661" s="64" t="s">
        <v>598</v>
      </c>
      <c r="B661" s="64" t="s">
        <v>1878</v>
      </c>
      <c r="C661" s="64" t="s">
        <v>16</v>
      </c>
      <c r="D661" s="64" t="s">
        <v>600</v>
      </c>
      <c r="E661" s="64" t="s">
        <v>371</v>
      </c>
      <c r="F661" s="64" t="s">
        <v>9253</v>
      </c>
      <c r="G661" s="64" t="s">
        <v>1864</v>
      </c>
    </row>
    <row r="662" spans="1:7" x14ac:dyDescent="0.3">
      <c r="A662" s="64" t="s">
        <v>598</v>
      </c>
      <c r="B662" s="64" t="s">
        <v>1878</v>
      </c>
      <c r="C662" s="64" t="s">
        <v>16</v>
      </c>
      <c r="D662" s="64" t="s">
        <v>600</v>
      </c>
      <c r="E662" s="64" t="s">
        <v>376</v>
      </c>
      <c r="F662" s="64" t="s">
        <v>9253</v>
      </c>
      <c r="G662" s="64" t="s">
        <v>1865</v>
      </c>
    </row>
    <row r="663" spans="1:7" x14ac:dyDescent="0.3">
      <c r="A663" s="64" t="s">
        <v>598</v>
      </c>
      <c r="B663" s="64" t="s">
        <v>1878</v>
      </c>
      <c r="C663" s="64" t="s">
        <v>16</v>
      </c>
      <c r="D663" s="64" t="s">
        <v>600</v>
      </c>
      <c r="E663" s="64" t="s">
        <v>377</v>
      </c>
      <c r="F663" s="64" t="s">
        <v>9253</v>
      </c>
      <c r="G663" s="64" t="s">
        <v>1866</v>
      </c>
    </row>
    <row r="664" spans="1:7" x14ac:dyDescent="0.3">
      <c r="A664" s="64" t="s">
        <v>598</v>
      </c>
      <c r="B664" s="64" t="s">
        <v>1878</v>
      </c>
      <c r="C664" s="64" t="s">
        <v>16</v>
      </c>
      <c r="D664" s="64" t="s">
        <v>600</v>
      </c>
      <c r="E664" s="64" t="s">
        <v>374</v>
      </c>
      <c r="F664" s="64" t="s">
        <v>9253</v>
      </c>
      <c r="G664" s="64" t="s">
        <v>1869</v>
      </c>
    </row>
    <row r="665" spans="1:7" x14ac:dyDescent="0.3">
      <c r="A665" s="64" t="s">
        <v>598</v>
      </c>
      <c r="B665" s="64" t="s">
        <v>1878</v>
      </c>
      <c r="C665" s="64" t="s">
        <v>16</v>
      </c>
      <c r="D665" s="64" t="s">
        <v>600</v>
      </c>
      <c r="E665" s="64" t="s">
        <v>383</v>
      </c>
      <c r="F665" s="64" t="s">
        <v>9253</v>
      </c>
      <c r="G665" s="64" t="s">
        <v>1870</v>
      </c>
    </row>
    <row r="666" spans="1:7" x14ac:dyDescent="0.3">
      <c r="A666" s="64" t="s">
        <v>598</v>
      </c>
      <c r="B666" s="64" t="s">
        <v>1878</v>
      </c>
      <c r="C666" s="64" t="s">
        <v>16</v>
      </c>
      <c r="D666" s="64" t="s">
        <v>600</v>
      </c>
      <c r="E666" s="64" t="s">
        <v>372</v>
      </c>
      <c r="F666" s="64" t="s">
        <v>9253</v>
      </c>
      <c r="G666" s="64" t="s">
        <v>1873</v>
      </c>
    </row>
    <row r="667" spans="1:7" x14ac:dyDescent="0.3">
      <c r="A667" s="64" t="s">
        <v>598</v>
      </c>
      <c r="B667" s="64" t="s">
        <v>1878</v>
      </c>
      <c r="C667" s="64" t="s">
        <v>16</v>
      </c>
      <c r="D667" s="64" t="s">
        <v>600</v>
      </c>
      <c r="E667" s="64" t="s">
        <v>375</v>
      </c>
      <c r="F667" s="64" t="s">
        <v>9253</v>
      </c>
      <c r="G667" s="64" t="s">
        <v>1874</v>
      </c>
    </row>
    <row r="668" spans="1:7" x14ac:dyDescent="0.3">
      <c r="A668" s="64" t="s">
        <v>598</v>
      </c>
      <c r="B668" s="64" t="s">
        <v>1878</v>
      </c>
      <c r="C668" s="64" t="s">
        <v>16</v>
      </c>
      <c r="D668" s="64" t="s">
        <v>600</v>
      </c>
      <c r="E668" s="64" t="s">
        <v>380</v>
      </c>
      <c r="F668" s="64" t="s">
        <v>9253</v>
      </c>
      <c r="G668" s="64" t="s">
        <v>1875</v>
      </c>
    </row>
    <row r="669" spans="1:7" x14ac:dyDescent="0.3">
      <c r="A669" s="64" t="s">
        <v>786</v>
      </c>
      <c r="B669" s="64" t="s">
        <v>1877</v>
      </c>
      <c r="C669" s="64" t="s">
        <v>20</v>
      </c>
      <c r="D669" s="64" t="s">
        <v>16</v>
      </c>
      <c r="E669" s="64" t="s">
        <v>15</v>
      </c>
      <c r="F669" s="64" t="s">
        <v>804</v>
      </c>
      <c r="G669" s="64" t="s">
        <v>805</v>
      </c>
    </row>
    <row r="670" spans="1:7" x14ac:dyDescent="0.3">
      <c r="A670" s="64" t="s">
        <v>786</v>
      </c>
      <c r="B670" s="64" t="s">
        <v>1877</v>
      </c>
      <c r="C670" s="64" t="s">
        <v>20</v>
      </c>
      <c r="D670" s="64" t="s">
        <v>16</v>
      </c>
      <c r="E670" s="64" t="s">
        <v>15</v>
      </c>
      <c r="F670" s="64" t="s">
        <v>803</v>
      </c>
      <c r="G670" s="64" t="s">
        <v>957</v>
      </c>
    </row>
    <row r="671" spans="1:7" x14ac:dyDescent="0.3">
      <c r="A671" s="64" t="s">
        <v>786</v>
      </c>
      <c r="B671" s="64" t="s">
        <v>1877</v>
      </c>
      <c r="C671" s="64" t="s">
        <v>20</v>
      </c>
      <c r="D671" s="64" t="s">
        <v>403</v>
      </c>
      <c r="E671" s="64" t="s">
        <v>15</v>
      </c>
      <c r="F671" s="64" t="s">
        <v>791</v>
      </c>
      <c r="G671" s="64">
        <v>0</v>
      </c>
    </row>
    <row r="672" spans="1:7" x14ac:dyDescent="0.3">
      <c r="A672" s="64" t="s">
        <v>786</v>
      </c>
      <c r="B672" s="64" t="s">
        <v>1877</v>
      </c>
      <c r="C672" s="64" t="s">
        <v>16</v>
      </c>
      <c r="D672" s="64" t="s">
        <v>403</v>
      </c>
      <c r="E672" s="64" t="s">
        <v>369</v>
      </c>
      <c r="F672" s="64" t="s">
        <v>804</v>
      </c>
      <c r="G672" s="64" t="s">
        <v>1860</v>
      </c>
    </row>
    <row r="673" spans="1:7" x14ac:dyDescent="0.3">
      <c r="A673" s="64" t="s">
        <v>786</v>
      </c>
      <c r="B673" s="64" t="s">
        <v>1877</v>
      </c>
      <c r="C673" s="64" t="s">
        <v>16</v>
      </c>
      <c r="D673" s="64" t="s">
        <v>403</v>
      </c>
      <c r="E673" s="64" t="s">
        <v>369</v>
      </c>
      <c r="F673" s="64" t="s">
        <v>803</v>
      </c>
      <c r="G673" s="64" t="s">
        <v>1844</v>
      </c>
    </row>
    <row r="674" spans="1:7" x14ac:dyDescent="0.3">
      <c r="A674" s="64" t="s">
        <v>786</v>
      </c>
      <c r="B674" s="64" t="s">
        <v>1877</v>
      </c>
      <c r="C674" s="64" t="s">
        <v>16</v>
      </c>
      <c r="D674" s="64" t="s">
        <v>403</v>
      </c>
      <c r="E674" s="64" t="s">
        <v>382</v>
      </c>
      <c r="F674" s="64" t="s">
        <v>804</v>
      </c>
      <c r="G674" s="64" t="s">
        <v>1861</v>
      </c>
    </row>
    <row r="675" spans="1:7" x14ac:dyDescent="0.3">
      <c r="A675" s="64" t="s">
        <v>786</v>
      </c>
      <c r="B675" s="64" t="s">
        <v>1877</v>
      </c>
      <c r="C675" s="64" t="s">
        <v>16</v>
      </c>
      <c r="D675" s="64" t="s">
        <v>403</v>
      </c>
      <c r="E675" s="64" t="s">
        <v>382</v>
      </c>
      <c r="F675" s="64" t="s">
        <v>803</v>
      </c>
      <c r="G675" s="64" t="s">
        <v>1845</v>
      </c>
    </row>
    <row r="676" spans="1:7" x14ac:dyDescent="0.3">
      <c r="A676" s="64" t="s">
        <v>786</v>
      </c>
      <c r="B676" s="64" t="s">
        <v>1877</v>
      </c>
      <c r="C676" s="64" t="s">
        <v>16</v>
      </c>
      <c r="D676" s="64" t="s">
        <v>403</v>
      </c>
      <c r="E676" s="64" t="s">
        <v>370</v>
      </c>
      <c r="F676" s="64" t="s">
        <v>804</v>
      </c>
      <c r="G676" s="64" t="s">
        <v>1862</v>
      </c>
    </row>
    <row r="677" spans="1:7" x14ac:dyDescent="0.3">
      <c r="A677" s="64" t="s">
        <v>786</v>
      </c>
      <c r="B677" s="64" t="s">
        <v>1877</v>
      </c>
      <c r="C677" s="64" t="s">
        <v>16</v>
      </c>
      <c r="D677" s="64" t="s">
        <v>403</v>
      </c>
      <c r="E677" s="64" t="s">
        <v>370</v>
      </c>
      <c r="F677" s="64" t="s">
        <v>803</v>
      </c>
      <c r="G677" s="64" t="s">
        <v>1846</v>
      </c>
    </row>
    <row r="678" spans="1:7" x14ac:dyDescent="0.3">
      <c r="A678" s="64" t="s">
        <v>786</v>
      </c>
      <c r="B678" s="64" t="s">
        <v>1877</v>
      </c>
      <c r="C678" s="64" t="s">
        <v>16</v>
      </c>
      <c r="D678" s="64" t="s">
        <v>403</v>
      </c>
      <c r="E678" s="64" t="s">
        <v>378</v>
      </c>
      <c r="F678" s="64" t="s">
        <v>804</v>
      </c>
      <c r="G678" s="64" t="s">
        <v>1863</v>
      </c>
    </row>
    <row r="679" spans="1:7" x14ac:dyDescent="0.3">
      <c r="A679" s="64" t="s">
        <v>786</v>
      </c>
      <c r="B679" s="64" t="s">
        <v>1877</v>
      </c>
      <c r="C679" s="64" t="s">
        <v>16</v>
      </c>
      <c r="D679" s="64" t="s">
        <v>403</v>
      </c>
      <c r="E679" s="64" t="s">
        <v>378</v>
      </c>
      <c r="F679" s="64" t="s">
        <v>803</v>
      </c>
      <c r="G679" s="64" t="s">
        <v>1847</v>
      </c>
    </row>
    <row r="680" spans="1:7" x14ac:dyDescent="0.3">
      <c r="A680" s="64" t="s">
        <v>786</v>
      </c>
      <c r="B680" s="64" t="s">
        <v>1877</v>
      </c>
      <c r="C680" s="64" t="s">
        <v>16</v>
      </c>
      <c r="D680" s="64" t="s">
        <v>403</v>
      </c>
      <c r="E680" s="64" t="s">
        <v>371</v>
      </c>
      <c r="F680" s="64" t="s">
        <v>804</v>
      </c>
      <c r="G680" s="64" t="s">
        <v>1864</v>
      </c>
    </row>
    <row r="681" spans="1:7" x14ac:dyDescent="0.3">
      <c r="A681" s="64" t="s">
        <v>786</v>
      </c>
      <c r="B681" s="64" t="s">
        <v>1877</v>
      </c>
      <c r="C681" s="64" t="s">
        <v>16</v>
      </c>
      <c r="D681" s="64" t="s">
        <v>403</v>
      </c>
      <c r="E681" s="64" t="s">
        <v>371</v>
      </c>
      <c r="F681" s="64" t="s">
        <v>803</v>
      </c>
      <c r="G681" s="64" t="s">
        <v>1848</v>
      </c>
    </row>
    <row r="682" spans="1:7" x14ac:dyDescent="0.3">
      <c r="A682" s="64" t="s">
        <v>786</v>
      </c>
      <c r="B682" s="64" t="s">
        <v>1877</v>
      </c>
      <c r="C682" s="64" t="s">
        <v>16</v>
      </c>
      <c r="D682" s="64" t="s">
        <v>403</v>
      </c>
      <c r="E682" s="64" t="s">
        <v>376</v>
      </c>
      <c r="F682" s="64" t="s">
        <v>804</v>
      </c>
      <c r="G682" s="64" t="s">
        <v>1865</v>
      </c>
    </row>
    <row r="683" spans="1:7" x14ac:dyDescent="0.3">
      <c r="A683" s="64" t="s">
        <v>786</v>
      </c>
      <c r="B683" s="64" t="s">
        <v>1877</v>
      </c>
      <c r="C683" s="64" t="s">
        <v>16</v>
      </c>
      <c r="D683" s="64" t="s">
        <v>403</v>
      </c>
      <c r="E683" s="64" t="s">
        <v>376</v>
      </c>
      <c r="F683" s="64" t="s">
        <v>803</v>
      </c>
      <c r="G683" s="64" t="s">
        <v>1849</v>
      </c>
    </row>
    <row r="684" spans="1:7" x14ac:dyDescent="0.3">
      <c r="A684" s="64" t="s">
        <v>786</v>
      </c>
      <c r="B684" s="64" t="s">
        <v>1877</v>
      </c>
      <c r="C684" s="64" t="s">
        <v>16</v>
      </c>
      <c r="D684" s="64" t="s">
        <v>403</v>
      </c>
      <c r="E684" s="64" t="s">
        <v>377</v>
      </c>
      <c r="F684" s="64" t="s">
        <v>804</v>
      </c>
      <c r="G684" s="64" t="s">
        <v>1866</v>
      </c>
    </row>
    <row r="685" spans="1:7" x14ac:dyDescent="0.3">
      <c r="A685" s="64" t="s">
        <v>786</v>
      </c>
      <c r="B685" s="64" t="s">
        <v>1877</v>
      </c>
      <c r="C685" s="64" t="s">
        <v>16</v>
      </c>
      <c r="D685" s="64" t="s">
        <v>403</v>
      </c>
      <c r="E685" s="64" t="s">
        <v>377</v>
      </c>
      <c r="F685" s="64" t="s">
        <v>803</v>
      </c>
      <c r="G685" s="64" t="s">
        <v>1850</v>
      </c>
    </row>
    <row r="686" spans="1:7" x14ac:dyDescent="0.3">
      <c r="A686" s="64" t="s">
        <v>786</v>
      </c>
      <c r="B686" s="64" t="s">
        <v>1877</v>
      </c>
      <c r="C686" s="64" t="s">
        <v>16</v>
      </c>
      <c r="D686" s="64" t="s">
        <v>403</v>
      </c>
      <c r="E686" s="64" t="s">
        <v>381</v>
      </c>
      <c r="F686" s="64" t="s">
        <v>804</v>
      </c>
      <c r="G686" s="64" t="s">
        <v>1867</v>
      </c>
    </row>
    <row r="687" spans="1:7" x14ac:dyDescent="0.3">
      <c r="A687" s="64" t="s">
        <v>786</v>
      </c>
      <c r="B687" s="64" t="s">
        <v>1877</v>
      </c>
      <c r="C687" s="64" t="s">
        <v>16</v>
      </c>
      <c r="D687" s="64" t="s">
        <v>403</v>
      </c>
      <c r="E687" s="64" t="s">
        <v>381</v>
      </c>
      <c r="F687" s="64" t="s">
        <v>803</v>
      </c>
      <c r="G687" s="64" t="s">
        <v>1851</v>
      </c>
    </row>
    <row r="688" spans="1:7" x14ac:dyDescent="0.3">
      <c r="A688" s="64" t="s">
        <v>786</v>
      </c>
      <c r="B688" s="64" t="s">
        <v>1877</v>
      </c>
      <c r="C688" s="64" t="s">
        <v>16</v>
      </c>
      <c r="D688" s="64" t="s">
        <v>403</v>
      </c>
      <c r="E688" s="64" t="s">
        <v>379</v>
      </c>
      <c r="F688" s="64" t="s">
        <v>804</v>
      </c>
      <c r="G688" s="64" t="s">
        <v>1868</v>
      </c>
    </row>
    <row r="689" spans="1:7" x14ac:dyDescent="0.3">
      <c r="A689" s="64" t="s">
        <v>786</v>
      </c>
      <c r="B689" s="64" t="s">
        <v>1877</v>
      </c>
      <c r="C689" s="64" t="s">
        <v>16</v>
      </c>
      <c r="D689" s="64" t="s">
        <v>403</v>
      </c>
      <c r="E689" s="64" t="s">
        <v>379</v>
      </c>
      <c r="F689" s="64" t="s">
        <v>803</v>
      </c>
      <c r="G689" s="64" t="s">
        <v>1852</v>
      </c>
    </row>
    <row r="690" spans="1:7" x14ac:dyDescent="0.3">
      <c r="A690" s="64" t="s">
        <v>786</v>
      </c>
      <c r="B690" s="64" t="s">
        <v>1877</v>
      </c>
      <c r="C690" s="64" t="s">
        <v>16</v>
      </c>
      <c r="D690" s="64" t="s">
        <v>403</v>
      </c>
      <c r="E690" s="64" t="s">
        <v>374</v>
      </c>
      <c r="F690" s="64" t="s">
        <v>804</v>
      </c>
      <c r="G690" s="64" t="s">
        <v>1869</v>
      </c>
    </row>
    <row r="691" spans="1:7" x14ac:dyDescent="0.3">
      <c r="A691" s="64" t="s">
        <v>786</v>
      </c>
      <c r="B691" s="64" t="s">
        <v>1877</v>
      </c>
      <c r="C691" s="64" t="s">
        <v>16</v>
      </c>
      <c r="D691" s="64" t="s">
        <v>403</v>
      </c>
      <c r="E691" s="64" t="s">
        <v>374</v>
      </c>
      <c r="F691" s="64" t="s">
        <v>803</v>
      </c>
      <c r="G691" s="64" t="s">
        <v>1853</v>
      </c>
    </row>
    <row r="692" spans="1:7" x14ac:dyDescent="0.3">
      <c r="A692" s="64" t="s">
        <v>786</v>
      </c>
      <c r="B692" s="64" t="s">
        <v>1877</v>
      </c>
      <c r="C692" s="64" t="s">
        <v>16</v>
      </c>
      <c r="D692" s="64" t="s">
        <v>403</v>
      </c>
      <c r="E692" s="64" t="s">
        <v>383</v>
      </c>
      <c r="F692" s="64" t="s">
        <v>804</v>
      </c>
      <c r="G692" s="64" t="s">
        <v>1870</v>
      </c>
    </row>
    <row r="693" spans="1:7" x14ac:dyDescent="0.3">
      <c r="A693" s="64" t="s">
        <v>786</v>
      </c>
      <c r="B693" s="64" t="s">
        <v>1877</v>
      </c>
      <c r="C693" s="64" t="s">
        <v>16</v>
      </c>
      <c r="D693" s="64" t="s">
        <v>403</v>
      </c>
      <c r="E693" s="64" t="s">
        <v>383</v>
      </c>
      <c r="F693" s="64" t="s">
        <v>803</v>
      </c>
      <c r="G693" s="64" t="s">
        <v>1854</v>
      </c>
    </row>
    <row r="694" spans="1:7" x14ac:dyDescent="0.3">
      <c r="A694" s="64" t="s">
        <v>786</v>
      </c>
      <c r="B694" s="64" t="s">
        <v>1877</v>
      </c>
      <c r="C694" s="64" t="s">
        <v>16</v>
      </c>
      <c r="D694" s="64" t="s">
        <v>403</v>
      </c>
      <c r="E694" s="64" t="s">
        <v>373</v>
      </c>
      <c r="F694" s="64" t="s">
        <v>804</v>
      </c>
      <c r="G694" s="64" t="s">
        <v>1871</v>
      </c>
    </row>
    <row r="695" spans="1:7" x14ac:dyDescent="0.3">
      <c r="A695" s="64" t="s">
        <v>786</v>
      </c>
      <c r="B695" s="64" t="s">
        <v>1877</v>
      </c>
      <c r="C695" s="64" t="s">
        <v>16</v>
      </c>
      <c r="D695" s="64" t="s">
        <v>403</v>
      </c>
      <c r="E695" s="64" t="s">
        <v>373</v>
      </c>
      <c r="F695" s="64" t="s">
        <v>803</v>
      </c>
      <c r="G695" s="64" t="s">
        <v>1855</v>
      </c>
    </row>
    <row r="696" spans="1:7" x14ac:dyDescent="0.3">
      <c r="A696" s="64" t="s">
        <v>786</v>
      </c>
      <c r="B696" s="64" t="s">
        <v>1877</v>
      </c>
      <c r="C696" s="64" t="s">
        <v>16</v>
      </c>
      <c r="D696" s="64" t="s">
        <v>403</v>
      </c>
      <c r="E696" s="64" t="s">
        <v>368</v>
      </c>
      <c r="F696" s="64" t="s">
        <v>804</v>
      </c>
      <c r="G696" s="64" t="s">
        <v>1872</v>
      </c>
    </row>
    <row r="697" spans="1:7" x14ac:dyDescent="0.3">
      <c r="A697" s="64" t="s">
        <v>786</v>
      </c>
      <c r="B697" s="64" t="s">
        <v>1877</v>
      </c>
      <c r="C697" s="64" t="s">
        <v>16</v>
      </c>
      <c r="D697" s="64" t="s">
        <v>403</v>
      </c>
      <c r="E697" s="64" t="s">
        <v>368</v>
      </c>
      <c r="F697" s="64" t="s">
        <v>803</v>
      </c>
      <c r="G697" s="64" t="s">
        <v>1856</v>
      </c>
    </row>
    <row r="698" spans="1:7" x14ac:dyDescent="0.3">
      <c r="A698" s="64" t="s">
        <v>786</v>
      </c>
      <c r="B698" s="64" t="s">
        <v>1877</v>
      </c>
      <c r="C698" s="64" t="s">
        <v>16</v>
      </c>
      <c r="D698" s="64" t="s">
        <v>403</v>
      </c>
      <c r="E698" s="64" t="s">
        <v>372</v>
      </c>
      <c r="F698" s="64" t="s">
        <v>804</v>
      </c>
      <c r="G698" s="64" t="s">
        <v>1873</v>
      </c>
    </row>
    <row r="699" spans="1:7" x14ac:dyDescent="0.3">
      <c r="A699" s="64" t="s">
        <v>786</v>
      </c>
      <c r="B699" s="64" t="s">
        <v>1877</v>
      </c>
      <c r="C699" s="64" t="s">
        <v>16</v>
      </c>
      <c r="D699" s="64" t="s">
        <v>403</v>
      </c>
      <c r="E699" s="64" t="s">
        <v>372</v>
      </c>
      <c r="F699" s="64" t="s">
        <v>803</v>
      </c>
      <c r="G699" s="64" t="s">
        <v>1857</v>
      </c>
    </row>
    <row r="700" spans="1:7" x14ac:dyDescent="0.3">
      <c r="A700" s="64" t="s">
        <v>786</v>
      </c>
      <c r="B700" s="64" t="s">
        <v>1877</v>
      </c>
      <c r="C700" s="64" t="s">
        <v>16</v>
      </c>
      <c r="D700" s="64" t="s">
        <v>403</v>
      </c>
      <c r="E700" s="64" t="s">
        <v>375</v>
      </c>
      <c r="F700" s="64" t="s">
        <v>804</v>
      </c>
      <c r="G700" s="64" t="s">
        <v>1874</v>
      </c>
    </row>
    <row r="701" spans="1:7" x14ac:dyDescent="0.3">
      <c r="A701" s="64" t="s">
        <v>786</v>
      </c>
      <c r="B701" s="64" t="s">
        <v>1877</v>
      </c>
      <c r="C701" s="64" t="s">
        <v>16</v>
      </c>
      <c r="D701" s="64" t="s">
        <v>403</v>
      </c>
      <c r="E701" s="64" t="s">
        <v>375</v>
      </c>
      <c r="F701" s="64" t="s">
        <v>803</v>
      </c>
      <c r="G701" s="64" t="s">
        <v>1858</v>
      </c>
    </row>
    <row r="702" spans="1:7" x14ac:dyDescent="0.3">
      <c r="A702" s="64" t="s">
        <v>786</v>
      </c>
      <c r="B702" s="64" t="s">
        <v>1877</v>
      </c>
      <c r="C702" s="64" t="s">
        <v>16</v>
      </c>
      <c r="D702" s="64" t="s">
        <v>403</v>
      </c>
      <c r="E702" s="64" t="s">
        <v>380</v>
      </c>
      <c r="F702" s="64" t="s">
        <v>804</v>
      </c>
      <c r="G702" s="64" t="s">
        <v>1875</v>
      </c>
    </row>
    <row r="703" spans="1:7" x14ac:dyDescent="0.3">
      <c r="A703" s="64" t="s">
        <v>786</v>
      </c>
      <c r="B703" s="64" t="s">
        <v>1877</v>
      </c>
      <c r="C703" s="64" t="s">
        <v>16</v>
      </c>
      <c r="D703" s="64" t="s">
        <v>403</v>
      </c>
      <c r="E703" s="64" t="s">
        <v>380</v>
      </c>
      <c r="F703" s="64" t="s">
        <v>803</v>
      </c>
      <c r="G703" s="64" t="s">
        <v>1859</v>
      </c>
    </row>
    <row r="704" spans="1:7" x14ac:dyDescent="0.3">
      <c r="A704" s="64" t="s">
        <v>795</v>
      </c>
      <c r="B704" s="64" t="s">
        <v>1878</v>
      </c>
      <c r="C704" s="64" t="s">
        <v>20</v>
      </c>
      <c r="D704" s="64" t="s">
        <v>16</v>
      </c>
      <c r="E704" s="64" t="s">
        <v>15</v>
      </c>
      <c r="F704" s="64" t="s">
        <v>9271</v>
      </c>
      <c r="G704" s="64" t="s">
        <v>805</v>
      </c>
    </row>
    <row r="705" spans="1:7" x14ac:dyDescent="0.3">
      <c r="A705" s="64" t="s">
        <v>795</v>
      </c>
      <c r="B705" s="64" t="s">
        <v>1878</v>
      </c>
      <c r="C705" s="64" t="s">
        <v>20</v>
      </c>
      <c r="D705" s="64" t="s">
        <v>403</v>
      </c>
      <c r="E705" s="64" t="s">
        <v>15</v>
      </c>
      <c r="F705" s="64" t="s">
        <v>9269</v>
      </c>
      <c r="G705" s="64">
        <v>0</v>
      </c>
    </row>
    <row r="706" spans="1:7" x14ac:dyDescent="0.3">
      <c r="A706" s="64" t="s">
        <v>795</v>
      </c>
      <c r="B706" s="64" t="s">
        <v>1878</v>
      </c>
      <c r="C706" s="64" t="s">
        <v>16</v>
      </c>
      <c r="D706" s="64" t="s">
        <v>16</v>
      </c>
      <c r="E706" s="64" t="s">
        <v>371</v>
      </c>
      <c r="F706" s="64" t="s">
        <v>9271</v>
      </c>
      <c r="G706" s="64" t="s">
        <v>1864</v>
      </c>
    </row>
    <row r="707" spans="1:7" x14ac:dyDescent="0.3">
      <c r="A707" s="64" t="s">
        <v>795</v>
      </c>
      <c r="B707" s="64" t="s">
        <v>1878</v>
      </c>
      <c r="C707" s="64" t="s">
        <v>16</v>
      </c>
      <c r="D707" s="64" t="s">
        <v>16</v>
      </c>
      <c r="E707" s="64" t="s">
        <v>376</v>
      </c>
      <c r="F707" s="64" t="s">
        <v>9271</v>
      </c>
      <c r="G707" s="64" t="s">
        <v>1865</v>
      </c>
    </row>
    <row r="708" spans="1:7" x14ac:dyDescent="0.3">
      <c r="A708" s="64" t="s">
        <v>795</v>
      </c>
      <c r="B708" s="64" t="s">
        <v>1878</v>
      </c>
      <c r="C708" s="64" t="s">
        <v>16</v>
      </c>
      <c r="D708" s="64" t="s">
        <v>16</v>
      </c>
      <c r="E708" s="64" t="s">
        <v>377</v>
      </c>
      <c r="F708" s="64" t="s">
        <v>9271</v>
      </c>
      <c r="G708" s="64" t="s">
        <v>1866</v>
      </c>
    </row>
    <row r="709" spans="1:7" x14ac:dyDescent="0.3">
      <c r="A709" s="64" t="s">
        <v>795</v>
      </c>
      <c r="B709" s="64" t="s">
        <v>1878</v>
      </c>
      <c r="C709" s="64" t="s">
        <v>16</v>
      </c>
      <c r="D709" s="64" t="s">
        <v>16</v>
      </c>
      <c r="E709" s="64" t="s">
        <v>381</v>
      </c>
      <c r="F709" s="64" t="s">
        <v>9271</v>
      </c>
      <c r="G709" s="64" t="s">
        <v>1867</v>
      </c>
    </row>
    <row r="710" spans="1:7" x14ac:dyDescent="0.3">
      <c r="A710" s="64" t="s">
        <v>795</v>
      </c>
      <c r="B710" s="64" t="s">
        <v>1878</v>
      </c>
      <c r="C710" s="64" t="s">
        <v>16</v>
      </c>
      <c r="D710" s="64" t="s">
        <v>16</v>
      </c>
      <c r="E710" s="64" t="s">
        <v>374</v>
      </c>
      <c r="F710" s="64" t="s">
        <v>9271</v>
      </c>
      <c r="G710" s="64" t="s">
        <v>1869</v>
      </c>
    </row>
    <row r="711" spans="1:7" x14ac:dyDescent="0.3">
      <c r="A711" s="64" t="s">
        <v>795</v>
      </c>
      <c r="B711" s="64" t="s">
        <v>1878</v>
      </c>
      <c r="C711" s="64" t="s">
        <v>16</v>
      </c>
      <c r="D711" s="64" t="s">
        <v>16</v>
      </c>
      <c r="E711" s="64" t="s">
        <v>383</v>
      </c>
      <c r="F711" s="64" t="s">
        <v>9271</v>
      </c>
      <c r="G711" s="64" t="s">
        <v>1870</v>
      </c>
    </row>
    <row r="712" spans="1:7" x14ac:dyDescent="0.3">
      <c r="A712" s="64" t="s">
        <v>795</v>
      </c>
      <c r="B712" s="64" t="s">
        <v>1878</v>
      </c>
      <c r="C712" s="64" t="s">
        <v>16</v>
      </c>
      <c r="D712" s="64" t="s">
        <v>16</v>
      </c>
      <c r="E712" s="64" t="s">
        <v>373</v>
      </c>
      <c r="F712" s="64" t="s">
        <v>9271</v>
      </c>
      <c r="G712" s="64" t="s">
        <v>1871</v>
      </c>
    </row>
    <row r="713" spans="1:7" x14ac:dyDescent="0.3">
      <c r="A713" s="64" t="s">
        <v>795</v>
      </c>
      <c r="B713" s="64" t="s">
        <v>1878</v>
      </c>
      <c r="C713" s="64" t="s">
        <v>16</v>
      </c>
      <c r="D713" s="64" t="s">
        <v>16</v>
      </c>
      <c r="E713" s="64" t="s">
        <v>372</v>
      </c>
      <c r="F713" s="64" t="s">
        <v>9271</v>
      </c>
      <c r="G713" s="64" t="s">
        <v>1873</v>
      </c>
    </row>
    <row r="714" spans="1:7" x14ac:dyDescent="0.3">
      <c r="A714" s="64" t="s">
        <v>795</v>
      </c>
      <c r="B714" s="64" t="s">
        <v>1878</v>
      </c>
      <c r="C714" s="64" t="s">
        <v>16</v>
      </c>
      <c r="D714" s="64" t="s">
        <v>16</v>
      </c>
      <c r="E714" s="64" t="s">
        <v>375</v>
      </c>
      <c r="F714" s="64" t="s">
        <v>9271</v>
      </c>
      <c r="G714" s="64" t="s">
        <v>1874</v>
      </c>
    </row>
    <row r="715" spans="1:7" x14ac:dyDescent="0.3">
      <c r="A715" s="64" t="s">
        <v>795</v>
      </c>
      <c r="B715" s="64" t="s">
        <v>1878</v>
      </c>
      <c r="C715" s="64" t="s">
        <v>16</v>
      </c>
      <c r="D715" s="64" t="s">
        <v>16</v>
      </c>
      <c r="E715" s="64" t="s">
        <v>380</v>
      </c>
      <c r="F715" s="64" t="s">
        <v>9271</v>
      </c>
      <c r="G715" s="64" t="s">
        <v>1875</v>
      </c>
    </row>
    <row r="716" spans="1:7" x14ac:dyDescent="0.3">
      <c r="A716" s="64" t="s">
        <v>813</v>
      </c>
      <c r="B716" s="64" t="s">
        <v>1878</v>
      </c>
      <c r="C716" s="64" t="s">
        <v>20</v>
      </c>
      <c r="D716" s="64" t="s">
        <v>403</v>
      </c>
      <c r="E716" s="64" t="s">
        <v>15</v>
      </c>
      <c r="F716" s="64" t="s">
        <v>9255</v>
      </c>
      <c r="G716" s="64" t="s">
        <v>805</v>
      </c>
    </row>
    <row r="717" spans="1:7" x14ac:dyDescent="0.3">
      <c r="A717" s="64" t="s">
        <v>813</v>
      </c>
      <c r="B717" s="64" t="s">
        <v>1878</v>
      </c>
      <c r="C717" s="64" t="s">
        <v>16</v>
      </c>
      <c r="D717" s="64" t="s">
        <v>403</v>
      </c>
      <c r="E717" s="64" t="s">
        <v>382</v>
      </c>
      <c r="F717" s="64" t="s">
        <v>9255</v>
      </c>
      <c r="G717" s="64" t="s">
        <v>1861</v>
      </c>
    </row>
    <row r="718" spans="1:7" x14ac:dyDescent="0.3">
      <c r="A718" s="64" t="s">
        <v>813</v>
      </c>
      <c r="B718" s="64" t="s">
        <v>1878</v>
      </c>
      <c r="C718" s="64" t="s">
        <v>16</v>
      </c>
      <c r="D718" s="64" t="s">
        <v>403</v>
      </c>
      <c r="E718" s="64" t="s">
        <v>370</v>
      </c>
      <c r="F718" s="64" t="s">
        <v>9255</v>
      </c>
      <c r="G718" s="64" t="s">
        <v>1862</v>
      </c>
    </row>
    <row r="719" spans="1:7" x14ac:dyDescent="0.3">
      <c r="A719" s="64" t="s">
        <v>813</v>
      </c>
      <c r="B719" s="64" t="s">
        <v>1878</v>
      </c>
      <c r="C719" s="64" t="s">
        <v>16</v>
      </c>
      <c r="D719" s="64" t="s">
        <v>403</v>
      </c>
      <c r="E719" s="64" t="s">
        <v>371</v>
      </c>
      <c r="F719" s="64" t="s">
        <v>9255</v>
      </c>
      <c r="G719" s="64" t="s">
        <v>1864</v>
      </c>
    </row>
    <row r="720" spans="1:7" x14ac:dyDescent="0.3">
      <c r="A720" s="64" t="s">
        <v>813</v>
      </c>
      <c r="B720" s="64" t="s">
        <v>1878</v>
      </c>
      <c r="C720" s="64" t="s">
        <v>16</v>
      </c>
      <c r="D720" s="64" t="s">
        <v>403</v>
      </c>
      <c r="E720" s="64" t="s">
        <v>376</v>
      </c>
      <c r="F720" s="64" t="s">
        <v>9255</v>
      </c>
      <c r="G720" s="64" t="s">
        <v>1865</v>
      </c>
    </row>
    <row r="721" spans="1:7" x14ac:dyDescent="0.3">
      <c r="A721" s="64" t="s">
        <v>813</v>
      </c>
      <c r="B721" s="64" t="s">
        <v>1878</v>
      </c>
      <c r="C721" s="64" t="s">
        <v>16</v>
      </c>
      <c r="D721" s="64" t="s">
        <v>403</v>
      </c>
      <c r="E721" s="64" t="s">
        <v>374</v>
      </c>
      <c r="F721" s="64" t="s">
        <v>9255</v>
      </c>
      <c r="G721" s="64" t="s">
        <v>1869</v>
      </c>
    </row>
    <row r="722" spans="1:7" x14ac:dyDescent="0.3">
      <c r="A722" s="64" t="s">
        <v>813</v>
      </c>
      <c r="B722" s="64" t="s">
        <v>1878</v>
      </c>
      <c r="C722" s="64" t="s">
        <v>16</v>
      </c>
      <c r="D722" s="64" t="s">
        <v>403</v>
      </c>
      <c r="E722" s="64" t="s">
        <v>383</v>
      </c>
      <c r="F722" s="64" t="s">
        <v>9255</v>
      </c>
      <c r="G722" s="64" t="s">
        <v>1870</v>
      </c>
    </row>
    <row r="723" spans="1:7" x14ac:dyDescent="0.3">
      <c r="A723" s="64" t="s">
        <v>813</v>
      </c>
      <c r="B723" s="64" t="s">
        <v>1878</v>
      </c>
      <c r="C723" s="64" t="s">
        <v>16</v>
      </c>
      <c r="D723" s="64" t="s">
        <v>403</v>
      </c>
      <c r="E723" s="64" t="s">
        <v>373</v>
      </c>
      <c r="F723" s="64" t="s">
        <v>9255</v>
      </c>
      <c r="G723" s="64" t="s">
        <v>1871</v>
      </c>
    </row>
    <row r="724" spans="1:7" x14ac:dyDescent="0.3">
      <c r="A724" s="64" t="s">
        <v>813</v>
      </c>
      <c r="B724" s="64" t="s">
        <v>1878</v>
      </c>
      <c r="C724" s="64" t="s">
        <v>16</v>
      </c>
      <c r="D724" s="64" t="s">
        <v>403</v>
      </c>
      <c r="E724" s="64" t="s">
        <v>372</v>
      </c>
      <c r="F724" s="64" t="s">
        <v>9255</v>
      </c>
      <c r="G724" s="64" t="s">
        <v>1873</v>
      </c>
    </row>
    <row r="725" spans="1:7" x14ac:dyDescent="0.3">
      <c r="A725" s="64" t="s">
        <v>813</v>
      </c>
      <c r="B725" s="64" t="s">
        <v>1878</v>
      </c>
      <c r="C725" s="64" t="s">
        <v>16</v>
      </c>
      <c r="D725" s="64" t="s">
        <v>403</v>
      </c>
      <c r="E725" s="64" t="s">
        <v>375</v>
      </c>
      <c r="F725" s="64" t="s">
        <v>9255</v>
      </c>
      <c r="G725" s="64" t="s">
        <v>1874</v>
      </c>
    </row>
    <row r="726" spans="1:7" x14ac:dyDescent="0.3">
      <c r="A726" s="64" t="s">
        <v>813</v>
      </c>
      <c r="B726" s="64" t="s">
        <v>1878</v>
      </c>
      <c r="C726" s="64" t="s">
        <v>16</v>
      </c>
      <c r="D726" s="64" t="s">
        <v>403</v>
      </c>
      <c r="E726" s="64" t="s">
        <v>380</v>
      </c>
      <c r="F726" s="64" t="s">
        <v>9255</v>
      </c>
      <c r="G726" s="64" t="s">
        <v>1875</v>
      </c>
    </row>
    <row r="727" spans="1:7" x14ac:dyDescent="0.3">
      <c r="A727" s="64" t="s">
        <v>815</v>
      </c>
      <c r="B727" s="64" t="s">
        <v>1880</v>
      </c>
      <c r="C727" s="64" t="s">
        <v>20</v>
      </c>
      <c r="D727" s="64" t="s">
        <v>16</v>
      </c>
      <c r="E727" s="64" t="s">
        <v>15</v>
      </c>
      <c r="F727" s="64" t="s">
        <v>9311</v>
      </c>
      <c r="G727" s="64">
        <v>0</v>
      </c>
    </row>
    <row r="728" spans="1:7" x14ac:dyDescent="0.3">
      <c r="A728" s="64" t="s">
        <v>815</v>
      </c>
      <c r="B728" s="64" t="s">
        <v>1880</v>
      </c>
      <c r="C728" s="64" t="s">
        <v>20</v>
      </c>
      <c r="D728" s="64" t="s">
        <v>16</v>
      </c>
      <c r="E728" s="64" t="s">
        <v>15</v>
      </c>
      <c r="F728" s="64" t="s">
        <v>9312</v>
      </c>
      <c r="G728" s="64">
        <v>0</v>
      </c>
    </row>
    <row r="729" spans="1:7" x14ac:dyDescent="0.3">
      <c r="A729" s="64" t="s">
        <v>824</v>
      </c>
      <c r="B729" s="64" t="s">
        <v>1470</v>
      </c>
      <c r="C729" s="64" t="s">
        <v>20</v>
      </c>
      <c r="D729" s="64" t="s">
        <v>16</v>
      </c>
      <c r="E729" s="64" t="s">
        <v>15</v>
      </c>
      <c r="F729" s="64" t="s">
        <v>825</v>
      </c>
      <c r="G729" s="64" t="s">
        <v>805</v>
      </c>
    </row>
    <row r="730" spans="1:7" x14ac:dyDescent="0.3">
      <c r="A730" s="64" t="s">
        <v>824</v>
      </c>
      <c r="B730" s="64" t="s">
        <v>1470</v>
      </c>
      <c r="C730" s="64" t="s">
        <v>20</v>
      </c>
      <c r="D730" s="64" t="s">
        <v>403</v>
      </c>
      <c r="E730" s="64" t="s">
        <v>15</v>
      </c>
      <c r="F730" s="64" t="s">
        <v>825</v>
      </c>
      <c r="G730" s="64">
        <v>0</v>
      </c>
    </row>
    <row r="731" spans="1:7" x14ac:dyDescent="0.3">
      <c r="A731" s="64" t="s">
        <v>824</v>
      </c>
      <c r="B731" s="64" t="s">
        <v>1470</v>
      </c>
      <c r="C731" s="64" t="s">
        <v>16</v>
      </c>
      <c r="D731" s="64" t="s">
        <v>403</v>
      </c>
      <c r="E731" s="64" t="s">
        <v>369</v>
      </c>
      <c r="F731" s="64" t="s">
        <v>825</v>
      </c>
      <c r="G731" s="64" t="s">
        <v>1860</v>
      </c>
    </row>
    <row r="732" spans="1:7" x14ac:dyDescent="0.3">
      <c r="A732" s="64" t="s">
        <v>824</v>
      </c>
      <c r="B732" s="64" t="s">
        <v>1470</v>
      </c>
      <c r="C732" s="64" t="s">
        <v>16</v>
      </c>
      <c r="D732" s="64" t="s">
        <v>403</v>
      </c>
      <c r="E732" s="64" t="s">
        <v>382</v>
      </c>
      <c r="F732" s="64" t="s">
        <v>825</v>
      </c>
      <c r="G732" s="64" t="s">
        <v>1861</v>
      </c>
    </row>
    <row r="733" spans="1:7" x14ac:dyDescent="0.3">
      <c r="A733" s="64" t="s">
        <v>824</v>
      </c>
      <c r="B733" s="64" t="s">
        <v>1470</v>
      </c>
      <c r="C733" s="64" t="s">
        <v>16</v>
      </c>
      <c r="D733" s="64" t="s">
        <v>403</v>
      </c>
      <c r="E733" s="64" t="s">
        <v>370</v>
      </c>
      <c r="F733" s="64" t="s">
        <v>825</v>
      </c>
      <c r="G733" s="64" t="s">
        <v>1862</v>
      </c>
    </row>
    <row r="734" spans="1:7" x14ac:dyDescent="0.3">
      <c r="A734" s="64" t="s">
        <v>824</v>
      </c>
      <c r="B734" s="64" t="s">
        <v>1470</v>
      </c>
      <c r="C734" s="64" t="s">
        <v>16</v>
      </c>
      <c r="D734" s="64" t="s">
        <v>403</v>
      </c>
      <c r="E734" s="64" t="s">
        <v>378</v>
      </c>
      <c r="F734" s="64" t="s">
        <v>825</v>
      </c>
      <c r="G734" s="64" t="s">
        <v>1863</v>
      </c>
    </row>
    <row r="735" spans="1:7" x14ac:dyDescent="0.3">
      <c r="A735" s="64" t="s">
        <v>824</v>
      </c>
      <c r="B735" s="64" t="s">
        <v>1470</v>
      </c>
      <c r="C735" s="64" t="s">
        <v>16</v>
      </c>
      <c r="D735" s="64" t="s">
        <v>403</v>
      </c>
      <c r="E735" s="64" t="s">
        <v>371</v>
      </c>
      <c r="F735" s="64" t="s">
        <v>825</v>
      </c>
      <c r="G735" s="64" t="s">
        <v>1864</v>
      </c>
    </row>
    <row r="736" spans="1:7" x14ac:dyDescent="0.3">
      <c r="A736" s="64" t="s">
        <v>824</v>
      </c>
      <c r="B736" s="64" t="s">
        <v>1470</v>
      </c>
      <c r="C736" s="64" t="s">
        <v>16</v>
      </c>
      <c r="D736" s="64" t="s">
        <v>403</v>
      </c>
      <c r="E736" s="64" t="s">
        <v>376</v>
      </c>
      <c r="F736" s="64" t="s">
        <v>825</v>
      </c>
      <c r="G736" s="64" t="s">
        <v>1865</v>
      </c>
    </row>
    <row r="737" spans="1:7" x14ac:dyDescent="0.3">
      <c r="A737" s="64" t="s">
        <v>824</v>
      </c>
      <c r="B737" s="64" t="s">
        <v>1470</v>
      </c>
      <c r="C737" s="64" t="s">
        <v>16</v>
      </c>
      <c r="D737" s="64" t="s">
        <v>403</v>
      </c>
      <c r="E737" s="64" t="s">
        <v>377</v>
      </c>
      <c r="F737" s="64" t="s">
        <v>825</v>
      </c>
      <c r="G737" s="64" t="s">
        <v>1866</v>
      </c>
    </row>
    <row r="738" spans="1:7" x14ac:dyDescent="0.3">
      <c r="A738" s="64" t="s">
        <v>824</v>
      </c>
      <c r="B738" s="64" t="s">
        <v>1470</v>
      </c>
      <c r="C738" s="64" t="s">
        <v>16</v>
      </c>
      <c r="D738" s="64" t="s">
        <v>403</v>
      </c>
      <c r="E738" s="64" t="s">
        <v>381</v>
      </c>
      <c r="F738" s="64" t="s">
        <v>825</v>
      </c>
      <c r="G738" s="64" t="s">
        <v>1867</v>
      </c>
    </row>
    <row r="739" spans="1:7" x14ac:dyDescent="0.3">
      <c r="A739" s="64" t="s">
        <v>824</v>
      </c>
      <c r="B739" s="64" t="s">
        <v>1470</v>
      </c>
      <c r="C739" s="64" t="s">
        <v>16</v>
      </c>
      <c r="D739" s="64" t="s">
        <v>403</v>
      </c>
      <c r="E739" s="64" t="s">
        <v>379</v>
      </c>
      <c r="F739" s="64" t="s">
        <v>825</v>
      </c>
      <c r="G739" s="64" t="s">
        <v>1868</v>
      </c>
    </row>
    <row r="740" spans="1:7" x14ac:dyDescent="0.3">
      <c r="A740" s="64" t="s">
        <v>824</v>
      </c>
      <c r="B740" s="64" t="s">
        <v>1470</v>
      </c>
      <c r="C740" s="64" t="s">
        <v>16</v>
      </c>
      <c r="D740" s="64" t="s">
        <v>403</v>
      </c>
      <c r="E740" s="64" t="s">
        <v>374</v>
      </c>
      <c r="F740" s="64" t="s">
        <v>825</v>
      </c>
      <c r="G740" s="64" t="s">
        <v>1869</v>
      </c>
    </row>
    <row r="741" spans="1:7" x14ac:dyDescent="0.3">
      <c r="A741" s="64" t="s">
        <v>824</v>
      </c>
      <c r="B741" s="64" t="s">
        <v>1470</v>
      </c>
      <c r="C741" s="64" t="s">
        <v>16</v>
      </c>
      <c r="D741" s="64" t="s">
        <v>403</v>
      </c>
      <c r="E741" s="64" t="s">
        <v>383</v>
      </c>
      <c r="F741" s="64" t="s">
        <v>825</v>
      </c>
      <c r="G741" s="64" t="s">
        <v>1870</v>
      </c>
    </row>
    <row r="742" spans="1:7" x14ac:dyDescent="0.3">
      <c r="A742" s="64" t="s">
        <v>824</v>
      </c>
      <c r="B742" s="64" t="s">
        <v>1470</v>
      </c>
      <c r="C742" s="64" t="s">
        <v>16</v>
      </c>
      <c r="D742" s="64" t="s">
        <v>403</v>
      </c>
      <c r="E742" s="64" t="s">
        <v>373</v>
      </c>
      <c r="F742" s="64" t="s">
        <v>825</v>
      </c>
      <c r="G742" s="64" t="s">
        <v>1871</v>
      </c>
    </row>
    <row r="743" spans="1:7" x14ac:dyDescent="0.3">
      <c r="A743" s="64" t="s">
        <v>824</v>
      </c>
      <c r="B743" s="64" t="s">
        <v>1470</v>
      </c>
      <c r="C743" s="64" t="s">
        <v>16</v>
      </c>
      <c r="D743" s="64" t="s">
        <v>403</v>
      </c>
      <c r="E743" s="64" t="s">
        <v>368</v>
      </c>
      <c r="F743" s="64" t="s">
        <v>825</v>
      </c>
      <c r="G743" s="64" t="s">
        <v>1872</v>
      </c>
    </row>
    <row r="744" spans="1:7" x14ac:dyDescent="0.3">
      <c r="A744" s="64" t="s">
        <v>824</v>
      </c>
      <c r="B744" s="64" t="s">
        <v>1470</v>
      </c>
      <c r="C744" s="64" t="s">
        <v>16</v>
      </c>
      <c r="D744" s="64" t="s">
        <v>403</v>
      </c>
      <c r="E744" s="64" t="s">
        <v>372</v>
      </c>
      <c r="F744" s="64" t="s">
        <v>825</v>
      </c>
      <c r="G744" s="64" t="s">
        <v>1873</v>
      </c>
    </row>
    <row r="745" spans="1:7" x14ac:dyDescent="0.3">
      <c r="A745" s="64" t="s">
        <v>824</v>
      </c>
      <c r="B745" s="64" t="s">
        <v>1470</v>
      </c>
      <c r="C745" s="64" t="s">
        <v>16</v>
      </c>
      <c r="D745" s="64" t="s">
        <v>403</v>
      </c>
      <c r="E745" s="64" t="s">
        <v>375</v>
      </c>
      <c r="F745" s="64" t="s">
        <v>825</v>
      </c>
      <c r="G745" s="64" t="s">
        <v>1874</v>
      </c>
    </row>
    <row r="746" spans="1:7" x14ac:dyDescent="0.3">
      <c r="A746" s="64" t="s">
        <v>824</v>
      </c>
      <c r="B746" s="64" t="s">
        <v>1470</v>
      </c>
      <c r="C746" s="64" t="s">
        <v>16</v>
      </c>
      <c r="D746" s="64" t="s">
        <v>403</v>
      </c>
      <c r="E746" s="64" t="s">
        <v>380</v>
      </c>
      <c r="F746" s="64" t="s">
        <v>825</v>
      </c>
      <c r="G746" s="64" t="s">
        <v>1875</v>
      </c>
    </row>
    <row r="747" spans="1:7" x14ac:dyDescent="0.3">
      <c r="A747" s="64" t="s">
        <v>829</v>
      </c>
      <c r="B747" s="64" t="s">
        <v>1877</v>
      </c>
      <c r="C747" s="64" t="s">
        <v>20</v>
      </c>
      <c r="D747" s="64" t="s">
        <v>403</v>
      </c>
      <c r="E747" s="64" t="s">
        <v>15</v>
      </c>
      <c r="F747" s="64" t="s">
        <v>834</v>
      </c>
      <c r="G747" s="64">
        <v>0</v>
      </c>
    </row>
    <row r="748" spans="1:7" x14ac:dyDescent="0.3">
      <c r="A748" s="64" t="s">
        <v>829</v>
      </c>
      <c r="B748" s="64" t="s">
        <v>1877</v>
      </c>
      <c r="C748" s="64" t="s">
        <v>20</v>
      </c>
      <c r="D748" s="64" t="s">
        <v>403</v>
      </c>
      <c r="E748" s="64" t="s">
        <v>15</v>
      </c>
      <c r="F748" s="64" t="s">
        <v>838</v>
      </c>
      <c r="G748" s="64">
        <v>0</v>
      </c>
    </row>
    <row r="749" spans="1:7" x14ac:dyDescent="0.3">
      <c r="A749" s="64" t="s">
        <v>829</v>
      </c>
      <c r="B749" s="64" t="s">
        <v>1877</v>
      </c>
      <c r="C749" s="64" t="s">
        <v>20</v>
      </c>
      <c r="D749" s="64" t="s">
        <v>403</v>
      </c>
      <c r="E749" s="64" t="s">
        <v>15</v>
      </c>
      <c r="F749" s="64" t="s">
        <v>840</v>
      </c>
      <c r="G749" s="64">
        <v>0</v>
      </c>
    </row>
    <row r="750" spans="1:7" x14ac:dyDescent="0.3">
      <c r="A750" s="64" t="s">
        <v>829</v>
      </c>
      <c r="B750" s="64" t="s">
        <v>1877</v>
      </c>
      <c r="C750" s="64" t="s">
        <v>20</v>
      </c>
      <c r="D750" s="64" t="s">
        <v>403</v>
      </c>
      <c r="E750" s="64" t="s">
        <v>15</v>
      </c>
      <c r="F750" s="64" t="s">
        <v>844</v>
      </c>
      <c r="G750" s="64">
        <v>0</v>
      </c>
    </row>
    <row r="751" spans="1:7" x14ac:dyDescent="0.3">
      <c r="A751" s="64" t="s">
        <v>845</v>
      </c>
      <c r="B751" s="64" t="s">
        <v>1877</v>
      </c>
      <c r="C751" s="64" t="s">
        <v>20</v>
      </c>
      <c r="D751" s="64" t="s">
        <v>16</v>
      </c>
      <c r="E751" s="64" t="s">
        <v>15</v>
      </c>
      <c r="F751" s="64" t="s">
        <v>1971</v>
      </c>
      <c r="G751" s="64" t="s">
        <v>805</v>
      </c>
    </row>
    <row r="752" spans="1:7" x14ac:dyDescent="0.3">
      <c r="A752" s="64" t="s">
        <v>845</v>
      </c>
      <c r="B752" s="64" t="s">
        <v>1877</v>
      </c>
      <c r="C752" s="64" t="s">
        <v>16</v>
      </c>
      <c r="D752" s="64" t="s">
        <v>403</v>
      </c>
      <c r="E752" s="64" t="s">
        <v>369</v>
      </c>
      <c r="F752" s="64" t="s">
        <v>1975</v>
      </c>
      <c r="G752" s="64" t="s">
        <v>1860</v>
      </c>
    </row>
    <row r="753" spans="1:7" x14ac:dyDescent="0.3">
      <c r="A753" s="64" t="s">
        <v>845</v>
      </c>
      <c r="B753" s="64" t="s">
        <v>1877</v>
      </c>
      <c r="C753" s="64" t="s">
        <v>16</v>
      </c>
      <c r="D753" s="64" t="s">
        <v>403</v>
      </c>
      <c r="E753" s="64" t="s">
        <v>382</v>
      </c>
      <c r="F753" s="64" t="s">
        <v>1975</v>
      </c>
      <c r="G753" s="64" t="s">
        <v>1861</v>
      </c>
    </row>
    <row r="754" spans="1:7" x14ac:dyDescent="0.3">
      <c r="A754" s="64" t="s">
        <v>845</v>
      </c>
      <c r="B754" s="64" t="s">
        <v>1877</v>
      </c>
      <c r="C754" s="64" t="s">
        <v>16</v>
      </c>
      <c r="D754" s="64" t="s">
        <v>403</v>
      </c>
      <c r="E754" s="64" t="s">
        <v>370</v>
      </c>
      <c r="F754" s="64" t="s">
        <v>1975</v>
      </c>
      <c r="G754" s="64" t="s">
        <v>1862</v>
      </c>
    </row>
    <row r="755" spans="1:7" x14ac:dyDescent="0.3">
      <c r="A755" s="64" t="s">
        <v>845</v>
      </c>
      <c r="B755" s="64" t="s">
        <v>1877</v>
      </c>
      <c r="C755" s="64" t="s">
        <v>16</v>
      </c>
      <c r="D755" s="64" t="s">
        <v>403</v>
      </c>
      <c r="E755" s="64" t="s">
        <v>378</v>
      </c>
      <c r="F755" s="64" t="s">
        <v>1975</v>
      </c>
      <c r="G755" s="64" t="s">
        <v>1863</v>
      </c>
    </row>
    <row r="756" spans="1:7" x14ac:dyDescent="0.3">
      <c r="A756" s="64" t="s">
        <v>845</v>
      </c>
      <c r="B756" s="64" t="s">
        <v>1877</v>
      </c>
      <c r="C756" s="64" t="s">
        <v>16</v>
      </c>
      <c r="D756" s="64" t="s">
        <v>403</v>
      </c>
      <c r="E756" s="64" t="s">
        <v>371</v>
      </c>
      <c r="F756" s="64" t="s">
        <v>1975</v>
      </c>
      <c r="G756" s="64" t="s">
        <v>1864</v>
      </c>
    </row>
    <row r="757" spans="1:7" x14ac:dyDescent="0.3">
      <c r="A757" s="64" t="s">
        <v>845</v>
      </c>
      <c r="B757" s="64" t="s">
        <v>1877</v>
      </c>
      <c r="C757" s="64" t="s">
        <v>16</v>
      </c>
      <c r="D757" s="64" t="s">
        <v>403</v>
      </c>
      <c r="E757" s="64" t="s">
        <v>376</v>
      </c>
      <c r="F757" s="64" t="s">
        <v>1975</v>
      </c>
      <c r="G757" s="64" t="s">
        <v>1865</v>
      </c>
    </row>
    <row r="758" spans="1:7" x14ac:dyDescent="0.3">
      <c r="A758" s="64" t="s">
        <v>845</v>
      </c>
      <c r="B758" s="64" t="s">
        <v>1877</v>
      </c>
      <c r="C758" s="64" t="s">
        <v>16</v>
      </c>
      <c r="D758" s="64" t="s">
        <v>403</v>
      </c>
      <c r="E758" s="64" t="s">
        <v>377</v>
      </c>
      <c r="F758" s="64" t="s">
        <v>1975</v>
      </c>
      <c r="G758" s="64" t="s">
        <v>1866</v>
      </c>
    </row>
    <row r="759" spans="1:7" x14ac:dyDescent="0.3">
      <c r="A759" s="64" t="s">
        <v>845</v>
      </c>
      <c r="B759" s="64" t="s">
        <v>1877</v>
      </c>
      <c r="C759" s="64" t="s">
        <v>16</v>
      </c>
      <c r="D759" s="64" t="s">
        <v>403</v>
      </c>
      <c r="E759" s="64" t="s">
        <v>381</v>
      </c>
      <c r="F759" s="64" t="s">
        <v>1975</v>
      </c>
      <c r="G759" s="64" t="s">
        <v>1867</v>
      </c>
    </row>
    <row r="760" spans="1:7" x14ac:dyDescent="0.3">
      <c r="A760" s="64" t="s">
        <v>845</v>
      </c>
      <c r="B760" s="64" t="s">
        <v>1877</v>
      </c>
      <c r="C760" s="64" t="s">
        <v>16</v>
      </c>
      <c r="D760" s="64" t="s">
        <v>403</v>
      </c>
      <c r="E760" s="64" t="s">
        <v>379</v>
      </c>
      <c r="F760" s="64" t="s">
        <v>1975</v>
      </c>
      <c r="G760" s="64" t="s">
        <v>1868</v>
      </c>
    </row>
    <row r="761" spans="1:7" x14ac:dyDescent="0.3">
      <c r="A761" s="64" t="s">
        <v>845</v>
      </c>
      <c r="B761" s="64" t="s">
        <v>1877</v>
      </c>
      <c r="C761" s="64" t="s">
        <v>16</v>
      </c>
      <c r="D761" s="64" t="s">
        <v>403</v>
      </c>
      <c r="E761" s="64" t="s">
        <v>374</v>
      </c>
      <c r="F761" s="64" t="s">
        <v>1975</v>
      </c>
      <c r="G761" s="64" t="s">
        <v>1869</v>
      </c>
    </row>
    <row r="762" spans="1:7" x14ac:dyDescent="0.3">
      <c r="A762" s="64" t="s">
        <v>845</v>
      </c>
      <c r="B762" s="64" t="s">
        <v>1877</v>
      </c>
      <c r="C762" s="64" t="s">
        <v>16</v>
      </c>
      <c r="D762" s="64" t="s">
        <v>403</v>
      </c>
      <c r="E762" s="64" t="s">
        <v>383</v>
      </c>
      <c r="F762" s="64" t="s">
        <v>1975</v>
      </c>
      <c r="G762" s="64" t="s">
        <v>1870</v>
      </c>
    </row>
    <row r="763" spans="1:7" x14ac:dyDescent="0.3">
      <c r="A763" s="64" t="s">
        <v>845</v>
      </c>
      <c r="B763" s="64" t="s">
        <v>1877</v>
      </c>
      <c r="C763" s="64" t="s">
        <v>16</v>
      </c>
      <c r="D763" s="64" t="s">
        <v>403</v>
      </c>
      <c r="E763" s="64" t="s">
        <v>373</v>
      </c>
      <c r="F763" s="64" t="s">
        <v>1975</v>
      </c>
      <c r="G763" s="64" t="s">
        <v>1871</v>
      </c>
    </row>
    <row r="764" spans="1:7" x14ac:dyDescent="0.3">
      <c r="A764" s="64" t="s">
        <v>845</v>
      </c>
      <c r="B764" s="64" t="s">
        <v>1877</v>
      </c>
      <c r="C764" s="64" t="s">
        <v>16</v>
      </c>
      <c r="D764" s="64" t="s">
        <v>403</v>
      </c>
      <c r="E764" s="64" t="s">
        <v>368</v>
      </c>
      <c r="F764" s="64" t="s">
        <v>1975</v>
      </c>
      <c r="G764" s="64" t="s">
        <v>1872</v>
      </c>
    </row>
    <row r="765" spans="1:7" x14ac:dyDescent="0.3">
      <c r="A765" s="64" t="s">
        <v>845</v>
      </c>
      <c r="B765" s="64" t="s">
        <v>1877</v>
      </c>
      <c r="C765" s="64" t="s">
        <v>16</v>
      </c>
      <c r="D765" s="64" t="s">
        <v>403</v>
      </c>
      <c r="E765" s="64" t="s">
        <v>372</v>
      </c>
      <c r="F765" s="64" t="s">
        <v>1975</v>
      </c>
      <c r="G765" s="64" t="s">
        <v>1873</v>
      </c>
    </row>
    <row r="766" spans="1:7" x14ac:dyDescent="0.3">
      <c r="A766" s="64" t="s">
        <v>845</v>
      </c>
      <c r="B766" s="64" t="s">
        <v>1877</v>
      </c>
      <c r="C766" s="64" t="s">
        <v>16</v>
      </c>
      <c r="D766" s="64" t="s">
        <v>403</v>
      </c>
      <c r="E766" s="64" t="s">
        <v>375</v>
      </c>
      <c r="F766" s="64" t="s">
        <v>1975</v>
      </c>
      <c r="G766" s="64" t="s">
        <v>1874</v>
      </c>
    </row>
    <row r="767" spans="1:7" x14ac:dyDescent="0.3">
      <c r="A767" s="64" t="s">
        <v>845</v>
      </c>
      <c r="B767" s="64" t="s">
        <v>1877</v>
      </c>
      <c r="C767" s="64" t="s">
        <v>16</v>
      </c>
      <c r="D767" s="64" t="s">
        <v>403</v>
      </c>
      <c r="E767" s="64" t="s">
        <v>380</v>
      </c>
      <c r="F767" s="64" t="s">
        <v>1975</v>
      </c>
      <c r="G767" s="64" t="s">
        <v>1875</v>
      </c>
    </row>
    <row r="768" spans="1:7" x14ac:dyDescent="0.3">
      <c r="A768" s="64" t="s">
        <v>1418</v>
      </c>
      <c r="B768" s="64" t="s">
        <v>866</v>
      </c>
      <c r="C768" s="64" t="s">
        <v>20</v>
      </c>
      <c r="D768" s="64" t="s">
        <v>16</v>
      </c>
      <c r="E768" s="64" t="s">
        <v>15</v>
      </c>
      <c r="F768" s="64" t="s">
        <v>9267</v>
      </c>
      <c r="G768" s="64" t="s">
        <v>805</v>
      </c>
    </row>
    <row r="769" spans="1:7" x14ac:dyDescent="0.3">
      <c r="A769" s="64" t="s">
        <v>1418</v>
      </c>
      <c r="B769" s="64" t="s">
        <v>866</v>
      </c>
      <c r="C769" s="64" t="s">
        <v>20</v>
      </c>
      <c r="D769" s="64" t="s">
        <v>403</v>
      </c>
      <c r="E769" s="64" t="s">
        <v>15</v>
      </c>
      <c r="F769" s="64" t="s">
        <v>9267</v>
      </c>
      <c r="G769" s="64" t="s">
        <v>805</v>
      </c>
    </row>
    <row r="770" spans="1:7" x14ac:dyDescent="0.3">
      <c r="A770" s="64" t="s">
        <v>1418</v>
      </c>
      <c r="B770" s="64" t="s">
        <v>866</v>
      </c>
      <c r="C770" s="64" t="s">
        <v>20</v>
      </c>
      <c r="D770" s="64" t="s">
        <v>403</v>
      </c>
      <c r="E770" s="64" t="s">
        <v>15</v>
      </c>
      <c r="F770" s="64" t="s">
        <v>9267</v>
      </c>
      <c r="G770" s="64">
        <v>0</v>
      </c>
    </row>
    <row r="771" spans="1:7" x14ac:dyDescent="0.3">
      <c r="A771" s="64" t="s">
        <v>1418</v>
      </c>
      <c r="B771" s="64" t="s">
        <v>866</v>
      </c>
      <c r="C771" s="64" t="s">
        <v>16</v>
      </c>
      <c r="D771" s="64" t="s">
        <v>403</v>
      </c>
      <c r="E771" s="64" t="s">
        <v>369</v>
      </c>
      <c r="F771" s="64" t="s">
        <v>9267</v>
      </c>
      <c r="G771" s="64" t="s">
        <v>1860</v>
      </c>
    </row>
    <row r="772" spans="1:7" x14ac:dyDescent="0.3">
      <c r="A772" s="64" t="s">
        <v>1418</v>
      </c>
      <c r="B772" s="64" t="s">
        <v>866</v>
      </c>
      <c r="C772" s="64" t="s">
        <v>16</v>
      </c>
      <c r="D772" s="64" t="s">
        <v>403</v>
      </c>
      <c r="E772" s="64" t="s">
        <v>382</v>
      </c>
      <c r="F772" s="64" t="s">
        <v>9267</v>
      </c>
      <c r="G772" s="64" t="s">
        <v>1861</v>
      </c>
    </row>
    <row r="773" spans="1:7" x14ac:dyDescent="0.3">
      <c r="A773" s="64" t="s">
        <v>1418</v>
      </c>
      <c r="B773" s="64" t="s">
        <v>866</v>
      </c>
      <c r="C773" s="64" t="s">
        <v>16</v>
      </c>
      <c r="D773" s="64" t="s">
        <v>403</v>
      </c>
      <c r="E773" s="64" t="s">
        <v>370</v>
      </c>
      <c r="F773" s="64" t="s">
        <v>9267</v>
      </c>
      <c r="G773" s="64" t="s">
        <v>1862</v>
      </c>
    </row>
    <row r="774" spans="1:7" x14ac:dyDescent="0.3">
      <c r="A774" s="64" t="s">
        <v>1418</v>
      </c>
      <c r="B774" s="64" t="s">
        <v>866</v>
      </c>
      <c r="C774" s="64" t="s">
        <v>16</v>
      </c>
      <c r="D774" s="64" t="s">
        <v>403</v>
      </c>
      <c r="E774" s="64" t="s">
        <v>378</v>
      </c>
      <c r="F774" s="64" t="s">
        <v>9267</v>
      </c>
      <c r="G774" s="64" t="s">
        <v>1863</v>
      </c>
    </row>
    <row r="775" spans="1:7" x14ac:dyDescent="0.3">
      <c r="A775" s="64" t="s">
        <v>1418</v>
      </c>
      <c r="B775" s="64" t="s">
        <v>866</v>
      </c>
      <c r="C775" s="64" t="s">
        <v>16</v>
      </c>
      <c r="D775" s="64" t="s">
        <v>403</v>
      </c>
      <c r="E775" s="64" t="s">
        <v>371</v>
      </c>
      <c r="F775" s="64" t="s">
        <v>9267</v>
      </c>
      <c r="G775" s="64" t="s">
        <v>1864</v>
      </c>
    </row>
    <row r="776" spans="1:7" x14ac:dyDescent="0.3">
      <c r="A776" s="64" t="s">
        <v>1418</v>
      </c>
      <c r="B776" s="64" t="s">
        <v>866</v>
      </c>
      <c r="C776" s="64" t="s">
        <v>16</v>
      </c>
      <c r="D776" s="64" t="s">
        <v>403</v>
      </c>
      <c r="E776" s="64" t="s">
        <v>376</v>
      </c>
      <c r="F776" s="64" t="s">
        <v>9267</v>
      </c>
      <c r="G776" s="64" t="s">
        <v>1865</v>
      </c>
    </row>
    <row r="777" spans="1:7" x14ac:dyDescent="0.3">
      <c r="A777" s="64" t="s">
        <v>1418</v>
      </c>
      <c r="B777" s="64" t="s">
        <v>866</v>
      </c>
      <c r="C777" s="64" t="s">
        <v>16</v>
      </c>
      <c r="D777" s="64" t="s">
        <v>403</v>
      </c>
      <c r="E777" s="64" t="s">
        <v>377</v>
      </c>
      <c r="F777" s="64" t="s">
        <v>9267</v>
      </c>
      <c r="G777" s="64" t="s">
        <v>1866</v>
      </c>
    </row>
    <row r="778" spans="1:7" x14ac:dyDescent="0.3">
      <c r="A778" s="64" t="s">
        <v>1418</v>
      </c>
      <c r="B778" s="64" t="s">
        <v>866</v>
      </c>
      <c r="C778" s="64" t="s">
        <v>16</v>
      </c>
      <c r="D778" s="64" t="s">
        <v>403</v>
      </c>
      <c r="E778" s="64" t="s">
        <v>381</v>
      </c>
      <c r="F778" s="64" t="s">
        <v>9267</v>
      </c>
      <c r="G778" s="64" t="s">
        <v>1867</v>
      </c>
    </row>
    <row r="779" spans="1:7" x14ac:dyDescent="0.3">
      <c r="A779" s="64" t="s">
        <v>1418</v>
      </c>
      <c r="B779" s="64" t="s">
        <v>866</v>
      </c>
      <c r="C779" s="64" t="s">
        <v>16</v>
      </c>
      <c r="D779" s="64" t="s">
        <v>403</v>
      </c>
      <c r="E779" s="64" t="s">
        <v>379</v>
      </c>
      <c r="F779" s="64" t="s">
        <v>9267</v>
      </c>
      <c r="G779" s="64" t="s">
        <v>1868</v>
      </c>
    </row>
    <row r="780" spans="1:7" x14ac:dyDescent="0.3">
      <c r="A780" s="64" t="s">
        <v>1418</v>
      </c>
      <c r="B780" s="64" t="s">
        <v>866</v>
      </c>
      <c r="C780" s="64" t="s">
        <v>16</v>
      </c>
      <c r="D780" s="64" t="s">
        <v>403</v>
      </c>
      <c r="E780" s="64" t="s">
        <v>374</v>
      </c>
      <c r="F780" s="64" t="s">
        <v>9267</v>
      </c>
      <c r="G780" s="64" t="s">
        <v>1869</v>
      </c>
    </row>
    <row r="781" spans="1:7" x14ac:dyDescent="0.3">
      <c r="A781" s="64" t="s">
        <v>1418</v>
      </c>
      <c r="B781" s="64" t="s">
        <v>866</v>
      </c>
      <c r="C781" s="64" t="s">
        <v>16</v>
      </c>
      <c r="D781" s="64" t="s">
        <v>403</v>
      </c>
      <c r="E781" s="64" t="s">
        <v>383</v>
      </c>
      <c r="F781" s="64" t="s">
        <v>9267</v>
      </c>
      <c r="G781" s="64" t="s">
        <v>1870</v>
      </c>
    </row>
    <row r="782" spans="1:7" x14ac:dyDescent="0.3">
      <c r="A782" s="64" t="s">
        <v>1418</v>
      </c>
      <c r="B782" s="64" t="s">
        <v>866</v>
      </c>
      <c r="C782" s="64" t="s">
        <v>16</v>
      </c>
      <c r="D782" s="64" t="s">
        <v>403</v>
      </c>
      <c r="E782" s="64" t="s">
        <v>373</v>
      </c>
      <c r="F782" s="64" t="s">
        <v>9267</v>
      </c>
      <c r="G782" s="64" t="s">
        <v>1871</v>
      </c>
    </row>
    <row r="783" spans="1:7" x14ac:dyDescent="0.3">
      <c r="A783" s="64" t="s">
        <v>1418</v>
      </c>
      <c r="B783" s="64" t="s">
        <v>866</v>
      </c>
      <c r="C783" s="64" t="s">
        <v>16</v>
      </c>
      <c r="D783" s="64" t="s">
        <v>403</v>
      </c>
      <c r="E783" s="64" t="s">
        <v>368</v>
      </c>
      <c r="F783" s="64" t="s">
        <v>9267</v>
      </c>
      <c r="G783" s="64" t="s">
        <v>1872</v>
      </c>
    </row>
    <row r="784" spans="1:7" x14ac:dyDescent="0.3">
      <c r="A784" s="64" t="s">
        <v>1418</v>
      </c>
      <c r="B784" s="64" t="s">
        <v>866</v>
      </c>
      <c r="C784" s="64" t="s">
        <v>16</v>
      </c>
      <c r="D784" s="64" t="s">
        <v>403</v>
      </c>
      <c r="E784" s="64" t="s">
        <v>372</v>
      </c>
      <c r="F784" s="64" t="s">
        <v>9267</v>
      </c>
      <c r="G784" s="64" t="s">
        <v>1873</v>
      </c>
    </row>
    <row r="785" spans="1:7" x14ac:dyDescent="0.3">
      <c r="A785" s="64" t="s">
        <v>1418</v>
      </c>
      <c r="B785" s="64" t="s">
        <v>866</v>
      </c>
      <c r="C785" s="64" t="s">
        <v>16</v>
      </c>
      <c r="D785" s="64" t="s">
        <v>403</v>
      </c>
      <c r="E785" s="64" t="s">
        <v>375</v>
      </c>
      <c r="F785" s="64" t="s">
        <v>9267</v>
      </c>
      <c r="G785" s="64" t="s">
        <v>1874</v>
      </c>
    </row>
    <row r="786" spans="1:7" x14ac:dyDescent="0.3">
      <c r="A786" s="64" t="s">
        <v>1418</v>
      </c>
      <c r="B786" s="64" t="s">
        <v>866</v>
      </c>
      <c r="C786" s="64" t="s">
        <v>16</v>
      </c>
      <c r="D786" s="64" t="s">
        <v>403</v>
      </c>
      <c r="E786" s="64" t="s">
        <v>380</v>
      </c>
      <c r="F786" s="64" t="s">
        <v>9267</v>
      </c>
      <c r="G786" s="64" t="s">
        <v>1875</v>
      </c>
    </row>
    <row r="787" spans="1:7" x14ac:dyDescent="0.3">
      <c r="A787" s="64" t="s">
        <v>940</v>
      </c>
      <c r="B787" s="64" t="s">
        <v>1878</v>
      </c>
      <c r="C787" s="64" t="s">
        <v>20</v>
      </c>
      <c r="D787" s="64" t="s">
        <v>403</v>
      </c>
      <c r="E787" s="64" t="s">
        <v>15</v>
      </c>
      <c r="F787" s="64" t="s">
        <v>9272</v>
      </c>
      <c r="G787" s="64">
        <v>0</v>
      </c>
    </row>
    <row r="788" spans="1:7" x14ac:dyDescent="0.3">
      <c r="A788" s="64" t="s">
        <v>940</v>
      </c>
      <c r="B788" s="64" t="s">
        <v>2183</v>
      </c>
      <c r="C788" s="64" t="s">
        <v>20</v>
      </c>
      <c r="D788" s="64" t="s">
        <v>16</v>
      </c>
      <c r="E788" s="64" t="s">
        <v>15</v>
      </c>
      <c r="F788" s="64" t="s">
        <v>9257</v>
      </c>
      <c r="G788" s="64" t="s">
        <v>805</v>
      </c>
    </row>
    <row r="789" spans="1:7" x14ac:dyDescent="0.3">
      <c r="A789" s="64" t="s">
        <v>940</v>
      </c>
      <c r="B789" s="64" t="s">
        <v>2183</v>
      </c>
      <c r="C789" s="64" t="s">
        <v>20</v>
      </c>
      <c r="D789" s="64" t="s">
        <v>403</v>
      </c>
      <c r="E789" s="64" t="s">
        <v>15</v>
      </c>
      <c r="F789" s="64" t="s">
        <v>9256</v>
      </c>
      <c r="G789" s="64">
        <v>0</v>
      </c>
    </row>
    <row r="790" spans="1:7" x14ac:dyDescent="0.3">
      <c r="A790" s="64" t="s">
        <v>940</v>
      </c>
      <c r="B790" s="64" t="s">
        <v>2183</v>
      </c>
      <c r="C790" s="64" t="s">
        <v>20</v>
      </c>
      <c r="D790" s="64" t="s">
        <v>3180</v>
      </c>
      <c r="E790" s="64" t="s">
        <v>15</v>
      </c>
      <c r="F790" s="64" t="s">
        <v>9256</v>
      </c>
      <c r="G790" s="64">
        <v>0</v>
      </c>
    </row>
    <row r="791" spans="1:7" x14ac:dyDescent="0.3">
      <c r="A791" s="64" t="s">
        <v>940</v>
      </c>
      <c r="B791" s="64" t="s">
        <v>2183</v>
      </c>
      <c r="C791" s="64" t="s">
        <v>16</v>
      </c>
      <c r="D791" s="64" t="s">
        <v>403</v>
      </c>
      <c r="E791" s="64" t="s">
        <v>369</v>
      </c>
      <c r="F791" s="64" t="s">
        <v>9257</v>
      </c>
      <c r="G791" s="64" t="s">
        <v>1860</v>
      </c>
    </row>
    <row r="792" spans="1:7" x14ac:dyDescent="0.3">
      <c r="A792" s="64" t="s">
        <v>940</v>
      </c>
      <c r="B792" s="64" t="s">
        <v>2183</v>
      </c>
      <c r="C792" s="64" t="s">
        <v>16</v>
      </c>
      <c r="D792" s="64" t="s">
        <v>403</v>
      </c>
      <c r="E792" s="64" t="s">
        <v>382</v>
      </c>
      <c r="F792" s="64" t="s">
        <v>9257</v>
      </c>
      <c r="G792" s="64" t="s">
        <v>1861</v>
      </c>
    </row>
    <row r="793" spans="1:7" x14ac:dyDescent="0.3">
      <c r="A793" s="64" t="s">
        <v>940</v>
      </c>
      <c r="B793" s="64" t="s">
        <v>2183</v>
      </c>
      <c r="C793" s="64" t="s">
        <v>16</v>
      </c>
      <c r="D793" s="64" t="s">
        <v>403</v>
      </c>
      <c r="E793" s="64" t="s">
        <v>370</v>
      </c>
      <c r="F793" s="64" t="s">
        <v>9257</v>
      </c>
      <c r="G793" s="64" t="s">
        <v>1862</v>
      </c>
    </row>
    <row r="794" spans="1:7" x14ac:dyDescent="0.3">
      <c r="A794" s="64" t="s">
        <v>940</v>
      </c>
      <c r="B794" s="64" t="s">
        <v>2183</v>
      </c>
      <c r="C794" s="64" t="s">
        <v>16</v>
      </c>
      <c r="D794" s="64" t="s">
        <v>403</v>
      </c>
      <c r="E794" s="64" t="s">
        <v>378</v>
      </c>
      <c r="F794" s="64" t="s">
        <v>9257</v>
      </c>
      <c r="G794" s="64" t="s">
        <v>1863</v>
      </c>
    </row>
    <row r="795" spans="1:7" x14ac:dyDescent="0.3">
      <c r="A795" s="64" t="s">
        <v>940</v>
      </c>
      <c r="B795" s="64" t="s">
        <v>2183</v>
      </c>
      <c r="C795" s="64" t="s">
        <v>16</v>
      </c>
      <c r="D795" s="64" t="s">
        <v>403</v>
      </c>
      <c r="E795" s="64" t="s">
        <v>371</v>
      </c>
      <c r="F795" s="64" t="s">
        <v>9257</v>
      </c>
      <c r="G795" s="64" t="s">
        <v>1864</v>
      </c>
    </row>
    <row r="796" spans="1:7" x14ac:dyDescent="0.3">
      <c r="A796" s="64" t="s">
        <v>940</v>
      </c>
      <c r="B796" s="64" t="s">
        <v>2183</v>
      </c>
      <c r="C796" s="64" t="s">
        <v>16</v>
      </c>
      <c r="D796" s="64" t="s">
        <v>403</v>
      </c>
      <c r="E796" s="64" t="s">
        <v>376</v>
      </c>
      <c r="F796" s="64" t="s">
        <v>9257</v>
      </c>
      <c r="G796" s="64" t="s">
        <v>1865</v>
      </c>
    </row>
    <row r="797" spans="1:7" x14ac:dyDescent="0.3">
      <c r="A797" s="64" t="s">
        <v>940</v>
      </c>
      <c r="B797" s="64" t="s">
        <v>2183</v>
      </c>
      <c r="C797" s="64" t="s">
        <v>16</v>
      </c>
      <c r="D797" s="64" t="s">
        <v>403</v>
      </c>
      <c r="E797" s="64" t="s">
        <v>377</v>
      </c>
      <c r="F797" s="64" t="s">
        <v>9257</v>
      </c>
      <c r="G797" s="64" t="s">
        <v>1866</v>
      </c>
    </row>
    <row r="798" spans="1:7" x14ac:dyDescent="0.3">
      <c r="A798" s="64" t="s">
        <v>940</v>
      </c>
      <c r="B798" s="64" t="s">
        <v>2183</v>
      </c>
      <c r="C798" s="64" t="s">
        <v>16</v>
      </c>
      <c r="D798" s="64" t="s">
        <v>403</v>
      </c>
      <c r="E798" s="64" t="s">
        <v>381</v>
      </c>
      <c r="F798" s="64" t="s">
        <v>9257</v>
      </c>
      <c r="G798" s="64" t="s">
        <v>1867</v>
      </c>
    </row>
    <row r="799" spans="1:7" x14ac:dyDescent="0.3">
      <c r="A799" s="64" t="s">
        <v>940</v>
      </c>
      <c r="B799" s="64" t="s">
        <v>2183</v>
      </c>
      <c r="C799" s="64" t="s">
        <v>16</v>
      </c>
      <c r="D799" s="64" t="s">
        <v>403</v>
      </c>
      <c r="E799" s="64" t="s">
        <v>379</v>
      </c>
      <c r="F799" s="64" t="s">
        <v>9257</v>
      </c>
      <c r="G799" s="64" t="s">
        <v>1868</v>
      </c>
    </row>
    <row r="800" spans="1:7" x14ac:dyDescent="0.3">
      <c r="A800" s="64" t="s">
        <v>940</v>
      </c>
      <c r="B800" s="64" t="s">
        <v>2183</v>
      </c>
      <c r="C800" s="64" t="s">
        <v>16</v>
      </c>
      <c r="D800" s="64" t="s">
        <v>403</v>
      </c>
      <c r="E800" s="64" t="s">
        <v>374</v>
      </c>
      <c r="F800" s="64" t="s">
        <v>9257</v>
      </c>
      <c r="G800" s="64" t="s">
        <v>1869</v>
      </c>
    </row>
    <row r="801" spans="1:7" x14ac:dyDescent="0.3">
      <c r="A801" s="64" t="s">
        <v>940</v>
      </c>
      <c r="B801" s="64" t="s">
        <v>2183</v>
      </c>
      <c r="C801" s="64" t="s">
        <v>16</v>
      </c>
      <c r="D801" s="64" t="s">
        <v>403</v>
      </c>
      <c r="E801" s="64" t="s">
        <v>373</v>
      </c>
      <c r="F801" s="64" t="s">
        <v>9257</v>
      </c>
      <c r="G801" s="64" t="s">
        <v>1871</v>
      </c>
    </row>
    <row r="802" spans="1:7" x14ac:dyDescent="0.3">
      <c r="A802" s="64" t="s">
        <v>940</v>
      </c>
      <c r="B802" s="64" t="s">
        <v>2183</v>
      </c>
      <c r="C802" s="64" t="s">
        <v>16</v>
      </c>
      <c r="D802" s="64" t="s">
        <v>403</v>
      </c>
      <c r="E802" s="64" t="s">
        <v>368</v>
      </c>
      <c r="F802" s="64" t="s">
        <v>9257</v>
      </c>
      <c r="G802" s="64" t="s">
        <v>1872</v>
      </c>
    </row>
    <row r="803" spans="1:7" x14ac:dyDescent="0.3">
      <c r="A803" s="64" t="s">
        <v>940</v>
      </c>
      <c r="B803" s="64" t="s">
        <v>2183</v>
      </c>
      <c r="C803" s="64" t="s">
        <v>16</v>
      </c>
      <c r="D803" s="64" t="s">
        <v>403</v>
      </c>
      <c r="E803" s="64" t="s">
        <v>372</v>
      </c>
      <c r="F803" s="64" t="s">
        <v>9257</v>
      </c>
      <c r="G803" s="64" t="s">
        <v>1873</v>
      </c>
    </row>
    <row r="804" spans="1:7" x14ac:dyDescent="0.3">
      <c r="A804" s="64" t="s">
        <v>940</v>
      </c>
      <c r="B804" s="64" t="s">
        <v>2183</v>
      </c>
      <c r="C804" s="64" t="s">
        <v>16</v>
      </c>
      <c r="D804" s="64" t="s">
        <v>403</v>
      </c>
      <c r="E804" s="64" t="s">
        <v>375</v>
      </c>
      <c r="F804" s="64" t="s">
        <v>9257</v>
      </c>
      <c r="G804" s="64" t="s">
        <v>1874</v>
      </c>
    </row>
    <row r="805" spans="1:7" x14ac:dyDescent="0.3">
      <c r="A805" s="64" t="s">
        <v>940</v>
      </c>
      <c r="B805" s="64" t="s">
        <v>2183</v>
      </c>
      <c r="C805" s="64" t="s">
        <v>16</v>
      </c>
      <c r="D805" s="64" t="s">
        <v>403</v>
      </c>
      <c r="E805" s="64" t="s">
        <v>380</v>
      </c>
      <c r="F805" s="64" t="s">
        <v>9257</v>
      </c>
      <c r="G805" s="64" t="s">
        <v>1875</v>
      </c>
    </row>
    <row r="806" spans="1:7" x14ac:dyDescent="0.3">
      <c r="A806" s="64" t="s">
        <v>1421</v>
      </c>
      <c r="B806" s="64" t="s">
        <v>4290</v>
      </c>
      <c r="C806" s="64" t="s">
        <v>20</v>
      </c>
      <c r="D806" s="64" t="s">
        <v>16</v>
      </c>
      <c r="E806" s="64" t="s">
        <v>15</v>
      </c>
      <c r="F806" s="64" t="s">
        <v>9298</v>
      </c>
      <c r="G806" s="64" t="s">
        <v>957</v>
      </c>
    </row>
    <row r="807" spans="1:7" x14ac:dyDescent="0.3">
      <c r="A807" s="64" t="s">
        <v>1421</v>
      </c>
      <c r="B807" s="64" t="s">
        <v>4290</v>
      </c>
      <c r="C807" s="64" t="s">
        <v>20</v>
      </c>
      <c r="D807" s="64" t="s">
        <v>956</v>
      </c>
      <c r="E807" s="64" t="s">
        <v>15</v>
      </c>
      <c r="F807" s="64" t="s">
        <v>9297</v>
      </c>
      <c r="G807" s="64" t="s">
        <v>957</v>
      </c>
    </row>
    <row r="808" spans="1:7" x14ac:dyDescent="0.3">
      <c r="A808" s="64" t="s">
        <v>1421</v>
      </c>
      <c r="B808" s="64" t="s">
        <v>4290</v>
      </c>
      <c r="C808" s="64" t="s">
        <v>16</v>
      </c>
      <c r="D808" s="64" t="s">
        <v>18</v>
      </c>
      <c r="E808" s="64" t="s">
        <v>369</v>
      </c>
      <c r="F808" s="64" t="s">
        <v>9297</v>
      </c>
      <c r="G808" s="64" t="s">
        <v>1844</v>
      </c>
    </row>
    <row r="809" spans="1:7" x14ac:dyDescent="0.3">
      <c r="A809" s="64" t="s">
        <v>1421</v>
      </c>
      <c r="B809" s="64" t="s">
        <v>4290</v>
      </c>
      <c r="C809" s="64" t="s">
        <v>16</v>
      </c>
      <c r="D809" s="64" t="s">
        <v>18</v>
      </c>
      <c r="E809" s="64" t="s">
        <v>382</v>
      </c>
      <c r="F809" s="64" t="s">
        <v>9297</v>
      </c>
      <c r="G809" s="64" t="s">
        <v>1845</v>
      </c>
    </row>
    <row r="810" spans="1:7" x14ac:dyDescent="0.3">
      <c r="A810" s="64" t="s">
        <v>1421</v>
      </c>
      <c r="B810" s="64" t="s">
        <v>4290</v>
      </c>
      <c r="C810" s="64" t="s">
        <v>16</v>
      </c>
      <c r="D810" s="64" t="s">
        <v>18</v>
      </c>
      <c r="E810" s="64" t="s">
        <v>370</v>
      </c>
      <c r="F810" s="64" t="s">
        <v>9297</v>
      </c>
      <c r="G810" s="64" t="s">
        <v>1846</v>
      </c>
    </row>
    <row r="811" spans="1:7" x14ac:dyDescent="0.3">
      <c r="A811" s="64" t="s">
        <v>1421</v>
      </c>
      <c r="B811" s="64" t="s">
        <v>4290</v>
      </c>
      <c r="C811" s="64" t="s">
        <v>16</v>
      </c>
      <c r="D811" s="64" t="s">
        <v>18</v>
      </c>
      <c r="E811" s="64" t="s">
        <v>378</v>
      </c>
      <c r="F811" s="64" t="s">
        <v>9297</v>
      </c>
      <c r="G811" s="64" t="s">
        <v>1847</v>
      </c>
    </row>
    <row r="812" spans="1:7" x14ac:dyDescent="0.3">
      <c r="A812" s="64" t="s">
        <v>1421</v>
      </c>
      <c r="B812" s="64" t="s">
        <v>4290</v>
      </c>
      <c r="C812" s="64" t="s">
        <v>16</v>
      </c>
      <c r="D812" s="64" t="s">
        <v>18</v>
      </c>
      <c r="E812" s="64" t="s">
        <v>371</v>
      </c>
      <c r="F812" s="64" t="s">
        <v>9297</v>
      </c>
      <c r="G812" s="64" t="s">
        <v>1848</v>
      </c>
    </row>
    <row r="813" spans="1:7" x14ac:dyDescent="0.3">
      <c r="A813" s="64" t="s">
        <v>1421</v>
      </c>
      <c r="B813" s="64" t="s">
        <v>4290</v>
      </c>
      <c r="C813" s="64" t="s">
        <v>16</v>
      </c>
      <c r="D813" s="64" t="s">
        <v>18</v>
      </c>
      <c r="E813" s="64" t="s">
        <v>376</v>
      </c>
      <c r="F813" s="64" t="s">
        <v>9297</v>
      </c>
      <c r="G813" s="64" t="s">
        <v>1849</v>
      </c>
    </row>
    <row r="814" spans="1:7" x14ac:dyDescent="0.3">
      <c r="A814" s="64" t="s">
        <v>1421</v>
      </c>
      <c r="B814" s="64" t="s">
        <v>4290</v>
      </c>
      <c r="C814" s="64" t="s">
        <v>16</v>
      </c>
      <c r="D814" s="64" t="s">
        <v>18</v>
      </c>
      <c r="E814" s="64" t="s">
        <v>377</v>
      </c>
      <c r="F814" s="64" t="s">
        <v>9297</v>
      </c>
      <c r="G814" s="64" t="s">
        <v>1850</v>
      </c>
    </row>
    <row r="815" spans="1:7" x14ac:dyDescent="0.3">
      <c r="A815" s="64" t="s">
        <v>1421</v>
      </c>
      <c r="B815" s="64" t="s">
        <v>4290</v>
      </c>
      <c r="C815" s="64" t="s">
        <v>16</v>
      </c>
      <c r="D815" s="64" t="s">
        <v>18</v>
      </c>
      <c r="E815" s="64" t="s">
        <v>381</v>
      </c>
      <c r="F815" s="64" t="s">
        <v>9297</v>
      </c>
      <c r="G815" s="64" t="s">
        <v>1851</v>
      </c>
    </row>
    <row r="816" spans="1:7" x14ac:dyDescent="0.3">
      <c r="A816" s="64" t="s">
        <v>1421</v>
      </c>
      <c r="B816" s="64" t="s">
        <v>4290</v>
      </c>
      <c r="C816" s="64" t="s">
        <v>16</v>
      </c>
      <c r="D816" s="64" t="s">
        <v>18</v>
      </c>
      <c r="E816" s="64" t="s">
        <v>379</v>
      </c>
      <c r="F816" s="64" t="s">
        <v>9297</v>
      </c>
      <c r="G816" s="64" t="s">
        <v>1852</v>
      </c>
    </row>
    <row r="817" spans="1:7" x14ac:dyDescent="0.3">
      <c r="A817" s="64" t="s">
        <v>1421</v>
      </c>
      <c r="B817" s="64" t="s">
        <v>4290</v>
      </c>
      <c r="C817" s="64" t="s">
        <v>16</v>
      </c>
      <c r="D817" s="64" t="s">
        <v>18</v>
      </c>
      <c r="E817" s="64" t="s">
        <v>374</v>
      </c>
      <c r="F817" s="64" t="s">
        <v>9297</v>
      </c>
      <c r="G817" s="64" t="s">
        <v>1853</v>
      </c>
    </row>
    <row r="818" spans="1:7" x14ac:dyDescent="0.3">
      <c r="A818" s="64" t="s">
        <v>1421</v>
      </c>
      <c r="B818" s="64" t="s">
        <v>4290</v>
      </c>
      <c r="C818" s="64" t="s">
        <v>16</v>
      </c>
      <c r="D818" s="64" t="s">
        <v>18</v>
      </c>
      <c r="E818" s="64" t="s">
        <v>383</v>
      </c>
      <c r="F818" s="64" t="s">
        <v>9297</v>
      </c>
      <c r="G818" s="64" t="s">
        <v>1854</v>
      </c>
    </row>
    <row r="819" spans="1:7" x14ac:dyDescent="0.3">
      <c r="A819" s="64" t="s">
        <v>1421</v>
      </c>
      <c r="B819" s="64" t="s">
        <v>4290</v>
      </c>
      <c r="C819" s="64" t="s">
        <v>16</v>
      </c>
      <c r="D819" s="64" t="s">
        <v>18</v>
      </c>
      <c r="E819" s="64" t="s">
        <v>373</v>
      </c>
      <c r="F819" s="64" t="s">
        <v>9297</v>
      </c>
      <c r="G819" s="64" t="s">
        <v>1855</v>
      </c>
    </row>
    <row r="820" spans="1:7" x14ac:dyDescent="0.3">
      <c r="A820" s="64" t="s">
        <v>1421</v>
      </c>
      <c r="B820" s="64" t="s">
        <v>4290</v>
      </c>
      <c r="C820" s="64" t="s">
        <v>16</v>
      </c>
      <c r="D820" s="64" t="s">
        <v>18</v>
      </c>
      <c r="E820" s="64" t="s">
        <v>368</v>
      </c>
      <c r="F820" s="64" t="s">
        <v>9297</v>
      </c>
      <c r="G820" s="64" t="s">
        <v>1856</v>
      </c>
    </row>
    <row r="821" spans="1:7" x14ac:dyDescent="0.3">
      <c r="A821" s="64" t="s">
        <v>1421</v>
      </c>
      <c r="B821" s="64" t="s">
        <v>4290</v>
      </c>
      <c r="C821" s="64" t="s">
        <v>16</v>
      </c>
      <c r="D821" s="64" t="s">
        <v>18</v>
      </c>
      <c r="E821" s="64" t="s">
        <v>372</v>
      </c>
      <c r="F821" s="64" t="s">
        <v>9297</v>
      </c>
      <c r="G821" s="64" t="s">
        <v>1857</v>
      </c>
    </row>
    <row r="822" spans="1:7" x14ac:dyDescent="0.3">
      <c r="A822" s="64" t="s">
        <v>1421</v>
      </c>
      <c r="B822" s="64" t="s">
        <v>4290</v>
      </c>
      <c r="C822" s="64" t="s">
        <v>16</v>
      </c>
      <c r="D822" s="64" t="s">
        <v>18</v>
      </c>
      <c r="E822" s="64" t="s">
        <v>375</v>
      </c>
      <c r="F822" s="64" t="s">
        <v>9297</v>
      </c>
      <c r="G822" s="64" t="s">
        <v>1858</v>
      </c>
    </row>
    <row r="823" spans="1:7" x14ac:dyDescent="0.3">
      <c r="A823" s="64" t="s">
        <v>1421</v>
      </c>
      <c r="B823" s="64" t="s">
        <v>4290</v>
      </c>
      <c r="C823" s="64" t="s">
        <v>16</v>
      </c>
      <c r="D823" s="64" t="s">
        <v>18</v>
      </c>
      <c r="E823" s="64" t="s">
        <v>380</v>
      </c>
      <c r="F823" s="64" t="s">
        <v>9297</v>
      </c>
      <c r="G823" s="64" t="s">
        <v>1859</v>
      </c>
    </row>
    <row r="824" spans="1:7" x14ac:dyDescent="0.3">
      <c r="A824" s="64" t="s">
        <v>1421</v>
      </c>
      <c r="B824" s="64" t="s">
        <v>4290</v>
      </c>
      <c r="C824" s="64" t="s">
        <v>16</v>
      </c>
      <c r="D824" s="64" t="s">
        <v>403</v>
      </c>
      <c r="E824" s="64" t="s">
        <v>369</v>
      </c>
      <c r="F824" s="64" t="s">
        <v>9298</v>
      </c>
      <c r="G824" s="64" t="s">
        <v>1844</v>
      </c>
    </row>
    <row r="825" spans="1:7" x14ac:dyDescent="0.3">
      <c r="A825" s="64" t="s">
        <v>1421</v>
      </c>
      <c r="B825" s="64" t="s">
        <v>4290</v>
      </c>
      <c r="C825" s="64" t="s">
        <v>16</v>
      </c>
      <c r="D825" s="64" t="s">
        <v>403</v>
      </c>
      <c r="E825" s="64" t="s">
        <v>382</v>
      </c>
      <c r="F825" s="64" t="s">
        <v>9298</v>
      </c>
      <c r="G825" s="64" t="s">
        <v>1845</v>
      </c>
    </row>
    <row r="826" spans="1:7" x14ac:dyDescent="0.3">
      <c r="A826" s="64" t="s">
        <v>1421</v>
      </c>
      <c r="B826" s="64" t="s">
        <v>4290</v>
      </c>
      <c r="C826" s="64" t="s">
        <v>16</v>
      </c>
      <c r="D826" s="64" t="s">
        <v>403</v>
      </c>
      <c r="E826" s="64" t="s">
        <v>370</v>
      </c>
      <c r="F826" s="64" t="s">
        <v>9298</v>
      </c>
      <c r="G826" s="64" t="s">
        <v>1846</v>
      </c>
    </row>
    <row r="827" spans="1:7" x14ac:dyDescent="0.3">
      <c r="A827" s="64" t="s">
        <v>1421</v>
      </c>
      <c r="B827" s="64" t="s">
        <v>4290</v>
      </c>
      <c r="C827" s="64" t="s">
        <v>16</v>
      </c>
      <c r="D827" s="64" t="s">
        <v>403</v>
      </c>
      <c r="E827" s="64" t="s">
        <v>378</v>
      </c>
      <c r="F827" s="64" t="s">
        <v>9298</v>
      </c>
      <c r="G827" s="64" t="s">
        <v>1847</v>
      </c>
    </row>
    <row r="828" spans="1:7" x14ac:dyDescent="0.3">
      <c r="A828" s="64" t="s">
        <v>1421</v>
      </c>
      <c r="B828" s="64" t="s">
        <v>4290</v>
      </c>
      <c r="C828" s="64" t="s">
        <v>16</v>
      </c>
      <c r="D828" s="64" t="s">
        <v>403</v>
      </c>
      <c r="E828" s="64" t="s">
        <v>371</v>
      </c>
      <c r="F828" s="64" t="s">
        <v>9298</v>
      </c>
      <c r="G828" s="64" t="s">
        <v>1848</v>
      </c>
    </row>
    <row r="829" spans="1:7" x14ac:dyDescent="0.3">
      <c r="A829" s="64" t="s">
        <v>1421</v>
      </c>
      <c r="B829" s="64" t="s">
        <v>4290</v>
      </c>
      <c r="C829" s="64" t="s">
        <v>16</v>
      </c>
      <c r="D829" s="64" t="s">
        <v>403</v>
      </c>
      <c r="E829" s="64" t="s">
        <v>376</v>
      </c>
      <c r="F829" s="64" t="s">
        <v>9298</v>
      </c>
      <c r="G829" s="64" t="s">
        <v>1849</v>
      </c>
    </row>
    <row r="830" spans="1:7" x14ac:dyDescent="0.3">
      <c r="A830" s="64" t="s">
        <v>1421</v>
      </c>
      <c r="B830" s="64" t="s">
        <v>4290</v>
      </c>
      <c r="C830" s="64" t="s">
        <v>16</v>
      </c>
      <c r="D830" s="64" t="s">
        <v>403</v>
      </c>
      <c r="E830" s="64" t="s">
        <v>377</v>
      </c>
      <c r="F830" s="64" t="s">
        <v>9298</v>
      </c>
      <c r="G830" s="64" t="s">
        <v>1850</v>
      </c>
    </row>
    <row r="831" spans="1:7" x14ac:dyDescent="0.3">
      <c r="A831" s="64" t="s">
        <v>1421</v>
      </c>
      <c r="B831" s="64" t="s">
        <v>4290</v>
      </c>
      <c r="C831" s="64" t="s">
        <v>16</v>
      </c>
      <c r="D831" s="64" t="s">
        <v>403</v>
      </c>
      <c r="E831" s="64" t="s">
        <v>381</v>
      </c>
      <c r="F831" s="64" t="s">
        <v>9298</v>
      </c>
      <c r="G831" s="64" t="s">
        <v>1851</v>
      </c>
    </row>
    <row r="832" spans="1:7" x14ac:dyDescent="0.3">
      <c r="A832" s="64" t="s">
        <v>1421</v>
      </c>
      <c r="B832" s="64" t="s">
        <v>4290</v>
      </c>
      <c r="C832" s="64" t="s">
        <v>16</v>
      </c>
      <c r="D832" s="64" t="s">
        <v>403</v>
      </c>
      <c r="E832" s="64" t="s">
        <v>379</v>
      </c>
      <c r="F832" s="64" t="s">
        <v>9298</v>
      </c>
      <c r="G832" s="64" t="s">
        <v>1852</v>
      </c>
    </row>
    <row r="833" spans="1:7" x14ac:dyDescent="0.3">
      <c r="A833" s="64" t="s">
        <v>1421</v>
      </c>
      <c r="B833" s="64" t="s">
        <v>4290</v>
      </c>
      <c r="C833" s="64" t="s">
        <v>16</v>
      </c>
      <c r="D833" s="64" t="s">
        <v>403</v>
      </c>
      <c r="E833" s="64" t="s">
        <v>374</v>
      </c>
      <c r="F833" s="64" t="s">
        <v>9298</v>
      </c>
      <c r="G833" s="64" t="s">
        <v>1853</v>
      </c>
    </row>
    <row r="834" spans="1:7" x14ac:dyDescent="0.3">
      <c r="A834" s="64" t="s">
        <v>1421</v>
      </c>
      <c r="B834" s="64" t="s">
        <v>4290</v>
      </c>
      <c r="C834" s="64" t="s">
        <v>16</v>
      </c>
      <c r="D834" s="64" t="s">
        <v>403</v>
      </c>
      <c r="E834" s="64" t="s">
        <v>383</v>
      </c>
      <c r="F834" s="64" t="s">
        <v>9298</v>
      </c>
      <c r="G834" s="64" t="s">
        <v>1854</v>
      </c>
    </row>
    <row r="835" spans="1:7" x14ac:dyDescent="0.3">
      <c r="A835" s="64" t="s">
        <v>1421</v>
      </c>
      <c r="B835" s="64" t="s">
        <v>4290</v>
      </c>
      <c r="C835" s="64" t="s">
        <v>16</v>
      </c>
      <c r="D835" s="64" t="s">
        <v>403</v>
      </c>
      <c r="E835" s="64" t="s">
        <v>373</v>
      </c>
      <c r="F835" s="64" t="s">
        <v>9298</v>
      </c>
      <c r="G835" s="64" t="s">
        <v>1855</v>
      </c>
    </row>
    <row r="836" spans="1:7" x14ac:dyDescent="0.3">
      <c r="A836" s="64" t="s">
        <v>1421</v>
      </c>
      <c r="B836" s="64" t="s">
        <v>4290</v>
      </c>
      <c r="C836" s="64" t="s">
        <v>16</v>
      </c>
      <c r="D836" s="64" t="s">
        <v>403</v>
      </c>
      <c r="E836" s="64" t="s">
        <v>368</v>
      </c>
      <c r="F836" s="64" t="s">
        <v>9298</v>
      </c>
      <c r="G836" s="64" t="s">
        <v>1856</v>
      </c>
    </row>
    <row r="837" spans="1:7" x14ac:dyDescent="0.3">
      <c r="A837" s="64" t="s">
        <v>1421</v>
      </c>
      <c r="B837" s="64" t="s">
        <v>4290</v>
      </c>
      <c r="C837" s="64" t="s">
        <v>16</v>
      </c>
      <c r="D837" s="64" t="s">
        <v>403</v>
      </c>
      <c r="E837" s="64" t="s">
        <v>372</v>
      </c>
      <c r="F837" s="64" t="s">
        <v>9298</v>
      </c>
      <c r="G837" s="64" t="s">
        <v>1857</v>
      </c>
    </row>
    <row r="838" spans="1:7" x14ac:dyDescent="0.3">
      <c r="A838" s="64" t="s">
        <v>1421</v>
      </c>
      <c r="B838" s="64" t="s">
        <v>4290</v>
      </c>
      <c r="C838" s="64" t="s">
        <v>16</v>
      </c>
      <c r="D838" s="64" t="s">
        <v>403</v>
      </c>
      <c r="E838" s="64" t="s">
        <v>375</v>
      </c>
      <c r="F838" s="64" t="s">
        <v>9298</v>
      </c>
      <c r="G838" s="64" t="s">
        <v>1858</v>
      </c>
    </row>
    <row r="839" spans="1:7" x14ac:dyDescent="0.3">
      <c r="A839" s="64" t="s">
        <v>1421</v>
      </c>
      <c r="B839" s="64" t="s">
        <v>4290</v>
      </c>
      <c r="C839" s="64" t="s">
        <v>16</v>
      </c>
      <c r="D839" s="64" t="s">
        <v>403</v>
      </c>
      <c r="E839" s="64" t="s">
        <v>380</v>
      </c>
      <c r="F839" s="64" t="s">
        <v>9298</v>
      </c>
      <c r="G839" s="64" t="s">
        <v>1859</v>
      </c>
    </row>
    <row r="840" spans="1:7" x14ac:dyDescent="0.3">
      <c r="A840" s="64" t="s">
        <v>1431</v>
      </c>
      <c r="B840" s="64" t="s">
        <v>1877</v>
      </c>
      <c r="C840" s="64" t="s">
        <v>20</v>
      </c>
      <c r="D840" s="64" t="s">
        <v>16</v>
      </c>
      <c r="E840" s="64" t="s">
        <v>15</v>
      </c>
      <c r="F840" s="64" t="s">
        <v>1432</v>
      </c>
      <c r="G840" s="64" t="s">
        <v>805</v>
      </c>
    </row>
    <row r="841" spans="1:7" x14ac:dyDescent="0.3">
      <c r="A841" s="64" t="s">
        <v>1431</v>
      </c>
      <c r="B841" s="64" t="s">
        <v>1877</v>
      </c>
      <c r="C841" s="64" t="s">
        <v>20</v>
      </c>
      <c r="D841" s="64" t="s">
        <v>16</v>
      </c>
      <c r="E841" s="64" t="s">
        <v>15</v>
      </c>
      <c r="F841" s="64" t="s">
        <v>1437</v>
      </c>
      <c r="G841" s="64" t="s">
        <v>805</v>
      </c>
    </row>
    <row r="842" spans="1:7" x14ac:dyDescent="0.3">
      <c r="A842" s="64" t="s">
        <v>1431</v>
      </c>
      <c r="B842" s="64" t="s">
        <v>1877</v>
      </c>
      <c r="C842" s="64" t="s">
        <v>20</v>
      </c>
      <c r="D842" s="64" t="s">
        <v>403</v>
      </c>
      <c r="E842" s="64" t="s">
        <v>15</v>
      </c>
      <c r="F842" s="64" t="s">
        <v>1439</v>
      </c>
      <c r="G842" s="64">
        <v>0</v>
      </c>
    </row>
    <row r="843" spans="1:7" x14ac:dyDescent="0.3">
      <c r="A843" s="64" t="s">
        <v>1431</v>
      </c>
      <c r="B843" s="64" t="s">
        <v>1877</v>
      </c>
      <c r="C843" s="64" t="s">
        <v>20</v>
      </c>
      <c r="D843" s="64" t="s">
        <v>3180</v>
      </c>
      <c r="E843" s="64" t="s">
        <v>15</v>
      </c>
      <c r="F843" s="64" t="s">
        <v>1439</v>
      </c>
      <c r="G843" s="64">
        <v>0</v>
      </c>
    </row>
    <row r="844" spans="1:7" x14ac:dyDescent="0.3">
      <c r="A844" s="64" t="s">
        <v>1431</v>
      </c>
      <c r="B844" s="64" t="s">
        <v>1877</v>
      </c>
      <c r="C844" s="64" t="s">
        <v>16</v>
      </c>
      <c r="D844" s="64" t="s">
        <v>16</v>
      </c>
      <c r="E844" s="64" t="s">
        <v>369</v>
      </c>
      <c r="F844" s="64" t="s">
        <v>1432</v>
      </c>
      <c r="G844" s="64" t="s">
        <v>1860</v>
      </c>
    </row>
    <row r="845" spans="1:7" x14ac:dyDescent="0.3">
      <c r="A845" s="64" t="s">
        <v>1431</v>
      </c>
      <c r="B845" s="64" t="s">
        <v>1877</v>
      </c>
      <c r="C845" s="64" t="s">
        <v>16</v>
      </c>
      <c r="D845" s="64" t="s">
        <v>16</v>
      </c>
      <c r="E845" s="64" t="s">
        <v>382</v>
      </c>
      <c r="F845" s="64" t="s">
        <v>1432</v>
      </c>
      <c r="G845" s="64" t="s">
        <v>1861</v>
      </c>
    </row>
    <row r="846" spans="1:7" x14ac:dyDescent="0.3">
      <c r="A846" s="64" t="s">
        <v>1431</v>
      </c>
      <c r="B846" s="64" t="s">
        <v>1877</v>
      </c>
      <c r="C846" s="64" t="s">
        <v>16</v>
      </c>
      <c r="D846" s="64" t="s">
        <v>16</v>
      </c>
      <c r="E846" s="64" t="s">
        <v>370</v>
      </c>
      <c r="F846" s="64" t="s">
        <v>1432</v>
      </c>
      <c r="G846" s="64" t="s">
        <v>1862</v>
      </c>
    </row>
    <row r="847" spans="1:7" x14ac:dyDescent="0.3">
      <c r="A847" s="64" t="s">
        <v>1431</v>
      </c>
      <c r="B847" s="64" t="s">
        <v>1877</v>
      </c>
      <c r="C847" s="64" t="s">
        <v>16</v>
      </c>
      <c r="D847" s="64" t="s">
        <v>16</v>
      </c>
      <c r="E847" s="64" t="s">
        <v>378</v>
      </c>
      <c r="F847" s="64" t="s">
        <v>1432</v>
      </c>
      <c r="G847" s="64" t="s">
        <v>1863</v>
      </c>
    </row>
    <row r="848" spans="1:7" x14ac:dyDescent="0.3">
      <c r="A848" s="64" t="s">
        <v>1431</v>
      </c>
      <c r="B848" s="64" t="s">
        <v>1877</v>
      </c>
      <c r="C848" s="64" t="s">
        <v>16</v>
      </c>
      <c r="D848" s="64" t="s">
        <v>16</v>
      </c>
      <c r="E848" s="64" t="s">
        <v>371</v>
      </c>
      <c r="F848" s="64" t="s">
        <v>1432</v>
      </c>
      <c r="G848" s="64" t="s">
        <v>1864</v>
      </c>
    </row>
    <row r="849" spans="1:7" x14ac:dyDescent="0.3">
      <c r="A849" s="64" t="s">
        <v>1431</v>
      </c>
      <c r="B849" s="64" t="s">
        <v>1877</v>
      </c>
      <c r="C849" s="64" t="s">
        <v>16</v>
      </c>
      <c r="D849" s="64" t="s">
        <v>16</v>
      </c>
      <c r="E849" s="64" t="s">
        <v>376</v>
      </c>
      <c r="F849" s="64" t="s">
        <v>1432</v>
      </c>
      <c r="G849" s="64" t="s">
        <v>1865</v>
      </c>
    </row>
    <row r="850" spans="1:7" x14ac:dyDescent="0.3">
      <c r="A850" s="64" t="s">
        <v>1431</v>
      </c>
      <c r="B850" s="64" t="s">
        <v>1877</v>
      </c>
      <c r="C850" s="64" t="s">
        <v>16</v>
      </c>
      <c r="D850" s="64" t="s">
        <v>16</v>
      </c>
      <c r="E850" s="64" t="s">
        <v>377</v>
      </c>
      <c r="F850" s="64" t="s">
        <v>1432</v>
      </c>
      <c r="G850" s="64" t="s">
        <v>1866</v>
      </c>
    </row>
    <row r="851" spans="1:7" x14ac:dyDescent="0.3">
      <c r="A851" s="64" t="s">
        <v>1431</v>
      </c>
      <c r="B851" s="64" t="s">
        <v>1877</v>
      </c>
      <c r="C851" s="64" t="s">
        <v>16</v>
      </c>
      <c r="D851" s="64" t="s">
        <v>16</v>
      </c>
      <c r="E851" s="64" t="s">
        <v>381</v>
      </c>
      <c r="F851" s="64" t="s">
        <v>1432</v>
      </c>
      <c r="G851" s="64" t="s">
        <v>1867</v>
      </c>
    </row>
    <row r="852" spans="1:7" x14ac:dyDescent="0.3">
      <c r="A852" s="64" t="s">
        <v>1431</v>
      </c>
      <c r="B852" s="64" t="s">
        <v>1877</v>
      </c>
      <c r="C852" s="64" t="s">
        <v>16</v>
      </c>
      <c r="D852" s="64" t="s">
        <v>16</v>
      </c>
      <c r="E852" s="64" t="s">
        <v>379</v>
      </c>
      <c r="F852" s="64" t="s">
        <v>1432</v>
      </c>
      <c r="G852" s="64" t="s">
        <v>1868</v>
      </c>
    </row>
    <row r="853" spans="1:7" x14ac:dyDescent="0.3">
      <c r="A853" s="64" t="s">
        <v>1431</v>
      </c>
      <c r="B853" s="64" t="s">
        <v>1877</v>
      </c>
      <c r="C853" s="64" t="s">
        <v>16</v>
      </c>
      <c r="D853" s="64" t="s">
        <v>16</v>
      </c>
      <c r="E853" s="64" t="s">
        <v>374</v>
      </c>
      <c r="F853" s="64" t="s">
        <v>1432</v>
      </c>
      <c r="G853" s="64" t="s">
        <v>1869</v>
      </c>
    </row>
    <row r="854" spans="1:7" x14ac:dyDescent="0.3">
      <c r="A854" s="64" t="s">
        <v>1431</v>
      </c>
      <c r="B854" s="64" t="s">
        <v>1877</v>
      </c>
      <c r="C854" s="64" t="s">
        <v>16</v>
      </c>
      <c r="D854" s="64" t="s">
        <v>16</v>
      </c>
      <c r="E854" s="64" t="s">
        <v>383</v>
      </c>
      <c r="F854" s="64" t="s">
        <v>1432</v>
      </c>
      <c r="G854" s="64" t="s">
        <v>1870</v>
      </c>
    </row>
    <row r="855" spans="1:7" x14ac:dyDescent="0.3">
      <c r="A855" s="64" t="s">
        <v>1431</v>
      </c>
      <c r="B855" s="64" t="s">
        <v>1877</v>
      </c>
      <c r="C855" s="64" t="s">
        <v>16</v>
      </c>
      <c r="D855" s="64" t="s">
        <v>16</v>
      </c>
      <c r="E855" s="64" t="s">
        <v>373</v>
      </c>
      <c r="F855" s="64" t="s">
        <v>1432</v>
      </c>
      <c r="G855" s="64" t="s">
        <v>1871</v>
      </c>
    </row>
    <row r="856" spans="1:7" x14ac:dyDescent="0.3">
      <c r="A856" s="64" t="s">
        <v>1431</v>
      </c>
      <c r="B856" s="64" t="s">
        <v>1877</v>
      </c>
      <c r="C856" s="64" t="s">
        <v>16</v>
      </c>
      <c r="D856" s="64" t="s">
        <v>16</v>
      </c>
      <c r="E856" s="64" t="s">
        <v>368</v>
      </c>
      <c r="F856" s="64" t="s">
        <v>1432</v>
      </c>
      <c r="G856" s="64" t="s">
        <v>1872</v>
      </c>
    </row>
    <row r="857" spans="1:7" x14ac:dyDescent="0.3">
      <c r="A857" s="64" t="s">
        <v>1431</v>
      </c>
      <c r="B857" s="64" t="s">
        <v>1877</v>
      </c>
      <c r="C857" s="64" t="s">
        <v>16</v>
      </c>
      <c r="D857" s="64" t="s">
        <v>16</v>
      </c>
      <c r="E857" s="64" t="s">
        <v>372</v>
      </c>
      <c r="F857" s="64" t="s">
        <v>1432</v>
      </c>
      <c r="G857" s="64" t="s">
        <v>1873</v>
      </c>
    </row>
    <row r="858" spans="1:7" x14ac:dyDescent="0.3">
      <c r="A858" s="64" t="s">
        <v>1431</v>
      </c>
      <c r="B858" s="64" t="s">
        <v>1877</v>
      </c>
      <c r="C858" s="64" t="s">
        <v>16</v>
      </c>
      <c r="D858" s="64" t="s">
        <v>16</v>
      </c>
      <c r="E858" s="64" t="s">
        <v>375</v>
      </c>
      <c r="F858" s="64" t="s">
        <v>1432</v>
      </c>
      <c r="G858" s="64" t="s">
        <v>1874</v>
      </c>
    </row>
    <row r="859" spans="1:7" x14ac:dyDescent="0.3">
      <c r="A859" s="64" t="s">
        <v>1431</v>
      </c>
      <c r="B859" s="64" t="s">
        <v>1877</v>
      </c>
      <c r="C859" s="64" t="s">
        <v>16</v>
      </c>
      <c r="D859" s="64" t="s">
        <v>16</v>
      </c>
      <c r="E859" s="64" t="s">
        <v>380</v>
      </c>
      <c r="F859" s="64" t="s">
        <v>1432</v>
      </c>
      <c r="G859" s="64" t="s">
        <v>1875</v>
      </c>
    </row>
    <row r="860" spans="1:7" x14ac:dyDescent="0.3">
      <c r="A860" s="64" t="s">
        <v>1431</v>
      </c>
      <c r="B860" s="64" t="s">
        <v>1877</v>
      </c>
      <c r="C860" s="64" t="s">
        <v>16</v>
      </c>
      <c r="D860" s="64" t="s">
        <v>403</v>
      </c>
      <c r="E860" s="64" t="s">
        <v>369</v>
      </c>
      <c r="F860" s="64" t="s">
        <v>1437</v>
      </c>
      <c r="G860" s="64" t="s">
        <v>1860</v>
      </c>
    </row>
    <row r="861" spans="1:7" x14ac:dyDescent="0.3">
      <c r="A861" s="64" t="s">
        <v>1431</v>
      </c>
      <c r="B861" s="64" t="s">
        <v>1877</v>
      </c>
      <c r="C861" s="64" t="s">
        <v>16</v>
      </c>
      <c r="D861" s="64" t="s">
        <v>403</v>
      </c>
      <c r="E861" s="64" t="s">
        <v>382</v>
      </c>
      <c r="F861" s="64" t="s">
        <v>1437</v>
      </c>
      <c r="G861" s="64" t="s">
        <v>1861</v>
      </c>
    </row>
    <row r="862" spans="1:7" x14ac:dyDescent="0.3">
      <c r="A862" s="64" t="s">
        <v>1431</v>
      </c>
      <c r="B862" s="64" t="s">
        <v>1877</v>
      </c>
      <c r="C862" s="64" t="s">
        <v>16</v>
      </c>
      <c r="D862" s="64" t="s">
        <v>403</v>
      </c>
      <c r="E862" s="64" t="s">
        <v>370</v>
      </c>
      <c r="F862" s="64" t="s">
        <v>1437</v>
      </c>
      <c r="G862" s="64" t="s">
        <v>1862</v>
      </c>
    </row>
    <row r="863" spans="1:7" x14ac:dyDescent="0.3">
      <c r="A863" s="64" t="s">
        <v>1431</v>
      </c>
      <c r="B863" s="64" t="s">
        <v>1877</v>
      </c>
      <c r="C863" s="64" t="s">
        <v>16</v>
      </c>
      <c r="D863" s="64" t="s">
        <v>403</v>
      </c>
      <c r="E863" s="64" t="s">
        <v>378</v>
      </c>
      <c r="F863" s="64" t="s">
        <v>1437</v>
      </c>
      <c r="G863" s="64" t="s">
        <v>1863</v>
      </c>
    </row>
    <row r="864" spans="1:7" x14ac:dyDescent="0.3">
      <c r="A864" s="64" t="s">
        <v>1431</v>
      </c>
      <c r="B864" s="64" t="s">
        <v>1877</v>
      </c>
      <c r="C864" s="64" t="s">
        <v>16</v>
      </c>
      <c r="D864" s="64" t="s">
        <v>403</v>
      </c>
      <c r="E864" s="64" t="s">
        <v>371</v>
      </c>
      <c r="F864" s="64" t="s">
        <v>1437</v>
      </c>
      <c r="G864" s="64" t="s">
        <v>1864</v>
      </c>
    </row>
    <row r="865" spans="1:7" x14ac:dyDescent="0.3">
      <c r="A865" s="64" t="s">
        <v>1431</v>
      </c>
      <c r="B865" s="64" t="s">
        <v>1877</v>
      </c>
      <c r="C865" s="64" t="s">
        <v>16</v>
      </c>
      <c r="D865" s="64" t="s">
        <v>403</v>
      </c>
      <c r="E865" s="64" t="s">
        <v>376</v>
      </c>
      <c r="F865" s="64" t="s">
        <v>1437</v>
      </c>
      <c r="G865" s="64" t="s">
        <v>1865</v>
      </c>
    </row>
    <row r="866" spans="1:7" x14ac:dyDescent="0.3">
      <c r="A866" s="64" t="s">
        <v>1431</v>
      </c>
      <c r="B866" s="64" t="s">
        <v>1877</v>
      </c>
      <c r="C866" s="64" t="s">
        <v>16</v>
      </c>
      <c r="D866" s="64" t="s">
        <v>403</v>
      </c>
      <c r="E866" s="64" t="s">
        <v>377</v>
      </c>
      <c r="F866" s="64" t="s">
        <v>1437</v>
      </c>
      <c r="G866" s="64" t="s">
        <v>1866</v>
      </c>
    </row>
    <row r="867" spans="1:7" x14ac:dyDescent="0.3">
      <c r="A867" s="64" t="s">
        <v>1431</v>
      </c>
      <c r="B867" s="64" t="s">
        <v>1877</v>
      </c>
      <c r="C867" s="64" t="s">
        <v>16</v>
      </c>
      <c r="D867" s="64" t="s">
        <v>403</v>
      </c>
      <c r="E867" s="64" t="s">
        <v>381</v>
      </c>
      <c r="F867" s="64" t="s">
        <v>1437</v>
      </c>
      <c r="G867" s="64" t="s">
        <v>1867</v>
      </c>
    </row>
    <row r="868" spans="1:7" x14ac:dyDescent="0.3">
      <c r="A868" s="64" t="s">
        <v>1431</v>
      </c>
      <c r="B868" s="64" t="s">
        <v>1877</v>
      </c>
      <c r="C868" s="64" t="s">
        <v>16</v>
      </c>
      <c r="D868" s="64" t="s">
        <v>403</v>
      </c>
      <c r="E868" s="64" t="s">
        <v>379</v>
      </c>
      <c r="F868" s="64" t="s">
        <v>1437</v>
      </c>
      <c r="G868" s="64" t="s">
        <v>1868</v>
      </c>
    </row>
    <row r="869" spans="1:7" x14ac:dyDescent="0.3">
      <c r="A869" s="64" t="s">
        <v>1431</v>
      </c>
      <c r="B869" s="64" t="s">
        <v>1877</v>
      </c>
      <c r="C869" s="64" t="s">
        <v>16</v>
      </c>
      <c r="D869" s="64" t="s">
        <v>403</v>
      </c>
      <c r="E869" s="64" t="s">
        <v>374</v>
      </c>
      <c r="F869" s="64" t="s">
        <v>1437</v>
      </c>
      <c r="G869" s="64" t="s">
        <v>1869</v>
      </c>
    </row>
    <row r="870" spans="1:7" x14ac:dyDescent="0.3">
      <c r="A870" s="64" t="s">
        <v>1431</v>
      </c>
      <c r="B870" s="64" t="s">
        <v>1877</v>
      </c>
      <c r="C870" s="64" t="s">
        <v>16</v>
      </c>
      <c r="D870" s="64" t="s">
        <v>403</v>
      </c>
      <c r="E870" s="64" t="s">
        <v>383</v>
      </c>
      <c r="F870" s="64" t="s">
        <v>1437</v>
      </c>
      <c r="G870" s="64" t="s">
        <v>1870</v>
      </c>
    </row>
    <row r="871" spans="1:7" x14ac:dyDescent="0.3">
      <c r="A871" s="64" t="s">
        <v>1431</v>
      </c>
      <c r="B871" s="64" t="s">
        <v>1877</v>
      </c>
      <c r="C871" s="64" t="s">
        <v>16</v>
      </c>
      <c r="D871" s="64" t="s">
        <v>403</v>
      </c>
      <c r="E871" s="64" t="s">
        <v>373</v>
      </c>
      <c r="F871" s="64" t="s">
        <v>1437</v>
      </c>
      <c r="G871" s="64" t="s">
        <v>1871</v>
      </c>
    </row>
    <row r="872" spans="1:7" x14ac:dyDescent="0.3">
      <c r="A872" s="64" t="s">
        <v>1431</v>
      </c>
      <c r="B872" s="64" t="s">
        <v>1877</v>
      </c>
      <c r="C872" s="64" t="s">
        <v>16</v>
      </c>
      <c r="D872" s="64" t="s">
        <v>403</v>
      </c>
      <c r="E872" s="64" t="s">
        <v>368</v>
      </c>
      <c r="F872" s="64" t="s">
        <v>1437</v>
      </c>
      <c r="G872" s="64" t="s">
        <v>1872</v>
      </c>
    </row>
    <row r="873" spans="1:7" x14ac:dyDescent="0.3">
      <c r="A873" s="64" t="s">
        <v>1431</v>
      </c>
      <c r="B873" s="64" t="s">
        <v>1877</v>
      </c>
      <c r="C873" s="64" t="s">
        <v>16</v>
      </c>
      <c r="D873" s="64" t="s">
        <v>403</v>
      </c>
      <c r="E873" s="64" t="s">
        <v>372</v>
      </c>
      <c r="F873" s="64" t="s">
        <v>1437</v>
      </c>
      <c r="G873" s="64" t="s">
        <v>1873</v>
      </c>
    </row>
    <row r="874" spans="1:7" x14ac:dyDescent="0.3">
      <c r="A874" s="64" t="s">
        <v>1431</v>
      </c>
      <c r="B874" s="64" t="s">
        <v>1877</v>
      </c>
      <c r="C874" s="64" t="s">
        <v>16</v>
      </c>
      <c r="D874" s="64" t="s">
        <v>403</v>
      </c>
      <c r="E874" s="64" t="s">
        <v>375</v>
      </c>
      <c r="F874" s="64" t="s">
        <v>1437</v>
      </c>
      <c r="G874" s="64" t="s">
        <v>1874</v>
      </c>
    </row>
    <row r="875" spans="1:7" x14ac:dyDescent="0.3">
      <c r="A875" s="64" t="s">
        <v>1431</v>
      </c>
      <c r="B875" s="64" t="s">
        <v>1877</v>
      </c>
      <c r="C875" s="64" t="s">
        <v>16</v>
      </c>
      <c r="D875" s="64" t="s">
        <v>403</v>
      </c>
      <c r="E875" s="64" t="s">
        <v>380</v>
      </c>
      <c r="F875" s="64" t="s">
        <v>1437</v>
      </c>
      <c r="G875" s="64" t="s">
        <v>1875</v>
      </c>
    </row>
    <row r="876" spans="1:7" x14ac:dyDescent="0.3">
      <c r="A876" s="64" t="s">
        <v>5151</v>
      </c>
      <c r="B876" s="64" t="s">
        <v>1885</v>
      </c>
      <c r="C876" s="64" t="s">
        <v>20</v>
      </c>
      <c r="D876" s="64" t="s">
        <v>403</v>
      </c>
      <c r="E876" s="64" t="s">
        <v>15</v>
      </c>
      <c r="F876" s="64" t="s">
        <v>1446</v>
      </c>
      <c r="G876" s="64">
        <v>0</v>
      </c>
    </row>
    <row r="877" spans="1:7" x14ac:dyDescent="0.3">
      <c r="A877" s="64" t="s">
        <v>1498</v>
      </c>
      <c r="B877" s="64" t="s">
        <v>1899</v>
      </c>
      <c r="C877" s="64" t="s">
        <v>20</v>
      </c>
      <c r="D877" s="64" t="s">
        <v>403</v>
      </c>
      <c r="E877" s="64" t="s">
        <v>15</v>
      </c>
      <c r="F877" s="64" t="s">
        <v>9286</v>
      </c>
      <c r="G877" s="64">
        <v>0</v>
      </c>
    </row>
    <row r="878" spans="1:7" x14ac:dyDescent="0.3">
      <c r="A878" s="64" t="s">
        <v>1498</v>
      </c>
      <c r="B878" s="64" t="s">
        <v>1899</v>
      </c>
      <c r="C878" s="64" t="s">
        <v>20</v>
      </c>
      <c r="D878" s="64" t="s">
        <v>403</v>
      </c>
      <c r="E878" s="64" t="s">
        <v>15</v>
      </c>
      <c r="F878" s="64" t="s">
        <v>9287</v>
      </c>
      <c r="G878" s="64">
        <v>0</v>
      </c>
    </row>
    <row r="879" spans="1:7" x14ac:dyDescent="0.3">
      <c r="A879" s="64" t="s">
        <v>1498</v>
      </c>
      <c r="B879" s="64" t="s">
        <v>1899</v>
      </c>
      <c r="C879" s="64" t="s">
        <v>20</v>
      </c>
      <c r="D879" s="64" t="s">
        <v>403</v>
      </c>
      <c r="E879" s="64" t="s">
        <v>15</v>
      </c>
      <c r="F879" s="64" t="s">
        <v>9285</v>
      </c>
      <c r="G879" s="64" t="s">
        <v>805</v>
      </c>
    </row>
    <row r="880" spans="1:7" x14ac:dyDescent="0.3">
      <c r="A880" s="64" t="s">
        <v>1498</v>
      </c>
      <c r="B880" s="64" t="s">
        <v>1899</v>
      </c>
      <c r="C880" s="64" t="s">
        <v>16</v>
      </c>
      <c r="D880" s="64" t="s">
        <v>403</v>
      </c>
      <c r="E880" s="64" t="s">
        <v>369</v>
      </c>
      <c r="F880" s="64" t="s">
        <v>9287</v>
      </c>
      <c r="G880" s="64" t="s">
        <v>1860</v>
      </c>
    </row>
    <row r="881" spans="1:7" x14ac:dyDescent="0.3">
      <c r="A881" s="64" t="s">
        <v>1498</v>
      </c>
      <c r="B881" s="64" t="s">
        <v>1899</v>
      </c>
      <c r="C881" s="64" t="s">
        <v>16</v>
      </c>
      <c r="D881" s="64" t="s">
        <v>403</v>
      </c>
      <c r="E881" s="64" t="s">
        <v>369</v>
      </c>
      <c r="F881" s="64" t="s">
        <v>9285</v>
      </c>
      <c r="G881" s="64" t="s">
        <v>1860</v>
      </c>
    </row>
    <row r="882" spans="1:7" x14ac:dyDescent="0.3">
      <c r="A882" s="64" t="s">
        <v>1498</v>
      </c>
      <c r="B882" s="64" t="s">
        <v>1899</v>
      </c>
      <c r="C882" s="64" t="s">
        <v>16</v>
      </c>
      <c r="D882" s="64" t="s">
        <v>403</v>
      </c>
      <c r="E882" s="64" t="s">
        <v>382</v>
      </c>
      <c r="F882" s="64" t="s">
        <v>9287</v>
      </c>
      <c r="G882" s="64" t="s">
        <v>1861</v>
      </c>
    </row>
    <row r="883" spans="1:7" x14ac:dyDescent="0.3">
      <c r="A883" s="64" t="s">
        <v>1498</v>
      </c>
      <c r="B883" s="64" t="s">
        <v>1899</v>
      </c>
      <c r="C883" s="64" t="s">
        <v>16</v>
      </c>
      <c r="D883" s="64" t="s">
        <v>403</v>
      </c>
      <c r="E883" s="64" t="s">
        <v>382</v>
      </c>
      <c r="F883" s="64" t="s">
        <v>9285</v>
      </c>
      <c r="G883" s="64" t="s">
        <v>1861</v>
      </c>
    </row>
    <row r="884" spans="1:7" x14ac:dyDescent="0.3">
      <c r="A884" s="64" t="s">
        <v>1498</v>
      </c>
      <c r="B884" s="64" t="s">
        <v>1899</v>
      </c>
      <c r="C884" s="64" t="s">
        <v>16</v>
      </c>
      <c r="D884" s="64" t="s">
        <v>403</v>
      </c>
      <c r="E884" s="64" t="s">
        <v>370</v>
      </c>
      <c r="F884" s="64" t="s">
        <v>9286</v>
      </c>
      <c r="G884" s="64" t="s">
        <v>1862</v>
      </c>
    </row>
    <row r="885" spans="1:7" x14ac:dyDescent="0.3">
      <c r="A885" s="64" t="s">
        <v>1498</v>
      </c>
      <c r="B885" s="64" t="s">
        <v>1899</v>
      </c>
      <c r="C885" s="64" t="s">
        <v>16</v>
      </c>
      <c r="D885" s="64" t="s">
        <v>403</v>
      </c>
      <c r="E885" s="64" t="s">
        <v>370</v>
      </c>
      <c r="F885" s="64" t="s">
        <v>9287</v>
      </c>
      <c r="G885" s="64" t="s">
        <v>1862</v>
      </c>
    </row>
    <row r="886" spans="1:7" x14ac:dyDescent="0.3">
      <c r="A886" s="64" t="s">
        <v>1498</v>
      </c>
      <c r="B886" s="64" t="s">
        <v>1899</v>
      </c>
      <c r="C886" s="64" t="s">
        <v>16</v>
      </c>
      <c r="D886" s="64" t="s">
        <v>403</v>
      </c>
      <c r="E886" s="64" t="s">
        <v>370</v>
      </c>
      <c r="F886" s="64" t="s">
        <v>9285</v>
      </c>
      <c r="G886" s="64" t="s">
        <v>1862</v>
      </c>
    </row>
    <row r="887" spans="1:7" x14ac:dyDescent="0.3">
      <c r="A887" s="64" t="s">
        <v>1498</v>
      </c>
      <c r="B887" s="64" t="s">
        <v>1899</v>
      </c>
      <c r="C887" s="64" t="s">
        <v>16</v>
      </c>
      <c r="D887" s="64" t="s">
        <v>403</v>
      </c>
      <c r="E887" s="64" t="s">
        <v>378</v>
      </c>
      <c r="F887" s="64" t="s">
        <v>9286</v>
      </c>
      <c r="G887" s="64" t="s">
        <v>1863</v>
      </c>
    </row>
    <row r="888" spans="1:7" x14ac:dyDescent="0.3">
      <c r="A888" s="64" t="s">
        <v>1498</v>
      </c>
      <c r="B888" s="64" t="s">
        <v>1899</v>
      </c>
      <c r="C888" s="64" t="s">
        <v>16</v>
      </c>
      <c r="D888" s="64" t="s">
        <v>403</v>
      </c>
      <c r="E888" s="64" t="s">
        <v>378</v>
      </c>
      <c r="F888" s="64" t="s">
        <v>9287</v>
      </c>
      <c r="G888" s="64" t="s">
        <v>1863</v>
      </c>
    </row>
    <row r="889" spans="1:7" x14ac:dyDescent="0.3">
      <c r="A889" s="64" t="s">
        <v>1498</v>
      </c>
      <c r="B889" s="64" t="s">
        <v>1899</v>
      </c>
      <c r="C889" s="64" t="s">
        <v>16</v>
      </c>
      <c r="D889" s="64" t="s">
        <v>403</v>
      </c>
      <c r="E889" s="64" t="s">
        <v>378</v>
      </c>
      <c r="F889" s="64" t="s">
        <v>9285</v>
      </c>
      <c r="G889" s="64" t="s">
        <v>1863</v>
      </c>
    </row>
    <row r="890" spans="1:7" x14ac:dyDescent="0.3">
      <c r="A890" s="64" t="s">
        <v>1498</v>
      </c>
      <c r="B890" s="64" t="s">
        <v>1899</v>
      </c>
      <c r="C890" s="64" t="s">
        <v>16</v>
      </c>
      <c r="D890" s="64" t="s">
        <v>403</v>
      </c>
      <c r="E890" s="64" t="s">
        <v>371</v>
      </c>
      <c r="F890" s="64" t="s">
        <v>9286</v>
      </c>
      <c r="G890" s="64" t="s">
        <v>1864</v>
      </c>
    </row>
    <row r="891" spans="1:7" x14ac:dyDescent="0.3">
      <c r="A891" s="64" t="s">
        <v>1498</v>
      </c>
      <c r="B891" s="64" t="s">
        <v>1899</v>
      </c>
      <c r="C891" s="64" t="s">
        <v>16</v>
      </c>
      <c r="D891" s="64" t="s">
        <v>403</v>
      </c>
      <c r="E891" s="64" t="s">
        <v>371</v>
      </c>
      <c r="F891" s="64" t="s">
        <v>9287</v>
      </c>
      <c r="G891" s="64" t="s">
        <v>1864</v>
      </c>
    </row>
    <row r="892" spans="1:7" x14ac:dyDescent="0.3">
      <c r="A892" s="64" t="s">
        <v>1498</v>
      </c>
      <c r="B892" s="64" t="s">
        <v>1899</v>
      </c>
      <c r="C892" s="64" t="s">
        <v>16</v>
      </c>
      <c r="D892" s="64" t="s">
        <v>403</v>
      </c>
      <c r="E892" s="64" t="s">
        <v>371</v>
      </c>
      <c r="F892" s="64" t="s">
        <v>9285</v>
      </c>
      <c r="G892" s="64" t="s">
        <v>1864</v>
      </c>
    </row>
    <row r="893" spans="1:7" x14ac:dyDescent="0.3">
      <c r="A893" s="64" t="s">
        <v>1498</v>
      </c>
      <c r="B893" s="64" t="s">
        <v>1899</v>
      </c>
      <c r="C893" s="64" t="s">
        <v>16</v>
      </c>
      <c r="D893" s="64" t="s">
        <v>403</v>
      </c>
      <c r="E893" s="64" t="s">
        <v>376</v>
      </c>
      <c r="F893" s="64" t="s">
        <v>9286</v>
      </c>
      <c r="G893" s="64" t="s">
        <v>1865</v>
      </c>
    </row>
    <row r="894" spans="1:7" x14ac:dyDescent="0.3">
      <c r="A894" s="64" t="s">
        <v>1498</v>
      </c>
      <c r="B894" s="64" t="s">
        <v>1899</v>
      </c>
      <c r="C894" s="64" t="s">
        <v>16</v>
      </c>
      <c r="D894" s="64" t="s">
        <v>403</v>
      </c>
      <c r="E894" s="64" t="s">
        <v>376</v>
      </c>
      <c r="F894" s="64" t="s">
        <v>9287</v>
      </c>
      <c r="G894" s="64" t="s">
        <v>1865</v>
      </c>
    </row>
    <row r="895" spans="1:7" x14ac:dyDescent="0.3">
      <c r="A895" s="64" t="s">
        <v>1498</v>
      </c>
      <c r="B895" s="64" t="s">
        <v>1899</v>
      </c>
      <c r="C895" s="64" t="s">
        <v>16</v>
      </c>
      <c r="D895" s="64" t="s">
        <v>403</v>
      </c>
      <c r="E895" s="64" t="s">
        <v>376</v>
      </c>
      <c r="F895" s="64" t="s">
        <v>9285</v>
      </c>
      <c r="G895" s="64" t="s">
        <v>1865</v>
      </c>
    </row>
    <row r="896" spans="1:7" x14ac:dyDescent="0.3">
      <c r="A896" s="64" t="s">
        <v>1498</v>
      </c>
      <c r="B896" s="64" t="s">
        <v>1899</v>
      </c>
      <c r="C896" s="64" t="s">
        <v>16</v>
      </c>
      <c r="D896" s="64" t="s">
        <v>403</v>
      </c>
      <c r="E896" s="64" t="s">
        <v>377</v>
      </c>
      <c r="F896" s="64" t="s">
        <v>9286</v>
      </c>
      <c r="G896" s="64" t="s">
        <v>1866</v>
      </c>
    </row>
    <row r="897" spans="1:7" x14ac:dyDescent="0.3">
      <c r="A897" s="64" t="s">
        <v>1498</v>
      </c>
      <c r="B897" s="64" t="s">
        <v>1899</v>
      </c>
      <c r="C897" s="64" t="s">
        <v>16</v>
      </c>
      <c r="D897" s="64" t="s">
        <v>403</v>
      </c>
      <c r="E897" s="64" t="s">
        <v>377</v>
      </c>
      <c r="F897" s="64" t="s">
        <v>9287</v>
      </c>
      <c r="G897" s="64" t="s">
        <v>1866</v>
      </c>
    </row>
    <row r="898" spans="1:7" x14ac:dyDescent="0.3">
      <c r="A898" s="64" t="s">
        <v>1498</v>
      </c>
      <c r="B898" s="64" t="s">
        <v>1899</v>
      </c>
      <c r="C898" s="64" t="s">
        <v>16</v>
      </c>
      <c r="D898" s="64" t="s">
        <v>403</v>
      </c>
      <c r="E898" s="64" t="s">
        <v>377</v>
      </c>
      <c r="F898" s="64" t="s">
        <v>9285</v>
      </c>
      <c r="G898" s="64" t="s">
        <v>1866</v>
      </c>
    </row>
    <row r="899" spans="1:7" x14ac:dyDescent="0.3">
      <c r="A899" s="64" t="s">
        <v>1498</v>
      </c>
      <c r="B899" s="64" t="s">
        <v>1899</v>
      </c>
      <c r="C899" s="64" t="s">
        <v>16</v>
      </c>
      <c r="D899" s="64" t="s">
        <v>403</v>
      </c>
      <c r="E899" s="64" t="s">
        <v>381</v>
      </c>
      <c r="F899" s="64" t="s">
        <v>9286</v>
      </c>
      <c r="G899" s="64" t="s">
        <v>1867</v>
      </c>
    </row>
    <row r="900" spans="1:7" x14ac:dyDescent="0.3">
      <c r="A900" s="64" t="s">
        <v>1498</v>
      </c>
      <c r="B900" s="64" t="s">
        <v>1899</v>
      </c>
      <c r="C900" s="64" t="s">
        <v>16</v>
      </c>
      <c r="D900" s="64" t="s">
        <v>403</v>
      </c>
      <c r="E900" s="64" t="s">
        <v>381</v>
      </c>
      <c r="F900" s="64" t="s">
        <v>9287</v>
      </c>
      <c r="G900" s="64" t="s">
        <v>1867</v>
      </c>
    </row>
    <row r="901" spans="1:7" x14ac:dyDescent="0.3">
      <c r="A901" s="64" t="s">
        <v>1498</v>
      </c>
      <c r="B901" s="64" t="s">
        <v>1899</v>
      </c>
      <c r="C901" s="64" t="s">
        <v>16</v>
      </c>
      <c r="D901" s="64" t="s">
        <v>403</v>
      </c>
      <c r="E901" s="64" t="s">
        <v>381</v>
      </c>
      <c r="F901" s="64" t="s">
        <v>9285</v>
      </c>
      <c r="G901" s="64" t="s">
        <v>1867</v>
      </c>
    </row>
    <row r="902" spans="1:7" x14ac:dyDescent="0.3">
      <c r="A902" s="64" t="s">
        <v>1498</v>
      </c>
      <c r="B902" s="64" t="s">
        <v>1899</v>
      </c>
      <c r="C902" s="64" t="s">
        <v>16</v>
      </c>
      <c r="D902" s="64" t="s">
        <v>403</v>
      </c>
      <c r="E902" s="64" t="s">
        <v>379</v>
      </c>
      <c r="F902" s="64" t="s">
        <v>9286</v>
      </c>
      <c r="G902" s="64" t="s">
        <v>1868</v>
      </c>
    </row>
    <row r="903" spans="1:7" x14ac:dyDescent="0.3">
      <c r="A903" s="64" t="s">
        <v>1498</v>
      </c>
      <c r="B903" s="64" t="s">
        <v>1899</v>
      </c>
      <c r="C903" s="64" t="s">
        <v>16</v>
      </c>
      <c r="D903" s="64" t="s">
        <v>403</v>
      </c>
      <c r="E903" s="64" t="s">
        <v>379</v>
      </c>
      <c r="F903" s="64" t="s">
        <v>9287</v>
      </c>
      <c r="G903" s="64" t="s">
        <v>1868</v>
      </c>
    </row>
    <row r="904" spans="1:7" x14ac:dyDescent="0.3">
      <c r="A904" s="64" t="s">
        <v>1498</v>
      </c>
      <c r="B904" s="64" t="s">
        <v>1899</v>
      </c>
      <c r="C904" s="64" t="s">
        <v>16</v>
      </c>
      <c r="D904" s="64" t="s">
        <v>403</v>
      </c>
      <c r="E904" s="64" t="s">
        <v>379</v>
      </c>
      <c r="F904" s="64" t="s">
        <v>9285</v>
      </c>
      <c r="G904" s="64" t="s">
        <v>1868</v>
      </c>
    </row>
    <row r="905" spans="1:7" x14ac:dyDescent="0.3">
      <c r="A905" s="64" t="s">
        <v>1498</v>
      </c>
      <c r="B905" s="64" t="s">
        <v>1899</v>
      </c>
      <c r="C905" s="64" t="s">
        <v>16</v>
      </c>
      <c r="D905" s="64" t="s">
        <v>403</v>
      </c>
      <c r="E905" s="64" t="s">
        <v>374</v>
      </c>
      <c r="F905" s="64" t="s">
        <v>9286</v>
      </c>
      <c r="G905" s="64" t="s">
        <v>1869</v>
      </c>
    </row>
    <row r="906" spans="1:7" x14ac:dyDescent="0.3">
      <c r="A906" s="64" t="s">
        <v>1498</v>
      </c>
      <c r="B906" s="64" t="s">
        <v>1899</v>
      </c>
      <c r="C906" s="64" t="s">
        <v>16</v>
      </c>
      <c r="D906" s="64" t="s">
        <v>403</v>
      </c>
      <c r="E906" s="64" t="s">
        <v>374</v>
      </c>
      <c r="F906" s="64" t="s">
        <v>9287</v>
      </c>
      <c r="G906" s="64" t="s">
        <v>1869</v>
      </c>
    </row>
    <row r="907" spans="1:7" x14ac:dyDescent="0.3">
      <c r="A907" s="64" t="s">
        <v>1498</v>
      </c>
      <c r="B907" s="64" t="s">
        <v>1899</v>
      </c>
      <c r="C907" s="64" t="s">
        <v>16</v>
      </c>
      <c r="D907" s="64" t="s">
        <v>403</v>
      </c>
      <c r="E907" s="64" t="s">
        <v>374</v>
      </c>
      <c r="F907" s="64" t="s">
        <v>9285</v>
      </c>
      <c r="G907" s="64" t="s">
        <v>1869</v>
      </c>
    </row>
    <row r="908" spans="1:7" x14ac:dyDescent="0.3">
      <c r="A908" s="64" t="s">
        <v>1498</v>
      </c>
      <c r="B908" s="64" t="s">
        <v>1899</v>
      </c>
      <c r="C908" s="64" t="s">
        <v>16</v>
      </c>
      <c r="D908" s="64" t="s">
        <v>403</v>
      </c>
      <c r="E908" s="64" t="s">
        <v>383</v>
      </c>
      <c r="F908" s="64" t="s">
        <v>9286</v>
      </c>
      <c r="G908" s="64" t="s">
        <v>1870</v>
      </c>
    </row>
    <row r="909" spans="1:7" x14ac:dyDescent="0.3">
      <c r="A909" s="64" t="s">
        <v>1498</v>
      </c>
      <c r="B909" s="64" t="s">
        <v>1899</v>
      </c>
      <c r="C909" s="64" t="s">
        <v>16</v>
      </c>
      <c r="D909" s="64" t="s">
        <v>403</v>
      </c>
      <c r="E909" s="64" t="s">
        <v>383</v>
      </c>
      <c r="F909" s="64" t="s">
        <v>9287</v>
      </c>
      <c r="G909" s="64" t="s">
        <v>1870</v>
      </c>
    </row>
    <row r="910" spans="1:7" x14ac:dyDescent="0.3">
      <c r="A910" s="64" t="s">
        <v>1498</v>
      </c>
      <c r="B910" s="64" t="s">
        <v>1899</v>
      </c>
      <c r="C910" s="64" t="s">
        <v>16</v>
      </c>
      <c r="D910" s="64" t="s">
        <v>403</v>
      </c>
      <c r="E910" s="64" t="s">
        <v>383</v>
      </c>
      <c r="F910" s="64" t="s">
        <v>9285</v>
      </c>
      <c r="G910" s="64" t="s">
        <v>1870</v>
      </c>
    </row>
    <row r="911" spans="1:7" x14ac:dyDescent="0.3">
      <c r="A911" s="64" t="s">
        <v>1498</v>
      </c>
      <c r="B911" s="64" t="s">
        <v>1899</v>
      </c>
      <c r="C911" s="64" t="s">
        <v>16</v>
      </c>
      <c r="D911" s="64" t="s">
        <v>403</v>
      </c>
      <c r="E911" s="64" t="s">
        <v>373</v>
      </c>
      <c r="F911" s="64" t="s">
        <v>9286</v>
      </c>
      <c r="G911" s="64" t="s">
        <v>1871</v>
      </c>
    </row>
    <row r="912" spans="1:7" x14ac:dyDescent="0.3">
      <c r="A912" s="64" t="s">
        <v>1498</v>
      </c>
      <c r="B912" s="64" t="s">
        <v>1899</v>
      </c>
      <c r="C912" s="64" t="s">
        <v>16</v>
      </c>
      <c r="D912" s="64" t="s">
        <v>403</v>
      </c>
      <c r="E912" s="64" t="s">
        <v>373</v>
      </c>
      <c r="F912" s="64" t="s">
        <v>9287</v>
      </c>
      <c r="G912" s="64" t="s">
        <v>1871</v>
      </c>
    </row>
    <row r="913" spans="1:7" x14ac:dyDescent="0.3">
      <c r="A913" s="64" t="s">
        <v>1498</v>
      </c>
      <c r="B913" s="64" t="s">
        <v>1899</v>
      </c>
      <c r="C913" s="64" t="s">
        <v>16</v>
      </c>
      <c r="D913" s="64" t="s">
        <v>403</v>
      </c>
      <c r="E913" s="64" t="s">
        <v>373</v>
      </c>
      <c r="F913" s="64" t="s">
        <v>9285</v>
      </c>
      <c r="G913" s="64" t="s">
        <v>1871</v>
      </c>
    </row>
    <row r="914" spans="1:7" x14ac:dyDescent="0.3">
      <c r="A914" s="64" t="s">
        <v>1498</v>
      </c>
      <c r="B914" s="64" t="s">
        <v>1899</v>
      </c>
      <c r="C914" s="64" t="s">
        <v>16</v>
      </c>
      <c r="D914" s="64" t="s">
        <v>403</v>
      </c>
      <c r="E914" s="64" t="s">
        <v>368</v>
      </c>
      <c r="F914" s="64" t="s">
        <v>9287</v>
      </c>
      <c r="G914" s="64" t="s">
        <v>1872</v>
      </c>
    </row>
    <row r="915" spans="1:7" x14ac:dyDescent="0.3">
      <c r="A915" s="64" t="s">
        <v>1498</v>
      </c>
      <c r="B915" s="64" t="s">
        <v>1899</v>
      </c>
      <c r="C915" s="64" t="s">
        <v>16</v>
      </c>
      <c r="D915" s="64" t="s">
        <v>403</v>
      </c>
      <c r="E915" s="64" t="s">
        <v>368</v>
      </c>
      <c r="F915" s="64" t="s">
        <v>9285</v>
      </c>
      <c r="G915" s="64" t="s">
        <v>1872</v>
      </c>
    </row>
    <row r="916" spans="1:7" x14ac:dyDescent="0.3">
      <c r="A916" s="64" t="s">
        <v>1498</v>
      </c>
      <c r="B916" s="64" t="s">
        <v>1899</v>
      </c>
      <c r="C916" s="64" t="s">
        <v>16</v>
      </c>
      <c r="D916" s="64" t="s">
        <v>403</v>
      </c>
      <c r="E916" s="64" t="s">
        <v>372</v>
      </c>
      <c r="F916" s="64" t="s">
        <v>9286</v>
      </c>
      <c r="G916" s="64" t="s">
        <v>1873</v>
      </c>
    </row>
    <row r="917" spans="1:7" x14ac:dyDescent="0.3">
      <c r="A917" s="64" t="s">
        <v>1498</v>
      </c>
      <c r="B917" s="64" t="s">
        <v>1899</v>
      </c>
      <c r="C917" s="64" t="s">
        <v>16</v>
      </c>
      <c r="D917" s="64" t="s">
        <v>403</v>
      </c>
      <c r="E917" s="64" t="s">
        <v>372</v>
      </c>
      <c r="F917" s="64" t="s">
        <v>9287</v>
      </c>
      <c r="G917" s="64" t="s">
        <v>1873</v>
      </c>
    </row>
    <row r="918" spans="1:7" x14ac:dyDescent="0.3">
      <c r="A918" s="64" t="s">
        <v>1498</v>
      </c>
      <c r="B918" s="64" t="s">
        <v>1899</v>
      </c>
      <c r="C918" s="64" t="s">
        <v>16</v>
      </c>
      <c r="D918" s="64" t="s">
        <v>403</v>
      </c>
      <c r="E918" s="64" t="s">
        <v>372</v>
      </c>
      <c r="F918" s="64" t="s">
        <v>9285</v>
      </c>
      <c r="G918" s="64" t="s">
        <v>1873</v>
      </c>
    </row>
    <row r="919" spans="1:7" x14ac:dyDescent="0.3">
      <c r="A919" s="64" t="s">
        <v>1498</v>
      </c>
      <c r="B919" s="64" t="s">
        <v>1899</v>
      </c>
      <c r="C919" s="64" t="s">
        <v>16</v>
      </c>
      <c r="D919" s="64" t="s">
        <v>403</v>
      </c>
      <c r="E919" s="64" t="s">
        <v>375</v>
      </c>
      <c r="F919" s="64" t="s">
        <v>9286</v>
      </c>
      <c r="G919" s="64" t="s">
        <v>1874</v>
      </c>
    </row>
    <row r="920" spans="1:7" x14ac:dyDescent="0.3">
      <c r="A920" s="64" t="s">
        <v>1498</v>
      </c>
      <c r="B920" s="64" t="s">
        <v>1899</v>
      </c>
      <c r="C920" s="64" t="s">
        <v>16</v>
      </c>
      <c r="D920" s="64" t="s">
        <v>403</v>
      </c>
      <c r="E920" s="64" t="s">
        <v>375</v>
      </c>
      <c r="F920" s="64" t="s">
        <v>9287</v>
      </c>
      <c r="G920" s="64" t="s">
        <v>1874</v>
      </c>
    </row>
    <row r="921" spans="1:7" x14ac:dyDescent="0.3">
      <c r="A921" s="64" t="s">
        <v>1498</v>
      </c>
      <c r="B921" s="64" t="s">
        <v>1899</v>
      </c>
      <c r="C921" s="64" t="s">
        <v>16</v>
      </c>
      <c r="D921" s="64" t="s">
        <v>403</v>
      </c>
      <c r="E921" s="64" t="s">
        <v>375</v>
      </c>
      <c r="F921" s="64" t="s">
        <v>9285</v>
      </c>
      <c r="G921" s="64" t="s">
        <v>1874</v>
      </c>
    </row>
    <row r="922" spans="1:7" x14ac:dyDescent="0.3">
      <c r="A922" s="64" t="s">
        <v>1498</v>
      </c>
      <c r="B922" s="64" t="s">
        <v>1899</v>
      </c>
      <c r="C922" s="64" t="s">
        <v>16</v>
      </c>
      <c r="D922" s="64" t="s">
        <v>403</v>
      </c>
      <c r="E922" s="64" t="s">
        <v>380</v>
      </c>
      <c r="F922" s="64" t="s">
        <v>9286</v>
      </c>
      <c r="G922" s="64" t="s">
        <v>1875</v>
      </c>
    </row>
    <row r="923" spans="1:7" x14ac:dyDescent="0.3">
      <c r="A923" s="64" t="s">
        <v>1498</v>
      </c>
      <c r="B923" s="64" t="s">
        <v>1899</v>
      </c>
      <c r="C923" s="64" t="s">
        <v>16</v>
      </c>
      <c r="D923" s="64" t="s">
        <v>403</v>
      </c>
      <c r="E923" s="64" t="s">
        <v>380</v>
      </c>
      <c r="F923" s="64" t="s">
        <v>9287</v>
      </c>
      <c r="G923" s="64" t="s">
        <v>1875</v>
      </c>
    </row>
    <row r="924" spans="1:7" x14ac:dyDescent="0.3">
      <c r="A924" s="64" t="s">
        <v>1498</v>
      </c>
      <c r="B924" s="64" t="s">
        <v>1899</v>
      </c>
      <c r="C924" s="64" t="s">
        <v>16</v>
      </c>
      <c r="D924" s="64" t="s">
        <v>403</v>
      </c>
      <c r="E924" s="64" t="s">
        <v>380</v>
      </c>
      <c r="F924" s="64" t="s">
        <v>9285</v>
      </c>
      <c r="G924" s="64" t="s">
        <v>1875</v>
      </c>
    </row>
    <row r="925" spans="1:7" x14ac:dyDescent="0.3">
      <c r="A925" s="64" t="s">
        <v>1914</v>
      </c>
      <c r="B925" s="64" t="s">
        <v>1914</v>
      </c>
      <c r="C925" s="64" t="s">
        <v>20</v>
      </c>
      <c r="D925" s="64" t="s">
        <v>16</v>
      </c>
      <c r="E925" s="64" t="s">
        <v>15</v>
      </c>
      <c r="F925" s="64" t="s">
        <v>1914</v>
      </c>
      <c r="G925" s="64" t="s">
        <v>805</v>
      </c>
    </row>
    <row r="926" spans="1:7" x14ac:dyDescent="0.3">
      <c r="A926" s="64" t="s">
        <v>1914</v>
      </c>
      <c r="B926" s="64" t="s">
        <v>1914</v>
      </c>
      <c r="C926" s="64" t="s">
        <v>20</v>
      </c>
      <c r="D926" s="64" t="s">
        <v>1933</v>
      </c>
      <c r="E926" s="64" t="s">
        <v>15</v>
      </c>
      <c r="F926" s="64" t="s">
        <v>1914</v>
      </c>
      <c r="G926" s="64" t="s">
        <v>957</v>
      </c>
    </row>
    <row r="927" spans="1:7" x14ac:dyDescent="0.3">
      <c r="A927" s="64" t="s">
        <v>1914</v>
      </c>
      <c r="B927" s="64" t="s">
        <v>1914</v>
      </c>
      <c r="C927" s="64" t="s">
        <v>16</v>
      </c>
      <c r="D927" s="64" t="s">
        <v>403</v>
      </c>
      <c r="E927" s="64" t="s">
        <v>369</v>
      </c>
      <c r="F927" s="64" t="s">
        <v>1914</v>
      </c>
      <c r="G927" s="64" t="s">
        <v>1860</v>
      </c>
    </row>
    <row r="928" spans="1:7" x14ac:dyDescent="0.3">
      <c r="A928" s="64" t="s">
        <v>1914</v>
      </c>
      <c r="B928" s="64" t="s">
        <v>1914</v>
      </c>
      <c r="C928" s="64" t="s">
        <v>16</v>
      </c>
      <c r="D928" s="64" t="s">
        <v>403</v>
      </c>
      <c r="E928" s="64" t="s">
        <v>382</v>
      </c>
      <c r="F928" s="64" t="s">
        <v>1914</v>
      </c>
      <c r="G928" s="64" t="s">
        <v>1861</v>
      </c>
    </row>
    <row r="929" spans="1:7" x14ac:dyDescent="0.3">
      <c r="A929" s="64" t="s">
        <v>1914</v>
      </c>
      <c r="B929" s="64" t="s">
        <v>1914</v>
      </c>
      <c r="C929" s="64" t="s">
        <v>16</v>
      </c>
      <c r="D929" s="64" t="s">
        <v>403</v>
      </c>
      <c r="E929" s="64" t="s">
        <v>370</v>
      </c>
      <c r="F929" s="64" t="s">
        <v>1914</v>
      </c>
      <c r="G929" s="64" t="s">
        <v>1862</v>
      </c>
    </row>
    <row r="930" spans="1:7" x14ac:dyDescent="0.3">
      <c r="A930" s="64" t="s">
        <v>1914</v>
      </c>
      <c r="B930" s="64" t="s">
        <v>1914</v>
      </c>
      <c r="C930" s="64" t="s">
        <v>16</v>
      </c>
      <c r="D930" s="64" t="s">
        <v>403</v>
      </c>
      <c r="E930" s="64" t="s">
        <v>378</v>
      </c>
      <c r="F930" s="64" t="s">
        <v>1914</v>
      </c>
      <c r="G930" s="64" t="s">
        <v>1863</v>
      </c>
    </row>
    <row r="931" spans="1:7" x14ac:dyDescent="0.3">
      <c r="A931" s="64" t="s">
        <v>1914</v>
      </c>
      <c r="B931" s="64" t="s">
        <v>1914</v>
      </c>
      <c r="C931" s="64" t="s">
        <v>16</v>
      </c>
      <c r="D931" s="64" t="s">
        <v>403</v>
      </c>
      <c r="E931" s="64" t="s">
        <v>371</v>
      </c>
      <c r="F931" s="64" t="s">
        <v>1914</v>
      </c>
      <c r="G931" s="64" t="s">
        <v>1864</v>
      </c>
    </row>
    <row r="932" spans="1:7" x14ac:dyDescent="0.3">
      <c r="A932" s="64" t="s">
        <v>1914</v>
      </c>
      <c r="B932" s="64" t="s">
        <v>1914</v>
      </c>
      <c r="C932" s="64" t="s">
        <v>16</v>
      </c>
      <c r="D932" s="64" t="s">
        <v>403</v>
      </c>
      <c r="E932" s="64" t="s">
        <v>376</v>
      </c>
      <c r="F932" s="64" t="s">
        <v>1914</v>
      </c>
      <c r="G932" s="64" t="s">
        <v>1865</v>
      </c>
    </row>
    <row r="933" spans="1:7" x14ac:dyDescent="0.3">
      <c r="A933" s="64" t="s">
        <v>1914</v>
      </c>
      <c r="B933" s="64" t="s">
        <v>1914</v>
      </c>
      <c r="C933" s="64" t="s">
        <v>16</v>
      </c>
      <c r="D933" s="64" t="s">
        <v>403</v>
      </c>
      <c r="E933" s="64" t="s">
        <v>377</v>
      </c>
      <c r="F933" s="64" t="s">
        <v>1914</v>
      </c>
      <c r="G933" s="64" t="s">
        <v>1866</v>
      </c>
    </row>
    <row r="934" spans="1:7" x14ac:dyDescent="0.3">
      <c r="A934" s="64" t="s">
        <v>1914</v>
      </c>
      <c r="B934" s="64" t="s">
        <v>1914</v>
      </c>
      <c r="C934" s="64" t="s">
        <v>16</v>
      </c>
      <c r="D934" s="64" t="s">
        <v>403</v>
      </c>
      <c r="E934" s="64" t="s">
        <v>381</v>
      </c>
      <c r="F934" s="64" t="s">
        <v>1914</v>
      </c>
      <c r="G934" s="64" t="s">
        <v>1867</v>
      </c>
    </row>
    <row r="935" spans="1:7" x14ac:dyDescent="0.3">
      <c r="A935" s="64" t="s">
        <v>1914</v>
      </c>
      <c r="B935" s="64" t="s">
        <v>1914</v>
      </c>
      <c r="C935" s="64" t="s">
        <v>16</v>
      </c>
      <c r="D935" s="64" t="s">
        <v>403</v>
      </c>
      <c r="E935" s="64" t="s">
        <v>379</v>
      </c>
      <c r="F935" s="64" t="s">
        <v>1914</v>
      </c>
      <c r="G935" s="64" t="s">
        <v>1868</v>
      </c>
    </row>
    <row r="936" spans="1:7" x14ac:dyDescent="0.3">
      <c r="A936" s="64" t="s">
        <v>1914</v>
      </c>
      <c r="B936" s="64" t="s">
        <v>1914</v>
      </c>
      <c r="C936" s="64" t="s">
        <v>16</v>
      </c>
      <c r="D936" s="64" t="s">
        <v>403</v>
      </c>
      <c r="E936" s="64" t="s">
        <v>374</v>
      </c>
      <c r="F936" s="64" t="s">
        <v>1914</v>
      </c>
      <c r="G936" s="64" t="s">
        <v>1869</v>
      </c>
    </row>
    <row r="937" spans="1:7" x14ac:dyDescent="0.3">
      <c r="A937" s="64" t="s">
        <v>1914</v>
      </c>
      <c r="B937" s="64" t="s">
        <v>1914</v>
      </c>
      <c r="C937" s="64" t="s">
        <v>16</v>
      </c>
      <c r="D937" s="64" t="s">
        <v>403</v>
      </c>
      <c r="E937" s="64" t="s">
        <v>383</v>
      </c>
      <c r="F937" s="64" t="s">
        <v>1914</v>
      </c>
      <c r="G937" s="64" t="s">
        <v>1870</v>
      </c>
    </row>
    <row r="938" spans="1:7" x14ac:dyDescent="0.3">
      <c r="A938" s="64" t="s">
        <v>1914</v>
      </c>
      <c r="B938" s="64" t="s">
        <v>1914</v>
      </c>
      <c r="C938" s="64" t="s">
        <v>16</v>
      </c>
      <c r="D938" s="64" t="s">
        <v>403</v>
      </c>
      <c r="E938" s="64" t="s">
        <v>373</v>
      </c>
      <c r="F938" s="64" t="s">
        <v>1914</v>
      </c>
      <c r="G938" s="64" t="s">
        <v>1871</v>
      </c>
    </row>
    <row r="939" spans="1:7" x14ac:dyDescent="0.3">
      <c r="A939" s="64" t="s">
        <v>1914</v>
      </c>
      <c r="B939" s="64" t="s">
        <v>1914</v>
      </c>
      <c r="C939" s="64" t="s">
        <v>16</v>
      </c>
      <c r="D939" s="64" t="s">
        <v>403</v>
      </c>
      <c r="E939" s="64" t="s">
        <v>368</v>
      </c>
      <c r="F939" s="64" t="s">
        <v>1914</v>
      </c>
      <c r="G939" s="64" t="s">
        <v>1872</v>
      </c>
    </row>
    <row r="940" spans="1:7" x14ac:dyDescent="0.3">
      <c r="A940" s="64" t="s">
        <v>1914</v>
      </c>
      <c r="B940" s="64" t="s">
        <v>1914</v>
      </c>
      <c r="C940" s="64" t="s">
        <v>16</v>
      </c>
      <c r="D940" s="64" t="s">
        <v>403</v>
      </c>
      <c r="E940" s="64" t="s">
        <v>372</v>
      </c>
      <c r="F940" s="64" t="s">
        <v>1914</v>
      </c>
      <c r="G940" s="64" t="s">
        <v>1873</v>
      </c>
    </row>
    <row r="941" spans="1:7" x14ac:dyDescent="0.3">
      <c r="A941" s="64" t="s">
        <v>1914</v>
      </c>
      <c r="B941" s="64" t="s">
        <v>1914</v>
      </c>
      <c r="C941" s="64" t="s">
        <v>16</v>
      </c>
      <c r="D941" s="64" t="s">
        <v>403</v>
      </c>
      <c r="E941" s="64" t="s">
        <v>375</v>
      </c>
      <c r="F941" s="64" t="s">
        <v>1914</v>
      </c>
      <c r="G941" s="64" t="s">
        <v>1874</v>
      </c>
    </row>
    <row r="942" spans="1:7" x14ac:dyDescent="0.3">
      <c r="A942" s="64" t="s">
        <v>1914</v>
      </c>
      <c r="B942" s="64" t="s">
        <v>1914</v>
      </c>
      <c r="C942" s="64" t="s">
        <v>16</v>
      </c>
      <c r="D942" s="64" t="s">
        <v>403</v>
      </c>
      <c r="E942" s="64" t="s">
        <v>380</v>
      </c>
      <c r="F942" s="64" t="s">
        <v>1914</v>
      </c>
      <c r="G942" s="64" t="s">
        <v>1875</v>
      </c>
    </row>
    <row r="943" spans="1:7" x14ac:dyDescent="0.3">
      <c r="A943" s="64" t="s">
        <v>1914</v>
      </c>
      <c r="B943" s="64" t="s">
        <v>1914</v>
      </c>
      <c r="C943" s="64" t="s">
        <v>16</v>
      </c>
      <c r="D943" s="64" t="s">
        <v>1474</v>
      </c>
      <c r="E943" s="64" t="s">
        <v>369</v>
      </c>
      <c r="F943" s="64" t="s">
        <v>1914</v>
      </c>
      <c r="G943" s="64" t="s">
        <v>1844</v>
      </c>
    </row>
    <row r="944" spans="1:7" x14ac:dyDescent="0.3">
      <c r="A944" s="64" t="s">
        <v>1914</v>
      </c>
      <c r="B944" s="64" t="s">
        <v>1914</v>
      </c>
      <c r="C944" s="64" t="s">
        <v>16</v>
      </c>
      <c r="D944" s="64" t="s">
        <v>1474</v>
      </c>
      <c r="E944" s="64" t="s">
        <v>382</v>
      </c>
      <c r="F944" s="64" t="s">
        <v>1914</v>
      </c>
      <c r="G944" s="64" t="s">
        <v>1845</v>
      </c>
    </row>
    <row r="945" spans="1:7" x14ac:dyDescent="0.3">
      <c r="A945" s="64" t="s">
        <v>1914</v>
      </c>
      <c r="B945" s="64" t="s">
        <v>1914</v>
      </c>
      <c r="C945" s="64" t="s">
        <v>16</v>
      </c>
      <c r="D945" s="64" t="s">
        <v>1474</v>
      </c>
      <c r="E945" s="64" t="s">
        <v>370</v>
      </c>
      <c r="F945" s="64" t="s">
        <v>1914</v>
      </c>
      <c r="G945" s="64" t="s">
        <v>1846</v>
      </c>
    </row>
    <row r="946" spans="1:7" x14ac:dyDescent="0.3">
      <c r="A946" s="64" t="s">
        <v>1914</v>
      </c>
      <c r="B946" s="64" t="s">
        <v>1914</v>
      </c>
      <c r="C946" s="64" t="s">
        <v>16</v>
      </c>
      <c r="D946" s="64" t="s">
        <v>1474</v>
      </c>
      <c r="E946" s="64" t="s">
        <v>378</v>
      </c>
      <c r="F946" s="64" t="s">
        <v>1914</v>
      </c>
      <c r="G946" s="64" t="s">
        <v>1847</v>
      </c>
    </row>
    <row r="947" spans="1:7" x14ac:dyDescent="0.3">
      <c r="A947" s="64" t="s">
        <v>1914</v>
      </c>
      <c r="B947" s="64" t="s">
        <v>1914</v>
      </c>
      <c r="C947" s="64" t="s">
        <v>16</v>
      </c>
      <c r="D947" s="64" t="s">
        <v>1474</v>
      </c>
      <c r="E947" s="64" t="s">
        <v>371</v>
      </c>
      <c r="F947" s="64" t="s">
        <v>1914</v>
      </c>
      <c r="G947" s="64" t="s">
        <v>1848</v>
      </c>
    </row>
    <row r="948" spans="1:7" x14ac:dyDescent="0.3">
      <c r="A948" s="64" t="s">
        <v>1914</v>
      </c>
      <c r="B948" s="64" t="s">
        <v>1914</v>
      </c>
      <c r="C948" s="64" t="s">
        <v>16</v>
      </c>
      <c r="D948" s="64" t="s">
        <v>1474</v>
      </c>
      <c r="E948" s="64" t="s">
        <v>376</v>
      </c>
      <c r="F948" s="64" t="s">
        <v>1914</v>
      </c>
      <c r="G948" s="64" t="s">
        <v>1849</v>
      </c>
    </row>
    <row r="949" spans="1:7" x14ac:dyDescent="0.3">
      <c r="A949" s="64" t="s">
        <v>1914</v>
      </c>
      <c r="B949" s="64" t="s">
        <v>1914</v>
      </c>
      <c r="C949" s="64" t="s">
        <v>16</v>
      </c>
      <c r="D949" s="64" t="s">
        <v>1474</v>
      </c>
      <c r="E949" s="64" t="s">
        <v>377</v>
      </c>
      <c r="F949" s="64" t="s">
        <v>1914</v>
      </c>
      <c r="G949" s="64" t="s">
        <v>1850</v>
      </c>
    </row>
    <row r="950" spans="1:7" x14ac:dyDescent="0.3">
      <c r="A950" s="64" t="s">
        <v>1914</v>
      </c>
      <c r="B950" s="64" t="s">
        <v>1914</v>
      </c>
      <c r="C950" s="64" t="s">
        <v>16</v>
      </c>
      <c r="D950" s="64" t="s">
        <v>1474</v>
      </c>
      <c r="E950" s="64" t="s">
        <v>381</v>
      </c>
      <c r="F950" s="64" t="s">
        <v>1914</v>
      </c>
      <c r="G950" s="64" t="s">
        <v>1851</v>
      </c>
    </row>
    <row r="951" spans="1:7" x14ac:dyDescent="0.3">
      <c r="A951" s="64" t="s">
        <v>1914</v>
      </c>
      <c r="B951" s="64" t="s">
        <v>1914</v>
      </c>
      <c r="C951" s="64" t="s">
        <v>16</v>
      </c>
      <c r="D951" s="64" t="s">
        <v>1474</v>
      </c>
      <c r="E951" s="64" t="s">
        <v>379</v>
      </c>
      <c r="F951" s="64" t="s">
        <v>1914</v>
      </c>
      <c r="G951" s="64" t="s">
        <v>1852</v>
      </c>
    </row>
    <row r="952" spans="1:7" x14ac:dyDescent="0.3">
      <c r="A952" s="64" t="s">
        <v>1914</v>
      </c>
      <c r="B952" s="64" t="s">
        <v>1914</v>
      </c>
      <c r="C952" s="64" t="s">
        <v>16</v>
      </c>
      <c r="D952" s="64" t="s">
        <v>1474</v>
      </c>
      <c r="E952" s="64" t="s">
        <v>374</v>
      </c>
      <c r="F952" s="64" t="s">
        <v>1914</v>
      </c>
      <c r="G952" s="64" t="s">
        <v>1853</v>
      </c>
    </row>
    <row r="953" spans="1:7" x14ac:dyDescent="0.3">
      <c r="A953" s="64" t="s">
        <v>1914</v>
      </c>
      <c r="B953" s="64" t="s">
        <v>1914</v>
      </c>
      <c r="C953" s="64" t="s">
        <v>16</v>
      </c>
      <c r="D953" s="64" t="s">
        <v>1474</v>
      </c>
      <c r="E953" s="64" t="s">
        <v>383</v>
      </c>
      <c r="F953" s="64" t="s">
        <v>1914</v>
      </c>
      <c r="G953" s="64" t="s">
        <v>1854</v>
      </c>
    </row>
    <row r="954" spans="1:7" x14ac:dyDescent="0.3">
      <c r="A954" s="64" t="s">
        <v>1914</v>
      </c>
      <c r="B954" s="64" t="s">
        <v>1914</v>
      </c>
      <c r="C954" s="64" t="s">
        <v>16</v>
      </c>
      <c r="D954" s="64" t="s">
        <v>1474</v>
      </c>
      <c r="E954" s="64" t="s">
        <v>373</v>
      </c>
      <c r="F954" s="64" t="s">
        <v>1914</v>
      </c>
      <c r="G954" s="64" t="s">
        <v>1855</v>
      </c>
    </row>
    <row r="955" spans="1:7" x14ac:dyDescent="0.3">
      <c r="A955" s="64" t="s">
        <v>1914</v>
      </c>
      <c r="B955" s="64" t="s">
        <v>1914</v>
      </c>
      <c r="C955" s="64" t="s">
        <v>16</v>
      </c>
      <c r="D955" s="64" t="s">
        <v>1474</v>
      </c>
      <c r="E955" s="64" t="s">
        <v>368</v>
      </c>
      <c r="F955" s="64" t="s">
        <v>1914</v>
      </c>
      <c r="G955" s="64" t="s">
        <v>1856</v>
      </c>
    </row>
    <row r="956" spans="1:7" x14ac:dyDescent="0.3">
      <c r="A956" s="64" t="s">
        <v>1914</v>
      </c>
      <c r="B956" s="64" t="s">
        <v>1914</v>
      </c>
      <c r="C956" s="64" t="s">
        <v>16</v>
      </c>
      <c r="D956" s="64" t="s">
        <v>1474</v>
      </c>
      <c r="E956" s="64" t="s">
        <v>372</v>
      </c>
      <c r="F956" s="64" t="s">
        <v>1914</v>
      </c>
      <c r="G956" s="64" t="s">
        <v>1857</v>
      </c>
    </row>
    <row r="957" spans="1:7" x14ac:dyDescent="0.3">
      <c r="A957" s="64" t="s">
        <v>1914</v>
      </c>
      <c r="B957" s="64" t="s">
        <v>1914</v>
      </c>
      <c r="C957" s="64" t="s">
        <v>16</v>
      </c>
      <c r="D957" s="64" t="s">
        <v>1474</v>
      </c>
      <c r="E957" s="64" t="s">
        <v>375</v>
      </c>
      <c r="F957" s="64" t="s">
        <v>1914</v>
      </c>
      <c r="G957" s="64" t="s">
        <v>1858</v>
      </c>
    </row>
    <row r="958" spans="1:7" x14ac:dyDescent="0.3">
      <c r="A958" s="64" t="s">
        <v>1914</v>
      </c>
      <c r="B958" s="64" t="s">
        <v>1914</v>
      </c>
      <c r="C958" s="64" t="s">
        <v>16</v>
      </c>
      <c r="D958" s="64" t="s">
        <v>1474</v>
      </c>
      <c r="E958" s="64" t="s">
        <v>380</v>
      </c>
      <c r="F958" s="64" t="s">
        <v>1914</v>
      </c>
      <c r="G958" s="64" t="s">
        <v>1859</v>
      </c>
    </row>
    <row r="959" spans="1:7" x14ac:dyDescent="0.3">
      <c r="A959" s="64" t="s">
        <v>2011</v>
      </c>
      <c r="B959" s="64" t="s">
        <v>2700</v>
      </c>
      <c r="C959" s="64" t="s">
        <v>20</v>
      </c>
      <c r="D959" s="64" t="s">
        <v>16</v>
      </c>
      <c r="E959" s="64" t="s">
        <v>15</v>
      </c>
      <c r="F959" s="64" t="s">
        <v>2013</v>
      </c>
      <c r="G959" s="64" t="s">
        <v>805</v>
      </c>
    </row>
    <row r="960" spans="1:7" x14ac:dyDescent="0.3">
      <c r="A960" s="64" t="s">
        <v>2011</v>
      </c>
      <c r="B960" s="64" t="s">
        <v>2700</v>
      </c>
      <c r="C960" s="64" t="s">
        <v>16</v>
      </c>
      <c r="D960" s="64" t="s">
        <v>403</v>
      </c>
      <c r="E960" s="64" t="s">
        <v>369</v>
      </c>
      <c r="F960" s="64" t="s">
        <v>2013</v>
      </c>
      <c r="G960" s="64" t="s">
        <v>1860</v>
      </c>
    </row>
    <row r="961" spans="1:7" x14ac:dyDescent="0.3">
      <c r="A961" s="64" t="s">
        <v>2011</v>
      </c>
      <c r="B961" s="64" t="s">
        <v>2700</v>
      </c>
      <c r="C961" s="64" t="s">
        <v>16</v>
      </c>
      <c r="D961" s="64" t="s">
        <v>403</v>
      </c>
      <c r="E961" s="64" t="s">
        <v>382</v>
      </c>
      <c r="F961" s="64" t="s">
        <v>2013</v>
      </c>
      <c r="G961" s="64" t="s">
        <v>1861</v>
      </c>
    </row>
    <row r="962" spans="1:7" x14ac:dyDescent="0.3">
      <c r="A962" s="64" t="s">
        <v>2011</v>
      </c>
      <c r="B962" s="64" t="s">
        <v>2700</v>
      </c>
      <c r="C962" s="64" t="s">
        <v>16</v>
      </c>
      <c r="D962" s="64" t="s">
        <v>403</v>
      </c>
      <c r="E962" s="64" t="s">
        <v>370</v>
      </c>
      <c r="F962" s="64" t="s">
        <v>2013</v>
      </c>
      <c r="G962" s="64" t="s">
        <v>1862</v>
      </c>
    </row>
    <row r="963" spans="1:7" x14ac:dyDescent="0.3">
      <c r="A963" s="64" t="s">
        <v>2011</v>
      </c>
      <c r="B963" s="64" t="s">
        <v>2700</v>
      </c>
      <c r="C963" s="64" t="s">
        <v>16</v>
      </c>
      <c r="D963" s="64" t="s">
        <v>403</v>
      </c>
      <c r="E963" s="64" t="s">
        <v>378</v>
      </c>
      <c r="F963" s="64" t="s">
        <v>2013</v>
      </c>
      <c r="G963" s="64" t="s">
        <v>1863</v>
      </c>
    </row>
    <row r="964" spans="1:7" x14ac:dyDescent="0.3">
      <c r="A964" s="64" t="s">
        <v>2011</v>
      </c>
      <c r="B964" s="64" t="s">
        <v>2700</v>
      </c>
      <c r="C964" s="64" t="s">
        <v>16</v>
      </c>
      <c r="D964" s="64" t="s">
        <v>403</v>
      </c>
      <c r="E964" s="64" t="s">
        <v>371</v>
      </c>
      <c r="F964" s="64" t="s">
        <v>2013</v>
      </c>
      <c r="G964" s="64" t="s">
        <v>1864</v>
      </c>
    </row>
    <row r="965" spans="1:7" x14ac:dyDescent="0.3">
      <c r="A965" s="64" t="s">
        <v>2011</v>
      </c>
      <c r="B965" s="64" t="s">
        <v>2700</v>
      </c>
      <c r="C965" s="64" t="s">
        <v>16</v>
      </c>
      <c r="D965" s="64" t="s">
        <v>403</v>
      </c>
      <c r="E965" s="64" t="s">
        <v>376</v>
      </c>
      <c r="F965" s="64" t="s">
        <v>2013</v>
      </c>
      <c r="G965" s="64" t="s">
        <v>1865</v>
      </c>
    </row>
    <row r="966" spans="1:7" x14ac:dyDescent="0.3">
      <c r="A966" s="64" t="s">
        <v>2011</v>
      </c>
      <c r="B966" s="64" t="s">
        <v>2700</v>
      </c>
      <c r="C966" s="64" t="s">
        <v>16</v>
      </c>
      <c r="D966" s="64" t="s">
        <v>403</v>
      </c>
      <c r="E966" s="64" t="s">
        <v>377</v>
      </c>
      <c r="F966" s="64" t="s">
        <v>2013</v>
      </c>
      <c r="G966" s="64" t="s">
        <v>1866</v>
      </c>
    </row>
    <row r="967" spans="1:7" x14ac:dyDescent="0.3">
      <c r="A967" s="64" t="s">
        <v>2011</v>
      </c>
      <c r="B967" s="64" t="s">
        <v>2700</v>
      </c>
      <c r="C967" s="64" t="s">
        <v>16</v>
      </c>
      <c r="D967" s="64" t="s">
        <v>403</v>
      </c>
      <c r="E967" s="64" t="s">
        <v>381</v>
      </c>
      <c r="F967" s="64" t="s">
        <v>2013</v>
      </c>
      <c r="G967" s="64" t="s">
        <v>1867</v>
      </c>
    </row>
    <row r="968" spans="1:7" x14ac:dyDescent="0.3">
      <c r="A968" s="64" t="s">
        <v>2011</v>
      </c>
      <c r="B968" s="64" t="s">
        <v>2700</v>
      </c>
      <c r="C968" s="64" t="s">
        <v>16</v>
      </c>
      <c r="D968" s="64" t="s">
        <v>403</v>
      </c>
      <c r="E968" s="64" t="s">
        <v>379</v>
      </c>
      <c r="F968" s="64" t="s">
        <v>2013</v>
      </c>
      <c r="G968" s="64" t="s">
        <v>1868</v>
      </c>
    </row>
    <row r="969" spans="1:7" x14ac:dyDescent="0.3">
      <c r="A969" s="64" t="s">
        <v>2011</v>
      </c>
      <c r="B969" s="64" t="s">
        <v>2700</v>
      </c>
      <c r="C969" s="64" t="s">
        <v>16</v>
      </c>
      <c r="D969" s="64" t="s">
        <v>403</v>
      </c>
      <c r="E969" s="64" t="s">
        <v>374</v>
      </c>
      <c r="F969" s="64" t="s">
        <v>2013</v>
      </c>
      <c r="G969" s="64" t="s">
        <v>1869</v>
      </c>
    </row>
    <row r="970" spans="1:7" x14ac:dyDescent="0.3">
      <c r="A970" s="64" t="s">
        <v>2011</v>
      </c>
      <c r="B970" s="64" t="s">
        <v>2700</v>
      </c>
      <c r="C970" s="64" t="s">
        <v>16</v>
      </c>
      <c r="D970" s="64" t="s">
        <v>403</v>
      </c>
      <c r="E970" s="64" t="s">
        <v>383</v>
      </c>
      <c r="F970" s="64" t="s">
        <v>2013</v>
      </c>
      <c r="G970" s="64" t="s">
        <v>1870</v>
      </c>
    </row>
    <row r="971" spans="1:7" x14ac:dyDescent="0.3">
      <c r="A971" s="64" t="s">
        <v>2011</v>
      </c>
      <c r="B971" s="64" t="s">
        <v>2700</v>
      </c>
      <c r="C971" s="64" t="s">
        <v>16</v>
      </c>
      <c r="D971" s="64" t="s">
        <v>403</v>
      </c>
      <c r="E971" s="64" t="s">
        <v>373</v>
      </c>
      <c r="F971" s="64" t="s">
        <v>2013</v>
      </c>
      <c r="G971" s="64" t="s">
        <v>1871</v>
      </c>
    </row>
    <row r="972" spans="1:7" x14ac:dyDescent="0.3">
      <c r="A972" s="64" t="s">
        <v>2011</v>
      </c>
      <c r="B972" s="64" t="s">
        <v>2700</v>
      </c>
      <c r="C972" s="64" t="s">
        <v>16</v>
      </c>
      <c r="D972" s="64" t="s">
        <v>403</v>
      </c>
      <c r="E972" s="64" t="s">
        <v>368</v>
      </c>
      <c r="F972" s="64" t="s">
        <v>2013</v>
      </c>
      <c r="G972" s="64" t="s">
        <v>1872</v>
      </c>
    </row>
    <row r="973" spans="1:7" x14ac:dyDescent="0.3">
      <c r="A973" s="64" t="s">
        <v>2011</v>
      </c>
      <c r="B973" s="64" t="s">
        <v>2700</v>
      </c>
      <c r="C973" s="64" t="s">
        <v>16</v>
      </c>
      <c r="D973" s="64" t="s">
        <v>403</v>
      </c>
      <c r="E973" s="64" t="s">
        <v>372</v>
      </c>
      <c r="F973" s="64" t="s">
        <v>2013</v>
      </c>
      <c r="G973" s="64" t="s">
        <v>1873</v>
      </c>
    </row>
    <row r="974" spans="1:7" x14ac:dyDescent="0.3">
      <c r="A974" s="64" t="s">
        <v>2011</v>
      </c>
      <c r="B974" s="64" t="s">
        <v>2700</v>
      </c>
      <c r="C974" s="64" t="s">
        <v>16</v>
      </c>
      <c r="D974" s="64" t="s">
        <v>403</v>
      </c>
      <c r="E974" s="64" t="s">
        <v>375</v>
      </c>
      <c r="F974" s="64" t="s">
        <v>2013</v>
      </c>
      <c r="G974" s="64" t="s">
        <v>1874</v>
      </c>
    </row>
    <row r="975" spans="1:7" x14ac:dyDescent="0.3">
      <c r="A975" s="64" t="s">
        <v>2011</v>
      </c>
      <c r="B975" s="64" t="s">
        <v>2700</v>
      </c>
      <c r="C975" s="64" t="s">
        <v>16</v>
      </c>
      <c r="D975" s="64" t="s">
        <v>403</v>
      </c>
      <c r="E975" s="64" t="s">
        <v>380</v>
      </c>
      <c r="F975" s="64" t="s">
        <v>2013</v>
      </c>
      <c r="G975" s="64" t="s">
        <v>1875</v>
      </c>
    </row>
    <row r="976" spans="1:7" x14ac:dyDescent="0.3">
      <c r="A976" s="64" t="s">
        <v>2012</v>
      </c>
      <c r="B976" s="64" t="s">
        <v>2700</v>
      </c>
      <c r="C976" s="64" t="s">
        <v>20</v>
      </c>
      <c r="D976" s="64" t="s">
        <v>956</v>
      </c>
      <c r="E976" s="64" t="s">
        <v>15</v>
      </c>
      <c r="F976" s="64" t="s">
        <v>2985</v>
      </c>
      <c r="G976" s="64" t="s">
        <v>957</v>
      </c>
    </row>
    <row r="977" spans="1:7" x14ac:dyDescent="0.3">
      <c r="A977" s="64" t="s">
        <v>2012</v>
      </c>
      <c r="B977" s="64" t="s">
        <v>2700</v>
      </c>
      <c r="C977" s="64" t="s">
        <v>20</v>
      </c>
      <c r="D977" s="64" t="s">
        <v>2053</v>
      </c>
      <c r="E977" s="64" t="s">
        <v>15</v>
      </c>
      <c r="F977" s="64" t="s">
        <v>2054</v>
      </c>
      <c r="G977" s="64" t="s">
        <v>957</v>
      </c>
    </row>
    <row r="978" spans="1:7" x14ac:dyDescent="0.3">
      <c r="A978" s="64" t="s">
        <v>2012</v>
      </c>
      <c r="B978" s="64" t="s">
        <v>2700</v>
      </c>
      <c r="C978" s="64" t="s">
        <v>16</v>
      </c>
      <c r="D978" s="64" t="s">
        <v>16</v>
      </c>
      <c r="E978" s="64" t="s">
        <v>369</v>
      </c>
      <c r="F978" s="64" t="s">
        <v>2054</v>
      </c>
      <c r="G978" s="64" t="s">
        <v>1844</v>
      </c>
    </row>
    <row r="979" spans="1:7" x14ac:dyDescent="0.3">
      <c r="A979" s="64" t="s">
        <v>2012</v>
      </c>
      <c r="B979" s="64" t="s">
        <v>2700</v>
      </c>
      <c r="C979" s="64" t="s">
        <v>16</v>
      </c>
      <c r="D979" s="64" t="s">
        <v>16</v>
      </c>
      <c r="E979" s="64" t="s">
        <v>369</v>
      </c>
      <c r="F979" s="64" t="s">
        <v>2985</v>
      </c>
      <c r="G979" s="64" t="s">
        <v>1844</v>
      </c>
    </row>
    <row r="980" spans="1:7" x14ac:dyDescent="0.3">
      <c r="A980" s="64" t="s">
        <v>2012</v>
      </c>
      <c r="B980" s="64" t="s">
        <v>2700</v>
      </c>
      <c r="C980" s="64" t="s">
        <v>16</v>
      </c>
      <c r="D980" s="64" t="s">
        <v>16</v>
      </c>
      <c r="E980" s="64" t="s">
        <v>382</v>
      </c>
      <c r="F980" s="64" t="s">
        <v>2054</v>
      </c>
      <c r="G980" s="64" t="s">
        <v>1845</v>
      </c>
    </row>
    <row r="981" spans="1:7" x14ac:dyDescent="0.3">
      <c r="A981" s="64" t="s">
        <v>2012</v>
      </c>
      <c r="B981" s="64" t="s">
        <v>2700</v>
      </c>
      <c r="C981" s="64" t="s">
        <v>16</v>
      </c>
      <c r="D981" s="64" t="s">
        <v>16</v>
      </c>
      <c r="E981" s="64" t="s">
        <v>382</v>
      </c>
      <c r="F981" s="64" t="s">
        <v>2985</v>
      </c>
      <c r="G981" s="64" t="s">
        <v>1845</v>
      </c>
    </row>
    <row r="982" spans="1:7" x14ac:dyDescent="0.3">
      <c r="A982" s="64" t="s">
        <v>2012</v>
      </c>
      <c r="B982" s="64" t="s">
        <v>2700</v>
      </c>
      <c r="C982" s="64" t="s">
        <v>16</v>
      </c>
      <c r="D982" s="64" t="s">
        <v>16</v>
      </c>
      <c r="E982" s="64" t="s">
        <v>370</v>
      </c>
      <c r="F982" s="64" t="s">
        <v>2054</v>
      </c>
      <c r="G982" s="64" t="s">
        <v>1846</v>
      </c>
    </row>
    <row r="983" spans="1:7" x14ac:dyDescent="0.3">
      <c r="A983" s="64" t="s">
        <v>2012</v>
      </c>
      <c r="B983" s="64" t="s">
        <v>2700</v>
      </c>
      <c r="C983" s="64" t="s">
        <v>16</v>
      </c>
      <c r="D983" s="64" t="s">
        <v>16</v>
      </c>
      <c r="E983" s="64" t="s">
        <v>370</v>
      </c>
      <c r="F983" s="64" t="s">
        <v>2985</v>
      </c>
      <c r="G983" s="64" t="s">
        <v>1846</v>
      </c>
    </row>
    <row r="984" spans="1:7" x14ac:dyDescent="0.3">
      <c r="A984" s="64" t="s">
        <v>2012</v>
      </c>
      <c r="B984" s="64" t="s">
        <v>2700</v>
      </c>
      <c r="C984" s="64" t="s">
        <v>16</v>
      </c>
      <c r="D984" s="64" t="s">
        <v>16</v>
      </c>
      <c r="E984" s="64" t="s">
        <v>378</v>
      </c>
      <c r="F984" s="64" t="s">
        <v>2054</v>
      </c>
      <c r="G984" s="64" t="s">
        <v>1847</v>
      </c>
    </row>
    <row r="985" spans="1:7" x14ac:dyDescent="0.3">
      <c r="A985" s="64" t="s">
        <v>2012</v>
      </c>
      <c r="B985" s="64" t="s">
        <v>2700</v>
      </c>
      <c r="C985" s="64" t="s">
        <v>16</v>
      </c>
      <c r="D985" s="64" t="s">
        <v>16</v>
      </c>
      <c r="E985" s="64" t="s">
        <v>378</v>
      </c>
      <c r="F985" s="64" t="s">
        <v>2985</v>
      </c>
      <c r="G985" s="64" t="s">
        <v>1847</v>
      </c>
    </row>
    <row r="986" spans="1:7" x14ac:dyDescent="0.3">
      <c r="A986" s="64" t="s">
        <v>2012</v>
      </c>
      <c r="B986" s="64" t="s">
        <v>2700</v>
      </c>
      <c r="C986" s="64" t="s">
        <v>16</v>
      </c>
      <c r="D986" s="64" t="s">
        <v>16</v>
      </c>
      <c r="E986" s="64" t="s">
        <v>371</v>
      </c>
      <c r="F986" s="64" t="s">
        <v>2054</v>
      </c>
      <c r="G986" s="64" t="s">
        <v>1848</v>
      </c>
    </row>
    <row r="987" spans="1:7" x14ac:dyDescent="0.3">
      <c r="A987" s="64" t="s">
        <v>2012</v>
      </c>
      <c r="B987" s="64" t="s">
        <v>2700</v>
      </c>
      <c r="C987" s="64" t="s">
        <v>16</v>
      </c>
      <c r="D987" s="64" t="s">
        <v>16</v>
      </c>
      <c r="E987" s="64" t="s">
        <v>371</v>
      </c>
      <c r="F987" s="64" t="s">
        <v>2985</v>
      </c>
      <c r="G987" s="64" t="s">
        <v>1848</v>
      </c>
    </row>
    <row r="988" spans="1:7" x14ac:dyDescent="0.3">
      <c r="A988" s="64" t="s">
        <v>2012</v>
      </c>
      <c r="B988" s="64" t="s">
        <v>2700</v>
      </c>
      <c r="C988" s="64" t="s">
        <v>16</v>
      </c>
      <c r="D988" s="64" t="s">
        <v>16</v>
      </c>
      <c r="E988" s="64" t="s">
        <v>376</v>
      </c>
      <c r="F988" s="64" t="s">
        <v>2054</v>
      </c>
      <c r="G988" s="64" t="s">
        <v>1849</v>
      </c>
    </row>
    <row r="989" spans="1:7" x14ac:dyDescent="0.3">
      <c r="A989" s="64" t="s">
        <v>2012</v>
      </c>
      <c r="B989" s="64" t="s">
        <v>2700</v>
      </c>
      <c r="C989" s="64" t="s">
        <v>16</v>
      </c>
      <c r="D989" s="64" t="s">
        <v>16</v>
      </c>
      <c r="E989" s="64" t="s">
        <v>376</v>
      </c>
      <c r="F989" s="64" t="s">
        <v>2985</v>
      </c>
      <c r="G989" s="64" t="s">
        <v>1849</v>
      </c>
    </row>
    <row r="990" spans="1:7" x14ac:dyDescent="0.3">
      <c r="A990" s="64" t="s">
        <v>2012</v>
      </c>
      <c r="B990" s="64" t="s">
        <v>2700</v>
      </c>
      <c r="C990" s="64" t="s">
        <v>16</v>
      </c>
      <c r="D990" s="64" t="s">
        <v>16</v>
      </c>
      <c r="E990" s="64" t="s">
        <v>377</v>
      </c>
      <c r="F990" s="64" t="s">
        <v>2054</v>
      </c>
      <c r="G990" s="64" t="s">
        <v>1850</v>
      </c>
    </row>
    <row r="991" spans="1:7" x14ac:dyDescent="0.3">
      <c r="A991" s="64" t="s">
        <v>2012</v>
      </c>
      <c r="B991" s="64" t="s">
        <v>2700</v>
      </c>
      <c r="C991" s="64" t="s">
        <v>16</v>
      </c>
      <c r="D991" s="64" t="s">
        <v>16</v>
      </c>
      <c r="E991" s="64" t="s">
        <v>377</v>
      </c>
      <c r="F991" s="64" t="s">
        <v>2985</v>
      </c>
      <c r="G991" s="64" t="s">
        <v>1850</v>
      </c>
    </row>
    <row r="992" spans="1:7" x14ac:dyDescent="0.3">
      <c r="A992" s="64" t="s">
        <v>2012</v>
      </c>
      <c r="B992" s="64" t="s">
        <v>2700</v>
      </c>
      <c r="C992" s="64" t="s">
        <v>16</v>
      </c>
      <c r="D992" s="64" t="s">
        <v>16</v>
      </c>
      <c r="E992" s="64" t="s">
        <v>381</v>
      </c>
      <c r="F992" s="64" t="s">
        <v>2054</v>
      </c>
      <c r="G992" s="64" t="s">
        <v>1851</v>
      </c>
    </row>
    <row r="993" spans="1:7" x14ac:dyDescent="0.3">
      <c r="A993" s="64" t="s">
        <v>2012</v>
      </c>
      <c r="B993" s="64" t="s">
        <v>2700</v>
      </c>
      <c r="C993" s="64" t="s">
        <v>16</v>
      </c>
      <c r="D993" s="64" t="s">
        <v>16</v>
      </c>
      <c r="E993" s="64" t="s">
        <v>381</v>
      </c>
      <c r="F993" s="64" t="s">
        <v>2985</v>
      </c>
      <c r="G993" s="64" t="s">
        <v>1851</v>
      </c>
    </row>
    <row r="994" spans="1:7" x14ac:dyDescent="0.3">
      <c r="A994" s="64" t="s">
        <v>2012</v>
      </c>
      <c r="B994" s="64" t="s">
        <v>2700</v>
      </c>
      <c r="C994" s="64" t="s">
        <v>16</v>
      </c>
      <c r="D994" s="64" t="s">
        <v>16</v>
      </c>
      <c r="E994" s="64" t="s">
        <v>379</v>
      </c>
      <c r="F994" s="64" t="s">
        <v>2054</v>
      </c>
      <c r="G994" s="64" t="s">
        <v>1852</v>
      </c>
    </row>
    <row r="995" spans="1:7" x14ac:dyDescent="0.3">
      <c r="A995" s="64" t="s">
        <v>2012</v>
      </c>
      <c r="B995" s="64" t="s">
        <v>2700</v>
      </c>
      <c r="C995" s="64" t="s">
        <v>16</v>
      </c>
      <c r="D995" s="64" t="s">
        <v>16</v>
      </c>
      <c r="E995" s="64" t="s">
        <v>379</v>
      </c>
      <c r="F995" s="64" t="s">
        <v>2985</v>
      </c>
      <c r="G995" s="64" t="s">
        <v>1852</v>
      </c>
    </row>
    <row r="996" spans="1:7" x14ac:dyDescent="0.3">
      <c r="A996" s="64" t="s">
        <v>2012</v>
      </c>
      <c r="B996" s="64" t="s">
        <v>2700</v>
      </c>
      <c r="C996" s="64" t="s">
        <v>16</v>
      </c>
      <c r="D996" s="64" t="s">
        <v>16</v>
      </c>
      <c r="E996" s="64" t="s">
        <v>374</v>
      </c>
      <c r="F996" s="64" t="s">
        <v>2054</v>
      </c>
      <c r="G996" s="64" t="s">
        <v>1853</v>
      </c>
    </row>
    <row r="997" spans="1:7" x14ac:dyDescent="0.3">
      <c r="A997" s="64" t="s">
        <v>2012</v>
      </c>
      <c r="B997" s="64" t="s">
        <v>2700</v>
      </c>
      <c r="C997" s="64" t="s">
        <v>16</v>
      </c>
      <c r="D997" s="64" t="s">
        <v>16</v>
      </c>
      <c r="E997" s="64" t="s">
        <v>374</v>
      </c>
      <c r="F997" s="64" t="s">
        <v>2985</v>
      </c>
      <c r="G997" s="64" t="s">
        <v>1853</v>
      </c>
    </row>
    <row r="998" spans="1:7" x14ac:dyDescent="0.3">
      <c r="A998" s="64" t="s">
        <v>2012</v>
      </c>
      <c r="B998" s="64" t="s">
        <v>2700</v>
      </c>
      <c r="C998" s="64" t="s">
        <v>16</v>
      </c>
      <c r="D998" s="64" t="s">
        <v>16</v>
      </c>
      <c r="E998" s="64" t="s">
        <v>383</v>
      </c>
      <c r="F998" s="64" t="s">
        <v>2054</v>
      </c>
      <c r="G998" s="64" t="s">
        <v>1854</v>
      </c>
    </row>
    <row r="999" spans="1:7" x14ac:dyDescent="0.3">
      <c r="A999" s="64" t="s">
        <v>2012</v>
      </c>
      <c r="B999" s="64" t="s">
        <v>2700</v>
      </c>
      <c r="C999" s="64" t="s">
        <v>16</v>
      </c>
      <c r="D999" s="64" t="s">
        <v>16</v>
      </c>
      <c r="E999" s="64" t="s">
        <v>383</v>
      </c>
      <c r="F999" s="64" t="s">
        <v>2985</v>
      </c>
      <c r="G999" s="64" t="s">
        <v>1854</v>
      </c>
    </row>
    <row r="1000" spans="1:7" x14ac:dyDescent="0.3">
      <c r="A1000" s="64" t="s">
        <v>2012</v>
      </c>
      <c r="B1000" s="64" t="s">
        <v>2700</v>
      </c>
      <c r="C1000" s="64" t="s">
        <v>16</v>
      </c>
      <c r="D1000" s="64" t="s">
        <v>16</v>
      </c>
      <c r="E1000" s="64" t="s">
        <v>373</v>
      </c>
      <c r="F1000" s="64" t="s">
        <v>2054</v>
      </c>
      <c r="G1000" s="64" t="s">
        <v>1855</v>
      </c>
    </row>
    <row r="1001" spans="1:7" x14ac:dyDescent="0.3">
      <c r="A1001" s="64" t="s">
        <v>2012</v>
      </c>
      <c r="B1001" s="64" t="s">
        <v>2700</v>
      </c>
      <c r="C1001" s="64" t="s">
        <v>16</v>
      </c>
      <c r="D1001" s="64" t="s">
        <v>16</v>
      </c>
      <c r="E1001" s="64" t="s">
        <v>373</v>
      </c>
      <c r="F1001" s="64" t="s">
        <v>2985</v>
      </c>
      <c r="G1001" s="64" t="s">
        <v>1855</v>
      </c>
    </row>
    <row r="1002" spans="1:7" x14ac:dyDescent="0.3">
      <c r="A1002" s="64" t="s">
        <v>2012</v>
      </c>
      <c r="B1002" s="64" t="s">
        <v>2700</v>
      </c>
      <c r="C1002" s="64" t="s">
        <v>16</v>
      </c>
      <c r="D1002" s="64" t="s">
        <v>16</v>
      </c>
      <c r="E1002" s="64" t="s">
        <v>368</v>
      </c>
      <c r="F1002" s="64" t="s">
        <v>2054</v>
      </c>
      <c r="G1002" s="64" t="s">
        <v>1856</v>
      </c>
    </row>
    <row r="1003" spans="1:7" x14ac:dyDescent="0.3">
      <c r="A1003" s="64" t="s">
        <v>2012</v>
      </c>
      <c r="B1003" s="64" t="s">
        <v>2700</v>
      </c>
      <c r="C1003" s="64" t="s">
        <v>16</v>
      </c>
      <c r="D1003" s="64" t="s">
        <v>16</v>
      </c>
      <c r="E1003" s="64" t="s">
        <v>368</v>
      </c>
      <c r="F1003" s="64" t="s">
        <v>2985</v>
      </c>
      <c r="G1003" s="64" t="s">
        <v>1856</v>
      </c>
    </row>
    <row r="1004" spans="1:7" x14ac:dyDescent="0.3">
      <c r="A1004" s="64" t="s">
        <v>2012</v>
      </c>
      <c r="B1004" s="64" t="s">
        <v>2700</v>
      </c>
      <c r="C1004" s="64" t="s">
        <v>16</v>
      </c>
      <c r="D1004" s="64" t="s">
        <v>16</v>
      </c>
      <c r="E1004" s="64" t="s">
        <v>372</v>
      </c>
      <c r="F1004" s="64" t="s">
        <v>2054</v>
      </c>
      <c r="G1004" s="64" t="s">
        <v>1857</v>
      </c>
    </row>
    <row r="1005" spans="1:7" x14ac:dyDescent="0.3">
      <c r="A1005" s="64" t="s">
        <v>2012</v>
      </c>
      <c r="B1005" s="64" t="s">
        <v>2700</v>
      </c>
      <c r="C1005" s="64" t="s">
        <v>16</v>
      </c>
      <c r="D1005" s="64" t="s">
        <v>16</v>
      </c>
      <c r="E1005" s="64" t="s">
        <v>372</v>
      </c>
      <c r="F1005" s="64" t="s">
        <v>2985</v>
      </c>
      <c r="G1005" s="64" t="s">
        <v>1857</v>
      </c>
    </row>
    <row r="1006" spans="1:7" x14ac:dyDescent="0.3">
      <c r="A1006" s="64" t="s">
        <v>2012</v>
      </c>
      <c r="B1006" s="64" t="s">
        <v>2700</v>
      </c>
      <c r="C1006" s="64" t="s">
        <v>16</v>
      </c>
      <c r="D1006" s="64" t="s">
        <v>16</v>
      </c>
      <c r="E1006" s="64" t="s">
        <v>375</v>
      </c>
      <c r="F1006" s="64" t="s">
        <v>2054</v>
      </c>
      <c r="G1006" s="64" t="s">
        <v>1858</v>
      </c>
    </row>
    <row r="1007" spans="1:7" x14ac:dyDescent="0.3">
      <c r="A1007" s="64" t="s">
        <v>2012</v>
      </c>
      <c r="B1007" s="64" t="s">
        <v>2700</v>
      </c>
      <c r="C1007" s="64" t="s">
        <v>16</v>
      </c>
      <c r="D1007" s="64" t="s">
        <v>16</v>
      </c>
      <c r="E1007" s="64" t="s">
        <v>375</v>
      </c>
      <c r="F1007" s="64" t="s">
        <v>2985</v>
      </c>
      <c r="G1007" s="64" t="s">
        <v>1858</v>
      </c>
    </row>
    <row r="1008" spans="1:7" x14ac:dyDescent="0.3">
      <c r="A1008" s="64" t="s">
        <v>2012</v>
      </c>
      <c r="B1008" s="64" t="s">
        <v>2700</v>
      </c>
      <c r="C1008" s="64" t="s">
        <v>16</v>
      </c>
      <c r="D1008" s="64" t="s">
        <v>16</v>
      </c>
      <c r="E1008" s="64" t="s">
        <v>380</v>
      </c>
      <c r="F1008" s="64" t="s">
        <v>2054</v>
      </c>
      <c r="G1008" s="64" t="s">
        <v>1859</v>
      </c>
    </row>
    <row r="1009" spans="1:7" x14ac:dyDescent="0.3">
      <c r="A1009" s="64" t="s">
        <v>2012</v>
      </c>
      <c r="B1009" s="64" t="s">
        <v>2700</v>
      </c>
      <c r="C1009" s="64" t="s">
        <v>16</v>
      </c>
      <c r="D1009" s="64" t="s">
        <v>16</v>
      </c>
      <c r="E1009" s="64" t="s">
        <v>380</v>
      </c>
      <c r="F1009" s="64" t="s">
        <v>2985</v>
      </c>
      <c r="G1009" s="64" t="s">
        <v>1859</v>
      </c>
    </row>
    <row r="1010" spans="1:7" x14ac:dyDescent="0.3">
      <c r="A1010" s="64" t="s">
        <v>2135</v>
      </c>
      <c r="B1010" s="64" t="s">
        <v>866</v>
      </c>
      <c r="C1010" s="64" t="s">
        <v>20</v>
      </c>
      <c r="D1010" s="64" t="s">
        <v>956</v>
      </c>
      <c r="E1010" s="64" t="s">
        <v>15</v>
      </c>
      <c r="F1010" s="64" t="s">
        <v>9281</v>
      </c>
      <c r="G1010" s="64" t="s">
        <v>957</v>
      </c>
    </row>
    <row r="1011" spans="1:7" x14ac:dyDescent="0.3">
      <c r="A1011" s="64" t="s">
        <v>2135</v>
      </c>
      <c r="B1011" s="64" t="s">
        <v>866</v>
      </c>
      <c r="C1011" s="64" t="s">
        <v>16</v>
      </c>
      <c r="D1011" s="64" t="s">
        <v>18</v>
      </c>
      <c r="E1011" s="64" t="s">
        <v>369</v>
      </c>
      <c r="F1011" s="64" t="s">
        <v>9281</v>
      </c>
      <c r="G1011" s="64" t="s">
        <v>1844</v>
      </c>
    </row>
    <row r="1012" spans="1:7" x14ac:dyDescent="0.3">
      <c r="A1012" s="64" t="s">
        <v>2135</v>
      </c>
      <c r="B1012" s="64" t="s">
        <v>866</v>
      </c>
      <c r="C1012" s="64" t="s">
        <v>16</v>
      </c>
      <c r="D1012" s="64" t="s">
        <v>18</v>
      </c>
      <c r="E1012" s="64" t="s">
        <v>382</v>
      </c>
      <c r="F1012" s="64" t="s">
        <v>9281</v>
      </c>
      <c r="G1012" s="64" t="s">
        <v>1845</v>
      </c>
    </row>
    <row r="1013" spans="1:7" x14ac:dyDescent="0.3">
      <c r="A1013" s="64" t="s">
        <v>2135</v>
      </c>
      <c r="B1013" s="64" t="s">
        <v>866</v>
      </c>
      <c r="C1013" s="64" t="s">
        <v>16</v>
      </c>
      <c r="D1013" s="64" t="s">
        <v>18</v>
      </c>
      <c r="E1013" s="64" t="s">
        <v>370</v>
      </c>
      <c r="F1013" s="64" t="s">
        <v>9281</v>
      </c>
      <c r="G1013" s="64" t="s">
        <v>1846</v>
      </c>
    </row>
    <row r="1014" spans="1:7" x14ac:dyDescent="0.3">
      <c r="A1014" s="64" t="s">
        <v>2135</v>
      </c>
      <c r="B1014" s="64" t="s">
        <v>866</v>
      </c>
      <c r="C1014" s="64" t="s">
        <v>16</v>
      </c>
      <c r="D1014" s="64" t="s">
        <v>18</v>
      </c>
      <c r="E1014" s="64" t="s">
        <v>378</v>
      </c>
      <c r="F1014" s="64" t="s">
        <v>9281</v>
      </c>
      <c r="G1014" s="64" t="s">
        <v>1847</v>
      </c>
    </row>
    <row r="1015" spans="1:7" x14ac:dyDescent="0.3">
      <c r="A1015" s="64" t="s">
        <v>2135</v>
      </c>
      <c r="B1015" s="64" t="s">
        <v>866</v>
      </c>
      <c r="C1015" s="64" t="s">
        <v>16</v>
      </c>
      <c r="D1015" s="64" t="s">
        <v>18</v>
      </c>
      <c r="E1015" s="64" t="s">
        <v>371</v>
      </c>
      <c r="F1015" s="64" t="s">
        <v>9281</v>
      </c>
      <c r="G1015" s="64" t="s">
        <v>1848</v>
      </c>
    </row>
    <row r="1016" spans="1:7" x14ac:dyDescent="0.3">
      <c r="A1016" s="64" t="s">
        <v>2135</v>
      </c>
      <c r="B1016" s="64" t="s">
        <v>866</v>
      </c>
      <c r="C1016" s="64" t="s">
        <v>16</v>
      </c>
      <c r="D1016" s="64" t="s">
        <v>18</v>
      </c>
      <c r="E1016" s="64" t="s">
        <v>376</v>
      </c>
      <c r="F1016" s="64" t="s">
        <v>9281</v>
      </c>
      <c r="G1016" s="64" t="s">
        <v>1849</v>
      </c>
    </row>
    <row r="1017" spans="1:7" x14ac:dyDescent="0.3">
      <c r="A1017" s="64" t="s">
        <v>2135</v>
      </c>
      <c r="B1017" s="64" t="s">
        <v>866</v>
      </c>
      <c r="C1017" s="64" t="s">
        <v>16</v>
      </c>
      <c r="D1017" s="64" t="s">
        <v>18</v>
      </c>
      <c r="E1017" s="64" t="s">
        <v>377</v>
      </c>
      <c r="F1017" s="64" t="s">
        <v>9281</v>
      </c>
      <c r="G1017" s="64" t="s">
        <v>1850</v>
      </c>
    </row>
    <row r="1018" spans="1:7" x14ac:dyDescent="0.3">
      <c r="A1018" s="64" t="s">
        <v>2135</v>
      </c>
      <c r="B1018" s="64" t="s">
        <v>866</v>
      </c>
      <c r="C1018" s="64" t="s">
        <v>16</v>
      </c>
      <c r="D1018" s="64" t="s">
        <v>18</v>
      </c>
      <c r="E1018" s="64" t="s">
        <v>381</v>
      </c>
      <c r="F1018" s="64" t="s">
        <v>9281</v>
      </c>
      <c r="G1018" s="64" t="s">
        <v>1851</v>
      </c>
    </row>
    <row r="1019" spans="1:7" x14ac:dyDescent="0.3">
      <c r="A1019" s="64" t="s">
        <v>2135</v>
      </c>
      <c r="B1019" s="64" t="s">
        <v>866</v>
      </c>
      <c r="C1019" s="64" t="s">
        <v>16</v>
      </c>
      <c r="D1019" s="64" t="s">
        <v>18</v>
      </c>
      <c r="E1019" s="64" t="s">
        <v>379</v>
      </c>
      <c r="F1019" s="64" t="s">
        <v>9281</v>
      </c>
      <c r="G1019" s="64" t="s">
        <v>1852</v>
      </c>
    </row>
    <row r="1020" spans="1:7" x14ac:dyDescent="0.3">
      <c r="A1020" s="64" t="s">
        <v>2135</v>
      </c>
      <c r="B1020" s="64" t="s">
        <v>866</v>
      </c>
      <c r="C1020" s="64" t="s">
        <v>16</v>
      </c>
      <c r="D1020" s="64" t="s">
        <v>18</v>
      </c>
      <c r="E1020" s="64" t="s">
        <v>374</v>
      </c>
      <c r="F1020" s="64" t="s">
        <v>9281</v>
      </c>
      <c r="G1020" s="64" t="s">
        <v>1853</v>
      </c>
    </row>
    <row r="1021" spans="1:7" x14ac:dyDescent="0.3">
      <c r="A1021" s="64" t="s">
        <v>2135</v>
      </c>
      <c r="B1021" s="64" t="s">
        <v>866</v>
      </c>
      <c r="C1021" s="64" t="s">
        <v>16</v>
      </c>
      <c r="D1021" s="64" t="s">
        <v>18</v>
      </c>
      <c r="E1021" s="64" t="s">
        <v>383</v>
      </c>
      <c r="F1021" s="64" t="s">
        <v>9281</v>
      </c>
      <c r="G1021" s="64" t="s">
        <v>1854</v>
      </c>
    </row>
    <row r="1022" spans="1:7" x14ac:dyDescent="0.3">
      <c r="A1022" s="64" t="s">
        <v>2135</v>
      </c>
      <c r="B1022" s="64" t="s">
        <v>866</v>
      </c>
      <c r="C1022" s="64" t="s">
        <v>16</v>
      </c>
      <c r="D1022" s="64" t="s">
        <v>18</v>
      </c>
      <c r="E1022" s="64" t="s">
        <v>373</v>
      </c>
      <c r="F1022" s="64" t="s">
        <v>9281</v>
      </c>
      <c r="G1022" s="64" t="s">
        <v>1855</v>
      </c>
    </row>
    <row r="1023" spans="1:7" x14ac:dyDescent="0.3">
      <c r="A1023" s="64" t="s">
        <v>2135</v>
      </c>
      <c r="B1023" s="64" t="s">
        <v>866</v>
      </c>
      <c r="C1023" s="64" t="s">
        <v>16</v>
      </c>
      <c r="D1023" s="64" t="s">
        <v>18</v>
      </c>
      <c r="E1023" s="64" t="s">
        <v>368</v>
      </c>
      <c r="F1023" s="64" t="s">
        <v>9281</v>
      </c>
      <c r="G1023" s="64" t="s">
        <v>1856</v>
      </c>
    </row>
    <row r="1024" spans="1:7" x14ac:dyDescent="0.3">
      <c r="A1024" s="64" t="s">
        <v>2135</v>
      </c>
      <c r="B1024" s="64" t="s">
        <v>866</v>
      </c>
      <c r="C1024" s="64" t="s">
        <v>16</v>
      </c>
      <c r="D1024" s="64" t="s">
        <v>18</v>
      </c>
      <c r="E1024" s="64" t="s">
        <v>372</v>
      </c>
      <c r="F1024" s="64" t="s">
        <v>9281</v>
      </c>
      <c r="G1024" s="64" t="s">
        <v>1857</v>
      </c>
    </row>
    <row r="1025" spans="1:7" x14ac:dyDescent="0.3">
      <c r="A1025" s="64" t="s">
        <v>2135</v>
      </c>
      <c r="B1025" s="64" t="s">
        <v>866</v>
      </c>
      <c r="C1025" s="64" t="s">
        <v>16</v>
      </c>
      <c r="D1025" s="64" t="s">
        <v>18</v>
      </c>
      <c r="E1025" s="64" t="s">
        <v>375</v>
      </c>
      <c r="F1025" s="64" t="s">
        <v>9281</v>
      </c>
      <c r="G1025" s="64" t="s">
        <v>1858</v>
      </c>
    </row>
    <row r="1026" spans="1:7" x14ac:dyDescent="0.3">
      <c r="A1026" s="64" t="s">
        <v>2135</v>
      </c>
      <c r="B1026" s="64" t="s">
        <v>866</v>
      </c>
      <c r="C1026" s="64" t="s">
        <v>16</v>
      </c>
      <c r="D1026" s="64" t="s">
        <v>18</v>
      </c>
      <c r="E1026" s="64" t="s">
        <v>380</v>
      </c>
      <c r="F1026" s="64" t="s">
        <v>9281</v>
      </c>
      <c r="G1026" s="64" t="s">
        <v>1859</v>
      </c>
    </row>
    <row r="1027" spans="1:7" x14ac:dyDescent="0.3">
      <c r="A1027" s="64" t="s">
        <v>2156</v>
      </c>
      <c r="B1027" s="64" t="s">
        <v>1914</v>
      </c>
      <c r="C1027" s="64" t="s">
        <v>20</v>
      </c>
      <c r="D1027" s="64" t="s">
        <v>16</v>
      </c>
      <c r="E1027" s="64" t="s">
        <v>15</v>
      </c>
      <c r="F1027" s="64" t="s">
        <v>2156</v>
      </c>
      <c r="G1027" s="64">
        <v>0</v>
      </c>
    </row>
    <row r="1028" spans="1:7" x14ac:dyDescent="0.3">
      <c r="A1028" s="64" t="s">
        <v>2156</v>
      </c>
      <c r="B1028" s="64" t="s">
        <v>1914</v>
      </c>
      <c r="C1028" s="64" t="s">
        <v>20</v>
      </c>
      <c r="D1028" s="64" t="s">
        <v>16</v>
      </c>
      <c r="E1028" s="64" t="s">
        <v>15</v>
      </c>
      <c r="F1028" s="64" t="s">
        <v>9268</v>
      </c>
      <c r="G1028" s="64">
        <v>0</v>
      </c>
    </row>
    <row r="1029" spans="1:7" x14ac:dyDescent="0.3">
      <c r="A1029" s="64" t="s">
        <v>2156</v>
      </c>
      <c r="B1029" s="64" t="s">
        <v>1914</v>
      </c>
      <c r="C1029" s="64" t="s">
        <v>20</v>
      </c>
      <c r="D1029" s="64" t="s">
        <v>403</v>
      </c>
      <c r="E1029" s="64" t="s">
        <v>15</v>
      </c>
      <c r="F1029" s="64" t="s">
        <v>2156</v>
      </c>
      <c r="G1029" s="64">
        <v>0</v>
      </c>
    </row>
    <row r="1030" spans="1:7" x14ac:dyDescent="0.3">
      <c r="A1030" s="64" t="s">
        <v>2156</v>
      </c>
      <c r="B1030" s="64" t="s">
        <v>1914</v>
      </c>
      <c r="C1030" s="64" t="s">
        <v>20</v>
      </c>
      <c r="D1030" s="64" t="s">
        <v>956</v>
      </c>
      <c r="E1030" s="64" t="s">
        <v>15</v>
      </c>
      <c r="F1030" s="64" t="s">
        <v>9268</v>
      </c>
      <c r="G1030" s="64" t="s">
        <v>957</v>
      </c>
    </row>
    <row r="1031" spans="1:7" x14ac:dyDescent="0.3">
      <c r="A1031" s="64" t="s">
        <v>2156</v>
      </c>
      <c r="B1031" s="64" t="s">
        <v>1914</v>
      </c>
      <c r="C1031" s="64" t="s">
        <v>16</v>
      </c>
      <c r="D1031" s="64" t="s">
        <v>16</v>
      </c>
      <c r="E1031" s="64" t="s">
        <v>369</v>
      </c>
      <c r="F1031" s="64" t="s">
        <v>9268</v>
      </c>
      <c r="G1031" s="64" t="s">
        <v>1844</v>
      </c>
    </row>
    <row r="1032" spans="1:7" x14ac:dyDescent="0.3">
      <c r="A1032" s="64" t="s">
        <v>2156</v>
      </c>
      <c r="B1032" s="64" t="s">
        <v>1914</v>
      </c>
      <c r="C1032" s="64" t="s">
        <v>16</v>
      </c>
      <c r="D1032" s="64" t="s">
        <v>16</v>
      </c>
      <c r="E1032" s="64" t="s">
        <v>370</v>
      </c>
      <c r="F1032" s="64" t="s">
        <v>9268</v>
      </c>
      <c r="G1032" s="64" t="s">
        <v>1846</v>
      </c>
    </row>
    <row r="1033" spans="1:7" x14ac:dyDescent="0.3">
      <c r="A1033" s="64" t="s">
        <v>2156</v>
      </c>
      <c r="B1033" s="64" t="s">
        <v>1914</v>
      </c>
      <c r="C1033" s="64" t="s">
        <v>16</v>
      </c>
      <c r="D1033" s="64" t="s">
        <v>16</v>
      </c>
      <c r="E1033" s="64" t="s">
        <v>378</v>
      </c>
      <c r="F1033" s="64" t="s">
        <v>9268</v>
      </c>
      <c r="G1033" s="64" t="s">
        <v>1847</v>
      </c>
    </row>
    <row r="1034" spans="1:7" x14ac:dyDescent="0.3">
      <c r="A1034" s="64" t="s">
        <v>2156</v>
      </c>
      <c r="B1034" s="64" t="s">
        <v>1914</v>
      </c>
      <c r="C1034" s="64" t="s">
        <v>16</v>
      </c>
      <c r="D1034" s="64" t="s">
        <v>16</v>
      </c>
      <c r="E1034" s="64" t="s">
        <v>371</v>
      </c>
      <c r="F1034" s="64" t="s">
        <v>9268</v>
      </c>
      <c r="G1034" s="64" t="s">
        <v>1848</v>
      </c>
    </row>
    <row r="1035" spans="1:7" x14ac:dyDescent="0.3">
      <c r="A1035" s="64" t="s">
        <v>2156</v>
      </c>
      <c r="B1035" s="64" t="s">
        <v>1914</v>
      </c>
      <c r="C1035" s="64" t="s">
        <v>16</v>
      </c>
      <c r="D1035" s="64" t="s">
        <v>16</v>
      </c>
      <c r="E1035" s="64" t="s">
        <v>376</v>
      </c>
      <c r="F1035" s="64" t="s">
        <v>9268</v>
      </c>
      <c r="G1035" s="64" t="s">
        <v>1849</v>
      </c>
    </row>
    <row r="1036" spans="1:7" x14ac:dyDescent="0.3">
      <c r="A1036" s="64" t="s">
        <v>2156</v>
      </c>
      <c r="B1036" s="64" t="s">
        <v>1914</v>
      </c>
      <c r="C1036" s="64" t="s">
        <v>16</v>
      </c>
      <c r="D1036" s="64" t="s">
        <v>16</v>
      </c>
      <c r="E1036" s="64" t="s">
        <v>377</v>
      </c>
      <c r="F1036" s="64" t="s">
        <v>9268</v>
      </c>
      <c r="G1036" s="64" t="s">
        <v>1850</v>
      </c>
    </row>
    <row r="1037" spans="1:7" x14ac:dyDescent="0.3">
      <c r="A1037" s="64" t="s">
        <v>2156</v>
      </c>
      <c r="B1037" s="64" t="s">
        <v>1914</v>
      </c>
      <c r="C1037" s="64" t="s">
        <v>16</v>
      </c>
      <c r="D1037" s="64" t="s">
        <v>16</v>
      </c>
      <c r="E1037" s="64" t="s">
        <v>381</v>
      </c>
      <c r="F1037" s="64" t="s">
        <v>9268</v>
      </c>
      <c r="G1037" s="64" t="s">
        <v>1851</v>
      </c>
    </row>
    <row r="1038" spans="1:7" x14ac:dyDescent="0.3">
      <c r="A1038" s="64" t="s">
        <v>2156</v>
      </c>
      <c r="B1038" s="64" t="s">
        <v>1914</v>
      </c>
      <c r="C1038" s="64" t="s">
        <v>16</v>
      </c>
      <c r="D1038" s="64" t="s">
        <v>16</v>
      </c>
      <c r="E1038" s="64" t="s">
        <v>379</v>
      </c>
      <c r="F1038" s="64" t="s">
        <v>9268</v>
      </c>
      <c r="G1038" s="64" t="s">
        <v>1852</v>
      </c>
    </row>
    <row r="1039" spans="1:7" x14ac:dyDescent="0.3">
      <c r="A1039" s="64" t="s">
        <v>2156</v>
      </c>
      <c r="B1039" s="64" t="s">
        <v>1914</v>
      </c>
      <c r="C1039" s="64" t="s">
        <v>16</v>
      </c>
      <c r="D1039" s="64" t="s">
        <v>16</v>
      </c>
      <c r="E1039" s="64" t="s">
        <v>374</v>
      </c>
      <c r="F1039" s="64" t="s">
        <v>9268</v>
      </c>
      <c r="G1039" s="64" t="s">
        <v>1853</v>
      </c>
    </row>
    <row r="1040" spans="1:7" x14ac:dyDescent="0.3">
      <c r="A1040" s="64" t="s">
        <v>2156</v>
      </c>
      <c r="B1040" s="64" t="s">
        <v>1914</v>
      </c>
      <c r="C1040" s="64" t="s">
        <v>16</v>
      </c>
      <c r="D1040" s="64" t="s">
        <v>16</v>
      </c>
      <c r="E1040" s="64" t="s">
        <v>383</v>
      </c>
      <c r="F1040" s="64" t="s">
        <v>9268</v>
      </c>
      <c r="G1040" s="64" t="s">
        <v>1854</v>
      </c>
    </row>
    <row r="1041" spans="1:7" x14ac:dyDescent="0.3">
      <c r="A1041" s="64" t="s">
        <v>2156</v>
      </c>
      <c r="B1041" s="64" t="s">
        <v>1914</v>
      </c>
      <c r="C1041" s="64" t="s">
        <v>16</v>
      </c>
      <c r="D1041" s="64" t="s">
        <v>16</v>
      </c>
      <c r="E1041" s="64" t="s">
        <v>373</v>
      </c>
      <c r="F1041" s="64" t="s">
        <v>9268</v>
      </c>
      <c r="G1041" s="64" t="s">
        <v>1855</v>
      </c>
    </row>
    <row r="1042" spans="1:7" x14ac:dyDescent="0.3">
      <c r="A1042" s="64" t="s">
        <v>2156</v>
      </c>
      <c r="B1042" s="64" t="s">
        <v>1914</v>
      </c>
      <c r="C1042" s="64" t="s">
        <v>16</v>
      </c>
      <c r="D1042" s="64" t="s">
        <v>16</v>
      </c>
      <c r="E1042" s="64" t="s">
        <v>368</v>
      </c>
      <c r="F1042" s="64" t="s">
        <v>9268</v>
      </c>
      <c r="G1042" s="64" t="s">
        <v>1856</v>
      </c>
    </row>
    <row r="1043" spans="1:7" x14ac:dyDescent="0.3">
      <c r="A1043" s="64" t="s">
        <v>2156</v>
      </c>
      <c r="B1043" s="64" t="s">
        <v>1914</v>
      </c>
      <c r="C1043" s="64" t="s">
        <v>16</v>
      </c>
      <c r="D1043" s="64" t="s">
        <v>16</v>
      </c>
      <c r="E1043" s="64" t="s">
        <v>372</v>
      </c>
      <c r="F1043" s="64" t="s">
        <v>9268</v>
      </c>
      <c r="G1043" s="64" t="s">
        <v>1857</v>
      </c>
    </row>
    <row r="1044" spans="1:7" x14ac:dyDescent="0.3">
      <c r="A1044" s="64" t="s">
        <v>2156</v>
      </c>
      <c r="B1044" s="64" t="s">
        <v>1914</v>
      </c>
      <c r="C1044" s="64" t="s">
        <v>16</v>
      </c>
      <c r="D1044" s="64" t="s">
        <v>16</v>
      </c>
      <c r="E1044" s="64" t="s">
        <v>375</v>
      </c>
      <c r="F1044" s="64" t="s">
        <v>9268</v>
      </c>
      <c r="G1044" s="64" t="s">
        <v>1858</v>
      </c>
    </row>
    <row r="1045" spans="1:7" x14ac:dyDescent="0.3">
      <c r="A1045" s="64" t="s">
        <v>2156</v>
      </c>
      <c r="B1045" s="64" t="s">
        <v>1914</v>
      </c>
      <c r="C1045" s="64" t="s">
        <v>16</v>
      </c>
      <c r="D1045" s="64" t="s">
        <v>16</v>
      </c>
      <c r="E1045" s="64" t="s">
        <v>380</v>
      </c>
      <c r="F1045" s="64" t="s">
        <v>9268</v>
      </c>
      <c r="G1045" s="64" t="s">
        <v>1859</v>
      </c>
    </row>
    <row r="1046" spans="1:7" x14ac:dyDescent="0.3">
      <c r="A1046" s="64" t="s">
        <v>2231</v>
      </c>
      <c r="B1046" s="64" t="s">
        <v>2183</v>
      </c>
      <c r="C1046" s="64" t="s">
        <v>20</v>
      </c>
      <c r="D1046" s="64" t="s">
        <v>16</v>
      </c>
      <c r="E1046" s="64" t="s">
        <v>15</v>
      </c>
      <c r="F1046" s="64" t="s">
        <v>9260</v>
      </c>
      <c r="G1046" s="64" t="s">
        <v>805</v>
      </c>
    </row>
    <row r="1047" spans="1:7" x14ac:dyDescent="0.3">
      <c r="A1047" s="64" t="s">
        <v>2231</v>
      </c>
      <c r="B1047" s="64" t="s">
        <v>2183</v>
      </c>
      <c r="C1047" s="64" t="s">
        <v>16</v>
      </c>
      <c r="D1047" s="64" t="s">
        <v>403</v>
      </c>
      <c r="E1047" s="64" t="s">
        <v>369</v>
      </c>
      <c r="F1047" s="64" t="s">
        <v>9260</v>
      </c>
      <c r="G1047" s="64" t="s">
        <v>1860</v>
      </c>
    </row>
    <row r="1048" spans="1:7" x14ac:dyDescent="0.3">
      <c r="A1048" s="64" t="s">
        <v>2231</v>
      </c>
      <c r="B1048" s="64" t="s">
        <v>2183</v>
      </c>
      <c r="C1048" s="64" t="s">
        <v>16</v>
      </c>
      <c r="D1048" s="64" t="s">
        <v>403</v>
      </c>
      <c r="E1048" s="64" t="s">
        <v>382</v>
      </c>
      <c r="F1048" s="64" t="s">
        <v>9260</v>
      </c>
      <c r="G1048" s="64" t="s">
        <v>1861</v>
      </c>
    </row>
    <row r="1049" spans="1:7" x14ac:dyDescent="0.3">
      <c r="A1049" s="64" t="s">
        <v>2231</v>
      </c>
      <c r="B1049" s="64" t="s">
        <v>2183</v>
      </c>
      <c r="C1049" s="64" t="s">
        <v>16</v>
      </c>
      <c r="D1049" s="64" t="s">
        <v>403</v>
      </c>
      <c r="E1049" s="64" t="s">
        <v>370</v>
      </c>
      <c r="F1049" s="64" t="s">
        <v>9260</v>
      </c>
      <c r="G1049" s="64" t="s">
        <v>1862</v>
      </c>
    </row>
    <row r="1050" spans="1:7" x14ac:dyDescent="0.3">
      <c r="A1050" s="64" t="s">
        <v>2231</v>
      </c>
      <c r="B1050" s="64" t="s">
        <v>2183</v>
      </c>
      <c r="C1050" s="64" t="s">
        <v>16</v>
      </c>
      <c r="D1050" s="64" t="s">
        <v>403</v>
      </c>
      <c r="E1050" s="64" t="s">
        <v>378</v>
      </c>
      <c r="F1050" s="64" t="s">
        <v>9260</v>
      </c>
      <c r="G1050" s="64" t="s">
        <v>1863</v>
      </c>
    </row>
    <row r="1051" spans="1:7" x14ac:dyDescent="0.3">
      <c r="A1051" s="64" t="s">
        <v>2231</v>
      </c>
      <c r="B1051" s="64" t="s">
        <v>2183</v>
      </c>
      <c r="C1051" s="64" t="s">
        <v>16</v>
      </c>
      <c r="D1051" s="64" t="s">
        <v>403</v>
      </c>
      <c r="E1051" s="64" t="s">
        <v>371</v>
      </c>
      <c r="F1051" s="64" t="s">
        <v>9260</v>
      </c>
      <c r="G1051" s="64" t="s">
        <v>1864</v>
      </c>
    </row>
    <row r="1052" spans="1:7" x14ac:dyDescent="0.3">
      <c r="A1052" s="64" t="s">
        <v>2231</v>
      </c>
      <c r="B1052" s="64" t="s">
        <v>2183</v>
      </c>
      <c r="C1052" s="64" t="s">
        <v>16</v>
      </c>
      <c r="D1052" s="64" t="s">
        <v>403</v>
      </c>
      <c r="E1052" s="64" t="s">
        <v>376</v>
      </c>
      <c r="F1052" s="64" t="s">
        <v>9260</v>
      </c>
      <c r="G1052" s="64" t="s">
        <v>1865</v>
      </c>
    </row>
    <row r="1053" spans="1:7" x14ac:dyDescent="0.3">
      <c r="A1053" s="64" t="s">
        <v>2231</v>
      </c>
      <c r="B1053" s="64" t="s">
        <v>2183</v>
      </c>
      <c r="C1053" s="64" t="s">
        <v>16</v>
      </c>
      <c r="D1053" s="64" t="s">
        <v>403</v>
      </c>
      <c r="E1053" s="64" t="s">
        <v>377</v>
      </c>
      <c r="F1053" s="64" t="s">
        <v>9260</v>
      </c>
      <c r="G1053" s="64" t="s">
        <v>1866</v>
      </c>
    </row>
    <row r="1054" spans="1:7" x14ac:dyDescent="0.3">
      <c r="A1054" s="64" t="s">
        <v>2231</v>
      </c>
      <c r="B1054" s="64" t="s">
        <v>2183</v>
      </c>
      <c r="C1054" s="64" t="s">
        <v>16</v>
      </c>
      <c r="D1054" s="64" t="s">
        <v>403</v>
      </c>
      <c r="E1054" s="64" t="s">
        <v>381</v>
      </c>
      <c r="F1054" s="64" t="s">
        <v>9260</v>
      </c>
      <c r="G1054" s="64" t="s">
        <v>1867</v>
      </c>
    </row>
    <row r="1055" spans="1:7" x14ac:dyDescent="0.3">
      <c r="A1055" s="64" t="s">
        <v>2231</v>
      </c>
      <c r="B1055" s="64" t="s">
        <v>2183</v>
      </c>
      <c r="C1055" s="64" t="s">
        <v>16</v>
      </c>
      <c r="D1055" s="64" t="s">
        <v>403</v>
      </c>
      <c r="E1055" s="64" t="s">
        <v>379</v>
      </c>
      <c r="F1055" s="64" t="s">
        <v>9260</v>
      </c>
      <c r="G1055" s="64" t="s">
        <v>1868</v>
      </c>
    </row>
    <row r="1056" spans="1:7" x14ac:dyDescent="0.3">
      <c r="A1056" s="64" t="s">
        <v>2231</v>
      </c>
      <c r="B1056" s="64" t="s">
        <v>2183</v>
      </c>
      <c r="C1056" s="64" t="s">
        <v>16</v>
      </c>
      <c r="D1056" s="64" t="s">
        <v>403</v>
      </c>
      <c r="E1056" s="64" t="s">
        <v>374</v>
      </c>
      <c r="F1056" s="64" t="s">
        <v>9260</v>
      </c>
      <c r="G1056" s="64" t="s">
        <v>1869</v>
      </c>
    </row>
    <row r="1057" spans="1:7" x14ac:dyDescent="0.3">
      <c r="A1057" s="64" t="s">
        <v>2231</v>
      </c>
      <c r="B1057" s="64" t="s">
        <v>2183</v>
      </c>
      <c r="C1057" s="64" t="s">
        <v>16</v>
      </c>
      <c r="D1057" s="64" t="s">
        <v>403</v>
      </c>
      <c r="E1057" s="64" t="s">
        <v>373</v>
      </c>
      <c r="F1057" s="64" t="s">
        <v>9260</v>
      </c>
      <c r="G1057" s="64" t="s">
        <v>1871</v>
      </c>
    </row>
    <row r="1058" spans="1:7" x14ac:dyDescent="0.3">
      <c r="A1058" s="64" t="s">
        <v>2231</v>
      </c>
      <c r="B1058" s="64" t="s">
        <v>2183</v>
      </c>
      <c r="C1058" s="64" t="s">
        <v>16</v>
      </c>
      <c r="D1058" s="64" t="s">
        <v>403</v>
      </c>
      <c r="E1058" s="64" t="s">
        <v>368</v>
      </c>
      <c r="F1058" s="64" t="s">
        <v>9260</v>
      </c>
      <c r="G1058" s="64" t="s">
        <v>1872</v>
      </c>
    </row>
    <row r="1059" spans="1:7" x14ac:dyDescent="0.3">
      <c r="A1059" s="64" t="s">
        <v>2231</v>
      </c>
      <c r="B1059" s="64" t="s">
        <v>2183</v>
      </c>
      <c r="C1059" s="64" t="s">
        <v>16</v>
      </c>
      <c r="D1059" s="64" t="s">
        <v>403</v>
      </c>
      <c r="E1059" s="64" t="s">
        <v>372</v>
      </c>
      <c r="F1059" s="64" t="s">
        <v>9260</v>
      </c>
      <c r="G1059" s="64" t="s">
        <v>1873</v>
      </c>
    </row>
    <row r="1060" spans="1:7" x14ac:dyDescent="0.3">
      <c r="A1060" s="64" t="s">
        <v>2231</v>
      </c>
      <c r="B1060" s="64" t="s">
        <v>2183</v>
      </c>
      <c r="C1060" s="64" t="s">
        <v>16</v>
      </c>
      <c r="D1060" s="64" t="s">
        <v>403</v>
      </c>
      <c r="E1060" s="64" t="s">
        <v>375</v>
      </c>
      <c r="F1060" s="64" t="s">
        <v>9260</v>
      </c>
      <c r="G1060" s="64" t="s">
        <v>1874</v>
      </c>
    </row>
    <row r="1061" spans="1:7" x14ac:dyDescent="0.3">
      <c r="A1061" s="64" t="s">
        <v>2231</v>
      </c>
      <c r="B1061" s="64" t="s">
        <v>2183</v>
      </c>
      <c r="C1061" s="64" t="s">
        <v>16</v>
      </c>
      <c r="D1061" s="64" t="s">
        <v>403</v>
      </c>
      <c r="E1061" s="64" t="s">
        <v>380</v>
      </c>
      <c r="F1061" s="64" t="s">
        <v>9260</v>
      </c>
      <c r="G1061" s="64" t="s">
        <v>1875</v>
      </c>
    </row>
    <row r="1062" spans="1:7" x14ac:dyDescent="0.3">
      <c r="A1062" s="64" t="s">
        <v>2251</v>
      </c>
      <c r="B1062" s="64" t="s">
        <v>1909</v>
      </c>
      <c r="C1062" s="64" t="s">
        <v>20</v>
      </c>
      <c r="D1062" s="64" t="s">
        <v>956</v>
      </c>
      <c r="E1062" s="64" t="s">
        <v>15</v>
      </c>
      <c r="F1062" s="64" t="s">
        <v>2251</v>
      </c>
      <c r="G1062" s="64" t="s">
        <v>957</v>
      </c>
    </row>
    <row r="1063" spans="1:7" x14ac:dyDescent="0.3">
      <c r="A1063" s="64" t="s">
        <v>2251</v>
      </c>
      <c r="B1063" s="64" t="s">
        <v>1909</v>
      </c>
      <c r="C1063" s="64" t="s">
        <v>16</v>
      </c>
      <c r="D1063" s="64" t="s">
        <v>18</v>
      </c>
      <c r="E1063" s="64" t="s">
        <v>369</v>
      </c>
      <c r="F1063" s="64" t="s">
        <v>2251</v>
      </c>
      <c r="G1063" s="64" t="s">
        <v>1844</v>
      </c>
    </row>
    <row r="1064" spans="1:7" x14ac:dyDescent="0.3">
      <c r="A1064" s="64" t="s">
        <v>2251</v>
      </c>
      <c r="B1064" s="64" t="s">
        <v>1909</v>
      </c>
      <c r="C1064" s="64" t="s">
        <v>16</v>
      </c>
      <c r="D1064" s="64" t="s">
        <v>18</v>
      </c>
      <c r="E1064" s="64" t="s">
        <v>382</v>
      </c>
      <c r="F1064" s="64" t="s">
        <v>2251</v>
      </c>
      <c r="G1064" s="64" t="s">
        <v>1845</v>
      </c>
    </row>
    <row r="1065" spans="1:7" x14ac:dyDescent="0.3">
      <c r="A1065" s="64" t="s">
        <v>2251</v>
      </c>
      <c r="B1065" s="64" t="s">
        <v>1909</v>
      </c>
      <c r="C1065" s="64" t="s">
        <v>16</v>
      </c>
      <c r="D1065" s="64" t="s">
        <v>18</v>
      </c>
      <c r="E1065" s="64" t="s">
        <v>370</v>
      </c>
      <c r="F1065" s="64" t="s">
        <v>2251</v>
      </c>
      <c r="G1065" s="64" t="s">
        <v>1846</v>
      </c>
    </row>
    <row r="1066" spans="1:7" x14ac:dyDescent="0.3">
      <c r="A1066" s="64" t="s">
        <v>2251</v>
      </c>
      <c r="B1066" s="64" t="s">
        <v>1909</v>
      </c>
      <c r="C1066" s="64" t="s">
        <v>16</v>
      </c>
      <c r="D1066" s="64" t="s">
        <v>18</v>
      </c>
      <c r="E1066" s="64" t="s">
        <v>378</v>
      </c>
      <c r="F1066" s="64" t="s">
        <v>2251</v>
      </c>
      <c r="G1066" s="64" t="s">
        <v>1847</v>
      </c>
    </row>
    <row r="1067" spans="1:7" x14ac:dyDescent="0.3">
      <c r="A1067" s="64" t="s">
        <v>2251</v>
      </c>
      <c r="B1067" s="64" t="s">
        <v>1909</v>
      </c>
      <c r="C1067" s="64" t="s">
        <v>16</v>
      </c>
      <c r="D1067" s="64" t="s">
        <v>18</v>
      </c>
      <c r="E1067" s="64" t="s">
        <v>371</v>
      </c>
      <c r="F1067" s="64" t="s">
        <v>2251</v>
      </c>
      <c r="G1067" s="64" t="s">
        <v>1848</v>
      </c>
    </row>
    <row r="1068" spans="1:7" x14ac:dyDescent="0.3">
      <c r="A1068" s="64" t="s">
        <v>2251</v>
      </c>
      <c r="B1068" s="64" t="s">
        <v>1909</v>
      </c>
      <c r="C1068" s="64" t="s">
        <v>16</v>
      </c>
      <c r="D1068" s="64" t="s">
        <v>18</v>
      </c>
      <c r="E1068" s="64" t="s">
        <v>376</v>
      </c>
      <c r="F1068" s="64" t="s">
        <v>2251</v>
      </c>
      <c r="G1068" s="64" t="s">
        <v>1849</v>
      </c>
    </row>
    <row r="1069" spans="1:7" x14ac:dyDescent="0.3">
      <c r="A1069" s="64" t="s">
        <v>2251</v>
      </c>
      <c r="B1069" s="64" t="s">
        <v>1909</v>
      </c>
      <c r="C1069" s="64" t="s">
        <v>16</v>
      </c>
      <c r="D1069" s="64" t="s">
        <v>18</v>
      </c>
      <c r="E1069" s="64" t="s">
        <v>377</v>
      </c>
      <c r="F1069" s="64" t="s">
        <v>2251</v>
      </c>
      <c r="G1069" s="64" t="s">
        <v>1850</v>
      </c>
    </row>
    <row r="1070" spans="1:7" x14ac:dyDescent="0.3">
      <c r="A1070" s="64" t="s">
        <v>2251</v>
      </c>
      <c r="B1070" s="64" t="s">
        <v>1909</v>
      </c>
      <c r="C1070" s="64" t="s">
        <v>16</v>
      </c>
      <c r="D1070" s="64" t="s">
        <v>18</v>
      </c>
      <c r="E1070" s="64" t="s">
        <v>381</v>
      </c>
      <c r="F1070" s="64" t="s">
        <v>2251</v>
      </c>
      <c r="G1070" s="64" t="s">
        <v>1851</v>
      </c>
    </row>
    <row r="1071" spans="1:7" x14ac:dyDescent="0.3">
      <c r="A1071" s="64" t="s">
        <v>2251</v>
      </c>
      <c r="B1071" s="64" t="s">
        <v>1909</v>
      </c>
      <c r="C1071" s="64" t="s">
        <v>16</v>
      </c>
      <c r="D1071" s="64" t="s">
        <v>18</v>
      </c>
      <c r="E1071" s="64" t="s">
        <v>379</v>
      </c>
      <c r="F1071" s="64" t="s">
        <v>2251</v>
      </c>
      <c r="G1071" s="64" t="s">
        <v>1852</v>
      </c>
    </row>
    <row r="1072" spans="1:7" x14ac:dyDescent="0.3">
      <c r="A1072" s="64" t="s">
        <v>2251</v>
      </c>
      <c r="B1072" s="64" t="s">
        <v>1909</v>
      </c>
      <c r="C1072" s="64" t="s">
        <v>16</v>
      </c>
      <c r="D1072" s="64" t="s">
        <v>18</v>
      </c>
      <c r="E1072" s="64" t="s">
        <v>374</v>
      </c>
      <c r="F1072" s="64" t="s">
        <v>2251</v>
      </c>
      <c r="G1072" s="64" t="s">
        <v>1853</v>
      </c>
    </row>
    <row r="1073" spans="1:7" x14ac:dyDescent="0.3">
      <c r="A1073" s="64" t="s">
        <v>2251</v>
      </c>
      <c r="B1073" s="64" t="s">
        <v>1909</v>
      </c>
      <c r="C1073" s="64" t="s">
        <v>16</v>
      </c>
      <c r="D1073" s="64" t="s">
        <v>18</v>
      </c>
      <c r="E1073" s="64" t="s">
        <v>383</v>
      </c>
      <c r="F1073" s="64" t="s">
        <v>2251</v>
      </c>
      <c r="G1073" s="64" t="s">
        <v>1854</v>
      </c>
    </row>
    <row r="1074" spans="1:7" x14ac:dyDescent="0.3">
      <c r="A1074" s="64" t="s">
        <v>2251</v>
      </c>
      <c r="B1074" s="64" t="s">
        <v>1909</v>
      </c>
      <c r="C1074" s="64" t="s">
        <v>16</v>
      </c>
      <c r="D1074" s="64" t="s">
        <v>18</v>
      </c>
      <c r="E1074" s="64" t="s">
        <v>373</v>
      </c>
      <c r="F1074" s="64" t="s">
        <v>2251</v>
      </c>
      <c r="G1074" s="64" t="s">
        <v>1855</v>
      </c>
    </row>
    <row r="1075" spans="1:7" x14ac:dyDescent="0.3">
      <c r="A1075" s="64" t="s">
        <v>2251</v>
      </c>
      <c r="B1075" s="64" t="s">
        <v>1909</v>
      </c>
      <c r="C1075" s="64" t="s">
        <v>16</v>
      </c>
      <c r="D1075" s="64" t="s">
        <v>18</v>
      </c>
      <c r="E1075" s="64" t="s">
        <v>368</v>
      </c>
      <c r="F1075" s="64" t="s">
        <v>2251</v>
      </c>
      <c r="G1075" s="64" t="s">
        <v>1856</v>
      </c>
    </row>
    <row r="1076" spans="1:7" x14ac:dyDescent="0.3">
      <c r="A1076" s="64" t="s">
        <v>2251</v>
      </c>
      <c r="B1076" s="64" t="s">
        <v>1909</v>
      </c>
      <c r="C1076" s="64" t="s">
        <v>16</v>
      </c>
      <c r="D1076" s="64" t="s">
        <v>18</v>
      </c>
      <c r="E1076" s="64" t="s">
        <v>372</v>
      </c>
      <c r="F1076" s="64" t="s">
        <v>2251</v>
      </c>
      <c r="G1076" s="64" t="s">
        <v>1857</v>
      </c>
    </row>
    <row r="1077" spans="1:7" x14ac:dyDescent="0.3">
      <c r="A1077" s="64" t="s">
        <v>2251</v>
      </c>
      <c r="B1077" s="64" t="s">
        <v>1909</v>
      </c>
      <c r="C1077" s="64" t="s">
        <v>16</v>
      </c>
      <c r="D1077" s="64" t="s">
        <v>18</v>
      </c>
      <c r="E1077" s="64" t="s">
        <v>375</v>
      </c>
      <c r="F1077" s="64" t="s">
        <v>2251</v>
      </c>
      <c r="G1077" s="64" t="s">
        <v>1858</v>
      </c>
    </row>
    <row r="1078" spans="1:7" x14ac:dyDescent="0.3">
      <c r="A1078" s="64" t="s">
        <v>2251</v>
      </c>
      <c r="B1078" s="64" t="s">
        <v>1909</v>
      </c>
      <c r="C1078" s="64" t="s">
        <v>16</v>
      </c>
      <c r="D1078" s="64" t="s">
        <v>18</v>
      </c>
      <c r="E1078" s="64" t="s">
        <v>380</v>
      </c>
      <c r="F1078" s="64" t="s">
        <v>2251</v>
      </c>
      <c r="G1078" s="64" t="s">
        <v>1859</v>
      </c>
    </row>
    <row r="1079" spans="1:7" x14ac:dyDescent="0.3">
      <c r="A1079" s="64" t="s">
        <v>2271</v>
      </c>
      <c r="B1079" s="64" t="s">
        <v>1909</v>
      </c>
      <c r="C1079" s="64" t="s">
        <v>20</v>
      </c>
      <c r="D1079" s="64" t="s">
        <v>956</v>
      </c>
      <c r="E1079" s="64" t="s">
        <v>15</v>
      </c>
      <c r="F1079" s="64" t="s">
        <v>2271</v>
      </c>
      <c r="G1079" s="64" t="s">
        <v>957</v>
      </c>
    </row>
    <row r="1080" spans="1:7" x14ac:dyDescent="0.3">
      <c r="A1080" s="64" t="s">
        <v>2271</v>
      </c>
      <c r="B1080" s="64" t="s">
        <v>1909</v>
      </c>
      <c r="C1080" s="64" t="s">
        <v>16</v>
      </c>
      <c r="D1080" s="64" t="s">
        <v>18</v>
      </c>
      <c r="E1080" s="64" t="s">
        <v>369</v>
      </c>
      <c r="F1080" s="64" t="s">
        <v>2271</v>
      </c>
      <c r="G1080" s="64" t="s">
        <v>1844</v>
      </c>
    </row>
    <row r="1081" spans="1:7" x14ac:dyDescent="0.3">
      <c r="A1081" s="64" t="s">
        <v>2271</v>
      </c>
      <c r="B1081" s="64" t="s">
        <v>1909</v>
      </c>
      <c r="C1081" s="64" t="s">
        <v>16</v>
      </c>
      <c r="D1081" s="64" t="s">
        <v>18</v>
      </c>
      <c r="E1081" s="64" t="s">
        <v>382</v>
      </c>
      <c r="F1081" s="64" t="s">
        <v>2271</v>
      </c>
      <c r="G1081" s="64" t="s">
        <v>1845</v>
      </c>
    </row>
    <row r="1082" spans="1:7" x14ac:dyDescent="0.3">
      <c r="A1082" s="64" t="s">
        <v>2271</v>
      </c>
      <c r="B1082" s="64" t="s">
        <v>1909</v>
      </c>
      <c r="C1082" s="64" t="s">
        <v>16</v>
      </c>
      <c r="D1082" s="64" t="s">
        <v>18</v>
      </c>
      <c r="E1082" s="64" t="s">
        <v>370</v>
      </c>
      <c r="F1082" s="64" t="s">
        <v>2271</v>
      </c>
      <c r="G1082" s="64" t="s">
        <v>1846</v>
      </c>
    </row>
    <row r="1083" spans="1:7" x14ac:dyDescent="0.3">
      <c r="A1083" s="64" t="s">
        <v>2271</v>
      </c>
      <c r="B1083" s="64" t="s">
        <v>1909</v>
      </c>
      <c r="C1083" s="64" t="s">
        <v>16</v>
      </c>
      <c r="D1083" s="64" t="s">
        <v>18</v>
      </c>
      <c r="E1083" s="64" t="s">
        <v>378</v>
      </c>
      <c r="F1083" s="64" t="s">
        <v>2271</v>
      </c>
      <c r="G1083" s="64" t="s">
        <v>1847</v>
      </c>
    </row>
    <row r="1084" spans="1:7" x14ac:dyDescent="0.3">
      <c r="A1084" s="64" t="s">
        <v>2271</v>
      </c>
      <c r="B1084" s="64" t="s">
        <v>1909</v>
      </c>
      <c r="C1084" s="64" t="s">
        <v>16</v>
      </c>
      <c r="D1084" s="64" t="s">
        <v>18</v>
      </c>
      <c r="E1084" s="64" t="s">
        <v>371</v>
      </c>
      <c r="F1084" s="64" t="s">
        <v>2271</v>
      </c>
      <c r="G1084" s="64" t="s">
        <v>1848</v>
      </c>
    </row>
    <row r="1085" spans="1:7" x14ac:dyDescent="0.3">
      <c r="A1085" s="64" t="s">
        <v>2271</v>
      </c>
      <c r="B1085" s="64" t="s">
        <v>1909</v>
      </c>
      <c r="C1085" s="64" t="s">
        <v>16</v>
      </c>
      <c r="D1085" s="64" t="s">
        <v>18</v>
      </c>
      <c r="E1085" s="64" t="s">
        <v>376</v>
      </c>
      <c r="F1085" s="64" t="s">
        <v>2271</v>
      </c>
      <c r="G1085" s="64" t="s">
        <v>1849</v>
      </c>
    </row>
    <row r="1086" spans="1:7" x14ac:dyDescent="0.3">
      <c r="A1086" s="64" t="s">
        <v>2271</v>
      </c>
      <c r="B1086" s="64" t="s">
        <v>1909</v>
      </c>
      <c r="C1086" s="64" t="s">
        <v>16</v>
      </c>
      <c r="D1086" s="64" t="s">
        <v>18</v>
      </c>
      <c r="E1086" s="64" t="s">
        <v>377</v>
      </c>
      <c r="F1086" s="64" t="s">
        <v>2271</v>
      </c>
      <c r="G1086" s="64" t="s">
        <v>1850</v>
      </c>
    </row>
    <row r="1087" spans="1:7" x14ac:dyDescent="0.3">
      <c r="A1087" s="64" t="s">
        <v>2271</v>
      </c>
      <c r="B1087" s="64" t="s">
        <v>1909</v>
      </c>
      <c r="C1087" s="64" t="s">
        <v>16</v>
      </c>
      <c r="D1087" s="64" t="s">
        <v>18</v>
      </c>
      <c r="E1087" s="64" t="s">
        <v>381</v>
      </c>
      <c r="F1087" s="64" t="s">
        <v>2271</v>
      </c>
      <c r="G1087" s="64" t="s">
        <v>1851</v>
      </c>
    </row>
    <row r="1088" spans="1:7" x14ac:dyDescent="0.3">
      <c r="A1088" s="64" t="s">
        <v>2271</v>
      </c>
      <c r="B1088" s="64" t="s">
        <v>1909</v>
      </c>
      <c r="C1088" s="64" t="s">
        <v>16</v>
      </c>
      <c r="D1088" s="64" t="s">
        <v>18</v>
      </c>
      <c r="E1088" s="64" t="s">
        <v>379</v>
      </c>
      <c r="F1088" s="64" t="s">
        <v>2271</v>
      </c>
      <c r="G1088" s="64" t="s">
        <v>1852</v>
      </c>
    </row>
    <row r="1089" spans="1:7" x14ac:dyDescent="0.3">
      <c r="A1089" s="64" t="s">
        <v>2271</v>
      </c>
      <c r="B1089" s="64" t="s">
        <v>1909</v>
      </c>
      <c r="C1089" s="64" t="s">
        <v>16</v>
      </c>
      <c r="D1089" s="64" t="s">
        <v>18</v>
      </c>
      <c r="E1089" s="64" t="s">
        <v>374</v>
      </c>
      <c r="F1089" s="64" t="s">
        <v>2271</v>
      </c>
      <c r="G1089" s="64" t="s">
        <v>1853</v>
      </c>
    </row>
    <row r="1090" spans="1:7" x14ac:dyDescent="0.3">
      <c r="A1090" s="64" t="s">
        <v>2271</v>
      </c>
      <c r="B1090" s="64" t="s">
        <v>1909</v>
      </c>
      <c r="C1090" s="64" t="s">
        <v>16</v>
      </c>
      <c r="D1090" s="64" t="s">
        <v>18</v>
      </c>
      <c r="E1090" s="64" t="s">
        <v>383</v>
      </c>
      <c r="F1090" s="64" t="s">
        <v>2271</v>
      </c>
      <c r="G1090" s="64" t="s">
        <v>1854</v>
      </c>
    </row>
    <row r="1091" spans="1:7" x14ac:dyDescent="0.3">
      <c r="A1091" s="64" t="s">
        <v>2271</v>
      </c>
      <c r="B1091" s="64" t="s">
        <v>1909</v>
      </c>
      <c r="C1091" s="64" t="s">
        <v>16</v>
      </c>
      <c r="D1091" s="64" t="s">
        <v>18</v>
      </c>
      <c r="E1091" s="64" t="s">
        <v>373</v>
      </c>
      <c r="F1091" s="64" t="s">
        <v>2271</v>
      </c>
      <c r="G1091" s="64" t="s">
        <v>1855</v>
      </c>
    </row>
    <row r="1092" spans="1:7" x14ac:dyDescent="0.3">
      <c r="A1092" s="64" t="s">
        <v>2271</v>
      </c>
      <c r="B1092" s="64" t="s">
        <v>1909</v>
      </c>
      <c r="C1092" s="64" t="s">
        <v>16</v>
      </c>
      <c r="D1092" s="64" t="s">
        <v>18</v>
      </c>
      <c r="E1092" s="64" t="s">
        <v>368</v>
      </c>
      <c r="F1092" s="64" t="s">
        <v>2271</v>
      </c>
      <c r="G1092" s="64" t="s">
        <v>1856</v>
      </c>
    </row>
    <row r="1093" spans="1:7" x14ac:dyDescent="0.3">
      <c r="A1093" s="64" t="s">
        <v>2271</v>
      </c>
      <c r="B1093" s="64" t="s">
        <v>1909</v>
      </c>
      <c r="C1093" s="64" t="s">
        <v>16</v>
      </c>
      <c r="D1093" s="64" t="s">
        <v>18</v>
      </c>
      <c r="E1093" s="64" t="s">
        <v>372</v>
      </c>
      <c r="F1093" s="64" t="s">
        <v>2271</v>
      </c>
      <c r="G1093" s="64" t="s">
        <v>1857</v>
      </c>
    </row>
    <row r="1094" spans="1:7" x14ac:dyDescent="0.3">
      <c r="A1094" s="64" t="s">
        <v>2271</v>
      </c>
      <c r="B1094" s="64" t="s">
        <v>1909</v>
      </c>
      <c r="C1094" s="64" t="s">
        <v>16</v>
      </c>
      <c r="D1094" s="64" t="s">
        <v>18</v>
      </c>
      <c r="E1094" s="64" t="s">
        <v>375</v>
      </c>
      <c r="F1094" s="64" t="s">
        <v>2271</v>
      </c>
      <c r="G1094" s="64" t="s">
        <v>1858</v>
      </c>
    </row>
    <row r="1095" spans="1:7" x14ac:dyDescent="0.3">
      <c r="A1095" s="64" t="s">
        <v>2271</v>
      </c>
      <c r="B1095" s="64" t="s">
        <v>1909</v>
      </c>
      <c r="C1095" s="64" t="s">
        <v>16</v>
      </c>
      <c r="D1095" s="64" t="s">
        <v>18</v>
      </c>
      <c r="E1095" s="64" t="s">
        <v>380</v>
      </c>
      <c r="F1095" s="64" t="s">
        <v>2271</v>
      </c>
      <c r="G1095" s="64" t="s">
        <v>1859</v>
      </c>
    </row>
    <row r="1096" spans="1:7" x14ac:dyDescent="0.3">
      <c r="A1096" s="64" t="s">
        <v>2989</v>
      </c>
      <c r="B1096" s="64" t="s">
        <v>1909</v>
      </c>
      <c r="C1096" s="64" t="s">
        <v>20</v>
      </c>
      <c r="D1096" s="64" t="s">
        <v>403</v>
      </c>
      <c r="E1096" s="64" t="s">
        <v>15</v>
      </c>
      <c r="F1096" s="64" t="s">
        <v>2989</v>
      </c>
      <c r="G1096" s="64" t="s">
        <v>957</v>
      </c>
    </row>
    <row r="1097" spans="1:7" x14ac:dyDescent="0.3">
      <c r="A1097" s="64" t="s">
        <v>2989</v>
      </c>
      <c r="B1097" s="64" t="s">
        <v>1909</v>
      </c>
      <c r="C1097" s="64" t="s">
        <v>16</v>
      </c>
      <c r="D1097" s="64" t="s">
        <v>403</v>
      </c>
      <c r="E1097" s="64" t="s">
        <v>369</v>
      </c>
      <c r="F1097" s="64" t="s">
        <v>2989</v>
      </c>
      <c r="G1097" s="64" t="s">
        <v>1844</v>
      </c>
    </row>
    <row r="1098" spans="1:7" x14ac:dyDescent="0.3">
      <c r="A1098" s="64" t="s">
        <v>2989</v>
      </c>
      <c r="B1098" s="64" t="s">
        <v>1909</v>
      </c>
      <c r="C1098" s="64" t="s">
        <v>16</v>
      </c>
      <c r="D1098" s="64" t="s">
        <v>403</v>
      </c>
      <c r="E1098" s="64" t="s">
        <v>382</v>
      </c>
      <c r="F1098" s="64" t="s">
        <v>2989</v>
      </c>
      <c r="G1098" s="64" t="s">
        <v>1845</v>
      </c>
    </row>
    <row r="1099" spans="1:7" x14ac:dyDescent="0.3">
      <c r="A1099" s="64" t="s">
        <v>2989</v>
      </c>
      <c r="B1099" s="64" t="s">
        <v>1909</v>
      </c>
      <c r="C1099" s="64" t="s">
        <v>16</v>
      </c>
      <c r="D1099" s="64" t="s">
        <v>403</v>
      </c>
      <c r="E1099" s="64" t="s">
        <v>370</v>
      </c>
      <c r="F1099" s="64" t="s">
        <v>2989</v>
      </c>
      <c r="G1099" s="64" t="s">
        <v>1846</v>
      </c>
    </row>
    <row r="1100" spans="1:7" x14ac:dyDescent="0.3">
      <c r="A1100" s="64" t="s">
        <v>2989</v>
      </c>
      <c r="B1100" s="64" t="s">
        <v>1909</v>
      </c>
      <c r="C1100" s="64" t="s">
        <v>16</v>
      </c>
      <c r="D1100" s="64" t="s">
        <v>403</v>
      </c>
      <c r="E1100" s="64" t="s">
        <v>378</v>
      </c>
      <c r="F1100" s="64" t="s">
        <v>2989</v>
      </c>
      <c r="G1100" s="64" t="s">
        <v>1847</v>
      </c>
    </row>
    <row r="1101" spans="1:7" x14ac:dyDescent="0.3">
      <c r="A1101" s="64" t="s">
        <v>2989</v>
      </c>
      <c r="B1101" s="64" t="s">
        <v>1909</v>
      </c>
      <c r="C1101" s="64" t="s">
        <v>16</v>
      </c>
      <c r="D1101" s="64" t="s">
        <v>403</v>
      </c>
      <c r="E1101" s="64" t="s">
        <v>371</v>
      </c>
      <c r="F1101" s="64" t="s">
        <v>2989</v>
      </c>
      <c r="G1101" s="64" t="s">
        <v>1848</v>
      </c>
    </row>
    <row r="1102" spans="1:7" x14ac:dyDescent="0.3">
      <c r="A1102" s="64" t="s">
        <v>2989</v>
      </c>
      <c r="B1102" s="64" t="s">
        <v>1909</v>
      </c>
      <c r="C1102" s="64" t="s">
        <v>16</v>
      </c>
      <c r="D1102" s="64" t="s">
        <v>403</v>
      </c>
      <c r="E1102" s="64" t="s">
        <v>376</v>
      </c>
      <c r="F1102" s="64" t="s">
        <v>2989</v>
      </c>
      <c r="G1102" s="64" t="s">
        <v>1849</v>
      </c>
    </row>
    <row r="1103" spans="1:7" x14ac:dyDescent="0.3">
      <c r="A1103" s="64" t="s">
        <v>2989</v>
      </c>
      <c r="B1103" s="64" t="s">
        <v>1909</v>
      </c>
      <c r="C1103" s="64" t="s">
        <v>16</v>
      </c>
      <c r="D1103" s="64" t="s">
        <v>403</v>
      </c>
      <c r="E1103" s="64" t="s">
        <v>377</v>
      </c>
      <c r="F1103" s="64" t="s">
        <v>2989</v>
      </c>
      <c r="G1103" s="64" t="s">
        <v>1850</v>
      </c>
    </row>
    <row r="1104" spans="1:7" x14ac:dyDescent="0.3">
      <c r="A1104" s="64" t="s">
        <v>2989</v>
      </c>
      <c r="B1104" s="64" t="s">
        <v>1909</v>
      </c>
      <c r="C1104" s="64" t="s">
        <v>16</v>
      </c>
      <c r="D1104" s="64" t="s">
        <v>403</v>
      </c>
      <c r="E1104" s="64" t="s">
        <v>381</v>
      </c>
      <c r="F1104" s="64" t="s">
        <v>2989</v>
      </c>
      <c r="G1104" s="64" t="s">
        <v>1851</v>
      </c>
    </row>
    <row r="1105" spans="1:7" x14ac:dyDescent="0.3">
      <c r="A1105" s="64" t="s">
        <v>2989</v>
      </c>
      <c r="B1105" s="64" t="s">
        <v>1909</v>
      </c>
      <c r="C1105" s="64" t="s">
        <v>16</v>
      </c>
      <c r="D1105" s="64" t="s">
        <v>403</v>
      </c>
      <c r="E1105" s="64" t="s">
        <v>379</v>
      </c>
      <c r="F1105" s="64" t="s">
        <v>2989</v>
      </c>
      <c r="G1105" s="64" t="s">
        <v>1852</v>
      </c>
    </row>
    <row r="1106" spans="1:7" x14ac:dyDescent="0.3">
      <c r="A1106" s="64" t="s">
        <v>2989</v>
      </c>
      <c r="B1106" s="64" t="s">
        <v>1909</v>
      </c>
      <c r="C1106" s="64" t="s">
        <v>16</v>
      </c>
      <c r="D1106" s="64" t="s">
        <v>403</v>
      </c>
      <c r="E1106" s="64" t="s">
        <v>374</v>
      </c>
      <c r="F1106" s="64" t="s">
        <v>2989</v>
      </c>
      <c r="G1106" s="64" t="s">
        <v>1853</v>
      </c>
    </row>
    <row r="1107" spans="1:7" x14ac:dyDescent="0.3">
      <c r="A1107" s="64" t="s">
        <v>2989</v>
      </c>
      <c r="B1107" s="64" t="s">
        <v>1909</v>
      </c>
      <c r="C1107" s="64" t="s">
        <v>16</v>
      </c>
      <c r="D1107" s="64" t="s">
        <v>403</v>
      </c>
      <c r="E1107" s="64" t="s">
        <v>383</v>
      </c>
      <c r="F1107" s="64" t="s">
        <v>2989</v>
      </c>
      <c r="G1107" s="64" t="s">
        <v>1854</v>
      </c>
    </row>
    <row r="1108" spans="1:7" x14ac:dyDescent="0.3">
      <c r="A1108" s="64" t="s">
        <v>2989</v>
      </c>
      <c r="B1108" s="64" t="s">
        <v>1909</v>
      </c>
      <c r="C1108" s="64" t="s">
        <v>16</v>
      </c>
      <c r="D1108" s="64" t="s">
        <v>403</v>
      </c>
      <c r="E1108" s="64" t="s">
        <v>373</v>
      </c>
      <c r="F1108" s="64" t="s">
        <v>2989</v>
      </c>
      <c r="G1108" s="64" t="s">
        <v>1855</v>
      </c>
    </row>
    <row r="1109" spans="1:7" x14ac:dyDescent="0.3">
      <c r="A1109" s="64" t="s">
        <v>2989</v>
      </c>
      <c r="B1109" s="64" t="s">
        <v>1909</v>
      </c>
      <c r="C1109" s="64" t="s">
        <v>16</v>
      </c>
      <c r="D1109" s="64" t="s">
        <v>403</v>
      </c>
      <c r="E1109" s="64" t="s">
        <v>368</v>
      </c>
      <c r="F1109" s="64" t="s">
        <v>2989</v>
      </c>
      <c r="G1109" s="64" t="s">
        <v>1856</v>
      </c>
    </row>
    <row r="1110" spans="1:7" x14ac:dyDescent="0.3">
      <c r="A1110" s="64" t="s">
        <v>2989</v>
      </c>
      <c r="B1110" s="64" t="s">
        <v>1909</v>
      </c>
      <c r="C1110" s="64" t="s">
        <v>16</v>
      </c>
      <c r="D1110" s="64" t="s">
        <v>403</v>
      </c>
      <c r="E1110" s="64" t="s">
        <v>372</v>
      </c>
      <c r="F1110" s="64" t="s">
        <v>2989</v>
      </c>
      <c r="G1110" s="64" t="s">
        <v>1857</v>
      </c>
    </row>
    <row r="1111" spans="1:7" x14ac:dyDescent="0.3">
      <c r="A1111" s="64" t="s">
        <v>2989</v>
      </c>
      <c r="B1111" s="64" t="s">
        <v>1909</v>
      </c>
      <c r="C1111" s="64" t="s">
        <v>16</v>
      </c>
      <c r="D1111" s="64" t="s">
        <v>403</v>
      </c>
      <c r="E1111" s="64" t="s">
        <v>375</v>
      </c>
      <c r="F1111" s="64" t="s">
        <v>2989</v>
      </c>
      <c r="G1111" s="64" t="s">
        <v>1858</v>
      </c>
    </row>
    <row r="1112" spans="1:7" x14ac:dyDescent="0.3">
      <c r="A1112" s="64" t="s">
        <v>2989</v>
      </c>
      <c r="B1112" s="64" t="s">
        <v>1909</v>
      </c>
      <c r="C1112" s="64" t="s">
        <v>16</v>
      </c>
      <c r="D1112" s="64" t="s">
        <v>403</v>
      </c>
      <c r="E1112" s="64" t="s">
        <v>380</v>
      </c>
      <c r="F1112" s="64" t="s">
        <v>2989</v>
      </c>
      <c r="G1112" s="64" t="s">
        <v>1859</v>
      </c>
    </row>
    <row r="1113" spans="1:7" x14ac:dyDescent="0.3">
      <c r="A1113" s="64" t="s">
        <v>2987</v>
      </c>
      <c r="B1113" s="64" t="s">
        <v>866</v>
      </c>
      <c r="C1113" s="64" t="s">
        <v>20</v>
      </c>
      <c r="D1113" s="64" t="s">
        <v>403</v>
      </c>
      <c r="E1113" s="64" t="s">
        <v>15</v>
      </c>
      <c r="F1113" s="64" t="s">
        <v>9280</v>
      </c>
      <c r="G1113" s="64">
        <v>0</v>
      </c>
    </row>
    <row r="1114" spans="1:7" x14ac:dyDescent="0.3">
      <c r="A1114" s="64" t="s">
        <v>2986</v>
      </c>
      <c r="B1114" s="64" t="s">
        <v>866</v>
      </c>
      <c r="C1114" s="64" t="s">
        <v>20</v>
      </c>
      <c r="D1114" s="64" t="s">
        <v>403</v>
      </c>
      <c r="E1114" s="64" t="s">
        <v>15</v>
      </c>
      <c r="F1114" s="64" t="s">
        <v>9281</v>
      </c>
      <c r="G1114" s="64">
        <v>0</v>
      </c>
    </row>
    <row r="1115" spans="1:7" x14ac:dyDescent="0.3">
      <c r="A1115" s="64" t="s">
        <v>2988</v>
      </c>
      <c r="B1115" s="64" t="s">
        <v>1909</v>
      </c>
      <c r="C1115" s="64" t="s">
        <v>20</v>
      </c>
      <c r="D1115" s="64" t="s">
        <v>16</v>
      </c>
      <c r="E1115" s="64" t="s">
        <v>15</v>
      </c>
      <c r="F1115" s="64" t="s">
        <v>9289</v>
      </c>
      <c r="G1115" s="64" t="s">
        <v>957</v>
      </c>
    </row>
    <row r="1116" spans="1:7" x14ac:dyDescent="0.3">
      <c r="A1116" s="64" t="s">
        <v>2988</v>
      </c>
      <c r="B1116" s="64" t="s">
        <v>1909</v>
      </c>
      <c r="C1116" s="64" t="s">
        <v>16</v>
      </c>
      <c r="D1116" s="64" t="s">
        <v>403</v>
      </c>
      <c r="E1116" s="64" t="s">
        <v>369</v>
      </c>
      <c r="F1116" s="64" t="s">
        <v>9289</v>
      </c>
      <c r="G1116" s="64" t="s">
        <v>1844</v>
      </c>
    </row>
    <row r="1117" spans="1:7" x14ac:dyDescent="0.3">
      <c r="A1117" s="64" t="s">
        <v>2988</v>
      </c>
      <c r="B1117" s="64" t="s">
        <v>1909</v>
      </c>
      <c r="C1117" s="64" t="s">
        <v>16</v>
      </c>
      <c r="D1117" s="64" t="s">
        <v>403</v>
      </c>
      <c r="E1117" s="64" t="s">
        <v>382</v>
      </c>
      <c r="F1117" s="64" t="s">
        <v>9289</v>
      </c>
      <c r="G1117" s="64" t="s">
        <v>1845</v>
      </c>
    </row>
    <row r="1118" spans="1:7" x14ac:dyDescent="0.3">
      <c r="A1118" s="64" t="s">
        <v>2988</v>
      </c>
      <c r="B1118" s="64" t="s">
        <v>1909</v>
      </c>
      <c r="C1118" s="64" t="s">
        <v>16</v>
      </c>
      <c r="D1118" s="64" t="s">
        <v>403</v>
      </c>
      <c r="E1118" s="64" t="s">
        <v>370</v>
      </c>
      <c r="F1118" s="64" t="s">
        <v>9289</v>
      </c>
      <c r="G1118" s="64" t="s">
        <v>1846</v>
      </c>
    </row>
    <row r="1119" spans="1:7" x14ac:dyDescent="0.3">
      <c r="A1119" s="64" t="s">
        <v>2988</v>
      </c>
      <c r="B1119" s="64" t="s">
        <v>1909</v>
      </c>
      <c r="C1119" s="64" t="s">
        <v>16</v>
      </c>
      <c r="D1119" s="64" t="s">
        <v>403</v>
      </c>
      <c r="E1119" s="64" t="s">
        <v>378</v>
      </c>
      <c r="F1119" s="64" t="s">
        <v>9289</v>
      </c>
      <c r="G1119" s="64" t="s">
        <v>1847</v>
      </c>
    </row>
    <row r="1120" spans="1:7" x14ac:dyDescent="0.3">
      <c r="A1120" s="64" t="s">
        <v>2988</v>
      </c>
      <c r="B1120" s="64" t="s">
        <v>1909</v>
      </c>
      <c r="C1120" s="64" t="s">
        <v>16</v>
      </c>
      <c r="D1120" s="64" t="s">
        <v>403</v>
      </c>
      <c r="E1120" s="64" t="s">
        <v>371</v>
      </c>
      <c r="F1120" s="64" t="s">
        <v>9289</v>
      </c>
      <c r="G1120" s="64" t="s">
        <v>1848</v>
      </c>
    </row>
    <row r="1121" spans="1:7" x14ac:dyDescent="0.3">
      <c r="A1121" s="64" t="s">
        <v>2988</v>
      </c>
      <c r="B1121" s="64" t="s">
        <v>1909</v>
      </c>
      <c r="C1121" s="64" t="s">
        <v>16</v>
      </c>
      <c r="D1121" s="64" t="s">
        <v>403</v>
      </c>
      <c r="E1121" s="64" t="s">
        <v>376</v>
      </c>
      <c r="F1121" s="64" t="s">
        <v>9289</v>
      </c>
      <c r="G1121" s="64" t="s">
        <v>1849</v>
      </c>
    </row>
    <row r="1122" spans="1:7" x14ac:dyDescent="0.3">
      <c r="A1122" s="64" t="s">
        <v>2988</v>
      </c>
      <c r="B1122" s="64" t="s">
        <v>1909</v>
      </c>
      <c r="C1122" s="64" t="s">
        <v>16</v>
      </c>
      <c r="D1122" s="64" t="s">
        <v>403</v>
      </c>
      <c r="E1122" s="64" t="s">
        <v>377</v>
      </c>
      <c r="F1122" s="64" t="s">
        <v>9289</v>
      </c>
      <c r="G1122" s="64" t="s">
        <v>1850</v>
      </c>
    </row>
    <row r="1123" spans="1:7" x14ac:dyDescent="0.3">
      <c r="A1123" s="64" t="s">
        <v>2988</v>
      </c>
      <c r="B1123" s="64" t="s">
        <v>1909</v>
      </c>
      <c r="C1123" s="64" t="s">
        <v>16</v>
      </c>
      <c r="D1123" s="64" t="s">
        <v>403</v>
      </c>
      <c r="E1123" s="64" t="s">
        <v>381</v>
      </c>
      <c r="F1123" s="64" t="s">
        <v>9289</v>
      </c>
      <c r="G1123" s="64" t="s">
        <v>1851</v>
      </c>
    </row>
    <row r="1124" spans="1:7" x14ac:dyDescent="0.3">
      <c r="A1124" s="64" t="s">
        <v>2988</v>
      </c>
      <c r="B1124" s="64" t="s">
        <v>1909</v>
      </c>
      <c r="C1124" s="64" t="s">
        <v>16</v>
      </c>
      <c r="D1124" s="64" t="s">
        <v>403</v>
      </c>
      <c r="E1124" s="64" t="s">
        <v>379</v>
      </c>
      <c r="F1124" s="64" t="s">
        <v>9289</v>
      </c>
      <c r="G1124" s="64" t="s">
        <v>1852</v>
      </c>
    </row>
    <row r="1125" spans="1:7" x14ac:dyDescent="0.3">
      <c r="A1125" s="64" t="s">
        <v>2988</v>
      </c>
      <c r="B1125" s="64" t="s">
        <v>1909</v>
      </c>
      <c r="C1125" s="64" t="s">
        <v>16</v>
      </c>
      <c r="D1125" s="64" t="s">
        <v>403</v>
      </c>
      <c r="E1125" s="64" t="s">
        <v>374</v>
      </c>
      <c r="F1125" s="64" t="s">
        <v>9289</v>
      </c>
      <c r="G1125" s="64" t="s">
        <v>1853</v>
      </c>
    </row>
    <row r="1126" spans="1:7" x14ac:dyDescent="0.3">
      <c r="A1126" s="64" t="s">
        <v>2988</v>
      </c>
      <c r="B1126" s="64" t="s">
        <v>1909</v>
      </c>
      <c r="C1126" s="64" t="s">
        <v>16</v>
      </c>
      <c r="D1126" s="64" t="s">
        <v>403</v>
      </c>
      <c r="E1126" s="64" t="s">
        <v>383</v>
      </c>
      <c r="F1126" s="64" t="s">
        <v>9289</v>
      </c>
      <c r="G1126" s="64" t="s">
        <v>1854</v>
      </c>
    </row>
    <row r="1127" spans="1:7" x14ac:dyDescent="0.3">
      <c r="A1127" s="64" t="s">
        <v>2988</v>
      </c>
      <c r="B1127" s="64" t="s">
        <v>1909</v>
      </c>
      <c r="C1127" s="64" t="s">
        <v>16</v>
      </c>
      <c r="D1127" s="64" t="s">
        <v>403</v>
      </c>
      <c r="E1127" s="64" t="s">
        <v>373</v>
      </c>
      <c r="F1127" s="64" t="s">
        <v>9289</v>
      </c>
      <c r="G1127" s="64" t="s">
        <v>1855</v>
      </c>
    </row>
    <row r="1128" spans="1:7" x14ac:dyDescent="0.3">
      <c r="A1128" s="64" t="s">
        <v>2988</v>
      </c>
      <c r="B1128" s="64" t="s">
        <v>1909</v>
      </c>
      <c r="C1128" s="64" t="s">
        <v>16</v>
      </c>
      <c r="D1128" s="64" t="s">
        <v>403</v>
      </c>
      <c r="E1128" s="64" t="s">
        <v>368</v>
      </c>
      <c r="F1128" s="64" t="s">
        <v>9289</v>
      </c>
      <c r="G1128" s="64" t="s">
        <v>1856</v>
      </c>
    </row>
    <row r="1129" spans="1:7" x14ac:dyDescent="0.3">
      <c r="A1129" s="64" t="s">
        <v>2988</v>
      </c>
      <c r="B1129" s="64" t="s">
        <v>1909</v>
      </c>
      <c r="C1129" s="64" t="s">
        <v>16</v>
      </c>
      <c r="D1129" s="64" t="s">
        <v>403</v>
      </c>
      <c r="E1129" s="64" t="s">
        <v>372</v>
      </c>
      <c r="F1129" s="64" t="s">
        <v>9289</v>
      </c>
      <c r="G1129" s="64" t="s">
        <v>1857</v>
      </c>
    </row>
    <row r="1130" spans="1:7" x14ac:dyDescent="0.3">
      <c r="A1130" s="64" t="s">
        <v>2988</v>
      </c>
      <c r="B1130" s="64" t="s">
        <v>1909</v>
      </c>
      <c r="C1130" s="64" t="s">
        <v>16</v>
      </c>
      <c r="D1130" s="64" t="s">
        <v>403</v>
      </c>
      <c r="E1130" s="64" t="s">
        <v>375</v>
      </c>
      <c r="F1130" s="64" t="s">
        <v>9289</v>
      </c>
      <c r="G1130" s="64" t="s">
        <v>1858</v>
      </c>
    </row>
    <row r="1131" spans="1:7" x14ac:dyDescent="0.3">
      <c r="A1131" s="64" t="s">
        <v>2988</v>
      </c>
      <c r="B1131" s="64" t="s">
        <v>1909</v>
      </c>
      <c r="C1131" s="64" t="s">
        <v>16</v>
      </c>
      <c r="D1131" s="64" t="s">
        <v>403</v>
      </c>
      <c r="E1131" s="64" t="s">
        <v>380</v>
      </c>
      <c r="F1131" s="64" t="s">
        <v>9289</v>
      </c>
      <c r="G1131" s="64" t="s">
        <v>1859</v>
      </c>
    </row>
    <row r="1132" spans="1:7" x14ac:dyDescent="0.3">
      <c r="A1132" s="64" t="s">
        <v>2310</v>
      </c>
      <c r="B1132" s="64" t="s">
        <v>2991</v>
      </c>
      <c r="C1132" s="64" t="s">
        <v>20</v>
      </c>
      <c r="D1132" s="64" t="s">
        <v>16</v>
      </c>
      <c r="E1132" s="64" t="s">
        <v>15</v>
      </c>
      <c r="F1132" s="64" t="s">
        <v>9283</v>
      </c>
      <c r="G1132" s="64" t="s">
        <v>957</v>
      </c>
    </row>
    <row r="1133" spans="1:7" x14ac:dyDescent="0.3">
      <c r="A1133" s="64" t="s">
        <v>2310</v>
      </c>
      <c r="B1133" s="64" t="s">
        <v>2991</v>
      </c>
      <c r="C1133" s="64" t="s">
        <v>20</v>
      </c>
      <c r="D1133" s="64" t="s">
        <v>403</v>
      </c>
      <c r="E1133" s="64" t="s">
        <v>15</v>
      </c>
      <c r="F1133" s="64" t="s">
        <v>9282</v>
      </c>
      <c r="G1133" s="64">
        <v>0</v>
      </c>
    </row>
    <row r="1134" spans="1:7" x14ac:dyDescent="0.3">
      <c r="A1134" s="64" t="s">
        <v>2310</v>
      </c>
      <c r="B1134" s="64" t="s">
        <v>2991</v>
      </c>
      <c r="C1134" s="64" t="s">
        <v>20</v>
      </c>
      <c r="D1134" s="64" t="s">
        <v>403</v>
      </c>
      <c r="E1134" s="64" t="s">
        <v>15</v>
      </c>
      <c r="F1134" s="64" t="s">
        <v>9283</v>
      </c>
      <c r="G1134" s="64" t="s">
        <v>805</v>
      </c>
    </row>
    <row r="1135" spans="1:7" x14ac:dyDescent="0.3">
      <c r="A1135" s="64" t="s">
        <v>2310</v>
      </c>
      <c r="B1135" s="64" t="s">
        <v>2991</v>
      </c>
      <c r="C1135" s="64" t="s">
        <v>16</v>
      </c>
      <c r="D1135" s="64" t="s">
        <v>403</v>
      </c>
      <c r="E1135" s="64" t="s">
        <v>369</v>
      </c>
      <c r="F1135" s="64" t="s">
        <v>9283</v>
      </c>
      <c r="G1135" s="64" t="s">
        <v>1844</v>
      </c>
    </row>
    <row r="1136" spans="1:7" x14ac:dyDescent="0.3">
      <c r="A1136" s="64" t="s">
        <v>2310</v>
      </c>
      <c r="B1136" s="64" t="s">
        <v>2991</v>
      </c>
      <c r="C1136" s="64" t="s">
        <v>16</v>
      </c>
      <c r="D1136" s="64" t="s">
        <v>403</v>
      </c>
      <c r="E1136" s="64" t="s">
        <v>382</v>
      </c>
      <c r="F1136" s="64" t="s">
        <v>9283</v>
      </c>
      <c r="G1136" s="64" t="s">
        <v>1845</v>
      </c>
    </row>
    <row r="1137" spans="1:7" x14ac:dyDescent="0.3">
      <c r="A1137" s="64" t="s">
        <v>2310</v>
      </c>
      <c r="B1137" s="64" t="s">
        <v>2991</v>
      </c>
      <c r="C1137" s="64" t="s">
        <v>16</v>
      </c>
      <c r="D1137" s="64" t="s">
        <v>403</v>
      </c>
      <c r="E1137" s="64" t="s">
        <v>370</v>
      </c>
      <c r="F1137" s="64" t="s">
        <v>9283</v>
      </c>
      <c r="G1137" s="64" t="s">
        <v>1846</v>
      </c>
    </row>
    <row r="1138" spans="1:7" x14ac:dyDescent="0.3">
      <c r="A1138" s="64" t="s">
        <v>2310</v>
      </c>
      <c r="B1138" s="64" t="s">
        <v>2991</v>
      </c>
      <c r="C1138" s="64" t="s">
        <v>16</v>
      </c>
      <c r="D1138" s="64" t="s">
        <v>403</v>
      </c>
      <c r="E1138" s="64" t="s">
        <v>378</v>
      </c>
      <c r="F1138" s="64" t="s">
        <v>9283</v>
      </c>
      <c r="G1138" s="64" t="s">
        <v>1847</v>
      </c>
    </row>
    <row r="1139" spans="1:7" x14ac:dyDescent="0.3">
      <c r="A1139" s="64" t="s">
        <v>2310</v>
      </c>
      <c r="B1139" s="64" t="s">
        <v>2991</v>
      </c>
      <c r="C1139" s="64" t="s">
        <v>16</v>
      </c>
      <c r="D1139" s="64" t="s">
        <v>403</v>
      </c>
      <c r="E1139" s="64" t="s">
        <v>371</v>
      </c>
      <c r="F1139" s="64" t="s">
        <v>9283</v>
      </c>
      <c r="G1139" s="64" t="s">
        <v>1848</v>
      </c>
    </row>
    <row r="1140" spans="1:7" x14ac:dyDescent="0.3">
      <c r="A1140" s="64" t="s">
        <v>2310</v>
      </c>
      <c r="B1140" s="64" t="s">
        <v>2991</v>
      </c>
      <c r="C1140" s="64" t="s">
        <v>16</v>
      </c>
      <c r="D1140" s="64" t="s">
        <v>403</v>
      </c>
      <c r="E1140" s="64" t="s">
        <v>376</v>
      </c>
      <c r="F1140" s="64" t="s">
        <v>9283</v>
      </c>
      <c r="G1140" s="64" t="s">
        <v>1849</v>
      </c>
    </row>
    <row r="1141" spans="1:7" x14ac:dyDescent="0.3">
      <c r="A1141" s="64" t="s">
        <v>2310</v>
      </c>
      <c r="B1141" s="64" t="s">
        <v>2991</v>
      </c>
      <c r="C1141" s="64" t="s">
        <v>16</v>
      </c>
      <c r="D1141" s="64" t="s">
        <v>403</v>
      </c>
      <c r="E1141" s="64" t="s">
        <v>377</v>
      </c>
      <c r="F1141" s="64" t="s">
        <v>9283</v>
      </c>
      <c r="G1141" s="64" t="s">
        <v>1850</v>
      </c>
    </row>
    <row r="1142" spans="1:7" x14ac:dyDescent="0.3">
      <c r="A1142" s="64" t="s">
        <v>2310</v>
      </c>
      <c r="B1142" s="64" t="s">
        <v>2991</v>
      </c>
      <c r="C1142" s="64" t="s">
        <v>16</v>
      </c>
      <c r="D1142" s="64" t="s">
        <v>403</v>
      </c>
      <c r="E1142" s="64" t="s">
        <v>381</v>
      </c>
      <c r="F1142" s="64" t="s">
        <v>9283</v>
      </c>
      <c r="G1142" s="64" t="s">
        <v>1851</v>
      </c>
    </row>
    <row r="1143" spans="1:7" x14ac:dyDescent="0.3">
      <c r="A1143" s="64" t="s">
        <v>2310</v>
      </c>
      <c r="B1143" s="64" t="s">
        <v>2991</v>
      </c>
      <c r="C1143" s="64" t="s">
        <v>16</v>
      </c>
      <c r="D1143" s="64" t="s">
        <v>403</v>
      </c>
      <c r="E1143" s="64" t="s">
        <v>379</v>
      </c>
      <c r="F1143" s="64" t="s">
        <v>9283</v>
      </c>
      <c r="G1143" s="64" t="s">
        <v>1852</v>
      </c>
    </row>
    <row r="1144" spans="1:7" x14ac:dyDescent="0.3">
      <c r="A1144" s="64" t="s">
        <v>2310</v>
      </c>
      <c r="B1144" s="64" t="s">
        <v>2991</v>
      </c>
      <c r="C1144" s="64" t="s">
        <v>16</v>
      </c>
      <c r="D1144" s="64" t="s">
        <v>403</v>
      </c>
      <c r="E1144" s="64" t="s">
        <v>374</v>
      </c>
      <c r="F1144" s="64" t="s">
        <v>9283</v>
      </c>
      <c r="G1144" s="64" t="s">
        <v>1853</v>
      </c>
    </row>
    <row r="1145" spans="1:7" x14ac:dyDescent="0.3">
      <c r="A1145" s="64" t="s">
        <v>2310</v>
      </c>
      <c r="B1145" s="64" t="s">
        <v>2991</v>
      </c>
      <c r="C1145" s="64" t="s">
        <v>16</v>
      </c>
      <c r="D1145" s="64" t="s">
        <v>403</v>
      </c>
      <c r="E1145" s="64" t="s">
        <v>383</v>
      </c>
      <c r="F1145" s="64" t="s">
        <v>9283</v>
      </c>
      <c r="G1145" s="64" t="s">
        <v>1854</v>
      </c>
    </row>
    <row r="1146" spans="1:7" x14ac:dyDescent="0.3">
      <c r="A1146" s="64" t="s">
        <v>2310</v>
      </c>
      <c r="B1146" s="64" t="s">
        <v>2991</v>
      </c>
      <c r="C1146" s="64" t="s">
        <v>16</v>
      </c>
      <c r="D1146" s="64" t="s">
        <v>403</v>
      </c>
      <c r="E1146" s="64" t="s">
        <v>373</v>
      </c>
      <c r="F1146" s="64" t="s">
        <v>9283</v>
      </c>
      <c r="G1146" s="64" t="s">
        <v>1855</v>
      </c>
    </row>
    <row r="1147" spans="1:7" x14ac:dyDescent="0.3">
      <c r="A1147" s="64" t="s">
        <v>2310</v>
      </c>
      <c r="B1147" s="64" t="s">
        <v>2991</v>
      </c>
      <c r="C1147" s="64" t="s">
        <v>16</v>
      </c>
      <c r="D1147" s="64" t="s">
        <v>403</v>
      </c>
      <c r="E1147" s="64" t="s">
        <v>368</v>
      </c>
      <c r="F1147" s="64" t="s">
        <v>9283</v>
      </c>
      <c r="G1147" s="64" t="s">
        <v>1856</v>
      </c>
    </row>
    <row r="1148" spans="1:7" x14ac:dyDescent="0.3">
      <c r="A1148" s="64" t="s">
        <v>2310</v>
      </c>
      <c r="B1148" s="64" t="s">
        <v>2991</v>
      </c>
      <c r="C1148" s="64" t="s">
        <v>16</v>
      </c>
      <c r="D1148" s="64" t="s">
        <v>403</v>
      </c>
      <c r="E1148" s="64" t="s">
        <v>372</v>
      </c>
      <c r="F1148" s="64" t="s">
        <v>9283</v>
      </c>
      <c r="G1148" s="64" t="s">
        <v>1857</v>
      </c>
    </row>
    <row r="1149" spans="1:7" x14ac:dyDescent="0.3">
      <c r="A1149" s="64" t="s">
        <v>2310</v>
      </c>
      <c r="B1149" s="64" t="s">
        <v>2991</v>
      </c>
      <c r="C1149" s="64" t="s">
        <v>16</v>
      </c>
      <c r="D1149" s="64" t="s">
        <v>403</v>
      </c>
      <c r="E1149" s="64" t="s">
        <v>375</v>
      </c>
      <c r="F1149" s="64" t="s">
        <v>9283</v>
      </c>
      <c r="G1149" s="64" t="s">
        <v>1858</v>
      </c>
    </row>
    <row r="1150" spans="1:7" x14ac:dyDescent="0.3">
      <c r="A1150" s="64" t="s">
        <v>2310</v>
      </c>
      <c r="B1150" s="64" t="s">
        <v>2991</v>
      </c>
      <c r="C1150" s="64" t="s">
        <v>16</v>
      </c>
      <c r="D1150" s="64" t="s">
        <v>403</v>
      </c>
      <c r="E1150" s="64" t="s">
        <v>380</v>
      </c>
      <c r="F1150" s="64" t="s">
        <v>9283</v>
      </c>
      <c r="G1150" s="64" t="s">
        <v>1859</v>
      </c>
    </row>
    <row r="1151" spans="1:7" x14ac:dyDescent="0.3">
      <c r="A1151" s="64" t="s">
        <v>3606</v>
      </c>
      <c r="B1151" s="64" t="s">
        <v>4290</v>
      </c>
      <c r="C1151" s="64" t="s">
        <v>20</v>
      </c>
      <c r="D1151" s="64" t="s">
        <v>956</v>
      </c>
      <c r="E1151" s="64" t="s">
        <v>15</v>
      </c>
      <c r="F1151" s="64" t="s">
        <v>9299</v>
      </c>
      <c r="G1151" s="64" t="s">
        <v>957</v>
      </c>
    </row>
    <row r="1152" spans="1:7" x14ac:dyDescent="0.3">
      <c r="A1152" s="64" t="s">
        <v>3606</v>
      </c>
      <c r="B1152" s="64" t="s">
        <v>4290</v>
      </c>
      <c r="C1152" s="64" t="s">
        <v>16</v>
      </c>
      <c r="D1152" s="64" t="s">
        <v>18</v>
      </c>
      <c r="E1152" s="64" t="s">
        <v>369</v>
      </c>
      <c r="F1152" s="64" t="s">
        <v>9299</v>
      </c>
      <c r="G1152" s="64" t="s">
        <v>1844</v>
      </c>
    </row>
    <row r="1153" spans="1:7" x14ac:dyDescent="0.3">
      <c r="A1153" s="64" t="s">
        <v>3606</v>
      </c>
      <c r="B1153" s="64" t="s">
        <v>4290</v>
      </c>
      <c r="C1153" s="64" t="s">
        <v>16</v>
      </c>
      <c r="D1153" s="64" t="s">
        <v>18</v>
      </c>
      <c r="E1153" s="64" t="s">
        <v>382</v>
      </c>
      <c r="F1153" s="64" t="s">
        <v>9299</v>
      </c>
      <c r="G1153" s="64" t="s">
        <v>1845</v>
      </c>
    </row>
    <row r="1154" spans="1:7" x14ac:dyDescent="0.3">
      <c r="A1154" s="64" t="s">
        <v>3606</v>
      </c>
      <c r="B1154" s="64" t="s">
        <v>4290</v>
      </c>
      <c r="C1154" s="64" t="s">
        <v>16</v>
      </c>
      <c r="D1154" s="64" t="s">
        <v>18</v>
      </c>
      <c r="E1154" s="64" t="s">
        <v>370</v>
      </c>
      <c r="F1154" s="64" t="s">
        <v>9299</v>
      </c>
      <c r="G1154" s="64" t="s">
        <v>1846</v>
      </c>
    </row>
    <row r="1155" spans="1:7" x14ac:dyDescent="0.3">
      <c r="A1155" s="64" t="s">
        <v>3606</v>
      </c>
      <c r="B1155" s="64" t="s">
        <v>4290</v>
      </c>
      <c r="C1155" s="64" t="s">
        <v>16</v>
      </c>
      <c r="D1155" s="64" t="s">
        <v>18</v>
      </c>
      <c r="E1155" s="64" t="s">
        <v>371</v>
      </c>
      <c r="F1155" s="64" t="s">
        <v>9299</v>
      </c>
      <c r="G1155" s="64" t="s">
        <v>1848</v>
      </c>
    </row>
    <row r="1156" spans="1:7" x14ac:dyDescent="0.3">
      <c r="A1156" s="64" t="s">
        <v>3606</v>
      </c>
      <c r="B1156" s="64" t="s">
        <v>4290</v>
      </c>
      <c r="C1156" s="64" t="s">
        <v>16</v>
      </c>
      <c r="D1156" s="64" t="s">
        <v>18</v>
      </c>
      <c r="E1156" s="64" t="s">
        <v>376</v>
      </c>
      <c r="F1156" s="64" t="s">
        <v>9299</v>
      </c>
      <c r="G1156" s="64" t="s">
        <v>1849</v>
      </c>
    </row>
    <row r="1157" spans="1:7" x14ac:dyDescent="0.3">
      <c r="A1157" s="64" t="s">
        <v>3606</v>
      </c>
      <c r="B1157" s="64" t="s">
        <v>4290</v>
      </c>
      <c r="C1157" s="64" t="s">
        <v>16</v>
      </c>
      <c r="D1157" s="64" t="s">
        <v>18</v>
      </c>
      <c r="E1157" s="64" t="s">
        <v>377</v>
      </c>
      <c r="F1157" s="64" t="s">
        <v>9299</v>
      </c>
      <c r="G1157" s="64" t="s">
        <v>1850</v>
      </c>
    </row>
    <row r="1158" spans="1:7" x14ac:dyDescent="0.3">
      <c r="A1158" s="64" t="s">
        <v>3606</v>
      </c>
      <c r="B1158" s="64" t="s">
        <v>4290</v>
      </c>
      <c r="C1158" s="64" t="s">
        <v>16</v>
      </c>
      <c r="D1158" s="64" t="s">
        <v>18</v>
      </c>
      <c r="E1158" s="64" t="s">
        <v>381</v>
      </c>
      <c r="F1158" s="64" t="s">
        <v>9299</v>
      </c>
      <c r="G1158" s="64" t="s">
        <v>1851</v>
      </c>
    </row>
    <row r="1159" spans="1:7" x14ac:dyDescent="0.3">
      <c r="A1159" s="64" t="s">
        <v>3606</v>
      </c>
      <c r="B1159" s="64" t="s">
        <v>4290</v>
      </c>
      <c r="C1159" s="64" t="s">
        <v>16</v>
      </c>
      <c r="D1159" s="64" t="s">
        <v>18</v>
      </c>
      <c r="E1159" s="64" t="s">
        <v>379</v>
      </c>
      <c r="F1159" s="64" t="s">
        <v>9299</v>
      </c>
      <c r="G1159" s="64" t="s">
        <v>1852</v>
      </c>
    </row>
    <row r="1160" spans="1:7" x14ac:dyDescent="0.3">
      <c r="A1160" s="64" t="s">
        <v>3606</v>
      </c>
      <c r="B1160" s="64" t="s">
        <v>4290</v>
      </c>
      <c r="C1160" s="64" t="s">
        <v>16</v>
      </c>
      <c r="D1160" s="64" t="s">
        <v>18</v>
      </c>
      <c r="E1160" s="64" t="s">
        <v>374</v>
      </c>
      <c r="F1160" s="64" t="s">
        <v>9299</v>
      </c>
      <c r="G1160" s="64" t="s">
        <v>1853</v>
      </c>
    </row>
    <row r="1161" spans="1:7" x14ac:dyDescent="0.3">
      <c r="A1161" s="64" t="s">
        <v>3606</v>
      </c>
      <c r="B1161" s="64" t="s">
        <v>4290</v>
      </c>
      <c r="C1161" s="64" t="s">
        <v>16</v>
      </c>
      <c r="D1161" s="64" t="s">
        <v>18</v>
      </c>
      <c r="E1161" s="64" t="s">
        <v>383</v>
      </c>
      <c r="F1161" s="64" t="s">
        <v>9299</v>
      </c>
      <c r="G1161" s="64" t="s">
        <v>1854</v>
      </c>
    </row>
    <row r="1162" spans="1:7" x14ac:dyDescent="0.3">
      <c r="A1162" s="64" t="s">
        <v>3606</v>
      </c>
      <c r="B1162" s="64" t="s">
        <v>4290</v>
      </c>
      <c r="C1162" s="64" t="s">
        <v>16</v>
      </c>
      <c r="D1162" s="64" t="s">
        <v>18</v>
      </c>
      <c r="E1162" s="64" t="s">
        <v>373</v>
      </c>
      <c r="F1162" s="64" t="s">
        <v>9299</v>
      </c>
      <c r="G1162" s="64" t="s">
        <v>1855</v>
      </c>
    </row>
    <row r="1163" spans="1:7" x14ac:dyDescent="0.3">
      <c r="A1163" s="64" t="s">
        <v>3606</v>
      </c>
      <c r="B1163" s="64" t="s">
        <v>4290</v>
      </c>
      <c r="C1163" s="64" t="s">
        <v>16</v>
      </c>
      <c r="D1163" s="64" t="s">
        <v>18</v>
      </c>
      <c r="E1163" s="64" t="s">
        <v>368</v>
      </c>
      <c r="F1163" s="64" t="s">
        <v>9299</v>
      </c>
      <c r="G1163" s="64" t="s">
        <v>1856</v>
      </c>
    </row>
    <row r="1164" spans="1:7" x14ac:dyDescent="0.3">
      <c r="A1164" s="64" t="s">
        <v>3606</v>
      </c>
      <c r="B1164" s="64" t="s">
        <v>4290</v>
      </c>
      <c r="C1164" s="64" t="s">
        <v>16</v>
      </c>
      <c r="D1164" s="64" t="s">
        <v>18</v>
      </c>
      <c r="E1164" s="64" t="s">
        <v>372</v>
      </c>
      <c r="F1164" s="64" t="s">
        <v>9299</v>
      </c>
      <c r="G1164" s="64" t="s">
        <v>1857</v>
      </c>
    </row>
    <row r="1165" spans="1:7" x14ac:dyDescent="0.3">
      <c r="A1165" s="64" t="s">
        <v>3606</v>
      </c>
      <c r="B1165" s="64" t="s">
        <v>4290</v>
      </c>
      <c r="C1165" s="64" t="s">
        <v>16</v>
      </c>
      <c r="D1165" s="64" t="s">
        <v>18</v>
      </c>
      <c r="E1165" s="64" t="s">
        <v>375</v>
      </c>
      <c r="F1165" s="64" t="s">
        <v>9299</v>
      </c>
      <c r="G1165" s="64" t="s">
        <v>1858</v>
      </c>
    </row>
    <row r="1166" spans="1:7" x14ac:dyDescent="0.3">
      <c r="A1166" s="64" t="s">
        <v>3606</v>
      </c>
      <c r="B1166" s="64" t="s">
        <v>4290</v>
      </c>
      <c r="C1166" s="64" t="s">
        <v>16</v>
      </c>
      <c r="D1166" s="64" t="s">
        <v>18</v>
      </c>
      <c r="E1166" s="64" t="s">
        <v>380</v>
      </c>
      <c r="F1166" s="64" t="s">
        <v>9299</v>
      </c>
      <c r="G1166" s="64" t="s">
        <v>1859</v>
      </c>
    </row>
    <row r="1167" spans="1:7" x14ac:dyDescent="0.3">
      <c r="A1167" s="64" t="s">
        <v>4288</v>
      </c>
      <c r="B1167" s="64" t="s">
        <v>1879</v>
      </c>
      <c r="C1167" s="64" t="s">
        <v>20</v>
      </c>
      <c r="D1167" s="64" t="s">
        <v>16</v>
      </c>
      <c r="E1167" s="64" t="s">
        <v>15</v>
      </c>
      <c r="F1167" s="64" t="s">
        <v>9274</v>
      </c>
      <c r="G1167" s="64" t="s">
        <v>957</v>
      </c>
    </row>
    <row r="1168" spans="1:7" x14ac:dyDescent="0.3">
      <c r="A1168" s="64" t="s">
        <v>4288</v>
      </c>
      <c r="B1168" s="64" t="s">
        <v>1879</v>
      </c>
      <c r="C1168" s="64" t="s">
        <v>16</v>
      </c>
      <c r="D1168" s="64" t="s">
        <v>18</v>
      </c>
      <c r="E1168" s="64" t="s">
        <v>369</v>
      </c>
      <c r="F1168" s="64" t="s">
        <v>9274</v>
      </c>
      <c r="G1168" s="64" t="s">
        <v>1844</v>
      </c>
    </row>
    <row r="1169" spans="1:7" x14ac:dyDescent="0.3">
      <c r="A1169" s="64" t="s">
        <v>4288</v>
      </c>
      <c r="B1169" s="64" t="s">
        <v>1879</v>
      </c>
      <c r="C1169" s="64" t="s">
        <v>16</v>
      </c>
      <c r="D1169" s="64" t="s">
        <v>18</v>
      </c>
      <c r="E1169" s="64" t="s">
        <v>382</v>
      </c>
      <c r="F1169" s="64" t="s">
        <v>9274</v>
      </c>
      <c r="G1169" s="64" t="s">
        <v>1845</v>
      </c>
    </row>
    <row r="1170" spans="1:7" x14ac:dyDescent="0.3">
      <c r="A1170" s="64" t="s">
        <v>4288</v>
      </c>
      <c r="B1170" s="64" t="s">
        <v>1879</v>
      </c>
      <c r="C1170" s="64" t="s">
        <v>16</v>
      </c>
      <c r="D1170" s="64" t="s">
        <v>18</v>
      </c>
      <c r="E1170" s="64" t="s">
        <v>370</v>
      </c>
      <c r="F1170" s="64" t="s">
        <v>9274</v>
      </c>
      <c r="G1170" s="64" t="s">
        <v>1846</v>
      </c>
    </row>
    <row r="1171" spans="1:7" x14ac:dyDescent="0.3">
      <c r="A1171" s="64" t="s">
        <v>4288</v>
      </c>
      <c r="B1171" s="64" t="s">
        <v>1879</v>
      </c>
      <c r="C1171" s="64" t="s">
        <v>16</v>
      </c>
      <c r="D1171" s="64" t="s">
        <v>18</v>
      </c>
      <c r="E1171" s="64" t="s">
        <v>378</v>
      </c>
      <c r="F1171" s="64" t="s">
        <v>9274</v>
      </c>
      <c r="G1171" s="64" t="s">
        <v>1847</v>
      </c>
    </row>
    <row r="1172" spans="1:7" x14ac:dyDescent="0.3">
      <c r="A1172" s="64" t="s">
        <v>4288</v>
      </c>
      <c r="B1172" s="64" t="s">
        <v>1879</v>
      </c>
      <c r="C1172" s="64" t="s">
        <v>16</v>
      </c>
      <c r="D1172" s="64" t="s">
        <v>18</v>
      </c>
      <c r="E1172" s="64" t="s">
        <v>371</v>
      </c>
      <c r="F1172" s="64" t="s">
        <v>9274</v>
      </c>
      <c r="G1172" s="64" t="s">
        <v>1848</v>
      </c>
    </row>
    <row r="1173" spans="1:7" x14ac:dyDescent="0.3">
      <c r="A1173" s="64" t="s">
        <v>4288</v>
      </c>
      <c r="B1173" s="64" t="s">
        <v>1879</v>
      </c>
      <c r="C1173" s="64" t="s">
        <v>16</v>
      </c>
      <c r="D1173" s="64" t="s">
        <v>18</v>
      </c>
      <c r="E1173" s="64" t="s">
        <v>376</v>
      </c>
      <c r="F1173" s="64" t="s">
        <v>9274</v>
      </c>
      <c r="G1173" s="64" t="s">
        <v>1849</v>
      </c>
    </row>
    <row r="1174" spans="1:7" x14ac:dyDescent="0.3">
      <c r="A1174" s="64" t="s">
        <v>4288</v>
      </c>
      <c r="B1174" s="64" t="s">
        <v>1879</v>
      </c>
      <c r="C1174" s="64" t="s">
        <v>16</v>
      </c>
      <c r="D1174" s="64" t="s">
        <v>18</v>
      </c>
      <c r="E1174" s="64" t="s">
        <v>377</v>
      </c>
      <c r="F1174" s="64" t="s">
        <v>9274</v>
      </c>
      <c r="G1174" s="64" t="s">
        <v>1850</v>
      </c>
    </row>
    <row r="1175" spans="1:7" x14ac:dyDescent="0.3">
      <c r="A1175" s="64" t="s">
        <v>4288</v>
      </c>
      <c r="B1175" s="64" t="s">
        <v>1879</v>
      </c>
      <c r="C1175" s="64" t="s">
        <v>16</v>
      </c>
      <c r="D1175" s="64" t="s">
        <v>18</v>
      </c>
      <c r="E1175" s="64" t="s">
        <v>381</v>
      </c>
      <c r="F1175" s="64" t="s">
        <v>9274</v>
      </c>
      <c r="G1175" s="64" t="s">
        <v>1851</v>
      </c>
    </row>
    <row r="1176" spans="1:7" x14ac:dyDescent="0.3">
      <c r="A1176" s="64" t="s">
        <v>4288</v>
      </c>
      <c r="B1176" s="64" t="s">
        <v>1879</v>
      </c>
      <c r="C1176" s="64" t="s">
        <v>16</v>
      </c>
      <c r="D1176" s="64" t="s">
        <v>18</v>
      </c>
      <c r="E1176" s="64" t="s">
        <v>379</v>
      </c>
      <c r="F1176" s="64" t="s">
        <v>9274</v>
      </c>
      <c r="G1176" s="64" t="s">
        <v>1852</v>
      </c>
    </row>
    <row r="1177" spans="1:7" x14ac:dyDescent="0.3">
      <c r="A1177" s="64" t="s">
        <v>4288</v>
      </c>
      <c r="B1177" s="64" t="s">
        <v>1879</v>
      </c>
      <c r="C1177" s="64" t="s">
        <v>16</v>
      </c>
      <c r="D1177" s="64" t="s">
        <v>18</v>
      </c>
      <c r="E1177" s="64" t="s">
        <v>374</v>
      </c>
      <c r="F1177" s="64" t="s">
        <v>9274</v>
      </c>
      <c r="G1177" s="64" t="s">
        <v>1853</v>
      </c>
    </row>
    <row r="1178" spans="1:7" x14ac:dyDescent="0.3">
      <c r="A1178" s="64" t="s">
        <v>4288</v>
      </c>
      <c r="B1178" s="64" t="s">
        <v>1879</v>
      </c>
      <c r="C1178" s="64" t="s">
        <v>16</v>
      </c>
      <c r="D1178" s="64" t="s">
        <v>18</v>
      </c>
      <c r="E1178" s="64" t="s">
        <v>383</v>
      </c>
      <c r="F1178" s="64" t="s">
        <v>9274</v>
      </c>
      <c r="G1178" s="64" t="s">
        <v>1854</v>
      </c>
    </row>
    <row r="1179" spans="1:7" x14ac:dyDescent="0.3">
      <c r="A1179" s="64" t="s">
        <v>4288</v>
      </c>
      <c r="B1179" s="64" t="s">
        <v>1879</v>
      </c>
      <c r="C1179" s="64" t="s">
        <v>16</v>
      </c>
      <c r="D1179" s="64" t="s">
        <v>18</v>
      </c>
      <c r="E1179" s="64" t="s">
        <v>373</v>
      </c>
      <c r="F1179" s="64" t="s">
        <v>9274</v>
      </c>
      <c r="G1179" s="64" t="s">
        <v>1855</v>
      </c>
    </row>
    <row r="1180" spans="1:7" x14ac:dyDescent="0.3">
      <c r="A1180" s="64" t="s">
        <v>4288</v>
      </c>
      <c r="B1180" s="64" t="s">
        <v>1879</v>
      </c>
      <c r="C1180" s="64" t="s">
        <v>16</v>
      </c>
      <c r="D1180" s="64" t="s">
        <v>18</v>
      </c>
      <c r="E1180" s="64" t="s">
        <v>368</v>
      </c>
      <c r="F1180" s="64" t="s">
        <v>9274</v>
      </c>
      <c r="G1180" s="64" t="s">
        <v>1856</v>
      </c>
    </row>
    <row r="1181" spans="1:7" x14ac:dyDescent="0.3">
      <c r="A1181" s="64" t="s">
        <v>4288</v>
      </c>
      <c r="B1181" s="64" t="s">
        <v>1879</v>
      </c>
      <c r="C1181" s="64" t="s">
        <v>16</v>
      </c>
      <c r="D1181" s="64" t="s">
        <v>18</v>
      </c>
      <c r="E1181" s="64" t="s">
        <v>372</v>
      </c>
      <c r="F1181" s="64" t="s">
        <v>9274</v>
      </c>
      <c r="G1181" s="64" t="s">
        <v>1857</v>
      </c>
    </row>
    <row r="1182" spans="1:7" x14ac:dyDescent="0.3">
      <c r="A1182" s="64" t="s">
        <v>4288</v>
      </c>
      <c r="B1182" s="64" t="s">
        <v>1879</v>
      </c>
      <c r="C1182" s="64" t="s">
        <v>16</v>
      </c>
      <c r="D1182" s="64" t="s">
        <v>18</v>
      </c>
      <c r="E1182" s="64" t="s">
        <v>375</v>
      </c>
      <c r="F1182" s="64" t="s">
        <v>9274</v>
      </c>
      <c r="G1182" s="64" t="s">
        <v>1858</v>
      </c>
    </row>
    <row r="1183" spans="1:7" x14ac:dyDescent="0.3">
      <c r="A1183" s="64" t="s">
        <v>4288</v>
      </c>
      <c r="B1183" s="64" t="s">
        <v>1879</v>
      </c>
      <c r="C1183" s="64" t="s">
        <v>16</v>
      </c>
      <c r="D1183" s="64" t="s">
        <v>18</v>
      </c>
      <c r="E1183" s="64" t="s">
        <v>380</v>
      </c>
      <c r="F1183" s="64" t="s">
        <v>9274</v>
      </c>
      <c r="G1183" s="64" t="s">
        <v>1859</v>
      </c>
    </row>
    <row r="1184" spans="1:7" x14ac:dyDescent="0.3">
      <c r="A1184" s="64" t="s">
        <v>3607</v>
      </c>
      <c r="B1184" s="64" t="s">
        <v>4290</v>
      </c>
      <c r="C1184" s="64" t="s">
        <v>20</v>
      </c>
      <c r="D1184" s="64" t="s">
        <v>16</v>
      </c>
      <c r="E1184" s="64" t="s">
        <v>15</v>
      </c>
      <c r="F1184" s="64" t="s">
        <v>1425</v>
      </c>
      <c r="G1184" s="64" t="s">
        <v>805</v>
      </c>
    </row>
    <row r="1185" spans="1:7" x14ac:dyDescent="0.3">
      <c r="A1185" s="64" t="s">
        <v>3607</v>
      </c>
      <c r="B1185" s="64" t="s">
        <v>4290</v>
      </c>
      <c r="C1185" s="64" t="s">
        <v>16</v>
      </c>
      <c r="D1185" s="64" t="s">
        <v>403</v>
      </c>
      <c r="E1185" s="64" t="s">
        <v>369</v>
      </c>
      <c r="F1185" s="64" t="s">
        <v>1425</v>
      </c>
      <c r="G1185" s="64" t="s">
        <v>1860</v>
      </c>
    </row>
    <row r="1186" spans="1:7" x14ac:dyDescent="0.3">
      <c r="A1186" s="64" t="s">
        <v>3607</v>
      </c>
      <c r="B1186" s="64" t="s">
        <v>4290</v>
      </c>
      <c r="C1186" s="64" t="s">
        <v>16</v>
      </c>
      <c r="D1186" s="64" t="s">
        <v>403</v>
      </c>
      <c r="E1186" s="64" t="s">
        <v>382</v>
      </c>
      <c r="F1186" s="64" t="s">
        <v>1425</v>
      </c>
      <c r="G1186" s="64" t="s">
        <v>1861</v>
      </c>
    </row>
    <row r="1187" spans="1:7" x14ac:dyDescent="0.3">
      <c r="A1187" s="64" t="s">
        <v>3607</v>
      </c>
      <c r="B1187" s="64" t="s">
        <v>4290</v>
      </c>
      <c r="C1187" s="64" t="s">
        <v>16</v>
      </c>
      <c r="D1187" s="64" t="s">
        <v>403</v>
      </c>
      <c r="E1187" s="64" t="s">
        <v>370</v>
      </c>
      <c r="F1187" s="64" t="s">
        <v>1425</v>
      </c>
      <c r="G1187" s="64" t="s">
        <v>1862</v>
      </c>
    </row>
    <row r="1188" spans="1:7" x14ac:dyDescent="0.3">
      <c r="A1188" s="64" t="s">
        <v>3607</v>
      </c>
      <c r="B1188" s="64" t="s">
        <v>4290</v>
      </c>
      <c r="C1188" s="64" t="s">
        <v>16</v>
      </c>
      <c r="D1188" s="64" t="s">
        <v>403</v>
      </c>
      <c r="E1188" s="64" t="s">
        <v>378</v>
      </c>
      <c r="F1188" s="64" t="s">
        <v>1425</v>
      </c>
      <c r="G1188" s="64" t="s">
        <v>1863</v>
      </c>
    </row>
    <row r="1189" spans="1:7" x14ac:dyDescent="0.3">
      <c r="A1189" s="64" t="s">
        <v>3607</v>
      </c>
      <c r="B1189" s="64" t="s">
        <v>4290</v>
      </c>
      <c r="C1189" s="64" t="s">
        <v>16</v>
      </c>
      <c r="D1189" s="64" t="s">
        <v>403</v>
      </c>
      <c r="E1189" s="64" t="s">
        <v>371</v>
      </c>
      <c r="F1189" s="64" t="s">
        <v>1425</v>
      </c>
      <c r="G1189" s="64" t="s">
        <v>1864</v>
      </c>
    </row>
    <row r="1190" spans="1:7" x14ac:dyDescent="0.3">
      <c r="A1190" s="64" t="s">
        <v>3607</v>
      </c>
      <c r="B1190" s="64" t="s">
        <v>4290</v>
      </c>
      <c r="C1190" s="64" t="s">
        <v>16</v>
      </c>
      <c r="D1190" s="64" t="s">
        <v>403</v>
      </c>
      <c r="E1190" s="64" t="s">
        <v>376</v>
      </c>
      <c r="F1190" s="64" t="s">
        <v>1425</v>
      </c>
      <c r="G1190" s="64" t="s">
        <v>1865</v>
      </c>
    </row>
    <row r="1191" spans="1:7" x14ac:dyDescent="0.3">
      <c r="A1191" s="64" t="s">
        <v>3607</v>
      </c>
      <c r="B1191" s="64" t="s">
        <v>4290</v>
      </c>
      <c r="C1191" s="64" t="s">
        <v>16</v>
      </c>
      <c r="D1191" s="64" t="s">
        <v>403</v>
      </c>
      <c r="E1191" s="64" t="s">
        <v>377</v>
      </c>
      <c r="F1191" s="64" t="s">
        <v>1425</v>
      </c>
      <c r="G1191" s="64" t="s">
        <v>1866</v>
      </c>
    </row>
    <row r="1192" spans="1:7" x14ac:dyDescent="0.3">
      <c r="A1192" s="64" t="s">
        <v>3607</v>
      </c>
      <c r="B1192" s="64" t="s">
        <v>4290</v>
      </c>
      <c r="C1192" s="64" t="s">
        <v>16</v>
      </c>
      <c r="D1192" s="64" t="s">
        <v>403</v>
      </c>
      <c r="E1192" s="64" t="s">
        <v>381</v>
      </c>
      <c r="F1192" s="64" t="s">
        <v>1425</v>
      </c>
      <c r="G1192" s="64" t="s">
        <v>1867</v>
      </c>
    </row>
    <row r="1193" spans="1:7" x14ac:dyDescent="0.3">
      <c r="A1193" s="64" t="s">
        <v>3607</v>
      </c>
      <c r="B1193" s="64" t="s">
        <v>4290</v>
      </c>
      <c r="C1193" s="64" t="s">
        <v>16</v>
      </c>
      <c r="D1193" s="64" t="s">
        <v>403</v>
      </c>
      <c r="E1193" s="64" t="s">
        <v>379</v>
      </c>
      <c r="F1193" s="64" t="s">
        <v>1425</v>
      </c>
      <c r="G1193" s="64" t="s">
        <v>1868</v>
      </c>
    </row>
    <row r="1194" spans="1:7" x14ac:dyDescent="0.3">
      <c r="A1194" s="64" t="s">
        <v>3607</v>
      </c>
      <c r="B1194" s="64" t="s">
        <v>4290</v>
      </c>
      <c r="C1194" s="64" t="s">
        <v>16</v>
      </c>
      <c r="D1194" s="64" t="s">
        <v>403</v>
      </c>
      <c r="E1194" s="64" t="s">
        <v>374</v>
      </c>
      <c r="F1194" s="64" t="s">
        <v>1425</v>
      </c>
      <c r="G1194" s="64" t="s">
        <v>1869</v>
      </c>
    </row>
    <row r="1195" spans="1:7" x14ac:dyDescent="0.3">
      <c r="A1195" s="64" t="s">
        <v>3607</v>
      </c>
      <c r="B1195" s="64" t="s">
        <v>4290</v>
      </c>
      <c r="C1195" s="64" t="s">
        <v>16</v>
      </c>
      <c r="D1195" s="64" t="s">
        <v>403</v>
      </c>
      <c r="E1195" s="64" t="s">
        <v>383</v>
      </c>
      <c r="F1195" s="64" t="s">
        <v>1425</v>
      </c>
      <c r="G1195" s="64" t="s">
        <v>1870</v>
      </c>
    </row>
    <row r="1196" spans="1:7" x14ac:dyDescent="0.3">
      <c r="A1196" s="64" t="s">
        <v>3607</v>
      </c>
      <c r="B1196" s="64" t="s">
        <v>4290</v>
      </c>
      <c r="C1196" s="64" t="s">
        <v>16</v>
      </c>
      <c r="D1196" s="64" t="s">
        <v>403</v>
      </c>
      <c r="E1196" s="64" t="s">
        <v>373</v>
      </c>
      <c r="F1196" s="64" t="s">
        <v>1425</v>
      </c>
      <c r="G1196" s="64" t="s">
        <v>1871</v>
      </c>
    </row>
    <row r="1197" spans="1:7" x14ac:dyDescent="0.3">
      <c r="A1197" s="64" t="s">
        <v>3607</v>
      </c>
      <c r="B1197" s="64" t="s">
        <v>4290</v>
      </c>
      <c r="C1197" s="64" t="s">
        <v>16</v>
      </c>
      <c r="D1197" s="64" t="s">
        <v>403</v>
      </c>
      <c r="E1197" s="64" t="s">
        <v>368</v>
      </c>
      <c r="F1197" s="64" t="s">
        <v>1425</v>
      </c>
      <c r="G1197" s="64" t="s">
        <v>1872</v>
      </c>
    </row>
    <row r="1198" spans="1:7" x14ac:dyDescent="0.3">
      <c r="A1198" s="64" t="s">
        <v>3607</v>
      </c>
      <c r="B1198" s="64" t="s">
        <v>4290</v>
      </c>
      <c r="C1198" s="64" t="s">
        <v>16</v>
      </c>
      <c r="D1198" s="64" t="s">
        <v>403</v>
      </c>
      <c r="E1198" s="64" t="s">
        <v>372</v>
      </c>
      <c r="F1198" s="64" t="s">
        <v>1425</v>
      </c>
      <c r="G1198" s="64" t="s">
        <v>1873</v>
      </c>
    </row>
    <row r="1199" spans="1:7" x14ac:dyDescent="0.3">
      <c r="A1199" s="64" t="s">
        <v>3607</v>
      </c>
      <c r="B1199" s="64" t="s">
        <v>4290</v>
      </c>
      <c r="C1199" s="64" t="s">
        <v>16</v>
      </c>
      <c r="D1199" s="64" t="s">
        <v>403</v>
      </c>
      <c r="E1199" s="64" t="s">
        <v>375</v>
      </c>
      <c r="F1199" s="64" t="s">
        <v>1425</v>
      </c>
      <c r="G1199" s="64" t="s">
        <v>1874</v>
      </c>
    </row>
    <row r="1200" spans="1:7" x14ac:dyDescent="0.3">
      <c r="A1200" s="64" t="s">
        <v>3607</v>
      </c>
      <c r="B1200" s="64" t="s">
        <v>4290</v>
      </c>
      <c r="C1200" s="64" t="s">
        <v>16</v>
      </c>
      <c r="D1200" s="64" t="s">
        <v>403</v>
      </c>
      <c r="E1200" s="64" t="s">
        <v>380</v>
      </c>
      <c r="F1200" s="64" t="s">
        <v>1425</v>
      </c>
      <c r="G1200" s="64" t="s">
        <v>1875</v>
      </c>
    </row>
    <row r="1201" spans="1:7" x14ac:dyDescent="0.3">
      <c r="A1201" s="64" t="s">
        <v>4289</v>
      </c>
      <c r="B1201" s="64" t="s">
        <v>814</v>
      </c>
      <c r="C1201" s="64" t="s">
        <v>20</v>
      </c>
      <c r="D1201" s="64" t="s">
        <v>403</v>
      </c>
      <c r="E1201" s="64" t="s">
        <v>15</v>
      </c>
      <c r="F1201" s="64" t="s">
        <v>1460</v>
      </c>
      <c r="G1201" s="64">
        <v>0</v>
      </c>
    </row>
    <row r="1202" spans="1:7" x14ac:dyDescent="0.3">
      <c r="A1202" s="64" t="s">
        <v>2994</v>
      </c>
      <c r="B1202" s="64" t="s">
        <v>2995</v>
      </c>
      <c r="C1202" s="64" t="s">
        <v>20</v>
      </c>
      <c r="D1202" s="64" t="s">
        <v>16</v>
      </c>
      <c r="E1202" s="64" t="s">
        <v>15</v>
      </c>
      <c r="F1202" s="64" t="s">
        <v>2994</v>
      </c>
      <c r="G1202" s="64" t="s">
        <v>957</v>
      </c>
    </row>
    <row r="1203" spans="1:7" x14ac:dyDescent="0.3">
      <c r="A1203" s="64" t="s">
        <v>2994</v>
      </c>
      <c r="B1203" s="64" t="s">
        <v>2995</v>
      </c>
      <c r="C1203" s="64" t="s">
        <v>20</v>
      </c>
      <c r="D1203" s="64" t="s">
        <v>2076</v>
      </c>
      <c r="E1203" s="64" t="s">
        <v>15</v>
      </c>
      <c r="F1203" s="64" t="s">
        <v>2994</v>
      </c>
      <c r="G1203" s="64">
        <v>0</v>
      </c>
    </row>
    <row r="1204" spans="1:7" x14ac:dyDescent="0.3">
      <c r="A1204" s="64" t="s">
        <v>2994</v>
      </c>
      <c r="B1204" s="64" t="s">
        <v>2995</v>
      </c>
      <c r="C1204" s="64" t="s">
        <v>16</v>
      </c>
      <c r="D1204" s="64" t="s">
        <v>403</v>
      </c>
      <c r="E1204" s="64" t="s">
        <v>369</v>
      </c>
      <c r="F1204" s="64" t="s">
        <v>2994</v>
      </c>
      <c r="G1204" s="64" t="s">
        <v>1844</v>
      </c>
    </row>
    <row r="1205" spans="1:7" x14ac:dyDescent="0.3">
      <c r="A1205" s="64" t="s">
        <v>2994</v>
      </c>
      <c r="B1205" s="64" t="s">
        <v>2995</v>
      </c>
      <c r="C1205" s="64" t="s">
        <v>16</v>
      </c>
      <c r="D1205" s="64" t="s">
        <v>403</v>
      </c>
      <c r="E1205" s="64" t="s">
        <v>382</v>
      </c>
      <c r="F1205" s="64" t="s">
        <v>2994</v>
      </c>
      <c r="G1205" s="64" t="s">
        <v>1845</v>
      </c>
    </row>
    <row r="1206" spans="1:7" x14ac:dyDescent="0.3">
      <c r="A1206" s="64" t="s">
        <v>2994</v>
      </c>
      <c r="B1206" s="64" t="s">
        <v>2995</v>
      </c>
      <c r="C1206" s="64" t="s">
        <v>16</v>
      </c>
      <c r="D1206" s="64" t="s">
        <v>403</v>
      </c>
      <c r="E1206" s="64" t="s">
        <v>370</v>
      </c>
      <c r="F1206" s="64" t="s">
        <v>2994</v>
      </c>
      <c r="G1206" s="64" t="s">
        <v>1846</v>
      </c>
    </row>
    <row r="1207" spans="1:7" x14ac:dyDescent="0.3">
      <c r="A1207" s="64" t="s">
        <v>2994</v>
      </c>
      <c r="B1207" s="64" t="s">
        <v>2995</v>
      </c>
      <c r="C1207" s="64" t="s">
        <v>16</v>
      </c>
      <c r="D1207" s="64" t="s">
        <v>403</v>
      </c>
      <c r="E1207" s="64" t="s">
        <v>378</v>
      </c>
      <c r="F1207" s="64" t="s">
        <v>2994</v>
      </c>
      <c r="G1207" s="64" t="s">
        <v>1847</v>
      </c>
    </row>
    <row r="1208" spans="1:7" x14ac:dyDescent="0.3">
      <c r="A1208" s="64" t="s">
        <v>2994</v>
      </c>
      <c r="B1208" s="64" t="s">
        <v>2995</v>
      </c>
      <c r="C1208" s="64" t="s">
        <v>16</v>
      </c>
      <c r="D1208" s="64" t="s">
        <v>403</v>
      </c>
      <c r="E1208" s="64" t="s">
        <v>371</v>
      </c>
      <c r="F1208" s="64" t="s">
        <v>2994</v>
      </c>
      <c r="G1208" s="64" t="s">
        <v>1848</v>
      </c>
    </row>
    <row r="1209" spans="1:7" x14ac:dyDescent="0.3">
      <c r="A1209" s="64" t="s">
        <v>2994</v>
      </c>
      <c r="B1209" s="64" t="s">
        <v>2995</v>
      </c>
      <c r="C1209" s="64" t="s">
        <v>16</v>
      </c>
      <c r="D1209" s="64" t="s">
        <v>403</v>
      </c>
      <c r="E1209" s="64" t="s">
        <v>376</v>
      </c>
      <c r="F1209" s="64" t="s">
        <v>2994</v>
      </c>
      <c r="G1209" s="64" t="s">
        <v>1849</v>
      </c>
    </row>
    <row r="1210" spans="1:7" x14ac:dyDescent="0.3">
      <c r="A1210" s="64" t="s">
        <v>2994</v>
      </c>
      <c r="B1210" s="64" t="s">
        <v>2995</v>
      </c>
      <c r="C1210" s="64" t="s">
        <v>16</v>
      </c>
      <c r="D1210" s="64" t="s">
        <v>403</v>
      </c>
      <c r="E1210" s="64" t="s">
        <v>377</v>
      </c>
      <c r="F1210" s="64" t="s">
        <v>2994</v>
      </c>
      <c r="G1210" s="64" t="s">
        <v>1850</v>
      </c>
    </row>
    <row r="1211" spans="1:7" x14ac:dyDescent="0.3">
      <c r="A1211" s="64" t="s">
        <v>2994</v>
      </c>
      <c r="B1211" s="64" t="s">
        <v>2995</v>
      </c>
      <c r="C1211" s="64" t="s">
        <v>16</v>
      </c>
      <c r="D1211" s="64" t="s">
        <v>403</v>
      </c>
      <c r="E1211" s="64" t="s">
        <v>381</v>
      </c>
      <c r="F1211" s="64" t="s">
        <v>2994</v>
      </c>
      <c r="G1211" s="64" t="s">
        <v>1851</v>
      </c>
    </row>
    <row r="1212" spans="1:7" x14ac:dyDescent="0.3">
      <c r="A1212" s="64" t="s">
        <v>2994</v>
      </c>
      <c r="B1212" s="64" t="s">
        <v>2995</v>
      </c>
      <c r="C1212" s="64" t="s">
        <v>16</v>
      </c>
      <c r="D1212" s="64" t="s">
        <v>403</v>
      </c>
      <c r="E1212" s="64" t="s">
        <v>379</v>
      </c>
      <c r="F1212" s="64" t="s">
        <v>2994</v>
      </c>
      <c r="G1212" s="64" t="s">
        <v>1852</v>
      </c>
    </row>
    <row r="1213" spans="1:7" x14ac:dyDescent="0.3">
      <c r="A1213" s="64" t="s">
        <v>2994</v>
      </c>
      <c r="B1213" s="64" t="s">
        <v>2995</v>
      </c>
      <c r="C1213" s="64" t="s">
        <v>16</v>
      </c>
      <c r="D1213" s="64" t="s">
        <v>403</v>
      </c>
      <c r="E1213" s="64" t="s">
        <v>374</v>
      </c>
      <c r="F1213" s="64" t="s">
        <v>2994</v>
      </c>
      <c r="G1213" s="64" t="s">
        <v>1853</v>
      </c>
    </row>
    <row r="1214" spans="1:7" x14ac:dyDescent="0.3">
      <c r="A1214" s="64" t="s">
        <v>2994</v>
      </c>
      <c r="B1214" s="64" t="s">
        <v>2995</v>
      </c>
      <c r="C1214" s="64" t="s">
        <v>16</v>
      </c>
      <c r="D1214" s="64" t="s">
        <v>403</v>
      </c>
      <c r="E1214" s="64" t="s">
        <v>383</v>
      </c>
      <c r="F1214" s="64" t="s">
        <v>2994</v>
      </c>
      <c r="G1214" s="64" t="s">
        <v>1854</v>
      </c>
    </row>
    <row r="1215" spans="1:7" x14ac:dyDescent="0.3">
      <c r="A1215" s="64" t="s">
        <v>2994</v>
      </c>
      <c r="B1215" s="64" t="s">
        <v>2995</v>
      </c>
      <c r="C1215" s="64" t="s">
        <v>16</v>
      </c>
      <c r="D1215" s="64" t="s">
        <v>403</v>
      </c>
      <c r="E1215" s="64" t="s">
        <v>373</v>
      </c>
      <c r="F1215" s="64" t="s">
        <v>2994</v>
      </c>
      <c r="G1215" s="64" t="s">
        <v>1855</v>
      </c>
    </row>
    <row r="1216" spans="1:7" x14ac:dyDescent="0.3">
      <c r="A1216" s="64" t="s">
        <v>2994</v>
      </c>
      <c r="B1216" s="64" t="s">
        <v>2995</v>
      </c>
      <c r="C1216" s="64" t="s">
        <v>16</v>
      </c>
      <c r="D1216" s="64" t="s">
        <v>403</v>
      </c>
      <c r="E1216" s="64" t="s">
        <v>368</v>
      </c>
      <c r="F1216" s="64" t="s">
        <v>2994</v>
      </c>
      <c r="G1216" s="64" t="s">
        <v>1856</v>
      </c>
    </row>
    <row r="1217" spans="1:7" x14ac:dyDescent="0.3">
      <c r="A1217" s="64" t="s">
        <v>2994</v>
      </c>
      <c r="B1217" s="64" t="s">
        <v>2995</v>
      </c>
      <c r="C1217" s="64" t="s">
        <v>16</v>
      </c>
      <c r="D1217" s="64" t="s">
        <v>403</v>
      </c>
      <c r="E1217" s="64" t="s">
        <v>372</v>
      </c>
      <c r="F1217" s="64" t="s">
        <v>2994</v>
      </c>
      <c r="G1217" s="64" t="s">
        <v>1857</v>
      </c>
    </row>
    <row r="1218" spans="1:7" x14ac:dyDescent="0.3">
      <c r="A1218" s="64" t="s">
        <v>2994</v>
      </c>
      <c r="B1218" s="64" t="s">
        <v>2995</v>
      </c>
      <c r="C1218" s="64" t="s">
        <v>16</v>
      </c>
      <c r="D1218" s="64" t="s">
        <v>403</v>
      </c>
      <c r="E1218" s="64" t="s">
        <v>375</v>
      </c>
      <c r="F1218" s="64" t="s">
        <v>2994</v>
      </c>
      <c r="G1218" s="64" t="s">
        <v>1858</v>
      </c>
    </row>
    <row r="1219" spans="1:7" x14ac:dyDescent="0.3">
      <c r="A1219" s="64" t="s">
        <v>2994</v>
      </c>
      <c r="B1219" s="64" t="s">
        <v>2995</v>
      </c>
      <c r="C1219" s="64" t="s">
        <v>16</v>
      </c>
      <c r="D1219" s="64" t="s">
        <v>403</v>
      </c>
      <c r="E1219" s="64" t="s">
        <v>380</v>
      </c>
      <c r="F1219" s="64" t="s">
        <v>2994</v>
      </c>
      <c r="G1219" s="64" t="s">
        <v>1859</v>
      </c>
    </row>
    <row r="1220" spans="1:7" x14ac:dyDescent="0.3">
      <c r="A1220" s="64" t="s">
        <v>3016</v>
      </c>
      <c r="B1220" s="64" t="s">
        <v>3017</v>
      </c>
      <c r="C1220" s="64" t="s">
        <v>20</v>
      </c>
      <c r="D1220" s="64" t="s">
        <v>16</v>
      </c>
      <c r="E1220" s="64" t="s">
        <v>15</v>
      </c>
      <c r="F1220" s="64" t="s">
        <v>9310</v>
      </c>
      <c r="G1220" s="64" t="s">
        <v>957</v>
      </c>
    </row>
    <row r="1221" spans="1:7" x14ac:dyDescent="0.3">
      <c r="A1221" s="64" t="s">
        <v>3016</v>
      </c>
      <c r="B1221" s="64" t="s">
        <v>3017</v>
      </c>
      <c r="C1221" s="64" t="s">
        <v>20</v>
      </c>
      <c r="D1221" s="64" t="s">
        <v>956</v>
      </c>
      <c r="E1221" s="64" t="s">
        <v>15</v>
      </c>
      <c r="F1221" s="64" t="s">
        <v>9310</v>
      </c>
      <c r="G1221" s="64" t="s">
        <v>957</v>
      </c>
    </row>
    <row r="1222" spans="1:7" x14ac:dyDescent="0.3">
      <c r="A1222" s="64" t="s">
        <v>3016</v>
      </c>
      <c r="B1222" s="64" t="s">
        <v>3017</v>
      </c>
      <c r="C1222" s="64" t="s">
        <v>16</v>
      </c>
      <c r="D1222" s="64" t="s">
        <v>18</v>
      </c>
      <c r="E1222" s="64" t="s">
        <v>369</v>
      </c>
      <c r="F1222" s="64" t="s">
        <v>9310</v>
      </c>
      <c r="G1222" s="64" t="s">
        <v>1844</v>
      </c>
    </row>
    <row r="1223" spans="1:7" x14ac:dyDescent="0.3">
      <c r="A1223" s="64" t="s">
        <v>3016</v>
      </c>
      <c r="B1223" s="64" t="s">
        <v>3017</v>
      </c>
      <c r="C1223" s="64" t="s">
        <v>16</v>
      </c>
      <c r="D1223" s="64" t="s">
        <v>18</v>
      </c>
      <c r="E1223" s="64" t="s">
        <v>382</v>
      </c>
      <c r="F1223" s="64" t="s">
        <v>9310</v>
      </c>
      <c r="G1223" s="64" t="s">
        <v>1845</v>
      </c>
    </row>
    <row r="1224" spans="1:7" x14ac:dyDescent="0.3">
      <c r="A1224" s="64" t="s">
        <v>3016</v>
      </c>
      <c r="B1224" s="64" t="s">
        <v>3017</v>
      </c>
      <c r="C1224" s="64" t="s">
        <v>16</v>
      </c>
      <c r="D1224" s="64" t="s">
        <v>18</v>
      </c>
      <c r="E1224" s="64" t="s">
        <v>370</v>
      </c>
      <c r="F1224" s="64" t="s">
        <v>9310</v>
      </c>
      <c r="G1224" s="64" t="s">
        <v>1846</v>
      </c>
    </row>
    <row r="1225" spans="1:7" x14ac:dyDescent="0.3">
      <c r="A1225" s="64" t="s">
        <v>3016</v>
      </c>
      <c r="B1225" s="64" t="s">
        <v>3017</v>
      </c>
      <c r="C1225" s="64" t="s">
        <v>16</v>
      </c>
      <c r="D1225" s="64" t="s">
        <v>18</v>
      </c>
      <c r="E1225" s="64" t="s">
        <v>378</v>
      </c>
      <c r="F1225" s="64" t="s">
        <v>9310</v>
      </c>
      <c r="G1225" s="64" t="s">
        <v>1847</v>
      </c>
    </row>
    <row r="1226" spans="1:7" x14ac:dyDescent="0.3">
      <c r="A1226" s="64" t="s">
        <v>3016</v>
      </c>
      <c r="B1226" s="64" t="s">
        <v>3017</v>
      </c>
      <c r="C1226" s="64" t="s">
        <v>16</v>
      </c>
      <c r="D1226" s="64" t="s">
        <v>18</v>
      </c>
      <c r="E1226" s="64" t="s">
        <v>371</v>
      </c>
      <c r="F1226" s="64" t="s">
        <v>9310</v>
      </c>
      <c r="G1226" s="64" t="s">
        <v>1848</v>
      </c>
    </row>
    <row r="1227" spans="1:7" x14ac:dyDescent="0.3">
      <c r="A1227" s="64" t="s">
        <v>3016</v>
      </c>
      <c r="B1227" s="64" t="s">
        <v>3017</v>
      </c>
      <c r="C1227" s="64" t="s">
        <v>16</v>
      </c>
      <c r="D1227" s="64" t="s">
        <v>18</v>
      </c>
      <c r="E1227" s="64" t="s">
        <v>376</v>
      </c>
      <c r="F1227" s="64" t="s">
        <v>9310</v>
      </c>
      <c r="G1227" s="64" t="s">
        <v>1849</v>
      </c>
    </row>
    <row r="1228" spans="1:7" x14ac:dyDescent="0.3">
      <c r="A1228" s="64" t="s">
        <v>3016</v>
      </c>
      <c r="B1228" s="64" t="s">
        <v>3017</v>
      </c>
      <c r="C1228" s="64" t="s">
        <v>16</v>
      </c>
      <c r="D1228" s="64" t="s">
        <v>18</v>
      </c>
      <c r="E1228" s="64" t="s">
        <v>377</v>
      </c>
      <c r="F1228" s="64" t="s">
        <v>9310</v>
      </c>
      <c r="G1228" s="64" t="s">
        <v>1850</v>
      </c>
    </row>
    <row r="1229" spans="1:7" x14ac:dyDescent="0.3">
      <c r="A1229" s="64" t="s">
        <v>3016</v>
      </c>
      <c r="B1229" s="64" t="s">
        <v>3017</v>
      </c>
      <c r="C1229" s="64" t="s">
        <v>16</v>
      </c>
      <c r="D1229" s="64" t="s">
        <v>18</v>
      </c>
      <c r="E1229" s="64" t="s">
        <v>381</v>
      </c>
      <c r="F1229" s="64" t="s">
        <v>9310</v>
      </c>
      <c r="G1229" s="64" t="s">
        <v>1851</v>
      </c>
    </row>
    <row r="1230" spans="1:7" x14ac:dyDescent="0.3">
      <c r="A1230" s="64" t="s">
        <v>3016</v>
      </c>
      <c r="B1230" s="64" t="s">
        <v>3017</v>
      </c>
      <c r="C1230" s="64" t="s">
        <v>16</v>
      </c>
      <c r="D1230" s="64" t="s">
        <v>18</v>
      </c>
      <c r="E1230" s="64" t="s">
        <v>379</v>
      </c>
      <c r="F1230" s="64" t="s">
        <v>9310</v>
      </c>
      <c r="G1230" s="64" t="s">
        <v>1852</v>
      </c>
    </row>
    <row r="1231" spans="1:7" x14ac:dyDescent="0.3">
      <c r="A1231" s="64" t="s">
        <v>3016</v>
      </c>
      <c r="B1231" s="64" t="s">
        <v>3017</v>
      </c>
      <c r="C1231" s="64" t="s">
        <v>16</v>
      </c>
      <c r="D1231" s="64" t="s">
        <v>18</v>
      </c>
      <c r="E1231" s="64" t="s">
        <v>374</v>
      </c>
      <c r="F1231" s="64" t="s">
        <v>9310</v>
      </c>
      <c r="G1231" s="64" t="s">
        <v>1853</v>
      </c>
    </row>
    <row r="1232" spans="1:7" x14ac:dyDescent="0.3">
      <c r="A1232" s="64" t="s">
        <v>3016</v>
      </c>
      <c r="B1232" s="64" t="s">
        <v>3017</v>
      </c>
      <c r="C1232" s="64" t="s">
        <v>16</v>
      </c>
      <c r="D1232" s="64" t="s">
        <v>18</v>
      </c>
      <c r="E1232" s="64" t="s">
        <v>383</v>
      </c>
      <c r="F1232" s="64" t="s">
        <v>9310</v>
      </c>
      <c r="G1232" s="64" t="s">
        <v>1854</v>
      </c>
    </row>
    <row r="1233" spans="1:7" x14ac:dyDescent="0.3">
      <c r="A1233" s="64" t="s">
        <v>3016</v>
      </c>
      <c r="B1233" s="64" t="s">
        <v>3017</v>
      </c>
      <c r="C1233" s="64" t="s">
        <v>16</v>
      </c>
      <c r="D1233" s="64" t="s">
        <v>18</v>
      </c>
      <c r="E1233" s="64" t="s">
        <v>373</v>
      </c>
      <c r="F1233" s="64" t="s">
        <v>9310</v>
      </c>
      <c r="G1233" s="64" t="s">
        <v>1855</v>
      </c>
    </row>
    <row r="1234" spans="1:7" x14ac:dyDescent="0.3">
      <c r="A1234" s="64" t="s">
        <v>3016</v>
      </c>
      <c r="B1234" s="64" t="s">
        <v>3017</v>
      </c>
      <c r="C1234" s="64" t="s">
        <v>16</v>
      </c>
      <c r="D1234" s="64" t="s">
        <v>18</v>
      </c>
      <c r="E1234" s="64" t="s">
        <v>368</v>
      </c>
      <c r="F1234" s="64" t="s">
        <v>9310</v>
      </c>
      <c r="G1234" s="64" t="s">
        <v>1856</v>
      </c>
    </row>
    <row r="1235" spans="1:7" x14ac:dyDescent="0.3">
      <c r="A1235" s="64" t="s">
        <v>3016</v>
      </c>
      <c r="B1235" s="64" t="s">
        <v>3017</v>
      </c>
      <c r="C1235" s="64" t="s">
        <v>16</v>
      </c>
      <c r="D1235" s="64" t="s">
        <v>18</v>
      </c>
      <c r="E1235" s="64" t="s">
        <v>372</v>
      </c>
      <c r="F1235" s="64" t="s">
        <v>9310</v>
      </c>
      <c r="G1235" s="64" t="s">
        <v>1857</v>
      </c>
    </row>
    <row r="1236" spans="1:7" x14ac:dyDescent="0.3">
      <c r="A1236" s="64" t="s">
        <v>3016</v>
      </c>
      <c r="B1236" s="64" t="s">
        <v>3017</v>
      </c>
      <c r="C1236" s="64" t="s">
        <v>16</v>
      </c>
      <c r="D1236" s="64" t="s">
        <v>18</v>
      </c>
      <c r="E1236" s="64" t="s">
        <v>375</v>
      </c>
      <c r="F1236" s="64" t="s">
        <v>9310</v>
      </c>
      <c r="G1236" s="64" t="s">
        <v>1858</v>
      </c>
    </row>
    <row r="1237" spans="1:7" x14ac:dyDescent="0.3">
      <c r="A1237" s="64" t="s">
        <v>3016</v>
      </c>
      <c r="B1237" s="64" t="s">
        <v>3017</v>
      </c>
      <c r="C1237" s="64" t="s">
        <v>16</v>
      </c>
      <c r="D1237" s="64" t="s">
        <v>18</v>
      </c>
      <c r="E1237" s="64" t="s">
        <v>380</v>
      </c>
      <c r="F1237" s="64" t="s">
        <v>9310</v>
      </c>
      <c r="G1237" s="64" t="s">
        <v>1859</v>
      </c>
    </row>
    <row r="1238" spans="1:7" x14ac:dyDescent="0.3">
      <c r="A1238" s="64" t="s">
        <v>3016</v>
      </c>
      <c r="B1238" s="64" t="s">
        <v>3017</v>
      </c>
      <c r="C1238" s="64" t="s">
        <v>16</v>
      </c>
      <c r="D1238" s="64" t="s">
        <v>403</v>
      </c>
      <c r="E1238" s="64" t="s">
        <v>369</v>
      </c>
      <c r="F1238" s="64" t="s">
        <v>9310</v>
      </c>
      <c r="G1238" s="64" t="s">
        <v>1844</v>
      </c>
    </row>
    <row r="1239" spans="1:7" x14ac:dyDescent="0.3">
      <c r="A1239" s="64" t="s">
        <v>3016</v>
      </c>
      <c r="B1239" s="64" t="s">
        <v>3017</v>
      </c>
      <c r="C1239" s="64" t="s">
        <v>16</v>
      </c>
      <c r="D1239" s="64" t="s">
        <v>403</v>
      </c>
      <c r="E1239" s="64" t="s">
        <v>382</v>
      </c>
      <c r="F1239" s="64" t="s">
        <v>9310</v>
      </c>
      <c r="G1239" s="64" t="s">
        <v>1845</v>
      </c>
    </row>
    <row r="1240" spans="1:7" x14ac:dyDescent="0.3">
      <c r="A1240" s="64" t="s">
        <v>3016</v>
      </c>
      <c r="B1240" s="64" t="s">
        <v>3017</v>
      </c>
      <c r="C1240" s="64" t="s">
        <v>16</v>
      </c>
      <c r="D1240" s="64" t="s">
        <v>403</v>
      </c>
      <c r="E1240" s="64" t="s">
        <v>370</v>
      </c>
      <c r="F1240" s="64" t="s">
        <v>9310</v>
      </c>
      <c r="G1240" s="64" t="s">
        <v>1846</v>
      </c>
    </row>
    <row r="1241" spans="1:7" x14ac:dyDescent="0.3">
      <c r="A1241" s="64" t="s">
        <v>3016</v>
      </c>
      <c r="B1241" s="64" t="s">
        <v>3017</v>
      </c>
      <c r="C1241" s="64" t="s">
        <v>16</v>
      </c>
      <c r="D1241" s="64" t="s">
        <v>403</v>
      </c>
      <c r="E1241" s="64" t="s">
        <v>378</v>
      </c>
      <c r="F1241" s="64" t="s">
        <v>9310</v>
      </c>
      <c r="G1241" s="64" t="s">
        <v>1847</v>
      </c>
    </row>
    <row r="1242" spans="1:7" x14ac:dyDescent="0.3">
      <c r="A1242" s="64" t="s">
        <v>3016</v>
      </c>
      <c r="B1242" s="64" t="s">
        <v>3017</v>
      </c>
      <c r="C1242" s="64" t="s">
        <v>16</v>
      </c>
      <c r="D1242" s="64" t="s">
        <v>403</v>
      </c>
      <c r="E1242" s="64" t="s">
        <v>371</v>
      </c>
      <c r="F1242" s="64" t="s">
        <v>9310</v>
      </c>
      <c r="G1242" s="64" t="s">
        <v>1848</v>
      </c>
    </row>
    <row r="1243" spans="1:7" x14ac:dyDescent="0.3">
      <c r="A1243" s="64" t="s">
        <v>3016</v>
      </c>
      <c r="B1243" s="64" t="s">
        <v>3017</v>
      </c>
      <c r="C1243" s="64" t="s">
        <v>16</v>
      </c>
      <c r="D1243" s="64" t="s">
        <v>403</v>
      </c>
      <c r="E1243" s="64" t="s">
        <v>376</v>
      </c>
      <c r="F1243" s="64" t="s">
        <v>9310</v>
      </c>
      <c r="G1243" s="64" t="s">
        <v>1849</v>
      </c>
    </row>
    <row r="1244" spans="1:7" x14ac:dyDescent="0.3">
      <c r="A1244" s="64" t="s">
        <v>3016</v>
      </c>
      <c r="B1244" s="64" t="s">
        <v>3017</v>
      </c>
      <c r="C1244" s="64" t="s">
        <v>16</v>
      </c>
      <c r="D1244" s="64" t="s">
        <v>403</v>
      </c>
      <c r="E1244" s="64" t="s">
        <v>377</v>
      </c>
      <c r="F1244" s="64" t="s">
        <v>9310</v>
      </c>
      <c r="G1244" s="64" t="s">
        <v>1850</v>
      </c>
    </row>
    <row r="1245" spans="1:7" x14ac:dyDescent="0.3">
      <c r="A1245" s="64" t="s">
        <v>3016</v>
      </c>
      <c r="B1245" s="64" t="s">
        <v>3017</v>
      </c>
      <c r="C1245" s="64" t="s">
        <v>16</v>
      </c>
      <c r="D1245" s="64" t="s">
        <v>403</v>
      </c>
      <c r="E1245" s="64" t="s">
        <v>381</v>
      </c>
      <c r="F1245" s="64" t="s">
        <v>9310</v>
      </c>
      <c r="G1245" s="64" t="s">
        <v>1851</v>
      </c>
    </row>
    <row r="1246" spans="1:7" x14ac:dyDescent="0.3">
      <c r="A1246" s="64" t="s">
        <v>3016</v>
      </c>
      <c r="B1246" s="64" t="s">
        <v>3017</v>
      </c>
      <c r="C1246" s="64" t="s">
        <v>16</v>
      </c>
      <c r="D1246" s="64" t="s">
        <v>403</v>
      </c>
      <c r="E1246" s="64" t="s">
        <v>379</v>
      </c>
      <c r="F1246" s="64" t="s">
        <v>9310</v>
      </c>
      <c r="G1246" s="64" t="s">
        <v>1852</v>
      </c>
    </row>
    <row r="1247" spans="1:7" x14ac:dyDescent="0.3">
      <c r="A1247" s="64" t="s">
        <v>3016</v>
      </c>
      <c r="B1247" s="64" t="s">
        <v>3017</v>
      </c>
      <c r="C1247" s="64" t="s">
        <v>16</v>
      </c>
      <c r="D1247" s="64" t="s">
        <v>403</v>
      </c>
      <c r="E1247" s="64" t="s">
        <v>374</v>
      </c>
      <c r="F1247" s="64" t="s">
        <v>9310</v>
      </c>
      <c r="G1247" s="64" t="s">
        <v>1853</v>
      </c>
    </row>
    <row r="1248" spans="1:7" x14ac:dyDescent="0.3">
      <c r="A1248" s="64" t="s">
        <v>3016</v>
      </c>
      <c r="B1248" s="64" t="s">
        <v>3017</v>
      </c>
      <c r="C1248" s="64" t="s">
        <v>16</v>
      </c>
      <c r="D1248" s="64" t="s">
        <v>403</v>
      </c>
      <c r="E1248" s="64" t="s">
        <v>383</v>
      </c>
      <c r="F1248" s="64" t="s">
        <v>9310</v>
      </c>
      <c r="G1248" s="64" t="s">
        <v>1854</v>
      </c>
    </row>
    <row r="1249" spans="1:7" x14ac:dyDescent="0.3">
      <c r="A1249" s="64" t="s">
        <v>3016</v>
      </c>
      <c r="B1249" s="64" t="s">
        <v>3017</v>
      </c>
      <c r="C1249" s="64" t="s">
        <v>16</v>
      </c>
      <c r="D1249" s="64" t="s">
        <v>403</v>
      </c>
      <c r="E1249" s="64" t="s">
        <v>373</v>
      </c>
      <c r="F1249" s="64" t="s">
        <v>9310</v>
      </c>
      <c r="G1249" s="64" t="s">
        <v>1855</v>
      </c>
    </row>
    <row r="1250" spans="1:7" x14ac:dyDescent="0.3">
      <c r="A1250" s="64" t="s">
        <v>3016</v>
      </c>
      <c r="B1250" s="64" t="s">
        <v>3017</v>
      </c>
      <c r="C1250" s="64" t="s">
        <v>16</v>
      </c>
      <c r="D1250" s="64" t="s">
        <v>403</v>
      </c>
      <c r="E1250" s="64" t="s">
        <v>368</v>
      </c>
      <c r="F1250" s="64" t="s">
        <v>9310</v>
      </c>
      <c r="G1250" s="64" t="s">
        <v>1856</v>
      </c>
    </row>
    <row r="1251" spans="1:7" x14ac:dyDescent="0.3">
      <c r="A1251" s="64" t="s">
        <v>3016</v>
      </c>
      <c r="B1251" s="64" t="s">
        <v>3017</v>
      </c>
      <c r="C1251" s="64" t="s">
        <v>16</v>
      </c>
      <c r="D1251" s="64" t="s">
        <v>403</v>
      </c>
      <c r="E1251" s="64" t="s">
        <v>372</v>
      </c>
      <c r="F1251" s="64" t="s">
        <v>9310</v>
      </c>
      <c r="G1251" s="64" t="s">
        <v>1857</v>
      </c>
    </row>
    <row r="1252" spans="1:7" x14ac:dyDescent="0.3">
      <c r="A1252" s="64" t="s">
        <v>3016</v>
      </c>
      <c r="B1252" s="64" t="s">
        <v>3017</v>
      </c>
      <c r="C1252" s="64" t="s">
        <v>16</v>
      </c>
      <c r="D1252" s="64" t="s">
        <v>403</v>
      </c>
      <c r="E1252" s="64" t="s">
        <v>375</v>
      </c>
      <c r="F1252" s="64" t="s">
        <v>9310</v>
      </c>
      <c r="G1252" s="64" t="s">
        <v>1858</v>
      </c>
    </row>
    <row r="1253" spans="1:7" x14ac:dyDescent="0.3">
      <c r="A1253" s="64" t="s">
        <v>3016</v>
      </c>
      <c r="B1253" s="64" t="s">
        <v>3017</v>
      </c>
      <c r="C1253" s="64" t="s">
        <v>16</v>
      </c>
      <c r="D1253" s="64" t="s">
        <v>403</v>
      </c>
      <c r="E1253" s="64" t="s">
        <v>380</v>
      </c>
      <c r="F1253" s="64" t="s">
        <v>9310</v>
      </c>
      <c r="G1253" s="64" t="s">
        <v>1859</v>
      </c>
    </row>
    <row r="1254" spans="1:7" x14ac:dyDescent="0.3">
      <c r="A1254" s="64" t="s">
        <v>3069</v>
      </c>
      <c r="B1254" s="64" t="s">
        <v>1907</v>
      </c>
      <c r="C1254" s="64" t="s">
        <v>20</v>
      </c>
      <c r="D1254" s="64" t="s">
        <v>403</v>
      </c>
      <c r="E1254" s="64" t="s">
        <v>15</v>
      </c>
      <c r="F1254" s="64" t="s">
        <v>9309</v>
      </c>
      <c r="G1254" s="64" t="s">
        <v>805</v>
      </c>
    </row>
    <row r="1255" spans="1:7" x14ac:dyDescent="0.3">
      <c r="A1255" s="64" t="s">
        <v>3069</v>
      </c>
      <c r="B1255" s="64" t="s">
        <v>1907</v>
      </c>
      <c r="C1255" s="64" t="s">
        <v>20</v>
      </c>
      <c r="D1255" s="64" t="s">
        <v>403</v>
      </c>
      <c r="E1255" s="64" t="s">
        <v>15</v>
      </c>
      <c r="F1255" s="64" t="s">
        <v>9309</v>
      </c>
      <c r="G1255" s="64">
        <v>0</v>
      </c>
    </row>
    <row r="1256" spans="1:7" x14ac:dyDescent="0.3">
      <c r="A1256" s="64" t="s">
        <v>3069</v>
      </c>
      <c r="B1256" s="64" t="s">
        <v>1907</v>
      </c>
      <c r="C1256" s="64" t="s">
        <v>20</v>
      </c>
      <c r="D1256" s="64" t="s">
        <v>956</v>
      </c>
      <c r="E1256" s="64" t="s">
        <v>15</v>
      </c>
      <c r="F1256" s="64" t="s">
        <v>9309</v>
      </c>
      <c r="G1256" s="64" t="s">
        <v>957</v>
      </c>
    </row>
    <row r="1257" spans="1:7" x14ac:dyDescent="0.3">
      <c r="A1257" s="64" t="s">
        <v>3069</v>
      </c>
      <c r="B1257" s="64" t="s">
        <v>1907</v>
      </c>
      <c r="C1257" s="64" t="s">
        <v>16</v>
      </c>
      <c r="D1257" s="64" t="s">
        <v>18</v>
      </c>
      <c r="E1257" s="64" t="s">
        <v>369</v>
      </c>
      <c r="F1257" s="64" t="s">
        <v>9309</v>
      </c>
      <c r="G1257" s="64" t="s">
        <v>1844</v>
      </c>
    </row>
    <row r="1258" spans="1:7" x14ac:dyDescent="0.3">
      <c r="A1258" s="64" t="s">
        <v>3069</v>
      </c>
      <c r="B1258" s="64" t="s">
        <v>1907</v>
      </c>
      <c r="C1258" s="64" t="s">
        <v>16</v>
      </c>
      <c r="D1258" s="64" t="s">
        <v>18</v>
      </c>
      <c r="E1258" s="64" t="s">
        <v>382</v>
      </c>
      <c r="F1258" s="64" t="s">
        <v>9309</v>
      </c>
      <c r="G1258" s="64" t="s">
        <v>1845</v>
      </c>
    </row>
    <row r="1259" spans="1:7" x14ac:dyDescent="0.3">
      <c r="A1259" s="64" t="s">
        <v>3069</v>
      </c>
      <c r="B1259" s="64" t="s">
        <v>1907</v>
      </c>
      <c r="C1259" s="64" t="s">
        <v>16</v>
      </c>
      <c r="D1259" s="64" t="s">
        <v>18</v>
      </c>
      <c r="E1259" s="64" t="s">
        <v>370</v>
      </c>
      <c r="F1259" s="64" t="s">
        <v>9309</v>
      </c>
      <c r="G1259" s="64" t="s">
        <v>1846</v>
      </c>
    </row>
    <row r="1260" spans="1:7" x14ac:dyDescent="0.3">
      <c r="A1260" s="64" t="s">
        <v>3069</v>
      </c>
      <c r="B1260" s="64" t="s">
        <v>1907</v>
      </c>
      <c r="C1260" s="64" t="s">
        <v>16</v>
      </c>
      <c r="D1260" s="64" t="s">
        <v>18</v>
      </c>
      <c r="E1260" s="64" t="s">
        <v>378</v>
      </c>
      <c r="F1260" s="64" t="s">
        <v>9309</v>
      </c>
      <c r="G1260" s="64" t="s">
        <v>1847</v>
      </c>
    </row>
    <row r="1261" spans="1:7" x14ac:dyDescent="0.3">
      <c r="A1261" s="64" t="s">
        <v>3069</v>
      </c>
      <c r="B1261" s="64" t="s">
        <v>1907</v>
      </c>
      <c r="C1261" s="64" t="s">
        <v>16</v>
      </c>
      <c r="D1261" s="64" t="s">
        <v>18</v>
      </c>
      <c r="E1261" s="64" t="s">
        <v>371</v>
      </c>
      <c r="F1261" s="64" t="s">
        <v>9309</v>
      </c>
      <c r="G1261" s="64" t="s">
        <v>1848</v>
      </c>
    </row>
    <row r="1262" spans="1:7" x14ac:dyDescent="0.3">
      <c r="A1262" s="64" t="s">
        <v>3069</v>
      </c>
      <c r="B1262" s="64" t="s">
        <v>1907</v>
      </c>
      <c r="C1262" s="64" t="s">
        <v>16</v>
      </c>
      <c r="D1262" s="64" t="s">
        <v>18</v>
      </c>
      <c r="E1262" s="64" t="s">
        <v>376</v>
      </c>
      <c r="F1262" s="64" t="s">
        <v>9309</v>
      </c>
      <c r="G1262" s="64" t="s">
        <v>1849</v>
      </c>
    </row>
    <row r="1263" spans="1:7" x14ac:dyDescent="0.3">
      <c r="A1263" s="64" t="s">
        <v>3069</v>
      </c>
      <c r="B1263" s="64" t="s">
        <v>1907</v>
      </c>
      <c r="C1263" s="64" t="s">
        <v>16</v>
      </c>
      <c r="D1263" s="64" t="s">
        <v>18</v>
      </c>
      <c r="E1263" s="64" t="s">
        <v>377</v>
      </c>
      <c r="F1263" s="64" t="s">
        <v>9309</v>
      </c>
      <c r="G1263" s="64" t="s">
        <v>1850</v>
      </c>
    </row>
    <row r="1264" spans="1:7" x14ac:dyDescent="0.3">
      <c r="A1264" s="64" t="s">
        <v>3069</v>
      </c>
      <c r="B1264" s="64" t="s">
        <v>1907</v>
      </c>
      <c r="C1264" s="64" t="s">
        <v>16</v>
      </c>
      <c r="D1264" s="64" t="s">
        <v>18</v>
      </c>
      <c r="E1264" s="64" t="s">
        <v>381</v>
      </c>
      <c r="F1264" s="64" t="s">
        <v>9309</v>
      </c>
      <c r="G1264" s="64" t="s">
        <v>1851</v>
      </c>
    </row>
    <row r="1265" spans="1:7" x14ac:dyDescent="0.3">
      <c r="A1265" s="64" t="s">
        <v>3069</v>
      </c>
      <c r="B1265" s="64" t="s">
        <v>1907</v>
      </c>
      <c r="C1265" s="64" t="s">
        <v>16</v>
      </c>
      <c r="D1265" s="64" t="s">
        <v>18</v>
      </c>
      <c r="E1265" s="64" t="s">
        <v>379</v>
      </c>
      <c r="F1265" s="64" t="s">
        <v>9309</v>
      </c>
      <c r="G1265" s="64" t="s">
        <v>1852</v>
      </c>
    </row>
    <row r="1266" spans="1:7" x14ac:dyDescent="0.3">
      <c r="A1266" s="64" t="s">
        <v>3069</v>
      </c>
      <c r="B1266" s="64" t="s">
        <v>1907</v>
      </c>
      <c r="C1266" s="64" t="s">
        <v>16</v>
      </c>
      <c r="D1266" s="64" t="s">
        <v>18</v>
      </c>
      <c r="E1266" s="64" t="s">
        <v>374</v>
      </c>
      <c r="F1266" s="64" t="s">
        <v>9309</v>
      </c>
      <c r="G1266" s="64" t="s">
        <v>1853</v>
      </c>
    </row>
    <row r="1267" spans="1:7" x14ac:dyDescent="0.3">
      <c r="A1267" s="64" t="s">
        <v>3069</v>
      </c>
      <c r="B1267" s="64" t="s">
        <v>1907</v>
      </c>
      <c r="C1267" s="64" t="s">
        <v>16</v>
      </c>
      <c r="D1267" s="64" t="s">
        <v>18</v>
      </c>
      <c r="E1267" s="64" t="s">
        <v>383</v>
      </c>
      <c r="F1267" s="64" t="s">
        <v>9309</v>
      </c>
      <c r="G1267" s="64" t="s">
        <v>1854</v>
      </c>
    </row>
    <row r="1268" spans="1:7" x14ac:dyDescent="0.3">
      <c r="A1268" s="64" t="s">
        <v>3069</v>
      </c>
      <c r="B1268" s="64" t="s">
        <v>1907</v>
      </c>
      <c r="C1268" s="64" t="s">
        <v>16</v>
      </c>
      <c r="D1268" s="64" t="s">
        <v>18</v>
      </c>
      <c r="E1268" s="64" t="s">
        <v>373</v>
      </c>
      <c r="F1268" s="64" t="s">
        <v>9309</v>
      </c>
      <c r="G1268" s="64" t="s">
        <v>1855</v>
      </c>
    </row>
    <row r="1269" spans="1:7" x14ac:dyDescent="0.3">
      <c r="A1269" s="64" t="s">
        <v>3069</v>
      </c>
      <c r="B1269" s="64" t="s">
        <v>1907</v>
      </c>
      <c r="C1269" s="64" t="s">
        <v>16</v>
      </c>
      <c r="D1269" s="64" t="s">
        <v>18</v>
      </c>
      <c r="E1269" s="64" t="s">
        <v>368</v>
      </c>
      <c r="F1269" s="64" t="s">
        <v>9309</v>
      </c>
      <c r="G1269" s="64" t="s">
        <v>1856</v>
      </c>
    </row>
    <row r="1270" spans="1:7" x14ac:dyDescent="0.3">
      <c r="A1270" s="64" t="s">
        <v>3069</v>
      </c>
      <c r="B1270" s="64" t="s">
        <v>1907</v>
      </c>
      <c r="C1270" s="64" t="s">
        <v>16</v>
      </c>
      <c r="D1270" s="64" t="s">
        <v>18</v>
      </c>
      <c r="E1270" s="64" t="s">
        <v>372</v>
      </c>
      <c r="F1270" s="64" t="s">
        <v>9309</v>
      </c>
      <c r="G1270" s="64" t="s">
        <v>1857</v>
      </c>
    </row>
    <row r="1271" spans="1:7" x14ac:dyDescent="0.3">
      <c r="A1271" s="64" t="s">
        <v>3069</v>
      </c>
      <c r="B1271" s="64" t="s">
        <v>1907</v>
      </c>
      <c r="C1271" s="64" t="s">
        <v>16</v>
      </c>
      <c r="D1271" s="64" t="s">
        <v>18</v>
      </c>
      <c r="E1271" s="64" t="s">
        <v>375</v>
      </c>
      <c r="F1271" s="64" t="s">
        <v>9309</v>
      </c>
      <c r="G1271" s="64" t="s">
        <v>1858</v>
      </c>
    </row>
    <row r="1272" spans="1:7" x14ac:dyDescent="0.3">
      <c r="A1272" s="64" t="s">
        <v>3069</v>
      </c>
      <c r="B1272" s="64" t="s">
        <v>1907</v>
      </c>
      <c r="C1272" s="64" t="s">
        <v>16</v>
      </c>
      <c r="D1272" s="64" t="s">
        <v>18</v>
      </c>
      <c r="E1272" s="64" t="s">
        <v>380</v>
      </c>
      <c r="F1272" s="64" t="s">
        <v>9309</v>
      </c>
      <c r="G1272" s="64" t="s">
        <v>1859</v>
      </c>
    </row>
    <row r="1273" spans="1:7" x14ac:dyDescent="0.3">
      <c r="A1273" s="64" t="s">
        <v>3069</v>
      </c>
      <c r="B1273" s="64" t="s">
        <v>1907</v>
      </c>
      <c r="C1273" s="64" t="s">
        <v>16</v>
      </c>
      <c r="D1273" s="64" t="s">
        <v>403</v>
      </c>
      <c r="E1273" s="64" t="s">
        <v>369</v>
      </c>
      <c r="F1273" s="64" t="s">
        <v>9309</v>
      </c>
      <c r="G1273" s="64" t="s">
        <v>1860</v>
      </c>
    </row>
    <row r="1274" spans="1:7" x14ac:dyDescent="0.3">
      <c r="A1274" s="64" t="s">
        <v>3069</v>
      </c>
      <c r="B1274" s="64" t="s">
        <v>1907</v>
      </c>
      <c r="C1274" s="64" t="s">
        <v>16</v>
      </c>
      <c r="D1274" s="64" t="s">
        <v>403</v>
      </c>
      <c r="E1274" s="64" t="s">
        <v>382</v>
      </c>
      <c r="F1274" s="64" t="s">
        <v>9309</v>
      </c>
      <c r="G1274" s="64" t="s">
        <v>1861</v>
      </c>
    </row>
    <row r="1275" spans="1:7" x14ac:dyDescent="0.3">
      <c r="A1275" s="64" t="s">
        <v>3069</v>
      </c>
      <c r="B1275" s="64" t="s">
        <v>1907</v>
      </c>
      <c r="C1275" s="64" t="s">
        <v>16</v>
      </c>
      <c r="D1275" s="64" t="s">
        <v>403</v>
      </c>
      <c r="E1275" s="64" t="s">
        <v>370</v>
      </c>
      <c r="F1275" s="64" t="s">
        <v>9309</v>
      </c>
      <c r="G1275" s="64" t="s">
        <v>1862</v>
      </c>
    </row>
    <row r="1276" spans="1:7" x14ac:dyDescent="0.3">
      <c r="A1276" s="64" t="s">
        <v>3069</v>
      </c>
      <c r="B1276" s="64" t="s">
        <v>1907</v>
      </c>
      <c r="C1276" s="64" t="s">
        <v>16</v>
      </c>
      <c r="D1276" s="64" t="s">
        <v>403</v>
      </c>
      <c r="E1276" s="64" t="s">
        <v>378</v>
      </c>
      <c r="F1276" s="64" t="s">
        <v>9309</v>
      </c>
      <c r="G1276" s="64" t="s">
        <v>1863</v>
      </c>
    </row>
    <row r="1277" spans="1:7" x14ac:dyDescent="0.3">
      <c r="A1277" s="64" t="s">
        <v>3069</v>
      </c>
      <c r="B1277" s="64" t="s">
        <v>1907</v>
      </c>
      <c r="C1277" s="64" t="s">
        <v>16</v>
      </c>
      <c r="D1277" s="64" t="s">
        <v>403</v>
      </c>
      <c r="E1277" s="64" t="s">
        <v>371</v>
      </c>
      <c r="F1277" s="64" t="s">
        <v>9309</v>
      </c>
      <c r="G1277" s="64" t="s">
        <v>1864</v>
      </c>
    </row>
    <row r="1278" spans="1:7" x14ac:dyDescent="0.3">
      <c r="A1278" s="64" t="s">
        <v>3069</v>
      </c>
      <c r="B1278" s="64" t="s">
        <v>1907</v>
      </c>
      <c r="C1278" s="64" t="s">
        <v>16</v>
      </c>
      <c r="D1278" s="64" t="s">
        <v>403</v>
      </c>
      <c r="E1278" s="64" t="s">
        <v>376</v>
      </c>
      <c r="F1278" s="64" t="s">
        <v>9309</v>
      </c>
      <c r="G1278" s="64" t="s">
        <v>1865</v>
      </c>
    </row>
    <row r="1279" spans="1:7" x14ac:dyDescent="0.3">
      <c r="A1279" s="64" t="s">
        <v>3069</v>
      </c>
      <c r="B1279" s="64" t="s">
        <v>1907</v>
      </c>
      <c r="C1279" s="64" t="s">
        <v>16</v>
      </c>
      <c r="D1279" s="64" t="s">
        <v>403</v>
      </c>
      <c r="E1279" s="64" t="s">
        <v>377</v>
      </c>
      <c r="F1279" s="64" t="s">
        <v>9309</v>
      </c>
      <c r="G1279" s="64" t="s">
        <v>1866</v>
      </c>
    </row>
    <row r="1280" spans="1:7" x14ac:dyDescent="0.3">
      <c r="A1280" s="64" t="s">
        <v>3069</v>
      </c>
      <c r="B1280" s="64" t="s">
        <v>1907</v>
      </c>
      <c r="C1280" s="64" t="s">
        <v>16</v>
      </c>
      <c r="D1280" s="64" t="s">
        <v>403</v>
      </c>
      <c r="E1280" s="64" t="s">
        <v>381</v>
      </c>
      <c r="F1280" s="64" t="s">
        <v>9309</v>
      </c>
      <c r="G1280" s="64" t="s">
        <v>1867</v>
      </c>
    </row>
    <row r="1281" spans="1:7" x14ac:dyDescent="0.3">
      <c r="A1281" s="64" t="s">
        <v>3069</v>
      </c>
      <c r="B1281" s="64" t="s">
        <v>1907</v>
      </c>
      <c r="C1281" s="64" t="s">
        <v>16</v>
      </c>
      <c r="D1281" s="64" t="s">
        <v>403</v>
      </c>
      <c r="E1281" s="64" t="s">
        <v>379</v>
      </c>
      <c r="F1281" s="64" t="s">
        <v>9309</v>
      </c>
      <c r="G1281" s="64" t="s">
        <v>1868</v>
      </c>
    </row>
    <row r="1282" spans="1:7" x14ac:dyDescent="0.3">
      <c r="A1282" s="64" t="s">
        <v>3069</v>
      </c>
      <c r="B1282" s="64" t="s">
        <v>1907</v>
      </c>
      <c r="C1282" s="64" t="s">
        <v>16</v>
      </c>
      <c r="D1282" s="64" t="s">
        <v>403</v>
      </c>
      <c r="E1282" s="64" t="s">
        <v>374</v>
      </c>
      <c r="F1282" s="64" t="s">
        <v>9309</v>
      </c>
      <c r="G1282" s="64" t="s">
        <v>1869</v>
      </c>
    </row>
    <row r="1283" spans="1:7" x14ac:dyDescent="0.3">
      <c r="A1283" s="64" t="s">
        <v>3069</v>
      </c>
      <c r="B1283" s="64" t="s">
        <v>1907</v>
      </c>
      <c r="C1283" s="64" t="s">
        <v>16</v>
      </c>
      <c r="D1283" s="64" t="s">
        <v>403</v>
      </c>
      <c r="E1283" s="64" t="s">
        <v>383</v>
      </c>
      <c r="F1283" s="64" t="s">
        <v>9309</v>
      </c>
      <c r="G1283" s="64" t="s">
        <v>1870</v>
      </c>
    </row>
    <row r="1284" spans="1:7" x14ac:dyDescent="0.3">
      <c r="A1284" s="64" t="s">
        <v>3069</v>
      </c>
      <c r="B1284" s="64" t="s">
        <v>1907</v>
      </c>
      <c r="C1284" s="64" t="s">
        <v>16</v>
      </c>
      <c r="D1284" s="64" t="s">
        <v>403</v>
      </c>
      <c r="E1284" s="64" t="s">
        <v>373</v>
      </c>
      <c r="F1284" s="64" t="s">
        <v>9309</v>
      </c>
      <c r="G1284" s="64" t="s">
        <v>1871</v>
      </c>
    </row>
    <row r="1285" spans="1:7" x14ac:dyDescent="0.3">
      <c r="A1285" s="64" t="s">
        <v>3069</v>
      </c>
      <c r="B1285" s="64" t="s">
        <v>1907</v>
      </c>
      <c r="C1285" s="64" t="s">
        <v>16</v>
      </c>
      <c r="D1285" s="64" t="s">
        <v>403</v>
      </c>
      <c r="E1285" s="64" t="s">
        <v>368</v>
      </c>
      <c r="F1285" s="64" t="s">
        <v>9309</v>
      </c>
      <c r="G1285" s="64" t="s">
        <v>1872</v>
      </c>
    </row>
    <row r="1286" spans="1:7" x14ac:dyDescent="0.3">
      <c r="A1286" s="64" t="s">
        <v>3069</v>
      </c>
      <c r="B1286" s="64" t="s">
        <v>1907</v>
      </c>
      <c r="C1286" s="64" t="s">
        <v>16</v>
      </c>
      <c r="D1286" s="64" t="s">
        <v>403</v>
      </c>
      <c r="E1286" s="64" t="s">
        <v>372</v>
      </c>
      <c r="F1286" s="64" t="s">
        <v>9309</v>
      </c>
      <c r="G1286" s="64" t="s">
        <v>1873</v>
      </c>
    </row>
    <row r="1287" spans="1:7" x14ac:dyDescent="0.3">
      <c r="A1287" s="64" t="s">
        <v>3069</v>
      </c>
      <c r="B1287" s="64" t="s">
        <v>1907</v>
      </c>
      <c r="C1287" s="64" t="s">
        <v>16</v>
      </c>
      <c r="D1287" s="64" t="s">
        <v>403</v>
      </c>
      <c r="E1287" s="64" t="s">
        <v>375</v>
      </c>
      <c r="F1287" s="64" t="s">
        <v>9309</v>
      </c>
      <c r="G1287" s="64" t="s">
        <v>1874</v>
      </c>
    </row>
    <row r="1288" spans="1:7" x14ac:dyDescent="0.3">
      <c r="A1288" s="64" t="s">
        <v>3069</v>
      </c>
      <c r="B1288" s="64" t="s">
        <v>1907</v>
      </c>
      <c r="C1288" s="64" t="s">
        <v>16</v>
      </c>
      <c r="D1288" s="64" t="s">
        <v>403</v>
      </c>
      <c r="E1288" s="64" t="s">
        <v>380</v>
      </c>
      <c r="F1288" s="64" t="s">
        <v>9309</v>
      </c>
      <c r="G1288" s="64" t="s">
        <v>1875</v>
      </c>
    </row>
    <row r="1289" spans="1:7" x14ac:dyDescent="0.3">
      <c r="A1289" s="64" t="s">
        <v>3179</v>
      </c>
      <c r="B1289" s="64" t="s">
        <v>1884</v>
      </c>
      <c r="C1289" s="64" t="s">
        <v>20</v>
      </c>
      <c r="D1289" s="64" t="s">
        <v>3180</v>
      </c>
      <c r="E1289" s="64" t="s">
        <v>15</v>
      </c>
      <c r="F1289" s="64" t="s">
        <v>9313</v>
      </c>
      <c r="G1289" s="64">
        <v>0</v>
      </c>
    </row>
    <row r="1290" spans="1:7" x14ac:dyDescent="0.3">
      <c r="A1290" s="64" t="s">
        <v>3186</v>
      </c>
      <c r="B1290" s="64" t="s">
        <v>1884</v>
      </c>
      <c r="C1290" s="64" t="s">
        <v>20</v>
      </c>
      <c r="D1290" s="64" t="s">
        <v>3180</v>
      </c>
      <c r="E1290" s="64" t="s">
        <v>15</v>
      </c>
      <c r="F1290" s="64" t="s">
        <v>3186</v>
      </c>
      <c r="G1290" s="64">
        <v>0</v>
      </c>
    </row>
    <row r="1291" spans="1:7" x14ac:dyDescent="0.3">
      <c r="A1291" s="64" t="s">
        <v>3189</v>
      </c>
      <c r="B1291" s="64" t="s">
        <v>1884</v>
      </c>
      <c r="C1291" s="64" t="s">
        <v>20</v>
      </c>
      <c r="D1291" s="64" t="s">
        <v>3180</v>
      </c>
      <c r="E1291" s="64" t="s">
        <v>15</v>
      </c>
      <c r="F1291" s="64" t="s">
        <v>9313</v>
      </c>
      <c r="G1291" s="64">
        <v>0</v>
      </c>
    </row>
    <row r="1292" spans="1:7" x14ac:dyDescent="0.3">
      <c r="A1292" s="64" t="s">
        <v>3192</v>
      </c>
      <c r="B1292" s="64" t="s">
        <v>3193</v>
      </c>
      <c r="C1292" s="64" t="s">
        <v>20</v>
      </c>
      <c r="D1292" s="64" t="s">
        <v>3194</v>
      </c>
      <c r="E1292" s="64" t="s">
        <v>15</v>
      </c>
      <c r="F1292" s="64" t="s">
        <v>3195</v>
      </c>
      <c r="G1292" s="64" t="s">
        <v>805</v>
      </c>
    </row>
    <row r="1293" spans="1:7" x14ac:dyDescent="0.3">
      <c r="A1293" s="64" t="s">
        <v>3192</v>
      </c>
      <c r="B1293" s="64" t="s">
        <v>3193</v>
      </c>
      <c r="C1293" s="64" t="s">
        <v>20</v>
      </c>
      <c r="D1293" s="64" t="s">
        <v>3194</v>
      </c>
      <c r="E1293" s="64" t="s">
        <v>15</v>
      </c>
      <c r="F1293" s="64" t="s">
        <v>9302</v>
      </c>
      <c r="G1293" s="64" t="s">
        <v>805</v>
      </c>
    </row>
    <row r="1294" spans="1:7" x14ac:dyDescent="0.3">
      <c r="A1294" s="64" t="s">
        <v>3192</v>
      </c>
      <c r="B1294" s="64" t="s">
        <v>3193</v>
      </c>
      <c r="C1294" s="64" t="s">
        <v>20</v>
      </c>
      <c r="D1294" s="64" t="s">
        <v>3194</v>
      </c>
      <c r="E1294" s="64" t="s">
        <v>15</v>
      </c>
      <c r="F1294" s="64" t="s">
        <v>9301</v>
      </c>
      <c r="G1294" s="64">
        <v>0</v>
      </c>
    </row>
    <row r="1295" spans="1:7" x14ac:dyDescent="0.3">
      <c r="A1295" s="64" t="s">
        <v>3192</v>
      </c>
      <c r="B1295" s="64" t="s">
        <v>3193</v>
      </c>
      <c r="C1295" s="64" t="s">
        <v>20</v>
      </c>
      <c r="D1295" s="64" t="s">
        <v>3194</v>
      </c>
      <c r="E1295" s="64" t="s">
        <v>15</v>
      </c>
      <c r="F1295" s="64" t="s">
        <v>9300</v>
      </c>
      <c r="G1295" s="64">
        <v>0</v>
      </c>
    </row>
    <row r="1296" spans="1:7" x14ac:dyDescent="0.3">
      <c r="A1296" s="64" t="s">
        <v>3192</v>
      </c>
      <c r="B1296" s="64" t="s">
        <v>3193</v>
      </c>
      <c r="C1296" s="64" t="s">
        <v>16</v>
      </c>
      <c r="D1296" s="64" t="s">
        <v>3180</v>
      </c>
      <c r="E1296" s="64" t="s">
        <v>369</v>
      </c>
      <c r="F1296" s="64" t="s">
        <v>3195</v>
      </c>
      <c r="G1296" s="64" t="s">
        <v>1860</v>
      </c>
    </row>
    <row r="1297" spans="1:7" x14ac:dyDescent="0.3">
      <c r="A1297" s="64" t="s">
        <v>3192</v>
      </c>
      <c r="B1297" s="64" t="s">
        <v>3193</v>
      </c>
      <c r="C1297" s="64" t="s">
        <v>16</v>
      </c>
      <c r="D1297" s="64" t="s">
        <v>3180</v>
      </c>
      <c r="E1297" s="64" t="s">
        <v>370</v>
      </c>
      <c r="F1297" s="64" t="s">
        <v>3195</v>
      </c>
      <c r="G1297" s="64" t="s">
        <v>1862</v>
      </c>
    </row>
    <row r="1298" spans="1:7" x14ac:dyDescent="0.3">
      <c r="A1298" s="64" t="s">
        <v>3192</v>
      </c>
      <c r="B1298" s="64" t="s">
        <v>3193</v>
      </c>
      <c r="C1298" s="64" t="s">
        <v>16</v>
      </c>
      <c r="D1298" s="64" t="s">
        <v>3180</v>
      </c>
      <c r="E1298" s="64" t="s">
        <v>371</v>
      </c>
      <c r="F1298" s="64" t="s">
        <v>3195</v>
      </c>
      <c r="G1298" s="64" t="s">
        <v>1864</v>
      </c>
    </row>
    <row r="1299" spans="1:7" x14ac:dyDescent="0.3">
      <c r="A1299" s="64" t="s">
        <v>3192</v>
      </c>
      <c r="B1299" s="64" t="s">
        <v>3193</v>
      </c>
      <c r="C1299" s="64" t="s">
        <v>16</v>
      </c>
      <c r="D1299" s="64" t="s">
        <v>3180</v>
      </c>
      <c r="E1299" s="64" t="s">
        <v>368</v>
      </c>
      <c r="F1299" s="64" t="s">
        <v>3195</v>
      </c>
      <c r="G1299" s="64" t="s">
        <v>1872</v>
      </c>
    </row>
    <row r="1300" spans="1:7" x14ac:dyDescent="0.3">
      <c r="A1300" s="64" t="s">
        <v>3192</v>
      </c>
      <c r="B1300" s="64" t="s">
        <v>3193</v>
      </c>
      <c r="C1300" s="64" t="s">
        <v>16</v>
      </c>
      <c r="D1300" s="64" t="s">
        <v>3194</v>
      </c>
      <c r="E1300" s="64" t="s">
        <v>369</v>
      </c>
      <c r="F1300" s="64" t="s">
        <v>9302</v>
      </c>
      <c r="G1300" s="64" t="s">
        <v>1860</v>
      </c>
    </row>
    <row r="1301" spans="1:7" x14ac:dyDescent="0.3">
      <c r="A1301" s="64" t="s">
        <v>3192</v>
      </c>
      <c r="B1301" s="64" t="s">
        <v>3193</v>
      </c>
      <c r="C1301" s="64" t="s">
        <v>16</v>
      </c>
      <c r="D1301" s="64" t="s">
        <v>3194</v>
      </c>
      <c r="E1301" s="64" t="s">
        <v>370</v>
      </c>
      <c r="F1301" s="64" t="s">
        <v>9302</v>
      </c>
      <c r="G1301" s="64" t="s">
        <v>1862</v>
      </c>
    </row>
    <row r="1302" spans="1:7" x14ac:dyDescent="0.3">
      <c r="A1302" s="64" t="s">
        <v>3192</v>
      </c>
      <c r="B1302" s="64" t="s">
        <v>3193</v>
      </c>
      <c r="C1302" s="64" t="s">
        <v>16</v>
      </c>
      <c r="D1302" s="64" t="s">
        <v>3194</v>
      </c>
      <c r="E1302" s="64" t="s">
        <v>371</v>
      </c>
      <c r="F1302" s="64" t="s">
        <v>9302</v>
      </c>
      <c r="G1302" s="64" t="s">
        <v>1864</v>
      </c>
    </row>
    <row r="1303" spans="1:7" x14ac:dyDescent="0.3">
      <c r="A1303" s="64" t="s">
        <v>3192</v>
      </c>
      <c r="B1303" s="64" t="s">
        <v>3193</v>
      </c>
      <c r="C1303" s="64" t="s">
        <v>16</v>
      </c>
      <c r="D1303" s="64" t="s">
        <v>3194</v>
      </c>
      <c r="E1303" s="64" t="s">
        <v>368</v>
      </c>
      <c r="F1303" s="64" t="s">
        <v>9302</v>
      </c>
      <c r="G1303" s="64" t="s">
        <v>1872</v>
      </c>
    </row>
    <row r="1304" spans="1:7" x14ac:dyDescent="0.3">
      <c r="A1304" s="64" t="s">
        <v>3192</v>
      </c>
      <c r="B1304" s="64" t="s">
        <v>3193</v>
      </c>
      <c r="C1304" s="64" t="s">
        <v>16</v>
      </c>
      <c r="D1304" s="64" t="s">
        <v>3194</v>
      </c>
      <c r="E1304" s="64" t="s">
        <v>372</v>
      </c>
      <c r="F1304" s="64" t="s">
        <v>9302</v>
      </c>
      <c r="G1304" s="64" t="s">
        <v>1873</v>
      </c>
    </row>
    <row r="1305" spans="1:7" x14ac:dyDescent="0.3">
      <c r="A1305" s="64" t="s">
        <v>3208</v>
      </c>
      <c r="B1305" s="64" t="s">
        <v>3207</v>
      </c>
      <c r="C1305" s="64" t="s">
        <v>20</v>
      </c>
      <c r="D1305" s="64" t="s">
        <v>3194</v>
      </c>
      <c r="E1305" s="64" t="s">
        <v>15</v>
      </c>
      <c r="F1305" s="64" t="s">
        <v>3209</v>
      </c>
      <c r="G1305" s="64" t="s">
        <v>805</v>
      </c>
    </row>
    <row r="1306" spans="1:7" x14ac:dyDescent="0.3">
      <c r="A1306" s="64" t="s">
        <v>3208</v>
      </c>
      <c r="B1306" s="64" t="s">
        <v>3207</v>
      </c>
      <c r="C1306" s="64" t="s">
        <v>16</v>
      </c>
      <c r="D1306" s="64" t="s">
        <v>3180</v>
      </c>
      <c r="E1306" s="64" t="s">
        <v>369</v>
      </c>
      <c r="F1306" s="64" t="s">
        <v>3209</v>
      </c>
      <c r="G1306" s="64" t="s">
        <v>1860</v>
      </c>
    </row>
    <row r="1307" spans="1:7" x14ac:dyDescent="0.3">
      <c r="A1307" s="64" t="s">
        <v>3208</v>
      </c>
      <c r="B1307" s="64" t="s">
        <v>3207</v>
      </c>
      <c r="C1307" s="64" t="s">
        <v>16</v>
      </c>
      <c r="D1307" s="64" t="s">
        <v>3180</v>
      </c>
      <c r="E1307" s="64" t="s">
        <v>382</v>
      </c>
      <c r="F1307" s="64" t="s">
        <v>3209</v>
      </c>
      <c r="G1307" s="64" t="s">
        <v>1861</v>
      </c>
    </row>
    <row r="1308" spans="1:7" x14ac:dyDescent="0.3">
      <c r="A1308" s="64" t="s">
        <v>3208</v>
      </c>
      <c r="B1308" s="64" t="s">
        <v>3207</v>
      </c>
      <c r="C1308" s="64" t="s">
        <v>16</v>
      </c>
      <c r="D1308" s="64" t="s">
        <v>3180</v>
      </c>
      <c r="E1308" s="64" t="s">
        <v>370</v>
      </c>
      <c r="F1308" s="64" t="s">
        <v>3209</v>
      </c>
      <c r="G1308" s="64" t="s">
        <v>1862</v>
      </c>
    </row>
    <row r="1309" spans="1:7" x14ac:dyDescent="0.3">
      <c r="A1309" s="64" t="s">
        <v>3208</v>
      </c>
      <c r="B1309" s="64" t="s">
        <v>3207</v>
      </c>
      <c r="C1309" s="64" t="s">
        <v>16</v>
      </c>
      <c r="D1309" s="64" t="s">
        <v>3180</v>
      </c>
      <c r="E1309" s="64" t="s">
        <v>378</v>
      </c>
      <c r="F1309" s="64" t="s">
        <v>3209</v>
      </c>
      <c r="G1309" s="64" t="s">
        <v>1863</v>
      </c>
    </row>
    <row r="1310" spans="1:7" x14ac:dyDescent="0.3">
      <c r="A1310" s="64" t="s">
        <v>3208</v>
      </c>
      <c r="B1310" s="64" t="s">
        <v>3207</v>
      </c>
      <c r="C1310" s="64" t="s">
        <v>16</v>
      </c>
      <c r="D1310" s="64" t="s">
        <v>3180</v>
      </c>
      <c r="E1310" s="64" t="s">
        <v>371</v>
      </c>
      <c r="F1310" s="64" t="s">
        <v>3209</v>
      </c>
      <c r="G1310" s="64" t="s">
        <v>1864</v>
      </c>
    </row>
    <row r="1311" spans="1:7" x14ac:dyDescent="0.3">
      <c r="A1311" s="64" t="s">
        <v>3208</v>
      </c>
      <c r="B1311" s="64" t="s">
        <v>3207</v>
      </c>
      <c r="C1311" s="64" t="s">
        <v>16</v>
      </c>
      <c r="D1311" s="64" t="s">
        <v>3180</v>
      </c>
      <c r="E1311" s="64" t="s">
        <v>376</v>
      </c>
      <c r="F1311" s="64" t="s">
        <v>3209</v>
      </c>
      <c r="G1311" s="64" t="s">
        <v>1865</v>
      </c>
    </row>
    <row r="1312" spans="1:7" x14ac:dyDescent="0.3">
      <c r="A1312" s="64" t="s">
        <v>3208</v>
      </c>
      <c r="B1312" s="64" t="s">
        <v>3207</v>
      </c>
      <c r="C1312" s="64" t="s">
        <v>16</v>
      </c>
      <c r="D1312" s="64" t="s">
        <v>3180</v>
      </c>
      <c r="E1312" s="64" t="s">
        <v>377</v>
      </c>
      <c r="F1312" s="64" t="s">
        <v>3209</v>
      </c>
      <c r="G1312" s="64" t="s">
        <v>1866</v>
      </c>
    </row>
    <row r="1313" spans="1:7" x14ac:dyDescent="0.3">
      <c r="A1313" s="64" t="s">
        <v>3208</v>
      </c>
      <c r="B1313" s="64" t="s">
        <v>3207</v>
      </c>
      <c r="C1313" s="64" t="s">
        <v>16</v>
      </c>
      <c r="D1313" s="64" t="s">
        <v>3180</v>
      </c>
      <c r="E1313" s="64" t="s">
        <v>381</v>
      </c>
      <c r="F1313" s="64" t="s">
        <v>3209</v>
      </c>
      <c r="G1313" s="64" t="s">
        <v>1867</v>
      </c>
    </row>
    <row r="1314" spans="1:7" x14ac:dyDescent="0.3">
      <c r="A1314" s="64" t="s">
        <v>3208</v>
      </c>
      <c r="B1314" s="64" t="s">
        <v>3207</v>
      </c>
      <c r="C1314" s="64" t="s">
        <v>16</v>
      </c>
      <c r="D1314" s="64" t="s">
        <v>3180</v>
      </c>
      <c r="E1314" s="64" t="s">
        <v>379</v>
      </c>
      <c r="F1314" s="64" t="s">
        <v>3209</v>
      </c>
      <c r="G1314" s="64" t="s">
        <v>1868</v>
      </c>
    </row>
    <row r="1315" spans="1:7" x14ac:dyDescent="0.3">
      <c r="A1315" s="64" t="s">
        <v>3208</v>
      </c>
      <c r="B1315" s="64" t="s">
        <v>3207</v>
      </c>
      <c r="C1315" s="64" t="s">
        <v>16</v>
      </c>
      <c r="D1315" s="64" t="s">
        <v>3180</v>
      </c>
      <c r="E1315" s="64" t="s">
        <v>374</v>
      </c>
      <c r="F1315" s="64" t="s">
        <v>3209</v>
      </c>
      <c r="G1315" s="64" t="s">
        <v>1869</v>
      </c>
    </row>
    <row r="1316" spans="1:7" x14ac:dyDescent="0.3">
      <c r="A1316" s="64" t="s">
        <v>3208</v>
      </c>
      <c r="B1316" s="64" t="s">
        <v>3207</v>
      </c>
      <c r="C1316" s="64" t="s">
        <v>16</v>
      </c>
      <c r="D1316" s="64" t="s">
        <v>3180</v>
      </c>
      <c r="E1316" s="64" t="s">
        <v>383</v>
      </c>
      <c r="F1316" s="64" t="s">
        <v>3209</v>
      </c>
      <c r="G1316" s="64" t="s">
        <v>1870</v>
      </c>
    </row>
    <row r="1317" spans="1:7" x14ac:dyDescent="0.3">
      <c r="A1317" s="64" t="s">
        <v>3208</v>
      </c>
      <c r="B1317" s="64" t="s">
        <v>3207</v>
      </c>
      <c r="C1317" s="64" t="s">
        <v>16</v>
      </c>
      <c r="D1317" s="64" t="s">
        <v>3180</v>
      </c>
      <c r="E1317" s="64" t="s">
        <v>373</v>
      </c>
      <c r="F1317" s="64" t="s">
        <v>3209</v>
      </c>
      <c r="G1317" s="64" t="s">
        <v>1871</v>
      </c>
    </row>
    <row r="1318" spans="1:7" x14ac:dyDescent="0.3">
      <c r="A1318" s="64" t="s">
        <v>3208</v>
      </c>
      <c r="B1318" s="64" t="s">
        <v>3207</v>
      </c>
      <c r="C1318" s="64" t="s">
        <v>16</v>
      </c>
      <c r="D1318" s="64" t="s">
        <v>3180</v>
      </c>
      <c r="E1318" s="64" t="s">
        <v>368</v>
      </c>
      <c r="F1318" s="64" t="s">
        <v>3209</v>
      </c>
      <c r="G1318" s="64" t="s">
        <v>1872</v>
      </c>
    </row>
    <row r="1319" spans="1:7" x14ac:dyDescent="0.3">
      <c r="A1319" s="64" t="s">
        <v>3208</v>
      </c>
      <c r="B1319" s="64" t="s">
        <v>3207</v>
      </c>
      <c r="C1319" s="64" t="s">
        <v>16</v>
      </c>
      <c r="D1319" s="64" t="s">
        <v>3180</v>
      </c>
      <c r="E1319" s="64" t="s">
        <v>372</v>
      </c>
      <c r="F1319" s="64" t="s">
        <v>3209</v>
      </c>
      <c r="G1319" s="64" t="s">
        <v>1873</v>
      </c>
    </row>
    <row r="1320" spans="1:7" x14ac:dyDescent="0.3">
      <c r="A1320" s="64" t="s">
        <v>3208</v>
      </c>
      <c r="B1320" s="64" t="s">
        <v>3207</v>
      </c>
      <c r="C1320" s="64" t="s">
        <v>16</v>
      </c>
      <c r="D1320" s="64" t="s">
        <v>3180</v>
      </c>
      <c r="E1320" s="64" t="s">
        <v>375</v>
      </c>
      <c r="F1320" s="64" t="s">
        <v>3209</v>
      </c>
      <c r="G1320" s="64" t="s">
        <v>1874</v>
      </c>
    </row>
    <row r="1321" spans="1:7" x14ac:dyDescent="0.3">
      <c r="A1321" s="64" t="s">
        <v>3208</v>
      </c>
      <c r="B1321" s="64" t="s">
        <v>3207</v>
      </c>
      <c r="C1321" s="64" t="s">
        <v>16</v>
      </c>
      <c r="D1321" s="64" t="s">
        <v>3180</v>
      </c>
      <c r="E1321" s="64" t="s">
        <v>380</v>
      </c>
      <c r="F1321" s="64" t="s">
        <v>3209</v>
      </c>
      <c r="G1321" s="64" t="s">
        <v>1875</v>
      </c>
    </row>
    <row r="1322" spans="1:7" x14ac:dyDescent="0.3">
      <c r="A1322" s="64" t="s">
        <v>3213</v>
      </c>
      <c r="B1322" s="64" t="s">
        <v>3207</v>
      </c>
      <c r="C1322" s="64" t="s">
        <v>20</v>
      </c>
      <c r="D1322" s="64" t="s">
        <v>3194</v>
      </c>
      <c r="E1322" s="64" t="s">
        <v>15</v>
      </c>
      <c r="F1322" s="64" t="s">
        <v>3214</v>
      </c>
      <c r="G1322" s="64" t="s">
        <v>805</v>
      </c>
    </row>
    <row r="1323" spans="1:7" x14ac:dyDescent="0.3">
      <c r="A1323" s="64" t="s">
        <v>3213</v>
      </c>
      <c r="B1323" s="64" t="s">
        <v>3207</v>
      </c>
      <c r="C1323" s="64" t="s">
        <v>16</v>
      </c>
      <c r="D1323" s="64" t="s">
        <v>3180</v>
      </c>
      <c r="E1323" s="64" t="s">
        <v>369</v>
      </c>
      <c r="F1323" s="64" t="s">
        <v>3214</v>
      </c>
      <c r="G1323" s="64" t="s">
        <v>1860</v>
      </c>
    </row>
    <row r="1324" spans="1:7" x14ac:dyDescent="0.3">
      <c r="A1324" s="64" t="s">
        <v>3213</v>
      </c>
      <c r="B1324" s="64" t="s">
        <v>3207</v>
      </c>
      <c r="C1324" s="64" t="s">
        <v>16</v>
      </c>
      <c r="D1324" s="64" t="s">
        <v>3180</v>
      </c>
      <c r="E1324" s="64" t="s">
        <v>382</v>
      </c>
      <c r="F1324" s="64" t="s">
        <v>3214</v>
      </c>
      <c r="G1324" s="64" t="s">
        <v>1861</v>
      </c>
    </row>
    <row r="1325" spans="1:7" x14ac:dyDescent="0.3">
      <c r="A1325" s="64" t="s">
        <v>3213</v>
      </c>
      <c r="B1325" s="64" t="s">
        <v>3207</v>
      </c>
      <c r="C1325" s="64" t="s">
        <v>16</v>
      </c>
      <c r="D1325" s="64" t="s">
        <v>3180</v>
      </c>
      <c r="E1325" s="64" t="s">
        <v>370</v>
      </c>
      <c r="F1325" s="64" t="s">
        <v>3214</v>
      </c>
      <c r="G1325" s="64" t="s">
        <v>1862</v>
      </c>
    </row>
    <row r="1326" spans="1:7" x14ac:dyDescent="0.3">
      <c r="A1326" s="64" t="s">
        <v>3213</v>
      </c>
      <c r="B1326" s="64" t="s">
        <v>3207</v>
      </c>
      <c r="C1326" s="64" t="s">
        <v>16</v>
      </c>
      <c r="D1326" s="64" t="s">
        <v>3180</v>
      </c>
      <c r="E1326" s="64" t="s">
        <v>378</v>
      </c>
      <c r="F1326" s="64" t="s">
        <v>3214</v>
      </c>
      <c r="G1326" s="64" t="s">
        <v>1863</v>
      </c>
    </row>
    <row r="1327" spans="1:7" x14ac:dyDescent="0.3">
      <c r="A1327" s="64" t="s">
        <v>3213</v>
      </c>
      <c r="B1327" s="64" t="s">
        <v>3207</v>
      </c>
      <c r="C1327" s="64" t="s">
        <v>16</v>
      </c>
      <c r="D1327" s="64" t="s">
        <v>3180</v>
      </c>
      <c r="E1327" s="64" t="s">
        <v>371</v>
      </c>
      <c r="F1327" s="64" t="s">
        <v>3214</v>
      </c>
      <c r="G1327" s="64" t="s">
        <v>1864</v>
      </c>
    </row>
    <row r="1328" spans="1:7" x14ac:dyDescent="0.3">
      <c r="A1328" s="64" t="s">
        <v>3213</v>
      </c>
      <c r="B1328" s="64" t="s">
        <v>3207</v>
      </c>
      <c r="C1328" s="64" t="s">
        <v>16</v>
      </c>
      <c r="D1328" s="64" t="s">
        <v>3180</v>
      </c>
      <c r="E1328" s="64" t="s">
        <v>376</v>
      </c>
      <c r="F1328" s="64" t="s">
        <v>3214</v>
      </c>
      <c r="G1328" s="64" t="s">
        <v>1865</v>
      </c>
    </row>
    <row r="1329" spans="1:7" x14ac:dyDescent="0.3">
      <c r="A1329" s="64" t="s">
        <v>3213</v>
      </c>
      <c r="B1329" s="64" t="s">
        <v>3207</v>
      </c>
      <c r="C1329" s="64" t="s">
        <v>16</v>
      </c>
      <c r="D1329" s="64" t="s">
        <v>3180</v>
      </c>
      <c r="E1329" s="64" t="s">
        <v>377</v>
      </c>
      <c r="F1329" s="64" t="s">
        <v>3214</v>
      </c>
      <c r="G1329" s="64" t="s">
        <v>1866</v>
      </c>
    </row>
    <row r="1330" spans="1:7" x14ac:dyDescent="0.3">
      <c r="A1330" s="64" t="s">
        <v>3213</v>
      </c>
      <c r="B1330" s="64" t="s">
        <v>3207</v>
      </c>
      <c r="C1330" s="64" t="s">
        <v>16</v>
      </c>
      <c r="D1330" s="64" t="s">
        <v>3180</v>
      </c>
      <c r="E1330" s="64" t="s">
        <v>381</v>
      </c>
      <c r="F1330" s="64" t="s">
        <v>3214</v>
      </c>
      <c r="G1330" s="64" t="s">
        <v>1867</v>
      </c>
    </row>
    <row r="1331" spans="1:7" x14ac:dyDescent="0.3">
      <c r="A1331" s="64" t="s">
        <v>3213</v>
      </c>
      <c r="B1331" s="64" t="s">
        <v>3207</v>
      </c>
      <c r="C1331" s="64" t="s">
        <v>16</v>
      </c>
      <c r="D1331" s="64" t="s">
        <v>3180</v>
      </c>
      <c r="E1331" s="64" t="s">
        <v>379</v>
      </c>
      <c r="F1331" s="64" t="s">
        <v>3214</v>
      </c>
      <c r="G1331" s="64" t="s">
        <v>1868</v>
      </c>
    </row>
    <row r="1332" spans="1:7" x14ac:dyDescent="0.3">
      <c r="A1332" s="64" t="s">
        <v>3213</v>
      </c>
      <c r="B1332" s="64" t="s">
        <v>3207</v>
      </c>
      <c r="C1332" s="64" t="s">
        <v>16</v>
      </c>
      <c r="D1332" s="64" t="s">
        <v>3180</v>
      </c>
      <c r="E1332" s="64" t="s">
        <v>374</v>
      </c>
      <c r="F1332" s="64" t="s">
        <v>3214</v>
      </c>
      <c r="G1332" s="64" t="s">
        <v>1869</v>
      </c>
    </row>
    <row r="1333" spans="1:7" x14ac:dyDescent="0.3">
      <c r="A1333" s="64" t="s">
        <v>3213</v>
      </c>
      <c r="B1333" s="64" t="s">
        <v>3207</v>
      </c>
      <c r="C1333" s="64" t="s">
        <v>16</v>
      </c>
      <c r="D1333" s="64" t="s">
        <v>3180</v>
      </c>
      <c r="E1333" s="64" t="s">
        <v>383</v>
      </c>
      <c r="F1333" s="64" t="s">
        <v>3214</v>
      </c>
      <c r="G1333" s="64" t="s">
        <v>1870</v>
      </c>
    </row>
    <row r="1334" spans="1:7" x14ac:dyDescent="0.3">
      <c r="A1334" s="64" t="s">
        <v>3213</v>
      </c>
      <c r="B1334" s="64" t="s">
        <v>3207</v>
      </c>
      <c r="C1334" s="64" t="s">
        <v>16</v>
      </c>
      <c r="D1334" s="64" t="s">
        <v>3180</v>
      </c>
      <c r="E1334" s="64" t="s">
        <v>373</v>
      </c>
      <c r="F1334" s="64" t="s">
        <v>3214</v>
      </c>
      <c r="G1334" s="64" t="s">
        <v>1871</v>
      </c>
    </row>
    <row r="1335" spans="1:7" x14ac:dyDescent="0.3">
      <c r="A1335" s="64" t="s">
        <v>3213</v>
      </c>
      <c r="B1335" s="64" t="s">
        <v>3207</v>
      </c>
      <c r="C1335" s="64" t="s">
        <v>16</v>
      </c>
      <c r="D1335" s="64" t="s">
        <v>3180</v>
      </c>
      <c r="E1335" s="64" t="s">
        <v>368</v>
      </c>
      <c r="F1335" s="64" t="s">
        <v>3214</v>
      </c>
      <c r="G1335" s="64" t="s">
        <v>1872</v>
      </c>
    </row>
    <row r="1336" spans="1:7" x14ac:dyDescent="0.3">
      <c r="A1336" s="64" t="s">
        <v>3213</v>
      </c>
      <c r="B1336" s="64" t="s">
        <v>3207</v>
      </c>
      <c r="C1336" s="64" t="s">
        <v>16</v>
      </c>
      <c r="D1336" s="64" t="s">
        <v>3180</v>
      </c>
      <c r="E1336" s="64" t="s">
        <v>372</v>
      </c>
      <c r="F1336" s="64" t="s">
        <v>3214</v>
      </c>
      <c r="G1336" s="64" t="s">
        <v>1873</v>
      </c>
    </row>
    <row r="1337" spans="1:7" x14ac:dyDescent="0.3">
      <c r="A1337" s="64" t="s">
        <v>3213</v>
      </c>
      <c r="B1337" s="64" t="s">
        <v>3207</v>
      </c>
      <c r="C1337" s="64" t="s">
        <v>16</v>
      </c>
      <c r="D1337" s="64" t="s">
        <v>3180</v>
      </c>
      <c r="E1337" s="64" t="s">
        <v>375</v>
      </c>
      <c r="F1337" s="64" t="s">
        <v>3214</v>
      </c>
      <c r="G1337" s="64" t="s">
        <v>1874</v>
      </c>
    </row>
    <row r="1338" spans="1:7" x14ac:dyDescent="0.3">
      <c r="A1338" s="64" t="s">
        <v>3213</v>
      </c>
      <c r="B1338" s="64" t="s">
        <v>3207</v>
      </c>
      <c r="C1338" s="64" t="s">
        <v>16</v>
      </c>
      <c r="D1338" s="64" t="s">
        <v>3180</v>
      </c>
      <c r="E1338" s="64" t="s">
        <v>380</v>
      </c>
      <c r="F1338" s="64" t="s">
        <v>3214</v>
      </c>
      <c r="G1338" s="64" t="s">
        <v>1875</v>
      </c>
    </row>
    <row r="1339" spans="1:7" x14ac:dyDescent="0.3">
      <c r="A1339" s="64" t="s">
        <v>3216</v>
      </c>
      <c r="B1339" s="64" t="s">
        <v>4291</v>
      </c>
      <c r="C1339" s="64" t="s">
        <v>20</v>
      </c>
      <c r="D1339" s="64" t="s">
        <v>3194</v>
      </c>
      <c r="E1339" s="64" t="s">
        <v>15</v>
      </c>
      <c r="F1339" s="64" t="s">
        <v>9304</v>
      </c>
      <c r="G1339" s="64">
        <v>0</v>
      </c>
    </row>
    <row r="1340" spans="1:7" x14ac:dyDescent="0.3">
      <c r="A1340" s="64" t="s">
        <v>3218</v>
      </c>
      <c r="B1340" s="64" t="s">
        <v>4291</v>
      </c>
      <c r="C1340" s="64" t="s">
        <v>20</v>
      </c>
      <c r="D1340" s="64" t="s">
        <v>3180</v>
      </c>
      <c r="E1340" s="64" t="s">
        <v>15</v>
      </c>
      <c r="F1340" s="64" t="s">
        <v>9305</v>
      </c>
      <c r="G1340" s="64">
        <v>0</v>
      </c>
    </row>
    <row r="1341" spans="1:7" x14ac:dyDescent="0.3">
      <c r="A1341" s="64" t="s">
        <v>3219</v>
      </c>
      <c r="B1341" s="64" t="s">
        <v>4291</v>
      </c>
      <c r="C1341" s="64" t="s">
        <v>20</v>
      </c>
      <c r="D1341" s="64" t="s">
        <v>3180</v>
      </c>
      <c r="E1341" s="64" t="s">
        <v>15</v>
      </c>
      <c r="F1341" s="64" t="s">
        <v>9306</v>
      </c>
      <c r="G1341" s="64">
        <v>0</v>
      </c>
    </row>
    <row r="1342" spans="1:7" x14ac:dyDescent="0.3">
      <c r="A1342" s="64" t="s">
        <v>3261</v>
      </c>
      <c r="B1342" s="64" t="s">
        <v>2183</v>
      </c>
      <c r="C1342" s="64" t="s">
        <v>20</v>
      </c>
      <c r="D1342" s="64" t="s">
        <v>3180</v>
      </c>
      <c r="E1342" s="64" t="s">
        <v>15</v>
      </c>
      <c r="F1342" s="64" t="s">
        <v>9262</v>
      </c>
      <c r="G1342" s="64">
        <v>0</v>
      </c>
    </row>
    <row r="1343" spans="1:7" x14ac:dyDescent="0.3">
      <c r="A1343" s="64" t="s">
        <v>4279</v>
      </c>
      <c r="B1343" s="64" t="s">
        <v>823</v>
      </c>
      <c r="C1343" s="64" t="s">
        <v>20</v>
      </c>
      <c r="D1343" s="64" t="s">
        <v>3180</v>
      </c>
      <c r="E1343" s="64" t="s">
        <v>15</v>
      </c>
      <c r="F1343" s="64" t="s">
        <v>3702</v>
      </c>
      <c r="G1343" s="64">
        <v>0</v>
      </c>
    </row>
    <row r="1344" spans="1:7" x14ac:dyDescent="0.3">
      <c r="A1344" s="64" t="s">
        <v>4279</v>
      </c>
      <c r="B1344" s="64" t="s">
        <v>823</v>
      </c>
      <c r="C1344" s="64" t="s">
        <v>20</v>
      </c>
      <c r="D1344" s="64" t="s">
        <v>3194</v>
      </c>
      <c r="E1344" s="64" t="s">
        <v>15</v>
      </c>
      <c r="F1344" s="64" t="s">
        <v>3613</v>
      </c>
      <c r="G1344" s="64" t="s">
        <v>805</v>
      </c>
    </row>
    <row r="1345" spans="1:7" x14ac:dyDescent="0.3">
      <c r="A1345" s="64" t="s">
        <v>4279</v>
      </c>
      <c r="B1345" s="64" t="s">
        <v>823</v>
      </c>
      <c r="C1345" s="64" t="s">
        <v>20</v>
      </c>
      <c r="D1345" s="64" t="s">
        <v>3194</v>
      </c>
      <c r="E1345" s="64" t="s">
        <v>15</v>
      </c>
      <c r="F1345" s="64" t="s">
        <v>3686</v>
      </c>
      <c r="G1345" s="64" t="s">
        <v>805</v>
      </c>
    </row>
    <row r="1346" spans="1:7" x14ac:dyDescent="0.3">
      <c r="A1346" s="64" t="s">
        <v>4279</v>
      </c>
      <c r="B1346" s="64" t="s">
        <v>823</v>
      </c>
      <c r="C1346" s="64" t="s">
        <v>20</v>
      </c>
      <c r="D1346" s="64" t="s">
        <v>3194</v>
      </c>
      <c r="E1346" s="64" t="s">
        <v>15</v>
      </c>
      <c r="F1346" s="64" t="s">
        <v>9264</v>
      </c>
      <c r="G1346" s="64" t="s">
        <v>805</v>
      </c>
    </row>
    <row r="1347" spans="1:7" x14ac:dyDescent="0.3">
      <c r="A1347" s="64" t="s">
        <v>4279</v>
      </c>
      <c r="B1347" s="64" t="s">
        <v>823</v>
      </c>
      <c r="C1347" s="64" t="s">
        <v>16</v>
      </c>
      <c r="D1347" s="64" t="s">
        <v>3180</v>
      </c>
      <c r="E1347" s="64" t="s">
        <v>376</v>
      </c>
      <c r="F1347" s="64" t="s">
        <v>3613</v>
      </c>
      <c r="G1347" s="64" t="s">
        <v>1865</v>
      </c>
    </row>
    <row r="1348" spans="1:7" x14ac:dyDescent="0.3">
      <c r="A1348" s="64" t="s">
        <v>4279</v>
      </c>
      <c r="B1348" s="64" t="s">
        <v>823</v>
      </c>
      <c r="C1348" s="64" t="s">
        <v>16</v>
      </c>
      <c r="D1348" s="64" t="s">
        <v>3180</v>
      </c>
      <c r="E1348" s="64" t="s">
        <v>381</v>
      </c>
      <c r="F1348" s="64" t="s">
        <v>3613</v>
      </c>
      <c r="G1348" s="64" t="s">
        <v>1867</v>
      </c>
    </row>
    <row r="1349" spans="1:7" x14ac:dyDescent="0.3">
      <c r="A1349" s="64" t="s">
        <v>4279</v>
      </c>
      <c r="B1349" s="64" t="s">
        <v>823</v>
      </c>
      <c r="C1349" s="64" t="s">
        <v>16</v>
      </c>
      <c r="D1349" s="64" t="s">
        <v>3180</v>
      </c>
      <c r="E1349" s="64" t="s">
        <v>381</v>
      </c>
      <c r="F1349" s="64" t="s">
        <v>3686</v>
      </c>
      <c r="G1349" s="64" t="s">
        <v>1867</v>
      </c>
    </row>
    <row r="1350" spans="1:7" x14ac:dyDescent="0.3">
      <c r="A1350" s="64" t="s">
        <v>4279</v>
      </c>
      <c r="B1350" s="64" t="s">
        <v>823</v>
      </c>
      <c r="C1350" s="64" t="s">
        <v>16</v>
      </c>
      <c r="D1350" s="64" t="s">
        <v>3180</v>
      </c>
      <c r="E1350" s="64" t="s">
        <v>373</v>
      </c>
      <c r="F1350" s="64" t="s">
        <v>3613</v>
      </c>
      <c r="G1350" s="64" t="s">
        <v>1871</v>
      </c>
    </row>
    <row r="1351" spans="1:7" x14ac:dyDescent="0.3">
      <c r="A1351" s="64" t="s">
        <v>4279</v>
      </c>
      <c r="B1351" s="64" t="s">
        <v>823</v>
      </c>
      <c r="C1351" s="64" t="s">
        <v>16</v>
      </c>
      <c r="D1351" s="64" t="s">
        <v>3180</v>
      </c>
      <c r="E1351" s="64" t="s">
        <v>373</v>
      </c>
      <c r="F1351" s="64" t="s">
        <v>3686</v>
      </c>
      <c r="G1351" s="64" t="s">
        <v>1871</v>
      </c>
    </row>
    <row r="1352" spans="1:7" x14ac:dyDescent="0.3">
      <c r="A1352" s="64" t="s">
        <v>4279</v>
      </c>
      <c r="B1352" s="64" t="s">
        <v>823</v>
      </c>
      <c r="C1352" s="64" t="s">
        <v>16</v>
      </c>
      <c r="D1352" s="64" t="s">
        <v>3180</v>
      </c>
      <c r="E1352" s="64" t="s">
        <v>373</v>
      </c>
      <c r="F1352" s="64" t="s">
        <v>9264</v>
      </c>
      <c r="G1352" s="64" t="s">
        <v>1871</v>
      </c>
    </row>
    <row r="1353" spans="1:7" x14ac:dyDescent="0.3">
      <c r="A1353" s="64" t="s">
        <v>4279</v>
      </c>
      <c r="B1353" s="64" t="s">
        <v>823</v>
      </c>
      <c r="C1353" s="64" t="s">
        <v>16</v>
      </c>
      <c r="D1353" s="64" t="s">
        <v>3180</v>
      </c>
      <c r="E1353" s="64" t="s">
        <v>372</v>
      </c>
      <c r="F1353" s="64" t="s">
        <v>3613</v>
      </c>
      <c r="G1353" s="64" t="s">
        <v>1873</v>
      </c>
    </row>
    <row r="1354" spans="1:7" x14ac:dyDescent="0.3">
      <c r="A1354" s="64" t="s">
        <v>4279</v>
      </c>
      <c r="B1354" s="64" t="s">
        <v>823</v>
      </c>
      <c r="C1354" s="64" t="s">
        <v>16</v>
      </c>
      <c r="D1354" s="64" t="s">
        <v>3180</v>
      </c>
      <c r="E1354" s="64" t="s">
        <v>372</v>
      </c>
      <c r="F1354" s="64" t="s">
        <v>3686</v>
      </c>
      <c r="G1354" s="64" t="s">
        <v>1873</v>
      </c>
    </row>
    <row r="1355" spans="1:7" x14ac:dyDescent="0.3">
      <c r="A1355" s="64" t="s">
        <v>4279</v>
      </c>
      <c r="B1355" s="64" t="s">
        <v>823</v>
      </c>
      <c r="C1355" s="64" t="s">
        <v>16</v>
      </c>
      <c r="D1355" s="64" t="s">
        <v>3180</v>
      </c>
      <c r="E1355" s="64" t="s">
        <v>372</v>
      </c>
      <c r="F1355" s="64" t="s">
        <v>9264</v>
      </c>
      <c r="G1355" s="64" t="s">
        <v>1873</v>
      </c>
    </row>
    <row r="1356" spans="1:7" x14ac:dyDescent="0.3">
      <c r="A1356" s="64" t="s">
        <v>4279</v>
      </c>
      <c r="B1356" s="64" t="s">
        <v>823</v>
      </c>
      <c r="C1356" s="64" t="s">
        <v>16</v>
      </c>
      <c r="D1356" s="64" t="s">
        <v>3180</v>
      </c>
      <c r="E1356" s="64" t="s">
        <v>375</v>
      </c>
      <c r="F1356" s="64" t="s">
        <v>3613</v>
      </c>
      <c r="G1356" s="64" t="s">
        <v>1874</v>
      </c>
    </row>
    <row r="1357" spans="1:7" x14ac:dyDescent="0.3">
      <c r="A1357" s="64" t="s">
        <v>4279</v>
      </c>
      <c r="B1357" s="64" t="s">
        <v>823</v>
      </c>
      <c r="C1357" s="64" t="s">
        <v>16</v>
      </c>
      <c r="D1357" s="64" t="s">
        <v>3180</v>
      </c>
      <c r="E1357" s="64" t="s">
        <v>375</v>
      </c>
      <c r="F1357" s="64" t="s">
        <v>3686</v>
      </c>
      <c r="G1357" s="64" t="s">
        <v>1874</v>
      </c>
    </row>
    <row r="1358" spans="1:7" x14ac:dyDescent="0.3">
      <c r="A1358" s="64" t="s">
        <v>4279</v>
      </c>
      <c r="B1358" s="64" t="s">
        <v>823</v>
      </c>
      <c r="C1358" s="64" t="s">
        <v>16</v>
      </c>
      <c r="D1358" s="64" t="s">
        <v>3180</v>
      </c>
      <c r="E1358" s="64" t="s">
        <v>375</v>
      </c>
      <c r="F1358" s="64" t="s">
        <v>9264</v>
      </c>
      <c r="G1358" s="64" t="s">
        <v>1874</v>
      </c>
    </row>
    <row r="1359" spans="1:7" x14ac:dyDescent="0.3">
      <c r="A1359" s="64" t="s">
        <v>3633</v>
      </c>
      <c r="B1359" s="64" t="s">
        <v>823</v>
      </c>
      <c r="C1359" s="64" t="s">
        <v>20</v>
      </c>
      <c r="D1359" s="64" t="s">
        <v>3194</v>
      </c>
      <c r="E1359" s="64" t="s">
        <v>15</v>
      </c>
      <c r="F1359" s="64" t="s">
        <v>9277</v>
      </c>
      <c r="G1359" s="64" t="s">
        <v>805</v>
      </c>
    </row>
    <row r="1360" spans="1:7" x14ac:dyDescent="0.3">
      <c r="A1360" s="64" t="s">
        <v>3633</v>
      </c>
      <c r="B1360" s="64" t="s">
        <v>823</v>
      </c>
      <c r="C1360" s="64" t="s">
        <v>16</v>
      </c>
      <c r="D1360" s="64" t="s">
        <v>3180</v>
      </c>
      <c r="E1360" s="64" t="s">
        <v>369</v>
      </c>
      <c r="F1360" s="64" t="s">
        <v>9277</v>
      </c>
      <c r="G1360" s="64" t="s">
        <v>1860</v>
      </c>
    </row>
    <row r="1361" spans="1:7" x14ac:dyDescent="0.3">
      <c r="A1361" s="64" t="s">
        <v>3633</v>
      </c>
      <c r="B1361" s="64" t="s">
        <v>823</v>
      </c>
      <c r="C1361" s="64" t="s">
        <v>16</v>
      </c>
      <c r="D1361" s="64" t="s">
        <v>3180</v>
      </c>
      <c r="E1361" s="64" t="s">
        <v>382</v>
      </c>
      <c r="F1361" s="64" t="s">
        <v>9277</v>
      </c>
      <c r="G1361" s="64" t="s">
        <v>1861</v>
      </c>
    </row>
    <row r="1362" spans="1:7" x14ac:dyDescent="0.3">
      <c r="A1362" s="64" t="s">
        <v>3633</v>
      </c>
      <c r="B1362" s="64" t="s">
        <v>823</v>
      </c>
      <c r="C1362" s="64" t="s">
        <v>16</v>
      </c>
      <c r="D1362" s="64" t="s">
        <v>3180</v>
      </c>
      <c r="E1362" s="64" t="s">
        <v>370</v>
      </c>
      <c r="F1362" s="64" t="s">
        <v>9277</v>
      </c>
      <c r="G1362" s="64" t="s">
        <v>1862</v>
      </c>
    </row>
    <row r="1363" spans="1:7" x14ac:dyDescent="0.3">
      <c r="A1363" s="64" t="s">
        <v>3633</v>
      </c>
      <c r="B1363" s="64" t="s">
        <v>823</v>
      </c>
      <c r="C1363" s="64" t="s">
        <v>16</v>
      </c>
      <c r="D1363" s="64" t="s">
        <v>3180</v>
      </c>
      <c r="E1363" s="64" t="s">
        <v>378</v>
      </c>
      <c r="F1363" s="64" t="s">
        <v>9277</v>
      </c>
      <c r="G1363" s="64" t="s">
        <v>1863</v>
      </c>
    </row>
    <row r="1364" spans="1:7" x14ac:dyDescent="0.3">
      <c r="A1364" s="64" t="s">
        <v>3633</v>
      </c>
      <c r="B1364" s="64" t="s">
        <v>823</v>
      </c>
      <c r="C1364" s="64" t="s">
        <v>16</v>
      </c>
      <c r="D1364" s="64" t="s">
        <v>3180</v>
      </c>
      <c r="E1364" s="64" t="s">
        <v>371</v>
      </c>
      <c r="F1364" s="64" t="s">
        <v>9277</v>
      </c>
      <c r="G1364" s="64" t="s">
        <v>1864</v>
      </c>
    </row>
    <row r="1365" spans="1:7" x14ac:dyDescent="0.3">
      <c r="A1365" s="64" t="s">
        <v>3633</v>
      </c>
      <c r="B1365" s="64" t="s">
        <v>823</v>
      </c>
      <c r="C1365" s="64" t="s">
        <v>16</v>
      </c>
      <c r="D1365" s="64" t="s">
        <v>3180</v>
      </c>
      <c r="E1365" s="64" t="s">
        <v>376</v>
      </c>
      <c r="F1365" s="64" t="s">
        <v>9277</v>
      </c>
      <c r="G1365" s="64" t="s">
        <v>1865</v>
      </c>
    </row>
    <row r="1366" spans="1:7" x14ac:dyDescent="0.3">
      <c r="A1366" s="64" t="s">
        <v>3633</v>
      </c>
      <c r="B1366" s="64" t="s">
        <v>823</v>
      </c>
      <c r="C1366" s="64" t="s">
        <v>16</v>
      </c>
      <c r="D1366" s="64" t="s">
        <v>3180</v>
      </c>
      <c r="E1366" s="64" t="s">
        <v>377</v>
      </c>
      <c r="F1366" s="64" t="s">
        <v>9277</v>
      </c>
      <c r="G1366" s="64" t="s">
        <v>1866</v>
      </c>
    </row>
    <row r="1367" spans="1:7" x14ac:dyDescent="0.3">
      <c r="A1367" s="64" t="s">
        <v>3633</v>
      </c>
      <c r="B1367" s="64" t="s">
        <v>823</v>
      </c>
      <c r="C1367" s="64" t="s">
        <v>16</v>
      </c>
      <c r="D1367" s="64" t="s">
        <v>3180</v>
      </c>
      <c r="E1367" s="64" t="s">
        <v>381</v>
      </c>
      <c r="F1367" s="64" t="s">
        <v>9277</v>
      </c>
      <c r="G1367" s="64" t="s">
        <v>1867</v>
      </c>
    </row>
    <row r="1368" spans="1:7" x14ac:dyDescent="0.3">
      <c r="A1368" s="64" t="s">
        <v>3633</v>
      </c>
      <c r="B1368" s="64" t="s">
        <v>823</v>
      </c>
      <c r="C1368" s="64" t="s">
        <v>16</v>
      </c>
      <c r="D1368" s="64" t="s">
        <v>3180</v>
      </c>
      <c r="E1368" s="64" t="s">
        <v>379</v>
      </c>
      <c r="F1368" s="64" t="s">
        <v>9277</v>
      </c>
      <c r="G1368" s="64" t="s">
        <v>1868</v>
      </c>
    </row>
    <row r="1369" spans="1:7" x14ac:dyDescent="0.3">
      <c r="A1369" s="64" t="s">
        <v>3633</v>
      </c>
      <c r="B1369" s="64" t="s">
        <v>823</v>
      </c>
      <c r="C1369" s="64" t="s">
        <v>16</v>
      </c>
      <c r="D1369" s="64" t="s">
        <v>3180</v>
      </c>
      <c r="E1369" s="64" t="s">
        <v>374</v>
      </c>
      <c r="F1369" s="64" t="s">
        <v>9277</v>
      </c>
      <c r="G1369" s="64" t="s">
        <v>1869</v>
      </c>
    </row>
    <row r="1370" spans="1:7" x14ac:dyDescent="0.3">
      <c r="A1370" s="64" t="s">
        <v>3633</v>
      </c>
      <c r="B1370" s="64" t="s">
        <v>823</v>
      </c>
      <c r="C1370" s="64" t="s">
        <v>16</v>
      </c>
      <c r="D1370" s="64" t="s">
        <v>3180</v>
      </c>
      <c r="E1370" s="64" t="s">
        <v>383</v>
      </c>
      <c r="F1370" s="64" t="s">
        <v>9277</v>
      </c>
      <c r="G1370" s="64" t="s">
        <v>1870</v>
      </c>
    </row>
    <row r="1371" spans="1:7" x14ac:dyDescent="0.3">
      <c r="A1371" s="64" t="s">
        <v>3633</v>
      </c>
      <c r="B1371" s="64" t="s">
        <v>823</v>
      </c>
      <c r="C1371" s="64" t="s">
        <v>16</v>
      </c>
      <c r="D1371" s="64" t="s">
        <v>3180</v>
      </c>
      <c r="E1371" s="64" t="s">
        <v>373</v>
      </c>
      <c r="F1371" s="64" t="s">
        <v>9277</v>
      </c>
      <c r="G1371" s="64" t="s">
        <v>1871</v>
      </c>
    </row>
    <row r="1372" spans="1:7" x14ac:dyDescent="0.3">
      <c r="A1372" s="64" t="s">
        <v>3633</v>
      </c>
      <c r="B1372" s="64" t="s">
        <v>823</v>
      </c>
      <c r="C1372" s="64" t="s">
        <v>16</v>
      </c>
      <c r="D1372" s="64" t="s">
        <v>3180</v>
      </c>
      <c r="E1372" s="64" t="s">
        <v>368</v>
      </c>
      <c r="F1372" s="64" t="s">
        <v>9277</v>
      </c>
      <c r="G1372" s="64" t="s">
        <v>1872</v>
      </c>
    </row>
    <row r="1373" spans="1:7" x14ac:dyDescent="0.3">
      <c r="A1373" s="64" t="s">
        <v>3633</v>
      </c>
      <c r="B1373" s="64" t="s">
        <v>823</v>
      </c>
      <c r="C1373" s="64" t="s">
        <v>16</v>
      </c>
      <c r="D1373" s="64" t="s">
        <v>3180</v>
      </c>
      <c r="E1373" s="64" t="s">
        <v>372</v>
      </c>
      <c r="F1373" s="64" t="s">
        <v>9277</v>
      </c>
      <c r="G1373" s="64" t="s">
        <v>1873</v>
      </c>
    </row>
    <row r="1374" spans="1:7" x14ac:dyDescent="0.3">
      <c r="A1374" s="64" t="s">
        <v>3633</v>
      </c>
      <c r="B1374" s="64" t="s">
        <v>823</v>
      </c>
      <c r="C1374" s="64" t="s">
        <v>16</v>
      </c>
      <c r="D1374" s="64" t="s">
        <v>3180</v>
      </c>
      <c r="E1374" s="64" t="s">
        <v>375</v>
      </c>
      <c r="F1374" s="64" t="s">
        <v>9277</v>
      </c>
      <c r="G1374" s="64" t="s">
        <v>1874</v>
      </c>
    </row>
    <row r="1375" spans="1:7" x14ac:dyDescent="0.3">
      <c r="A1375" s="64" t="s">
        <v>3633</v>
      </c>
      <c r="B1375" s="64" t="s">
        <v>823</v>
      </c>
      <c r="C1375" s="64" t="s">
        <v>16</v>
      </c>
      <c r="D1375" s="64" t="s">
        <v>3180</v>
      </c>
      <c r="E1375" s="64" t="s">
        <v>380</v>
      </c>
      <c r="F1375" s="64" t="s">
        <v>9277</v>
      </c>
      <c r="G1375" s="64" t="s">
        <v>1875</v>
      </c>
    </row>
    <row r="1376" spans="1:7" x14ac:dyDescent="0.3">
      <c r="A1376" s="64" t="s">
        <v>4287</v>
      </c>
      <c r="B1376" s="64" t="s">
        <v>1885</v>
      </c>
      <c r="C1376" s="64" t="s">
        <v>20</v>
      </c>
      <c r="D1376" s="64" t="s">
        <v>3194</v>
      </c>
      <c r="E1376" s="64" t="s">
        <v>15</v>
      </c>
      <c r="F1376" s="64" t="s">
        <v>3735</v>
      </c>
      <c r="G1376" s="64" t="s">
        <v>805</v>
      </c>
    </row>
    <row r="1377" spans="1:7" x14ac:dyDescent="0.3">
      <c r="A1377" s="64" t="s">
        <v>4287</v>
      </c>
      <c r="B1377" s="64" t="s">
        <v>1885</v>
      </c>
      <c r="C1377" s="64" t="s">
        <v>16</v>
      </c>
      <c r="D1377" s="64" t="s">
        <v>3180</v>
      </c>
      <c r="E1377" s="64" t="s">
        <v>369</v>
      </c>
      <c r="F1377" s="64" t="s">
        <v>3735</v>
      </c>
      <c r="G1377" s="64" t="s">
        <v>1860</v>
      </c>
    </row>
    <row r="1378" spans="1:7" x14ac:dyDescent="0.3">
      <c r="A1378" s="64" t="s">
        <v>4287</v>
      </c>
      <c r="B1378" s="64" t="s">
        <v>1885</v>
      </c>
      <c r="C1378" s="64" t="s">
        <v>16</v>
      </c>
      <c r="D1378" s="64" t="s">
        <v>3180</v>
      </c>
      <c r="E1378" s="64" t="s">
        <v>382</v>
      </c>
      <c r="F1378" s="64" t="s">
        <v>3735</v>
      </c>
      <c r="G1378" s="64" t="s">
        <v>1861</v>
      </c>
    </row>
    <row r="1379" spans="1:7" x14ac:dyDescent="0.3">
      <c r="A1379" s="64" t="s">
        <v>4287</v>
      </c>
      <c r="B1379" s="64" t="s">
        <v>1885</v>
      </c>
      <c r="C1379" s="64" t="s">
        <v>16</v>
      </c>
      <c r="D1379" s="64" t="s">
        <v>3180</v>
      </c>
      <c r="E1379" s="64" t="s">
        <v>370</v>
      </c>
      <c r="F1379" s="64" t="s">
        <v>3735</v>
      </c>
      <c r="G1379" s="64" t="s">
        <v>1862</v>
      </c>
    </row>
    <row r="1380" spans="1:7" x14ac:dyDescent="0.3">
      <c r="A1380" s="64" t="s">
        <v>4287</v>
      </c>
      <c r="B1380" s="64" t="s">
        <v>1885</v>
      </c>
      <c r="C1380" s="64" t="s">
        <v>16</v>
      </c>
      <c r="D1380" s="64" t="s">
        <v>3180</v>
      </c>
      <c r="E1380" s="64" t="s">
        <v>378</v>
      </c>
      <c r="F1380" s="64" t="s">
        <v>3735</v>
      </c>
      <c r="G1380" s="64" t="s">
        <v>1863</v>
      </c>
    </row>
    <row r="1381" spans="1:7" x14ac:dyDescent="0.3">
      <c r="A1381" s="64" t="s">
        <v>4287</v>
      </c>
      <c r="B1381" s="64" t="s">
        <v>1885</v>
      </c>
      <c r="C1381" s="64" t="s">
        <v>16</v>
      </c>
      <c r="D1381" s="64" t="s">
        <v>3180</v>
      </c>
      <c r="E1381" s="64" t="s">
        <v>371</v>
      </c>
      <c r="F1381" s="64" t="s">
        <v>3735</v>
      </c>
      <c r="G1381" s="64" t="s">
        <v>1864</v>
      </c>
    </row>
    <row r="1382" spans="1:7" x14ac:dyDescent="0.3">
      <c r="A1382" s="64" t="s">
        <v>4287</v>
      </c>
      <c r="B1382" s="64" t="s">
        <v>1885</v>
      </c>
      <c r="C1382" s="64" t="s">
        <v>16</v>
      </c>
      <c r="D1382" s="64" t="s">
        <v>3180</v>
      </c>
      <c r="E1382" s="64" t="s">
        <v>376</v>
      </c>
      <c r="F1382" s="64" t="s">
        <v>3735</v>
      </c>
      <c r="G1382" s="64" t="s">
        <v>1865</v>
      </c>
    </row>
    <row r="1383" spans="1:7" x14ac:dyDescent="0.3">
      <c r="A1383" s="64" t="s">
        <v>4287</v>
      </c>
      <c r="B1383" s="64" t="s">
        <v>1885</v>
      </c>
      <c r="C1383" s="64" t="s">
        <v>16</v>
      </c>
      <c r="D1383" s="64" t="s">
        <v>3180</v>
      </c>
      <c r="E1383" s="64" t="s">
        <v>377</v>
      </c>
      <c r="F1383" s="64" t="s">
        <v>3735</v>
      </c>
      <c r="G1383" s="64" t="s">
        <v>1866</v>
      </c>
    </row>
    <row r="1384" spans="1:7" x14ac:dyDescent="0.3">
      <c r="A1384" s="64" t="s">
        <v>4287</v>
      </c>
      <c r="B1384" s="64" t="s">
        <v>1885</v>
      </c>
      <c r="C1384" s="64" t="s">
        <v>16</v>
      </c>
      <c r="D1384" s="64" t="s">
        <v>3180</v>
      </c>
      <c r="E1384" s="64" t="s">
        <v>381</v>
      </c>
      <c r="F1384" s="64" t="s">
        <v>3735</v>
      </c>
      <c r="G1384" s="64" t="s">
        <v>1867</v>
      </c>
    </row>
    <row r="1385" spans="1:7" x14ac:dyDescent="0.3">
      <c r="A1385" s="64" t="s">
        <v>4287</v>
      </c>
      <c r="B1385" s="64" t="s">
        <v>1885</v>
      </c>
      <c r="C1385" s="64" t="s">
        <v>16</v>
      </c>
      <c r="D1385" s="64" t="s">
        <v>3180</v>
      </c>
      <c r="E1385" s="64" t="s">
        <v>379</v>
      </c>
      <c r="F1385" s="64" t="s">
        <v>3735</v>
      </c>
      <c r="G1385" s="64" t="s">
        <v>1868</v>
      </c>
    </row>
    <row r="1386" spans="1:7" x14ac:dyDescent="0.3">
      <c r="A1386" s="64" t="s">
        <v>4287</v>
      </c>
      <c r="B1386" s="64" t="s">
        <v>1885</v>
      </c>
      <c r="C1386" s="64" t="s">
        <v>16</v>
      </c>
      <c r="D1386" s="64" t="s">
        <v>3180</v>
      </c>
      <c r="E1386" s="64" t="s">
        <v>374</v>
      </c>
      <c r="F1386" s="64" t="s">
        <v>3735</v>
      </c>
      <c r="G1386" s="64" t="s">
        <v>1869</v>
      </c>
    </row>
    <row r="1387" spans="1:7" x14ac:dyDescent="0.3">
      <c r="A1387" s="64" t="s">
        <v>4287</v>
      </c>
      <c r="B1387" s="64" t="s">
        <v>1885</v>
      </c>
      <c r="C1387" s="64" t="s">
        <v>16</v>
      </c>
      <c r="D1387" s="64" t="s">
        <v>3180</v>
      </c>
      <c r="E1387" s="64" t="s">
        <v>383</v>
      </c>
      <c r="F1387" s="64" t="s">
        <v>3735</v>
      </c>
      <c r="G1387" s="64" t="s">
        <v>1870</v>
      </c>
    </row>
    <row r="1388" spans="1:7" x14ac:dyDescent="0.3">
      <c r="A1388" s="64" t="s">
        <v>4287</v>
      </c>
      <c r="B1388" s="64" t="s">
        <v>1885</v>
      </c>
      <c r="C1388" s="64" t="s">
        <v>16</v>
      </c>
      <c r="D1388" s="64" t="s">
        <v>3180</v>
      </c>
      <c r="E1388" s="64" t="s">
        <v>373</v>
      </c>
      <c r="F1388" s="64" t="s">
        <v>3735</v>
      </c>
      <c r="G1388" s="64" t="s">
        <v>1871</v>
      </c>
    </row>
    <row r="1389" spans="1:7" x14ac:dyDescent="0.3">
      <c r="A1389" s="64" t="s">
        <v>4287</v>
      </c>
      <c r="B1389" s="64" t="s">
        <v>1885</v>
      </c>
      <c r="C1389" s="64" t="s">
        <v>16</v>
      </c>
      <c r="D1389" s="64" t="s">
        <v>3180</v>
      </c>
      <c r="E1389" s="64" t="s">
        <v>368</v>
      </c>
      <c r="F1389" s="64" t="s">
        <v>3735</v>
      </c>
      <c r="G1389" s="64" t="s">
        <v>1872</v>
      </c>
    </row>
    <row r="1390" spans="1:7" x14ac:dyDescent="0.3">
      <c r="A1390" s="64" t="s">
        <v>4287</v>
      </c>
      <c r="B1390" s="64" t="s">
        <v>1885</v>
      </c>
      <c r="C1390" s="64" t="s">
        <v>16</v>
      </c>
      <c r="D1390" s="64" t="s">
        <v>3180</v>
      </c>
      <c r="E1390" s="64" t="s">
        <v>372</v>
      </c>
      <c r="F1390" s="64" t="s">
        <v>3735</v>
      </c>
      <c r="G1390" s="64" t="s">
        <v>1873</v>
      </c>
    </row>
    <row r="1391" spans="1:7" x14ac:dyDescent="0.3">
      <c r="A1391" s="64" t="s">
        <v>4287</v>
      </c>
      <c r="B1391" s="64" t="s">
        <v>1885</v>
      </c>
      <c r="C1391" s="64" t="s">
        <v>16</v>
      </c>
      <c r="D1391" s="64" t="s">
        <v>3180</v>
      </c>
      <c r="E1391" s="64" t="s">
        <v>375</v>
      </c>
      <c r="F1391" s="64" t="s">
        <v>3735</v>
      </c>
      <c r="G1391" s="64" t="s">
        <v>1874</v>
      </c>
    </row>
    <row r="1392" spans="1:7" x14ac:dyDescent="0.3">
      <c r="A1392" s="64" t="s">
        <v>4287</v>
      </c>
      <c r="B1392" s="64" t="s">
        <v>1885</v>
      </c>
      <c r="C1392" s="64" t="s">
        <v>16</v>
      </c>
      <c r="D1392" s="64" t="s">
        <v>3180</v>
      </c>
      <c r="E1392" s="64" t="s">
        <v>380</v>
      </c>
      <c r="F1392" s="64" t="s">
        <v>3735</v>
      </c>
      <c r="G1392" s="64" t="s">
        <v>1875</v>
      </c>
    </row>
    <row r="1393" spans="1:7" x14ac:dyDescent="0.3">
      <c r="A1393" s="64" t="s">
        <v>3770</v>
      </c>
      <c r="B1393" s="64" t="s">
        <v>823</v>
      </c>
      <c r="C1393" s="64" t="s">
        <v>20</v>
      </c>
      <c r="D1393" s="64" t="s">
        <v>3194</v>
      </c>
      <c r="E1393" s="64" t="s">
        <v>15</v>
      </c>
      <c r="F1393" s="64" t="s">
        <v>3771</v>
      </c>
      <c r="G1393" s="64" t="s">
        <v>805</v>
      </c>
    </row>
    <row r="1394" spans="1:7" x14ac:dyDescent="0.3">
      <c r="A1394" s="64" t="s">
        <v>3770</v>
      </c>
      <c r="B1394" s="64" t="s">
        <v>823</v>
      </c>
      <c r="C1394" s="64" t="s">
        <v>16</v>
      </c>
      <c r="D1394" s="64" t="s">
        <v>3180</v>
      </c>
      <c r="E1394" s="64" t="s">
        <v>368</v>
      </c>
      <c r="F1394" s="64" t="s">
        <v>3771</v>
      </c>
      <c r="G1394" s="64" t="s">
        <v>1872</v>
      </c>
    </row>
    <row r="1395" spans="1:7" x14ac:dyDescent="0.3">
      <c r="A1395" s="64" t="s">
        <v>3770</v>
      </c>
      <c r="B1395" s="64" t="s">
        <v>823</v>
      </c>
      <c r="C1395" s="64" t="s">
        <v>16</v>
      </c>
      <c r="D1395" s="64" t="s">
        <v>3180</v>
      </c>
      <c r="E1395" s="64" t="s">
        <v>372</v>
      </c>
      <c r="F1395" s="64" t="s">
        <v>3771</v>
      </c>
      <c r="G1395" s="64" t="s">
        <v>1873</v>
      </c>
    </row>
    <row r="1396" spans="1:7" x14ac:dyDescent="0.3">
      <c r="A1396" s="64" t="s">
        <v>3770</v>
      </c>
      <c r="B1396" s="64" t="s">
        <v>823</v>
      </c>
      <c r="C1396" s="64" t="s">
        <v>16</v>
      </c>
      <c r="D1396" s="64" t="s">
        <v>3180</v>
      </c>
      <c r="E1396" s="64" t="s">
        <v>375</v>
      </c>
      <c r="F1396" s="64" t="s">
        <v>3771</v>
      </c>
      <c r="G1396" s="64" t="s">
        <v>1874</v>
      </c>
    </row>
    <row r="1397" spans="1:7" x14ac:dyDescent="0.3">
      <c r="A1397" s="64" t="s">
        <v>3781</v>
      </c>
      <c r="B1397" s="64" t="s">
        <v>814</v>
      </c>
      <c r="C1397" s="64" t="s">
        <v>20</v>
      </c>
      <c r="D1397" s="64" t="s">
        <v>3180</v>
      </c>
      <c r="E1397" s="64" t="s">
        <v>15</v>
      </c>
      <c r="F1397" s="64" t="s">
        <v>3782</v>
      </c>
      <c r="G1397" s="64" t="s">
        <v>805</v>
      </c>
    </row>
    <row r="1398" spans="1:7" x14ac:dyDescent="0.3">
      <c r="A1398" s="64" t="s">
        <v>3781</v>
      </c>
      <c r="B1398" s="64" t="s">
        <v>814</v>
      </c>
      <c r="C1398" s="64" t="s">
        <v>16</v>
      </c>
      <c r="D1398" s="64" t="s">
        <v>3180</v>
      </c>
      <c r="E1398" s="64" t="s">
        <v>369</v>
      </c>
      <c r="F1398" s="64" t="s">
        <v>3782</v>
      </c>
      <c r="G1398" s="64" t="s">
        <v>1860</v>
      </c>
    </row>
    <row r="1399" spans="1:7" x14ac:dyDescent="0.3">
      <c r="A1399" s="64" t="s">
        <v>3781</v>
      </c>
      <c r="B1399" s="64" t="s">
        <v>814</v>
      </c>
      <c r="C1399" s="64" t="s">
        <v>16</v>
      </c>
      <c r="D1399" s="64" t="s">
        <v>3180</v>
      </c>
      <c r="E1399" s="64" t="s">
        <v>382</v>
      </c>
      <c r="F1399" s="64" t="s">
        <v>3782</v>
      </c>
      <c r="G1399" s="64" t="s">
        <v>1861</v>
      </c>
    </row>
    <row r="1400" spans="1:7" x14ac:dyDescent="0.3">
      <c r="A1400" s="64" t="s">
        <v>3781</v>
      </c>
      <c r="B1400" s="64" t="s">
        <v>814</v>
      </c>
      <c r="C1400" s="64" t="s">
        <v>16</v>
      </c>
      <c r="D1400" s="64" t="s">
        <v>3180</v>
      </c>
      <c r="E1400" s="64" t="s">
        <v>370</v>
      </c>
      <c r="F1400" s="64" t="s">
        <v>3782</v>
      </c>
      <c r="G1400" s="64" t="s">
        <v>1862</v>
      </c>
    </row>
    <row r="1401" spans="1:7" x14ac:dyDescent="0.3">
      <c r="A1401" s="64" t="s">
        <v>3781</v>
      </c>
      <c r="B1401" s="64" t="s">
        <v>814</v>
      </c>
      <c r="C1401" s="64" t="s">
        <v>16</v>
      </c>
      <c r="D1401" s="64" t="s">
        <v>3180</v>
      </c>
      <c r="E1401" s="64" t="s">
        <v>378</v>
      </c>
      <c r="F1401" s="64" t="s">
        <v>3782</v>
      </c>
      <c r="G1401" s="64" t="s">
        <v>1863</v>
      </c>
    </row>
    <row r="1402" spans="1:7" x14ac:dyDescent="0.3">
      <c r="A1402" s="64" t="s">
        <v>3781</v>
      </c>
      <c r="B1402" s="64" t="s">
        <v>814</v>
      </c>
      <c r="C1402" s="64" t="s">
        <v>16</v>
      </c>
      <c r="D1402" s="64" t="s">
        <v>3180</v>
      </c>
      <c r="E1402" s="64" t="s">
        <v>371</v>
      </c>
      <c r="F1402" s="64" t="s">
        <v>3782</v>
      </c>
      <c r="G1402" s="64" t="s">
        <v>1864</v>
      </c>
    </row>
    <row r="1403" spans="1:7" x14ac:dyDescent="0.3">
      <c r="A1403" s="64" t="s">
        <v>3781</v>
      </c>
      <c r="B1403" s="64" t="s">
        <v>814</v>
      </c>
      <c r="C1403" s="64" t="s">
        <v>16</v>
      </c>
      <c r="D1403" s="64" t="s">
        <v>3180</v>
      </c>
      <c r="E1403" s="64" t="s">
        <v>376</v>
      </c>
      <c r="F1403" s="64" t="s">
        <v>3782</v>
      </c>
      <c r="G1403" s="64" t="s">
        <v>1865</v>
      </c>
    </row>
    <row r="1404" spans="1:7" x14ac:dyDescent="0.3">
      <c r="A1404" s="64" t="s">
        <v>3781</v>
      </c>
      <c r="B1404" s="64" t="s">
        <v>814</v>
      </c>
      <c r="C1404" s="64" t="s">
        <v>16</v>
      </c>
      <c r="D1404" s="64" t="s">
        <v>3180</v>
      </c>
      <c r="E1404" s="64" t="s">
        <v>377</v>
      </c>
      <c r="F1404" s="64" t="s">
        <v>3782</v>
      </c>
      <c r="G1404" s="64" t="s">
        <v>1866</v>
      </c>
    </row>
    <row r="1405" spans="1:7" x14ac:dyDescent="0.3">
      <c r="A1405" s="64" t="s">
        <v>3781</v>
      </c>
      <c r="B1405" s="64" t="s">
        <v>814</v>
      </c>
      <c r="C1405" s="64" t="s">
        <v>16</v>
      </c>
      <c r="D1405" s="64" t="s">
        <v>3180</v>
      </c>
      <c r="E1405" s="64" t="s">
        <v>381</v>
      </c>
      <c r="F1405" s="64" t="s">
        <v>3782</v>
      </c>
      <c r="G1405" s="64" t="s">
        <v>1867</v>
      </c>
    </row>
    <row r="1406" spans="1:7" x14ac:dyDescent="0.3">
      <c r="A1406" s="64" t="s">
        <v>3781</v>
      </c>
      <c r="B1406" s="64" t="s">
        <v>814</v>
      </c>
      <c r="C1406" s="64" t="s">
        <v>16</v>
      </c>
      <c r="D1406" s="64" t="s">
        <v>3180</v>
      </c>
      <c r="E1406" s="64" t="s">
        <v>379</v>
      </c>
      <c r="F1406" s="64" t="s">
        <v>3782</v>
      </c>
      <c r="G1406" s="64" t="s">
        <v>1868</v>
      </c>
    </row>
    <row r="1407" spans="1:7" x14ac:dyDescent="0.3">
      <c r="A1407" s="64" t="s">
        <v>3781</v>
      </c>
      <c r="B1407" s="64" t="s">
        <v>814</v>
      </c>
      <c r="C1407" s="64" t="s">
        <v>16</v>
      </c>
      <c r="D1407" s="64" t="s">
        <v>3180</v>
      </c>
      <c r="E1407" s="64" t="s">
        <v>374</v>
      </c>
      <c r="F1407" s="64" t="s">
        <v>3782</v>
      </c>
      <c r="G1407" s="64" t="s">
        <v>1869</v>
      </c>
    </row>
    <row r="1408" spans="1:7" x14ac:dyDescent="0.3">
      <c r="A1408" s="64" t="s">
        <v>3781</v>
      </c>
      <c r="B1408" s="64" t="s">
        <v>814</v>
      </c>
      <c r="C1408" s="64" t="s">
        <v>16</v>
      </c>
      <c r="D1408" s="64" t="s">
        <v>3180</v>
      </c>
      <c r="E1408" s="64" t="s">
        <v>383</v>
      </c>
      <c r="F1408" s="64" t="s">
        <v>3782</v>
      </c>
      <c r="G1408" s="64" t="s">
        <v>1870</v>
      </c>
    </row>
    <row r="1409" spans="1:7" x14ac:dyDescent="0.3">
      <c r="A1409" s="64" t="s">
        <v>3781</v>
      </c>
      <c r="B1409" s="64" t="s">
        <v>814</v>
      </c>
      <c r="C1409" s="64" t="s">
        <v>16</v>
      </c>
      <c r="D1409" s="64" t="s">
        <v>3180</v>
      </c>
      <c r="E1409" s="64" t="s">
        <v>373</v>
      </c>
      <c r="F1409" s="64" t="s">
        <v>3782</v>
      </c>
      <c r="G1409" s="64" t="s">
        <v>1871</v>
      </c>
    </row>
    <row r="1410" spans="1:7" x14ac:dyDescent="0.3">
      <c r="A1410" s="64" t="s">
        <v>3781</v>
      </c>
      <c r="B1410" s="64" t="s">
        <v>814</v>
      </c>
      <c r="C1410" s="64" t="s">
        <v>16</v>
      </c>
      <c r="D1410" s="64" t="s">
        <v>3180</v>
      </c>
      <c r="E1410" s="64" t="s">
        <v>372</v>
      </c>
      <c r="F1410" s="64" t="s">
        <v>3782</v>
      </c>
      <c r="G1410" s="64" t="s">
        <v>1873</v>
      </c>
    </row>
    <row r="1411" spans="1:7" x14ac:dyDescent="0.3">
      <c r="A1411" s="64" t="s">
        <v>3781</v>
      </c>
      <c r="B1411" s="64" t="s">
        <v>814</v>
      </c>
      <c r="C1411" s="64" t="s">
        <v>16</v>
      </c>
      <c r="D1411" s="64" t="s">
        <v>3180</v>
      </c>
      <c r="E1411" s="64" t="s">
        <v>375</v>
      </c>
      <c r="F1411" s="64" t="s">
        <v>3782</v>
      </c>
      <c r="G1411" s="64" t="s">
        <v>1874</v>
      </c>
    </row>
    <row r="1412" spans="1:7" x14ac:dyDescent="0.3">
      <c r="A1412" s="64" t="s">
        <v>3781</v>
      </c>
      <c r="B1412" s="64" t="s">
        <v>814</v>
      </c>
      <c r="C1412" s="64" t="s">
        <v>16</v>
      </c>
      <c r="D1412" s="64" t="s">
        <v>3180</v>
      </c>
      <c r="E1412" s="64" t="s">
        <v>380</v>
      </c>
      <c r="F1412" s="64" t="s">
        <v>3782</v>
      </c>
      <c r="G1412" s="64" t="s">
        <v>1875</v>
      </c>
    </row>
    <row r="1413" spans="1:7" x14ac:dyDescent="0.3">
      <c r="A1413" s="64" t="s">
        <v>3781</v>
      </c>
      <c r="B1413" s="64" t="s">
        <v>814</v>
      </c>
      <c r="C1413" s="64" t="s">
        <v>16</v>
      </c>
      <c r="D1413" s="64" t="s">
        <v>3194</v>
      </c>
      <c r="E1413" s="64" t="s">
        <v>368</v>
      </c>
      <c r="F1413" s="64" t="s">
        <v>3782</v>
      </c>
      <c r="G1413" s="64" t="s">
        <v>1872</v>
      </c>
    </row>
    <row r="1414" spans="1:7" x14ac:dyDescent="0.3">
      <c r="A1414" s="64" t="s">
        <v>3801</v>
      </c>
      <c r="B1414" s="64" t="s">
        <v>814</v>
      </c>
      <c r="C1414" s="64" t="s">
        <v>20</v>
      </c>
      <c r="D1414" s="64" t="s">
        <v>3194</v>
      </c>
      <c r="E1414" s="64" t="s">
        <v>15</v>
      </c>
      <c r="F1414" s="64" t="s">
        <v>3801</v>
      </c>
      <c r="G1414" s="64" t="s">
        <v>805</v>
      </c>
    </row>
    <row r="1415" spans="1:7" x14ac:dyDescent="0.3">
      <c r="A1415" s="64" t="s">
        <v>3801</v>
      </c>
      <c r="B1415" s="64" t="s">
        <v>814</v>
      </c>
      <c r="C1415" s="64" t="s">
        <v>16</v>
      </c>
      <c r="D1415" s="64" t="s">
        <v>3180</v>
      </c>
      <c r="E1415" s="64" t="s">
        <v>369</v>
      </c>
      <c r="F1415" s="64" t="s">
        <v>3801</v>
      </c>
      <c r="G1415" s="64" t="s">
        <v>1860</v>
      </c>
    </row>
    <row r="1416" spans="1:7" x14ac:dyDescent="0.3">
      <c r="A1416" s="64" t="s">
        <v>3801</v>
      </c>
      <c r="B1416" s="64" t="s">
        <v>814</v>
      </c>
      <c r="C1416" s="64" t="s">
        <v>16</v>
      </c>
      <c r="D1416" s="64" t="s">
        <v>3180</v>
      </c>
      <c r="E1416" s="64" t="s">
        <v>382</v>
      </c>
      <c r="F1416" s="64" t="s">
        <v>3801</v>
      </c>
      <c r="G1416" s="64" t="s">
        <v>1861</v>
      </c>
    </row>
    <row r="1417" spans="1:7" x14ac:dyDescent="0.3">
      <c r="A1417" s="64" t="s">
        <v>3801</v>
      </c>
      <c r="B1417" s="64" t="s">
        <v>814</v>
      </c>
      <c r="C1417" s="64" t="s">
        <v>16</v>
      </c>
      <c r="D1417" s="64" t="s">
        <v>3180</v>
      </c>
      <c r="E1417" s="64" t="s">
        <v>370</v>
      </c>
      <c r="F1417" s="64" t="s">
        <v>3801</v>
      </c>
      <c r="G1417" s="64" t="s">
        <v>1862</v>
      </c>
    </row>
    <row r="1418" spans="1:7" x14ac:dyDescent="0.3">
      <c r="A1418" s="64" t="s">
        <v>3801</v>
      </c>
      <c r="B1418" s="64" t="s">
        <v>814</v>
      </c>
      <c r="C1418" s="64" t="s">
        <v>16</v>
      </c>
      <c r="D1418" s="64" t="s">
        <v>3180</v>
      </c>
      <c r="E1418" s="64" t="s">
        <v>378</v>
      </c>
      <c r="F1418" s="64" t="s">
        <v>3801</v>
      </c>
      <c r="G1418" s="64" t="s">
        <v>1863</v>
      </c>
    </row>
    <row r="1419" spans="1:7" x14ac:dyDescent="0.3">
      <c r="A1419" s="64" t="s">
        <v>3801</v>
      </c>
      <c r="B1419" s="64" t="s">
        <v>814</v>
      </c>
      <c r="C1419" s="64" t="s">
        <v>16</v>
      </c>
      <c r="D1419" s="64" t="s">
        <v>3180</v>
      </c>
      <c r="E1419" s="64" t="s">
        <v>371</v>
      </c>
      <c r="F1419" s="64" t="s">
        <v>3801</v>
      </c>
      <c r="G1419" s="64" t="s">
        <v>1864</v>
      </c>
    </row>
    <row r="1420" spans="1:7" x14ac:dyDescent="0.3">
      <c r="A1420" s="64" t="s">
        <v>3801</v>
      </c>
      <c r="B1420" s="64" t="s">
        <v>814</v>
      </c>
      <c r="C1420" s="64" t="s">
        <v>16</v>
      </c>
      <c r="D1420" s="64" t="s">
        <v>3180</v>
      </c>
      <c r="E1420" s="64" t="s">
        <v>376</v>
      </c>
      <c r="F1420" s="64" t="s">
        <v>3801</v>
      </c>
      <c r="G1420" s="64" t="s">
        <v>1865</v>
      </c>
    </row>
    <row r="1421" spans="1:7" x14ac:dyDescent="0.3">
      <c r="A1421" s="64" t="s">
        <v>3801</v>
      </c>
      <c r="B1421" s="64" t="s">
        <v>814</v>
      </c>
      <c r="C1421" s="64" t="s">
        <v>16</v>
      </c>
      <c r="D1421" s="64" t="s">
        <v>3180</v>
      </c>
      <c r="E1421" s="64" t="s">
        <v>377</v>
      </c>
      <c r="F1421" s="64" t="s">
        <v>3801</v>
      </c>
      <c r="G1421" s="64" t="s">
        <v>1866</v>
      </c>
    </row>
    <row r="1422" spans="1:7" x14ac:dyDescent="0.3">
      <c r="A1422" s="64" t="s">
        <v>3801</v>
      </c>
      <c r="B1422" s="64" t="s">
        <v>814</v>
      </c>
      <c r="C1422" s="64" t="s">
        <v>16</v>
      </c>
      <c r="D1422" s="64" t="s">
        <v>3180</v>
      </c>
      <c r="E1422" s="64" t="s">
        <v>381</v>
      </c>
      <c r="F1422" s="64" t="s">
        <v>3801</v>
      </c>
      <c r="G1422" s="64" t="s">
        <v>1867</v>
      </c>
    </row>
    <row r="1423" spans="1:7" x14ac:dyDescent="0.3">
      <c r="A1423" s="64" t="s">
        <v>3801</v>
      </c>
      <c r="B1423" s="64" t="s">
        <v>814</v>
      </c>
      <c r="C1423" s="64" t="s">
        <v>16</v>
      </c>
      <c r="D1423" s="64" t="s">
        <v>3180</v>
      </c>
      <c r="E1423" s="64" t="s">
        <v>379</v>
      </c>
      <c r="F1423" s="64" t="s">
        <v>3801</v>
      </c>
      <c r="G1423" s="64" t="s">
        <v>1868</v>
      </c>
    </row>
    <row r="1424" spans="1:7" x14ac:dyDescent="0.3">
      <c r="A1424" s="64" t="s">
        <v>3801</v>
      </c>
      <c r="B1424" s="64" t="s">
        <v>814</v>
      </c>
      <c r="C1424" s="64" t="s">
        <v>16</v>
      </c>
      <c r="D1424" s="64" t="s">
        <v>3180</v>
      </c>
      <c r="E1424" s="64" t="s">
        <v>374</v>
      </c>
      <c r="F1424" s="64" t="s">
        <v>3801</v>
      </c>
      <c r="G1424" s="64" t="s">
        <v>1869</v>
      </c>
    </row>
    <row r="1425" spans="1:7" x14ac:dyDescent="0.3">
      <c r="A1425" s="64" t="s">
        <v>3801</v>
      </c>
      <c r="B1425" s="64" t="s">
        <v>814</v>
      </c>
      <c r="C1425" s="64" t="s">
        <v>16</v>
      </c>
      <c r="D1425" s="64" t="s">
        <v>3180</v>
      </c>
      <c r="E1425" s="64" t="s">
        <v>383</v>
      </c>
      <c r="F1425" s="64" t="s">
        <v>3801</v>
      </c>
      <c r="G1425" s="64" t="s">
        <v>1870</v>
      </c>
    </row>
    <row r="1426" spans="1:7" x14ac:dyDescent="0.3">
      <c r="A1426" s="64" t="s">
        <v>3801</v>
      </c>
      <c r="B1426" s="64" t="s">
        <v>814</v>
      </c>
      <c r="C1426" s="64" t="s">
        <v>16</v>
      </c>
      <c r="D1426" s="64" t="s">
        <v>3180</v>
      </c>
      <c r="E1426" s="64" t="s">
        <v>373</v>
      </c>
      <c r="F1426" s="64" t="s">
        <v>3801</v>
      </c>
      <c r="G1426" s="64" t="s">
        <v>1871</v>
      </c>
    </row>
    <row r="1427" spans="1:7" x14ac:dyDescent="0.3">
      <c r="A1427" s="64" t="s">
        <v>3801</v>
      </c>
      <c r="B1427" s="64" t="s">
        <v>814</v>
      </c>
      <c r="C1427" s="64" t="s">
        <v>16</v>
      </c>
      <c r="D1427" s="64" t="s">
        <v>3180</v>
      </c>
      <c r="E1427" s="64" t="s">
        <v>368</v>
      </c>
      <c r="F1427" s="64" t="s">
        <v>3801</v>
      </c>
      <c r="G1427" s="64" t="s">
        <v>1872</v>
      </c>
    </row>
    <row r="1428" spans="1:7" x14ac:dyDescent="0.3">
      <c r="A1428" s="64" t="s">
        <v>3801</v>
      </c>
      <c r="B1428" s="64" t="s">
        <v>814</v>
      </c>
      <c r="C1428" s="64" t="s">
        <v>16</v>
      </c>
      <c r="D1428" s="64" t="s">
        <v>3180</v>
      </c>
      <c r="E1428" s="64" t="s">
        <v>375</v>
      </c>
      <c r="F1428" s="64" t="s">
        <v>3801</v>
      </c>
      <c r="G1428" s="64" t="s">
        <v>1874</v>
      </c>
    </row>
    <row r="1429" spans="1:7" x14ac:dyDescent="0.3">
      <c r="A1429" s="64" t="s">
        <v>3801</v>
      </c>
      <c r="B1429" s="64" t="s">
        <v>814</v>
      </c>
      <c r="C1429" s="64" t="s">
        <v>16</v>
      </c>
      <c r="D1429" s="64" t="s">
        <v>3180</v>
      </c>
      <c r="E1429" s="64" t="s">
        <v>380</v>
      </c>
      <c r="F1429" s="64" t="s">
        <v>3801</v>
      </c>
      <c r="G1429" s="64" t="s">
        <v>1875</v>
      </c>
    </row>
    <row r="1430" spans="1:7" x14ac:dyDescent="0.3">
      <c r="A1430" s="64" t="s">
        <v>3821</v>
      </c>
      <c r="B1430" s="64" t="s">
        <v>814</v>
      </c>
      <c r="C1430" s="64" t="s">
        <v>20</v>
      </c>
      <c r="D1430" s="64" t="s">
        <v>3194</v>
      </c>
      <c r="E1430" s="64" t="s">
        <v>15</v>
      </c>
      <c r="F1430" s="64" t="s">
        <v>6114</v>
      </c>
      <c r="G1430" s="64" t="s">
        <v>805</v>
      </c>
    </row>
    <row r="1431" spans="1:7" x14ac:dyDescent="0.3">
      <c r="A1431" s="64" t="s">
        <v>3821</v>
      </c>
      <c r="B1431" s="64" t="s">
        <v>814</v>
      </c>
      <c r="C1431" s="64" t="s">
        <v>16</v>
      </c>
      <c r="D1431" s="64" t="s">
        <v>3180</v>
      </c>
      <c r="E1431" s="64" t="s">
        <v>369</v>
      </c>
      <c r="F1431" s="64" t="s">
        <v>6114</v>
      </c>
      <c r="G1431" s="64" t="s">
        <v>1860</v>
      </c>
    </row>
    <row r="1432" spans="1:7" x14ac:dyDescent="0.3">
      <c r="A1432" s="64" t="s">
        <v>3821</v>
      </c>
      <c r="B1432" s="64" t="s">
        <v>814</v>
      </c>
      <c r="C1432" s="64" t="s">
        <v>16</v>
      </c>
      <c r="D1432" s="64" t="s">
        <v>3180</v>
      </c>
      <c r="E1432" s="64" t="s">
        <v>382</v>
      </c>
      <c r="F1432" s="64" t="s">
        <v>6114</v>
      </c>
      <c r="G1432" s="64" t="s">
        <v>1861</v>
      </c>
    </row>
    <row r="1433" spans="1:7" x14ac:dyDescent="0.3">
      <c r="A1433" s="64" t="s">
        <v>3821</v>
      </c>
      <c r="B1433" s="64" t="s">
        <v>814</v>
      </c>
      <c r="C1433" s="64" t="s">
        <v>16</v>
      </c>
      <c r="D1433" s="64" t="s">
        <v>3180</v>
      </c>
      <c r="E1433" s="64" t="s">
        <v>370</v>
      </c>
      <c r="F1433" s="64" t="s">
        <v>6114</v>
      </c>
      <c r="G1433" s="64" t="s">
        <v>1862</v>
      </c>
    </row>
    <row r="1434" spans="1:7" x14ac:dyDescent="0.3">
      <c r="A1434" s="64" t="s">
        <v>3821</v>
      </c>
      <c r="B1434" s="64" t="s">
        <v>814</v>
      </c>
      <c r="C1434" s="64" t="s">
        <v>16</v>
      </c>
      <c r="D1434" s="64" t="s">
        <v>3180</v>
      </c>
      <c r="E1434" s="64" t="s">
        <v>378</v>
      </c>
      <c r="F1434" s="64" t="s">
        <v>6114</v>
      </c>
      <c r="G1434" s="64" t="s">
        <v>1863</v>
      </c>
    </row>
    <row r="1435" spans="1:7" x14ac:dyDescent="0.3">
      <c r="A1435" s="64" t="s">
        <v>3821</v>
      </c>
      <c r="B1435" s="64" t="s">
        <v>814</v>
      </c>
      <c r="C1435" s="64" t="s">
        <v>16</v>
      </c>
      <c r="D1435" s="64" t="s">
        <v>3180</v>
      </c>
      <c r="E1435" s="64" t="s">
        <v>371</v>
      </c>
      <c r="F1435" s="64" t="s">
        <v>6114</v>
      </c>
      <c r="G1435" s="64" t="s">
        <v>1864</v>
      </c>
    </row>
    <row r="1436" spans="1:7" x14ac:dyDescent="0.3">
      <c r="A1436" s="64" t="s">
        <v>3821</v>
      </c>
      <c r="B1436" s="64" t="s">
        <v>814</v>
      </c>
      <c r="C1436" s="64" t="s">
        <v>16</v>
      </c>
      <c r="D1436" s="64" t="s">
        <v>3180</v>
      </c>
      <c r="E1436" s="64" t="s">
        <v>376</v>
      </c>
      <c r="F1436" s="64" t="s">
        <v>6114</v>
      </c>
      <c r="G1436" s="64" t="s">
        <v>1865</v>
      </c>
    </row>
    <row r="1437" spans="1:7" x14ac:dyDescent="0.3">
      <c r="A1437" s="64" t="s">
        <v>3821</v>
      </c>
      <c r="B1437" s="64" t="s">
        <v>814</v>
      </c>
      <c r="C1437" s="64" t="s">
        <v>16</v>
      </c>
      <c r="D1437" s="64" t="s">
        <v>3180</v>
      </c>
      <c r="E1437" s="64" t="s">
        <v>377</v>
      </c>
      <c r="F1437" s="64" t="s">
        <v>6114</v>
      </c>
      <c r="G1437" s="64" t="s">
        <v>1866</v>
      </c>
    </row>
    <row r="1438" spans="1:7" x14ac:dyDescent="0.3">
      <c r="A1438" s="64" t="s">
        <v>3821</v>
      </c>
      <c r="B1438" s="64" t="s">
        <v>814</v>
      </c>
      <c r="C1438" s="64" t="s">
        <v>16</v>
      </c>
      <c r="D1438" s="64" t="s">
        <v>3180</v>
      </c>
      <c r="E1438" s="64" t="s">
        <v>381</v>
      </c>
      <c r="F1438" s="64" t="s">
        <v>6114</v>
      </c>
      <c r="G1438" s="64" t="s">
        <v>1867</v>
      </c>
    </row>
    <row r="1439" spans="1:7" x14ac:dyDescent="0.3">
      <c r="A1439" s="64" t="s">
        <v>3821</v>
      </c>
      <c r="B1439" s="64" t="s">
        <v>814</v>
      </c>
      <c r="C1439" s="64" t="s">
        <v>16</v>
      </c>
      <c r="D1439" s="64" t="s">
        <v>3180</v>
      </c>
      <c r="E1439" s="64" t="s">
        <v>379</v>
      </c>
      <c r="F1439" s="64" t="s">
        <v>6114</v>
      </c>
      <c r="G1439" s="64" t="s">
        <v>1868</v>
      </c>
    </row>
    <row r="1440" spans="1:7" x14ac:dyDescent="0.3">
      <c r="A1440" s="64" t="s">
        <v>3821</v>
      </c>
      <c r="B1440" s="64" t="s">
        <v>814</v>
      </c>
      <c r="C1440" s="64" t="s">
        <v>16</v>
      </c>
      <c r="D1440" s="64" t="s">
        <v>3180</v>
      </c>
      <c r="E1440" s="64" t="s">
        <v>374</v>
      </c>
      <c r="F1440" s="64" t="s">
        <v>6114</v>
      </c>
      <c r="G1440" s="64" t="s">
        <v>1869</v>
      </c>
    </row>
    <row r="1441" spans="1:7" x14ac:dyDescent="0.3">
      <c r="A1441" s="64" t="s">
        <v>3821</v>
      </c>
      <c r="B1441" s="64" t="s">
        <v>814</v>
      </c>
      <c r="C1441" s="64" t="s">
        <v>16</v>
      </c>
      <c r="D1441" s="64" t="s">
        <v>3180</v>
      </c>
      <c r="E1441" s="64" t="s">
        <v>383</v>
      </c>
      <c r="F1441" s="64" t="s">
        <v>6114</v>
      </c>
      <c r="G1441" s="64" t="s">
        <v>1870</v>
      </c>
    </row>
    <row r="1442" spans="1:7" x14ac:dyDescent="0.3">
      <c r="A1442" s="64" t="s">
        <v>3821</v>
      </c>
      <c r="B1442" s="64" t="s">
        <v>814</v>
      </c>
      <c r="C1442" s="64" t="s">
        <v>16</v>
      </c>
      <c r="D1442" s="64" t="s">
        <v>3180</v>
      </c>
      <c r="E1442" s="64" t="s">
        <v>373</v>
      </c>
      <c r="F1442" s="64" t="s">
        <v>6114</v>
      </c>
      <c r="G1442" s="64" t="s">
        <v>1871</v>
      </c>
    </row>
    <row r="1443" spans="1:7" x14ac:dyDescent="0.3">
      <c r="A1443" s="64" t="s">
        <v>3821</v>
      </c>
      <c r="B1443" s="64" t="s">
        <v>814</v>
      </c>
      <c r="C1443" s="64" t="s">
        <v>16</v>
      </c>
      <c r="D1443" s="64" t="s">
        <v>3180</v>
      </c>
      <c r="E1443" s="64" t="s">
        <v>368</v>
      </c>
      <c r="F1443" s="64" t="s">
        <v>6114</v>
      </c>
      <c r="G1443" s="64" t="s">
        <v>1872</v>
      </c>
    </row>
    <row r="1444" spans="1:7" x14ac:dyDescent="0.3">
      <c r="A1444" s="64" t="s">
        <v>3821</v>
      </c>
      <c r="B1444" s="64" t="s">
        <v>814</v>
      </c>
      <c r="C1444" s="64" t="s">
        <v>16</v>
      </c>
      <c r="D1444" s="64" t="s">
        <v>3180</v>
      </c>
      <c r="E1444" s="64" t="s">
        <v>372</v>
      </c>
      <c r="F1444" s="64" t="s">
        <v>6114</v>
      </c>
      <c r="G1444" s="64" t="s">
        <v>1873</v>
      </c>
    </row>
    <row r="1445" spans="1:7" x14ac:dyDescent="0.3">
      <c r="A1445" s="64" t="s">
        <v>3821</v>
      </c>
      <c r="B1445" s="64" t="s">
        <v>814</v>
      </c>
      <c r="C1445" s="64" t="s">
        <v>16</v>
      </c>
      <c r="D1445" s="64" t="s">
        <v>3180</v>
      </c>
      <c r="E1445" s="64" t="s">
        <v>375</v>
      </c>
      <c r="F1445" s="64" t="s">
        <v>6114</v>
      </c>
      <c r="G1445" s="64" t="s">
        <v>1874</v>
      </c>
    </row>
    <row r="1446" spans="1:7" x14ac:dyDescent="0.3">
      <c r="A1446" s="64" t="s">
        <v>3821</v>
      </c>
      <c r="B1446" s="64" t="s">
        <v>814</v>
      </c>
      <c r="C1446" s="64" t="s">
        <v>16</v>
      </c>
      <c r="D1446" s="64" t="s">
        <v>3180</v>
      </c>
      <c r="E1446" s="64" t="s">
        <v>380</v>
      </c>
      <c r="F1446" s="64" t="s">
        <v>6114</v>
      </c>
      <c r="G1446" s="64" t="s">
        <v>1875</v>
      </c>
    </row>
    <row r="1447" spans="1:7" x14ac:dyDescent="0.3">
      <c r="A1447" s="64" t="s">
        <v>4284</v>
      </c>
      <c r="B1447" s="64" t="s">
        <v>1879</v>
      </c>
      <c r="C1447" s="64" t="s">
        <v>20</v>
      </c>
      <c r="D1447" s="64" t="s">
        <v>16</v>
      </c>
      <c r="E1447" s="64" t="s">
        <v>15</v>
      </c>
      <c r="F1447" s="64" t="s">
        <v>9275</v>
      </c>
      <c r="G1447" s="64" t="s">
        <v>957</v>
      </c>
    </row>
    <row r="1448" spans="1:7" x14ac:dyDescent="0.3">
      <c r="A1448" s="64" t="s">
        <v>4284</v>
      </c>
      <c r="B1448" s="64" t="s">
        <v>1879</v>
      </c>
      <c r="C1448" s="64" t="s">
        <v>16</v>
      </c>
      <c r="D1448" s="64" t="s">
        <v>403</v>
      </c>
      <c r="E1448" s="64" t="s">
        <v>369</v>
      </c>
      <c r="F1448" s="64" t="s">
        <v>9275</v>
      </c>
      <c r="G1448" s="64" t="s">
        <v>1844</v>
      </c>
    </row>
    <row r="1449" spans="1:7" x14ac:dyDescent="0.3">
      <c r="A1449" s="64" t="s">
        <v>4284</v>
      </c>
      <c r="B1449" s="64" t="s">
        <v>1879</v>
      </c>
      <c r="C1449" s="64" t="s">
        <v>16</v>
      </c>
      <c r="D1449" s="64" t="s">
        <v>403</v>
      </c>
      <c r="E1449" s="64" t="s">
        <v>382</v>
      </c>
      <c r="F1449" s="64" t="s">
        <v>9275</v>
      </c>
      <c r="G1449" s="64" t="s">
        <v>1845</v>
      </c>
    </row>
    <row r="1450" spans="1:7" x14ac:dyDescent="0.3">
      <c r="A1450" s="64" t="s">
        <v>4284</v>
      </c>
      <c r="B1450" s="64" t="s">
        <v>1879</v>
      </c>
      <c r="C1450" s="64" t="s">
        <v>16</v>
      </c>
      <c r="D1450" s="64" t="s">
        <v>403</v>
      </c>
      <c r="E1450" s="64" t="s">
        <v>370</v>
      </c>
      <c r="F1450" s="64" t="s">
        <v>9275</v>
      </c>
      <c r="G1450" s="64" t="s">
        <v>1846</v>
      </c>
    </row>
    <row r="1451" spans="1:7" x14ac:dyDescent="0.3">
      <c r="A1451" s="64" t="s">
        <v>4284</v>
      </c>
      <c r="B1451" s="64" t="s">
        <v>1879</v>
      </c>
      <c r="C1451" s="64" t="s">
        <v>16</v>
      </c>
      <c r="D1451" s="64" t="s">
        <v>403</v>
      </c>
      <c r="E1451" s="64" t="s">
        <v>378</v>
      </c>
      <c r="F1451" s="64" t="s">
        <v>9275</v>
      </c>
      <c r="G1451" s="64" t="s">
        <v>1847</v>
      </c>
    </row>
    <row r="1452" spans="1:7" x14ac:dyDescent="0.3">
      <c r="A1452" s="64" t="s">
        <v>4284</v>
      </c>
      <c r="B1452" s="64" t="s">
        <v>1879</v>
      </c>
      <c r="C1452" s="64" t="s">
        <v>16</v>
      </c>
      <c r="D1452" s="64" t="s">
        <v>403</v>
      </c>
      <c r="E1452" s="64" t="s">
        <v>371</v>
      </c>
      <c r="F1452" s="64" t="s">
        <v>9275</v>
      </c>
      <c r="G1452" s="64" t="s">
        <v>1848</v>
      </c>
    </row>
    <row r="1453" spans="1:7" x14ac:dyDescent="0.3">
      <c r="A1453" s="64" t="s">
        <v>4284</v>
      </c>
      <c r="B1453" s="64" t="s">
        <v>1879</v>
      </c>
      <c r="C1453" s="64" t="s">
        <v>16</v>
      </c>
      <c r="D1453" s="64" t="s">
        <v>403</v>
      </c>
      <c r="E1453" s="64" t="s">
        <v>376</v>
      </c>
      <c r="F1453" s="64" t="s">
        <v>9275</v>
      </c>
      <c r="G1453" s="64" t="s">
        <v>1849</v>
      </c>
    </row>
    <row r="1454" spans="1:7" x14ac:dyDescent="0.3">
      <c r="A1454" s="64" t="s">
        <v>4284</v>
      </c>
      <c r="B1454" s="64" t="s">
        <v>1879</v>
      </c>
      <c r="C1454" s="64" t="s">
        <v>16</v>
      </c>
      <c r="D1454" s="64" t="s">
        <v>403</v>
      </c>
      <c r="E1454" s="64" t="s">
        <v>377</v>
      </c>
      <c r="F1454" s="64" t="s">
        <v>9275</v>
      </c>
      <c r="G1454" s="64" t="s">
        <v>1850</v>
      </c>
    </row>
    <row r="1455" spans="1:7" x14ac:dyDescent="0.3">
      <c r="A1455" s="64" t="s">
        <v>4284</v>
      </c>
      <c r="B1455" s="64" t="s">
        <v>1879</v>
      </c>
      <c r="C1455" s="64" t="s">
        <v>16</v>
      </c>
      <c r="D1455" s="64" t="s">
        <v>403</v>
      </c>
      <c r="E1455" s="64" t="s">
        <v>381</v>
      </c>
      <c r="F1455" s="64" t="s">
        <v>9275</v>
      </c>
      <c r="G1455" s="64" t="s">
        <v>1851</v>
      </c>
    </row>
    <row r="1456" spans="1:7" x14ac:dyDescent="0.3">
      <c r="A1456" s="64" t="s">
        <v>4284</v>
      </c>
      <c r="B1456" s="64" t="s">
        <v>1879</v>
      </c>
      <c r="C1456" s="64" t="s">
        <v>16</v>
      </c>
      <c r="D1456" s="64" t="s">
        <v>403</v>
      </c>
      <c r="E1456" s="64" t="s">
        <v>379</v>
      </c>
      <c r="F1456" s="64" t="s">
        <v>9275</v>
      </c>
      <c r="G1456" s="64" t="s">
        <v>1852</v>
      </c>
    </row>
    <row r="1457" spans="1:7" x14ac:dyDescent="0.3">
      <c r="A1457" s="64" t="s">
        <v>4284</v>
      </c>
      <c r="B1457" s="64" t="s">
        <v>1879</v>
      </c>
      <c r="C1457" s="64" t="s">
        <v>16</v>
      </c>
      <c r="D1457" s="64" t="s">
        <v>403</v>
      </c>
      <c r="E1457" s="64" t="s">
        <v>374</v>
      </c>
      <c r="F1457" s="64" t="s">
        <v>9275</v>
      </c>
      <c r="G1457" s="64" t="s">
        <v>1853</v>
      </c>
    </row>
    <row r="1458" spans="1:7" x14ac:dyDescent="0.3">
      <c r="A1458" s="64" t="s">
        <v>4284</v>
      </c>
      <c r="B1458" s="64" t="s">
        <v>1879</v>
      </c>
      <c r="C1458" s="64" t="s">
        <v>16</v>
      </c>
      <c r="D1458" s="64" t="s">
        <v>403</v>
      </c>
      <c r="E1458" s="64" t="s">
        <v>383</v>
      </c>
      <c r="F1458" s="64" t="s">
        <v>9275</v>
      </c>
      <c r="G1458" s="64" t="s">
        <v>1854</v>
      </c>
    </row>
    <row r="1459" spans="1:7" x14ac:dyDescent="0.3">
      <c r="A1459" s="64" t="s">
        <v>4284</v>
      </c>
      <c r="B1459" s="64" t="s">
        <v>1879</v>
      </c>
      <c r="C1459" s="64" t="s">
        <v>16</v>
      </c>
      <c r="D1459" s="64" t="s">
        <v>403</v>
      </c>
      <c r="E1459" s="64" t="s">
        <v>373</v>
      </c>
      <c r="F1459" s="64" t="s">
        <v>9275</v>
      </c>
      <c r="G1459" s="64" t="s">
        <v>1855</v>
      </c>
    </row>
    <row r="1460" spans="1:7" x14ac:dyDescent="0.3">
      <c r="A1460" s="64" t="s">
        <v>4284</v>
      </c>
      <c r="B1460" s="64" t="s">
        <v>1879</v>
      </c>
      <c r="C1460" s="64" t="s">
        <v>16</v>
      </c>
      <c r="D1460" s="64" t="s">
        <v>403</v>
      </c>
      <c r="E1460" s="64" t="s">
        <v>368</v>
      </c>
      <c r="F1460" s="64" t="s">
        <v>9275</v>
      </c>
      <c r="G1460" s="64" t="s">
        <v>1856</v>
      </c>
    </row>
    <row r="1461" spans="1:7" x14ac:dyDescent="0.3">
      <c r="A1461" s="64" t="s">
        <v>4284</v>
      </c>
      <c r="B1461" s="64" t="s">
        <v>1879</v>
      </c>
      <c r="C1461" s="64" t="s">
        <v>16</v>
      </c>
      <c r="D1461" s="64" t="s">
        <v>403</v>
      </c>
      <c r="E1461" s="64" t="s">
        <v>372</v>
      </c>
      <c r="F1461" s="64" t="s">
        <v>9275</v>
      </c>
      <c r="G1461" s="64" t="s">
        <v>1857</v>
      </c>
    </row>
    <row r="1462" spans="1:7" x14ac:dyDescent="0.3">
      <c r="A1462" s="64" t="s">
        <v>4284</v>
      </c>
      <c r="B1462" s="64" t="s">
        <v>1879</v>
      </c>
      <c r="C1462" s="64" t="s">
        <v>16</v>
      </c>
      <c r="D1462" s="64" t="s">
        <v>403</v>
      </c>
      <c r="E1462" s="64" t="s">
        <v>375</v>
      </c>
      <c r="F1462" s="64" t="s">
        <v>9275</v>
      </c>
      <c r="G1462" s="64" t="s">
        <v>1858</v>
      </c>
    </row>
    <row r="1463" spans="1:7" x14ac:dyDescent="0.3">
      <c r="A1463" s="64" t="s">
        <v>4284</v>
      </c>
      <c r="B1463" s="64" t="s">
        <v>1879</v>
      </c>
      <c r="C1463" s="64" t="s">
        <v>16</v>
      </c>
      <c r="D1463" s="64" t="s">
        <v>403</v>
      </c>
      <c r="E1463" s="64" t="s">
        <v>380</v>
      </c>
      <c r="F1463" s="64" t="s">
        <v>9275</v>
      </c>
      <c r="G1463" s="64" t="s">
        <v>1859</v>
      </c>
    </row>
    <row r="1464" spans="1:7" x14ac:dyDescent="0.3">
      <c r="A1464" s="64" t="s">
        <v>4285</v>
      </c>
      <c r="B1464" s="64" t="s">
        <v>1879</v>
      </c>
      <c r="C1464" s="64" t="s">
        <v>20</v>
      </c>
      <c r="D1464" s="64" t="s">
        <v>16</v>
      </c>
      <c r="E1464" s="64" t="s">
        <v>15</v>
      </c>
      <c r="F1464" s="64" t="s">
        <v>9275</v>
      </c>
      <c r="G1464" s="64" t="s">
        <v>957</v>
      </c>
    </row>
    <row r="1465" spans="1:7" x14ac:dyDescent="0.3">
      <c r="A1465" s="64" t="s">
        <v>4285</v>
      </c>
      <c r="B1465" s="64" t="s">
        <v>1879</v>
      </c>
      <c r="C1465" s="64" t="s">
        <v>16</v>
      </c>
      <c r="D1465" s="64" t="s">
        <v>403</v>
      </c>
      <c r="E1465" s="64" t="s">
        <v>369</v>
      </c>
      <c r="F1465" s="64" t="s">
        <v>9275</v>
      </c>
      <c r="G1465" s="64" t="s">
        <v>1844</v>
      </c>
    </row>
    <row r="1466" spans="1:7" x14ac:dyDescent="0.3">
      <c r="A1466" s="64" t="s">
        <v>4285</v>
      </c>
      <c r="B1466" s="64" t="s">
        <v>1879</v>
      </c>
      <c r="C1466" s="64" t="s">
        <v>16</v>
      </c>
      <c r="D1466" s="64" t="s">
        <v>403</v>
      </c>
      <c r="E1466" s="64" t="s">
        <v>382</v>
      </c>
      <c r="F1466" s="64" t="s">
        <v>9275</v>
      </c>
      <c r="G1466" s="64" t="s">
        <v>1845</v>
      </c>
    </row>
    <row r="1467" spans="1:7" x14ac:dyDescent="0.3">
      <c r="A1467" s="64" t="s">
        <v>4285</v>
      </c>
      <c r="B1467" s="64" t="s">
        <v>1879</v>
      </c>
      <c r="C1467" s="64" t="s">
        <v>16</v>
      </c>
      <c r="D1467" s="64" t="s">
        <v>403</v>
      </c>
      <c r="E1467" s="64" t="s">
        <v>370</v>
      </c>
      <c r="F1467" s="64" t="s">
        <v>9275</v>
      </c>
      <c r="G1467" s="64" t="s">
        <v>1846</v>
      </c>
    </row>
    <row r="1468" spans="1:7" x14ac:dyDescent="0.3">
      <c r="A1468" s="64" t="s">
        <v>4285</v>
      </c>
      <c r="B1468" s="64" t="s">
        <v>1879</v>
      </c>
      <c r="C1468" s="64" t="s">
        <v>16</v>
      </c>
      <c r="D1468" s="64" t="s">
        <v>403</v>
      </c>
      <c r="E1468" s="64" t="s">
        <v>378</v>
      </c>
      <c r="F1468" s="64" t="s">
        <v>9275</v>
      </c>
      <c r="G1468" s="64" t="s">
        <v>1847</v>
      </c>
    </row>
    <row r="1469" spans="1:7" x14ac:dyDescent="0.3">
      <c r="A1469" s="64" t="s">
        <v>4285</v>
      </c>
      <c r="B1469" s="64" t="s">
        <v>1879</v>
      </c>
      <c r="C1469" s="64" t="s">
        <v>16</v>
      </c>
      <c r="D1469" s="64" t="s">
        <v>403</v>
      </c>
      <c r="E1469" s="64" t="s">
        <v>371</v>
      </c>
      <c r="F1469" s="64" t="s">
        <v>9275</v>
      </c>
      <c r="G1469" s="64" t="s">
        <v>1848</v>
      </c>
    </row>
    <row r="1470" spans="1:7" x14ac:dyDescent="0.3">
      <c r="A1470" s="64" t="s">
        <v>4285</v>
      </c>
      <c r="B1470" s="64" t="s">
        <v>1879</v>
      </c>
      <c r="C1470" s="64" t="s">
        <v>16</v>
      </c>
      <c r="D1470" s="64" t="s">
        <v>403</v>
      </c>
      <c r="E1470" s="64" t="s">
        <v>376</v>
      </c>
      <c r="F1470" s="64" t="s">
        <v>9275</v>
      </c>
      <c r="G1470" s="64" t="s">
        <v>1849</v>
      </c>
    </row>
    <row r="1471" spans="1:7" x14ac:dyDescent="0.3">
      <c r="A1471" s="64" t="s">
        <v>4285</v>
      </c>
      <c r="B1471" s="64" t="s">
        <v>1879</v>
      </c>
      <c r="C1471" s="64" t="s">
        <v>16</v>
      </c>
      <c r="D1471" s="64" t="s">
        <v>403</v>
      </c>
      <c r="E1471" s="64" t="s">
        <v>377</v>
      </c>
      <c r="F1471" s="64" t="s">
        <v>9275</v>
      </c>
      <c r="G1471" s="64" t="s">
        <v>1850</v>
      </c>
    </row>
    <row r="1472" spans="1:7" x14ac:dyDescent="0.3">
      <c r="A1472" s="64" t="s">
        <v>4285</v>
      </c>
      <c r="B1472" s="64" t="s">
        <v>1879</v>
      </c>
      <c r="C1472" s="64" t="s">
        <v>16</v>
      </c>
      <c r="D1472" s="64" t="s">
        <v>403</v>
      </c>
      <c r="E1472" s="64" t="s">
        <v>381</v>
      </c>
      <c r="F1472" s="64" t="s">
        <v>9275</v>
      </c>
      <c r="G1472" s="64" t="s">
        <v>1851</v>
      </c>
    </row>
    <row r="1473" spans="1:7" x14ac:dyDescent="0.3">
      <c r="A1473" s="64" t="s">
        <v>4285</v>
      </c>
      <c r="B1473" s="64" t="s">
        <v>1879</v>
      </c>
      <c r="C1473" s="64" t="s">
        <v>16</v>
      </c>
      <c r="D1473" s="64" t="s">
        <v>403</v>
      </c>
      <c r="E1473" s="64" t="s">
        <v>379</v>
      </c>
      <c r="F1473" s="64" t="s">
        <v>9275</v>
      </c>
      <c r="G1473" s="64" t="s">
        <v>1852</v>
      </c>
    </row>
    <row r="1474" spans="1:7" x14ac:dyDescent="0.3">
      <c r="A1474" s="64" t="s">
        <v>4285</v>
      </c>
      <c r="B1474" s="64" t="s">
        <v>1879</v>
      </c>
      <c r="C1474" s="64" t="s">
        <v>16</v>
      </c>
      <c r="D1474" s="64" t="s">
        <v>403</v>
      </c>
      <c r="E1474" s="64" t="s">
        <v>374</v>
      </c>
      <c r="F1474" s="64" t="s">
        <v>9275</v>
      </c>
      <c r="G1474" s="64" t="s">
        <v>1853</v>
      </c>
    </row>
    <row r="1475" spans="1:7" x14ac:dyDescent="0.3">
      <c r="A1475" s="64" t="s">
        <v>4285</v>
      </c>
      <c r="B1475" s="64" t="s">
        <v>1879</v>
      </c>
      <c r="C1475" s="64" t="s">
        <v>16</v>
      </c>
      <c r="D1475" s="64" t="s">
        <v>403</v>
      </c>
      <c r="E1475" s="64" t="s">
        <v>383</v>
      </c>
      <c r="F1475" s="64" t="s">
        <v>9275</v>
      </c>
      <c r="G1475" s="64" t="s">
        <v>1854</v>
      </c>
    </row>
    <row r="1476" spans="1:7" x14ac:dyDescent="0.3">
      <c r="A1476" s="64" t="s">
        <v>4285</v>
      </c>
      <c r="B1476" s="64" t="s">
        <v>1879</v>
      </c>
      <c r="C1476" s="64" t="s">
        <v>16</v>
      </c>
      <c r="D1476" s="64" t="s">
        <v>403</v>
      </c>
      <c r="E1476" s="64" t="s">
        <v>373</v>
      </c>
      <c r="F1476" s="64" t="s">
        <v>9275</v>
      </c>
      <c r="G1476" s="64" t="s">
        <v>1855</v>
      </c>
    </row>
    <row r="1477" spans="1:7" x14ac:dyDescent="0.3">
      <c r="A1477" s="64" t="s">
        <v>4285</v>
      </c>
      <c r="B1477" s="64" t="s">
        <v>1879</v>
      </c>
      <c r="C1477" s="64" t="s">
        <v>16</v>
      </c>
      <c r="D1477" s="64" t="s">
        <v>403</v>
      </c>
      <c r="E1477" s="64" t="s">
        <v>368</v>
      </c>
      <c r="F1477" s="64" t="s">
        <v>9275</v>
      </c>
      <c r="G1477" s="64" t="s">
        <v>1856</v>
      </c>
    </row>
    <row r="1478" spans="1:7" x14ac:dyDescent="0.3">
      <c r="A1478" s="64" t="s">
        <v>4285</v>
      </c>
      <c r="B1478" s="64" t="s">
        <v>1879</v>
      </c>
      <c r="C1478" s="64" t="s">
        <v>16</v>
      </c>
      <c r="D1478" s="64" t="s">
        <v>403</v>
      </c>
      <c r="E1478" s="64" t="s">
        <v>372</v>
      </c>
      <c r="F1478" s="64" t="s">
        <v>9275</v>
      </c>
      <c r="G1478" s="64" t="s">
        <v>1857</v>
      </c>
    </row>
    <row r="1479" spans="1:7" x14ac:dyDescent="0.3">
      <c r="A1479" s="64" t="s">
        <v>4285</v>
      </c>
      <c r="B1479" s="64" t="s">
        <v>1879</v>
      </c>
      <c r="C1479" s="64" t="s">
        <v>16</v>
      </c>
      <c r="D1479" s="64" t="s">
        <v>403</v>
      </c>
      <c r="E1479" s="64" t="s">
        <v>375</v>
      </c>
      <c r="F1479" s="64" t="s">
        <v>9275</v>
      </c>
      <c r="G1479" s="64" t="s">
        <v>1858</v>
      </c>
    </row>
    <row r="1480" spans="1:7" x14ac:dyDescent="0.3">
      <c r="A1480" s="64" t="s">
        <v>4285</v>
      </c>
      <c r="B1480" s="64" t="s">
        <v>1879</v>
      </c>
      <c r="C1480" s="64" t="s">
        <v>16</v>
      </c>
      <c r="D1480" s="64" t="s">
        <v>403</v>
      </c>
      <c r="E1480" s="64" t="s">
        <v>380</v>
      </c>
      <c r="F1480" s="64" t="s">
        <v>9275</v>
      </c>
      <c r="G1480" s="64" t="s">
        <v>1859</v>
      </c>
    </row>
    <row r="1481" spans="1:7" x14ac:dyDescent="0.3">
      <c r="A1481" s="64" t="s">
        <v>4286</v>
      </c>
      <c r="B1481" s="64" t="s">
        <v>1879</v>
      </c>
      <c r="C1481" s="64" t="s">
        <v>20</v>
      </c>
      <c r="D1481" s="64" t="s">
        <v>16</v>
      </c>
      <c r="E1481" s="64" t="s">
        <v>15</v>
      </c>
      <c r="F1481" s="64" t="s">
        <v>9276</v>
      </c>
      <c r="G1481" s="64" t="s">
        <v>805</v>
      </c>
    </row>
    <row r="1482" spans="1:7" x14ac:dyDescent="0.3">
      <c r="A1482" s="64" t="s">
        <v>4286</v>
      </c>
      <c r="B1482" s="64" t="s">
        <v>1879</v>
      </c>
      <c r="C1482" s="64" t="s">
        <v>16</v>
      </c>
      <c r="D1482" s="64" t="s">
        <v>403</v>
      </c>
      <c r="E1482" s="64" t="s">
        <v>369</v>
      </c>
      <c r="F1482" s="64" t="s">
        <v>9276</v>
      </c>
      <c r="G1482" s="64" t="s">
        <v>1860</v>
      </c>
    </row>
    <row r="1483" spans="1:7" x14ac:dyDescent="0.3">
      <c r="A1483" s="64" t="s">
        <v>4286</v>
      </c>
      <c r="B1483" s="64" t="s">
        <v>1879</v>
      </c>
      <c r="C1483" s="64" t="s">
        <v>16</v>
      </c>
      <c r="D1483" s="64" t="s">
        <v>403</v>
      </c>
      <c r="E1483" s="64" t="s">
        <v>382</v>
      </c>
      <c r="F1483" s="64" t="s">
        <v>9276</v>
      </c>
      <c r="G1483" s="64" t="s">
        <v>1861</v>
      </c>
    </row>
    <row r="1484" spans="1:7" x14ac:dyDescent="0.3">
      <c r="A1484" s="64" t="s">
        <v>4286</v>
      </c>
      <c r="B1484" s="64" t="s">
        <v>1879</v>
      </c>
      <c r="C1484" s="64" t="s">
        <v>16</v>
      </c>
      <c r="D1484" s="64" t="s">
        <v>403</v>
      </c>
      <c r="E1484" s="64" t="s">
        <v>370</v>
      </c>
      <c r="F1484" s="64" t="s">
        <v>9276</v>
      </c>
      <c r="G1484" s="64" t="s">
        <v>1862</v>
      </c>
    </row>
    <row r="1485" spans="1:7" x14ac:dyDescent="0.3">
      <c r="A1485" s="64" t="s">
        <v>4286</v>
      </c>
      <c r="B1485" s="64" t="s">
        <v>1879</v>
      </c>
      <c r="C1485" s="64" t="s">
        <v>16</v>
      </c>
      <c r="D1485" s="64" t="s">
        <v>403</v>
      </c>
      <c r="E1485" s="64" t="s">
        <v>378</v>
      </c>
      <c r="F1485" s="64" t="s">
        <v>9276</v>
      </c>
      <c r="G1485" s="64" t="s">
        <v>1863</v>
      </c>
    </row>
    <row r="1486" spans="1:7" x14ac:dyDescent="0.3">
      <c r="A1486" s="64" t="s">
        <v>4286</v>
      </c>
      <c r="B1486" s="64" t="s">
        <v>1879</v>
      </c>
      <c r="C1486" s="64" t="s">
        <v>16</v>
      </c>
      <c r="D1486" s="64" t="s">
        <v>403</v>
      </c>
      <c r="E1486" s="64" t="s">
        <v>371</v>
      </c>
      <c r="F1486" s="64" t="s">
        <v>9276</v>
      </c>
      <c r="G1486" s="64" t="s">
        <v>1864</v>
      </c>
    </row>
    <row r="1487" spans="1:7" x14ac:dyDescent="0.3">
      <c r="A1487" s="64" t="s">
        <v>4286</v>
      </c>
      <c r="B1487" s="64" t="s">
        <v>1879</v>
      </c>
      <c r="C1487" s="64" t="s">
        <v>16</v>
      </c>
      <c r="D1487" s="64" t="s">
        <v>403</v>
      </c>
      <c r="E1487" s="64" t="s">
        <v>376</v>
      </c>
      <c r="F1487" s="64" t="s">
        <v>9276</v>
      </c>
      <c r="G1487" s="64" t="s">
        <v>1865</v>
      </c>
    </row>
    <row r="1488" spans="1:7" x14ac:dyDescent="0.3">
      <c r="A1488" s="64" t="s">
        <v>4286</v>
      </c>
      <c r="B1488" s="64" t="s">
        <v>1879</v>
      </c>
      <c r="C1488" s="64" t="s">
        <v>16</v>
      </c>
      <c r="D1488" s="64" t="s">
        <v>403</v>
      </c>
      <c r="E1488" s="64" t="s">
        <v>377</v>
      </c>
      <c r="F1488" s="64" t="s">
        <v>9276</v>
      </c>
      <c r="G1488" s="64" t="s">
        <v>1866</v>
      </c>
    </row>
    <row r="1489" spans="1:7" x14ac:dyDescent="0.3">
      <c r="A1489" s="64" t="s">
        <v>4286</v>
      </c>
      <c r="B1489" s="64" t="s">
        <v>1879</v>
      </c>
      <c r="C1489" s="64" t="s">
        <v>16</v>
      </c>
      <c r="D1489" s="64" t="s">
        <v>403</v>
      </c>
      <c r="E1489" s="64" t="s">
        <v>381</v>
      </c>
      <c r="F1489" s="64" t="s">
        <v>9276</v>
      </c>
      <c r="G1489" s="64" t="s">
        <v>1867</v>
      </c>
    </row>
    <row r="1490" spans="1:7" x14ac:dyDescent="0.3">
      <c r="A1490" s="64" t="s">
        <v>4286</v>
      </c>
      <c r="B1490" s="64" t="s">
        <v>1879</v>
      </c>
      <c r="C1490" s="64" t="s">
        <v>16</v>
      </c>
      <c r="D1490" s="64" t="s">
        <v>403</v>
      </c>
      <c r="E1490" s="64" t="s">
        <v>379</v>
      </c>
      <c r="F1490" s="64" t="s">
        <v>9276</v>
      </c>
      <c r="G1490" s="64" t="s">
        <v>1868</v>
      </c>
    </row>
    <row r="1491" spans="1:7" x14ac:dyDescent="0.3">
      <c r="A1491" s="64" t="s">
        <v>4286</v>
      </c>
      <c r="B1491" s="64" t="s">
        <v>1879</v>
      </c>
      <c r="C1491" s="64" t="s">
        <v>16</v>
      </c>
      <c r="D1491" s="64" t="s">
        <v>403</v>
      </c>
      <c r="E1491" s="64" t="s">
        <v>374</v>
      </c>
      <c r="F1491" s="64" t="s">
        <v>9276</v>
      </c>
      <c r="G1491" s="64" t="s">
        <v>1869</v>
      </c>
    </row>
    <row r="1492" spans="1:7" x14ac:dyDescent="0.3">
      <c r="A1492" s="64" t="s">
        <v>4286</v>
      </c>
      <c r="B1492" s="64" t="s">
        <v>1879</v>
      </c>
      <c r="C1492" s="64" t="s">
        <v>16</v>
      </c>
      <c r="D1492" s="64" t="s">
        <v>403</v>
      </c>
      <c r="E1492" s="64" t="s">
        <v>383</v>
      </c>
      <c r="F1492" s="64" t="s">
        <v>9276</v>
      </c>
      <c r="G1492" s="64" t="s">
        <v>1870</v>
      </c>
    </row>
    <row r="1493" spans="1:7" x14ac:dyDescent="0.3">
      <c r="A1493" s="64" t="s">
        <v>4286</v>
      </c>
      <c r="B1493" s="64" t="s">
        <v>1879</v>
      </c>
      <c r="C1493" s="64" t="s">
        <v>16</v>
      </c>
      <c r="D1493" s="64" t="s">
        <v>403</v>
      </c>
      <c r="E1493" s="64" t="s">
        <v>373</v>
      </c>
      <c r="F1493" s="64" t="s">
        <v>9276</v>
      </c>
      <c r="G1493" s="64" t="s">
        <v>1871</v>
      </c>
    </row>
    <row r="1494" spans="1:7" x14ac:dyDescent="0.3">
      <c r="A1494" s="64" t="s">
        <v>4286</v>
      </c>
      <c r="B1494" s="64" t="s">
        <v>1879</v>
      </c>
      <c r="C1494" s="64" t="s">
        <v>16</v>
      </c>
      <c r="D1494" s="64" t="s">
        <v>403</v>
      </c>
      <c r="E1494" s="64" t="s">
        <v>368</v>
      </c>
      <c r="F1494" s="64" t="s">
        <v>9276</v>
      </c>
      <c r="G1494" s="64" t="s">
        <v>1872</v>
      </c>
    </row>
    <row r="1495" spans="1:7" x14ac:dyDescent="0.3">
      <c r="A1495" s="64" t="s">
        <v>4286</v>
      </c>
      <c r="B1495" s="64" t="s">
        <v>1879</v>
      </c>
      <c r="C1495" s="64" t="s">
        <v>16</v>
      </c>
      <c r="D1495" s="64" t="s">
        <v>403</v>
      </c>
      <c r="E1495" s="64" t="s">
        <v>372</v>
      </c>
      <c r="F1495" s="64" t="s">
        <v>9276</v>
      </c>
      <c r="G1495" s="64" t="s">
        <v>1873</v>
      </c>
    </row>
    <row r="1496" spans="1:7" x14ac:dyDescent="0.3">
      <c r="A1496" s="64" t="s">
        <v>4286</v>
      </c>
      <c r="B1496" s="64" t="s">
        <v>1879</v>
      </c>
      <c r="C1496" s="64" t="s">
        <v>16</v>
      </c>
      <c r="D1496" s="64" t="s">
        <v>403</v>
      </c>
      <c r="E1496" s="64" t="s">
        <v>375</v>
      </c>
      <c r="F1496" s="64" t="s">
        <v>9276</v>
      </c>
      <c r="G1496" s="64" t="s">
        <v>1874</v>
      </c>
    </row>
    <row r="1497" spans="1:7" x14ac:dyDescent="0.3">
      <c r="A1497" s="64" t="s">
        <v>4286</v>
      </c>
      <c r="B1497" s="64" t="s">
        <v>1879</v>
      </c>
      <c r="C1497" s="64" t="s">
        <v>16</v>
      </c>
      <c r="D1497" s="64" t="s">
        <v>403</v>
      </c>
      <c r="E1497" s="64" t="s">
        <v>380</v>
      </c>
      <c r="F1497" s="64" t="s">
        <v>9276</v>
      </c>
      <c r="G1497" s="64" t="s">
        <v>1875</v>
      </c>
    </row>
    <row r="1498" spans="1:7" x14ac:dyDescent="0.3">
      <c r="A1498" s="64" t="s">
        <v>3910</v>
      </c>
      <c r="B1498" s="64" t="s">
        <v>3911</v>
      </c>
      <c r="C1498" s="64" t="s">
        <v>20</v>
      </c>
      <c r="D1498" s="64" t="s">
        <v>16</v>
      </c>
      <c r="E1498" s="64" t="s">
        <v>15</v>
      </c>
      <c r="F1498" s="64" t="s">
        <v>3946</v>
      </c>
      <c r="G1498" s="64" t="s">
        <v>805</v>
      </c>
    </row>
    <row r="1499" spans="1:7" x14ac:dyDescent="0.3">
      <c r="A1499" s="64" t="s">
        <v>3910</v>
      </c>
      <c r="B1499" s="64" t="s">
        <v>3911</v>
      </c>
      <c r="C1499" s="64" t="s">
        <v>16</v>
      </c>
      <c r="D1499" s="64" t="s">
        <v>403</v>
      </c>
      <c r="E1499" s="64" t="s">
        <v>369</v>
      </c>
      <c r="F1499" s="64" t="s">
        <v>3946</v>
      </c>
      <c r="G1499" s="64" t="s">
        <v>1860</v>
      </c>
    </row>
    <row r="1500" spans="1:7" x14ac:dyDescent="0.3">
      <c r="A1500" s="64" t="s">
        <v>3910</v>
      </c>
      <c r="B1500" s="64" t="s">
        <v>3911</v>
      </c>
      <c r="C1500" s="64" t="s">
        <v>16</v>
      </c>
      <c r="D1500" s="64" t="s">
        <v>403</v>
      </c>
      <c r="E1500" s="64" t="s">
        <v>382</v>
      </c>
      <c r="F1500" s="64" t="s">
        <v>3946</v>
      </c>
      <c r="G1500" s="64" t="s">
        <v>1861</v>
      </c>
    </row>
    <row r="1501" spans="1:7" x14ac:dyDescent="0.3">
      <c r="A1501" s="64" t="s">
        <v>3910</v>
      </c>
      <c r="B1501" s="64" t="s">
        <v>3911</v>
      </c>
      <c r="C1501" s="64" t="s">
        <v>16</v>
      </c>
      <c r="D1501" s="64" t="s">
        <v>403</v>
      </c>
      <c r="E1501" s="64" t="s">
        <v>370</v>
      </c>
      <c r="F1501" s="64" t="s">
        <v>3946</v>
      </c>
      <c r="G1501" s="64" t="s">
        <v>1862</v>
      </c>
    </row>
    <row r="1502" spans="1:7" x14ac:dyDescent="0.3">
      <c r="A1502" s="64" t="s">
        <v>3910</v>
      </c>
      <c r="B1502" s="64" t="s">
        <v>3911</v>
      </c>
      <c r="C1502" s="64" t="s">
        <v>16</v>
      </c>
      <c r="D1502" s="64" t="s">
        <v>403</v>
      </c>
      <c r="E1502" s="64" t="s">
        <v>378</v>
      </c>
      <c r="F1502" s="64" t="s">
        <v>3946</v>
      </c>
      <c r="G1502" s="64" t="s">
        <v>1863</v>
      </c>
    </row>
    <row r="1503" spans="1:7" x14ac:dyDescent="0.3">
      <c r="A1503" s="64" t="s">
        <v>3910</v>
      </c>
      <c r="B1503" s="64" t="s">
        <v>3911</v>
      </c>
      <c r="C1503" s="64" t="s">
        <v>16</v>
      </c>
      <c r="D1503" s="64" t="s">
        <v>403</v>
      </c>
      <c r="E1503" s="64" t="s">
        <v>371</v>
      </c>
      <c r="F1503" s="64" t="s">
        <v>3946</v>
      </c>
      <c r="G1503" s="64" t="s">
        <v>1864</v>
      </c>
    </row>
    <row r="1504" spans="1:7" x14ac:dyDescent="0.3">
      <c r="A1504" s="64" t="s">
        <v>3910</v>
      </c>
      <c r="B1504" s="64" t="s">
        <v>3911</v>
      </c>
      <c r="C1504" s="64" t="s">
        <v>16</v>
      </c>
      <c r="D1504" s="64" t="s">
        <v>403</v>
      </c>
      <c r="E1504" s="64" t="s">
        <v>376</v>
      </c>
      <c r="F1504" s="64" t="s">
        <v>3946</v>
      </c>
      <c r="G1504" s="64" t="s">
        <v>1865</v>
      </c>
    </row>
    <row r="1505" spans="1:7" x14ac:dyDescent="0.3">
      <c r="A1505" s="64" t="s">
        <v>3910</v>
      </c>
      <c r="B1505" s="64" t="s">
        <v>3911</v>
      </c>
      <c r="C1505" s="64" t="s">
        <v>16</v>
      </c>
      <c r="D1505" s="64" t="s">
        <v>403</v>
      </c>
      <c r="E1505" s="64" t="s">
        <v>377</v>
      </c>
      <c r="F1505" s="64" t="s">
        <v>3946</v>
      </c>
      <c r="G1505" s="64" t="s">
        <v>1866</v>
      </c>
    </row>
    <row r="1506" spans="1:7" x14ac:dyDescent="0.3">
      <c r="A1506" s="64" t="s">
        <v>3910</v>
      </c>
      <c r="B1506" s="64" t="s">
        <v>3911</v>
      </c>
      <c r="C1506" s="64" t="s">
        <v>16</v>
      </c>
      <c r="D1506" s="64" t="s">
        <v>403</v>
      </c>
      <c r="E1506" s="64" t="s">
        <v>381</v>
      </c>
      <c r="F1506" s="64" t="s">
        <v>3946</v>
      </c>
      <c r="G1506" s="64" t="s">
        <v>1867</v>
      </c>
    </row>
    <row r="1507" spans="1:7" x14ac:dyDescent="0.3">
      <c r="A1507" s="64" t="s">
        <v>3910</v>
      </c>
      <c r="B1507" s="64" t="s">
        <v>3911</v>
      </c>
      <c r="C1507" s="64" t="s">
        <v>16</v>
      </c>
      <c r="D1507" s="64" t="s">
        <v>403</v>
      </c>
      <c r="E1507" s="64" t="s">
        <v>379</v>
      </c>
      <c r="F1507" s="64" t="s">
        <v>3946</v>
      </c>
      <c r="G1507" s="64" t="s">
        <v>1868</v>
      </c>
    </row>
    <row r="1508" spans="1:7" x14ac:dyDescent="0.3">
      <c r="A1508" s="64" t="s">
        <v>3910</v>
      </c>
      <c r="B1508" s="64" t="s">
        <v>3911</v>
      </c>
      <c r="C1508" s="64" t="s">
        <v>16</v>
      </c>
      <c r="D1508" s="64" t="s">
        <v>403</v>
      </c>
      <c r="E1508" s="64" t="s">
        <v>374</v>
      </c>
      <c r="F1508" s="64" t="s">
        <v>3946</v>
      </c>
      <c r="G1508" s="64" t="s">
        <v>1869</v>
      </c>
    </row>
    <row r="1509" spans="1:7" x14ac:dyDescent="0.3">
      <c r="A1509" s="64" t="s">
        <v>3910</v>
      </c>
      <c r="B1509" s="64" t="s">
        <v>3911</v>
      </c>
      <c r="C1509" s="64" t="s">
        <v>16</v>
      </c>
      <c r="D1509" s="64" t="s">
        <v>403</v>
      </c>
      <c r="E1509" s="64" t="s">
        <v>383</v>
      </c>
      <c r="F1509" s="64" t="s">
        <v>3946</v>
      </c>
      <c r="G1509" s="64" t="s">
        <v>1870</v>
      </c>
    </row>
    <row r="1510" spans="1:7" x14ac:dyDescent="0.3">
      <c r="A1510" s="64" t="s">
        <v>3910</v>
      </c>
      <c r="B1510" s="64" t="s">
        <v>3911</v>
      </c>
      <c r="C1510" s="64" t="s">
        <v>16</v>
      </c>
      <c r="D1510" s="64" t="s">
        <v>403</v>
      </c>
      <c r="E1510" s="64" t="s">
        <v>373</v>
      </c>
      <c r="F1510" s="64" t="s">
        <v>3946</v>
      </c>
      <c r="G1510" s="64" t="s">
        <v>1871</v>
      </c>
    </row>
    <row r="1511" spans="1:7" x14ac:dyDescent="0.3">
      <c r="A1511" s="64" t="s">
        <v>3910</v>
      </c>
      <c r="B1511" s="64" t="s">
        <v>3911</v>
      </c>
      <c r="C1511" s="64" t="s">
        <v>16</v>
      </c>
      <c r="D1511" s="64" t="s">
        <v>403</v>
      </c>
      <c r="E1511" s="64" t="s">
        <v>368</v>
      </c>
      <c r="F1511" s="64" t="s">
        <v>3946</v>
      </c>
      <c r="G1511" s="64" t="s">
        <v>1872</v>
      </c>
    </row>
    <row r="1512" spans="1:7" x14ac:dyDescent="0.3">
      <c r="A1512" s="64" t="s">
        <v>3910</v>
      </c>
      <c r="B1512" s="64" t="s">
        <v>3911</v>
      </c>
      <c r="C1512" s="64" t="s">
        <v>16</v>
      </c>
      <c r="D1512" s="64" t="s">
        <v>403</v>
      </c>
      <c r="E1512" s="64" t="s">
        <v>372</v>
      </c>
      <c r="F1512" s="64" t="s">
        <v>3946</v>
      </c>
      <c r="G1512" s="64" t="s">
        <v>1873</v>
      </c>
    </row>
    <row r="1513" spans="1:7" x14ac:dyDescent="0.3">
      <c r="A1513" s="64" t="s">
        <v>3910</v>
      </c>
      <c r="B1513" s="64" t="s">
        <v>3911</v>
      </c>
      <c r="C1513" s="64" t="s">
        <v>16</v>
      </c>
      <c r="D1513" s="64" t="s">
        <v>403</v>
      </c>
      <c r="E1513" s="64" t="s">
        <v>375</v>
      </c>
      <c r="F1513" s="64" t="s">
        <v>3946</v>
      </c>
      <c r="G1513" s="64" t="s">
        <v>1874</v>
      </c>
    </row>
    <row r="1514" spans="1:7" x14ac:dyDescent="0.3">
      <c r="A1514" s="64" t="s">
        <v>3910</v>
      </c>
      <c r="B1514" s="64" t="s">
        <v>3911</v>
      </c>
      <c r="C1514" s="64" t="s">
        <v>16</v>
      </c>
      <c r="D1514" s="64" t="s">
        <v>403</v>
      </c>
      <c r="E1514" s="64" t="s">
        <v>380</v>
      </c>
      <c r="F1514" s="64" t="s">
        <v>3946</v>
      </c>
      <c r="G1514" s="64" t="s">
        <v>1875</v>
      </c>
    </row>
    <row r="1515" spans="1:7" x14ac:dyDescent="0.3">
      <c r="A1515" s="64" t="s">
        <v>3983</v>
      </c>
      <c r="B1515" s="64" t="s">
        <v>3911</v>
      </c>
      <c r="C1515" s="64" t="s">
        <v>20</v>
      </c>
      <c r="D1515" s="64" t="s">
        <v>16</v>
      </c>
      <c r="E1515" s="64" t="s">
        <v>15</v>
      </c>
      <c r="F1515" s="64" t="s">
        <v>3983</v>
      </c>
      <c r="G1515" s="64" t="s">
        <v>957</v>
      </c>
    </row>
    <row r="1516" spans="1:7" x14ac:dyDescent="0.3">
      <c r="A1516" s="64" t="s">
        <v>3983</v>
      </c>
      <c r="B1516" s="64" t="s">
        <v>3911</v>
      </c>
      <c r="C1516" s="64" t="s">
        <v>16</v>
      </c>
      <c r="D1516" s="64" t="s">
        <v>403</v>
      </c>
      <c r="E1516" s="64" t="s">
        <v>369</v>
      </c>
      <c r="F1516" s="64" t="s">
        <v>3983</v>
      </c>
      <c r="G1516" s="64" t="s">
        <v>1844</v>
      </c>
    </row>
    <row r="1517" spans="1:7" x14ac:dyDescent="0.3">
      <c r="A1517" s="64" t="s">
        <v>3983</v>
      </c>
      <c r="B1517" s="64" t="s">
        <v>3911</v>
      </c>
      <c r="C1517" s="64" t="s">
        <v>16</v>
      </c>
      <c r="D1517" s="64" t="s">
        <v>403</v>
      </c>
      <c r="E1517" s="64" t="s">
        <v>382</v>
      </c>
      <c r="F1517" s="64" t="s">
        <v>3983</v>
      </c>
      <c r="G1517" s="64" t="s">
        <v>1845</v>
      </c>
    </row>
    <row r="1518" spans="1:7" x14ac:dyDescent="0.3">
      <c r="A1518" s="64" t="s">
        <v>3983</v>
      </c>
      <c r="B1518" s="64" t="s">
        <v>3911</v>
      </c>
      <c r="C1518" s="64" t="s">
        <v>16</v>
      </c>
      <c r="D1518" s="64" t="s">
        <v>403</v>
      </c>
      <c r="E1518" s="64" t="s">
        <v>370</v>
      </c>
      <c r="F1518" s="64" t="s">
        <v>3983</v>
      </c>
      <c r="G1518" s="64" t="s">
        <v>1846</v>
      </c>
    </row>
    <row r="1519" spans="1:7" x14ac:dyDescent="0.3">
      <c r="A1519" s="64" t="s">
        <v>3983</v>
      </c>
      <c r="B1519" s="64" t="s">
        <v>3911</v>
      </c>
      <c r="C1519" s="64" t="s">
        <v>16</v>
      </c>
      <c r="D1519" s="64" t="s">
        <v>403</v>
      </c>
      <c r="E1519" s="64" t="s">
        <v>378</v>
      </c>
      <c r="F1519" s="64" t="s">
        <v>3983</v>
      </c>
      <c r="G1519" s="64" t="s">
        <v>1847</v>
      </c>
    </row>
    <row r="1520" spans="1:7" x14ac:dyDescent="0.3">
      <c r="A1520" s="64" t="s">
        <v>3983</v>
      </c>
      <c r="B1520" s="64" t="s">
        <v>3911</v>
      </c>
      <c r="C1520" s="64" t="s">
        <v>16</v>
      </c>
      <c r="D1520" s="64" t="s">
        <v>403</v>
      </c>
      <c r="E1520" s="64" t="s">
        <v>371</v>
      </c>
      <c r="F1520" s="64" t="s">
        <v>3983</v>
      </c>
      <c r="G1520" s="64" t="s">
        <v>1848</v>
      </c>
    </row>
    <row r="1521" spans="1:7" x14ac:dyDescent="0.3">
      <c r="A1521" s="64" t="s">
        <v>3983</v>
      </c>
      <c r="B1521" s="64" t="s">
        <v>3911</v>
      </c>
      <c r="C1521" s="64" t="s">
        <v>16</v>
      </c>
      <c r="D1521" s="64" t="s">
        <v>403</v>
      </c>
      <c r="E1521" s="64" t="s">
        <v>376</v>
      </c>
      <c r="F1521" s="64" t="s">
        <v>3983</v>
      </c>
      <c r="G1521" s="64" t="s">
        <v>1849</v>
      </c>
    </row>
    <row r="1522" spans="1:7" x14ac:dyDescent="0.3">
      <c r="A1522" s="64" t="s">
        <v>3983</v>
      </c>
      <c r="B1522" s="64" t="s">
        <v>3911</v>
      </c>
      <c r="C1522" s="64" t="s">
        <v>16</v>
      </c>
      <c r="D1522" s="64" t="s">
        <v>403</v>
      </c>
      <c r="E1522" s="64" t="s">
        <v>377</v>
      </c>
      <c r="F1522" s="64" t="s">
        <v>3983</v>
      </c>
      <c r="G1522" s="64" t="s">
        <v>1850</v>
      </c>
    </row>
    <row r="1523" spans="1:7" x14ac:dyDescent="0.3">
      <c r="A1523" s="64" t="s">
        <v>3983</v>
      </c>
      <c r="B1523" s="64" t="s">
        <v>3911</v>
      </c>
      <c r="C1523" s="64" t="s">
        <v>16</v>
      </c>
      <c r="D1523" s="64" t="s">
        <v>403</v>
      </c>
      <c r="E1523" s="64" t="s">
        <v>381</v>
      </c>
      <c r="F1523" s="64" t="s">
        <v>3983</v>
      </c>
      <c r="G1523" s="64" t="s">
        <v>1851</v>
      </c>
    </row>
    <row r="1524" spans="1:7" x14ac:dyDescent="0.3">
      <c r="A1524" s="64" t="s">
        <v>3983</v>
      </c>
      <c r="B1524" s="64" t="s">
        <v>3911</v>
      </c>
      <c r="C1524" s="64" t="s">
        <v>16</v>
      </c>
      <c r="D1524" s="64" t="s">
        <v>403</v>
      </c>
      <c r="E1524" s="64" t="s">
        <v>379</v>
      </c>
      <c r="F1524" s="64" t="s">
        <v>3983</v>
      </c>
      <c r="G1524" s="64" t="s">
        <v>1852</v>
      </c>
    </row>
    <row r="1525" spans="1:7" x14ac:dyDescent="0.3">
      <c r="A1525" s="64" t="s">
        <v>3983</v>
      </c>
      <c r="B1525" s="64" t="s">
        <v>3911</v>
      </c>
      <c r="C1525" s="64" t="s">
        <v>16</v>
      </c>
      <c r="D1525" s="64" t="s">
        <v>403</v>
      </c>
      <c r="E1525" s="64" t="s">
        <v>374</v>
      </c>
      <c r="F1525" s="64" t="s">
        <v>3983</v>
      </c>
      <c r="G1525" s="64" t="s">
        <v>1853</v>
      </c>
    </row>
    <row r="1526" spans="1:7" x14ac:dyDescent="0.3">
      <c r="A1526" s="64" t="s">
        <v>3983</v>
      </c>
      <c r="B1526" s="64" t="s">
        <v>3911</v>
      </c>
      <c r="C1526" s="64" t="s">
        <v>16</v>
      </c>
      <c r="D1526" s="64" t="s">
        <v>403</v>
      </c>
      <c r="E1526" s="64" t="s">
        <v>383</v>
      </c>
      <c r="F1526" s="64" t="s">
        <v>3983</v>
      </c>
      <c r="G1526" s="64" t="s">
        <v>1854</v>
      </c>
    </row>
    <row r="1527" spans="1:7" x14ac:dyDescent="0.3">
      <c r="A1527" s="64" t="s">
        <v>3983</v>
      </c>
      <c r="B1527" s="64" t="s">
        <v>3911</v>
      </c>
      <c r="C1527" s="64" t="s">
        <v>16</v>
      </c>
      <c r="D1527" s="64" t="s">
        <v>403</v>
      </c>
      <c r="E1527" s="64" t="s">
        <v>373</v>
      </c>
      <c r="F1527" s="64" t="s">
        <v>3983</v>
      </c>
      <c r="G1527" s="64" t="s">
        <v>1855</v>
      </c>
    </row>
    <row r="1528" spans="1:7" x14ac:dyDescent="0.3">
      <c r="A1528" s="64" t="s">
        <v>3983</v>
      </c>
      <c r="B1528" s="64" t="s">
        <v>3911</v>
      </c>
      <c r="C1528" s="64" t="s">
        <v>16</v>
      </c>
      <c r="D1528" s="64" t="s">
        <v>403</v>
      </c>
      <c r="E1528" s="64" t="s">
        <v>368</v>
      </c>
      <c r="F1528" s="64" t="s">
        <v>3983</v>
      </c>
      <c r="G1528" s="64" t="s">
        <v>1856</v>
      </c>
    </row>
    <row r="1529" spans="1:7" x14ac:dyDescent="0.3">
      <c r="A1529" s="64" t="s">
        <v>3983</v>
      </c>
      <c r="B1529" s="64" t="s">
        <v>3911</v>
      </c>
      <c r="C1529" s="64" t="s">
        <v>16</v>
      </c>
      <c r="D1529" s="64" t="s">
        <v>403</v>
      </c>
      <c r="E1529" s="64" t="s">
        <v>372</v>
      </c>
      <c r="F1529" s="64" t="s">
        <v>3983</v>
      </c>
      <c r="G1529" s="64" t="s">
        <v>1857</v>
      </c>
    </row>
    <row r="1530" spans="1:7" x14ac:dyDescent="0.3">
      <c r="A1530" s="64" t="s">
        <v>3983</v>
      </c>
      <c r="B1530" s="64" t="s">
        <v>3911</v>
      </c>
      <c r="C1530" s="64" t="s">
        <v>16</v>
      </c>
      <c r="D1530" s="64" t="s">
        <v>403</v>
      </c>
      <c r="E1530" s="64" t="s">
        <v>375</v>
      </c>
      <c r="F1530" s="64" t="s">
        <v>3983</v>
      </c>
      <c r="G1530" s="64" t="s">
        <v>1858</v>
      </c>
    </row>
    <row r="1531" spans="1:7" x14ac:dyDescent="0.3">
      <c r="A1531" s="64" t="s">
        <v>3983</v>
      </c>
      <c r="B1531" s="64" t="s">
        <v>3911</v>
      </c>
      <c r="C1531" s="64" t="s">
        <v>16</v>
      </c>
      <c r="D1531" s="64" t="s">
        <v>403</v>
      </c>
      <c r="E1531" s="64" t="s">
        <v>380</v>
      </c>
      <c r="F1531" s="64" t="s">
        <v>3983</v>
      </c>
      <c r="G1531" s="64" t="s">
        <v>1859</v>
      </c>
    </row>
    <row r="1532" spans="1:7" x14ac:dyDescent="0.3">
      <c r="A1532" s="64" t="s">
        <v>4031</v>
      </c>
      <c r="B1532" s="64" t="s">
        <v>1909</v>
      </c>
      <c r="C1532" s="64" t="s">
        <v>20</v>
      </c>
      <c r="D1532" s="64" t="s">
        <v>16</v>
      </c>
      <c r="E1532" s="64" t="s">
        <v>15</v>
      </c>
      <c r="F1532" s="64" t="s">
        <v>4031</v>
      </c>
      <c r="G1532" s="64" t="s">
        <v>957</v>
      </c>
    </row>
    <row r="1533" spans="1:7" x14ac:dyDescent="0.3">
      <c r="A1533" s="64" t="s">
        <v>4031</v>
      </c>
      <c r="B1533" s="64" t="s">
        <v>1909</v>
      </c>
      <c r="C1533" s="64" t="s">
        <v>16</v>
      </c>
      <c r="D1533" s="64" t="s">
        <v>403</v>
      </c>
      <c r="E1533" s="64" t="s">
        <v>369</v>
      </c>
      <c r="F1533" s="64" t="s">
        <v>4031</v>
      </c>
      <c r="G1533" s="64" t="s">
        <v>1844</v>
      </c>
    </row>
    <row r="1534" spans="1:7" x14ac:dyDescent="0.3">
      <c r="A1534" s="64" t="s">
        <v>4031</v>
      </c>
      <c r="B1534" s="64" t="s">
        <v>1909</v>
      </c>
      <c r="C1534" s="64" t="s">
        <v>16</v>
      </c>
      <c r="D1534" s="64" t="s">
        <v>403</v>
      </c>
      <c r="E1534" s="64" t="s">
        <v>382</v>
      </c>
      <c r="F1534" s="64" t="s">
        <v>4031</v>
      </c>
      <c r="G1534" s="64" t="s">
        <v>1845</v>
      </c>
    </row>
    <row r="1535" spans="1:7" x14ac:dyDescent="0.3">
      <c r="A1535" s="64" t="s">
        <v>4031</v>
      </c>
      <c r="B1535" s="64" t="s">
        <v>1909</v>
      </c>
      <c r="C1535" s="64" t="s">
        <v>16</v>
      </c>
      <c r="D1535" s="64" t="s">
        <v>403</v>
      </c>
      <c r="E1535" s="64" t="s">
        <v>370</v>
      </c>
      <c r="F1535" s="64" t="s">
        <v>4031</v>
      </c>
      <c r="G1535" s="64" t="s">
        <v>1846</v>
      </c>
    </row>
    <row r="1536" spans="1:7" x14ac:dyDescent="0.3">
      <c r="A1536" s="64" t="s">
        <v>4031</v>
      </c>
      <c r="B1536" s="64" t="s">
        <v>1909</v>
      </c>
      <c r="C1536" s="64" t="s">
        <v>16</v>
      </c>
      <c r="D1536" s="64" t="s">
        <v>403</v>
      </c>
      <c r="E1536" s="64" t="s">
        <v>378</v>
      </c>
      <c r="F1536" s="64" t="s">
        <v>4031</v>
      </c>
      <c r="G1536" s="64" t="s">
        <v>1847</v>
      </c>
    </row>
    <row r="1537" spans="1:7" x14ac:dyDescent="0.3">
      <c r="A1537" s="64" t="s">
        <v>4031</v>
      </c>
      <c r="B1537" s="64" t="s">
        <v>1909</v>
      </c>
      <c r="C1537" s="64" t="s">
        <v>16</v>
      </c>
      <c r="D1537" s="64" t="s">
        <v>403</v>
      </c>
      <c r="E1537" s="64" t="s">
        <v>371</v>
      </c>
      <c r="F1537" s="64" t="s">
        <v>4031</v>
      </c>
      <c r="G1537" s="64" t="s">
        <v>1848</v>
      </c>
    </row>
    <row r="1538" spans="1:7" x14ac:dyDescent="0.3">
      <c r="A1538" s="64" t="s">
        <v>4031</v>
      </c>
      <c r="B1538" s="64" t="s">
        <v>1909</v>
      </c>
      <c r="C1538" s="64" t="s">
        <v>16</v>
      </c>
      <c r="D1538" s="64" t="s">
        <v>403</v>
      </c>
      <c r="E1538" s="64" t="s">
        <v>376</v>
      </c>
      <c r="F1538" s="64" t="s">
        <v>4031</v>
      </c>
      <c r="G1538" s="64" t="s">
        <v>1849</v>
      </c>
    </row>
    <row r="1539" spans="1:7" x14ac:dyDescent="0.3">
      <c r="A1539" s="64" t="s">
        <v>4031</v>
      </c>
      <c r="B1539" s="64" t="s">
        <v>1909</v>
      </c>
      <c r="C1539" s="64" t="s">
        <v>16</v>
      </c>
      <c r="D1539" s="64" t="s">
        <v>403</v>
      </c>
      <c r="E1539" s="64" t="s">
        <v>377</v>
      </c>
      <c r="F1539" s="64" t="s">
        <v>4031</v>
      </c>
      <c r="G1539" s="64" t="s">
        <v>1850</v>
      </c>
    </row>
    <row r="1540" spans="1:7" x14ac:dyDescent="0.3">
      <c r="A1540" s="64" t="s">
        <v>4031</v>
      </c>
      <c r="B1540" s="64" t="s">
        <v>1909</v>
      </c>
      <c r="C1540" s="64" t="s">
        <v>16</v>
      </c>
      <c r="D1540" s="64" t="s">
        <v>403</v>
      </c>
      <c r="E1540" s="64" t="s">
        <v>381</v>
      </c>
      <c r="F1540" s="64" t="s">
        <v>4031</v>
      </c>
      <c r="G1540" s="64" t="s">
        <v>1851</v>
      </c>
    </row>
    <row r="1541" spans="1:7" x14ac:dyDescent="0.3">
      <c r="A1541" s="64" t="s">
        <v>4031</v>
      </c>
      <c r="B1541" s="64" t="s">
        <v>1909</v>
      </c>
      <c r="C1541" s="64" t="s">
        <v>16</v>
      </c>
      <c r="D1541" s="64" t="s">
        <v>403</v>
      </c>
      <c r="E1541" s="64" t="s">
        <v>379</v>
      </c>
      <c r="F1541" s="64" t="s">
        <v>4031</v>
      </c>
      <c r="G1541" s="64" t="s">
        <v>1852</v>
      </c>
    </row>
    <row r="1542" spans="1:7" x14ac:dyDescent="0.3">
      <c r="A1542" s="64" t="s">
        <v>4031</v>
      </c>
      <c r="B1542" s="64" t="s">
        <v>1909</v>
      </c>
      <c r="C1542" s="64" t="s">
        <v>16</v>
      </c>
      <c r="D1542" s="64" t="s">
        <v>403</v>
      </c>
      <c r="E1542" s="64" t="s">
        <v>374</v>
      </c>
      <c r="F1542" s="64" t="s">
        <v>4031</v>
      </c>
      <c r="G1542" s="64" t="s">
        <v>1853</v>
      </c>
    </row>
    <row r="1543" spans="1:7" x14ac:dyDescent="0.3">
      <c r="A1543" s="64" t="s">
        <v>4031</v>
      </c>
      <c r="B1543" s="64" t="s">
        <v>1909</v>
      </c>
      <c r="C1543" s="64" t="s">
        <v>16</v>
      </c>
      <c r="D1543" s="64" t="s">
        <v>403</v>
      </c>
      <c r="E1543" s="64" t="s">
        <v>383</v>
      </c>
      <c r="F1543" s="64" t="s">
        <v>4031</v>
      </c>
      <c r="G1543" s="64" t="s">
        <v>1854</v>
      </c>
    </row>
    <row r="1544" spans="1:7" x14ac:dyDescent="0.3">
      <c r="A1544" s="64" t="s">
        <v>4031</v>
      </c>
      <c r="B1544" s="64" t="s">
        <v>1909</v>
      </c>
      <c r="C1544" s="64" t="s">
        <v>16</v>
      </c>
      <c r="D1544" s="64" t="s">
        <v>403</v>
      </c>
      <c r="E1544" s="64" t="s">
        <v>373</v>
      </c>
      <c r="F1544" s="64" t="s">
        <v>4031</v>
      </c>
      <c r="G1544" s="64" t="s">
        <v>1855</v>
      </c>
    </row>
    <row r="1545" spans="1:7" x14ac:dyDescent="0.3">
      <c r="A1545" s="64" t="s">
        <v>4031</v>
      </c>
      <c r="B1545" s="64" t="s">
        <v>1909</v>
      </c>
      <c r="C1545" s="64" t="s">
        <v>16</v>
      </c>
      <c r="D1545" s="64" t="s">
        <v>403</v>
      </c>
      <c r="E1545" s="64" t="s">
        <v>368</v>
      </c>
      <c r="F1545" s="64" t="s">
        <v>4031</v>
      </c>
      <c r="G1545" s="64" t="s">
        <v>1856</v>
      </c>
    </row>
    <row r="1546" spans="1:7" x14ac:dyDescent="0.3">
      <c r="A1546" s="64" t="s">
        <v>4031</v>
      </c>
      <c r="B1546" s="64" t="s">
        <v>1909</v>
      </c>
      <c r="C1546" s="64" t="s">
        <v>16</v>
      </c>
      <c r="D1546" s="64" t="s">
        <v>403</v>
      </c>
      <c r="E1546" s="64" t="s">
        <v>372</v>
      </c>
      <c r="F1546" s="64" t="s">
        <v>4031</v>
      </c>
      <c r="G1546" s="64" t="s">
        <v>1857</v>
      </c>
    </row>
    <row r="1547" spans="1:7" x14ac:dyDescent="0.3">
      <c r="A1547" s="64" t="s">
        <v>4031</v>
      </c>
      <c r="B1547" s="64" t="s">
        <v>1909</v>
      </c>
      <c r="C1547" s="64" t="s">
        <v>16</v>
      </c>
      <c r="D1547" s="64" t="s">
        <v>403</v>
      </c>
      <c r="E1547" s="64" t="s">
        <v>375</v>
      </c>
      <c r="F1547" s="64" t="s">
        <v>4031</v>
      </c>
      <c r="G1547" s="64" t="s">
        <v>1858</v>
      </c>
    </row>
    <row r="1548" spans="1:7" x14ac:dyDescent="0.3">
      <c r="A1548" s="64" t="s">
        <v>4031</v>
      </c>
      <c r="B1548" s="64" t="s">
        <v>1909</v>
      </c>
      <c r="C1548" s="64" t="s">
        <v>16</v>
      </c>
      <c r="D1548" s="64" t="s">
        <v>403</v>
      </c>
      <c r="E1548" s="64" t="s">
        <v>380</v>
      </c>
      <c r="F1548" s="64" t="s">
        <v>4031</v>
      </c>
      <c r="G1548" s="64" t="s">
        <v>1859</v>
      </c>
    </row>
    <row r="1549" spans="1:7" x14ac:dyDescent="0.3">
      <c r="A1549" s="64" t="s">
        <v>4068</v>
      </c>
      <c r="B1549" s="64" t="s">
        <v>1909</v>
      </c>
      <c r="C1549" s="64" t="s">
        <v>20</v>
      </c>
      <c r="D1549" s="64" t="s">
        <v>16</v>
      </c>
      <c r="E1549" s="64" t="s">
        <v>15</v>
      </c>
      <c r="F1549" s="64" t="s">
        <v>4068</v>
      </c>
      <c r="G1549" s="64" t="s">
        <v>957</v>
      </c>
    </row>
    <row r="1550" spans="1:7" x14ac:dyDescent="0.3">
      <c r="A1550" s="64" t="s">
        <v>4068</v>
      </c>
      <c r="B1550" s="64" t="s">
        <v>1909</v>
      </c>
      <c r="C1550" s="64" t="s">
        <v>16</v>
      </c>
      <c r="D1550" s="64" t="s">
        <v>403</v>
      </c>
      <c r="E1550" s="64" t="s">
        <v>369</v>
      </c>
      <c r="F1550" s="64" t="s">
        <v>4068</v>
      </c>
      <c r="G1550" s="64" t="s">
        <v>1844</v>
      </c>
    </row>
    <row r="1551" spans="1:7" x14ac:dyDescent="0.3">
      <c r="A1551" s="64" t="s">
        <v>4068</v>
      </c>
      <c r="B1551" s="64" t="s">
        <v>1909</v>
      </c>
      <c r="C1551" s="64" t="s">
        <v>16</v>
      </c>
      <c r="D1551" s="64" t="s">
        <v>403</v>
      </c>
      <c r="E1551" s="64" t="s">
        <v>382</v>
      </c>
      <c r="F1551" s="64" t="s">
        <v>4068</v>
      </c>
      <c r="G1551" s="64" t="s">
        <v>1845</v>
      </c>
    </row>
    <row r="1552" spans="1:7" x14ac:dyDescent="0.3">
      <c r="A1552" s="64" t="s">
        <v>4068</v>
      </c>
      <c r="B1552" s="64" t="s">
        <v>1909</v>
      </c>
      <c r="C1552" s="64" t="s">
        <v>16</v>
      </c>
      <c r="D1552" s="64" t="s">
        <v>403</v>
      </c>
      <c r="E1552" s="64" t="s">
        <v>370</v>
      </c>
      <c r="F1552" s="64" t="s">
        <v>4068</v>
      </c>
      <c r="G1552" s="64" t="s">
        <v>1846</v>
      </c>
    </row>
    <row r="1553" spans="1:7" x14ac:dyDescent="0.3">
      <c r="A1553" s="64" t="s">
        <v>4068</v>
      </c>
      <c r="B1553" s="64" t="s">
        <v>1909</v>
      </c>
      <c r="C1553" s="64" t="s">
        <v>16</v>
      </c>
      <c r="D1553" s="64" t="s">
        <v>403</v>
      </c>
      <c r="E1553" s="64" t="s">
        <v>378</v>
      </c>
      <c r="F1553" s="64" t="s">
        <v>4068</v>
      </c>
      <c r="G1553" s="64" t="s">
        <v>1847</v>
      </c>
    </row>
    <row r="1554" spans="1:7" x14ac:dyDescent="0.3">
      <c r="A1554" s="64" t="s">
        <v>4068</v>
      </c>
      <c r="B1554" s="64" t="s">
        <v>1909</v>
      </c>
      <c r="C1554" s="64" t="s">
        <v>16</v>
      </c>
      <c r="D1554" s="64" t="s">
        <v>403</v>
      </c>
      <c r="E1554" s="64" t="s">
        <v>371</v>
      </c>
      <c r="F1554" s="64" t="s">
        <v>4068</v>
      </c>
      <c r="G1554" s="64" t="s">
        <v>1848</v>
      </c>
    </row>
    <row r="1555" spans="1:7" x14ac:dyDescent="0.3">
      <c r="A1555" s="64" t="s">
        <v>4068</v>
      </c>
      <c r="B1555" s="64" t="s">
        <v>1909</v>
      </c>
      <c r="C1555" s="64" t="s">
        <v>16</v>
      </c>
      <c r="D1555" s="64" t="s">
        <v>403</v>
      </c>
      <c r="E1555" s="64" t="s">
        <v>376</v>
      </c>
      <c r="F1555" s="64" t="s">
        <v>4068</v>
      </c>
      <c r="G1555" s="64" t="s">
        <v>1849</v>
      </c>
    </row>
    <row r="1556" spans="1:7" x14ac:dyDescent="0.3">
      <c r="A1556" s="64" t="s">
        <v>4068</v>
      </c>
      <c r="B1556" s="64" t="s">
        <v>1909</v>
      </c>
      <c r="C1556" s="64" t="s">
        <v>16</v>
      </c>
      <c r="D1556" s="64" t="s">
        <v>403</v>
      </c>
      <c r="E1556" s="64" t="s">
        <v>377</v>
      </c>
      <c r="F1556" s="64" t="s">
        <v>4068</v>
      </c>
      <c r="G1556" s="64" t="s">
        <v>1850</v>
      </c>
    </row>
    <row r="1557" spans="1:7" x14ac:dyDescent="0.3">
      <c r="A1557" s="64" t="s">
        <v>4068</v>
      </c>
      <c r="B1557" s="64" t="s">
        <v>1909</v>
      </c>
      <c r="C1557" s="64" t="s">
        <v>16</v>
      </c>
      <c r="D1557" s="64" t="s">
        <v>403</v>
      </c>
      <c r="E1557" s="64" t="s">
        <v>381</v>
      </c>
      <c r="F1557" s="64" t="s">
        <v>4068</v>
      </c>
      <c r="G1557" s="64" t="s">
        <v>1851</v>
      </c>
    </row>
    <row r="1558" spans="1:7" x14ac:dyDescent="0.3">
      <c r="A1558" s="64" t="s">
        <v>4068</v>
      </c>
      <c r="B1558" s="64" t="s">
        <v>1909</v>
      </c>
      <c r="C1558" s="64" t="s">
        <v>16</v>
      </c>
      <c r="D1558" s="64" t="s">
        <v>403</v>
      </c>
      <c r="E1558" s="64" t="s">
        <v>379</v>
      </c>
      <c r="F1558" s="64" t="s">
        <v>4068</v>
      </c>
      <c r="G1558" s="64" t="s">
        <v>1852</v>
      </c>
    </row>
    <row r="1559" spans="1:7" x14ac:dyDescent="0.3">
      <c r="A1559" s="64" t="s">
        <v>4068</v>
      </c>
      <c r="B1559" s="64" t="s">
        <v>1909</v>
      </c>
      <c r="C1559" s="64" t="s">
        <v>16</v>
      </c>
      <c r="D1559" s="64" t="s">
        <v>403</v>
      </c>
      <c r="E1559" s="64" t="s">
        <v>374</v>
      </c>
      <c r="F1559" s="64" t="s">
        <v>4068</v>
      </c>
      <c r="G1559" s="64" t="s">
        <v>1853</v>
      </c>
    </row>
    <row r="1560" spans="1:7" x14ac:dyDescent="0.3">
      <c r="A1560" s="64" t="s">
        <v>4068</v>
      </c>
      <c r="B1560" s="64" t="s">
        <v>1909</v>
      </c>
      <c r="C1560" s="64" t="s">
        <v>16</v>
      </c>
      <c r="D1560" s="64" t="s">
        <v>403</v>
      </c>
      <c r="E1560" s="64" t="s">
        <v>383</v>
      </c>
      <c r="F1560" s="64" t="s">
        <v>4068</v>
      </c>
      <c r="G1560" s="64" t="s">
        <v>1854</v>
      </c>
    </row>
    <row r="1561" spans="1:7" x14ac:dyDescent="0.3">
      <c r="A1561" s="64" t="s">
        <v>4068</v>
      </c>
      <c r="B1561" s="64" t="s">
        <v>1909</v>
      </c>
      <c r="C1561" s="64" t="s">
        <v>16</v>
      </c>
      <c r="D1561" s="64" t="s">
        <v>403</v>
      </c>
      <c r="E1561" s="64" t="s">
        <v>373</v>
      </c>
      <c r="F1561" s="64" t="s">
        <v>4068</v>
      </c>
      <c r="G1561" s="64" t="s">
        <v>1855</v>
      </c>
    </row>
    <row r="1562" spans="1:7" x14ac:dyDescent="0.3">
      <c r="A1562" s="64" t="s">
        <v>4068</v>
      </c>
      <c r="B1562" s="64" t="s">
        <v>1909</v>
      </c>
      <c r="C1562" s="64" t="s">
        <v>16</v>
      </c>
      <c r="D1562" s="64" t="s">
        <v>403</v>
      </c>
      <c r="E1562" s="64" t="s">
        <v>368</v>
      </c>
      <c r="F1562" s="64" t="s">
        <v>4068</v>
      </c>
      <c r="G1562" s="64" t="s">
        <v>1856</v>
      </c>
    </row>
    <row r="1563" spans="1:7" x14ac:dyDescent="0.3">
      <c r="A1563" s="64" t="s">
        <v>4068</v>
      </c>
      <c r="B1563" s="64" t="s">
        <v>1909</v>
      </c>
      <c r="C1563" s="64" t="s">
        <v>16</v>
      </c>
      <c r="D1563" s="64" t="s">
        <v>403</v>
      </c>
      <c r="E1563" s="64" t="s">
        <v>372</v>
      </c>
      <c r="F1563" s="64" t="s">
        <v>4068</v>
      </c>
      <c r="G1563" s="64" t="s">
        <v>1857</v>
      </c>
    </row>
    <row r="1564" spans="1:7" x14ac:dyDescent="0.3">
      <c r="A1564" s="64" t="s">
        <v>4068</v>
      </c>
      <c r="B1564" s="64" t="s">
        <v>1909</v>
      </c>
      <c r="C1564" s="64" t="s">
        <v>16</v>
      </c>
      <c r="D1564" s="64" t="s">
        <v>403</v>
      </c>
      <c r="E1564" s="64" t="s">
        <v>375</v>
      </c>
      <c r="F1564" s="64" t="s">
        <v>4068</v>
      </c>
      <c r="G1564" s="64" t="s">
        <v>1858</v>
      </c>
    </row>
    <row r="1565" spans="1:7" x14ac:dyDescent="0.3">
      <c r="A1565" s="64" t="s">
        <v>4068</v>
      </c>
      <c r="B1565" s="64" t="s">
        <v>1909</v>
      </c>
      <c r="C1565" s="64" t="s">
        <v>16</v>
      </c>
      <c r="D1565" s="64" t="s">
        <v>403</v>
      </c>
      <c r="E1565" s="64" t="s">
        <v>380</v>
      </c>
      <c r="F1565" s="64" t="s">
        <v>4068</v>
      </c>
      <c r="G1565" s="64" t="s">
        <v>1859</v>
      </c>
    </row>
    <row r="1566" spans="1:7" x14ac:dyDescent="0.3">
      <c r="A1566" s="64" t="s">
        <v>5163</v>
      </c>
      <c r="B1566" s="64" t="s">
        <v>569</v>
      </c>
      <c r="C1566" s="64" t="s">
        <v>20</v>
      </c>
      <c r="D1566" s="64" t="s">
        <v>18</v>
      </c>
      <c r="E1566" s="64" t="s">
        <v>15</v>
      </c>
      <c r="F1566" s="64" t="s">
        <v>9263</v>
      </c>
      <c r="G1566" s="64" t="s">
        <v>957</v>
      </c>
    </row>
    <row r="1567" spans="1:7" x14ac:dyDescent="0.3">
      <c r="A1567" s="64" t="s">
        <v>5163</v>
      </c>
      <c r="B1567" s="64" t="s">
        <v>569</v>
      </c>
      <c r="C1567" s="64" t="s">
        <v>16</v>
      </c>
      <c r="D1567" s="64" t="s">
        <v>18</v>
      </c>
      <c r="E1567" s="64" t="s">
        <v>369</v>
      </c>
      <c r="F1567" s="64" t="s">
        <v>9263</v>
      </c>
      <c r="G1567" s="64" t="s">
        <v>1844</v>
      </c>
    </row>
    <row r="1568" spans="1:7" x14ac:dyDescent="0.3">
      <c r="A1568" s="64" t="s">
        <v>5163</v>
      </c>
      <c r="B1568" s="64" t="s">
        <v>569</v>
      </c>
      <c r="C1568" s="64" t="s">
        <v>16</v>
      </c>
      <c r="D1568" s="64" t="s">
        <v>18</v>
      </c>
      <c r="E1568" s="64" t="s">
        <v>382</v>
      </c>
      <c r="F1568" s="64" t="s">
        <v>9263</v>
      </c>
      <c r="G1568" s="64" t="s">
        <v>1845</v>
      </c>
    </row>
    <row r="1569" spans="1:7" x14ac:dyDescent="0.3">
      <c r="A1569" s="64" t="s">
        <v>5163</v>
      </c>
      <c r="B1569" s="64" t="s">
        <v>569</v>
      </c>
      <c r="C1569" s="64" t="s">
        <v>16</v>
      </c>
      <c r="D1569" s="64" t="s">
        <v>18</v>
      </c>
      <c r="E1569" s="64" t="s">
        <v>370</v>
      </c>
      <c r="F1569" s="64" t="s">
        <v>9263</v>
      </c>
      <c r="G1569" s="64" t="s">
        <v>1846</v>
      </c>
    </row>
    <row r="1570" spans="1:7" x14ac:dyDescent="0.3">
      <c r="A1570" s="64" t="s">
        <v>5163</v>
      </c>
      <c r="B1570" s="64" t="s">
        <v>569</v>
      </c>
      <c r="C1570" s="64" t="s">
        <v>16</v>
      </c>
      <c r="D1570" s="64" t="s">
        <v>18</v>
      </c>
      <c r="E1570" s="64" t="s">
        <v>378</v>
      </c>
      <c r="F1570" s="64" t="s">
        <v>9263</v>
      </c>
      <c r="G1570" s="64" t="s">
        <v>1847</v>
      </c>
    </row>
    <row r="1571" spans="1:7" x14ac:dyDescent="0.3">
      <c r="A1571" s="64" t="s">
        <v>5163</v>
      </c>
      <c r="B1571" s="64" t="s">
        <v>569</v>
      </c>
      <c r="C1571" s="64" t="s">
        <v>16</v>
      </c>
      <c r="D1571" s="64" t="s">
        <v>18</v>
      </c>
      <c r="E1571" s="64" t="s">
        <v>371</v>
      </c>
      <c r="F1571" s="64" t="s">
        <v>9263</v>
      </c>
      <c r="G1571" s="64" t="s">
        <v>1848</v>
      </c>
    </row>
    <row r="1572" spans="1:7" x14ac:dyDescent="0.3">
      <c r="A1572" s="64" t="s">
        <v>5163</v>
      </c>
      <c r="B1572" s="64" t="s">
        <v>569</v>
      </c>
      <c r="C1572" s="64" t="s">
        <v>16</v>
      </c>
      <c r="D1572" s="64" t="s">
        <v>18</v>
      </c>
      <c r="E1572" s="64" t="s">
        <v>376</v>
      </c>
      <c r="F1572" s="64" t="s">
        <v>9263</v>
      </c>
      <c r="G1572" s="64" t="s">
        <v>1849</v>
      </c>
    </row>
    <row r="1573" spans="1:7" x14ac:dyDescent="0.3">
      <c r="A1573" s="64" t="s">
        <v>5163</v>
      </c>
      <c r="B1573" s="64" t="s">
        <v>569</v>
      </c>
      <c r="C1573" s="64" t="s">
        <v>16</v>
      </c>
      <c r="D1573" s="64" t="s">
        <v>18</v>
      </c>
      <c r="E1573" s="64" t="s">
        <v>377</v>
      </c>
      <c r="F1573" s="64" t="s">
        <v>9263</v>
      </c>
      <c r="G1573" s="64" t="s">
        <v>1850</v>
      </c>
    </row>
    <row r="1574" spans="1:7" x14ac:dyDescent="0.3">
      <c r="A1574" s="64" t="s">
        <v>5163</v>
      </c>
      <c r="B1574" s="64" t="s">
        <v>569</v>
      </c>
      <c r="C1574" s="64" t="s">
        <v>16</v>
      </c>
      <c r="D1574" s="64" t="s">
        <v>18</v>
      </c>
      <c r="E1574" s="64" t="s">
        <v>381</v>
      </c>
      <c r="F1574" s="64" t="s">
        <v>9263</v>
      </c>
      <c r="G1574" s="64" t="s">
        <v>1851</v>
      </c>
    </row>
    <row r="1575" spans="1:7" x14ac:dyDescent="0.3">
      <c r="A1575" s="64" t="s">
        <v>5163</v>
      </c>
      <c r="B1575" s="64" t="s">
        <v>569</v>
      </c>
      <c r="C1575" s="64" t="s">
        <v>16</v>
      </c>
      <c r="D1575" s="64" t="s">
        <v>18</v>
      </c>
      <c r="E1575" s="64" t="s">
        <v>379</v>
      </c>
      <c r="F1575" s="64" t="s">
        <v>9263</v>
      </c>
      <c r="G1575" s="64" t="s">
        <v>1852</v>
      </c>
    </row>
    <row r="1576" spans="1:7" x14ac:dyDescent="0.3">
      <c r="A1576" s="64" t="s">
        <v>5163</v>
      </c>
      <c r="B1576" s="64" t="s">
        <v>569</v>
      </c>
      <c r="C1576" s="64" t="s">
        <v>16</v>
      </c>
      <c r="D1576" s="64" t="s">
        <v>18</v>
      </c>
      <c r="E1576" s="64" t="s">
        <v>374</v>
      </c>
      <c r="F1576" s="64" t="s">
        <v>9263</v>
      </c>
      <c r="G1576" s="64" t="s">
        <v>1853</v>
      </c>
    </row>
    <row r="1577" spans="1:7" x14ac:dyDescent="0.3">
      <c r="A1577" s="64" t="s">
        <v>5163</v>
      </c>
      <c r="B1577" s="64" t="s">
        <v>569</v>
      </c>
      <c r="C1577" s="64" t="s">
        <v>16</v>
      </c>
      <c r="D1577" s="64" t="s">
        <v>18</v>
      </c>
      <c r="E1577" s="64" t="s">
        <v>383</v>
      </c>
      <c r="F1577" s="64" t="s">
        <v>9263</v>
      </c>
      <c r="G1577" s="64" t="s">
        <v>1854</v>
      </c>
    </row>
    <row r="1578" spans="1:7" x14ac:dyDescent="0.3">
      <c r="A1578" s="64" t="s">
        <v>5163</v>
      </c>
      <c r="B1578" s="64" t="s">
        <v>569</v>
      </c>
      <c r="C1578" s="64" t="s">
        <v>16</v>
      </c>
      <c r="D1578" s="64" t="s">
        <v>18</v>
      </c>
      <c r="E1578" s="64" t="s">
        <v>373</v>
      </c>
      <c r="F1578" s="64" t="s">
        <v>9263</v>
      </c>
      <c r="G1578" s="64" t="s">
        <v>1855</v>
      </c>
    </row>
    <row r="1579" spans="1:7" x14ac:dyDescent="0.3">
      <c r="A1579" s="64" t="s">
        <v>5163</v>
      </c>
      <c r="B1579" s="64" t="s">
        <v>569</v>
      </c>
      <c r="C1579" s="64" t="s">
        <v>16</v>
      </c>
      <c r="D1579" s="64" t="s">
        <v>18</v>
      </c>
      <c r="E1579" s="64" t="s">
        <v>368</v>
      </c>
      <c r="F1579" s="64" t="s">
        <v>9263</v>
      </c>
      <c r="G1579" s="64" t="s">
        <v>1856</v>
      </c>
    </row>
    <row r="1580" spans="1:7" x14ac:dyDescent="0.3">
      <c r="A1580" s="64" t="s">
        <v>5163</v>
      </c>
      <c r="B1580" s="64" t="s">
        <v>569</v>
      </c>
      <c r="C1580" s="64" t="s">
        <v>16</v>
      </c>
      <c r="D1580" s="64" t="s">
        <v>18</v>
      </c>
      <c r="E1580" s="64" t="s">
        <v>372</v>
      </c>
      <c r="F1580" s="64" t="s">
        <v>9263</v>
      </c>
      <c r="G1580" s="64" t="s">
        <v>1857</v>
      </c>
    </row>
    <row r="1581" spans="1:7" x14ac:dyDescent="0.3">
      <c r="A1581" s="64" t="s">
        <v>5163</v>
      </c>
      <c r="B1581" s="64" t="s">
        <v>569</v>
      </c>
      <c r="C1581" s="64" t="s">
        <v>16</v>
      </c>
      <c r="D1581" s="64" t="s">
        <v>18</v>
      </c>
      <c r="E1581" s="64" t="s">
        <v>375</v>
      </c>
      <c r="F1581" s="64" t="s">
        <v>9263</v>
      </c>
      <c r="G1581" s="64" t="s">
        <v>1858</v>
      </c>
    </row>
    <row r="1582" spans="1:7" x14ac:dyDescent="0.3">
      <c r="A1582" s="64" t="s">
        <v>5163</v>
      </c>
      <c r="B1582" s="64" t="s">
        <v>569</v>
      </c>
      <c r="C1582" s="64" t="s">
        <v>16</v>
      </c>
      <c r="D1582" s="64" t="s">
        <v>18</v>
      </c>
      <c r="E1582" s="64" t="s">
        <v>380</v>
      </c>
      <c r="F1582" s="64" t="s">
        <v>9263</v>
      </c>
      <c r="G1582" s="64" t="s">
        <v>1859</v>
      </c>
    </row>
    <row r="1583" spans="1:7" x14ac:dyDescent="0.3">
      <c r="A1583" s="64" t="s">
        <v>5178</v>
      </c>
      <c r="B1583" s="64" t="s">
        <v>5177</v>
      </c>
      <c r="C1583" s="64" t="s">
        <v>20</v>
      </c>
      <c r="D1583" s="64" t="s">
        <v>403</v>
      </c>
      <c r="E1583" s="64" t="s">
        <v>15</v>
      </c>
      <c r="F1583" s="64" t="s">
        <v>5181</v>
      </c>
      <c r="G1583" s="64">
        <v>0</v>
      </c>
    </row>
    <row r="1584" spans="1:7" x14ac:dyDescent="0.3">
      <c r="A1584" s="64" t="s">
        <v>5152</v>
      </c>
      <c r="B1584" s="64" t="s">
        <v>1883</v>
      </c>
      <c r="C1584" s="64" t="s">
        <v>20</v>
      </c>
      <c r="D1584" s="64" t="s">
        <v>403</v>
      </c>
      <c r="E1584" s="64" t="s">
        <v>15</v>
      </c>
      <c r="F1584" s="64" t="s">
        <v>9294</v>
      </c>
      <c r="G1584" s="64">
        <v>0</v>
      </c>
    </row>
    <row r="1585" spans="1:7" x14ac:dyDescent="0.3">
      <c r="A1585" s="64" t="s">
        <v>5152</v>
      </c>
      <c r="B1585" s="64" t="s">
        <v>1883</v>
      </c>
      <c r="C1585" s="64" t="s">
        <v>20</v>
      </c>
      <c r="D1585" s="64" t="s">
        <v>403</v>
      </c>
      <c r="E1585" s="64" t="s">
        <v>15</v>
      </c>
      <c r="F1585" s="64" t="s">
        <v>1483</v>
      </c>
      <c r="G1585" s="64">
        <v>0</v>
      </c>
    </row>
    <row r="1586" spans="1:7" x14ac:dyDescent="0.3">
      <c r="A1586" s="64" t="s">
        <v>5152</v>
      </c>
      <c r="B1586" s="64" t="s">
        <v>1883</v>
      </c>
      <c r="C1586" s="64" t="s">
        <v>20</v>
      </c>
      <c r="D1586" s="64" t="s">
        <v>403</v>
      </c>
      <c r="E1586" s="64" t="s">
        <v>15</v>
      </c>
      <c r="F1586" s="64" t="s">
        <v>9295</v>
      </c>
      <c r="G1586" s="64">
        <v>0</v>
      </c>
    </row>
    <row r="1587" spans="1:7" x14ac:dyDescent="0.3">
      <c r="A1587" s="64" t="s">
        <v>5152</v>
      </c>
      <c r="B1587" s="64" t="s">
        <v>1883</v>
      </c>
      <c r="C1587" s="64" t="s">
        <v>20</v>
      </c>
      <c r="D1587" s="64" t="s">
        <v>9314</v>
      </c>
      <c r="E1587" s="64" t="s">
        <v>15</v>
      </c>
      <c r="F1587" s="64" t="s">
        <v>9294</v>
      </c>
      <c r="G1587" s="64">
        <v>0</v>
      </c>
    </row>
    <row r="1588" spans="1:7" x14ac:dyDescent="0.3">
      <c r="A1588" s="64" t="s">
        <v>5153</v>
      </c>
      <c r="B1588" s="64" t="s">
        <v>1883</v>
      </c>
      <c r="C1588" s="64" t="s">
        <v>20</v>
      </c>
      <c r="D1588" s="64" t="s">
        <v>403</v>
      </c>
      <c r="E1588" s="64" t="s">
        <v>15</v>
      </c>
      <c r="F1588" s="64" t="s">
        <v>1482</v>
      </c>
      <c r="G1588" s="64">
        <v>0</v>
      </c>
    </row>
    <row r="1589" spans="1:7" x14ac:dyDescent="0.3">
      <c r="A1589" s="64" t="s">
        <v>5154</v>
      </c>
      <c r="B1589" s="64" t="s">
        <v>1883</v>
      </c>
      <c r="C1589" s="64" t="s">
        <v>20</v>
      </c>
      <c r="D1589" s="64" t="s">
        <v>403</v>
      </c>
      <c r="E1589" s="64" t="s">
        <v>15</v>
      </c>
      <c r="F1589" s="64" t="s">
        <v>9296</v>
      </c>
      <c r="G1589" s="64">
        <v>0</v>
      </c>
    </row>
    <row r="1590" spans="1:7" x14ac:dyDescent="0.3">
      <c r="A1590" s="64" t="s">
        <v>5157</v>
      </c>
      <c r="B1590" s="64" t="s">
        <v>1896</v>
      </c>
      <c r="C1590" s="64" t="s">
        <v>20</v>
      </c>
      <c r="D1590" s="64" t="s">
        <v>18</v>
      </c>
      <c r="E1590" s="64" t="s">
        <v>15</v>
      </c>
      <c r="F1590" s="64" t="s">
        <v>1517</v>
      </c>
      <c r="G1590" s="64" t="s">
        <v>957</v>
      </c>
    </row>
    <row r="1591" spans="1:7" x14ac:dyDescent="0.3">
      <c r="A1591" s="64" t="s">
        <v>5157</v>
      </c>
      <c r="B1591" s="64" t="s">
        <v>1896</v>
      </c>
      <c r="C1591" s="64" t="s">
        <v>16</v>
      </c>
      <c r="D1591" s="64" t="s">
        <v>18</v>
      </c>
      <c r="E1591" s="64" t="s">
        <v>369</v>
      </c>
      <c r="F1591" s="64" t="s">
        <v>1517</v>
      </c>
      <c r="G1591" s="64" t="s">
        <v>1844</v>
      </c>
    </row>
    <row r="1592" spans="1:7" x14ac:dyDescent="0.3">
      <c r="A1592" s="64" t="s">
        <v>5157</v>
      </c>
      <c r="B1592" s="64" t="s">
        <v>1896</v>
      </c>
      <c r="C1592" s="64" t="s">
        <v>16</v>
      </c>
      <c r="D1592" s="64" t="s">
        <v>18</v>
      </c>
      <c r="E1592" s="64" t="s">
        <v>382</v>
      </c>
      <c r="F1592" s="64" t="s">
        <v>1517</v>
      </c>
      <c r="G1592" s="64" t="s">
        <v>1845</v>
      </c>
    </row>
    <row r="1593" spans="1:7" x14ac:dyDescent="0.3">
      <c r="A1593" s="64" t="s">
        <v>5157</v>
      </c>
      <c r="B1593" s="64" t="s">
        <v>1896</v>
      </c>
      <c r="C1593" s="64" t="s">
        <v>16</v>
      </c>
      <c r="D1593" s="64" t="s">
        <v>18</v>
      </c>
      <c r="E1593" s="64" t="s">
        <v>370</v>
      </c>
      <c r="F1593" s="64" t="s">
        <v>1517</v>
      </c>
      <c r="G1593" s="64" t="s">
        <v>1846</v>
      </c>
    </row>
    <row r="1594" spans="1:7" x14ac:dyDescent="0.3">
      <c r="A1594" s="64" t="s">
        <v>5157</v>
      </c>
      <c r="B1594" s="64" t="s">
        <v>1896</v>
      </c>
      <c r="C1594" s="64" t="s">
        <v>16</v>
      </c>
      <c r="D1594" s="64" t="s">
        <v>18</v>
      </c>
      <c r="E1594" s="64" t="s">
        <v>378</v>
      </c>
      <c r="F1594" s="64" t="s">
        <v>1517</v>
      </c>
      <c r="G1594" s="64" t="s">
        <v>1847</v>
      </c>
    </row>
    <row r="1595" spans="1:7" x14ac:dyDescent="0.3">
      <c r="A1595" s="64" t="s">
        <v>5157</v>
      </c>
      <c r="B1595" s="64" t="s">
        <v>1896</v>
      </c>
      <c r="C1595" s="64" t="s">
        <v>16</v>
      </c>
      <c r="D1595" s="64" t="s">
        <v>18</v>
      </c>
      <c r="E1595" s="64" t="s">
        <v>371</v>
      </c>
      <c r="F1595" s="64" t="s">
        <v>1517</v>
      </c>
      <c r="G1595" s="64" t="s">
        <v>1848</v>
      </c>
    </row>
    <row r="1596" spans="1:7" x14ac:dyDescent="0.3">
      <c r="A1596" s="64" t="s">
        <v>5157</v>
      </c>
      <c r="B1596" s="64" t="s">
        <v>1896</v>
      </c>
      <c r="C1596" s="64" t="s">
        <v>16</v>
      </c>
      <c r="D1596" s="64" t="s">
        <v>18</v>
      </c>
      <c r="E1596" s="64" t="s">
        <v>376</v>
      </c>
      <c r="F1596" s="64" t="s">
        <v>1517</v>
      </c>
      <c r="G1596" s="64" t="s">
        <v>1849</v>
      </c>
    </row>
    <row r="1597" spans="1:7" x14ac:dyDescent="0.3">
      <c r="A1597" s="64" t="s">
        <v>5157</v>
      </c>
      <c r="B1597" s="64" t="s">
        <v>1896</v>
      </c>
      <c r="C1597" s="64" t="s">
        <v>16</v>
      </c>
      <c r="D1597" s="64" t="s">
        <v>18</v>
      </c>
      <c r="E1597" s="64" t="s">
        <v>377</v>
      </c>
      <c r="F1597" s="64" t="s">
        <v>1517</v>
      </c>
      <c r="G1597" s="64" t="s">
        <v>1850</v>
      </c>
    </row>
    <row r="1598" spans="1:7" x14ac:dyDescent="0.3">
      <c r="A1598" s="64" t="s">
        <v>5157</v>
      </c>
      <c r="B1598" s="64" t="s">
        <v>1896</v>
      </c>
      <c r="C1598" s="64" t="s">
        <v>16</v>
      </c>
      <c r="D1598" s="64" t="s">
        <v>18</v>
      </c>
      <c r="E1598" s="64" t="s">
        <v>381</v>
      </c>
      <c r="F1598" s="64" t="s">
        <v>1517</v>
      </c>
      <c r="G1598" s="64" t="s">
        <v>1851</v>
      </c>
    </row>
    <row r="1599" spans="1:7" x14ac:dyDescent="0.3">
      <c r="A1599" s="64" t="s">
        <v>5157</v>
      </c>
      <c r="B1599" s="64" t="s">
        <v>1896</v>
      </c>
      <c r="C1599" s="64" t="s">
        <v>16</v>
      </c>
      <c r="D1599" s="64" t="s">
        <v>18</v>
      </c>
      <c r="E1599" s="64" t="s">
        <v>379</v>
      </c>
      <c r="F1599" s="64" t="s">
        <v>1517</v>
      </c>
      <c r="G1599" s="64" t="s">
        <v>1852</v>
      </c>
    </row>
    <row r="1600" spans="1:7" x14ac:dyDescent="0.3">
      <c r="A1600" s="64" t="s">
        <v>5157</v>
      </c>
      <c r="B1600" s="64" t="s">
        <v>1896</v>
      </c>
      <c r="C1600" s="64" t="s">
        <v>16</v>
      </c>
      <c r="D1600" s="64" t="s">
        <v>18</v>
      </c>
      <c r="E1600" s="64" t="s">
        <v>374</v>
      </c>
      <c r="F1600" s="64" t="s">
        <v>1517</v>
      </c>
      <c r="G1600" s="64" t="s">
        <v>1853</v>
      </c>
    </row>
    <row r="1601" spans="1:7" x14ac:dyDescent="0.3">
      <c r="A1601" s="64" t="s">
        <v>5157</v>
      </c>
      <c r="B1601" s="64" t="s">
        <v>1896</v>
      </c>
      <c r="C1601" s="64" t="s">
        <v>16</v>
      </c>
      <c r="D1601" s="64" t="s">
        <v>18</v>
      </c>
      <c r="E1601" s="64" t="s">
        <v>383</v>
      </c>
      <c r="F1601" s="64" t="s">
        <v>1517</v>
      </c>
      <c r="G1601" s="64" t="s">
        <v>1854</v>
      </c>
    </row>
    <row r="1602" spans="1:7" x14ac:dyDescent="0.3">
      <c r="A1602" s="64" t="s">
        <v>5157</v>
      </c>
      <c r="B1602" s="64" t="s">
        <v>1896</v>
      </c>
      <c r="C1602" s="64" t="s">
        <v>16</v>
      </c>
      <c r="D1602" s="64" t="s">
        <v>18</v>
      </c>
      <c r="E1602" s="64" t="s">
        <v>373</v>
      </c>
      <c r="F1602" s="64" t="s">
        <v>1517</v>
      </c>
      <c r="G1602" s="64" t="s">
        <v>1855</v>
      </c>
    </row>
    <row r="1603" spans="1:7" x14ac:dyDescent="0.3">
      <c r="A1603" s="64" t="s">
        <v>5157</v>
      </c>
      <c r="B1603" s="64" t="s">
        <v>1896</v>
      </c>
      <c r="C1603" s="64" t="s">
        <v>16</v>
      </c>
      <c r="D1603" s="64" t="s">
        <v>18</v>
      </c>
      <c r="E1603" s="64" t="s">
        <v>368</v>
      </c>
      <c r="F1603" s="64" t="s">
        <v>1517</v>
      </c>
      <c r="G1603" s="64" t="s">
        <v>1856</v>
      </c>
    </row>
    <row r="1604" spans="1:7" x14ac:dyDescent="0.3">
      <c r="A1604" s="64" t="s">
        <v>5157</v>
      </c>
      <c r="B1604" s="64" t="s">
        <v>1896</v>
      </c>
      <c r="C1604" s="64" t="s">
        <v>16</v>
      </c>
      <c r="D1604" s="64" t="s">
        <v>18</v>
      </c>
      <c r="E1604" s="64" t="s">
        <v>372</v>
      </c>
      <c r="F1604" s="64" t="s">
        <v>1517</v>
      </c>
      <c r="G1604" s="64" t="s">
        <v>1857</v>
      </c>
    </row>
    <row r="1605" spans="1:7" x14ac:dyDescent="0.3">
      <c r="A1605" s="64" t="s">
        <v>5157</v>
      </c>
      <c r="B1605" s="64" t="s">
        <v>1896</v>
      </c>
      <c r="C1605" s="64" t="s">
        <v>16</v>
      </c>
      <c r="D1605" s="64" t="s">
        <v>18</v>
      </c>
      <c r="E1605" s="64" t="s">
        <v>375</v>
      </c>
      <c r="F1605" s="64" t="s">
        <v>1517</v>
      </c>
      <c r="G1605" s="64" t="s">
        <v>1858</v>
      </c>
    </row>
    <row r="1606" spans="1:7" x14ac:dyDescent="0.3">
      <c r="A1606" s="64" t="s">
        <v>5157</v>
      </c>
      <c r="B1606" s="64" t="s">
        <v>1896</v>
      </c>
      <c r="C1606" s="64" t="s">
        <v>16</v>
      </c>
      <c r="D1606" s="64" t="s">
        <v>18</v>
      </c>
      <c r="E1606" s="64" t="s">
        <v>380</v>
      </c>
      <c r="F1606" s="64" t="s">
        <v>1517</v>
      </c>
      <c r="G1606" s="64" t="s">
        <v>1859</v>
      </c>
    </row>
    <row r="1607" spans="1:7" x14ac:dyDescent="0.3">
      <c r="A1607" s="64" t="s">
        <v>5155</v>
      </c>
      <c r="B1607" s="64" t="s">
        <v>1896</v>
      </c>
      <c r="C1607" s="64" t="s">
        <v>20</v>
      </c>
      <c r="D1607" s="64" t="s">
        <v>18</v>
      </c>
      <c r="E1607" s="64" t="s">
        <v>15</v>
      </c>
      <c r="F1607" s="64" t="s">
        <v>1517</v>
      </c>
      <c r="G1607" s="64" t="s">
        <v>957</v>
      </c>
    </row>
    <row r="1608" spans="1:7" x14ac:dyDescent="0.3">
      <c r="A1608" s="64" t="s">
        <v>5155</v>
      </c>
      <c r="B1608" s="64" t="s">
        <v>1896</v>
      </c>
      <c r="C1608" s="64" t="s">
        <v>16</v>
      </c>
      <c r="D1608" s="64" t="s">
        <v>18</v>
      </c>
      <c r="E1608" s="64" t="s">
        <v>369</v>
      </c>
      <c r="F1608" s="64" t="s">
        <v>1517</v>
      </c>
      <c r="G1608" s="64" t="s">
        <v>1844</v>
      </c>
    </row>
    <row r="1609" spans="1:7" x14ac:dyDescent="0.3">
      <c r="A1609" s="64" t="s">
        <v>5155</v>
      </c>
      <c r="B1609" s="64" t="s">
        <v>1896</v>
      </c>
      <c r="C1609" s="64" t="s">
        <v>16</v>
      </c>
      <c r="D1609" s="64" t="s">
        <v>18</v>
      </c>
      <c r="E1609" s="64" t="s">
        <v>382</v>
      </c>
      <c r="F1609" s="64" t="s">
        <v>1517</v>
      </c>
      <c r="G1609" s="64" t="s">
        <v>1845</v>
      </c>
    </row>
    <row r="1610" spans="1:7" x14ac:dyDescent="0.3">
      <c r="A1610" s="64" t="s">
        <v>5155</v>
      </c>
      <c r="B1610" s="64" t="s">
        <v>1896</v>
      </c>
      <c r="C1610" s="64" t="s">
        <v>16</v>
      </c>
      <c r="D1610" s="64" t="s">
        <v>18</v>
      </c>
      <c r="E1610" s="64" t="s">
        <v>370</v>
      </c>
      <c r="F1610" s="64" t="s">
        <v>1517</v>
      </c>
      <c r="G1610" s="64" t="s">
        <v>1846</v>
      </c>
    </row>
    <row r="1611" spans="1:7" x14ac:dyDescent="0.3">
      <c r="A1611" s="64" t="s">
        <v>5155</v>
      </c>
      <c r="B1611" s="64" t="s">
        <v>1896</v>
      </c>
      <c r="C1611" s="64" t="s">
        <v>16</v>
      </c>
      <c r="D1611" s="64" t="s">
        <v>18</v>
      </c>
      <c r="E1611" s="64" t="s">
        <v>378</v>
      </c>
      <c r="F1611" s="64" t="s">
        <v>1517</v>
      </c>
      <c r="G1611" s="64" t="s">
        <v>1847</v>
      </c>
    </row>
    <row r="1612" spans="1:7" x14ac:dyDescent="0.3">
      <c r="A1612" s="64" t="s">
        <v>5155</v>
      </c>
      <c r="B1612" s="64" t="s">
        <v>1896</v>
      </c>
      <c r="C1612" s="64" t="s">
        <v>16</v>
      </c>
      <c r="D1612" s="64" t="s">
        <v>18</v>
      </c>
      <c r="E1612" s="64" t="s">
        <v>371</v>
      </c>
      <c r="F1612" s="64" t="s">
        <v>1517</v>
      </c>
      <c r="G1612" s="64" t="s">
        <v>1848</v>
      </c>
    </row>
    <row r="1613" spans="1:7" x14ac:dyDescent="0.3">
      <c r="A1613" s="64" t="s">
        <v>5155</v>
      </c>
      <c r="B1613" s="64" t="s">
        <v>1896</v>
      </c>
      <c r="C1613" s="64" t="s">
        <v>16</v>
      </c>
      <c r="D1613" s="64" t="s">
        <v>18</v>
      </c>
      <c r="E1613" s="64" t="s">
        <v>376</v>
      </c>
      <c r="F1613" s="64" t="s">
        <v>1517</v>
      </c>
      <c r="G1613" s="64" t="s">
        <v>1849</v>
      </c>
    </row>
    <row r="1614" spans="1:7" x14ac:dyDescent="0.3">
      <c r="A1614" s="64" t="s">
        <v>5155</v>
      </c>
      <c r="B1614" s="64" t="s">
        <v>1896</v>
      </c>
      <c r="C1614" s="64" t="s">
        <v>16</v>
      </c>
      <c r="D1614" s="64" t="s">
        <v>18</v>
      </c>
      <c r="E1614" s="64" t="s">
        <v>377</v>
      </c>
      <c r="F1614" s="64" t="s">
        <v>1517</v>
      </c>
      <c r="G1614" s="64" t="s">
        <v>1850</v>
      </c>
    </row>
    <row r="1615" spans="1:7" x14ac:dyDescent="0.3">
      <c r="A1615" s="64" t="s">
        <v>5155</v>
      </c>
      <c r="B1615" s="64" t="s">
        <v>1896</v>
      </c>
      <c r="C1615" s="64" t="s">
        <v>16</v>
      </c>
      <c r="D1615" s="64" t="s">
        <v>18</v>
      </c>
      <c r="E1615" s="64" t="s">
        <v>381</v>
      </c>
      <c r="F1615" s="64" t="s">
        <v>1517</v>
      </c>
      <c r="G1615" s="64" t="s">
        <v>1851</v>
      </c>
    </row>
    <row r="1616" spans="1:7" x14ac:dyDescent="0.3">
      <c r="A1616" s="64" t="s">
        <v>5155</v>
      </c>
      <c r="B1616" s="64" t="s">
        <v>1896</v>
      </c>
      <c r="C1616" s="64" t="s">
        <v>16</v>
      </c>
      <c r="D1616" s="64" t="s">
        <v>18</v>
      </c>
      <c r="E1616" s="64" t="s">
        <v>379</v>
      </c>
      <c r="F1616" s="64" t="s">
        <v>1517</v>
      </c>
      <c r="G1616" s="64" t="s">
        <v>1852</v>
      </c>
    </row>
    <row r="1617" spans="1:7" x14ac:dyDescent="0.3">
      <c r="A1617" s="64" t="s">
        <v>5155</v>
      </c>
      <c r="B1617" s="64" t="s">
        <v>1896</v>
      </c>
      <c r="C1617" s="64" t="s">
        <v>16</v>
      </c>
      <c r="D1617" s="64" t="s">
        <v>18</v>
      </c>
      <c r="E1617" s="64" t="s">
        <v>374</v>
      </c>
      <c r="F1617" s="64" t="s">
        <v>1517</v>
      </c>
      <c r="G1617" s="64" t="s">
        <v>1853</v>
      </c>
    </row>
    <row r="1618" spans="1:7" x14ac:dyDescent="0.3">
      <c r="A1618" s="64" t="s">
        <v>5155</v>
      </c>
      <c r="B1618" s="64" t="s">
        <v>1896</v>
      </c>
      <c r="C1618" s="64" t="s">
        <v>16</v>
      </c>
      <c r="D1618" s="64" t="s">
        <v>18</v>
      </c>
      <c r="E1618" s="64" t="s">
        <v>383</v>
      </c>
      <c r="F1618" s="64" t="s">
        <v>1517</v>
      </c>
      <c r="G1618" s="64" t="s">
        <v>1854</v>
      </c>
    </row>
    <row r="1619" spans="1:7" x14ac:dyDescent="0.3">
      <c r="A1619" s="64" t="s">
        <v>5155</v>
      </c>
      <c r="B1619" s="64" t="s">
        <v>1896</v>
      </c>
      <c r="C1619" s="64" t="s">
        <v>16</v>
      </c>
      <c r="D1619" s="64" t="s">
        <v>18</v>
      </c>
      <c r="E1619" s="64" t="s">
        <v>373</v>
      </c>
      <c r="F1619" s="64" t="s">
        <v>1517</v>
      </c>
      <c r="G1619" s="64" t="s">
        <v>1855</v>
      </c>
    </row>
    <row r="1620" spans="1:7" x14ac:dyDescent="0.3">
      <c r="A1620" s="64" t="s">
        <v>5155</v>
      </c>
      <c r="B1620" s="64" t="s">
        <v>1896</v>
      </c>
      <c r="C1620" s="64" t="s">
        <v>16</v>
      </c>
      <c r="D1620" s="64" t="s">
        <v>18</v>
      </c>
      <c r="E1620" s="64" t="s">
        <v>368</v>
      </c>
      <c r="F1620" s="64" t="s">
        <v>1517</v>
      </c>
      <c r="G1620" s="64" t="s">
        <v>1856</v>
      </c>
    </row>
    <row r="1621" spans="1:7" x14ac:dyDescent="0.3">
      <c r="A1621" s="64" t="s">
        <v>5155</v>
      </c>
      <c r="B1621" s="64" t="s">
        <v>1896</v>
      </c>
      <c r="C1621" s="64" t="s">
        <v>16</v>
      </c>
      <c r="D1621" s="64" t="s">
        <v>18</v>
      </c>
      <c r="E1621" s="64" t="s">
        <v>372</v>
      </c>
      <c r="F1621" s="64" t="s">
        <v>1517</v>
      </c>
      <c r="G1621" s="64" t="s">
        <v>1857</v>
      </c>
    </row>
    <row r="1622" spans="1:7" x14ac:dyDescent="0.3">
      <c r="A1622" s="64" t="s">
        <v>5155</v>
      </c>
      <c r="B1622" s="64" t="s">
        <v>1896</v>
      </c>
      <c r="C1622" s="64" t="s">
        <v>16</v>
      </c>
      <c r="D1622" s="64" t="s">
        <v>18</v>
      </c>
      <c r="E1622" s="64" t="s">
        <v>375</v>
      </c>
      <c r="F1622" s="64" t="s">
        <v>1517</v>
      </c>
      <c r="G1622" s="64" t="s">
        <v>1858</v>
      </c>
    </row>
    <row r="1623" spans="1:7" x14ac:dyDescent="0.3">
      <c r="A1623" s="64" t="s">
        <v>5155</v>
      </c>
      <c r="B1623" s="64" t="s">
        <v>1896</v>
      </c>
      <c r="C1623" s="64" t="s">
        <v>16</v>
      </c>
      <c r="D1623" s="64" t="s">
        <v>18</v>
      </c>
      <c r="E1623" s="64" t="s">
        <v>380</v>
      </c>
      <c r="F1623" s="64" t="s">
        <v>1517</v>
      </c>
      <c r="G1623" s="64" t="s">
        <v>1859</v>
      </c>
    </row>
    <row r="1624" spans="1:7" x14ac:dyDescent="0.3">
      <c r="A1624" s="64" t="s">
        <v>5158</v>
      </c>
      <c r="B1624" s="64" t="s">
        <v>1896</v>
      </c>
      <c r="C1624" s="64" t="s">
        <v>20</v>
      </c>
      <c r="D1624" s="64" t="s">
        <v>956</v>
      </c>
      <c r="E1624" s="64" t="s">
        <v>15</v>
      </c>
      <c r="F1624" s="64" t="s">
        <v>1523</v>
      </c>
      <c r="G1624" s="64" t="s">
        <v>957</v>
      </c>
    </row>
    <row r="1625" spans="1:7" x14ac:dyDescent="0.3">
      <c r="A1625" s="64" t="s">
        <v>5158</v>
      </c>
      <c r="B1625" s="64" t="s">
        <v>1896</v>
      </c>
      <c r="C1625" s="64" t="s">
        <v>16</v>
      </c>
      <c r="D1625" s="64" t="s">
        <v>18</v>
      </c>
      <c r="E1625" s="64" t="s">
        <v>369</v>
      </c>
      <c r="F1625" s="64" t="s">
        <v>1523</v>
      </c>
      <c r="G1625" s="64" t="s">
        <v>1844</v>
      </c>
    </row>
    <row r="1626" spans="1:7" x14ac:dyDescent="0.3">
      <c r="A1626" s="64" t="s">
        <v>5158</v>
      </c>
      <c r="B1626" s="64" t="s">
        <v>1896</v>
      </c>
      <c r="C1626" s="64" t="s">
        <v>16</v>
      </c>
      <c r="D1626" s="64" t="s">
        <v>18</v>
      </c>
      <c r="E1626" s="64" t="s">
        <v>382</v>
      </c>
      <c r="F1626" s="64" t="s">
        <v>1523</v>
      </c>
      <c r="G1626" s="64" t="s">
        <v>1845</v>
      </c>
    </row>
    <row r="1627" spans="1:7" x14ac:dyDescent="0.3">
      <c r="A1627" s="64" t="s">
        <v>5158</v>
      </c>
      <c r="B1627" s="64" t="s">
        <v>1896</v>
      </c>
      <c r="C1627" s="64" t="s">
        <v>16</v>
      </c>
      <c r="D1627" s="64" t="s">
        <v>18</v>
      </c>
      <c r="E1627" s="64" t="s">
        <v>370</v>
      </c>
      <c r="F1627" s="64" t="s">
        <v>1523</v>
      </c>
      <c r="G1627" s="64" t="s">
        <v>1846</v>
      </c>
    </row>
    <row r="1628" spans="1:7" x14ac:dyDescent="0.3">
      <c r="A1628" s="64" t="s">
        <v>5158</v>
      </c>
      <c r="B1628" s="64" t="s">
        <v>1896</v>
      </c>
      <c r="C1628" s="64" t="s">
        <v>16</v>
      </c>
      <c r="D1628" s="64" t="s">
        <v>18</v>
      </c>
      <c r="E1628" s="64" t="s">
        <v>378</v>
      </c>
      <c r="F1628" s="64" t="s">
        <v>1523</v>
      </c>
      <c r="G1628" s="64" t="s">
        <v>1847</v>
      </c>
    </row>
    <row r="1629" spans="1:7" x14ac:dyDescent="0.3">
      <c r="A1629" s="64" t="s">
        <v>5158</v>
      </c>
      <c r="B1629" s="64" t="s">
        <v>1896</v>
      </c>
      <c r="C1629" s="64" t="s">
        <v>16</v>
      </c>
      <c r="D1629" s="64" t="s">
        <v>18</v>
      </c>
      <c r="E1629" s="64" t="s">
        <v>371</v>
      </c>
      <c r="F1629" s="64" t="s">
        <v>1523</v>
      </c>
      <c r="G1629" s="64" t="s">
        <v>1848</v>
      </c>
    </row>
    <row r="1630" spans="1:7" x14ac:dyDescent="0.3">
      <c r="A1630" s="64" t="s">
        <v>5158</v>
      </c>
      <c r="B1630" s="64" t="s">
        <v>1896</v>
      </c>
      <c r="C1630" s="64" t="s">
        <v>16</v>
      </c>
      <c r="D1630" s="64" t="s">
        <v>18</v>
      </c>
      <c r="E1630" s="64" t="s">
        <v>376</v>
      </c>
      <c r="F1630" s="64" t="s">
        <v>1523</v>
      </c>
      <c r="G1630" s="64" t="s">
        <v>1849</v>
      </c>
    </row>
    <row r="1631" spans="1:7" x14ac:dyDescent="0.3">
      <c r="A1631" s="64" t="s">
        <v>5158</v>
      </c>
      <c r="B1631" s="64" t="s">
        <v>1896</v>
      </c>
      <c r="C1631" s="64" t="s">
        <v>16</v>
      </c>
      <c r="D1631" s="64" t="s">
        <v>18</v>
      </c>
      <c r="E1631" s="64" t="s">
        <v>377</v>
      </c>
      <c r="F1631" s="64" t="s">
        <v>1523</v>
      </c>
      <c r="G1631" s="64" t="s">
        <v>1850</v>
      </c>
    </row>
    <row r="1632" spans="1:7" x14ac:dyDescent="0.3">
      <c r="A1632" s="64" t="s">
        <v>5158</v>
      </c>
      <c r="B1632" s="64" t="s">
        <v>1896</v>
      </c>
      <c r="C1632" s="64" t="s">
        <v>16</v>
      </c>
      <c r="D1632" s="64" t="s">
        <v>18</v>
      </c>
      <c r="E1632" s="64" t="s">
        <v>381</v>
      </c>
      <c r="F1632" s="64" t="s">
        <v>1523</v>
      </c>
      <c r="G1632" s="64" t="s">
        <v>1851</v>
      </c>
    </row>
    <row r="1633" spans="1:7" x14ac:dyDescent="0.3">
      <c r="A1633" s="64" t="s">
        <v>5158</v>
      </c>
      <c r="B1633" s="64" t="s">
        <v>1896</v>
      </c>
      <c r="C1633" s="64" t="s">
        <v>16</v>
      </c>
      <c r="D1633" s="64" t="s">
        <v>18</v>
      </c>
      <c r="E1633" s="64" t="s">
        <v>379</v>
      </c>
      <c r="F1633" s="64" t="s">
        <v>1523</v>
      </c>
      <c r="G1633" s="64" t="s">
        <v>1852</v>
      </c>
    </row>
    <row r="1634" spans="1:7" x14ac:dyDescent="0.3">
      <c r="A1634" s="64" t="s">
        <v>5158</v>
      </c>
      <c r="B1634" s="64" t="s">
        <v>1896</v>
      </c>
      <c r="C1634" s="64" t="s">
        <v>16</v>
      </c>
      <c r="D1634" s="64" t="s">
        <v>18</v>
      </c>
      <c r="E1634" s="64" t="s">
        <v>374</v>
      </c>
      <c r="F1634" s="64" t="s">
        <v>1523</v>
      </c>
      <c r="G1634" s="64" t="s">
        <v>1853</v>
      </c>
    </row>
    <row r="1635" spans="1:7" x14ac:dyDescent="0.3">
      <c r="A1635" s="64" t="s">
        <v>5158</v>
      </c>
      <c r="B1635" s="64" t="s">
        <v>1896</v>
      </c>
      <c r="C1635" s="64" t="s">
        <v>16</v>
      </c>
      <c r="D1635" s="64" t="s">
        <v>18</v>
      </c>
      <c r="E1635" s="64" t="s">
        <v>383</v>
      </c>
      <c r="F1635" s="64" t="s">
        <v>1523</v>
      </c>
      <c r="G1635" s="64" t="s">
        <v>1854</v>
      </c>
    </row>
    <row r="1636" spans="1:7" x14ac:dyDescent="0.3">
      <c r="A1636" s="64" t="s">
        <v>5158</v>
      </c>
      <c r="B1636" s="64" t="s">
        <v>1896</v>
      </c>
      <c r="C1636" s="64" t="s">
        <v>16</v>
      </c>
      <c r="D1636" s="64" t="s">
        <v>18</v>
      </c>
      <c r="E1636" s="64" t="s">
        <v>373</v>
      </c>
      <c r="F1636" s="64" t="s">
        <v>1523</v>
      </c>
      <c r="G1636" s="64" t="s">
        <v>1855</v>
      </c>
    </row>
    <row r="1637" spans="1:7" x14ac:dyDescent="0.3">
      <c r="A1637" s="64" t="s">
        <v>5158</v>
      </c>
      <c r="B1637" s="64" t="s">
        <v>1896</v>
      </c>
      <c r="C1637" s="64" t="s">
        <v>16</v>
      </c>
      <c r="D1637" s="64" t="s">
        <v>18</v>
      </c>
      <c r="E1637" s="64" t="s">
        <v>368</v>
      </c>
      <c r="F1637" s="64" t="s">
        <v>1523</v>
      </c>
      <c r="G1637" s="64" t="s">
        <v>1856</v>
      </c>
    </row>
    <row r="1638" spans="1:7" x14ac:dyDescent="0.3">
      <c r="A1638" s="64" t="s">
        <v>5158</v>
      </c>
      <c r="B1638" s="64" t="s">
        <v>1896</v>
      </c>
      <c r="C1638" s="64" t="s">
        <v>16</v>
      </c>
      <c r="D1638" s="64" t="s">
        <v>18</v>
      </c>
      <c r="E1638" s="64" t="s">
        <v>372</v>
      </c>
      <c r="F1638" s="64" t="s">
        <v>1523</v>
      </c>
      <c r="G1638" s="64" t="s">
        <v>1857</v>
      </c>
    </row>
    <row r="1639" spans="1:7" x14ac:dyDescent="0.3">
      <c r="A1639" s="64" t="s">
        <v>5158</v>
      </c>
      <c r="B1639" s="64" t="s">
        <v>1896</v>
      </c>
      <c r="C1639" s="64" t="s">
        <v>16</v>
      </c>
      <c r="D1639" s="64" t="s">
        <v>18</v>
      </c>
      <c r="E1639" s="64" t="s">
        <v>375</v>
      </c>
      <c r="F1639" s="64" t="s">
        <v>1523</v>
      </c>
      <c r="G1639" s="64" t="s">
        <v>1858</v>
      </c>
    </row>
    <row r="1640" spans="1:7" x14ac:dyDescent="0.3">
      <c r="A1640" s="64" t="s">
        <v>5158</v>
      </c>
      <c r="B1640" s="64" t="s">
        <v>1896</v>
      </c>
      <c r="C1640" s="64" t="s">
        <v>16</v>
      </c>
      <c r="D1640" s="64" t="s">
        <v>18</v>
      </c>
      <c r="E1640" s="64" t="s">
        <v>380</v>
      </c>
      <c r="F1640" s="64" t="s">
        <v>1523</v>
      </c>
      <c r="G1640" s="64" t="s">
        <v>1859</v>
      </c>
    </row>
    <row r="1641" spans="1:7" x14ac:dyDescent="0.3">
      <c r="A1641" s="64" t="s">
        <v>9308</v>
      </c>
      <c r="B1641" s="64" t="s">
        <v>1907</v>
      </c>
      <c r="C1641" s="64" t="s">
        <v>20</v>
      </c>
      <c r="D1641" s="64" t="s">
        <v>956</v>
      </c>
      <c r="E1641" s="64" t="s">
        <v>15</v>
      </c>
      <c r="F1641" s="64" t="s">
        <v>9309</v>
      </c>
      <c r="G1641" s="64" t="s">
        <v>957</v>
      </c>
    </row>
    <row r="1642" spans="1:7" x14ac:dyDescent="0.3">
      <c r="A1642" s="64" t="s">
        <v>9308</v>
      </c>
      <c r="B1642" s="64" t="s">
        <v>1907</v>
      </c>
      <c r="C1642" s="64" t="s">
        <v>16</v>
      </c>
      <c r="D1642" s="64" t="s">
        <v>403</v>
      </c>
      <c r="E1642" s="64" t="s">
        <v>369</v>
      </c>
      <c r="F1642" s="64" t="s">
        <v>9309</v>
      </c>
      <c r="G1642" s="64" t="s">
        <v>1844</v>
      </c>
    </row>
    <row r="1643" spans="1:7" x14ac:dyDescent="0.3">
      <c r="A1643" s="64" t="s">
        <v>9308</v>
      </c>
      <c r="B1643" s="64" t="s">
        <v>1907</v>
      </c>
      <c r="C1643" s="64" t="s">
        <v>16</v>
      </c>
      <c r="D1643" s="64" t="s">
        <v>403</v>
      </c>
      <c r="E1643" s="64" t="s">
        <v>382</v>
      </c>
      <c r="F1643" s="64" t="s">
        <v>9309</v>
      </c>
      <c r="G1643" s="64" t="s">
        <v>1845</v>
      </c>
    </row>
    <row r="1644" spans="1:7" x14ac:dyDescent="0.3">
      <c r="A1644" s="64" t="s">
        <v>9308</v>
      </c>
      <c r="B1644" s="64" t="s">
        <v>1907</v>
      </c>
      <c r="C1644" s="64" t="s">
        <v>16</v>
      </c>
      <c r="D1644" s="64" t="s">
        <v>403</v>
      </c>
      <c r="E1644" s="64" t="s">
        <v>370</v>
      </c>
      <c r="F1644" s="64" t="s">
        <v>9309</v>
      </c>
      <c r="G1644" s="64" t="s">
        <v>1846</v>
      </c>
    </row>
    <row r="1645" spans="1:7" x14ac:dyDescent="0.3">
      <c r="A1645" s="64" t="s">
        <v>9308</v>
      </c>
      <c r="B1645" s="64" t="s">
        <v>1907</v>
      </c>
      <c r="C1645" s="64" t="s">
        <v>16</v>
      </c>
      <c r="D1645" s="64" t="s">
        <v>403</v>
      </c>
      <c r="E1645" s="64" t="s">
        <v>378</v>
      </c>
      <c r="F1645" s="64" t="s">
        <v>9309</v>
      </c>
      <c r="G1645" s="64" t="s">
        <v>1847</v>
      </c>
    </row>
    <row r="1646" spans="1:7" x14ac:dyDescent="0.3">
      <c r="A1646" s="64" t="s">
        <v>9308</v>
      </c>
      <c r="B1646" s="64" t="s">
        <v>1907</v>
      </c>
      <c r="C1646" s="64" t="s">
        <v>16</v>
      </c>
      <c r="D1646" s="64" t="s">
        <v>403</v>
      </c>
      <c r="E1646" s="64" t="s">
        <v>371</v>
      </c>
      <c r="F1646" s="64" t="s">
        <v>9309</v>
      </c>
      <c r="G1646" s="64" t="s">
        <v>1848</v>
      </c>
    </row>
    <row r="1647" spans="1:7" x14ac:dyDescent="0.3">
      <c r="A1647" s="64" t="s">
        <v>9308</v>
      </c>
      <c r="B1647" s="64" t="s">
        <v>1907</v>
      </c>
      <c r="C1647" s="64" t="s">
        <v>16</v>
      </c>
      <c r="D1647" s="64" t="s">
        <v>403</v>
      </c>
      <c r="E1647" s="64" t="s">
        <v>376</v>
      </c>
      <c r="F1647" s="64" t="s">
        <v>9309</v>
      </c>
      <c r="G1647" s="64" t="s">
        <v>1849</v>
      </c>
    </row>
    <row r="1648" spans="1:7" x14ac:dyDescent="0.3">
      <c r="A1648" s="64" t="s">
        <v>9308</v>
      </c>
      <c r="B1648" s="64" t="s">
        <v>1907</v>
      </c>
      <c r="C1648" s="64" t="s">
        <v>16</v>
      </c>
      <c r="D1648" s="64" t="s">
        <v>403</v>
      </c>
      <c r="E1648" s="64" t="s">
        <v>377</v>
      </c>
      <c r="F1648" s="64" t="s">
        <v>9309</v>
      </c>
      <c r="G1648" s="64" t="s">
        <v>1850</v>
      </c>
    </row>
    <row r="1649" spans="1:7" x14ac:dyDescent="0.3">
      <c r="A1649" s="64" t="s">
        <v>9308</v>
      </c>
      <c r="B1649" s="64" t="s">
        <v>1907</v>
      </c>
      <c r="C1649" s="64" t="s">
        <v>16</v>
      </c>
      <c r="D1649" s="64" t="s">
        <v>403</v>
      </c>
      <c r="E1649" s="64" t="s">
        <v>381</v>
      </c>
      <c r="F1649" s="64" t="s">
        <v>9309</v>
      </c>
      <c r="G1649" s="64" t="s">
        <v>1851</v>
      </c>
    </row>
    <row r="1650" spans="1:7" x14ac:dyDescent="0.3">
      <c r="A1650" s="64" t="s">
        <v>9308</v>
      </c>
      <c r="B1650" s="64" t="s">
        <v>1907</v>
      </c>
      <c r="C1650" s="64" t="s">
        <v>16</v>
      </c>
      <c r="D1650" s="64" t="s">
        <v>403</v>
      </c>
      <c r="E1650" s="64" t="s">
        <v>379</v>
      </c>
      <c r="F1650" s="64" t="s">
        <v>9309</v>
      </c>
      <c r="G1650" s="64" t="s">
        <v>1852</v>
      </c>
    </row>
    <row r="1651" spans="1:7" x14ac:dyDescent="0.3">
      <c r="A1651" s="64" t="s">
        <v>9308</v>
      </c>
      <c r="B1651" s="64" t="s">
        <v>1907</v>
      </c>
      <c r="C1651" s="64" t="s">
        <v>16</v>
      </c>
      <c r="D1651" s="64" t="s">
        <v>403</v>
      </c>
      <c r="E1651" s="64" t="s">
        <v>374</v>
      </c>
      <c r="F1651" s="64" t="s">
        <v>9309</v>
      </c>
      <c r="G1651" s="64" t="s">
        <v>1853</v>
      </c>
    </row>
    <row r="1652" spans="1:7" x14ac:dyDescent="0.3">
      <c r="A1652" s="64" t="s">
        <v>9308</v>
      </c>
      <c r="B1652" s="64" t="s">
        <v>1907</v>
      </c>
      <c r="C1652" s="64" t="s">
        <v>16</v>
      </c>
      <c r="D1652" s="64" t="s">
        <v>403</v>
      </c>
      <c r="E1652" s="64" t="s">
        <v>383</v>
      </c>
      <c r="F1652" s="64" t="s">
        <v>9309</v>
      </c>
      <c r="G1652" s="64" t="s">
        <v>1854</v>
      </c>
    </row>
    <row r="1653" spans="1:7" x14ac:dyDescent="0.3">
      <c r="A1653" s="64" t="s">
        <v>9308</v>
      </c>
      <c r="B1653" s="64" t="s">
        <v>1907</v>
      </c>
      <c r="C1653" s="64" t="s">
        <v>16</v>
      </c>
      <c r="D1653" s="64" t="s">
        <v>403</v>
      </c>
      <c r="E1653" s="64" t="s">
        <v>373</v>
      </c>
      <c r="F1653" s="64" t="s">
        <v>9309</v>
      </c>
      <c r="G1653" s="64" t="s">
        <v>1855</v>
      </c>
    </row>
    <row r="1654" spans="1:7" x14ac:dyDescent="0.3">
      <c r="A1654" s="64" t="s">
        <v>9308</v>
      </c>
      <c r="B1654" s="64" t="s">
        <v>1907</v>
      </c>
      <c r="C1654" s="64" t="s">
        <v>16</v>
      </c>
      <c r="D1654" s="64" t="s">
        <v>403</v>
      </c>
      <c r="E1654" s="64" t="s">
        <v>368</v>
      </c>
      <c r="F1654" s="64" t="s">
        <v>9309</v>
      </c>
      <c r="G1654" s="64" t="s">
        <v>1856</v>
      </c>
    </row>
    <row r="1655" spans="1:7" x14ac:dyDescent="0.3">
      <c r="A1655" s="64" t="s">
        <v>9308</v>
      </c>
      <c r="B1655" s="64" t="s">
        <v>1907</v>
      </c>
      <c r="C1655" s="64" t="s">
        <v>16</v>
      </c>
      <c r="D1655" s="64" t="s">
        <v>403</v>
      </c>
      <c r="E1655" s="64" t="s">
        <v>372</v>
      </c>
      <c r="F1655" s="64" t="s">
        <v>9309</v>
      </c>
      <c r="G1655" s="64" t="s">
        <v>1857</v>
      </c>
    </row>
    <row r="1656" spans="1:7" x14ac:dyDescent="0.3">
      <c r="A1656" s="64" t="s">
        <v>9308</v>
      </c>
      <c r="B1656" s="64" t="s">
        <v>1907</v>
      </c>
      <c r="C1656" s="64" t="s">
        <v>16</v>
      </c>
      <c r="D1656" s="64" t="s">
        <v>403</v>
      </c>
      <c r="E1656" s="64" t="s">
        <v>375</v>
      </c>
      <c r="F1656" s="64" t="s">
        <v>9309</v>
      </c>
      <c r="G1656" s="64" t="s">
        <v>1858</v>
      </c>
    </row>
    <row r="1657" spans="1:7" x14ac:dyDescent="0.3">
      <c r="A1657" s="64" t="s">
        <v>9308</v>
      </c>
      <c r="B1657" s="64" t="s">
        <v>1907</v>
      </c>
      <c r="C1657" s="64" t="s">
        <v>16</v>
      </c>
      <c r="D1657" s="64" t="s">
        <v>403</v>
      </c>
      <c r="E1657" s="64" t="s">
        <v>380</v>
      </c>
      <c r="F1657" s="64" t="s">
        <v>9309</v>
      </c>
      <c r="G1657" s="64" t="s">
        <v>1859</v>
      </c>
    </row>
    <row r="1658" spans="1:7" x14ac:dyDescent="0.3">
      <c r="A1658" s="64" t="s">
        <v>3718</v>
      </c>
      <c r="B1658" s="64" t="s">
        <v>2700</v>
      </c>
      <c r="C1658" s="64" t="s">
        <v>20</v>
      </c>
      <c r="D1658" s="64" t="s">
        <v>3194</v>
      </c>
      <c r="E1658" s="64" t="s">
        <v>15</v>
      </c>
      <c r="F1658" s="64" t="s">
        <v>3719</v>
      </c>
      <c r="G1658" s="64" t="s">
        <v>805</v>
      </c>
    </row>
    <row r="1659" spans="1:7" x14ac:dyDescent="0.3">
      <c r="A1659" s="64" t="s">
        <v>3718</v>
      </c>
      <c r="B1659" s="64" t="s">
        <v>2700</v>
      </c>
      <c r="C1659" s="64" t="s">
        <v>16</v>
      </c>
      <c r="D1659" s="64" t="s">
        <v>3180</v>
      </c>
      <c r="E1659" s="64" t="s">
        <v>383</v>
      </c>
      <c r="F1659" s="64" t="s">
        <v>3719</v>
      </c>
      <c r="G1659" s="64" t="s">
        <v>1870</v>
      </c>
    </row>
    <row r="1660" spans="1:7" x14ac:dyDescent="0.3">
      <c r="A1660" s="64" t="s">
        <v>3718</v>
      </c>
      <c r="B1660" s="64" t="s">
        <v>2700</v>
      </c>
      <c r="C1660" s="64" t="s">
        <v>16</v>
      </c>
      <c r="D1660" s="64" t="s">
        <v>3180</v>
      </c>
      <c r="E1660" s="64" t="s">
        <v>372</v>
      </c>
      <c r="F1660" s="64" t="s">
        <v>3719</v>
      </c>
      <c r="G1660" s="64" t="s">
        <v>1873</v>
      </c>
    </row>
    <row r="1661" spans="1:7" x14ac:dyDescent="0.3">
      <c r="A1661" s="64" t="s">
        <v>3718</v>
      </c>
      <c r="B1661" s="64" t="s">
        <v>2700</v>
      </c>
      <c r="C1661" s="64" t="s">
        <v>16</v>
      </c>
      <c r="D1661" s="64" t="s">
        <v>3180</v>
      </c>
      <c r="E1661" s="64" t="s">
        <v>375</v>
      </c>
      <c r="F1661" s="64" t="s">
        <v>3719</v>
      </c>
      <c r="G1661" s="64" t="s">
        <v>1874</v>
      </c>
    </row>
    <row r="1662" spans="1:7" x14ac:dyDescent="0.3">
      <c r="A1662" s="64" t="s">
        <v>3718</v>
      </c>
      <c r="B1662" s="64" t="s">
        <v>2700</v>
      </c>
      <c r="C1662" s="64" t="s">
        <v>16</v>
      </c>
      <c r="D1662" s="64" t="s">
        <v>3180</v>
      </c>
      <c r="E1662" s="64" t="s">
        <v>380</v>
      </c>
      <c r="F1662" s="64" t="s">
        <v>3719</v>
      </c>
      <c r="G1662" s="64" t="s">
        <v>1875</v>
      </c>
    </row>
    <row r="1663" spans="1:7" x14ac:dyDescent="0.3">
      <c r="A1663" s="64" t="s">
        <v>5165</v>
      </c>
      <c r="B1663" s="64" t="s">
        <v>3911</v>
      </c>
      <c r="C1663" s="64" t="s">
        <v>20</v>
      </c>
      <c r="D1663" s="64" t="s">
        <v>16</v>
      </c>
      <c r="E1663" s="64" t="s">
        <v>15</v>
      </c>
      <c r="F1663" s="64" t="s">
        <v>3911</v>
      </c>
      <c r="G1663" s="64" t="s">
        <v>957</v>
      </c>
    </row>
    <row r="1664" spans="1:7" x14ac:dyDescent="0.3">
      <c r="A1664" s="64" t="s">
        <v>5165</v>
      </c>
      <c r="B1664" s="64" t="s">
        <v>3911</v>
      </c>
      <c r="C1664" s="64" t="s">
        <v>16</v>
      </c>
      <c r="D1664" s="64" t="s">
        <v>403</v>
      </c>
      <c r="E1664" s="64" t="s">
        <v>369</v>
      </c>
      <c r="F1664" s="64" t="s">
        <v>3911</v>
      </c>
      <c r="G1664" s="64" t="s">
        <v>1844</v>
      </c>
    </row>
    <row r="1665" spans="1:7" x14ac:dyDescent="0.3">
      <c r="A1665" s="64" t="s">
        <v>5165</v>
      </c>
      <c r="B1665" s="64" t="s">
        <v>3911</v>
      </c>
      <c r="C1665" s="64" t="s">
        <v>16</v>
      </c>
      <c r="D1665" s="64" t="s">
        <v>403</v>
      </c>
      <c r="E1665" s="64" t="s">
        <v>382</v>
      </c>
      <c r="F1665" s="64" t="s">
        <v>3911</v>
      </c>
      <c r="G1665" s="64" t="s">
        <v>1845</v>
      </c>
    </row>
    <row r="1666" spans="1:7" x14ac:dyDescent="0.3">
      <c r="A1666" s="64" t="s">
        <v>5165</v>
      </c>
      <c r="B1666" s="64" t="s">
        <v>3911</v>
      </c>
      <c r="C1666" s="64" t="s">
        <v>16</v>
      </c>
      <c r="D1666" s="64" t="s">
        <v>403</v>
      </c>
      <c r="E1666" s="64" t="s">
        <v>370</v>
      </c>
      <c r="F1666" s="64" t="s">
        <v>3911</v>
      </c>
      <c r="G1666" s="64" t="s">
        <v>1846</v>
      </c>
    </row>
    <row r="1667" spans="1:7" x14ac:dyDescent="0.3">
      <c r="A1667" s="64" t="s">
        <v>5165</v>
      </c>
      <c r="B1667" s="64" t="s">
        <v>3911</v>
      </c>
      <c r="C1667" s="64" t="s">
        <v>16</v>
      </c>
      <c r="D1667" s="64" t="s">
        <v>403</v>
      </c>
      <c r="E1667" s="64" t="s">
        <v>378</v>
      </c>
      <c r="F1667" s="64" t="s">
        <v>3911</v>
      </c>
      <c r="G1667" s="64" t="s">
        <v>1847</v>
      </c>
    </row>
    <row r="1668" spans="1:7" x14ac:dyDescent="0.3">
      <c r="A1668" s="64" t="s">
        <v>5165</v>
      </c>
      <c r="B1668" s="64" t="s">
        <v>3911</v>
      </c>
      <c r="C1668" s="64" t="s">
        <v>16</v>
      </c>
      <c r="D1668" s="64" t="s">
        <v>403</v>
      </c>
      <c r="E1668" s="64" t="s">
        <v>371</v>
      </c>
      <c r="F1668" s="64" t="s">
        <v>3911</v>
      </c>
      <c r="G1668" s="64" t="s">
        <v>1848</v>
      </c>
    </row>
    <row r="1669" spans="1:7" x14ac:dyDescent="0.3">
      <c r="A1669" s="64" t="s">
        <v>5165</v>
      </c>
      <c r="B1669" s="64" t="s">
        <v>3911</v>
      </c>
      <c r="C1669" s="64" t="s">
        <v>16</v>
      </c>
      <c r="D1669" s="64" t="s">
        <v>403</v>
      </c>
      <c r="E1669" s="64" t="s">
        <v>376</v>
      </c>
      <c r="F1669" s="64" t="s">
        <v>3911</v>
      </c>
      <c r="G1669" s="64" t="s">
        <v>1849</v>
      </c>
    </row>
    <row r="1670" spans="1:7" x14ac:dyDescent="0.3">
      <c r="A1670" s="64" t="s">
        <v>5165</v>
      </c>
      <c r="B1670" s="64" t="s">
        <v>3911</v>
      </c>
      <c r="C1670" s="64" t="s">
        <v>16</v>
      </c>
      <c r="D1670" s="64" t="s">
        <v>403</v>
      </c>
      <c r="E1670" s="64" t="s">
        <v>377</v>
      </c>
      <c r="F1670" s="64" t="s">
        <v>3911</v>
      </c>
      <c r="G1670" s="64" t="s">
        <v>1850</v>
      </c>
    </row>
    <row r="1671" spans="1:7" x14ac:dyDescent="0.3">
      <c r="A1671" s="64" t="s">
        <v>5165</v>
      </c>
      <c r="B1671" s="64" t="s">
        <v>3911</v>
      </c>
      <c r="C1671" s="64" t="s">
        <v>16</v>
      </c>
      <c r="D1671" s="64" t="s">
        <v>403</v>
      </c>
      <c r="E1671" s="64" t="s">
        <v>381</v>
      </c>
      <c r="F1671" s="64" t="s">
        <v>3911</v>
      </c>
      <c r="G1671" s="64" t="s">
        <v>1851</v>
      </c>
    </row>
    <row r="1672" spans="1:7" x14ac:dyDescent="0.3">
      <c r="A1672" s="64" t="s">
        <v>5165</v>
      </c>
      <c r="B1672" s="64" t="s">
        <v>3911</v>
      </c>
      <c r="C1672" s="64" t="s">
        <v>16</v>
      </c>
      <c r="D1672" s="64" t="s">
        <v>403</v>
      </c>
      <c r="E1672" s="64" t="s">
        <v>379</v>
      </c>
      <c r="F1672" s="64" t="s">
        <v>3911</v>
      </c>
      <c r="G1672" s="64" t="s">
        <v>1852</v>
      </c>
    </row>
    <row r="1673" spans="1:7" x14ac:dyDescent="0.3">
      <c r="A1673" s="64" t="s">
        <v>5165</v>
      </c>
      <c r="B1673" s="64" t="s">
        <v>3911</v>
      </c>
      <c r="C1673" s="64" t="s">
        <v>16</v>
      </c>
      <c r="D1673" s="64" t="s">
        <v>403</v>
      </c>
      <c r="E1673" s="64" t="s">
        <v>374</v>
      </c>
      <c r="F1673" s="64" t="s">
        <v>3911</v>
      </c>
      <c r="G1673" s="64" t="s">
        <v>1853</v>
      </c>
    </row>
    <row r="1674" spans="1:7" x14ac:dyDescent="0.3">
      <c r="A1674" s="64" t="s">
        <v>5165</v>
      </c>
      <c r="B1674" s="64" t="s">
        <v>3911</v>
      </c>
      <c r="C1674" s="64" t="s">
        <v>16</v>
      </c>
      <c r="D1674" s="64" t="s">
        <v>403</v>
      </c>
      <c r="E1674" s="64" t="s">
        <v>383</v>
      </c>
      <c r="F1674" s="64" t="s">
        <v>3911</v>
      </c>
      <c r="G1674" s="64" t="s">
        <v>1854</v>
      </c>
    </row>
    <row r="1675" spans="1:7" x14ac:dyDescent="0.3">
      <c r="A1675" s="64" t="s">
        <v>5165</v>
      </c>
      <c r="B1675" s="64" t="s">
        <v>3911</v>
      </c>
      <c r="C1675" s="64" t="s">
        <v>16</v>
      </c>
      <c r="D1675" s="64" t="s">
        <v>403</v>
      </c>
      <c r="E1675" s="64" t="s">
        <v>373</v>
      </c>
      <c r="F1675" s="64" t="s">
        <v>3911</v>
      </c>
      <c r="G1675" s="64" t="s">
        <v>1855</v>
      </c>
    </row>
    <row r="1676" spans="1:7" x14ac:dyDescent="0.3">
      <c r="A1676" s="64" t="s">
        <v>5165</v>
      </c>
      <c r="B1676" s="64" t="s">
        <v>3911</v>
      </c>
      <c r="C1676" s="64" t="s">
        <v>16</v>
      </c>
      <c r="D1676" s="64" t="s">
        <v>403</v>
      </c>
      <c r="E1676" s="64" t="s">
        <v>368</v>
      </c>
      <c r="F1676" s="64" t="s">
        <v>3911</v>
      </c>
      <c r="G1676" s="64" t="s">
        <v>1856</v>
      </c>
    </row>
    <row r="1677" spans="1:7" x14ac:dyDescent="0.3">
      <c r="A1677" s="64" t="s">
        <v>5165</v>
      </c>
      <c r="B1677" s="64" t="s">
        <v>3911</v>
      </c>
      <c r="C1677" s="64" t="s">
        <v>16</v>
      </c>
      <c r="D1677" s="64" t="s">
        <v>403</v>
      </c>
      <c r="E1677" s="64" t="s">
        <v>372</v>
      </c>
      <c r="F1677" s="64" t="s">
        <v>3911</v>
      </c>
      <c r="G1677" s="64" t="s">
        <v>1857</v>
      </c>
    </row>
    <row r="1678" spans="1:7" x14ac:dyDescent="0.3">
      <c r="A1678" s="64" t="s">
        <v>5165</v>
      </c>
      <c r="B1678" s="64" t="s">
        <v>3911</v>
      </c>
      <c r="C1678" s="64" t="s">
        <v>16</v>
      </c>
      <c r="D1678" s="64" t="s">
        <v>403</v>
      </c>
      <c r="E1678" s="64" t="s">
        <v>375</v>
      </c>
      <c r="F1678" s="64" t="s">
        <v>3911</v>
      </c>
      <c r="G1678" s="64" t="s">
        <v>1858</v>
      </c>
    </row>
    <row r="1679" spans="1:7" x14ac:dyDescent="0.3">
      <c r="A1679" s="64" t="s">
        <v>5165</v>
      </c>
      <c r="B1679" s="64" t="s">
        <v>3911</v>
      </c>
      <c r="C1679" s="64" t="s">
        <v>16</v>
      </c>
      <c r="D1679" s="64" t="s">
        <v>403</v>
      </c>
      <c r="E1679" s="64" t="s">
        <v>380</v>
      </c>
      <c r="F1679" s="64" t="s">
        <v>3911</v>
      </c>
      <c r="G1679" s="64" t="s">
        <v>1859</v>
      </c>
    </row>
    <row r="1680" spans="1:7" x14ac:dyDescent="0.3">
      <c r="A1680" s="64" t="s">
        <v>5162</v>
      </c>
      <c r="B1680" s="64" t="s">
        <v>4019</v>
      </c>
      <c r="C1680" s="64" t="s">
        <v>20</v>
      </c>
      <c r="D1680" s="64" t="s">
        <v>403</v>
      </c>
      <c r="E1680" s="64" t="s">
        <v>15</v>
      </c>
      <c r="F1680" s="64" t="s">
        <v>5162</v>
      </c>
      <c r="G1680" s="64">
        <v>0</v>
      </c>
    </row>
    <row r="1681" spans="1:7" x14ac:dyDescent="0.3">
      <c r="A1681" s="64" t="s">
        <v>5162</v>
      </c>
      <c r="B1681" s="64" t="s">
        <v>4019</v>
      </c>
      <c r="C1681" s="64" t="s">
        <v>20</v>
      </c>
      <c r="D1681" s="64" t="s">
        <v>6965</v>
      </c>
      <c r="E1681" s="64" t="s">
        <v>15</v>
      </c>
      <c r="F1681" s="64" t="s">
        <v>5162</v>
      </c>
      <c r="G1681" s="64">
        <v>0</v>
      </c>
    </row>
    <row r="1682" spans="1:7" x14ac:dyDescent="0.3">
      <c r="A1682" s="64" t="s">
        <v>6969</v>
      </c>
      <c r="B1682" s="64" t="s">
        <v>1881</v>
      </c>
      <c r="C1682" s="64" t="s">
        <v>16</v>
      </c>
      <c r="D1682" s="64" t="s">
        <v>403</v>
      </c>
      <c r="E1682" s="64" t="s">
        <v>377</v>
      </c>
      <c r="F1682" s="64" t="s">
        <v>6970</v>
      </c>
      <c r="G1682" s="64">
        <v>0</v>
      </c>
    </row>
    <row r="1683" spans="1:7" x14ac:dyDescent="0.3">
      <c r="A1683" s="64" t="s">
        <v>6969</v>
      </c>
      <c r="B1683" s="64" t="s">
        <v>1881</v>
      </c>
      <c r="C1683" s="64" t="s">
        <v>16</v>
      </c>
      <c r="D1683" s="64" t="s">
        <v>403</v>
      </c>
      <c r="E1683" s="64" t="s">
        <v>377</v>
      </c>
      <c r="F1683" s="64" t="s">
        <v>7027</v>
      </c>
      <c r="G1683" s="64">
        <v>0</v>
      </c>
    </row>
    <row r="1684" spans="1:7" x14ac:dyDescent="0.3">
      <c r="A1684" s="64" t="s">
        <v>6969</v>
      </c>
      <c r="B1684" s="64" t="s">
        <v>1881</v>
      </c>
      <c r="C1684" s="64" t="s">
        <v>16</v>
      </c>
      <c r="D1684" s="64" t="s">
        <v>403</v>
      </c>
      <c r="E1684" s="64" t="s">
        <v>377</v>
      </c>
      <c r="F1684" s="64" t="s">
        <v>7062</v>
      </c>
      <c r="G1684" s="64">
        <v>0</v>
      </c>
    </row>
    <row r="1685" spans="1:7" x14ac:dyDescent="0.3">
      <c r="A1685" s="64" t="s">
        <v>7009</v>
      </c>
      <c r="B1685" s="64" t="s">
        <v>1881</v>
      </c>
      <c r="C1685" s="64" t="s">
        <v>16</v>
      </c>
      <c r="D1685" s="64" t="s">
        <v>403</v>
      </c>
      <c r="E1685" s="64" t="s">
        <v>377</v>
      </c>
      <c r="F1685" s="64" t="s">
        <v>6970</v>
      </c>
      <c r="G1685" s="64">
        <v>0</v>
      </c>
    </row>
    <row r="1686" spans="1:7" x14ac:dyDescent="0.3">
      <c r="A1686" s="64" t="s">
        <v>7009</v>
      </c>
      <c r="B1686" s="64" t="s">
        <v>1881</v>
      </c>
      <c r="C1686" s="64" t="s">
        <v>16</v>
      </c>
      <c r="D1686" s="64" t="s">
        <v>403</v>
      </c>
      <c r="E1686" s="64" t="s">
        <v>377</v>
      </c>
      <c r="F1686" s="64" t="s">
        <v>7027</v>
      </c>
      <c r="G1686" s="64">
        <v>0</v>
      </c>
    </row>
    <row r="1687" spans="1:7" x14ac:dyDescent="0.3">
      <c r="A1687" s="64" t="s">
        <v>7009</v>
      </c>
      <c r="B1687" s="64" t="s">
        <v>1881</v>
      </c>
      <c r="C1687" s="64" t="s">
        <v>16</v>
      </c>
      <c r="D1687" s="64" t="s">
        <v>403</v>
      </c>
      <c r="E1687" s="64" t="s">
        <v>377</v>
      </c>
      <c r="F1687" s="64" t="s">
        <v>7062</v>
      </c>
      <c r="G1687" s="64">
        <v>0</v>
      </c>
    </row>
    <row r="1688" spans="1:7" x14ac:dyDescent="0.3">
      <c r="A1688" s="64" t="s">
        <v>7001</v>
      </c>
      <c r="B1688" s="64" t="s">
        <v>1881</v>
      </c>
      <c r="C1688" s="64" t="s">
        <v>16</v>
      </c>
      <c r="D1688" s="64" t="s">
        <v>7002</v>
      </c>
      <c r="E1688" s="64" t="s">
        <v>377</v>
      </c>
      <c r="F1688" s="64" t="s">
        <v>6970</v>
      </c>
      <c r="G1688" s="64">
        <v>0</v>
      </c>
    </row>
    <row r="1689" spans="1:7" x14ac:dyDescent="0.3">
      <c r="A1689" s="64" t="s">
        <v>7001</v>
      </c>
      <c r="B1689" s="64" t="s">
        <v>1881</v>
      </c>
      <c r="C1689" s="64" t="s">
        <v>16</v>
      </c>
      <c r="D1689" s="64" t="s">
        <v>7002</v>
      </c>
      <c r="E1689" s="64" t="s">
        <v>377</v>
      </c>
      <c r="F1689" s="64" t="s">
        <v>7027</v>
      </c>
      <c r="G1689" s="64">
        <v>0</v>
      </c>
    </row>
    <row r="1690" spans="1:7" x14ac:dyDescent="0.3">
      <c r="A1690" s="64" t="s">
        <v>7001</v>
      </c>
      <c r="B1690" s="64" t="s">
        <v>1881</v>
      </c>
      <c r="C1690" s="64" t="s">
        <v>16</v>
      </c>
      <c r="D1690" s="64" t="s">
        <v>7002</v>
      </c>
      <c r="E1690" s="64" t="s">
        <v>377</v>
      </c>
      <c r="F1690" s="64" t="s">
        <v>7062</v>
      </c>
      <c r="G1690" s="64">
        <v>0</v>
      </c>
    </row>
    <row r="1691" spans="1:7" x14ac:dyDescent="0.3">
      <c r="A1691" s="64" t="s">
        <v>7016</v>
      </c>
      <c r="B1691" s="64" t="s">
        <v>1881</v>
      </c>
      <c r="C1691" s="64" t="s">
        <v>16</v>
      </c>
      <c r="D1691" s="64" t="s">
        <v>403</v>
      </c>
      <c r="E1691" s="64" t="s">
        <v>377</v>
      </c>
      <c r="F1691" s="64" t="s">
        <v>6970</v>
      </c>
      <c r="G1691" s="64">
        <v>0</v>
      </c>
    </row>
    <row r="1692" spans="1:7" x14ac:dyDescent="0.3">
      <c r="A1692" s="64" t="s">
        <v>7016</v>
      </c>
      <c r="B1692" s="64" t="s">
        <v>1881</v>
      </c>
      <c r="C1692" s="64" t="s">
        <v>16</v>
      </c>
      <c r="D1692" s="64" t="s">
        <v>403</v>
      </c>
      <c r="E1692" s="64" t="s">
        <v>377</v>
      </c>
      <c r="F1692" s="64" t="s">
        <v>7027</v>
      </c>
      <c r="G1692" s="64">
        <v>0</v>
      </c>
    </row>
    <row r="1693" spans="1:7" x14ac:dyDescent="0.3">
      <c r="A1693" s="64" t="s">
        <v>7016</v>
      </c>
      <c r="B1693" s="64" t="s">
        <v>1881</v>
      </c>
      <c r="C1693" s="64" t="s">
        <v>16</v>
      </c>
      <c r="D1693" s="64" t="s">
        <v>403</v>
      </c>
      <c r="E1693" s="64" t="s">
        <v>377</v>
      </c>
      <c r="F1693" s="64" t="s">
        <v>7062</v>
      </c>
      <c r="G1693" s="64">
        <v>0</v>
      </c>
    </row>
    <row r="1694" spans="1:7" x14ac:dyDescent="0.3">
      <c r="A1694" s="64" t="s">
        <v>7016</v>
      </c>
      <c r="B1694" s="64" t="s">
        <v>1881</v>
      </c>
      <c r="C1694" s="64" t="s">
        <v>16</v>
      </c>
      <c r="D1694" s="64" t="s">
        <v>7002</v>
      </c>
      <c r="E1694" s="64" t="s">
        <v>377</v>
      </c>
      <c r="F1694" s="64" t="s">
        <v>6970</v>
      </c>
      <c r="G1694" s="64">
        <v>0</v>
      </c>
    </row>
    <row r="1695" spans="1:7" x14ac:dyDescent="0.3">
      <c r="A1695" s="64" t="s">
        <v>7016</v>
      </c>
      <c r="B1695" s="64" t="s">
        <v>1881</v>
      </c>
      <c r="C1695" s="64" t="s">
        <v>16</v>
      </c>
      <c r="D1695" s="64" t="s">
        <v>7002</v>
      </c>
      <c r="E1695" s="64" t="s">
        <v>377</v>
      </c>
      <c r="F1695" s="64" t="s">
        <v>7027</v>
      </c>
      <c r="G1695" s="64">
        <v>0</v>
      </c>
    </row>
    <row r="1696" spans="1:7" x14ac:dyDescent="0.3">
      <c r="A1696" s="64" t="s">
        <v>7016</v>
      </c>
      <c r="B1696" s="64" t="s">
        <v>1881</v>
      </c>
      <c r="C1696" s="64" t="s">
        <v>16</v>
      </c>
      <c r="D1696" s="64" t="s">
        <v>7002</v>
      </c>
      <c r="E1696" s="64" t="s">
        <v>377</v>
      </c>
      <c r="F1696" s="64" t="s">
        <v>7062</v>
      </c>
      <c r="G1696" s="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Hoja3</vt:lpstr>
      <vt:lpstr>Agencia</vt:lpstr>
      <vt:lpstr>Estructura</vt:lpstr>
      <vt:lpstr>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anin only anin</dc:creator>
  <cp:lastModifiedBy>user</cp:lastModifiedBy>
  <dcterms:created xsi:type="dcterms:W3CDTF">2021-07-05T22:32:30Z</dcterms:created>
  <dcterms:modified xsi:type="dcterms:W3CDTF">2021-11-29T13:03:40Z</dcterms:modified>
</cp:coreProperties>
</file>